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3.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omments14.xml" ContentType="application/vnd.openxmlformats-officedocument.spreadsheetml.comments+xml"/>
  <Override PartName="/xl/threadedComments/threadedComment14.xml" ContentType="application/vnd.ms-excel.threadedcomments+xml"/>
  <Override PartName="/xl/comments15.xml" ContentType="application/vnd.openxmlformats-officedocument.spreadsheetml.comments+xml"/>
  <Override PartName="/xl/threadedComments/threadedComment15.xml" ContentType="application/vnd.ms-excel.threadedcomments+xml"/>
  <Override PartName="/xl/comments16.xml" ContentType="application/vnd.openxmlformats-officedocument.spreadsheetml.comments+xml"/>
  <Override PartName="/xl/threadedComments/threadedComment16.xml" ContentType="application/vnd.ms-excel.threadedcomments+xml"/>
  <Override PartName="/xl/comments17.xml" ContentType="application/vnd.openxmlformats-officedocument.spreadsheetml.comments+xml"/>
  <Override PartName="/xl/threadedComments/threadedComment17.xml" ContentType="application/vnd.ms-excel.threadedcomments+xml"/>
  <Override PartName="/xl/drawings/drawing1.xml" ContentType="application/vnd.openxmlformats-officedocument.drawing+xml"/>
  <Override PartName="/xl/comments18.xml" ContentType="application/vnd.openxmlformats-officedocument.spreadsheetml.comments+xml"/>
  <Override PartName="/xl/threadedComments/threadedComment18.xml" ContentType="application/vnd.ms-excel.threadedcomments+xml"/>
  <Override PartName="/xl/comments19.xml" ContentType="application/vnd.openxmlformats-officedocument.spreadsheetml.comments+xml"/>
  <Override PartName="/xl/threadedComments/threadedComment19.xml" ContentType="application/vnd.ms-excel.threadedcomments+xml"/>
  <Override PartName="/xl/comments20.xml" ContentType="application/vnd.openxmlformats-officedocument.spreadsheetml.comments+xml"/>
  <Override PartName="/xl/threadedComments/threadedComment20.xml" ContentType="application/vnd.ms-excel.threadedcomments+xml"/>
  <Override PartName="/xl/comments21.xml" ContentType="application/vnd.openxmlformats-officedocument.spreadsheetml.comments+xml"/>
  <Override PartName="/xl/threadedComments/threadedComment21.xml" ContentType="application/vnd.ms-excel.threadedcomments+xml"/>
  <Override PartName="/xl/comments22.xml" ContentType="application/vnd.openxmlformats-officedocument.spreadsheetml.comments+xml"/>
  <Override PartName="/xl/threadedComments/threadedComment22.xml" ContentType="application/vnd.ms-excel.threadedcomments+xml"/>
  <Override PartName="/xl/comments23.xml" ContentType="application/vnd.openxmlformats-officedocument.spreadsheetml.comments+xml"/>
  <Override PartName="/xl/threadedComments/threadedComment23.xml" ContentType="application/vnd.ms-excel.threadedcomments+xml"/>
  <Override PartName="/xl/comments24.xml" ContentType="application/vnd.openxmlformats-officedocument.spreadsheetml.comments+xml"/>
  <Override PartName="/xl/threadedComments/threadedComment24.xml" ContentType="application/vnd.ms-excel.threadedcomments+xml"/>
  <Override PartName="/xl/comments25.xml" ContentType="application/vnd.openxmlformats-officedocument.spreadsheetml.comments+xml"/>
  <Override PartName="/xl/threadedComments/threadedComment25.xml" ContentType="application/vnd.ms-excel.threadedcomments+xml"/>
  <Override PartName="/xl/comments26.xml" ContentType="application/vnd.openxmlformats-officedocument.spreadsheetml.comments+xml"/>
  <Override PartName="/xl/threadedComments/threadedComment26.xml" ContentType="application/vnd.ms-excel.threadedcomments+xml"/>
  <Override PartName="/xl/comments27.xml" ContentType="application/vnd.openxmlformats-officedocument.spreadsheetml.comments+xml"/>
  <Override PartName="/xl/threadedComments/threadedComment27.xml" ContentType="application/vnd.ms-excel.threadedcomments+xml"/>
  <Override PartName="/xl/comments28.xml" ContentType="application/vnd.openxmlformats-officedocument.spreadsheetml.comments+xml"/>
  <Override PartName="/xl/threadedComments/threadedComment28.xml" ContentType="application/vnd.ms-excel.threadedcomments+xml"/>
  <Override PartName="/xl/comments29.xml" ContentType="application/vnd.openxmlformats-officedocument.spreadsheetml.comments+xml"/>
  <Override PartName="/xl/threadedComments/threadedComment2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mc:AlternateContent xmlns:mc="http://schemas.openxmlformats.org/markup-compatibility/2006">
    <mc:Choice Requires="x15">
      <x15ac:absPath xmlns:x15ac="http://schemas.microsoft.com/office/spreadsheetml/2010/11/ac" url="F:\Users\ccag\WPDATA\Caltrans\Planning Grants\FY 2022-2023\Project Documents\Final Documents\"/>
    </mc:Choice>
  </mc:AlternateContent>
  <xr:revisionPtr revIDLastSave="0" documentId="8_{1CC49B51-2142-4C1E-86BE-9BF60CBE95C8}" xr6:coauthVersionLast="47" xr6:coauthVersionMax="47" xr10:uidLastSave="{00000000-0000-0000-0000-000000000000}"/>
  <bookViews>
    <workbookView xWindow="33720" yWindow="-120" windowWidth="38640" windowHeight="15840" tabRatio="619" firstSheet="12" activeTab="12" xr2:uid="{00000000-000D-0000-FFFF-FFFF00000000}"/>
  </bookViews>
  <sheets>
    <sheet name="README" sheetId="1" r:id="rId1"/>
    <sheet name="Mitigation Summary - Annual VMT" sheetId="67" r:id="rId2"/>
    <sheet name="Mitigation Summary - Daily VMT" sheetId="71" r:id="rId3"/>
    <sheet name="1.) Caltrain Service Expansion" sheetId="10" r:id="rId4"/>
    <sheet name="2.) Enhance Route ECR Frequency" sheetId="11" r:id="rId5"/>
    <sheet name="3.) ECR Transit Priority" sheetId="12" r:id="rId6"/>
    <sheet name="4.) Affordable Housing" sheetId="74" r:id="rId7"/>
    <sheet name="5.) Clipper Start - Bay Pass" sheetId="3" r:id="rId8"/>
    <sheet name="5a.) Clipper Start (cont.)" sheetId="76" r:id="rId9"/>
    <sheet name="Model Modeshare by TAZ" sheetId="40" state="hidden" r:id="rId10"/>
    <sheet name="Model VMT by TAZ" sheetId="39" state="hidden" r:id="rId11"/>
    <sheet name="Other Model Data by TAZ" sheetId="44" state="hidden" r:id="rId12"/>
    <sheet name="6.) E-Bike Rebate Program" sheetId="8" r:id="rId13"/>
    <sheet name="7.) Community Travel Education" sheetId="33" r:id="rId14"/>
    <sheet name="8.) Mobility Hubs" sheetId="7" r:id="rId15"/>
    <sheet name="9.) Micromobility Services" sheetId="56" r:id="rId16"/>
    <sheet name="10.) Shuttles-Microtransit" sheetId="37" r:id="rId17"/>
    <sheet name="11.) EV Charging Facilities" sheetId="31" r:id="rId18"/>
    <sheet name="12.) Bicycle Infrastructure" sheetId="29" r:id="rId19"/>
    <sheet name="12a.) CustomBicycleProject" sheetId="72" r:id="rId20"/>
    <sheet name="13.) Pedestrian Infrastructure" sheetId="59" r:id="rId21"/>
    <sheet name="14.) Parking Benefit Districts" sheetId="6" r:id="rId22"/>
    <sheet name="Action 1 Calculations" sheetId="21" r:id="rId23"/>
    <sheet name="Action 2 Calculations" sheetId="22" r:id="rId24"/>
    <sheet name="Action 3 Calculations" sheetId="23" r:id="rId25"/>
    <sheet name="Action 4 Calculations" sheetId="20" r:id="rId26"/>
    <sheet name="Action 5 Calculations" sheetId="14" r:id="rId27"/>
    <sheet name="Action 5a Calculations" sheetId="77" r:id="rId28"/>
    <sheet name="Action 6 Calculations" sheetId="19" r:id="rId29"/>
    <sheet name="Action 7 Calculations" sheetId="28" r:id="rId30"/>
    <sheet name="Action 8 Calculations" sheetId="18" r:id="rId31"/>
    <sheet name="Action 9 Calculations" sheetId="57" r:id="rId32"/>
    <sheet name="Action 10 Calculations" sheetId="35" r:id="rId33"/>
    <sheet name="Action 11 Calculations" sheetId="26" r:id="rId34"/>
    <sheet name="Action 12 Calculation" sheetId="24" r:id="rId35"/>
    <sheet name="Action 12a Calculation" sheetId="73" r:id="rId36"/>
    <sheet name="Action 13 Calculation" sheetId="58" r:id="rId37"/>
    <sheet name="Action 14 Calculation" sheetId="17" r:id="rId38"/>
    <sheet name="Action 2 Data" sheetId="53" state="hidden" r:id="rId39"/>
    <sheet name="Action 3 TAZ Data" sheetId="54" state="hidden" r:id="rId40"/>
    <sheet name="Action 3 Road Data" sheetId="52" state="hidden" r:id="rId41"/>
    <sheet name="Action 4 Model Data" sheetId="43" state="hidden" r:id="rId42"/>
    <sheet name="Action 8 Data" sheetId="51" state="hidden" r:id="rId43"/>
    <sheet name="Action 10 East Palo Alto" sheetId="68" state="hidden" r:id="rId44"/>
    <sheet name="Action 10 Half Moon Bay" sheetId="69" state="hidden" r:id="rId45"/>
    <sheet name="Action 12 Daly City Data" sheetId="61" state="hidden" r:id="rId46"/>
    <sheet name="Action 12 Skyline Data" sheetId="62" state="hidden" r:id="rId47"/>
    <sheet name="Action 12 Coastside Data" sheetId="60" state="hidden" r:id="rId48"/>
    <sheet name="Action 12 EPA Data" sheetId="63" state="hidden" r:id="rId49"/>
    <sheet name="Action 12 Belmont_RWC Data" sheetId="64" state="hidden" r:id="rId50"/>
    <sheet name="Action 12 San Carlos Data" sheetId="65" state="hidden" r:id="rId51"/>
    <sheet name="Action 12 ADT" sheetId="66" state="hidden" r:id="rId52"/>
    <sheet name="Action 14 Data" sheetId="70" state="hidden" r:id="rId53"/>
    <sheet name="Action 1 Data" sheetId="41" state="hidden" r:id="rId54"/>
    <sheet name="VMT by City" sheetId="49" state="hidden" r:id="rId55"/>
    <sheet name="TAZs by City - San Mateo County" sheetId="42" state="hidden" r:id="rId56"/>
    <sheet name="TAZs by City - CCAG Model" sheetId="48" state="hidden" r:id="rId57"/>
    <sheet name="Action 4_CHTSTripLengths" sheetId="78" state="hidden" r:id="rId58"/>
  </sheets>
  <definedNames>
    <definedName name="_xlnm._FilterDatabase" localSheetId="47" hidden="1">'Action 12 Coastside Data'!$H$7:$R$150</definedName>
    <definedName name="_xlnm._FilterDatabase" localSheetId="45" hidden="1">'Action 12 Daly City Data'!$A$4:$F$29</definedName>
    <definedName name="_xlnm._FilterDatabase" localSheetId="48" hidden="1">'Action 12 EPA Data'!$A$4:$F$34</definedName>
    <definedName name="_xlnm._FilterDatabase" localSheetId="46" hidden="1">'Action 12 Skyline Data'!$A$4:$F$37</definedName>
    <definedName name="_xlnm._FilterDatabase" localSheetId="40" hidden="1">'Action 3 Road Data'!$A$2:$P$2</definedName>
    <definedName name="_xlnm._FilterDatabase" localSheetId="39" hidden="1">'Action 3 TAZ Data'!$A$1:$E$135</definedName>
    <definedName name="_xlnm._FilterDatabase" localSheetId="1" hidden="1">'Mitigation Summary - Annual VMT'!$B$4:$N$4</definedName>
    <definedName name="_xlnm._FilterDatabase" localSheetId="2" hidden="1">'Mitigation Summary - Daily VMT'!$B$5:$P$5</definedName>
    <definedName name="_xlnm._FilterDatabase" localSheetId="9" hidden="1">'Model Modeshare by TAZ'!$A$3:$Q$2983</definedName>
    <definedName name="_xlnm._FilterDatabase" localSheetId="10" hidden="1">'Model VMT by TAZ'!$A$3:$I$2983</definedName>
    <definedName name="_xlnm._FilterDatabase" localSheetId="11" hidden="1">'Other Model Data by TAZ'!$A$3:$S$2834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8" l="1"/>
  <c r="C54" i="17"/>
  <c r="C50" i="17"/>
  <c r="AB25" i="20"/>
  <c r="C26" i="74"/>
  <c r="C25" i="74"/>
  <c r="AL25" i="20"/>
  <c r="AK25" i="20"/>
  <c r="AH25" i="20"/>
  <c r="AG25" i="20"/>
  <c r="AC25" i="20"/>
  <c r="C38" i="20"/>
  <c r="AB17" i="20"/>
  <c r="AC17" i="20"/>
  <c r="AM18" i="20"/>
  <c r="G35" i="20"/>
  <c r="H35" i="20"/>
  <c r="I35" i="20"/>
  <c r="F35" i="20"/>
  <c r="Y18" i="20"/>
  <c r="D39" i="8"/>
  <c r="D34" i="8"/>
  <c r="C23" i="19"/>
  <c r="C25" i="8"/>
  <c r="C26" i="8"/>
  <c r="G24" i="8"/>
  <c r="AF17" i="20"/>
  <c r="AI18" i="20"/>
  <c r="Z23" i="20"/>
  <c r="AP23" i="20" s="1"/>
  <c r="Z22" i="20"/>
  <c r="AP22" i="20" s="1"/>
  <c r="Z21" i="20"/>
  <c r="Z20" i="20"/>
  <c r="Z18" i="20"/>
  <c r="AP18" i="20" s="1"/>
  <c r="AS18" i="20" s="1"/>
  <c r="Z17" i="20"/>
  <c r="AP17" i="20" s="1"/>
  <c r="Q17" i="78"/>
  <c r="Q26" i="78" s="1"/>
  <c r="Y23" i="20"/>
  <c r="Y22" i="20"/>
  <c r="Y21" i="20"/>
  <c r="Y20" i="20"/>
  <c r="Y19" i="20"/>
  <c r="Z19" i="20" s="1"/>
  <c r="Y17" i="20"/>
  <c r="AQ24" i="20"/>
  <c r="AQ23" i="20"/>
  <c r="AQ22" i="20"/>
  <c r="AQ21" i="20"/>
  <c r="AQ20" i="20"/>
  <c r="AQ19" i="20"/>
  <c r="AQ18" i="20"/>
  <c r="AR18" i="20"/>
  <c r="AQ17" i="20"/>
  <c r="S17" i="20"/>
  <c r="S18" i="20"/>
  <c r="S19" i="20"/>
  <c r="S20" i="20"/>
  <c r="S21" i="20"/>
  <c r="S22" i="20"/>
  <c r="S23" i="20"/>
  <c r="Q20" i="78"/>
  <c r="Q21" i="78"/>
  <c r="AI17" i="20" s="1"/>
  <c r="AR17" i="20" s="1"/>
  <c r="Q22" i="78"/>
  <c r="Q23" i="78"/>
  <c r="AI21" i="20" s="1"/>
  <c r="AR21" i="20" s="1"/>
  <c r="Q24" i="78"/>
  <c r="Q25" i="78"/>
  <c r="U24" i="20"/>
  <c r="O24" i="20"/>
  <c r="Q19" i="78"/>
  <c r="L22" i="78"/>
  <c r="AP19" i="20" l="1"/>
  <c r="AI23" i="20"/>
  <c r="AR23" i="20" s="1"/>
  <c r="AI19" i="20"/>
  <c r="AR19" i="20" s="1"/>
  <c r="AI20" i="20"/>
  <c r="AR20" i="20" s="1"/>
  <c r="AI22" i="20"/>
  <c r="AR22" i="20" s="1"/>
  <c r="AS17" i="20"/>
  <c r="AS22" i="20"/>
  <c r="AS23" i="20"/>
  <c r="AP21" i="20"/>
  <c r="AS21" i="20" s="1"/>
  <c r="AP20" i="20"/>
  <c r="AS20" i="20" s="1"/>
  <c r="G20" i="78"/>
  <c r="H20" i="78"/>
  <c r="I20" i="78"/>
  <c r="J20" i="78"/>
  <c r="K20" i="78"/>
  <c r="G21" i="78"/>
  <c r="H21" i="78"/>
  <c r="I21" i="78"/>
  <c r="J21" i="78"/>
  <c r="K21" i="78"/>
  <c r="G22" i="78"/>
  <c r="H22" i="78"/>
  <c r="I22" i="78"/>
  <c r="J22" i="78"/>
  <c r="K22" i="78"/>
  <c r="G23" i="78"/>
  <c r="H23" i="78"/>
  <c r="I23" i="78"/>
  <c r="J23" i="78"/>
  <c r="K23" i="78"/>
  <c r="G24" i="78"/>
  <c r="H24" i="78"/>
  <c r="I24" i="78"/>
  <c r="J24" i="78"/>
  <c r="K24" i="78"/>
  <c r="G25" i="78"/>
  <c r="H25" i="78"/>
  <c r="I25" i="78"/>
  <c r="J25" i="78"/>
  <c r="K25" i="78"/>
  <c r="L20" i="78"/>
  <c r="M20" i="78"/>
  <c r="N20" i="78"/>
  <c r="O20" i="78"/>
  <c r="P20" i="78"/>
  <c r="L21" i="78"/>
  <c r="M21" i="78"/>
  <c r="N21" i="78"/>
  <c r="O21" i="78"/>
  <c r="P21" i="78"/>
  <c r="M22" i="78"/>
  <c r="N22" i="78"/>
  <c r="O22" i="78"/>
  <c r="P22" i="78"/>
  <c r="L23" i="78"/>
  <c r="M23" i="78"/>
  <c r="N23" i="78"/>
  <c r="O23" i="78"/>
  <c r="P23" i="78"/>
  <c r="L24" i="78"/>
  <c r="M24" i="78"/>
  <c r="N24" i="78"/>
  <c r="O24" i="78"/>
  <c r="P24" i="78"/>
  <c r="L25" i="78"/>
  <c r="M25" i="78"/>
  <c r="N25" i="78"/>
  <c r="O25" i="78"/>
  <c r="P25" i="78"/>
  <c r="U20" i="78"/>
  <c r="U21" i="78"/>
  <c r="U22" i="78"/>
  <c r="U23" i="78"/>
  <c r="U24" i="78"/>
  <c r="U25" i="78"/>
  <c r="T20" i="78"/>
  <c r="T21" i="78"/>
  <c r="T22" i="78"/>
  <c r="T23" i="78"/>
  <c r="T24" i="78"/>
  <c r="T25" i="78"/>
  <c r="S20" i="78"/>
  <c r="S21" i="78"/>
  <c r="S22" i="78"/>
  <c r="S23" i="78"/>
  <c r="S24" i="78"/>
  <c r="S25" i="78"/>
  <c r="R20" i="78"/>
  <c r="R21" i="78"/>
  <c r="R22" i="78"/>
  <c r="R23" i="78"/>
  <c r="R24" i="78"/>
  <c r="R25" i="78"/>
  <c r="AJ11" i="20"/>
  <c r="V18" i="20"/>
  <c r="C63" i="3"/>
  <c r="C58" i="3"/>
  <c r="C41" i="76"/>
  <c r="C34" i="76"/>
  <c r="AS19" i="20" l="1"/>
  <c r="C42" i="76"/>
  <c r="C43" i="76" s="1"/>
  <c r="D52" i="76" s="1"/>
  <c r="C18" i="77"/>
  <c r="C40" i="77" s="1"/>
  <c r="C22" i="77"/>
  <c r="C29" i="77"/>
  <c r="C30" i="77" s="1"/>
  <c r="C16" i="77"/>
  <c r="C17" i="77" s="1"/>
  <c r="C26" i="77"/>
  <c r="C35" i="77" s="1"/>
  <c r="D57" i="76" l="1"/>
  <c r="F52" i="76"/>
  <c r="D44" i="77"/>
  <c r="C35" i="76"/>
  <c r="C38" i="76" s="1"/>
  <c r="B52" i="76" s="1"/>
  <c r="C52" i="76" s="1"/>
  <c r="D40" i="77"/>
  <c r="C31" i="77"/>
  <c r="C41" i="77" s="1"/>
  <c r="G52" i="76" l="1"/>
  <c r="E52" i="76"/>
  <c r="F57" i="76"/>
  <c r="D41" i="77"/>
  <c r="D45" i="77"/>
  <c r="E45" i="77" s="1"/>
  <c r="C36" i="76"/>
  <c r="C39" i="76" s="1"/>
  <c r="B57" i="76" s="1"/>
  <c r="C57" i="76" s="1"/>
  <c r="E44" i="77"/>
  <c r="E57" i="76" l="1"/>
  <c r="G57" i="76"/>
  <c r="C19" i="14" l="1"/>
  <c r="F27" i="3" s="1"/>
  <c r="I224" i="14"/>
  <c r="F51" i="3" s="1"/>
  <c r="I204" i="14"/>
  <c r="F50" i="3" s="1"/>
  <c r="I184" i="14"/>
  <c r="F49" i="3" s="1"/>
  <c r="I164" i="14"/>
  <c r="F48" i="3" s="1"/>
  <c r="I144" i="14"/>
  <c r="F47" i="3" s="1"/>
  <c r="I124" i="14"/>
  <c r="F46" i="3" s="1"/>
  <c r="I104" i="14"/>
  <c r="F45" i="3" s="1"/>
  <c r="I84" i="14"/>
  <c r="F44" i="3" s="1"/>
  <c r="I64" i="14"/>
  <c r="F43" i="3" s="1"/>
  <c r="I44" i="14"/>
  <c r="F42" i="3" s="1"/>
  <c r="C224" i="14"/>
  <c r="F41" i="3" s="1"/>
  <c r="C204" i="14"/>
  <c r="F40" i="3" s="1"/>
  <c r="C184" i="14"/>
  <c r="F39" i="3" s="1"/>
  <c r="C164" i="14"/>
  <c r="F38" i="3" s="1"/>
  <c r="C144" i="14"/>
  <c r="F37" i="3" s="1"/>
  <c r="C124" i="14"/>
  <c r="F36" i="3" s="1"/>
  <c r="C104" i="14"/>
  <c r="F35" i="3" s="1"/>
  <c r="C84" i="14"/>
  <c r="F34" i="3" s="1"/>
  <c r="C64" i="14"/>
  <c r="F33" i="3" s="1"/>
  <c r="C44" i="14"/>
  <c r="F32" i="3" s="1"/>
  <c r="G16" i="67" l="1"/>
  <c r="P17" i="71"/>
  <c r="N17" i="71"/>
  <c r="M17" i="71"/>
  <c r="J17" i="71"/>
  <c r="J18" i="71"/>
  <c r="M16" i="67"/>
  <c r="K16" i="67"/>
  <c r="J16" i="67"/>
  <c r="F66" i="29"/>
  <c r="G19" i="71"/>
  <c r="G11" i="71"/>
  <c r="G8" i="71"/>
  <c r="G7" i="71"/>
  <c r="G12" i="71"/>
  <c r="G15" i="71"/>
  <c r="G6" i="71"/>
  <c r="G13" i="71"/>
  <c r="G14" i="71"/>
  <c r="G9" i="71"/>
  <c r="G10" i="71"/>
  <c r="G17" i="71"/>
  <c r="G18" i="71"/>
  <c r="E11" i="71"/>
  <c r="H11" i="71" s="1"/>
  <c r="E8" i="71"/>
  <c r="H8" i="71" s="1"/>
  <c r="E7" i="71"/>
  <c r="H7" i="71" s="1"/>
  <c r="E12" i="71"/>
  <c r="H12" i="71" s="1"/>
  <c r="E15" i="71"/>
  <c r="E6" i="71"/>
  <c r="H6" i="71" s="1"/>
  <c r="E13" i="71"/>
  <c r="H13" i="71" s="1"/>
  <c r="E14" i="71"/>
  <c r="H14" i="71" s="1"/>
  <c r="E9" i="71"/>
  <c r="H9" i="71" s="1"/>
  <c r="E10" i="71"/>
  <c r="H10" i="71" s="1"/>
  <c r="E17" i="71"/>
  <c r="H17" i="71" s="1"/>
  <c r="E18" i="71"/>
  <c r="H18" i="71" s="1"/>
  <c r="E16" i="71"/>
  <c r="E19" i="71"/>
  <c r="H19" i="71" s="1"/>
  <c r="G33" i="7"/>
  <c r="N19" i="71"/>
  <c r="M19" i="71"/>
  <c r="D36" i="6"/>
  <c r="F36" i="6" s="1"/>
  <c r="K18" i="71"/>
  <c r="C36" i="59"/>
  <c r="B36" i="59"/>
  <c r="I9" i="71"/>
  <c r="F8" i="67"/>
  <c r="J28" i="74"/>
  <c r="C27" i="74" s="1"/>
  <c r="D39" i="74" s="1"/>
  <c r="I16" i="71"/>
  <c r="G24" i="37"/>
  <c r="C24" i="37"/>
  <c r="C48" i="28"/>
  <c r="C38" i="28"/>
  <c r="F32" i="12"/>
  <c r="E32" i="12"/>
  <c r="D32" i="12"/>
  <c r="C32" i="12"/>
  <c r="C19" i="23"/>
  <c r="F33" i="10"/>
  <c r="C89" i="21" s="1"/>
  <c r="C87" i="21"/>
  <c r="C86" i="21"/>
  <c r="D82" i="21"/>
  <c r="D81" i="21"/>
  <c r="C25" i="10"/>
  <c r="C29" i="10"/>
  <c r="D48" i="10" s="1"/>
  <c r="C88" i="21" l="1"/>
  <c r="C90" i="21" s="1"/>
  <c r="H15" i="71"/>
  <c r="D43" i="10"/>
  <c r="M6" i="71" s="1"/>
  <c r="C28" i="74"/>
  <c r="M9" i="71"/>
  <c r="N9" i="71"/>
  <c r="D44" i="74"/>
  <c r="E43" i="35"/>
  <c r="C92" i="21"/>
  <c r="C29" i="28"/>
  <c r="C16" i="28"/>
  <c r="C39" i="28" s="1"/>
  <c r="C105" i="24"/>
  <c r="C28" i="14"/>
  <c r="C17" i="14"/>
  <c r="C15" i="14"/>
  <c r="C16" i="14" s="1"/>
  <c r="I222" i="14"/>
  <c r="C222" i="14"/>
  <c r="I202" i="14"/>
  <c r="C202" i="14"/>
  <c r="C182" i="14"/>
  <c r="I182" i="14"/>
  <c r="I162" i="14"/>
  <c r="C162" i="14"/>
  <c r="C142" i="14"/>
  <c r="I142" i="14"/>
  <c r="I122" i="14"/>
  <c r="C122" i="14"/>
  <c r="C102" i="14"/>
  <c r="I102" i="14"/>
  <c r="I82" i="14"/>
  <c r="C82" i="14"/>
  <c r="C62" i="14"/>
  <c r="I62" i="14"/>
  <c r="I42" i="14"/>
  <c r="C42" i="14"/>
  <c r="C20" i="18"/>
  <c r="N24" i="51"/>
  <c r="N23" i="51"/>
  <c r="N19" i="51"/>
  <c r="N16" i="51"/>
  <c r="N10" i="51"/>
  <c r="C12" i="57"/>
  <c r="C44" i="26"/>
  <c r="C27" i="10" l="1"/>
  <c r="C11" i="21" s="1"/>
  <c r="C23" i="14"/>
  <c r="C29" i="14" s="1"/>
  <c r="C243" i="14" s="1"/>
  <c r="E243" i="14" s="1"/>
  <c r="J8" i="67"/>
  <c r="K8" i="67"/>
  <c r="E129" i="26"/>
  <c r="D129" i="26"/>
  <c r="C129" i="26"/>
  <c r="F129" i="26"/>
  <c r="C102" i="26"/>
  <c r="C103" i="26"/>
  <c r="C104" i="26" s="1"/>
  <c r="D29" i="31" s="1"/>
  <c r="C106" i="26"/>
  <c r="K26" i="11"/>
  <c r="O15" i="70"/>
  <c r="D57" i="29"/>
  <c r="F47" i="73"/>
  <c r="E47" i="73"/>
  <c r="D47" i="73"/>
  <c r="F49" i="73"/>
  <c r="F50" i="73" s="1"/>
  <c r="E49" i="73"/>
  <c r="E50" i="73" s="1"/>
  <c r="D49" i="73"/>
  <c r="D50" i="73" s="1"/>
  <c r="F48" i="73"/>
  <c r="F55" i="73" s="1"/>
  <c r="E48" i="73"/>
  <c r="E55" i="73" s="1"/>
  <c r="D48" i="73"/>
  <c r="D55" i="73" s="1"/>
  <c r="D57" i="73" a="1"/>
  <c r="D57" i="73" s="1"/>
  <c r="C57" i="73" a="1"/>
  <c r="C57" i="73" s="1"/>
  <c r="F57" i="73" a="1"/>
  <c r="F57" i="73" s="1"/>
  <c r="E57" i="73" a="1"/>
  <c r="E57" i="73" s="1"/>
  <c r="D58" i="73"/>
  <c r="E58" i="73"/>
  <c r="F58" i="73"/>
  <c r="C58" i="73"/>
  <c r="D53" i="73"/>
  <c r="D54" i="73" s="1"/>
  <c r="E53" i="73"/>
  <c r="E54" i="73" s="1"/>
  <c r="F53" i="73"/>
  <c r="F54" i="73" s="1"/>
  <c r="C53" i="73"/>
  <c r="C54" i="73" s="1"/>
  <c r="C49" i="73"/>
  <c r="C50" i="73" s="1"/>
  <c r="C48" i="73"/>
  <c r="C55" i="73" s="1"/>
  <c r="C47" i="73"/>
  <c r="G27" i="3" l="1"/>
  <c r="B63" i="3" s="1"/>
  <c r="B58" i="3" s="1"/>
  <c r="C109" i="26"/>
  <c r="C111" i="26" s="1"/>
  <c r="C114" i="26" s="1"/>
  <c r="C108" i="26"/>
  <c r="C115" i="26" s="1"/>
  <c r="C56" i="73" a="1"/>
  <c r="C56" i="73" s="1"/>
  <c r="C59" i="73" s="1"/>
  <c r="C32" i="72" s="1"/>
  <c r="F56" i="73" a="1"/>
  <c r="F56" i="73" s="1"/>
  <c r="E56" i="73" a="1"/>
  <c r="E56" i="73" s="1"/>
  <c r="E59" i="73" s="1"/>
  <c r="E32" i="72" s="1"/>
  <c r="D56" i="73" a="1"/>
  <c r="D56" i="73" s="1"/>
  <c r="D59" i="73" s="1"/>
  <c r="D32" i="72" s="1"/>
  <c r="E30" i="72"/>
  <c r="E31" i="72" s="1"/>
  <c r="D30" i="72"/>
  <c r="D31" i="72" s="1"/>
  <c r="C17" i="17"/>
  <c r="C12" i="17"/>
  <c r="C10" i="58"/>
  <c r="C147" i="23"/>
  <c r="F15" i="67"/>
  <c r="C85" i="26"/>
  <c r="C67" i="26"/>
  <c r="C49" i="26"/>
  <c r="C31" i="26"/>
  <c r="C13" i="26"/>
  <c r="C84" i="26"/>
  <c r="C88" i="26" s="1"/>
  <c r="C91" i="26" s="1"/>
  <c r="C93" i="26" s="1"/>
  <c r="C96" i="26" s="1"/>
  <c r="C66" i="26"/>
  <c r="C70" i="26" s="1"/>
  <c r="C72" i="26" s="1"/>
  <c r="C79" i="26" s="1"/>
  <c r="C48" i="26"/>
  <c r="C126" i="26" s="1"/>
  <c r="C30" i="26"/>
  <c r="C34" i="26" s="1"/>
  <c r="C36" i="26" s="1"/>
  <c r="C43" i="26" s="1"/>
  <c r="C12" i="26"/>
  <c r="C124" i="26" s="1"/>
  <c r="C116" i="26" l="1"/>
  <c r="E29" i="31" s="1"/>
  <c r="F29" i="31" s="1"/>
  <c r="F59" i="73"/>
  <c r="F32" i="72" s="1"/>
  <c r="C125" i="26"/>
  <c r="C127" i="26"/>
  <c r="C128" i="26"/>
  <c r="C32" i="26"/>
  <c r="D125" i="26" s="1"/>
  <c r="D25" i="31" s="1"/>
  <c r="C68" i="26"/>
  <c r="D127" i="26" s="1"/>
  <c r="D27" i="31" s="1"/>
  <c r="C50" i="26"/>
  <c r="D126" i="26" s="1"/>
  <c r="D26" i="31" s="1"/>
  <c r="C52" i="26"/>
  <c r="C55" i="26" s="1"/>
  <c r="C57" i="26" s="1"/>
  <c r="C60" i="26" s="1"/>
  <c r="C86" i="26"/>
  <c r="D128" i="26" s="1"/>
  <c r="D28" i="31" s="1"/>
  <c r="C37" i="26"/>
  <c r="C39" i="26" s="1"/>
  <c r="C90" i="26"/>
  <c r="C73" i="26"/>
  <c r="C75" i="26" s="1"/>
  <c r="C78" i="26" s="1"/>
  <c r="C80" i="26" s="1"/>
  <c r="E127" i="26" s="1"/>
  <c r="E27" i="31" s="1"/>
  <c r="F27" i="31" s="1"/>
  <c r="B66" i="72" l="1"/>
  <c r="C30" i="72"/>
  <c r="C31" i="72" s="1"/>
  <c r="F30" i="72"/>
  <c r="F31" i="72" s="1"/>
  <c r="C42" i="26"/>
  <c r="E125" i="26" s="1"/>
  <c r="C97" i="26"/>
  <c r="C98" i="26" s="1"/>
  <c r="E128" i="26" s="1"/>
  <c r="C54" i="26"/>
  <c r="C61" i="26" s="1"/>
  <c r="C62" i="26" s="1"/>
  <c r="E126" i="26" s="1"/>
  <c r="E26" i="31" s="1"/>
  <c r="F26" i="31" s="1"/>
  <c r="F127" i="26"/>
  <c r="B61" i="72" l="1"/>
  <c r="C66" i="72"/>
  <c r="C61" i="72" s="1"/>
  <c r="D66" i="72"/>
  <c r="E28" i="31"/>
  <c r="F28" i="31" s="1"/>
  <c r="F128" i="26"/>
  <c r="E25" i="31"/>
  <c r="F25" i="31" s="1"/>
  <c r="F125" i="26"/>
  <c r="F126" i="26"/>
  <c r="E66" i="72" l="1"/>
  <c r="D61" i="72"/>
  <c r="E61" i="72" s="1"/>
  <c r="F66" i="72"/>
  <c r="C16" i="26"/>
  <c r="F5" i="51"/>
  <c r="F6" i="51"/>
  <c r="F7" i="51"/>
  <c r="F8" i="51"/>
  <c r="F9" i="51"/>
  <c r="F10" i="51"/>
  <c r="F11" i="51"/>
  <c r="F12" i="51"/>
  <c r="F13" i="51"/>
  <c r="F14" i="51"/>
  <c r="F15" i="51"/>
  <c r="F16" i="51"/>
  <c r="F17" i="51"/>
  <c r="F18" i="51"/>
  <c r="F19" i="51"/>
  <c r="F20" i="51"/>
  <c r="F21" i="51"/>
  <c r="F22" i="51"/>
  <c r="F23" i="51"/>
  <c r="F24" i="51"/>
  <c r="F4" i="51"/>
  <c r="C14" i="26"/>
  <c r="D124" i="26" s="1"/>
  <c r="D24" i="31" s="1"/>
  <c r="D38" i="31" s="1"/>
  <c r="G66" i="72" l="1"/>
  <c r="F61" i="72"/>
  <c r="G61" i="72" s="1"/>
  <c r="C19" i="26"/>
  <c r="C21" i="26" s="1"/>
  <c r="C24" i="26" s="1"/>
  <c r="C18" i="26"/>
  <c r="C25" i="26" s="1"/>
  <c r="J15" i="67"/>
  <c r="K15" i="67" l="1"/>
  <c r="C26" i="26"/>
  <c r="E124" i="26" s="1"/>
  <c r="I18" i="71"/>
  <c r="I17" i="71"/>
  <c r="I10" i="71"/>
  <c r="I8" i="71"/>
  <c r="I14" i="71"/>
  <c r="I13" i="71"/>
  <c r="I11" i="71"/>
  <c r="I6" i="71"/>
  <c r="I15" i="71"/>
  <c r="I12" i="71"/>
  <c r="I7" i="71"/>
  <c r="I19" i="71"/>
  <c r="O36" i="70"/>
  <c r="G33" i="70"/>
  <c r="O38" i="70"/>
  <c r="O39" i="70" s="1"/>
  <c r="O22" i="70"/>
  <c r="O24" i="70" s="1"/>
  <c r="O25" i="70" s="1"/>
  <c r="G20" i="70"/>
  <c r="G7" i="70"/>
  <c r="O12" i="70" s="1"/>
  <c r="O14" i="70" s="1"/>
  <c r="E24" i="31" l="1"/>
  <c r="B38" i="31" s="1"/>
  <c r="F124" i="26"/>
  <c r="C28" i="59"/>
  <c r="C29" i="59" l="1"/>
  <c r="D41" i="59" s="1"/>
  <c r="D36" i="59" s="1"/>
  <c r="F24" i="31"/>
  <c r="E38" i="31"/>
  <c r="D29" i="20"/>
  <c r="E29" i="20" s="1"/>
  <c r="D30" i="20"/>
  <c r="E30" i="20" s="1"/>
  <c r="D31" i="20"/>
  <c r="E31" i="20" s="1"/>
  <c r="D32" i="20"/>
  <c r="E32" i="20" s="1"/>
  <c r="D33" i="20"/>
  <c r="E33" i="20" s="1"/>
  <c r="D34" i="20"/>
  <c r="E34" i="20" s="1"/>
  <c r="D28" i="20"/>
  <c r="E28" i="20" s="1"/>
  <c r="AE18" i="20"/>
  <c r="AE19" i="20"/>
  <c r="AE20" i="20"/>
  <c r="AE21" i="20"/>
  <c r="AE22" i="20"/>
  <c r="AE23" i="20"/>
  <c r="AE17" i="20"/>
  <c r="V19" i="20"/>
  <c r="AA19" i="20" s="1"/>
  <c r="V20" i="20"/>
  <c r="V21" i="20"/>
  <c r="AA21" i="20" s="1"/>
  <c r="V22" i="20"/>
  <c r="V23" i="20"/>
  <c r="V17" i="20"/>
  <c r="R23" i="20"/>
  <c r="R22" i="20"/>
  <c r="R21" i="20"/>
  <c r="R20" i="20"/>
  <c r="R19" i="20"/>
  <c r="R18" i="20"/>
  <c r="AA18" i="20" s="1"/>
  <c r="R17" i="20"/>
  <c r="F18" i="20"/>
  <c r="F19" i="20"/>
  <c r="F20" i="20"/>
  <c r="J20" i="20" s="1"/>
  <c r="W20" i="20" s="1"/>
  <c r="F21" i="20"/>
  <c r="J21" i="20" s="1"/>
  <c r="W21" i="20" s="1"/>
  <c r="F22" i="20"/>
  <c r="J22" i="20" s="1"/>
  <c r="W22" i="20" s="1"/>
  <c r="F23" i="20"/>
  <c r="J23" i="20" s="1"/>
  <c r="W23" i="20" s="1"/>
  <c r="I18" i="20"/>
  <c r="I19" i="20"/>
  <c r="I20" i="20"/>
  <c r="I21" i="20"/>
  <c r="I22" i="20"/>
  <c r="I23" i="20"/>
  <c r="I17" i="20"/>
  <c r="I24" i="20" s="1"/>
  <c r="H18" i="20"/>
  <c r="H19" i="20"/>
  <c r="H20" i="20"/>
  <c r="H21" i="20"/>
  <c r="H22" i="20"/>
  <c r="H23" i="20"/>
  <c r="H17" i="20"/>
  <c r="G18" i="20"/>
  <c r="G19" i="20"/>
  <c r="K19" i="20" s="1"/>
  <c r="G20" i="20"/>
  <c r="K20" i="20" s="1"/>
  <c r="G21" i="20"/>
  <c r="K21" i="20" s="1"/>
  <c r="G22" i="20"/>
  <c r="K22" i="20" s="1"/>
  <c r="G23" i="20"/>
  <c r="K23" i="20" s="1"/>
  <c r="G17" i="20"/>
  <c r="G24" i="20" s="1"/>
  <c r="F17" i="20"/>
  <c r="AB21" i="20" l="1"/>
  <c r="AD21" i="20" s="1"/>
  <c r="AA20" i="20"/>
  <c r="J17" i="20"/>
  <c r="F24" i="20"/>
  <c r="AB19" i="20"/>
  <c r="AD19" i="20" s="1"/>
  <c r="AF19" i="20" s="1"/>
  <c r="H24" i="20"/>
  <c r="AI24" i="20"/>
  <c r="AR24" i="20" s="1"/>
  <c r="R24" i="20"/>
  <c r="AB18" i="20"/>
  <c r="AD18" i="20" s="1"/>
  <c r="AA17" i="20"/>
  <c r="V24" i="20"/>
  <c r="AA23" i="20"/>
  <c r="AA22" i="20"/>
  <c r="F36" i="59"/>
  <c r="P18" i="71" s="1"/>
  <c r="E36" i="59"/>
  <c r="O18" i="71" s="1"/>
  <c r="N18" i="71"/>
  <c r="M18" i="71"/>
  <c r="J18" i="20"/>
  <c r="W18" i="20" s="1"/>
  <c r="J19" i="20"/>
  <c r="W19" i="20" s="1"/>
  <c r="K17" i="20"/>
  <c r="K18" i="20"/>
  <c r="C38" i="31"/>
  <c r="F38" i="31" s="1"/>
  <c r="AJ19" i="20" l="1"/>
  <c r="AK19" i="20" s="1"/>
  <c r="AL19" i="20" s="1"/>
  <c r="H30" i="20" s="1"/>
  <c r="AB22" i="20"/>
  <c r="AD22" i="20" s="1"/>
  <c r="AF22" i="20" s="1"/>
  <c r="AJ22" i="20" s="1"/>
  <c r="AK22" i="20" s="1"/>
  <c r="AA24" i="20"/>
  <c r="AD23" i="20"/>
  <c r="AB23" i="20"/>
  <c r="AC23" i="20" s="1"/>
  <c r="W17" i="20"/>
  <c r="J24" i="20"/>
  <c r="W24" i="20" s="1"/>
  <c r="N24" i="20"/>
  <c r="K24" i="20"/>
  <c r="AB20" i="20"/>
  <c r="AD20" i="20" s="1"/>
  <c r="AF20" i="20" s="1"/>
  <c r="AF23" i="20"/>
  <c r="AJ23" i="20" s="1"/>
  <c r="AK23" i="20" s="1"/>
  <c r="AG19" i="20"/>
  <c r="AH19" i="20" s="1"/>
  <c r="G30" i="20" s="1"/>
  <c r="AC20" i="20"/>
  <c r="AF21" i="20"/>
  <c r="AJ21" i="20" s="1"/>
  <c r="AK21" i="20" s="1"/>
  <c r="AJ20" i="20" l="1"/>
  <c r="AK20" i="20" s="1"/>
  <c r="AL20" i="20" s="1"/>
  <c r="H31" i="20" s="1"/>
  <c r="AG20" i="20"/>
  <c r="AH20" i="20" s="1"/>
  <c r="G31" i="20" s="1"/>
  <c r="S24" i="20"/>
  <c r="Y24" i="20"/>
  <c r="Z24" i="20" s="1"/>
  <c r="AP24" i="20" s="1"/>
  <c r="AS24" i="20" s="1"/>
  <c r="AB24" i="20"/>
  <c r="AD17" i="20"/>
  <c r="AG22" i="20"/>
  <c r="AH22" i="20" s="1"/>
  <c r="G33" i="20" s="1"/>
  <c r="AL22" i="20"/>
  <c r="H33" i="20" s="1"/>
  <c r="AG21" i="20"/>
  <c r="AH21" i="20" s="1"/>
  <c r="G32" i="20" s="1"/>
  <c r="AL21" i="20"/>
  <c r="H32" i="20" s="1"/>
  <c r="AM20" i="20"/>
  <c r="AG23" i="20"/>
  <c r="AH23" i="20" s="1"/>
  <c r="G34" i="20" s="1"/>
  <c r="AL23" i="20"/>
  <c r="H34" i="20" s="1"/>
  <c r="F34" i="20"/>
  <c r="AC21" i="20"/>
  <c r="AC22" i="20"/>
  <c r="AM22" i="20" s="1"/>
  <c r="F31" i="20"/>
  <c r="AC19" i="20"/>
  <c r="AM19" i="20" l="1"/>
  <c r="F30" i="20"/>
  <c r="AD24" i="20"/>
  <c r="F28" i="20"/>
  <c r="AM21" i="20"/>
  <c r="AC18" i="20"/>
  <c r="AC24" i="20" s="1"/>
  <c r="AF18" i="20"/>
  <c r="AG17" i="20"/>
  <c r="AM23" i="20"/>
  <c r="AN20" i="20"/>
  <c r="I31" i="20"/>
  <c r="F32" i="20"/>
  <c r="F33" i="20"/>
  <c r="AJ18" i="20" l="1"/>
  <c r="AK18" i="20" s="1"/>
  <c r="AL18" i="20" s="1"/>
  <c r="H29" i="20" s="1"/>
  <c r="AH17" i="20"/>
  <c r="AF24" i="20"/>
  <c r="AJ17" i="20"/>
  <c r="F29" i="20"/>
  <c r="I34" i="20"/>
  <c r="AN23" i="20"/>
  <c r="AG18" i="20"/>
  <c r="AH18" i="20" s="1"/>
  <c r="AN22" i="20"/>
  <c r="I33" i="20"/>
  <c r="AN21" i="20"/>
  <c r="I32" i="20"/>
  <c r="AN19" i="20"/>
  <c r="I30" i="20"/>
  <c r="C146" i="24"/>
  <c r="C78" i="24"/>
  <c r="AJ24" i="20" l="1"/>
  <c r="AK17" i="20"/>
  <c r="AG24" i="20"/>
  <c r="AH24" i="20"/>
  <c r="G28" i="20"/>
  <c r="AN18" i="20"/>
  <c r="I29" i="20"/>
  <c r="G29" i="20"/>
  <c r="D34" i="7"/>
  <c r="D33" i="7"/>
  <c r="C35" i="7"/>
  <c r="C34" i="7"/>
  <c r="C33" i="7"/>
  <c r="C15" i="28"/>
  <c r="C43" i="28" s="1"/>
  <c r="C49" i="28" s="1"/>
  <c r="C51" i="28" s="1"/>
  <c r="G5" i="54"/>
  <c r="G6" i="54"/>
  <c r="G7" i="54"/>
  <c r="G8" i="54"/>
  <c r="G9" i="54"/>
  <c r="G10" i="54"/>
  <c r="G11" i="54"/>
  <c r="G12" i="54"/>
  <c r="G13" i="54"/>
  <c r="G14" i="54"/>
  <c r="G15" i="54"/>
  <c r="G16" i="54"/>
  <c r="G17" i="54"/>
  <c r="G18" i="54"/>
  <c r="G19" i="54"/>
  <c r="G20" i="54"/>
  <c r="G21" i="54"/>
  <c r="G22" i="54"/>
  <c r="G23" i="54"/>
  <c r="G24" i="54"/>
  <c r="G25" i="54"/>
  <c r="G26" i="54"/>
  <c r="G27" i="54"/>
  <c r="G28" i="54"/>
  <c r="G29" i="54"/>
  <c r="G30" i="54"/>
  <c r="G31" i="54"/>
  <c r="G32" i="54"/>
  <c r="G33" i="54"/>
  <c r="G34" i="54"/>
  <c r="G35" i="54"/>
  <c r="G36" i="54"/>
  <c r="G37" i="54"/>
  <c r="G38" i="54"/>
  <c r="G39" i="54"/>
  <c r="G40" i="54"/>
  <c r="G41" i="54"/>
  <c r="G42" i="54"/>
  <c r="G43" i="54"/>
  <c r="G44" i="54"/>
  <c r="G45" i="54"/>
  <c r="G46" i="54"/>
  <c r="G47" i="54"/>
  <c r="G48" i="54"/>
  <c r="G49" i="54"/>
  <c r="G50" i="54"/>
  <c r="G51" i="54"/>
  <c r="G52" i="54"/>
  <c r="G53" i="54"/>
  <c r="G54" i="54"/>
  <c r="G55" i="54"/>
  <c r="G56" i="54"/>
  <c r="G57" i="54"/>
  <c r="G58" i="54"/>
  <c r="G59" i="54"/>
  <c r="G60" i="54"/>
  <c r="G61" i="54"/>
  <c r="G62" i="54"/>
  <c r="G63" i="54"/>
  <c r="G64" i="54"/>
  <c r="G65" i="54"/>
  <c r="G66" i="54"/>
  <c r="G67" i="54"/>
  <c r="G68" i="54"/>
  <c r="G69" i="54"/>
  <c r="G70" i="54"/>
  <c r="G71" i="54"/>
  <c r="G72" i="54"/>
  <c r="G73" i="54"/>
  <c r="G74" i="54"/>
  <c r="G75" i="54"/>
  <c r="G76" i="54"/>
  <c r="G77" i="54"/>
  <c r="G78" i="54"/>
  <c r="G79" i="54"/>
  <c r="G80" i="54"/>
  <c r="G81" i="54"/>
  <c r="G82" i="54"/>
  <c r="G83" i="54"/>
  <c r="G84" i="54"/>
  <c r="G85" i="54"/>
  <c r="G86" i="54"/>
  <c r="G87" i="54"/>
  <c r="G88" i="54"/>
  <c r="G89" i="54"/>
  <c r="G90" i="54"/>
  <c r="G91" i="54"/>
  <c r="G92" i="54"/>
  <c r="G93" i="54"/>
  <c r="G94" i="54"/>
  <c r="G95" i="54"/>
  <c r="G96" i="54"/>
  <c r="G97" i="54"/>
  <c r="G98" i="54"/>
  <c r="G99" i="54"/>
  <c r="G100" i="54"/>
  <c r="G101" i="54"/>
  <c r="G102" i="54"/>
  <c r="G103" i="54"/>
  <c r="G104" i="54"/>
  <c r="G105" i="54"/>
  <c r="G106" i="54"/>
  <c r="G107" i="54"/>
  <c r="G108" i="54"/>
  <c r="G109" i="54"/>
  <c r="G110" i="54"/>
  <c r="G111" i="54"/>
  <c r="G112" i="54"/>
  <c r="G113" i="54"/>
  <c r="G114" i="54"/>
  <c r="G115" i="54"/>
  <c r="G116" i="54"/>
  <c r="G117" i="54"/>
  <c r="G118" i="54"/>
  <c r="G119" i="54"/>
  <c r="G120" i="54"/>
  <c r="G121" i="54"/>
  <c r="G122" i="54"/>
  <c r="G123" i="54"/>
  <c r="G124" i="54"/>
  <c r="G125" i="54"/>
  <c r="G126" i="54"/>
  <c r="G127" i="54"/>
  <c r="G128" i="54"/>
  <c r="G129" i="54"/>
  <c r="G130" i="54"/>
  <c r="G131" i="54"/>
  <c r="G132" i="54"/>
  <c r="G133" i="54"/>
  <c r="G134" i="54"/>
  <c r="G135" i="54"/>
  <c r="G4" i="54"/>
  <c r="H5" i="54"/>
  <c r="H6" i="54"/>
  <c r="H7" i="54"/>
  <c r="H8" i="54"/>
  <c r="H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5" i="54"/>
  <c r="H66" i="54"/>
  <c r="H67" i="54"/>
  <c r="H68"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4" i="54"/>
  <c r="F5" i="54"/>
  <c r="F6" i="54"/>
  <c r="F7" i="54"/>
  <c r="F8" i="54"/>
  <c r="F9" i="54"/>
  <c r="F10" i="54"/>
  <c r="F11" i="54"/>
  <c r="F12" i="54"/>
  <c r="F13" i="54"/>
  <c r="F14" i="54"/>
  <c r="F15" i="54"/>
  <c r="F16" i="54"/>
  <c r="F17" i="54"/>
  <c r="F18" i="54"/>
  <c r="F19" i="54"/>
  <c r="F20" i="54"/>
  <c r="F21" i="54"/>
  <c r="F22" i="54"/>
  <c r="F23" i="54"/>
  <c r="F24" i="54"/>
  <c r="F25" i="54"/>
  <c r="F26" i="54"/>
  <c r="F27" i="54"/>
  <c r="F28" i="54"/>
  <c r="F29" i="54"/>
  <c r="F30" i="54"/>
  <c r="F31" i="54"/>
  <c r="F32" i="54"/>
  <c r="F33" i="54"/>
  <c r="F34" i="54"/>
  <c r="F35" i="54"/>
  <c r="F36" i="54"/>
  <c r="F37" i="54"/>
  <c r="F38" i="54"/>
  <c r="F39" i="54"/>
  <c r="F40" i="54"/>
  <c r="F41" i="54"/>
  <c r="F42" i="54"/>
  <c r="F43" i="54"/>
  <c r="F44" i="54"/>
  <c r="F45" i="54"/>
  <c r="F46" i="54"/>
  <c r="F47" i="54"/>
  <c r="F48" i="54"/>
  <c r="F49" i="54"/>
  <c r="F50" i="54"/>
  <c r="F51" i="54"/>
  <c r="F52" i="54"/>
  <c r="F53" i="54"/>
  <c r="F54" i="54"/>
  <c r="F55" i="54"/>
  <c r="F56" i="54"/>
  <c r="F57" i="54"/>
  <c r="F58" i="54"/>
  <c r="F59" i="54"/>
  <c r="F60" i="54"/>
  <c r="F61" i="54"/>
  <c r="F62" i="54"/>
  <c r="F63" i="54"/>
  <c r="F64" i="54"/>
  <c r="F65" i="54"/>
  <c r="F66" i="54"/>
  <c r="F67" i="54"/>
  <c r="F68" i="54"/>
  <c r="F69" i="54"/>
  <c r="F70" i="54"/>
  <c r="F71" i="54"/>
  <c r="F72" i="54"/>
  <c r="F73" i="54"/>
  <c r="F74" i="54"/>
  <c r="F75" i="54"/>
  <c r="F76" i="54"/>
  <c r="F77" i="54"/>
  <c r="F78" i="54"/>
  <c r="F79" i="54"/>
  <c r="F80" i="54"/>
  <c r="F81" i="54"/>
  <c r="F82" i="54"/>
  <c r="F83" i="54"/>
  <c r="F84" i="54"/>
  <c r="F85" i="54"/>
  <c r="F86" i="54"/>
  <c r="F87" i="54"/>
  <c r="F88" i="54"/>
  <c r="F89" i="54"/>
  <c r="F90" i="54"/>
  <c r="F91" i="54"/>
  <c r="F92" i="54"/>
  <c r="F93" i="54"/>
  <c r="F94" i="54"/>
  <c r="F95" i="54"/>
  <c r="F96" i="54"/>
  <c r="F97" i="54"/>
  <c r="F98" i="54"/>
  <c r="F99" i="54"/>
  <c r="F100" i="54"/>
  <c r="F101" i="54"/>
  <c r="F102" i="54"/>
  <c r="F103" i="54"/>
  <c r="F104" i="54"/>
  <c r="F105" i="54"/>
  <c r="F106" i="54"/>
  <c r="F107" i="54"/>
  <c r="F108" i="54"/>
  <c r="F109" i="54"/>
  <c r="F110" i="54"/>
  <c r="F111" i="54"/>
  <c r="F112" i="54"/>
  <c r="F113" i="54"/>
  <c r="F114" i="54"/>
  <c r="F115" i="54"/>
  <c r="F116" i="54"/>
  <c r="F117" i="54"/>
  <c r="F118" i="54"/>
  <c r="F119" i="54"/>
  <c r="F120" i="54"/>
  <c r="F121" i="54"/>
  <c r="F122" i="54"/>
  <c r="F123" i="54"/>
  <c r="F124" i="54"/>
  <c r="F125" i="54"/>
  <c r="F126" i="54"/>
  <c r="F127" i="54"/>
  <c r="F128" i="54"/>
  <c r="F129" i="54"/>
  <c r="F130" i="54"/>
  <c r="F131" i="54"/>
  <c r="F132" i="54"/>
  <c r="F133" i="54"/>
  <c r="F134" i="54"/>
  <c r="F135" i="54"/>
  <c r="F4" i="54"/>
  <c r="C21" i="23" s="1"/>
  <c r="F4" i="53"/>
  <c r="D4" i="53"/>
  <c r="C14" i="41"/>
  <c r="C29" i="21" s="1"/>
  <c r="F18" i="67"/>
  <c r="C51" i="17"/>
  <c r="C49" i="17"/>
  <c r="C48" i="17"/>
  <c r="C34" i="17"/>
  <c r="C32" i="17"/>
  <c r="C33" i="17" s="1"/>
  <c r="C31" i="17"/>
  <c r="C15" i="17"/>
  <c r="C14" i="17"/>
  <c r="C46" i="17"/>
  <c r="C47" i="17" s="1"/>
  <c r="C29" i="17"/>
  <c r="D66" i="17" s="1"/>
  <c r="D27" i="6"/>
  <c r="E27" i="6"/>
  <c r="D41" i="6" s="1"/>
  <c r="C27" i="6"/>
  <c r="C13" i="17"/>
  <c r="C35" i="70"/>
  <c r="C34" i="70"/>
  <c r="C33" i="70"/>
  <c r="C22" i="70"/>
  <c r="C21" i="70"/>
  <c r="C20" i="70"/>
  <c r="C8" i="70"/>
  <c r="C9" i="70"/>
  <c r="C10" i="70"/>
  <c r="C11" i="70"/>
  <c r="C7" i="70"/>
  <c r="F14" i="67"/>
  <c r="I17" i="35"/>
  <c r="E44" i="35"/>
  <c r="C17" i="35"/>
  <c r="B6" i="69"/>
  <c r="D9" i="69"/>
  <c r="C9" i="69"/>
  <c r="B9" i="69"/>
  <c r="D8" i="69"/>
  <c r="C8" i="69"/>
  <c r="B8" i="69"/>
  <c r="D7" i="69"/>
  <c r="C7" i="69"/>
  <c r="B7" i="69"/>
  <c r="D6" i="69"/>
  <c r="C6" i="69"/>
  <c r="D5" i="69"/>
  <c r="C5" i="69"/>
  <c r="B5" i="69"/>
  <c r="D4" i="69"/>
  <c r="C4" i="69"/>
  <c r="B4" i="69"/>
  <c r="I33" i="35" s="1"/>
  <c r="D5" i="68"/>
  <c r="D6" i="68"/>
  <c r="D7" i="68"/>
  <c r="D8" i="68"/>
  <c r="D9" i="68"/>
  <c r="D10" i="68"/>
  <c r="D11" i="68"/>
  <c r="D12" i="68"/>
  <c r="D13" i="68"/>
  <c r="D14" i="68"/>
  <c r="D4" i="68"/>
  <c r="C5" i="68"/>
  <c r="C6" i="68"/>
  <c r="C7" i="68"/>
  <c r="C8" i="68"/>
  <c r="C9" i="68"/>
  <c r="C10" i="68"/>
  <c r="C11" i="68"/>
  <c r="C12" i="68"/>
  <c r="C13" i="68"/>
  <c r="C14" i="68"/>
  <c r="C4" i="68"/>
  <c r="B5" i="68"/>
  <c r="B6" i="68"/>
  <c r="B7" i="68"/>
  <c r="B8" i="68"/>
  <c r="B9" i="68"/>
  <c r="B10" i="68"/>
  <c r="B11" i="68"/>
  <c r="B12" i="68"/>
  <c r="B13" i="68"/>
  <c r="B14" i="68"/>
  <c r="B4" i="68"/>
  <c r="C33" i="35" s="1"/>
  <c r="C16" i="17" l="1"/>
  <c r="C20" i="17"/>
  <c r="C21" i="17" s="1"/>
  <c r="C65" i="17" s="1"/>
  <c r="AK24" i="20"/>
  <c r="AL17" i="20"/>
  <c r="J18" i="67"/>
  <c r="M16" i="71" s="1"/>
  <c r="C36" i="7"/>
  <c r="C37" i="7" s="1"/>
  <c r="C19" i="28"/>
  <c r="C24" i="33" s="1"/>
  <c r="C18" i="35"/>
  <c r="C22" i="35" s="1"/>
  <c r="I18" i="35"/>
  <c r="I22" i="35" s="1"/>
  <c r="I34" i="35" s="1"/>
  <c r="I35" i="35" s="1"/>
  <c r="C44" i="35" s="1"/>
  <c r="I44" i="35" s="1"/>
  <c r="G26" i="37" s="1"/>
  <c r="C22" i="23"/>
  <c r="C24" i="23" s="1"/>
  <c r="F41" i="6"/>
  <c r="D65" i="17"/>
  <c r="D67" i="17"/>
  <c r="C55" i="17"/>
  <c r="C67" i="17" s="1"/>
  <c r="E67" i="17" s="1"/>
  <c r="G67" i="17" s="1"/>
  <c r="E28" i="6" s="1"/>
  <c r="C30" i="17"/>
  <c r="F10" i="67"/>
  <c r="F39" i="8"/>
  <c r="C37" i="17" l="1"/>
  <c r="C38" i="17" s="1"/>
  <c r="C66" i="17" s="1"/>
  <c r="E66" i="17" s="1"/>
  <c r="G66" i="17" s="1"/>
  <c r="D28" i="6" s="1"/>
  <c r="E65" i="17"/>
  <c r="G65" i="17" s="1"/>
  <c r="H28" i="20"/>
  <c r="AL24" i="20"/>
  <c r="AM17" i="20"/>
  <c r="M11" i="71"/>
  <c r="N11" i="71"/>
  <c r="F34" i="8"/>
  <c r="J10" i="67"/>
  <c r="K18" i="67"/>
  <c r="N16" i="71" s="1"/>
  <c r="C28" i="6"/>
  <c r="C20" i="28"/>
  <c r="K10" i="67"/>
  <c r="D44" i="67"/>
  <c r="K17" i="67"/>
  <c r="J17" i="67"/>
  <c r="F17" i="67"/>
  <c r="F16" i="67"/>
  <c r="F13" i="67"/>
  <c r="F12" i="67"/>
  <c r="F11" i="67"/>
  <c r="F9" i="67"/>
  <c r="F7" i="67"/>
  <c r="F6" i="67"/>
  <c r="F5" i="67"/>
  <c r="B41" i="6" l="1"/>
  <c r="B36" i="6" s="1"/>
  <c r="J19" i="71" s="1"/>
  <c r="C24" i="28"/>
  <c r="C30" i="28" s="1"/>
  <c r="C25" i="33"/>
  <c r="C28" i="33" s="1"/>
  <c r="C29" i="33" s="1"/>
  <c r="D42" i="33" s="1"/>
  <c r="D37" i="33" s="1"/>
  <c r="AM24" i="20"/>
  <c r="AN24" i="20" s="1"/>
  <c r="I28" i="20"/>
  <c r="AN17" i="20"/>
  <c r="C46" i="22"/>
  <c r="C47" i="22" s="1"/>
  <c r="C27" i="11" s="1"/>
  <c r="C29" i="11" s="1"/>
  <c r="K27" i="11"/>
  <c r="K24" i="37" s="1"/>
  <c r="F43" i="35" s="1"/>
  <c r="C26" i="59"/>
  <c r="D125" i="24"/>
  <c r="C125" i="24"/>
  <c r="C77" i="24"/>
  <c r="E18" i="24"/>
  <c r="E20" i="24"/>
  <c r="E22" i="24"/>
  <c r="D22" i="24"/>
  <c r="C22" i="24"/>
  <c r="G18" i="67" l="1"/>
  <c r="C41" i="6"/>
  <c r="G41" i="6" s="1"/>
  <c r="M18" i="67" s="1"/>
  <c r="E36" i="6"/>
  <c r="O19" i="71" s="1"/>
  <c r="E41" i="6"/>
  <c r="L18" i="67" s="1"/>
  <c r="H18" i="67"/>
  <c r="C36" i="6"/>
  <c r="D21" i="74"/>
  <c r="B44" i="74" s="1"/>
  <c r="C39" i="20"/>
  <c r="C21" i="74" s="1"/>
  <c r="B39" i="74" s="1"/>
  <c r="F44" i="35"/>
  <c r="G44" i="35" s="1"/>
  <c r="H44" i="35" s="1"/>
  <c r="G27" i="37" s="1"/>
  <c r="C30" i="11"/>
  <c r="D38" i="11" s="1"/>
  <c r="C18" i="57"/>
  <c r="G36" i="6" l="1"/>
  <c r="P19" i="71" s="1"/>
  <c r="K19" i="71"/>
  <c r="J9" i="71"/>
  <c r="E39" i="74"/>
  <c r="O9" i="71" s="1"/>
  <c r="G8" i="67"/>
  <c r="C44" i="74"/>
  <c r="E44" i="74"/>
  <c r="L8" i="67" s="1"/>
  <c r="M7" i="71"/>
  <c r="F43" i="11"/>
  <c r="F38" i="11" s="1"/>
  <c r="D43" i="11"/>
  <c r="C45" i="18"/>
  <c r="H26" i="18"/>
  <c r="H8" i="67" l="1"/>
  <c r="C39" i="74"/>
  <c r="F44" i="74"/>
  <c r="M8" i="67" s="1"/>
  <c r="N7" i="71"/>
  <c r="J5" i="67"/>
  <c r="K6" i="67"/>
  <c r="J6" i="67"/>
  <c r="F48" i="10"/>
  <c r="F43" i="10" s="1"/>
  <c r="N6" i="71" s="1"/>
  <c r="C26" i="10"/>
  <c r="C28" i="11"/>
  <c r="F39" i="74" l="1"/>
  <c r="P9" i="71" s="1"/>
  <c r="K9" i="71"/>
  <c r="K5" i="67"/>
  <c r="F30" i="10"/>
  <c r="C24" i="10" s="1"/>
  <c r="C164" i="24"/>
  <c r="C162" i="24"/>
  <c r="E143" i="24"/>
  <c r="D143" i="24"/>
  <c r="C143" i="24"/>
  <c r="D141" i="24"/>
  <c r="E141" i="24"/>
  <c r="C141" i="24"/>
  <c r="D122" i="24"/>
  <c r="C122" i="24"/>
  <c r="D120" i="24"/>
  <c r="C120" i="24"/>
  <c r="F101" i="24"/>
  <c r="E101" i="24"/>
  <c r="D101" i="24"/>
  <c r="C101" i="24"/>
  <c r="D99" i="24" l="1"/>
  <c r="E99" i="24"/>
  <c r="F99" i="24"/>
  <c r="C99" i="24"/>
  <c r="E78" i="24"/>
  <c r="D78" i="24"/>
  <c r="D76" i="24"/>
  <c r="E76" i="24"/>
  <c r="C76" i="24"/>
  <c r="C67" i="66" l="1"/>
  <c r="E57" i="66"/>
  <c r="C57" i="66"/>
  <c r="D57" i="66"/>
  <c r="C47" i="66"/>
  <c r="D47" i="66"/>
  <c r="E36" i="66"/>
  <c r="F36" i="66"/>
  <c r="D36" i="66"/>
  <c r="C36" i="66"/>
  <c r="E25" i="66"/>
  <c r="D25" i="66"/>
  <c r="C25" i="66"/>
  <c r="E19" i="24"/>
  <c r="D19" i="24"/>
  <c r="C19" i="24"/>
  <c r="C20" i="24"/>
  <c r="C14" i="66"/>
  <c r="C17" i="24" s="1"/>
  <c r="D14" i="66"/>
  <c r="D17" i="24" s="1"/>
  <c r="E14" i="66"/>
  <c r="E17" i="24" s="1"/>
  <c r="C63" i="66"/>
  <c r="E53" i="66"/>
  <c r="D53" i="66"/>
  <c r="C53" i="66"/>
  <c r="D43" i="66"/>
  <c r="C43" i="66"/>
  <c r="F32" i="66"/>
  <c r="E32" i="66" s="1"/>
  <c r="D32" i="66"/>
  <c r="C32" i="66"/>
  <c r="E21" i="66"/>
  <c r="D21" i="66"/>
  <c r="C21" i="66"/>
  <c r="E10" i="66"/>
  <c r="D10" i="66"/>
  <c r="C10" i="66"/>
  <c r="I24" i="56" l="1"/>
  <c r="I25" i="56" s="1"/>
  <c r="I26" i="56" s="1"/>
  <c r="G35" i="7"/>
  <c r="G34" i="7"/>
  <c r="F35" i="7"/>
  <c r="F34" i="7"/>
  <c r="F33" i="7"/>
  <c r="E35" i="7"/>
  <c r="E34" i="7"/>
  <c r="E33" i="7"/>
  <c r="D35" i="7"/>
  <c r="D36" i="7" s="1"/>
  <c r="I46" i="29"/>
  <c r="E46" i="29"/>
  <c r="D46" i="29"/>
  <c r="C46" i="29"/>
  <c r="J35" i="29"/>
  <c r="I35" i="29"/>
  <c r="F35" i="29"/>
  <c r="E35" i="29"/>
  <c r="D35" i="29"/>
  <c r="C35" i="29"/>
  <c r="J25" i="29"/>
  <c r="I25" i="29"/>
  <c r="C73" i="24"/>
  <c r="I26" i="29" s="1"/>
  <c r="E25" i="29"/>
  <c r="D25" i="29"/>
  <c r="C25" i="29"/>
  <c r="C46" i="23"/>
  <c r="C67" i="23" s="1"/>
  <c r="C45" i="23"/>
  <c r="C51" i="23"/>
  <c r="C72" i="23" s="1"/>
  <c r="C50" i="23"/>
  <c r="C49" i="23"/>
  <c r="C40" i="23"/>
  <c r="C44" i="23"/>
  <c r="C41" i="23"/>
  <c r="C62" i="23" s="1"/>
  <c r="C39" i="23"/>
  <c r="P5" i="54"/>
  <c r="P6" i="54"/>
  <c r="P7" i="54"/>
  <c r="P8" i="54"/>
  <c r="P9" i="54"/>
  <c r="P10" i="54"/>
  <c r="P11" i="54"/>
  <c r="P12" i="54"/>
  <c r="P13" i="54"/>
  <c r="P14" i="54"/>
  <c r="P15" i="54"/>
  <c r="P16" i="54"/>
  <c r="P17" i="54"/>
  <c r="P18" i="54"/>
  <c r="P19" i="54"/>
  <c r="P20" i="54"/>
  <c r="P21" i="54"/>
  <c r="P22" i="54"/>
  <c r="P23" i="54"/>
  <c r="P24" i="54"/>
  <c r="P25" i="54"/>
  <c r="P26" i="54"/>
  <c r="P27" i="54"/>
  <c r="P28" i="54"/>
  <c r="P29" i="54"/>
  <c r="P30" i="54"/>
  <c r="P31" i="54"/>
  <c r="P32" i="54"/>
  <c r="P33" i="54"/>
  <c r="P34" i="54"/>
  <c r="P35" i="54"/>
  <c r="P36" i="54"/>
  <c r="P37" i="54"/>
  <c r="P38" i="54"/>
  <c r="P39" i="54"/>
  <c r="P40" i="54"/>
  <c r="P41" i="54"/>
  <c r="P42" i="54"/>
  <c r="P43" i="54"/>
  <c r="P44" i="54"/>
  <c r="P45" i="54"/>
  <c r="P46" i="54"/>
  <c r="P47" i="54"/>
  <c r="P48" i="54"/>
  <c r="P49" i="54"/>
  <c r="P50" i="54"/>
  <c r="P51" i="54"/>
  <c r="P52" i="54"/>
  <c r="P53" i="54"/>
  <c r="P54" i="54"/>
  <c r="P55" i="54"/>
  <c r="P56" i="54"/>
  <c r="P57" i="54"/>
  <c r="P58" i="54"/>
  <c r="P59" i="54"/>
  <c r="P60" i="54"/>
  <c r="P61" i="54"/>
  <c r="P62" i="54"/>
  <c r="P63" i="54"/>
  <c r="P64" i="54"/>
  <c r="P65" i="54"/>
  <c r="P66" i="54"/>
  <c r="P67" i="54"/>
  <c r="P68" i="54"/>
  <c r="P69" i="54"/>
  <c r="P70" i="54"/>
  <c r="P71" i="54"/>
  <c r="P72" i="54"/>
  <c r="P73" i="54"/>
  <c r="P74" i="54"/>
  <c r="P75" i="54"/>
  <c r="P76" i="54"/>
  <c r="P77" i="54"/>
  <c r="P78" i="54"/>
  <c r="P79" i="54"/>
  <c r="P80" i="54"/>
  <c r="P81" i="54"/>
  <c r="P82" i="54"/>
  <c r="P83" i="54"/>
  <c r="P84" i="54"/>
  <c r="P85" i="54"/>
  <c r="P86" i="54"/>
  <c r="P87" i="54"/>
  <c r="P88" i="54"/>
  <c r="P89" i="54"/>
  <c r="P90" i="54"/>
  <c r="P91" i="54"/>
  <c r="P92" i="54"/>
  <c r="P93" i="54"/>
  <c r="P94" i="54"/>
  <c r="P95" i="54"/>
  <c r="P96" i="54"/>
  <c r="P97" i="54"/>
  <c r="P98" i="54"/>
  <c r="P99" i="54"/>
  <c r="P100" i="54"/>
  <c r="P101" i="54"/>
  <c r="P102" i="54"/>
  <c r="P103" i="54"/>
  <c r="P104" i="54"/>
  <c r="P105" i="54"/>
  <c r="P106" i="54"/>
  <c r="P107" i="54"/>
  <c r="P108" i="54"/>
  <c r="P109" i="54"/>
  <c r="P110" i="54"/>
  <c r="P111" i="54"/>
  <c r="P112" i="54"/>
  <c r="P113" i="54"/>
  <c r="P114" i="54"/>
  <c r="P115" i="54"/>
  <c r="P116" i="54"/>
  <c r="P117" i="54"/>
  <c r="P118" i="54"/>
  <c r="P119" i="54"/>
  <c r="P120" i="54"/>
  <c r="P121" i="54"/>
  <c r="P122" i="54"/>
  <c r="P123" i="54"/>
  <c r="P124" i="54"/>
  <c r="P125" i="54"/>
  <c r="P126" i="54"/>
  <c r="P127" i="54"/>
  <c r="P128" i="54"/>
  <c r="P129" i="54"/>
  <c r="P130" i="54"/>
  <c r="P131" i="54"/>
  <c r="P132" i="54"/>
  <c r="P133" i="54"/>
  <c r="P134" i="54"/>
  <c r="P135" i="54"/>
  <c r="P4" i="54"/>
  <c r="O4" i="54"/>
  <c r="O5" i="54"/>
  <c r="O6" i="54"/>
  <c r="O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O69" i="54"/>
  <c r="O70" i="54"/>
  <c r="O71" i="54"/>
  <c r="O72" i="54"/>
  <c r="O73" i="54"/>
  <c r="O74" i="54"/>
  <c r="O75" i="54"/>
  <c r="O76" i="54"/>
  <c r="O77" i="54"/>
  <c r="O78" i="54"/>
  <c r="O79" i="54"/>
  <c r="O80" i="54"/>
  <c r="O81" i="54"/>
  <c r="O82" i="54"/>
  <c r="O83" i="54"/>
  <c r="O84" i="54"/>
  <c r="O85" i="54"/>
  <c r="O86" i="54"/>
  <c r="O87" i="54"/>
  <c r="O88" i="54"/>
  <c r="O89" i="54"/>
  <c r="O90" i="54"/>
  <c r="O91" i="54"/>
  <c r="O92" i="54"/>
  <c r="O93" i="54"/>
  <c r="O94" i="54"/>
  <c r="O95" i="54"/>
  <c r="O96" i="54"/>
  <c r="O97" i="54"/>
  <c r="O98" i="54"/>
  <c r="O99" i="54"/>
  <c r="O100" i="54"/>
  <c r="O101" i="54"/>
  <c r="O102" i="54"/>
  <c r="O103" i="54"/>
  <c r="O104" i="54"/>
  <c r="O105" i="54"/>
  <c r="O106" i="54"/>
  <c r="O107" i="54"/>
  <c r="O108" i="54"/>
  <c r="O109" i="54"/>
  <c r="O110" i="54"/>
  <c r="O111" i="54"/>
  <c r="O112" i="54"/>
  <c r="O113" i="54"/>
  <c r="O114" i="54"/>
  <c r="O115" i="54"/>
  <c r="O116" i="54"/>
  <c r="O117" i="54"/>
  <c r="O118" i="54"/>
  <c r="O119" i="54"/>
  <c r="O120" i="54"/>
  <c r="O121" i="54"/>
  <c r="O122" i="54"/>
  <c r="O123" i="54"/>
  <c r="O124" i="54"/>
  <c r="O125" i="54"/>
  <c r="O126" i="54"/>
  <c r="O127" i="54"/>
  <c r="O128" i="54"/>
  <c r="O129" i="54"/>
  <c r="O130" i="54"/>
  <c r="O131" i="54"/>
  <c r="O132" i="54"/>
  <c r="O133" i="54"/>
  <c r="O134" i="54"/>
  <c r="O135" i="54"/>
  <c r="C34" i="23"/>
  <c r="I27" i="29" l="1"/>
  <c r="I28" i="29" s="1"/>
  <c r="I29" i="29" s="1"/>
  <c r="C35" i="23"/>
  <c r="F36" i="7"/>
  <c r="D54" i="56"/>
  <c r="G36" i="7"/>
  <c r="E36" i="7"/>
  <c r="C36" i="23"/>
  <c r="F54" i="56" l="1"/>
  <c r="F49" i="56" s="1"/>
  <c r="N14" i="71" s="1"/>
  <c r="D49" i="56"/>
  <c r="M14" i="71" s="1"/>
  <c r="J13" i="67"/>
  <c r="C25" i="22"/>
  <c r="C24" i="22"/>
  <c r="C27" i="21"/>
  <c r="AE7" i="41"/>
  <c r="AE8" i="41"/>
  <c r="AE9" i="41"/>
  <c r="AE10" i="41"/>
  <c r="AE11" i="41"/>
  <c r="AE12" i="41"/>
  <c r="AE13" i="41"/>
  <c r="AE14" i="41"/>
  <c r="AE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41" i="41"/>
  <c r="AE42" i="41"/>
  <c r="AE43" i="41"/>
  <c r="AE44" i="41"/>
  <c r="AE45" i="41"/>
  <c r="AE46" i="41"/>
  <c r="AE47" i="41"/>
  <c r="AE48" i="41"/>
  <c r="AE49" i="41"/>
  <c r="AE50" i="41"/>
  <c r="AE51" i="41"/>
  <c r="AE52" i="41"/>
  <c r="AE53" i="41"/>
  <c r="AE54" i="41"/>
  <c r="AE55" i="41"/>
  <c r="AE56" i="41"/>
  <c r="AE57" i="41"/>
  <c r="AE58" i="41"/>
  <c r="AE59" i="41"/>
  <c r="AE60" i="41"/>
  <c r="AE61" i="41"/>
  <c r="AE62" i="41"/>
  <c r="AE63" i="41"/>
  <c r="AE64" i="41"/>
  <c r="AE65" i="41"/>
  <c r="AE66" i="41"/>
  <c r="AE67" i="41"/>
  <c r="AE68" i="41"/>
  <c r="AE69" i="41"/>
  <c r="AE70" i="41"/>
  <c r="AE71" i="41"/>
  <c r="AE72" i="41"/>
  <c r="AE73" i="41"/>
  <c r="AE74" i="41"/>
  <c r="AE75" i="41"/>
  <c r="AE76" i="41"/>
  <c r="AE77" i="41"/>
  <c r="AE78" i="41"/>
  <c r="AE79" i="41"/>
  <c r="AE80" i="41"/>
  <c r="AE81" i="41"/>
  <c r="AE82" i="41"/>
  <c r="AE83" i="41"/>
  <c r="AE84" i="41"/>
  <c r="AE85" i="41"/>
  <c r="AE86" i="41"/>
  <c r="AE87" i="41"/>
  <c r="AE88" i="41"/>
  <c r="AE89" i="41"/>
  <c r="AE90" i="41"/>
  <c r="AE91" i="41"/>
  <c r="AE92" i="41"/>
  <c r="AE93" i="41"/>
  <c r="AE94" i="41"/>
  <c r="AE95" i="41"/>
  <c r="AE96" i="41"/>
  <c r="AE97" i="41"/>
  <c r="AE98" i="41"/>
  <c r="AE99" i="41"/>
  <c r="AE100" i="41"/>
  <c r="AE101" i="41"/>
  <c r="AE102" i="41"/>
  <c r="AE103" i="41"/>
  <c r="AE104" i="41"/>
  <c r="AE105" i="41"/>
  <c r="AE106" i="41"/>
  <c r="AE107" i="41"/>
  <c r="AE108" i="41"/>
  <c r="AE109" i="41"/>
  <c r="AE110" i="41"/>
  <c r="AE111" i="41"/>
  <c r="AE112" i="41"/>
  <c r="AE113" i="41"/>
  <c r="AE6" i="41"/>
  <c r="P6" i="41"/>
  <c r="P7" i="41"/>
  <c r="P8" i="41"/>
  <c r="P9" i="41"/>
  <c r="P10" i="41"/>
  <c r="P11" i="41"/>
  <c r="P12" i="41"/>
  <c r="P13" i="41"/>
  <c r="P14" i="41"/>
  <c r="P15" i="41"/>
  <c r="P16" i="41"/>
  <c r="P17" i="41"/>
  <c r="P18" i="41"/>
  <c r="P19" i="41"/>
  <c r="P20" i="41"/>
  <c r="P21" i="41"/>
  <c r="P22" i="41"/>
  <c r="P23" i="41"/>
  <c r="P24" i="41"/>
  <c r="P25" i="41"/>
  <c r="P26" i="41"/>
  <c r="P27" i="41"/>
  <c r="P28" i="41"/>
  <c r="P29" i="41"/>
  <c r="P30" i="41"/>
  <c r="P31" i="41"/>
  <c r="P32" i="41"/>
  <c r="P33" i="41"/>
  <c r="P34" i="41"/>
  <c r="P35" i="41"/>
  <c r="P36" i="41"/>
  <c r="P37" i="41"/>
  <c r="P38" i="41"/>
  <c r="P39" i="41"/>
  <c r="P40" i="41"/>
  <c r="P41" i="41"/>
  <c r="P42" i="41"/>
  <c r="P43" i="41"/>
  <c r="P44" i="41"/>
  <c r="P45" i="41"/>
  <c r="P46" i="41"/>
  <c r="P47" i="41"/>
  <c r="P48" i="41"/>
  <c r="P49" i="41"/>
  <c r="P50" i="41"/>
  <c r="P51" i="41"/>
  <c r="P52" i="41"/>
  <c r="P53" i="41"/>
  <c r="P54" i="41"/>
  <c r="P55" i="41"/>
  <c r="P56" i="41"/>
  <c r="P57" i="41"/>
  <c r="P58" i="41"/>
  <c r="P59" i="41"/>
  <c r="P60" i="41"/>
  <c r="P61" i="41"/>
  <c r="P62" i="41"/>
  <c r="P63" i="41"/>
  <c r="P64" i="41"/>
  <c r="P65" i="41"/>
  <c r="P66" i="41"/>
  <c r="P67" i="41"/>
  <c r="P68" i="41"/>
  <c r="P69" i="41"/>
  <c r="P70" i="41"/>
  <c r="P71" i="41"/>
  <c r="P72" i="41"/>
  <c r="P73" i="41"/>
  <c r="P74" i="41"/>
  <c r="P75" i="41"/>
  <c r="P76" i="41"/>
  <c r="P77" i="41"/>
  <c r="P78" i="41"/>
  <c r="P79" i="41"/>
  <c r="P80" i="41"/>
  <c r="P81" i="41"/>
  <c r="P82" i="41"/>
  <c r="P83" i="41"/>
  <c r="P84" i="41"/>
  <c r="P85" i="41"/>
  <c r="P86" i="41"/>
  <c r="P87" i="41"/>
  <c r="P88" i="41"/>
  <c r="P89" i="41"/>
  <c r="P90" i="41"/>
  <c r="P91" i="41"/>
  <c r="P92" i="41"/>
  <c r="P93" i="41"/>
  <c r="P94" i="41"/>
  <c r="P95" i="41"/>
  <c r="P96" i="41"/>
  <c r="P97" i="41"/>
  <c r="P98" i="41"/>
  <c r="P99" i="41"/>
  <c r="P100" i="41"/>
  <c r="P101" i="41"/>
  <c r="P102" i="41"/>
  <c r="P103" i="41"/>
  <c r="P104" i="41"/>
  <c r="P105" i="41"/>
  <c r="P106" i="41"/>
  <c r="P107" i="41"/>
  <c r="P108" i="41"/>
  <c r="P109" i="41"/>
  <c r="P110" i="41"/>
  <c r="P111" i="41"/>
  <c r="P112" i="41"/>
  <c r="P113" i="41"/>
  <c r="P114" i="41"/>
  <c r="P115" i="41"/>
  <c r="P116" i="41"/>
  <c r="P117" i="41"/>
  <c r="P118" i="41"/>
  <c r="C6" i="41"/>
  <c r="G10" i="41"/>
  <c r="AD7" i="41"/>
  <c r="AD8" i="41"/>
  <c r="AD9" i="41"/>
  <c r="AD10" i="41"/>
  <c r="AD11" i="41"/>
  <c r="AD12" i="41"/>
  <c r="AD13" i="41"/>
  <c r="AD14" i="41"/>
  <c r="AD1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41" i="41"/>
  <c r="AD42" i="41"/>
  <c r="AD43" i="41"/>
  <c r="AD44" i="41"/>
  <c r="AD45" i="41"/>
  <c r="AD46" i="41"/>
  <c r="AD47" i="41"/>
  <c r="AD48" i="41"/>
  <c r="AD49" i="41"/>
  <c r="AD50" i="41"/>
  <c r="AD51" i="41"/>
  <c r="AD52" i="41"/>
  <c r="AD53" i="41"/>
  <c r="AD54" i="41"/>
  <c r="AD55" i="41"/>
  <c r="AD56" i="41"/>
  <c r="AD57" i="41"/>
  <c r="AD58" i="41"/>
  <c r="AD59" i="41"/>
  <c r="AD60" i="41"/>
  <c r="AD61" i="41"/>
  <c r="AD62" i="41"/>
  <c r="AD63" i="41"/>
  <c r="AD64" i="41"/>
  <c r="AD65" i="41"/>
  <c r="AD66" i="41"/>
  <c r="AD67" i="41"/>
  <c r="AD68" i="41"/>
  <c r="AD69" i="41"/>
  <c r="AD70" i="41"/>
  <c r="AD71" i="41"/>
  <c r="AD72" i="41"/>
  <c r="AD73" i="41"/>
  <c r="AD74" i="41"/>
  <c r="AD75" i="41"/>
  <c r="AD76" i="41"/>
  <c r="AD77" i="41"/>
  <c r="AD78" i="41"/>
  <c r="AD79" i="41"/>
  <c r="AD80" i="41"/>
  <c r="AD81" i="41"/>
  <c r="AD82" i="41"/>
  <c r="AD83" i="41"/>
  <c r="AD84" i="41"/>
  <c r="AD85" i="41"/>
  <c r="AD86" i="41"/>
  <c r="AD87" i="41"/>
  <c r="AD88" i="41"/>
  <c r="AD89" i="41"/>
  <c r="AD90" i="41"/>
  <c r="AD91" i="41"/>
  <c r="AD92" i="41"/>
  <c r="AD93" i="41"/>
  <c r="AD94" i="41"/>
  <c r="AD95" i="41"/>
  <c r="AD96" i="41"/>
  <c r="AD97" i="41"/>
  <c r="AD98" i="41"/>
  <c r="AD99" i="41"/>
  <c r="AD100" i="41"/>
  <c r="AD101" i="41"/>
  <c r="AD102" i="41"/>
  <c r="AD103" i="41"/>
  <c r="AD104" i="41"/>
  <c r="AD105" i="41"/>
  <c r="AD106" i="41"/>
  <c r="AD107" i="41"/>
  <c r="AD108" i="41"/>
  <c r="AD109" i="41"/>
  <c r="AD110" i="41"/>
  <c r="AD111" i="41"/>
  <c r="AD112" i="41"/>
  <c r="AD113" i="41"/>
  <c r="AD6" i="41"/>
  <c r="O6" i="41"/>
  <c r="O7" i="41"/>
  <c r="O8" i="41"/>
  <c r="O9"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O68" i="41"/>
  <c r="O69" i="41"/>
  <c r="O70" i="41"/>
  <c r="O71" i="41"/>
  <c r="O72" i="41"/>
  <c r="O73" i="41"/>
  <c r="O74" i="41"/>
  <c r="O75" i="41"/>
  <c r="O76" i="41"/>
  <c r="O77" i="41"/>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105" i="41"/>
  <c r="O106" i="41"/>
  <c r="O107" i="41"/>
  <c r="O108" i="41"/>
  <c r="O109" i="41"/>
  <c r="O110" i="41"/>
  <c r="O111" i="41"/>
  <c r="O112" i="41"/>
  <c r="O113" i="41"/>
  <c r="O114" i="41"/>
  <c r="O115" i="41"/>
  <c r="O116" i="41"/>
  <c r="O117" i="41"/>
  <c r="O118" i="41"/>
  <c r="D6" i="41"/>
  <c r="K13" i="67" l="1"/>
  <c r="F27" i="12" l="1"/>
  <c r="E27" i="12"/>
  <c r="D27" i="12"/>
  <c r="C27" i="12"/>
  <c r="F26" i="12"/>
  <c r="E26" i="12"/>
  <c r="D26" i="12"/>
  <c r="D28" i="12" s="1"/>
  <c r="C26" i="12"/>
  <c r="C28" i="12" s="1"/>
  <c r="C29" i="12" s="1"/>
  <c r="E144" i="24"/>
  <c r="C14" i="24"/>
  <c r="C26" i="29" s="1"/>
  <c r="D20" i="24"/>
  <c r="E14" i="24"/>
  <c r="E26" i="29" s="1"/>
  <c r="E27" i="29" s="1"/>
  <c r="E28" i="29" s="1"/>
  <c r="E29" i="29" s="1"/>
  <c r="I17" i="61"/>
  <c r="I14" i="61"/>
  <c r="I15" i="61"/>
  <c r="I16" i="61"/>
  <c r="E142" i="24"/>
  <c r="E138" i="24"/>
  <c r="E47" i="29" s="1"/>
  <c r="E48" i="29" s="1"/>
  <c r="E49" i="29" s="1"/>
  <c r="E50" i="29" s="1"/>
  <c r="D138" i="24"/>
  <c r="D47" i="29" s="1"/>
  <c r="D48" i="29" s="1"/>
  <c r="D49" i="29" s="1"/>
  <c r="D50" i="29" s="1"/>
  <c r="C138" i="24"/>
  <c r="C47" i="29" s="1"/>
  <c r="C48" i="29" s="1"/>
  <c r="C49" i="29" s="1"/>
  <c r="C50" i="29" s="1"/>
  <c r="D121" i="24"/>
  <c r="F102" i="24"/>
  <c r="E102" i="24"/>
  <c r="D102" i="24"/>
  <c r="C27" i="29" l="1"/>
  <c r="C28" i="29" s="1"/>
  <c r="C29" i="29" s="1"/>
  <c r="D29" i="12"/>
  <c r="F28" i="12"/>
  <c r="F29" i="12" s="1"/>
  <c r="E28" i="12"/>
  <c r="E29" i="12" s="1"/>
  <c r="E146" i="24"/>
  <c r="E51" i="29" s="1"/>
  <c r="E30" i="29"/>
  <c r="D59" i="29"/>
  <c r="F100" i="24"/>
  <c r="F104" i="24" s="1"/>
  <c r="F41" i="29" s="1"/>
  <c r="E100" i="24"/>
  <c r="E104" i="24" s="1"/>
  <c r="E41" i="29" s="1"/>
  <c r="C100" i="24"/>
  <c r="F96" i="24"/>
  <c r="D96" i="24"/>
  <c r="D37" i="29" s="1"/>
  <c r="D38" i="29" s="1"/>
  <c r="D39" i="29" s="1"/>
  <c r="D40" i="29" s="1"/>
  <c r="C96" i="24"/>
  <c r="C37" i="29" s="1"/>
  <c r="U11" i="60"/>
  <c r="U10" i="60"/>
  <c r="U9" i="60"/>
  <c r="U8" i="60"/>
  <c r="C165" i="24"/>
  <c r="C163" i="24"/>
  <c r="C159" i="24"/>
  <c r="I47" i="29" s="1"/>
  <c r="I48" i="29" s="1"/>
  <c r="I49" i="29" s="1"/>
  <c r="J14" i="65"/>
  <c r="D142" i="24"/>
  <c r="D146" i="24" s="1"/>
  <c r="D51" i="29" s="1"/>
  <c r="C142" i="24"/>
  <c r="C144" i="24"/>
  <c r="D144" i="24"/>
  <c r="D123" i="24"/>
  <c r="J41" i="29" s="1"/>
  <c r="C123" i="24"/>
  <c r="C121" i="24"/>
  <c r="I41" i="29" s="1"/>
  <c r="D117" i="24"/>
  <c r="J37" i="29" s="1"/>
  <c r="J38" i="29" s="1"/>
  <c r="J39" i="29" s="1"/>
  <c r="J40" i="29" s="1"/>
  <c r="C117" i="24"/>
  <c r="I37" i="29" s="1"/>
  <c r="I38" i="29" s="1"/>
  <c r="I39" i="29" s="1"/>
  <c r="I40" i="29" s="1"/>
  <c r="D100" i="24"/>
  <c r="D104" i="24" s="1"/>
  <c r="D41" i="29" s="1"/>
  <c r="C102" i="24"/>
  <c r="D79" i="24"/>
  <c r="E79" i="24"/>
  <c r="C79" i="24"/>
  <c r="E77" i="24"/>
  <c r="D77" i="24"/>
  <c r="C81" i="24"/>
  <c r="I30" i="29" s="1"/>
  <c r="D73" i="24"/>
  <c r="J26" i="29" s="1"/>
  <c r="J27" i="29" s="1"/>
  <c r="J28" i="29" s="1"/>
  <c r="E73" i="24"/>
  <c r="K26" i="29" s="1"/>
  <c r="K27" i="29" s="1"/>
  <c r="K28" i="29" s="1"/>
  <c r="K29" i="29" s="1"/>
  <c r="I16" i="62"/>
  <c r="I14" i="62"/>
  <c r="I15" i="62"/>
  <c r="I13" i="62"/>
  <c r="I14" i="63"/>
  <c r="I13" i="63"/>
  <c r="I12" i="63"/>
  <c r="I17" i="65"/>
  <c r="I17" i="64"/>
  <c r="I16" i="64"/>
  <c r="I15" i="64"/>
  <c r="I14" i="64"/>
  <c r="I16" i="65"/>
  <c r="I15" i="65"/>
  <c r="I14" i="65"/>
  <c r="D5" i="63"/>
  <c r="E5" i="63"/>
  <c r="D6" i="63"/>
  <c r="E6" i="63"/>
  <c r="D7" i="63"/>
  <c r="E7" i="63"/>
  <c r="D8" i="63"/>
  <c r="E8" i="63"/>
  <c r="D9" i="63"/>
  <c r="E9" i="63"/>
  <c r="D10" i="63"/>
  <c r="E10" i="63"/>
  <c r="D11" i="63"/>
  <c r="E11" i="63"/>
  <c r="D12" i="63"/>
  <c r="E12" i="63"/>
  <c r="D13" i="63"/>
  <c r="E13" i="63"/>
  <c r="D14" i="63"/>
  <c r="E14" i="63"/>
  <c r="D15" i="63"/>
  <c r="E15" i="63"/>
  <c r="D16" i="63"/>
  <c r="E16" i="63"/>
  <c r="D17" i="63"/>
  <c r="E17" i="63"/>
  <c r="D18" i="63"/>
  <c r="E18" i="63"/>
  <c r="D19" i="63"/>
  <c r="E19" i="63"/>
  <c r="D20" i="63"/>
  <c r="E20" i="63"/>
  <c r="D21" i="63"/>
  <c r="E21" i="63"/>
  <c r="D22" i="63"/>
  <c r="E22" i="63"/>
  <c r="D23" i="63"/>
  <c r="E23" i="63"/>
  <c r="D24" i="63"/>
  <c r="E24" i="63"/>
  <c r="D25" i="63"/>
  <c r="E25" i="63"/>
  <c r="D26" i="63"/>
  <c r="E26" i="63"/>
  <c r="D27" i="63"/>
  <c r="E27" i="63"/>
  <c r="D28" i="63"/>
  <c r="E28" i="63"/>
  <c r="D29" i="63"/>
  <c r="E29" i="63"/>
  <c r="D30" i="63"/>
  <c r="E30" i="63"/>
  <c r="D31" i="63"/>
  <c r="E31" i="63"/>
  <c r="D32" i="63"/>
  <c r="E32" i="63"/>
  <c r="D33" i="63"/>
  <c r="E33" i="63"/>
  <c r="D34" i="63"/>
  <c r="E34" i="63"/>
  <c r="D18" i="24"/>
  <c r="C18" i="24"/>
  <c r="C30" i="29" s="1"/>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5" i="65"/>
  <c r="D6" i="64"/>
  <c r="D7" i="64"/>
  <c r="D8" i="64"/>
  <c r="D9" i="64"/>
  <c r="D10" i="64"/>
  <c r="D11" i="64"/>
  <c r="D12" i="64"/>
  <c r="D13" i="64"/>
  <c r="D14" i="64"/>
  <c r="D15" i="64"/>
  <c r="D16" i="64"/>
  <c r="D17" i="64"/>
  <c r="D18" i="64"/>
  <c r="D19" i="64"/>
  <c r="D20" i="64"/>
  <c r="D21" i="64"/>
  <c r="D22" i="64"/>
  <c r="D23" i="64"/>
  <c r="D24" i="64"/>
  <c r="D25" i="64"/>
  <c r="D26" i="64"/>
  <c r="D27" i="64"/>
  <c r="D28" i="64"/>
  <c r="D29" i="64"/>
  <c r="D30" i="64"/>
  <c r="D31" i="64"/>
  <c r="D32" i="64"/>
  <c r="D33" i="64"/>
  <c r="D34" i="64"/>
  <c r="D5" i="64"/>
  <c r="D6" i="60"/>
  <c r="D7" i="60"/>
  <c r="D8" i="60"/>
  <c r="D9" i="60"/>
  <c r="D10" i="60"/>
  <c r="D11" i="60"/>
  <c r="D12" i="60"/>
  <c r="D13" i="60"/>
  <c r="D14" i="60"/>
  <c r="D15" i="60"/>
  <c r="D16" i="60"/>
  <c r="D17" i="60"/>
  <c r="D18" i="60"/>
  <c r="D19" i="60"/>
  <c r="D20" i="60"/>
  <c r="D21" i="60"/>
  <c r="D22" i="60"/>
  <c r="D23" i="60"/>
  <c r="D24" i="60"/>
  <c r="D25" i="60"/>
  <c r="D26" i="60"/>
  <c r="D27" i="60"/>
  <c r="D28" i="60"/>
  <c r="D29" i="60"/>
  <c r="D30" i="60"/>
  <c r="D5" i="60"/>
  <c r="D6" i="62"/>
  <c r="D7" i="62"/>
  <c r="D8" i="62"/>
  <c r="D9" i="62"/>
  <c r="D10" i="62"/>
  <c r="D11" i="62"/>
  <c r="D12" i="62"/>
  <c r="D13" i="62"/>
  <c r="D14" i="62"/>
  <c r="D15" i="62"/>
  <c r="D16" i="62"/>
  <c r="D17" i="62"/>
  <c r="D18" i="62"/>
  <c r="D19" i="62"/>
  <c r="D20" i="62"/>
  <c r="D21" i="62"/>
  <c r="D22" i="62"/>
  <c r="D23" i="62"/>
  <c r="D24" i="62"/>
  <c r="D25" i="62"/>
  <c r="D26" i="62"/>
  <c r="D27" i="62"/>
  <c r="D28" i="62"/>
  <c r="D29" i="62"/>
  <c r="D30" i="62"/>
  <c r="D31" i="62"/>
  <c r="D32" i="62"/>
  <c r="D33" i="62"/>
  <c r="D34" i="62"/>
  <c r="D35" i="62"/>
  <c r="D36" i="62"/>
  <c r="D37" i="62"/>
  <c r="D5" i="62"/>
  <c r="D5" i="61"/>
  <c r="D6" i="61"/>
  <c r="D7" i="61"/>
  <c r="D8" i="61"/>
  <c r="D9" i="61"/>
  <c r="D10" i="61"/>
  <c r="D11" i="61"/>
  <c r="D12" i="61"/>
  <c r="D13" i="61"/>
  <c r="D14" i="61"/>
  <c r="D15" i="61"/>
  <c r="D16" i="61"/>
  <c r="D17" i="61"/>
  <c r="D18" i="61"/>
  <c r="D19" i="61"/>
  <c r="D20" i="61"/>
  <c r="D21" i="61"/>
  <c r="D22" i="61"/>
  <c r="D23" i="61"/>
  <c r="D24" i="61"/>
  <c r="D25" i="61"/>
  <c r="D26" i="61"/>
  <c r="D27" i="61"/>
  <c r="D28" i="61"/>
  <c r="D29" i="61"/>
  <c r="E6" i="41"/>
  <c r="C5" i="65"/>
  <c r="E33" i="65"/>
  <c r="C33" i="65"/>
  <c r="B33" i="65"/>
  <c r="E32" i="65"/>
  <c r="C32" i="65"/>
  <c r="B32" i="65"/>
  <c r="E31" i="65"/>
  <c r="C31" i="65"/>
  <c r="B31" i="65"/>
  <c r="E30" i="65"/>
  <c r="C30" i="65"/>
  <c r="B30" i="65"/>
  <c r="E29" i="65"/>
  <c r="C29" i="65"/>
  <c r="B29" i="65"/>
  <c r="E28" i="65"/>
  <c r="C28" i="65"/>
  <c r="B28" i="65"/>
  <c r="E27" i="65"/>
  <c r="C27" i="65"/>
  <c r="B27" i="65"/>
  <c r="E26" i="65"/>
  <c r="C26" i="65"/>
  <c r="B26" i="65"/>
  <c r="E25" i="65"/>
  <c r="C25" i="65"/>
  <c r="B25" i="65"/>
  <c r="E24" i="65"/>
  <c r="C24" i="65"/>
  <c r="B24" i="65"/>
  <c r="E23" i="65"/>
  <c r="C23" i="65"/>
  <c r="B23" i="65"/>
  <c r="E22" i="65"/>
  <c r="C22" i="65"/>
  <c r="B22" i="65"/>
  <c r="E21" i="65"/>
  <c r="C21" i="65"/>
  <c r="B21" i="65"/>
  <c r="E20" i="65"/>
  <c r="C20" i="65"/>
  <c r="B20" i="65"/>
  <c r="E19" i="65"/>
  <c r="C19" i="65"/>
  <c r="B19" i="65"/>
  <c r="E18" i="65"/>
  <c r="C18" i="65"/>
  <c r="B18" i="65"/>
  <c r="E17" i="65"/>
  <c r="C17" i="65"/>
  <c r="B17" i="65"/>
  <c r="E16" i="65"/>
  <c r="C16" i="65"/>
  <c r="B16" i="65"/>
  <c r="E15" i="65"/>
  <c r="C15" i="65"/>
  <c r="B15" i="65"/>
  <c r="E14" i="65"/>
  <c r="C14" i="65"/>
  <c r="B14" i="65"/>
  <c r="E13" i="65"/>
  <c r="C13" i="65"/>
  <c r="B13" i="65"/>
  <c r="E12" i="65"/>
  <c r="C12" i="65"/>
  <c r="B12" i="65"/>
  <c r="E11" i="65"/>
  <c r="C11" i="65"/>
  <c r="B11" i="65"/>
  <c r="E10" i="65"/>
  <c r="C10" i="65"/>
  <c r="B10" i="65"/>
  <c r="E9" i="65"/>
  <c r="C9" i="65"/>
  <c r="B9" i="65"/>
  <c r="E8" i="65"/>
  <c r="C8" i="65"/>
  <c r="B8" i="65"/>
  <c r="E7" i="65"/>
  <c r="C7" i="65"/>
  <c r="B7" i="65"/>
  <c r="E6" i="65"/>
  <c r="C6" i="65"/>
  <c r="B6" i="65"/>
  <c r="E5" i="65"/>
  <c r="B5" i="65"/>
  <c r="E34" i="64"/>
  <c r="C34" i="64"/>
  <c r="B34" i="64"/>
  <c r="E33" i="64"/>
  <c r="C33" i="64"/>
  <c r="B33" i="64"/>
  <c r="E32" i="64"/>
  <c r="C32" i="64"/>
  <c r="B32" i="64"/>
  <c r="E31" i="64"/>
  <c r="C31" i="64"/>
  <c r="B31" i="64"/>
  <c r="E30" i="64"/>
  <c r="C30" i="64"/>
  <c r="B30" i="64"/>
  <c r="E29" i="64"/>
  <c r="C29" i="64"/>
  <c r="B29" i="64"/>
  <c r="E28" i="64"/>
  <c r="C28" i="64"/>
  <c r="B28" i="64"/>
  <c r="E27" i="64"/>
  <c r="C27" i="64"/>
  <c r="B27" i="64"/>
  <c r="E26" i="64"/>
  <c r="C26" i="64"/>
  <c r="B26" i="64"/>
  <c r="E25" i="64"/>
  <c r="C25" i="64"/>
  <c r="B25" i="64"/>
  <c r="E24" i="64"/>
  <c r="C24" i="64"/>
  <c r="B24" i="64"/>
  <c r="E23" i="64"/>
  <c r="C23" i="64"/>
  <c r="B23" i="64"/>
  <c r="E22" i="64"/>
  <c r="C22" i="64"/>
  <c r="B22" i="64"/>
  <c r="E21" i="64"/>
  <c r="C21" i="64"/>
  <c r="B21" i="64"/>
  <c r="E20" i="64"/>
  <c r="C20" i="64"/>
  <c r="B20" i="64"/>
  <c r="E19" i="64"/>
  <c r="C19" i="64"/>
  <c r="B19" i="64"/>
  <c r="E18" i="64"/>
  <c r="C18" i="64"/>
  <c r="B18" i="64"/>
  <c r="E17" i="64"/>
  <c r="C17" i="64"/>
  <c r="B17" i="64"/>
  <c r="E16" i="64"/>
  <c r="C16" i="64"/>
  <c r="B16" i="64"/>
  <c r="E15" i="64"/>
  <c r="C15" i="64"/>
  <c r="B15" i="64"/>
  <c r="E14" i="64"/>
  <c r="C14" i="64"/>
  <c r="B14" i="64"/>
  <c r="E13" i="64"/>
  <c r="C13" i="64"/>
  <c r="B13" i="64"/>
  <c r="E12" i="64"/>
  <c r="C12" i="64"/>
  <c r="B12" i="64"/>
  <c r="E11" i="64"/>
  <c r="C11" i="64"/>
  <c r="B11" i="64"/>
  <c r="E10" i="64"/>
  <c r="C10" i="64"/>
  <c r="B10" i="64"/>
  <c r="E9" i="64"/>
  <c r="C9" i="64"/>
  <c r="B9" i="64"/>
  <c r="E8" i="64"/>
  <c r="C8" i="64"/>
  <c r="B8" i="64"/>
  <c r="E7" i="64"/>
  <c r="C7" i="64"/>
  <c r="B7" i="64"/>
  <c r="E6" i="64"/>
  <c r="C6" i="64"/>
  <c r="B6" i="64"/>
  <c r="E5" i="64"/>
  <c r="C5" i="64"/>
  <c r="B5" i="64"/>
  <c r="C5" i="63"/>
  <c r="C31" i="63"/>
  <c r="C32" i="63"/>
  <c r="C33" i="63"/>
  <c r="C34" i="63"/>
  <c r="B31" i="63"/>
  <c r="B32" i="63"/>
  <c r="B33" i="63"/>
  <c r="B34" i="63"/>
  <c r="C30" i="63"/>
  <c r="B30" i="63"/>
  <c r="C29" i="63"/>
  <c r="B29" i="63"/>
  <c r="C28" i="63"/>
  <c r="B28" i="63"/>
  <c r="C27" i="63"/>
  <c r="B27" i="63"/>
  <c r="C26" i="63"/>
  <c r="B26" i="63"/>
  <c r="C25" i="63"/>
  <c r="B25" i="63"/>
  <c r="C24" i="63"/>
  <c r="B24" i="63"/>
  <c r="C23" i="63"/>
  <c r="B23" i="63"/>
  <c r="C22" i="63"/>
  <c r="B22" i="63"/>
  <c r="C21" i="63"/>
  <c r="B21" i="63"/>
  <c r="C20" i="63"/>
  <c r="B20" i="63"/>
  <c r="C19" i="63"/>
  <c r="B19" i="63"/>
  <c r="C18" i="63"/>
  <c r="B18" i="63"/>
  <c r="C17" i="63"/>
  <c r="B17" i="63"/>
  <c r="C16" i="63"/>
  <c r="B16" i="63"/>
  <c r="C15" i="63"/>
  <c r="B15" i="63"/>
  <c r="C14" i="63"/>
  <c r="B14" i="63"/>
  <c r="C13" i="63"/>
  <c r="B13" i="63"/>
  <c r="C12" i="63"/>
  <c r="B12" i="63"/>
  <c r="C11" i="63"/>
  <c r="B11" i="63"/>
  <c r="C10" i="63"/>
  <c r="B10" i="63"/>
  <c r="C9" i="63"/>
  <c r="B9" i="63"/>
  <c r="C8" i="63"/>
  <c r="B8" i="63"/>
  <c r="C7" i="63"/>
  <c r="B7" i="63"/>
  <c r="C6" i="63"/>
  <c r="B6" i="63"/>
  <c r="B5" i="63"/>
  <c r="E5" i="62"/>
  <c r="E5" i="60"/>
  <c r="C5" i="60"/>
  <c r="B5" i="60"/>
  <c r="E30" i="60"/>
  <c r="C30" i="60"/>
  <c r="B30" i="60"/>
  <c r="E29" i="60"/>
  <c r="C29" i="60"/>
  <c r="B29" i="60"/>
  <c r="E28" i="60"/>
  <c r="C28" i="60"/>
  <c r="B28" i="60"/>
  <c r="E27" i="60"/>
  <c r="C27" i="60"/>
  <c r="B27" i="60"/>
  <c r="E26" i="60"/>
  <c r="C26" i="60"/>
  <c r="B26" i="60"/>
  <c r="E25" i="60"/>
  <c r="C25" i="60"/>
  <c r="B25" i="60"/>
  <c r="E24" i="60"/>
  <c r="C24" i="60"/>
  <c r="B24" i="60"/>
  <c r="E23" i="60"/>
  <c r="C23" i="60"/>
  <c r="B23" i="60"/>
  <c r="E22" i="60"/>
  <c r="C22" i="60"/>
  <c r="B22" i="60"/>
  <c r="E21" i="60"/>
  <c r="C21" i="60"/>
  <c r="B21" i="60"/>
  <c r="E20" i="60"/>
  <c r="C20" i="60"/>
  <c r="B20" i="60"/>
  <c r="E19" i="60"/>
  <c r="C19" i="60"/>
  <c r="B19" i="60"/>
  <c r="E18" i="60"/>
  <c r="C18" i="60"/>
  <c r="B18" i="60"/>
  <c r="E17" i="60"/>
  <c r="C17" i="60"/>
  <c r="B17" i="60"/>
  <c r="E16" i="60"/>
  <c r="C16" i="60"/>
  <c r="B16" i="60"/>
  <c r="E15" i="60"/>
  <c r="C15" i="60"/>
  <c r="B15" i="60"/>
  <c r="E14" i="60"/>
  <c r="C14" i="60"/>
  <c r="B14" i="60"/>
  <c r="E13" i="60"/>
  <c r="C13" i="60"/>
  <c r="B13" i="60"/>
  <c r="E12" i="60"/>
  <c r="C12" i="60"/>
  <c r="B12" i="60"/>
  <c r="E11" i="60"/>
  <c r="C11" i="60"/>
  <c r="B11" i="60"/>
  <c r="E10" i="60"/>
  <c r="C10" i="60"/>
  <c r="B10" i="60"/>
  <c r="E9" i="60"/>
  <c r="C9" i="60"/>
  <c r="B9" i="60"/>
  <c r="E8" i="60"/>
  <c r="C8" i="60"/>
  <c r="B8" i="60"/>
  <c r="E7" i="60"/>
  <c r="C7" i="60"/>
  <c r="B7" i="60"/>
  <c r="E6" i="60"/>
  <c r="C6" i="60"/>
  <c r="B6" i="60"/>
  <c r="E30" i="62"/>
  <c r="E31" i="62"/>
  <c r="E32" i="62"/>
  <c r="E33" i="62"/>
  <c r="E34" i="62"/>
  <c r="E35" i="62"/>
  <c r="E36" i="62"/>
  <c r="E37" i="62"/>
  <c r="C30" i="62"/>
  <c r="C31" i="62"/>
  <c r="C32" i="62"/>
  <c r="C33" i="62"/>
  <c r="C34" i="62"/>
  <c r="C35" i="62"/>
  <c r="C36" i="62"/>
  <c r="C37" i="62"/>
  <c r="B36" i="62"/>
  <c r="B30" i="62"/>
  <c r="B31" i="62"/>
  <c r="B32" i="62"/>
  <c r="B33" i="62"/>
  <c r="B34" i="62"/>
  <c r="B35" i="62"/>
  <c r="B37" i="62"/>
  <c r="B6" i="62"/>
  <c r="B7" i="62"/>
  <c r="B8" i="62"/>
  <c r="B9" i="62"/>
  <c r="B10" i="62"/>
  <c r="B11" i="62"/>
  <c r="B12" i="62"/>
  <c r="B13" i="62"/>
  <c r="B14" i="62"/>
  <c r="B15" i="62"/>
  <c r="B16" i="62"/>
  <c r="B17" i="62"/>
  <c r="B18" i="62"/>
  <c r="B19" i="62"/>
  <c r="B20" i="62"/>
  <c r="B21" i="62"/>
  <c r="B22" i="62"/>
  <c r="B23" i="62"/>
  <c r="B24" i="62"/>
  <c r="B25" i="62"/>
  <c r="B26" i="62"/>
  <c r="B27" i="62"/>
  <c r="B28" i="62"/>
  <c r="B29" i="62"/>
  <c r="B5" i="62"/>
  <c r="E29" i="62"/>
  <c r="C29" i="62"/>
  <c r="E28" i="62"/>
  <c r="C28" i="62"/>
  <c r="E27" i="62"/>
  <c r="C27" i="62"/>
  <c r="E26" i="62"/>
  <c r="C26" i="62"/>
  <c r="E25" i="62"/>
  <c r="C25" i="62"/>
  <c r="E24" i="62"/>
  <c r="C24" i="62"/>
  <c r="E23" i="62"/>
  <c r="C23" i="62"/>
  <c r="E22" i="62"/>
  <c r="C22" i="62"/>
  <c r="E21" i="62"/>
  <c r="C21" i="62"/>
  <c r="E20" i="62"/>
  <c r="C20" i="62"/>
  <c r="E19" i="62"/>
  <c r="C19" i="62"/>
  <c r="E18" i="62"/>
  <c r="C18" i="62"/>
  <c r="E17" i="62"/>
  <c r="C17" i="62"/>
  <c r="E16" i="62"/>
  <c r="C16" i="62"/>
  <c r="E15" i="62"/>
  <c r="C15" i="62"/>
  <c r="E14" i="62"/>
  <c r="C14" i="62"/>
  <c r="E13" i="62"/>
  <c r="C13" i="62"/>
  <c r="E12" i="62"/>
  <c r="C12" i="62"/>
  <c r="E11" i="62"/>
  <c r="C11" i="62"/>
  <c r="E10" i="62"/>
  <c r="C10" i="62"/>
  <c r="E9" i="62"/>
  <c r="C9" i="62"/>
  <c r="E8" i="62"/>
  <c r="C8" i="62"/>
  <c r="E7" i="62"/>
  <c r="C7" i="62"/>
  <c r="E6" i="62"/>
  <c r="C6" i="62"/>
  <c r="C5" i="62"/>
  <c r="E5" i="61"/>
  <c r="E6" i="61"/>
  <c r="E7" i="61"/>
  <c r="E8" i="61"/>
  <c r="E9" i="61"/>
  <c r="E10" i="61"/>
  <c r="E11" i="61"/>
  <c r="E12" i="61"/>
  <c r="E13" i="61"/>
  <c r="E14" i="61"/>
  <c r="E15" i="61"/>
  <c r="E16" i="61"/>
  <c r="E17" i="61"/>
  <c r="E18" i="61"/>
  <c r="E19" i="61"/>
  <c r="E20" i="61"/>
  <c r="E21" i="61"/>
  <c r="E22" i="61"/>
  <c r="E23" i="61"/>
  <c r="E24" i="61"/>
  <c r="E25" i="61"/>
  <c r="E26" i="61"/>
  <c r="E27" i="61"/>
  <c r="E28" i="61"/>
  <c r="E29" i="61"/>
  <c r="B6" i="61"/>
  <c r="B7" i="61"/>
  <c r="B8" i="61"/>
  <c r="B9" i="61"/>
  <c r="B10" i="61"/>
  <c r="B11" i="61"/>
  <c r="B12" i="61"/>
  <c r="B13" i="61"/>
  <c r="B14" i="61"/>
  <c r="B15" i="61"/>
  <c r="B16" i="61"/>
  <c r="B17" i="61"/>
  <c r="B18" i="61"/>
  <c r="B19" i="61"/>
  <c r="B20" i="61"/>
  <c r="B21" i="61"/>
  <c r="B22" i="61"/>
  <c r="B23" i="61"/>
  <c r="B24" i="61"/>
  <c r="B25" i="61"/>
  <c r="B26" i="61"/>
  <c r="B27" i="61"/>
  <c r="B28" i="61"/>
  <c r="B29" i="61"/>
  <c r="B5" i="61"/>
  <c r="C5" i="61"/>
  <c r="C6" i="61"/>
  <c r="C7" i="61"/>
  <c r="C8" i="61"/>
  <c r="C9" i="61"/>
  <c r="C10" i="61"/>
  <c r="C11" i="61"/>
  <c r="C12" i="61"/>
  <c r="C13" i="61"/>
  <c r="C14" i="61"/>
  <c r="C15" i="61"/>
  <c r="C16" i="61"/>
  <c r="C17" i="61"/>
  <c r="C18" i="61"/>
  <c r="C19" i="61"/>
  <c r="C20" i="61"/>
  <c r="C21" i="61"/>
  <c r="C22" i="61"/>
  <c r="C23" i="61"/>
  <c r="C24" i="61"/>
  <c r="C25" i="61"/>
  <c r="C26" i="61"/>
  <c r="C27" i="61"/>
  <c r="C28" i="61"/>
  <c r="C29" i="61"/>
  <c r="C55" i="29" l="1"/>
  <c r="C38" i="29"/>
  <c r="C39" i="29" s="1"/>
  <c r="C40" i="29" s="1"/>
  <c r="D46" i="12"/>
  <c r="I5" i="65"/>
  <c r="I5" i="64"/>
  <c r="C58" i="29"/>
  <c r="C104" i="24"/>
  <c r="C41" i="29" s="1"/>
  <c r="C57" i="29" s="1"/>
  <c r="C147" i="24"/>
  <c r="C51" i="29"/>
  <c r="C59" i="29" s="1"/>
  <c r="D81" i="24"/>
  <c r="J30" i="29" s="1"/>
  <c r="C56" i="29" s="1"/>
  <c r="E81" i="24"/>
  <c r="K30" i="29" s="1"/>
  <c r="C167" i="24"/>
  <c r="I51" i="29" s="1"/>
  <c r="C60" i="29" s="1"/>
  <c r="I50" i="29"/>
  <c r="D60" i="29" s="1"/>
  <c r="J29" i="29"/>
  <c r="D56" i="29" s="1"/>
  <c r="D58" i="29"/>
  <c r="E96" i="24"/>
  <c r="E37" i="29" s="1"/>
  <c r="E38" i="29" s="1"/>
  <c r="E39" i="29" s="1"/>
  <c r="F37" i="29"/>
  <c r="F38" i="29" s="1"/>
  <c r="F39" i="29" s="1"/>
  <c r="F40" i="29" s="1"/>
  <c r="I5" i="63"/>
  <c r="H5" i="63"/>
  <c r="H5" i="64"/>
  <c r="D14" i="24"/>
  <c r="D26" i="29" s="1"/>
  <c r="D27" i="29" s="1"/>
  <c r="D28" i="29" s="1"/>
  <c r="D30" i="29"/>
  <c r="H5" i="65"/>
  <c r="H5" i="61"/>
  <c r="H5" i="60"/>
  <c r="I5" i="61"/>
  <c r="I5" i="60"/>
  <c r="I5" i="62"/>
  <c r="H5" i="62"/>
  <c r="M8" i="71" l="1"/>
  <c r="D22" i="71" s="1"/>
  <c r="D41" i="12"/>
  <c r="F41" i="12" s="1"/>
  <c r="F46" i="12"/>
  <c r="J7" i="67"/>
  <c r="C61" i="29"/>
  <c r="B75" i="29" s="1"/>
  <c r="E40" i="29"/>
  <c r="D29" i="29"/>
  <c r="D55" i="29" s="1"/>
  <c r="D61" i="29" s="1"/>
  <c r="D75" i="29" s="1"/>
  <c r="C23" i="24"/>
  <c r="B70" i="29" l="1"/>
  <c r="D70" i="29"/>
  <c r="E70" i="29"/>
  <c r="O17" i="71" s="1"/>
  <c r="N8" i="71"/>
  <c r="D23" i="71" s="1"/>
  <c r="K7" i="67"/>
  <c r="C75" i="29"/>
  <c r="F75" i="29"/>
  <c r="F70" i="29" s="1"/>
  <c r="C126" i="24"/>
  <c r="C168" i="24"/>
  <c r="C82" i="24"/>
  <c r="H16" i="67" l="1"/>
  <c r="C70" i="29"/>
  <c r="K17" i="71" s="1"/>
  <c r="E75" i="29"/>
  <c r="L16" i="67" s="1"/>
  <c r="E37" i="7"/>
  <c r="G37" i="7"/>
  <c r="F37" i="7"/>
  <c r="D37" i="7"/>
  <c r="B87" i="28"/>
  <c r="G70" i="29" l="1"/>
  <c r="D51" i="7"/>
  <c r="G75" i="29"/>
  <c r="M13" i="71" l="1"/>
  <c r="D46" i="7"/>
  <c r="J12" i="67"/>
  <c r="F51" i="7"/>
  <c r="F46" i="7" s="1"/>
  <c r="N13" i="71" s="1"/>
  <c r="C16" i="58"/>
  <c r="C25" i="59" s="1"/>
  <c r="C27" i="59" s="1"/>
  <c r="B41" i="59" s="1"/>
  <c r="I220" i="14"/>
  <c r="I221" i="14" s="1"/>
  <c r="I200" i="14"/>
  <c r="I201" i="14" s="1"/>
  <c r="I180" i="14"/>
  <c r="I181" i="14" s="1"/>
  <c r="I160" i="14"/>
  <c r="I161" i="14" s="1"/>
  <c r="I140" i="14"/>
  <c r="I141" i="14" s="1"/>
  <c r="I120" i="14"/>
  <c r="I121" i="14" s="1"/>
  <c r="I100" i="14"/>
  <c r="I101" i="14" s="1"/>
  <c r="I80" i="14"/>
  <c r="I81" i="14" s="1"/>
  <c r="I60" i="14"/>
  <c r="I61" i="14" s="1"/>
  <c r="I40" i="14"/>
  <c r="I41" i="14" s="1"/>
  <c r="C220" i="14"/>
  <c r="C221" i="14" s="1"/>
  <c r="C200" i="14"/>
  <c r="C201" i="14" s="1"/>
  <c r="C180" i="14"/>
  <c r="C181" i="14" s="1"/>
  <c r="C160" i="14"/>
  <c r="C161" i="14" s="1"/>
  <c r="C140" i="14"/>
  <c r="C141" i="14" s="1"/>
  <c r="C120" i="14"/>
  <c r="C121" i="14" s="1"/>
  <c r="C100" i="14"/>
  <c r="C101" i="14" s="1"/>
  <c r="C80" i="14"/>
  <c r="C81" i="14" s="1"/>
  <c r="C60" i="14"/>
  <c r="C61" i="14" s="1"/>
  <c r="C40" i="14"/>
  <c r="C41" i="14" s="1"/>
  <c r="D272" i="14" s="1"/>
  <c r="K12" i="67" l="1"/>
  <c r="E41" i="59"/>
  <c r="L17" i="67" s="1"/>
  <c r="C41" i="59"/>
  <c r="G17" i="67"/>
  <c r="D289" i="14"/>
  <c r="D281" i="14"/>
  <c r="D274" i="14"/>
  <c r="D290" i="14"/>
  <c r="D286" i="14"/>
  <c r="D275" i="14"/>
  <c r="D291" i="14"/>
  <c r="D283" i="14"/>
  <c r="D276" i="14"/>
  <c r="D292" i="14"/>
  <c r="D282" i="14"/>
  <c r="D284" i="14"/>
  <c r="D287" i="14"/>
  <c r="D277" i="14"/>
  <c r="D273" i="14"/>
  <c r="D278" i="14"/>
  <c r="D280" i="14"/>
  <c r="D279" i="14"/>
  <c r="D288" i="14"/>
  <c r="D285" i="14"/>
  <c r="C12" i="22"/>
  <c r="D76" i="57"/>
  <c r="D66" i="57"/>
  <c r="D47" i="57"/>
  <c r="D75" i="57"/>
  <c r="D65" i="57"/>
  <c r="D49" i="57"/>
  <c r="D50" i="57"/>
  <c r="D46" i="57"/>
  <c r="D48" i="57"/>
  <c r="D74" i="57"/>
  <c r="D64" i="57"/>
  <c r="D51" i="57"/>
  <c r="D32" i="57"/>
  <c r="D45" i="57"/>
  <c r="D73" i="57"/>
  <c r="D63" i="57"/>
  <c r="D33" i="57"/>
  <c r="D34" i="57"/>
  <c r="D44" i="57"/>
  <c r="D77" i="57"/>
  <c r="D67" i="57"/>
  <c r="D72" i="57"/>
  <c r="D62" i="57"/>
  <c r="D35" i="57"/>
  <c r="D36" i="57"/>
  <c r="D38" i="57"/>
  <c r="D40" i="57"/>
  <c r="D43" i="57"/>
  <c r="D71" i="57"/>
  <c r="D61" i="57"/>
  <c r="D37" i="57"/>
  <c r="D70" i="57"/>
  <c r="D60" i="57"/>
  <c r="D39" i="57"/>
  <c r="D69" i="57"/>
  <c r="D59" i="57"/>
  <c r="D41" i="57"/>
  <c r="D42" i="57"/>
  <c r="D68" i="57"/>
  <c r="D58" i="57"/>
  <c r="F41" i="59" l="1"/>
  <c r="M17" i="67" s="1"/>
  <c r="H17" i="67"/>
  <c r="S26" i="18"/>
  <c r="S65" i="18"/>
  <c r="H105" i="18"/>
  <c r="H65" i="18"/>
  <c r="D149" i="18"/>
  <c r="N45" i="18"/>
  <c r="N85" i="18"/>
  <c r="C125" i="18"/>
  <c r="C85" i="18"/>
  <c r="N19" i="18"/>
  <c r="N58" i="18"/>
  <c r="C98" i="18"/>
  <c r="C58" i="18"/>
  <c r="C13" i="58"/>
  <c r="C19" i="18"/>
  <c r="E38" i="43"/>
  <c r="J38" i="43" s="1"/>
  <c r="C37" i="43"/>
  <c r="C38" i="43"/>
  <c r="C39" i="43"/>
  <c r="C40" i="43"/>
  <c r="C41" i="43"/>
  <c r="C42" i="43"/>
  <c r="C43" i="43"/>
  <c r="C36" i="43"/>
  <c r="G36" i="43"/>
  <c r="L36" i="43" s="1"/>
  <c r="H36" i="43"/>
  <c r="M36" i="43" s="1"/>
  <c r="I36" i="43"/>
  <c r="G37" i="43"/>
  <c r="H37" i="43"/>
  <c r="M37" i="43" s="1"/>
  <c r="I37" i="43"/>
  <c r="G38" i="43"/>
  <c r="L38" i="43" s="1"/>
  <c r="H38" i="43"/>
  <c r="M38" i="43" s="1"/>
  <c r="I38" i="43"/>
  <c r="G39" i="43"/>
  <c r="H39" i="43"/>
  <c r="M39" i="43" s="1"/>
  <c r="I39" i="43"/>
  <c r="G40" i="43"/>
  <c r="H40" i="43"/>
  <c r="I40" i="43"/>
  <c r="G41" i="43"/>
  <c r="L41" i="43" s="1"/>
  <c r="H41" i="43"/>
  <c r="M41" i="43" s="1"/>
  <c r="I41" i="43"/>
  <c r="G42" i="43"/>
  <c r="H42" i="43"/>
  <c r="I42" i="43"/>
  <c r="G43" i="43"/>
  <c r="L43" i="43" s="1"/>
  <c r="H43" i="43"/>
  <c r="M43" i="43" s="1"/>
  <c r="I43" i="43"/>
  <c r="F39" i="43"/>
  <c r="F37" i="43"/>
  <c r="K37" i="43" s="1"/>
  <c r="F38" i="43"/>
  <c r="K38" i="43" s="1"/>
  <c r="F40" i="43"/>
  <c r="K40" i="43" s="1"/>
  <c r="F41" i="43"/>
  <c r="K41" i="43" s="1"/>
  <c r="F42" i="43"/>
  <c r="F43" i="43"/>
  <c r="K43" i="43" s="1"/>
  <c r="F36" i="43"/>
  <c r="K36" i="43" s="1"/>
  <c r="E39" i="43"/>
  <c r="E37" i="43"/>
  <c r="J37" i="43" s="1"/>
  <c r="E40" i="43"/>
  <c r="J40" i="43" s="1"/>
  <c r="E41" i="43"/>
  <c r="J41" i="43" s="1"/>
  <c r="E42" i="43"/>
  <c r="J42" i="43" s="1"/>
  <c r="E43" i="43"/>
  <c r="J43" i="43" s="1"/>
  <c r="E36" i="43"/>
  <c r="J36" i="43" s="1"/>
  <c r="D37" i="43"/>
  <c r="D38" i="43"/>
  <c r="D39" i="43"/>
  <c r="D40" i="43"/>
  <c r="D41" i="43"/>
  <c r="D42" i="43"/>
  <c r="D43" i="43"/>
  <c r="D36" i="43"/>
  <c r="M5" i="51"/>
  <c r="M6" i="51"/>
  <c r="M7" i="51"/>
  <c r="M8" i="51"/>
  <c r="M9" i="51"/>
  <c r="M10" i="51"/>
  <c r="M11" i="51"/>
  <c r="M12" i="51"/>
  <c r="M13" i="51"/>
  <c r="M14" i="51"/>
  <c r="M15" i="51"/>
  <c r="M16" i="51"/>
  <c r="M17" i="51"/>
  <c r="M18" i="51"/>
  <c r="M19" i="51"/>
  <c r="M20" i="51"/>
  <c r="M21" i="51"/>
  <c r="M22" i="51"/>
  <c r="M23" i="51"/>
  <c r="M24" i="51"/>
  <c r="M4" i="51"/>
  <c r="P5" i="53"/>
  <c r="P6" i="53"/>
  <c r="P7" i="53"/>
  <c r="P8" i="53"/>
  <c r="P9"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27" i="53"/>
  <c r="P128" i="53"/>
  <c r="P129" i="53"/>
  <c r="P130" i="53"/>
  <c r="P131" i="53"/>
  <c r="P132" i="53"/>
  <c r="P133" i="53"/>
  <c r="P134" i="53"/>
  <c r="P135" i="53"/>
  <c r="P136" i="53"/>
  <c r="P137" i="53"/>
  <c r="P138" i="53"/>
  <c r="P139" i="53"/>
  <c r="P140" i="53"/>
  <c r="P141" i="53"/>
  <c r="P142" i="53"/>
  <c r="P143" i="53"/>
  <c r="P144" i="53"/>
  <c r="P145" i="53"/>
  <c r="P146" i="53"/>
  <c r="P147" i="53"/>
  <c r="P148" i="53"/>
  <c r="P149" i="53"/>
  <c r="P150" i="53"/>
  <c r="P151" i="53"/>
  <c r="P152" i="53"/>
  <c r="P153" i="53"/>
  <c r="P154" i="53"/>
  <c r="P155" i="53"/>
  <c r="P156" i="53"/>
  <c r="P157" i="53"/>
  <c r="P158" i="53"/>
  <c r="P159" i="53"/>
  <c r="P160" i="53"/>
  <c r="P161" i="53"/>
  <c r="P162" i="53"/>
  <c r="P163" i="53"/>
  <c r="P164" i="53"/>
  <c r="P165" i="53"/>
  <c r="P166" i="53"/>
  <c r="P167" i="53"/>
  <c r="P168" i="53"/>
  <c r="P169" i="53"/>
  <c r="P170" i="53"/>
  <c r="P171" i="53"/>
  <c r="P172" i="53"/>
  <c r="P173" i="53"/>
  <c r="P174" i="53"/>
  <c r="P175" i="53"/>
  <c r="P176" i="53"/>
  <c r="P177" i="53"/>
  <c r="P178" i="53"/>
  <c r="P179" i="53"/>
  <c r="P180" i="53"/>
  <c r="P181" i="53"/>
  <c r="P182" i="53"/>
  <c r="P183" i="53"/>
  <c r="P184" i="53"/>
  <c r="P185" i="53"/>
  <c r="P186" i="53"/>
  <c r="P187" i="53"/>
  <c r="P4" i="53"/>
  <c r="O4" i="53"/>
  <c r="N4" i="53"/>
  <c r="M4" i="53"/>
  <c r="O5" i="53"/>
  <c r="O6" i="53"/>
  <c r="O7" i="53"/>
  <c r="O8" i="53"/>
  <c r="O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O69" i="53"/>
  <c r="O70" i="53"/>
  <c r="O71" i="53"/>
  <c r="O72" i="53"/>
  <c r="O73" i="53"/>
  <c r="O74" i="53"/>
  <c r="O75" i="53"/>
  <c r="O76" i="53"/>
  <c r="O77" i="53"/>
  <c r="O78" i="53"/>
  <c r="O79" i="53"/>
  <c r="O80" i="53"/>
  <c r="O81" i="53"/>
  <c r="O82" i="53"/>
  <c r="O83" i="53"/>
  <c r="O84" i="53"/>
  <c r="O85" i="53"/>
  <c r="O86" i="53"/>
  <c r="O87" i="53"/>
  <c r="O88" i="53"/>
  <c r="O89" i="53"/>
  <c r="O90" i="53"/>
  <c r="O91" i="53"/>
  <c r="O92" i="53"/>
  <c r="O93" i="53"/>
  <c r="O94" i="53"/>
  <c r="O95" i="53"/>
  <c r="O96" i="53"/>
  <c r="O97" i="53"/>
  <c r="O98" i="53"/>
  <c r="O99" i="53"/>
  <c r="O100" i="53"/>
  <c r="O101" i="53"/>
  <c r="O102" i="53"/>
  <c r="O103" i="53"/>
  <c r="O104" i="53"/>
  <c r="O105" i="53"/>
  <c r="O106" i="53"/>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39" i="53"/>
  <c r="O140" i="53"/>
  <c r="O141" i="53"/>
  <c r="O142" i="53"/>
  <c r="O143" i="53"/>
  <c r="O144" i="53"/>
  <c r="O145" i="53"/>
  <c r="O146" i="53"/>
  <c r="O147" i="53"/>
  <c r="O148" i="53"/>
  <c r="O149" i="53"/>
  <c r="O150" i="53"/>
  <c r="O151" i="53"/>
  <c r="O152" i="53"/>
  <c r="O153" i="53"/>
  <c r="O154" i="53"/>
  <c r="O155" i="53"/>
  <c r="O156" i="53"/>
  <c r="O157" i="53"/>
  <c r="O158" i="53"/>
  <c r="O159" i="53"/>
  <c r="O160" i="53"/>
  <c r="O161" i="53"/>
  <c r="O162" i="53"/>
  <c r="O163" i="53"/>
  <c r="O164" i="53"/>
  <c r="O165" i="53"/>
  <c r="O166" i="53"/>
  <c r="O167" i="53"/>
  <c r="O168" i="53"/>
  <c r="O169" i="53"/>
  <c r="O170" i="53"/>
  <c r="O171" i="53"/>
  <c r="O172" i="53"/>
  <c r="O173" i="53"/>
  <c r="O174" i="53"/>
  <c r="O175" i="53"/>
  <c r="O176" i="53"/>
  <c r="O177" i="53"/>
  <c r="O178" i="53"/>
  <c r="O179" i="53"/>
  <c r="O180" i="53"/>
  <c r="O181" i="53"/>
  <c r="O182" i="53"/>
  <c r="O183" i="53"/>
  <c r="O184" i="53"/>
  <c r="O185" i="53"/>
  <c r="O186" i="53"/>
  <c r="O187" i="53"/>
  <c r="N5" i="53"/>
  <c r="N6" i="53"/>
  <c r="N7" i="53"/>
  <c r="N8" i="53"/>
  <c r="N9" i="53"/>
  <c r="N10" i="53"/>
  <c r="N11" i="53"/>
  <c r="N12" i="53"/>
  <c r="N13" i="53"/>
  <c r="N14" i="53"/>
  <c r="N15" i="53"/>
  <c r="N16" i="53"/>
  <c r="N17" i="53"/>
  <c r="N18" i="53"/>
  <c r="N19" i="53"/>
  <c r="N20" i="53"/>
  <c r="N21" i="53"/>
  <c r="N22" i="53"/>
  <c r="N23" i="53"/>
  <c r="N24" i="53"/>
  <c r="N25" i="53"/>
  <c r="N26" i="53"/>
  <c r="N27" i="53"/>
  <c r="N28" i="53"/>
  <c r="N29" i="53"/>
  <c r="N30" i="53"/>
  <c r="N31" i="53"/>
  <c r="N32" i="53"/>
  <c r="N33" i="53"/>
  <c r="N34" i="53"/>
  <c r="N35" i="53"/>
  <c r="N36" i="53"/>
  <c r="N37" i="53"/>
  <c r="N38" i="53"/>
  <c r="N39" i="53"/>
  <c r="N40" i="53"/>
  <c r="N41" i="53"/>
  <c r="N42" i="53"/>
  <c r="N43" i="53"/>
  <c r="N44" i="53"/>
  <c r="N45" i="53"/>
  <c r="N46" i="53"/>
  <c r="N47" i="53"/>
  <c r="N48" i="53"/>
  <c r="N49" i="53"/>
  <c r="N50" i="53"/>
  <c r="N51" i="53"/>
  <c r="N52" i="53"/>
  <c r="N53" i="53"/>
  <c r="N54" i="53"/>
  <c r="N55" i="53"/>
  <c r="N56" i="53"/>
  <c r="N57" i="53"/>
  <c r="N58" i="53"/>
  <c r="N59" i="53"/>
  <c r="N60" i="53"/>
  <c r="N61" i="53"/>
  <c r="N62" i="53"/>
  <c r="N63" i="53"/>
  <c r="N64" i="53"/>
  <c r="N65" i="53"/>
  <c r="N66" i="53"/>
  <c r="N67" i="53"/>
  <c r="N68" i="53"/>
  <c r="N69" i="53"/>
  <c r="N70" i="53"/>
  <c r="N71" i="53"/>
  <c r="N72" i="53"/>
  <c r="N73" i="53"/>
  <c r="N74" i="53"/>
  <c r="N75" i="53"/>
  <c r="N76" i="53"/>
  <c r="N77" i="53"/>
  <c r="N78" i="53"/>
  <c r="N79" i="53"/>
  <c r="N80" i="53"/>
  <c r="N81" i="53"/>
  <c r="N82" i="53"/>
  <c r="N83" i="53"/>
  <c r="N84" i="53"/>
  <c r="N85" i="53"/>
  <c r="N86" i="53"/>
  <c r="N87" i="53"/>
  <c r="N88" i="53"/>
  <c r="N89" i="53"/>
  <c r="N90" i="53"/>
  <c r="N91" i="53"/>
  <c r="N92" i="53"/>
  <c r="N93" i="53"/>
  <c r="N94" i="53"/>
  <c r="N95" i="53"/>
  <c r="N96" i="53"/>
  <c r="N97" i="53"/>
  <c r="N98" i="53"/>
  <c r="N99" i="53"/>
  <c r="N100" i="53"/>
  <c r="N101" i="53"/>
  <c r="N102" i="53"/>
  <c r="N103" i="53"/>
  <c r="N104" i="53"/>
  <c r="N105" i="53"/>
  <c r="N106" i="53"/>
  <c r="N107" i="53"/>
  <c r="N108" i="53"/>
  <c r="N109" i="53"/>
  <c r="N110" i="53"/>
  <c r="N111" i="53"/>
  <c r="N112" i="53"/>
  <c r="N113" i="53"/>
  <c r="N114" i="53"/>
  <c r="N115" i="53"/>
  <c r="N116" i="53"/>
  <c r="N117" i="53"/>
  <c r="N118" i="53"/>
  <c r="N119" i="53"/>
  <c r="N120" i="53"/>
  <c r="N121" i="53"/>
  <c r="N122" i="53"/>
  <c r="N123" i="53"/>
  <c r="N124" i="53"/>
  <c r="N125" i="53"/>
  <c r="N126" i="53"/>
  <c r="N127" i="53"/>
  <c r="N128" i="53"/>
  <c r="N129" i="53"/>
  <c r="N130" i="53"/>
  <c r="N131" i="53"/>
  <c r="N132" i="53"/>
  <c r="N133" i="53"/>
  <c r="N134" i="53"/>
  <c r="N135" i="53"/>
  <c r="N136" i="53"/>
  <c r="N137" i="53"/>
  <c r="N138" i="53"/>
  <c r="N139" i="53"/>
  <c r="N140" i="53"/>
  <c r="N141" i="53"/>
  <c r="N142" i="53"/>
  <c r="N143" i="53"/>
  <c r="N144" i="53"/>
  <c r="N145" i="53"/>
  <c r="N146" i="53"/>
  <c r="N147" i="53"/>
  <c r="N148" i="53"/>
  <c r="N149" i="53"/>
  <c r="N150" i="53"/>
  <c r="N151" i="53"/>
  <c r="N152" i="53"/>
  <c r="N153" i="53"/>
  <c r="N154" i="53"/>
  <c r="N155" i="53"/>
  <c r="N156" i="53"/>
  <c r="N157" i="53"/>
  <c r="N158" i="53"/>
  <c r="N159" i="53"/>
  <c r="N160" i="53"/>
  <c r="N161" i="53"/>
  <c r="N162" i="53"/>
  <c r="N163" i="53"/>
  <c r="N164" i="53"/>
  <c r="N165" i="53"/>
  <c r="N166" i="53"/>
  <c r="N167" i="53"/>
  <c r="N168" i="53"/>
  <c r="N169" i="53"/>
  <c r="N170" i="53"/>
  <c r="N171" i="53"/>
  <c r="N172" i="53"/>
  <c r="N173" i="53"/>
  <c r="N174" i="53"/>
  <c r="N175" i="53"/>
  <c r="N176" i="53"/>
  <c r="N177" i="53"/>
  <c r="N178" i="53"/>
  <c r="N179" i="53"/>
  <c r="N180" i="53"/>
  <c r="N181" i="53"/>
  <c r="N182" i="53"/>
  <c r="N183" i="53"/>
  <c r="N184" i="53"/>
  <c r="N185" i="53"/>
  <c r="N186" i="53"/>
  <c r="N187" i="53"/>
  <c r="M5" i="53"/>
  <c r="M6" i="53"/>
  <c r="M7" i="53"/>
  <c r="M8" i="53"/>
  <c r="M9" i="53"/>
  <c r="M10" i="53"/>
  <c r="M11" i="53"/>
  <c r="M12" i="53"/>
  <c r="M13" i="53"/>
  <c r="M14" i="53"/>
  <c r="M15" i="53"/>
  <c r="M16" i="53"/>
  <c r="M17" i="53"/>
  <c r="M18" i="53"/>
  <c r="M19" i="53"/>
  <c r="M20" i="53"/>
  <c r="M21" i="53"/>
  <c r="M22" i="53"/>
  <c r="M23" i="53"/>
  <c r="M24" i="53"/>
  <c r="M25" i="53"/>
  <c r="M26" i="53"/>
  <c r="M27" i="53"/>
  <c r="M28" i="53"/>
  <c r="M29" i="53"/>
  <c r="M30" i="53"/>
  <c r="M31" i="53"/>
  <c r="M32" i="53"/>
  <c r="M33" i="53"/>
  <c r="M34" i="53"/>
  <c r="M35" i="53"/>
  <c r="M36" i="53"/>
  <c r="M37" i="53"/>
  <c r="M38" i="53"/>
  <c r="M39" i="53"/>
  <c r="M40" i="53"/>
  <c r="M41" i="53"/>
  <c r="M42" i="53"/>
  <c r="M43" i="53"/>
  <c r="M44" i="53"/>
  <c r="M45" i="53"/>
  <c r="M46" i="53"/>
  <c r="M47" i="53"/>
  <c r="M48" i="53"/>
  <c r="M49" i="53"/>
  <c r="M50" i="53"/>
  <c r="M51" i="53"/>
  <c r="M52" i="53"/>
  <c r="M53" i="53"/>
  <c r="M54" i="53"/>
  <c r="M55" i="53"/>
  <c r="M56" i="53"/>
  <c r="M57" i="53"/>
  <c r="M58" i="53"/>
  <c r="M59" i="53"/>
  <c r="M60" i="53"/>
  <c r="M61" i="53"/>
  <c r="M62" i="53"/>
  <c r="M63" i="53"/>
  <c r="M64" i="53"/>
  <c r="M65" i="53"/>
  <c r="M66" i="53"/>
  <c r="M67" i="53"/>
  <c r="M68" i="53"/>
  <c r="M69" i="53"/>
  <c r="M70" i="53"/>
  <c r="M71" i="53"/>
  <c r="M72" i="53"/>
  <c r="M73" i="53"/>
  <c r="M74" i="53"/>
  <c r="M75" i="53"/>
  <c r="M76" i="53"/>
  <c r="M77" i="53"/>
  <c r="M78" i="53"/>
  <c r="M79" i="53"/>
  <c r="M80" i="53"/>
  <c r="M81" i="53"/>
  <c r="M82" i="53"/>
  <c r="M83" i="53"/>
  <c r="M84" i="53"/>
  <c r="M85" i="53"/>
  <c r="M86" i="53"/>
  <c r="M87" i="53"/>
  <c r="M88" i="53"/>
  <c r="M89" i="53"/>
  <c r="M90" i="53"/>
  <c r="M91" i="53"/>
  <c r="M92" i="53"/>
  <c r="M93" i="53"/>
  <c r="M94" i="53"/>
  <c r="M95" i="53"/>
  <c r="M96" i="53"/>
  <c r="M97" i="53"/>
  <c r="M98" i="53"/>
  <c r="M99" i="53"/>
  <c r="M100" i="53"/>
  <c r="M101" i="53"/>
  <c r="M102" i="53"/>
  <c r="M103" i="53"/>
  <c r="M104" i="53"/>
  <c r="M105" i="53"/>
  <c r="M106" i="53"/>
  <c r="M107" i="53"/>
  <c r="M108" i="53"/>
  <c r="M109" i="53"/>
  <c r="M110" i="53"/>
  <c r="M111" i="53"/>
  <c r="M112" i="53"/>
  <c r="M113" i="53"/>
  <c r="M114" i="53"/>
  <c r="M115" i="53"/>
  <c r="M116" i="53"/>
  <c r="M117" i="53"/>
  <c r="M118" i="53"/>
  <c r="M119" i="53"/>
  <c r="M120" i="53"/>
  <c r="M121" i="53"/>
  <c r="M122" i="53"/>
  <c r="M123" i="53"/>
  <c r="M124" i="53"/>
  <c r="M125" i="53"/>
  <c r="M126" i="53"/>
  <c r="M127" i="53"/>
  <c r="M128" i="53"/>
  <c r="M129" i="53"/>
  <c r="M130" i="53"/>
  <c r="M131" i="53"/>
  <c r="M132" i="53"/>
  <c r="M133" i="53"/>
  <c r="M134" i="53"/>
  <c r="M135" i="53"/>
  <c r="M136" i="53"/>
  <c r="M137" i="53"/>
  <c r="M138" i="53"/>
  <c r="M139" i="53"/>
  <c r="M140" i="53"/>
  <c r="M141" i="53"/>
  <c r="M142" i="53"/>
  <c r="M143" i="53"/>
  <c r="M144" i="53"/>
  <c r="M145" i="53"/>
  <c r="M146" i="53"/>
  <c r="M147" i="53"/>
  <c r="M148" i="53"/>
  <c r="M149" i="53"/>
  <c r="M150" i="53"/>
  <c r="M151" i="53"/>
  <c r="M152" i="53"/>
  <c r="M153" i="53"/>
  <c r="M154" i="53"/>
  <c r="M155" i="53"/>
  <c r="M156" i="53"/>
  <c r="M157" i="53"/>
  <c r="M158" i="53"/>
  <c r="M159" i="53"/>
  <c r="M160" i="53"/>
  <c r="M161" i="53"/>
  <c r="M162" i="53"/>
  <c r="M163" i="53"/>
  <c r="M164" i="53"/>
  <c r="M165" i="53"/>
  <c r="M166" i="53"/>
  <c r="M167" i="53"/>
  <c r="M168" i="53"/>
  <c r="M169" i="53"/>
  <c r="M170" i="53"/>
  <c r="M171" i="53"/>
  <c r="M172" i="53"/>
  <c r="M173" i="53"/>
  <c r="M174" i="53"/>
  <c r="M175" i="53"/>
  <c r="M176" i="53"/>
  <c r="M177" i="53"/>
  <c r="M178" i="53"/>
  <c r="M179" i="53"/>
  <c r="M180" i="53"/>
  <c r="M181" i="53"/>
  <c r="M182" i="53"/>
  <c r="M183" i="53"/>
  <c r="M184" i="53"/>
  <c r="M185" i="53"/>
  <c r="M186" i="53"/>
  <c r="M187" i="53"/>
  <c r="D5" i="53"/>
  <c r="D6" i="53"/>
  <c r="D7" i="53"/>
  <c r="D8" i="53"/>
  <c r="D9" i="53"/>
  <c r="D10" i="53"/>
  <c r="D11" i="53"/>
  <c r="D12" i="53"/>
  <c r="D13" i="53"/>
  <c r="D14" i="53"/>
  <c r="D15" i="53"/>
  <c r="D16" i="53"/>
  <c r="D17" i="53"/>
  <c r="D18" i="53"/>
  <c r="D19" i="53"/>
  <c r="D20" i="53"/>
  <c r="D21" i="53"/>
  <c r="D22" i="53"/>
  <c r="D23" i="53"/>
  <c r="D24" i="53"/>
  <c r="D25" i="53"/>
  <c r="D26" i="53"/>
  <c r="D27" i="53"/>
  <c r="D28" i="53"/>
  <c r="D29" i="53"/>
  <c r="D30" i="53"/>
  <c r="D31" i="53"/>
  <c r="D32" i="53"/>
  <c r="D33" i="53"/>
  <c r="D34" i="53"/>
  <c r="D35" i="53"/>
  <c r="D36" i="53"/>
  <c r="D37" i="53"/>
  <c r="D38" i="53"/>
  <c r="D39" i="53"/>
  <c r="D40" i="53"/>
  <c r="D41" i="53"/>
  <c r="D42" i="53"/>
  <c r="D43" i="53"/>
  <c r="D44" i="53"/>
  <c r="D45" i="53"/>
  <c r="D46" i="53"/>
  <c r="D47" i="53"/>
  <c r="D48" i="53"/>
  <c r="D49" i="53"/>
  <c r="D50" i="53"/>
  <c r="D51" i="53"/>
  <c r="D52" i="53"/>
  <c r="D53" i="53"/>
  <c r="D54" i="53"/>
  <c r="D55" i="53"/>
  <c r="D56" i="53"/>
  <c r="D57" i="53"/>
  <c r="D58" i="53"/>
  <c r="D59" i="53"/>
  <c r="D60" i="53"/>
  <c r="D61" i="53"/>
  <c r="D62" i="53"/>
  <c r="D63" i="53"/>
  <c r="D64" i="53"/>
  <c r="D65" i="53"/>
  <c r="D66" i="53"/>
  <c r="D67" i="53"/>
  <c r="D68" i="53"/>
  <c r="D69" i="53"/>
  <c r="D70" i="53"/>
  <c r="D71" i="53"/>
  <c r="D72" i="53"/>
  <c r="D73" i="53"/>
  <c r="D74" i="53"/>
  <c r="D75" i="53"/>
  <c r="D76" i="53"/>
  <c r="D77" i="53"/>
  <c r="D78" i="53"/>
  <c r="D79" i="53"/>
  <c r="D80" i="53"/>
  <c r="D81" i="53"/>
  <c r="D82" i="53"/>
  <c r="D83" i="53"/>
  <c r="D84" i="53"/>
  <c r="D85" i="53"/>
  <c r="D86" i="53"/>
  <c r="D87" i="53"/>
  <c r="D88" i="53"/>
  <c r="D89" i="53"/>
  <c r="D90" i="53"/>
  <c r="D91" i="53"/>
  <c r="D92" i="53"/>
  <c r="D93" i="53"/>
  <c r="D94" i="53"/>
  <c r="D95" i="53"/>
  <c r="D96" i="53"/>
  <c r="D97" i="53"/>
  <c r="D98" i="53"/>
  <c r="D99" i="53"/>
  <c r="D100" i="53"/>
  <c r="D101" i="53"/>
  <c r="D102" i="53"/>
  <c r="D103" i="53"/>
  <c r="D104" i="53"/>
  <c r="D105" i="53"/>
  <c r="D106" i="53"/>
  <c r="D107" i="53"/>
  <c r="D108" i="53"/>
  <c r="D109" i="53"/>
  <c r="D110" i="53"/>
  <c r="D111" i="53"/>
  <c r="D112" i="53"/>
  <c r="D113" i="53"/>
  <c r="D114" i="53"/>
  <c r="D115" i="53"/>
  <c r="D116" i="53"/>
  <c r="D117" i="53"/>
  <c r="D118" i="53"/>
  <c r="D119" i="53"/>
  <c r="D120" i="53"/>
  <c r="D121" i="53"/>
  <c r="D122" i="53"/>
  <c r="D123" i="53"/>
  <c r="D124" i="53"/>
  <c r="D125" i="53"/>
  <c r="D126" i="53"/>
  <c r="D127" i="53"/>
  <c r="D128" i="53"/>
  <c r="D129" i="53"/>
  <c r="D130" i="53"/>
  <c r="D131" i="53"/>
  <c r="D132" i="53"/>
  <c r="D133" i="53"/>
  <c r="D134" i="53"/>
  <c r="D135" i="53"/>
  <c r="D136" i="53"/>
  <c r="D137" i="53"/>
  <c r="D138" i="53"/>
  <c r="D139" i="53"/>
  <c r="D140" i="53"/>
  <c r="D141" i="53"/>
  <c r="D142" i="53"/>
  <c r="D143" i="53"/>
  <c r="D144" i="53"/>
  <c r="D145" i="53"/>
  <c r="D146" i="53"/>
  <c r="D147" i="53"/>
  <c r="D148" i="53"/>
  <c r="D149" i="53"/>
  <c r="D150" i="53"/>
  <c r="D151" i="53"/>
  <c r="D152" i="53"/>
  <c r="D153" i="53"/>
  <c r="D154" i="53"/>
  <c r="D155" i="53"/>
  <c r="D156" i="53"/>
  <c r="D157" i="53"/>
  <c r="D158" i="53"/>
  <c r="D159" i="53"/>
  <c r="D160" i="53"/>
  <c r="D161" i="53"/>
  <c r="D162" i="53"/>
  <c r="D163" i="53"/>
  <c r="D164" i="53"/>
  <c r="D165" i="53"/>
  <c r="D166" i="53"/>
  <c r="D167" i="53"/>
  <c r="D168" i="53"/>
  <c r="D169" i="53"/>
  <c r="D170" i="53"/>
  <c r="D171" i="53"/>
  <c r="D172" i="53"/>
  <c r="D173" i="53"/>
  <c r="D174" i="53"/>
  <c r="D175" i="53"/>
  <c r="D176" i="53"/>
  <c r="D177" i="53"/>
  <c r="D178" i="53"/>
  <c r="D179" i="53"/>
  <c r="D180" i="53"/>
  <c r="D181" i="53"/>
  <c r="D182" i="53"/>
  <c r="D183" i="53"/>
  <c r="D184" i="53"/>
  <c r="D185" i="53"/>
  <c r="D186" i="53"/>
  <c r="D187" i="53"/>
  <c r="C7" i="41"/>
  <c r="F20" i="53"/>
  <c r="F21" i="53"/>
  <c r="F32" i="53"/>
  <c r="F33" i="53"/>
  <c r="F34" i="53"/>
  <c r="F38" i="53"/>
  <c r="F39" i="53"/>
  <c r="F40" i="53"/>
  <c r="F41" i="53"/>
  <c r="F42" i="53"/>
  <c r="F43" i="53"/>
  <c r="F44" i="53"/>
  <c r="F45" i="53"/>
  <c r="F46" i="53"/>
  <c r="F47" i="53"/>
  <c r="F48" i="53"/>
  <c r="F50" i="53"/>
  <c r="F51" i="53"/>
  <c r="F57" i="53"/>
  <c r="F66" i="53"/>
  <c r="F70" i="53"/>
  <c r="F72" i="53"/>
  <c r="F84" i="53"/>
  <c r="F87" i="53"/>
  <c r="F90" i="53"/>
  <c r="F93" i="53"/>
  <c r="F94" i="53"/>
  <c r="F95" i="53"/>
  <c r="F96" i="53"/>
  <c r="F97" i="53"/>
  <c r="F98" i="53"/>
  <c r="F100" i="53"/>
  <c r="F101" i="53"/>
  <c r="F102" i="53"/>
  <c r="F103" i="53"/>
  <c r="F106" i="53"/>
  <c r="F108" i="53"/>
  <c r="F112" i="53"/>
  <c r="F113" i="53"/>
  <c r="F114" i="53"/>
  <c r="F115" i="53"/>
  <c r="F117" i="53"/>
  <c r="F118" i="53"/>
  <c r="F119" i="53"/>
  <c r="F120" i="53"/>
  <c r="F121" i="53"/>
  <c r="F122" i="53"/>
  <c r="F123" i="53"/>
  <c r="F124" i="53"/>
  <c r="F125" i="53"/>
  <c r="F126" i="53"/>
  <c r="F137" i="53"/>
  <c r="F139" i="53"/>
  <c r="F140" i="53"/>
  <c r="F155" i="53"/>
  <c r="F163" i="53"/>
  <c r="F164" i="53"/>
  <c r="F168" i="53"/>
  <c r="F171" i="53"/>
  <c r="F172" i="53"/>
  <c r="F177" i="53"/>
  <c r="F179" i="53"/>
  <c r="F180" i="53"/>
  <c r="F182" i="53"/>
  <c r="F186" i="53"/>
  <c r="F187" i="53"/>
  <c r="K42" i="43" l="1"/>
  <c r="L39" i="43"/>
  <c r="K39" i="43"/>
  <c r="L37" i="43"/>
  <c r="M42" i="43"/>
  <c r="L42" i="43"/>
  <c r="M40" i="43"/>
  <c r="J39" i="43"/>
  <c r="L40" i="43"/>
  <c r="C28" i="18"/>
  <c r="C31" i="22"/>
  <c r="N59" i="18"/>
  <c r="N67" i="18" s="1"/>
  <c r="C142" i="18"/>
  <c r="C72" i="18"/>
  <c r="C90" i="18"/>
  <c r="C91" i="18" s="1"/>
  <c r="H72" i="18"/>
  <c r="H73" i="18" s="1"/>
  <c r="C160" i="18"/>
  <c r="C59" i="18"/>
  <c r="C151" i="18"/>
  <c r="C33" i="18"/>
  <c r="C50" i="18"/>
  <c r="C51" i="18" s="1"/>
  <c r="H33" i="18"/>
  <c r="H34" i="18" s="1"/>
  <c r="C140" i="18"/>
  <c r="C158" i="18"/>
  <c r="C149" i="18"/>
  <c r="E149" i="18" s="1"/>
  <c r="N50" i="18"/>
  <c r="N51" i="18" s="1"/>
  <c r="S33" i="18"/>
  <c r="S34" i="18" s="1"/>
  <c r="N20" i="18"/>
  <c r="N28" i="18" s="1"/>
  <c r="N33" i="18"/>
  <c r="C141" i="18"/>
  <c r="C150" i="18"/>
  <c r="C159" i="18"/>
  <c r="C144" i="18"/>
  <c r="C130" i="18"/>
  <c r="C131" i="18" s="1"/>
  <c r="H112" i="18"/>
  <c r="H113" i="18" s="1"/>
  <c r="C112" i="18"/>
  <c r="C153" i="18"/>
  <c r="C162" i="18"/>
  <c r="C99" i="18"/>
  <c r="C107" i="18" s="1"/>
  <c r="N90" i="18"/>
  <c r="N91" i="18" s="1"/>
  <c r="S72" i="18"/>
  <c r="S73" i="18" s="1"/>
  <c r="N72" i="18"/>
  <c r="C143" i="18"/>
  <c r="C152" i="18"/>
  <c r="C161" i="18"/>
  <c r="D158" i="18"/>
  <c r="D160" i="18"/>
  <c r="D162" i="18"/>
  <c r="D161" i="18"/>
  <c r="D159" i="18"/>
  <c r="D151" i="18"/>
  <c r="D153" i="18"/>
  <c r="D152" i="18"/>
  <c r="D150" i="18"/>
  <c r="C67" i="18" l="1"/>
  <c r="C73" i="18" s="1"/>
  <c r="C34" i="18"/>
  <c r="E160" i="18"/>
  <c r="E151" i="18"/>
  <c r="E153" i="18"/>
  <c r="E150" i="18"/>
  <c r="E159" i="18"/>
  <c r="N34" i="18"/>
  <c r="D141" i="18"/>
  <c r="E141" i="18" s="1"/>
  <c r="C171" i="18" s="1"/>
  <c r="E158" i="18"/>
  <c r="E161" i="18"/>
  <c r="E162" i="18"/>
  <c r="E152" i="18"/>
  <c r="D140" i="18"/>
  <c r="E140" i="18" s="1"/>
  <c r="D143" i="18"/>
  <c r="E143" i="18" s="1"/>
  <c r="N73" i="18"/>
  <c r="D144" i="18"/>
  <c r="E144" i="18" s="1"/>
  <c r="C113" i="18"/>
  <c r="F13" i="23"/>
  <c r="F12" i="23"/>
  <c r="E13" i="23"/>
  <c r="E12" i="23"/>
  <c r="C136" i="23" s="1"/>
  <c r="D13" i="23"/>
  <c r="D12" i="23"/>
  <c r="C125" i="23" s="1"/>
  <c r="C13" i="23"/>
  <c r="C12" i="23"/>
  <c r="C114" i="23" s="1"/>
  <c r="E5" i="54"/>
  <c r="E6" i="54"/>
  <c r="E7" i="54"/>
  <c r="E8" i="54"/>
  <c r="E9" i="54"/>
  <c r="E10" i="54"/>
  <c r="E11" i="54"/>
  <c r="E12" i="54"/>
  <c r="E13" i="54"/>
  <c r="E14" i="54"/>
  <c r="E15" i="54"/>
  <c r="E16" i="54"/>
  <c r="E17" i="54"/>
  <c r="E18" i="54"/>
  <c r="E19" i="54"/>
  <c r="E20" i="54"/>
  <c r="E21" i="54"/>
  <c r="E22" i="54"/>
  <c r="E23" i="54"/>
  <c r="E24" i="54"/>
  <c r="E25" i="54"/>
  <c r="E26" i="54"/>
  <c r="E27" i="54"/>
  <c r="E28" i="54"/>
  <c r="E29" i="54"/>
  <c r="E30" i="54"/>
  <c r="E31" i="54"/>
  <c r="E32" i="54"/>
  <c r="E33" i="54"/>
  <c r="E34" i="54"/>
  <c r="E35" i="54"/>
  <c r="E36" i="54"/>
  <c r="E37" i="54"/>
  <c r="E38" i="54"/>
  <c r="E39" i="54"/>
  <c r="E40" i="54"/>
  <c r="E41" i="54"/>
  <c r="E42" i="54"/>
  <c r="E43" i="54"/>
  <c r="E44" i="54"/>
  <c r="E45" i="54"/>
  <c r="E46" i="54"/>
  <c r="E47" i="54"/>
  <c r="E48" i="54"/>
  <c r="E49" i="54"/>
  <c r="E50" i="54"/>
  <c r="E51" i="54"/>
  <c r="E52" i="54"/>
  <c r="E53" i="54"/>
  <c r="E54" i="54"/>
  <c r="E55" i="54"/>
  <c r="E56" i="54"/>
  <c r="E57" i="54"/>
  <c r="E58" i="54"/>
  <c r="E59" i="54"/>
  <c r="E60" i="54"/>
  <c r="E61" i="54"/>
  <c r="E62" i="54"/>
  <c r="E63" i="54"/>
  <c r="E64" i="54"/>
  <c r="E65" i="54"/>
  <c r="E66" i="54"/>
  <c r="E67" i="54"/>
  <c r="E68" i="54"/>
  <c r="E69" i="54"/>
  <c r="E70" i="54"/>
  <c r="E71" i="54"/>
  <c r="E72" i="54"/>
  <c r="E73" i="54"/>
  <c r="E74" i="54"/>
  <c r="E75" i="54"/>
  <c r="E76" i="54"/>
  <c r="E77" i="54"/>
  <c r="E78" i="54"/>
  <c r="E79" i="54"/>
  <c r="E80" i="54"/>
  <c r="E81" i="54"/>
  <c r="E82" i="54"/>
  <c r="E83" i="54"/>
  <c r="E84" i="54"/>
  <c r="E85" i="54"/>
  <c r="E86" i="54"/>
  <c r="E87" i="54"/>
  <c r="E88" i="54"/>
  <c r="E89" i="54"/>
  <c r="E90" i="54"/>
  <c r="E91" i="54"/>
  <c r="E92" i="54"/>
  <c r="E93" i="54"/>
  <c r="E94" i="54"/>
  <c r="E95" i="54"/>
  <c r="E96" i="54"/>
  <c r="E97" i="54"/>
  <c r="E98" i="54"/>
  <c r="E99" i="54"/>
  <c r="E100" i="54"/>
  <c r="E101" i="54"/>
  <c r="E102" i="54"/>
  <c r="E103" i="54"/>
  <c r="E104" i="54"/>
  <c r="E105" i="54"/>
  <c r="E106" i="54"/>
  <c r="E107" i="54"/>
  <c r="E108" i="54"/>
  <c r="E109" i="54"/>
  <c r="E110" i="54"/>
  <c r="E111" i="54"/>
  <c r="E112" i="54"/>
  <c r="E113" i="54"/>
  <c r="E114" i="54"/>
  <c r="E115" i="54"/>
  <c r="E116" i="54"/>
  <c r="E117" i="54"/>
  <c r="E118" i="54"/>
  <c r="E119" i="54"/>
  <c r="E120" i="54"/>
  <c r="E121" i="54"/>
  <c r="E122" i="54"/>
  <c r="E123" i="54"/>
  <c r="E124" i="54"/>
  <c r="E125" i="54"/>
  <c r="E126" i="54"/>
  <c r="E127" i="54"/>
  <c r="E128" i="54"/>
  <c r="E129" i="54"/>
  <c r="E130" i="54"/>
  <c r="E131" i="54"/>
  <c r="E132" i="54"/>
  <c r="E133" i="54"/>
  <c r="E134" i="54"/>
  <c r="E135" i="54"/>
  <c r="E4" i="54"/>
  <c r="C173" i="18" l="1"/>
  <c r="D142" i="18"/>
  <c r="E142" i="18" s="1"/>
  <c r="C183" i="18"/>
  <c r="E183" i="18" s="1"/>
  <c r="D38" i="7" s="1"/>
  <c r="D171" i="18"/>
  <c r="C185" i="18"/>
  <c r="E185" i="18" s="1"/>
  <c r="F38" i="7" s="1"/>
  <c r="D173" i="18"/>
  <c r="C170" i="18"/>
  <c r="C172" i="18"/>
  <c r="C174" i="18"/>
  <c r="I4" i="52"/>
  <c r="I5"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258" i="52"/>
  <c r="I259" i="52"/>
  <c r="I260" i="52"/>
  <c r="I261" i="52"/>
  <c r="I262" i="52"/>
  <c r="I263" i="52"/>
  <c r="I264" i="52"/>
  <c r="I265" i="52"/>
  <c r="I266" i="52"/>
  <c r="I267" i="52"/>
  <c r="I268" i="52"/>
  <c r="I269" i="52"/>
  <c r="I270" i="52"/>
  <c r="I271" i="52"/>
  <c r="I272" i="52"/>
  <c r="I273" i="52"/>
  <c r="I274" i="52"/>
  <c r="I275" i="52"/>
  <c r="I276" i="52"/>
  <c r="I277" i="52"/>
  <c r="I278" i="52"/>
  <c r="I279" i="52"/>
  <c r="I280" i="52"/>
  <c r="I281" i="52"/>
  <c r="I282" i="52"/>
  <c r="I283" i="52"/>
  <c r="I284" i="52"/>
  <c r="I285" i="52"/>
  <c r="I286" i="52"/>
  <c r="I287" i="52"/>
  <c r="I288" i="52"/>
  <c r="I289" i="52"/>
  <c r="I290" i="52"/>
  <c r="I291" i="52"/>
  <c r="I292" i="52"/>
  <c r="I293" i="52"/>
  <c r="I294" i="52"/>
  <c r="I295" i="52"/>
  <c r="I296" i="52"/>
  <c r="I297" i="52"/>
  <c r="I298" i="52"/>
  <c r="I299" i="52"/>
  <c r="I300" i="52"/>
  <c r="I301" i="52"/>
  <c r="I302" i="52"/>
  <c r="I303" i="52"/>
  <c r="I304" i="52"/>
  <c r="I3" i="52"/>
  <c r="C186" i="18" l="1"/>
  <c r="E186" i="18" s="1"/>
  <c r="G38" i="7" s="1"/>
  <c r="D174" i="18"/>
  <c r="C184" i="18"/>
  <c r="E184" i="18" s="1"/>
  <c r="E38" i="7" s="1"/>
  <c r="D172" i="18"/>
  <c r="D170" i="18"/>
  <c r="C175" i="18"/>
  <c r="C182" i="18"/>
  <c r="C8" i="41"/>
  <c r="C9" i="41"/>
  <c r="C10" i="41"/>
  <c r="C11" i="41"/>
  <c r="C12" i="41"/>
  <c r="C13"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2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D7" i="41"/>
  <c r="D8" i="41"/>
  <c r="D9" i="41"/>
  <c r="D10" i="41"/>
  <c r="D11" i="41"/>
  <c r="F5" i="53" s="1"/>
  <c r="D12" i="41"/>
  <c r="F6" i="53" s="1"/>
  <c r="D13" i="41"/>
  <c r="F7" i="53" s="1"/>
  <c r="D14" i="41"/>
  <c r="F8" i="53" s="1"/>
  <c r="D15" i="41"/>
  <c r="F9" i="53" s="1"/>
  <c r="D16" i="41"/>
  <c r="F10" i="53" s="1"/>
  <c r="D17" i="41"/>
  <c r="F11" i="53" s="1"/>
  <c r="D18" i="41"/>
  <c r="D19" i="41"/>
  <c r="D20" i="41"/>
  <c r="D21" i="41"/>
  <c r="D22" i="41"/>
  <c r="F12" i="53" s="1"/>
  <c r="D23" i="41"/>
  <c r="F13" i="53" s="1"/>
  <c r="D24" i="41"/>
  <c r="D25" i="41"/>
  <c r="D26" i="41"/>
  <c r="D27" i="41"/>
  <c r="D28" i="41"/>
  <c r="D29" i="41"/>
  <c r="D30" i="41"/>
  <c r="D31" i="41"/>
  <c r="D32" i="41"/>
  <c r="D33" i="41"/>
  <c r="D34" i="41"/>
  <c r="D35" i="41"/>
  <c r="D36" i="41"/>
  <c r="F14" i="53" s="1"/>
  <c r="D37" i="41"/>
  <c r="F15" i="53" s="1"/>
  <c r="D38" i="41"/>
  <c r="D39" i="41"/>
  <c r="D40" i="41"/>
  <c r="D41" i="41"/>
  <c r="F16" i="53" s="1"/>
  <c r="D42" i="41"/>
  <c r="D43" i="41"/>
  <c r="F17" i="53" s="1"/>
  <c r="D44" i="41"/>
  <c r="D45" i="41"/>
  <c r="F18" i="53" s="1"/>
  <c r="D46" i="41"/>
  <c r="F19" i="53" s="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F22" i="53" s="1"/>
  <c r="D72" i="41"/>
  <c r="D73" i="41"/>
  <c r="F23" i="53" s="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F24" i="53" s="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F25" i="53" s="1"/>
  <c r="D131" i="41"/>
  <c r="F26" i="53" s="1"/>
  <c r="D132" i="41"/>
  <c r="F27" i="53" s="1"/>
  <c r="D133" i="41"/>
  <c r="F28" i="53" s="1"/>
  <c r="D134" i="41"/>
  <c r="D135" i="41"/>
  <c r="D136" i="41"/>
  <c r="D137" i="41"/>
  <c r="D138" i="41"/>
  <c r="D139" i="41"/>
  <c r="D140" i="41"/>
  <c r="F29" i="53" s="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D170" i="41"/>
  <c r="D171" i="41"/>
  <c r="D172" i="41"/>
  <c r="D173" i="41"/>
  <c r="F30" i="53" s="1"/>
  <c r="D174" i="41"/>
  <c r="F31" i="53" s="1"/>
  <c r="D175" i="41"/>
  <c r="D176" i="41"/>
  <c r="F35" i="53" s="1"/>
  <c r="D177" i="41"/>
  <c r="F36" i="53" s="1"/>
  <c r="D178" i="41"/>
  <c r="F37" i="53" s="1"/>
  <c r="D179" i="41"/>
  <c r="D180" i="41"/>
  <c r="D181" i="41"/>
  <c r="D182" i="41"/>
  <c r="F49" i="53" s="1"/>
  <c r="D183" i="41"/>
  <c r="F52" i="53" s="1"/>
  <c r="D184" i="41"/>
  <c r="F53" i="53" s="1"/>
  <c r="D185" i="41"/>
  <c r="F54" i="53" s="1"/>
  <c r="D186" i="41"/>
  <c r="F55" i="53" s="1"/>
  <c r="D187" i="41"/>
  <c r="F56" i="53" s="1"/>
  <c r="D188" i="41"/>
  <c r="F58" i="53" s="1"/>
  <c r="D189" i="41"/>
  <c r="F59" i="53" s="1"/>
  <c r="D190" i="41"/>
  <c r="F60" i="53" s="1"/>
  <c r="D191" i="41"/>
  <c r="F61" i="53" s="1"/>
  <c r="D192" i="41"/>
  <c r="F62" i="53" s="1"/>
  <c r="D193" i="41"/>
  <c r="F63" i="53" s="1"/>
  <c r="D194" i="41"/>
  <c r="F64" i="53" s="1"/>
  <c r="D195" i="41"/>
  <c r="F65" i="53" s="1"/>
  <c r="D196" i="41"/>
  <c r="F67" i="53" s="1"/>
  <c r="D197" i="41"/>
  <c r="F68" i="53" s="1"/>
  <c r="D198" i="41"/>
  <c r="F69" i="53" s="1"/>
  <c r="D199" i="41"/>
  <c r="F71" i="53" s="1"/>
  <c r="D200" i="41"/>
  <c r="F73" i="53" s="1"/>
  <c r="D201" i="41"/>
  <c r="F74" i="53" s="1"/>
  <c r="D202" i="41"/>
  <c r="F75" i="53" s="1"/>
  <c r="D203" i="41"/>
  <c r="F76" i="53" s="1"/>
  <c r="D204" i="41"/>
  <c r="F77" i="53" s="1"/>
  <c r="D205" i="41"/>
  <c r="F78" i="53" s="1"/>
  <c r="D206" i="41"/>
  <c r="F79" i="53" s="1"/>
  <c r="D207" i="41"/>
  <c r="F80" i="53" s="1"/>
  <c r="D208" i="41"/>
  <c r="F81" i="53" s="1"/>
  <c r="D209" i="41"/>
  <c r="F82" i="53" s="1"/>
  <c r="D210" i="41"/>
  <c r="F83" i="53" s="1"/>
  <c r="D211" i="41"/>
  <c r="F85" i="53" s="1"/>
  <c r="D212" i="41"/>
  <c r="F86" i="53" s="1"/>
  <c r="D213" i="41"/>
  <c r="F88" i="53" s="1"/>
  <c r="D214" i="41"/>
  <c r="F89" i="53" s="1"/>
  <c r="D215" i="41"/>
  <c r="F91" i="53" s="1"/>
  <c r="D216" i="41"/>
  <c r="F92" i="53" s="1"/>
  <c r="D217" i="41"/>
  <c r="D218" i="41"/>
  <c r="D219" i="41"/>
  <c r="D220" i="41"/>
  <c r="F99" i="53" s="1"/>
  <c r="D221" i="41"/>
  <c r="D222" i="41"/>
  <c r="D223" i="41"/>
  <c r="D224" i="41"/>
  <c r="F104" i="53" s="1"/>
  <c r="D225" i="41"/>
  <c r="D226" i="41"/>
  <c r="D227" i="41"/>
  <c r="F105" i="53" s="1"/>
  <c r="D228" i="41"/>
  <c r="F107" i="53" s="1"/>
  <c r="D229" i="41"/>
  <c r="F109" i="53" s="1"/>
  <c r="D230" i="41"/>
  <c r="F110" i="53" s="1"/>
  <c r="D231" i="41"/>
  <c r="F111" i="53" s="1"/>
  <c r="D232" i="41"/>
  <c r="F116" i="53" s="1"/>
  <c r="D233" i="41"/>
  <c r="F127" i="53" s="1"/>
  <c r="D234" i="41"/>
  <c r="F128" i="53" s="1"/>
  <c r="D235" i="41"/>
  <c r="F129" i="53" s="1"/>
  <c r="D236" i="41"/>
  <c r="F130" i="53" s="1"/>
  <c r="D237" i="41"/>
  <c r="F131" i="53" s="1"/>
  <c r="D238" i="41"/>
  <c r="F132" i="53" s="1"/>
  <c r="D239" i="41"/>
  <c r="F133" i="53" s="1"/>
  <c r="D240" i="41"/>
  <c r="F134" i="53" s="1"/>
  <c r="D241" i="41"/>
  <c r="F135" i="53" s="1"/>
  <c r="D242" i="41"/>
  <c r="F136" i="53" s="1"/>
  <c r="D243" i="41"/>
  <c r="F138" i="53" s="1"/>
  <c r="D244" i="41"/>
  <c r="F141" i="53" s="1"/>
  <c r="D245" i="41"/>
  <c r="F142" i="53" s="1"/>
  <c r="D246" i="41"/>
  <c r="F143" i="53" s="1"/>
  <c r="D247" i="41"/>
  <c r="F144" i="53" s="1"/>
  <c r="D248" i="41"/>
  <c r="F145" i="53" s="1"/>
  <c r="D249" i="41"/>
  <c r="F146" i="53" s="1"/>
  <c r="D250" i="41"/>
  <c r="F147" i="53" s="1"/>
  <c r="D251" i="41"/>
  <c r="F148" i="53" s="1"/>
  <c r="D252" i="41"/>
  <c r="F149" i="53" s="1"/>
  <c r="D253" i="41"/>
  <c r="F150" i="53" s="1"/>
  <c r="D254" i="41"/>
  <c r="F151" i="53" s="1"/>
  <c r="D255" i="41"/>
  <c r="F152" i="53" s="1"/>
  <c r="D256" i="41"/>
  <c r="F153" i="53" s="1"/>
  <c r="D257" i="41"/>
  <c r="F154" i="53" s="1"/>
  <c r="D258" i="41"/>
  <c r="F156" i="53" s="1"/>
  <c r="D259" i="41"/>
  <c r="F157" i="53" s="1"/>
  <c r="D260" i="41"/>
  <c r="F158" i="53" s="1"/>
  <c r="D261" i="41"/>
  <c r="F159" i="53" s="1"/>
  <c r="D262" i="41"/>
  <c r="F160" i="53" s="1"/>
  <c r="D263" i="41"/>
  <c r="F161" i="53" s="1"/>
  <c r="D264" i="41"/>
  <c r="F162" i="53" s="1"/>
  <c r="D265" i="41"/>
  <c r="F165" i="53" s="1"/>
  <c r="D266" i="41"/>
  <c r="F166" i="53" s="1"/>
  <c r="D267" i="41"/>
  <c r="F167" i="53" s="1"/>
  <c r="D268" i="41"/>
  <c r="D269" i="41"/>
  <c r="F169" i="53" s="1"/>
  <c r="D270" i="41"/>
  <c r="F170" i="53" s="1"/>
  <c r="D271" i="41"/>
  <c r="F173" i="53" s="1"/>
  <c r="D272" i="41"/>
  <c r="F174" i="53" s="1"/>
  <c r="D273" i="41"/>
  <c r="F175" i="53" s="1"/>
  <c r="D274" i="41"/>
  <c r="F176" i="53" s="1"/>
  <c r="D275" i="41"/>
  <c r="D276" i="41"/>
  <c r="F178" i="53" s="1"/>
  <c r="D277" i="41"/>
  <c r="F181" i="53" s="1"/>
  <c r="D278" i="41"/>
  <c r="F183" i="53" s="1"/>
  <c r="D279" i="41"/>
  <c r="F184" i="53" s="1"/>
  <c r="D280" i="41"/>
  <c r="F185" i="53" s="1"/>
  <c r="C35" i="21" l="1"/>
  <c r="C57" i="23"/>
  <c r="E182" i="18"/>
  <c r="C187" i="18"/>
  <c r="C28" i="21"/>
  <c r="E187" i="18" l="1"/>
  <c r="C38" i="7"/>
  <c r="B51" i="7" s="1"/>
  <c r="B46" i="7" s="1"/>
  <c r="E7" i="41"/>
  <c r="E8" i="41"/>
  <c r="E9" i="41"/>
  <c r="E10" i="41"/>
  <c r="E11" i="41"/>
  <c r="E12" i="41"/>
  <c r="E13" i="41"/>
  <c r="E14" i="41"/>
  <c r="E15" i="41"/>
  <c r="E16" i="41"/>
  <c r="E17" i="41"/>
  <c r="E18" i="41"/>
  <c r="E19" i="41"/>
  <c r="E20" i="41"/>
  <c r="E21" i="41"/>
  <c r="E22" i="41"/>
  <c r="E23" i="41"/>
  <c r="E24" i="41"/>
  <c r="E25" i="41"/>
  <c r="E26" i="41"/>
  <c r="E27" i="41"/>
  <c r="E28" i="41"/>
  <c r="E29" i="41"/>
  <c r="E30" i="41"/>
  <c r="E31" i="41"/>
  <c r="E32" i="41"/>
  <c r="E33" i="41"/>
  <c r="E34" i="41"/>
  <c r="E35" i="41"/>
  <c r="E36" i="41"/>
  <c r="E37" i="41"/>
  <c r="E38" i="41"/>
  <c r="E39" i="41"/>
  <c r="E40" i="41"/>
  <c r="E41" i="41"/>
  <c r="E42" i="41"/>
  <c r="E43"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E75" i="41"/>
  <c r="E76" i="41"/>
  <c r="E77" i="41"/>
  <c r="E78" i="41"/>
  <c r="E79" i="41"/>
  <c r="E80" i="41"/>
  <c r="E81" i="41"/>
  <c r="E82" i="41"/>
  <c r="E83" i="41"/>
  <c r="E84" i="41"/>
  <c r="E85" i="41"/>
  <c r="E86" i="41"/>
  <c r="E87" i="41"/>
  <c r="E88" i="41"/>
  <c r="E89" i="41"/>
  <c r="E90" i="41"/>
  <c r="E91" i="41"/>
  <c r="E92" i="41"/>
  <c r="E93" i="41"/>
  <c r="E94" i="41"/>
  <c r="E95" i="41"/>
  <c r="E96" i="41"/>
  <c r="E97" i="41"/>
  <c r="E98" i="41"/>
  <c r="E99" i="41"/>
  <c r="E100" i="41"/>
  <c r="E101" i="41"/>
  <c r="E102" i="41"/>
  <c r="E103" i="41"/>
  <c r="E104" i="41"/>
  <c r="E105" i="41"/>
  <c r="E106" i="41"/>
  <c r="E107" i="41"/>
  <c r="E108" i="41"/>
  <c r="E109" i="41"/>
  <c r="E110" i="41"/>
  <c r="E111" i="41"/>
  <c r="E112" i="41"/>
  <c r="E113" i="41"/>
  <c r="E114" i="41"/>
  <c r="E115" i="41"/>
  <c r="E116" i="41"/>
  <c r="E117" i="41"/>
  <c r="E118" i="41"/>
  <c r="E119" i="41"/>
  <c r="E120" i="41"/>
  <c r="E121" i="41"/>
  <c r="E122" i="41"/>
  <c r="E123" i="41"/>
  <c r="E124" i="41"/>
  <c r="E125" i="41"/>
  <c r="E126" i="41"/>
  <c r="E127" i="41"/>
  <c r="E128" i="41"/>
  <c r="E129" i="41"/>
  <c r="E130" i="41"/>
  <c r="E131" i="41"/>
  <c r="E132" i="41"/>
  <c r="E133" i="41"/>
  <c r="E134" i="41"/>
  <c r="E135" i="41"/>
  <c r="E136" i="41"/>
  <c r="E137" i="41"/>
  <c r="E138" i="41"/>
  <c r="E139" i="41"/>
  <c r="E140" i="41"/>
  <c r="E141" i="41"/>
  <c r="E142" i="41"/>
  <c r="E143" i="41"/>
  <c r="E144" i="41"/>
  <c r="E145" i="41"/>
  <c r="E146" i="41"/>
  <c r="E147" i="41"/>
  <c r="E148" i="41"/>
  <c r="E149" i="41"/>
  <c r="E150" i="41"/>
  <c r="E151" i="41"/>
  <c r="E152" i="41"/>
  <c r="E153" i="41"/>
  <c r="E154" i="41"/>
  <c r="E155" i="41"/>
  <c r="E156" i="41"/>
  <c r="E157" i="41"/>
  <c r="E158" i="41"/>
  <c r="E159" i="41"/>
  <c r="E160" i="41"/>
  <c r="E161" i="41"/>
  <c r="E162" i="41"/>
  <c r="E163" i="41"/>
  <c r="E164" i="41"/>
  <c r="E165" i="41"/>
  <c r="E166" i="41"/>
  <c r="E167" i="41"/>
  <c r="E168" i="41"/>
  <c r="E169" i="41"/>
  <c r="E170" i="41"/>
  <c r="E171" i="41"/>
  <c r="E172" i="41"/>
  <c r="E173" i="41"/>
  <c r="E174" i="41"/>
  <c r="E175" i="41"/>
  <c r="E176" i="41"/>
  <c r="E177" i="41"/>
  <c r="E178" i="41"/>
  <c r="E179" i="41"/>
  <c r="E180" i="41"/>
  <c r="E181" i="41"/>
  <c r="E182" i="41"/>
  <c r="E183" i="41"/>
  <c r="E184" i="41"/>
  <c r="E185" i="41"/>
  <c r="E186" i="41"/>
  <c r="E187" i="41"/>
  <c r="E188" i="41"/>
  <c r="E189" i="41"/>
  <c r="E190" i="41"/>
  <c r="E191" i="41"/>
  <c r="E192" i="41"/>
  <c r="E193" i="41"/>
  <c r="E194" i="41"/>
  <c r="E195" i="41"/>
  <c r="E196" i="41"/>
  <c r="E197" i="41"/>
  <c r="E198" i="41"/>
  <c r="E199" i="41"/>
  <c r="E200" i="41"/>
  <c r="E201" i="41"/>
  <c r="E202" i="41"/>
  <c r="E203" i="41"/>
  <c r="E204" i="41"/>
  <c r="E205" i="41"/>
  <c r="E206" i="41"/>
  <c r="E207" i="41"/>
  <c r="E208" i="41"/>
  <c r="E209" i="41"/>
  <c r="E210" i="41"/>
  <c r="E211" i="41"/>
  <c r="E212" i="41"/>
  <c r="E213" i="41"/>
  <c r="E214" i="41"/>
  <c r="E215" i="41"/>
  <c r="E216" i="41"/>
  <c r="E217" i="41"/>
  <c r="E218" i="41"/>
  <c r="E219" i="41"/>
  <c r="E220" i="41"/>
  <c r="E221" i="41"/>
  <c r="E222" i="41"/>
  <c r="E223" i="41"/>
  <c r="E224" i="41"/>
  <c r="E225" i="41"/>
  <c r="E226" i="41"/>
  <c r="E227" i="41"/>
  <c r="E228" i="41"/>
  <c r="E229" i="41"/>
  <c r="E230" i="41"/>
  <c r="E231" i="41"/>
  <c r="E232" i="41"/>
  <c r="E233" i="41"/>
  <c r="E234" i="41"/>
  <c r="E235" i="41"/>
  <c r="E236" i="41"/>
  <c r="E237" i="41"/>
  <c r="E238" i="41"/>
  <c r="E239" i="41"/>
  <c r="E240" i="41"/>
  <c r="E241" i="41"/>
  <c r="E242" i="41"/>
  <c r="E243" i="41"/>
  <c r="E244" i="41"/>
  <c r="E245" i="41"/>
  <c r="E246" i="41"/>
  <c r="E247" i="41"/>
  <c r="E248" i="41"/>
  <c r="E249" i="41"/>
  <c r="E250" i="41"/>
  <c r="E251" i="41"/>
  <c r="E252" i="41"/>
  <c r="E253" i="41"/>
  <c r="E254" i="41"/>
  <c r="E255" i="41"/>
  <c r="E256" i="41"/>
  <c r="E257" i="41"/>
  <c r="E258" i="41"/>
  <c r="E259" i="41"/>
  <c r="E260" i="41"/>
  <c r="E261" i="41"/>
  <c r="E262" i="41"/>
  <c r="E263" i="41"/>
  <c r="E264" i="41"/>
  <c r="E265" i="41"/>
  <c r="E266" i="41"/>
  <c r="E267" i="41"/>
  <c r="E268" i="41"/>
  <c r="E269" i="41"/>
  <c r="E270" i="41"/>
  <c r="E271" i="41"/>
  <c r="E272" i="41"/>
  <c r="E273" i="41"/>
  <c r="E274" i="41"/>
  <c r="E275" i="41"/>
  <c r="E276" i="41"/>
  <c r="E277" i="41"/>
  <c r="E278" i="41"/>
  <c r="E279" i="41"/>
  <c r="E280" i="41"/>
  <c r="G6" i="41"/>
  <c r="F6" i="41"/>
  <c r="G7" i="41"/>
  <c r="G8" i="41"/>
  <c r="G9" i="41"/>
  <c r="G11" i="41"/>
  <c r="G12" i="41"/>
  <c r="G13" i="41"/>
  <c r="G14" i="41"/>
  <c r="G15" i="41"/>
  <c r="G16" i="41"/>
  <c r="G17" i="41"/>
  <c r="G18" i="41"/>
  <c r="G19" i="41"/>
  <c r="G20" i="41"/>
  <c r="G21" i="41"/>
  <c r="G22" i="41"/>
  <c r="G23" i="41"/>
  <c r="G24" i="41"/>
  <c r="G25" i="41"/>
  <c r="G26" i="41"/>
  <c r="G27" i="41"/>
  <c r="G28" i="41"/>
  <c r="G29" i="41"/>
  <c r="G30" i="41"/>
  <c r="G31" i="41"/>
  <c r="G32" i="41"/>
  <c r="G33" i="41"/>
  <c r="G34" i="41"/>
  <c r="G35" i="41"/>
  <c r="G36" i="41"/>
  <c r="G37" i="41"/>
  <c r="G38" i="41"/>
  <c r="G39" i="41"/>
  <c r="G40" i="41"/>
  <c r="G41" i="41"/>
  <c r="G42" i="41"/>
  <c r="G43" i="41"/>
  <c r="G44" i="41"/>
  <c r="G45" i="41"/>
  <c r="G46" i="41"/>
  <c r="G47" i="41"/>
  <c r="G48" i="41"/>
  <c r="G49" i="41"/>
  <c r="G50" i="41"/>
  <c r="G51" i="41"/>
  <c r="G52" i="41"/>
  <c r="G53" i="41"/>
  <c r="G54" i="41"/>
  <c r="G55" i="41"/>
  <c r="G56" i="41"/>
  <c r="G57" i="41"/>
  <c r="G58" i="41"/>
  <c r="G59" i="41"/>
  <c r="G60" i="41"/>
  <c r="G61" i="41"/>
  <c r="G62" i="41"/>
  <c r="G63" i="41"/>
  <c r="G64" i="41"/>
  <c r="G65" i="41"/>
  <c r="G66" i="41"/>
  <c r="G67" i="41"/>
  <c r="G68" i="41"/>
  <c r="G69" i="41"/>
  <c r="G70" i="41"/>
  <c r="G71" i="41"/>
  <c r="G72" i="41"/>
  <c r="G73" i="41"/>
  <c r="G74" i="41"/>
  <c r="G75" i="41"/>
  <c r="G76" i="41"/>
  <c r="G77" i="41"/>
  <c r="G78" i="41"/>
  <c r="G79" i="41"/>
  <c r="G80" i="41"/>
  <c r="G81" i="41"/>
  <c r="G82" i="41"/>
  <c r="G83" i="41"/>
  <c r="G84" i="41"/>
  <c r="G85" i="41"/>
  <c r="G86" i="41"/>
  <c r="G87" i="41"/>
  <c r="G88" i="41"/>
  <c r="G89" i="41"/>
  <c r="G90" i="41"/>
  <c r="G91" i="41"/>
  <c r="G92" i="41"/>
  <c r="G93" i="41"/>
  <c r="G94" i="41"/>
  <c r="G95" i="41"/>
  <c r="G96" i="41"/>
  <c r="G97" i="41"/>
  <c r="G98" i="41"/>
  <c r="G99" i="41"/>
  <c r="G100" i="41"/>
  <c r="G101" i="41"/>
  <c r="G102" i="41"/>
  <c r="G103" i="41"/>
  <c r="G104" i="41"/>
  <c r="G105" i="41"/>
  <c r="G106" i="41"/>
  <c r="G107" i="41"/>
  <c r="G108" i="41"/>
  <c r="G109" i="41"/>
  <c r="G110" i="41"/>
  <c r="G111" i="41"/>
  <c r="G112" i="41"/>
  <c r="G113" i="41"/>
  <c r="G114" i="41"/>
  <c r="G115" i="41"/>
  <c r="G116" i="41"/>
  <c r="G117" i="41"/>
  <c r="G118" i="41"/>
  <c r="G119" i="41"/>
  <c r="G120" i="41"/>
  <c r="G121" i="41"/>
  <c r="G122" i="41"/>
  <c r="G123" i="41"/>
  <c r="G124" i="41"/>
  <c r="G125" i="41"/>
  <c r="G126" i="41"/>
  <c r="G127" i="41"/>
  <c r="G128" i="41"/>
  <c r="G129" i="41"/>
  <c r="G130" i="41"/>
  <c r="G131" i="41"/>
  <c r="G132" i="41"/>
  <c r="G133" i="41"/>
  <c r="G134" i="41"/>
  <c r="G135" i="41"/>
  <c r="G136" i="41"/>
  <c r="G137" i="41"/>
  <c r="G138" i="41"/>
  <c r="G139" i="41"/>
  <c r="G140" i="41"/>
  <c r="G141" i="41"/>
  <c r="G142" i="41"/>
  <c r="G143" i="41"/>
  <c r="G144" i="41"/>
  <c r="G145" i="41"/>
  <c r="G146" i="41"/>
  <c r="G147" i="41"/>
  <c r="G148" i="41"/>
  <c r="G149" i="41"/>
  <c r="G150" i="41"/>
  <c r="G151" i="41"/>
  <c r="G152" i="41"/>
  <c r="G153" i="41"/>
  <c r="G154" i="41"/>
  <c r="G155" i="41"/>
  <c r="G156" i="41"/>
  <c r="G157" i="41"/>
  <c r="G158" i="41"/>
  <c r="G159" i="41"/>
  <c r="G160" i="41"/>
  <c r="G161" i="41"/>
  <c r="G162" i="41"/>
  <c r="G163" i="41"/>
  <c r="G164" i="41"/>
  <c r="G165" i="41"/>
  <c r="G166" i="41"/>
  <c r="G167" i="41"/>
  <c r="G168" i="41"/>
  <c r="G169" i="41"/>
  <c r="G170" i="41"/>
  <c r="G171" i="41"/>
  <c r="G172" i="41"/>
  <c r="G173" i="41"/>
  <c r="G174" i="41"/>
  <c r="G175" i="41"/>
  <c r="G176" i="41"/>
  <c r="G177" i="41"/>
  <c r="G178" i="41"/>
  <c r="G179" i="41"/>
  <c r="G180" i="41"/>
  <c r="G181" i="41"/>
  <c r="G182" i="41"/>
  <c r="G183" i="41"/>
  <c r="G184" i="41"/>
  <c r="G185" i="41"/>
  <c r="G186" i="41"/>
  <c r="G187" i="41"/>
  <c r="G188" i="41"/>
  <c r="G189" i="41"/>
  <c r="G190" i="41"/>
  <c r="G191" i="41"/>
  <c r="G192" i="41"/>
  <c r="G193" i="41"/>
  <c r="G194" i="41"/>
  <c r="G195" i="41"/>
  <c r="G196" i="41"/>
  <c r="G197" i="41"/>
  <c r="G198" i="41"/>
  <c r="G199" i="41"/>
  <c r="G200" i="41"/>
  <c r="G201" i="41"/>
  <c r="G202" i="41"/>
  <c r="G203" i="41"/>
  <c r="G204" i="41"/>
  <c r="G205" i="41"/>
  <c r="G206" i="41"/>
  <c r="G207" i="41"/>
  <c r="G208" i="41"/>
  <c r="G209" i="41"/>
  <c r="G210" i="41"/>
  <c r="G211" i="41"/>
  <c r="G212" i="41"/>
  <c r="G213" i="41"/>
  <c r="G214" i="41"/>
  <c r="G215" i="41"/>
  <c r="G216" i="41"/>
  <c r="G217" i="41"/>
  <c r="G218" i="41"/>
  <c r="G219" i="41"/>
  <c r="G220" i="41"/>
  <c r="G221" i="41"/>
  <c r="G222" i="41"/>
  <c r="G223" i="41"/>
  <c r="G224" i="41"/>
  <c r="G225" i="41"/>
  <c r="G226" i="41"/>
  <c r="G227" i="41"/>
  <c r="G228" i="41"/>
  <c r="G229" i="41"/>
  <c r="G230" i="41"/>
  <c r="G231" i="41"/>
  <c r="G232" i="41"/>
  <c r="G233" i="41"/>
  <c r="G234" i="41"/>
  <c r="G235" i="41"/>
  <c r="G236" i="41"/>
  <c r="G237" i="41"/>
  <c r="G238" i="41"/>
  <c r="G239" i="41"/>
  <c r="G240" i="41"/>
  <c r="G241" i="41"/>
  <c r="G242" i="41"/>
  <c r="G243" i="41"/>
  <c r="G244" i="41"/>
  <c r="G245" i="41"/>
  <c r="G246" i="41"/>
  <c r="G247" i="41"/>
  <c r="G248" i="41"/>
  <c r="G249" i="41"/>
  <c r="G250" i="41"/>
  <c r="G251" i="41"/>
  <c r="G252" i="41"/>
  <c r="G253" i="41"/>
  <c r="G254" i="41"/>
  <c r="G255" i="41"/>
  <c r="G256" i="41"/>
  <c r="G257" i="41"/>
  <c r="G258" i="41"/>
  <c r="G259" i="41"/>
  <c r="G260" i="41"/>
  <c r="G261" i="41"/>
  <c r="G262" i="41"/>
  <c r="G263" i="41"/>
  <c r="G264" i="41"/>
  <c r="G265" i="41"/>
  <c r="G266" i="41"/>
  <c r="G267" i="41"/>
  <c r="G268" i="41"/>
  <c r="G269" i="41"/>
  <c r="G270" i="41"/>
  <c r="G271" i="41"/>
  <c r="G272" i="41"/>
  <c r="G273" i="41"/>
  <c r="G274" i="41"/>
  <c r="G275" i="41"/>
  <c r="G276" i="41"/>
  <c r="G277" i="41"/>
  <c r="G278" i="41"/>
  <c r="G279" i="41"/>
  <c r="G280"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128" i="41"/>
  <c r="F129" i="41"/>
  <c r="F130" i="41"/>
  <c r="F131" i="41"/>
  <c r="F132" i="41"/>
  <c r="F133" i="41"/>
  <c r="F134" i="41"/>
  <c r="F135" i="41"/>
  <c r="F136" i="41"/>
  <c r="F137" i="41"/>
  <c r="F138" i="41"/>
  <c r="F139" i="41"/>
  <c r="F140" i="41"/>
  <c r="F141" i="41"/>
  <c r="F142" i="41"/>
  <c r="F143" i="41"/>
  <c r="F144" i="41"/>
  <c r="F145" i="41"/>
  <c r="F146" i="41"/>
  <c r="F147" i="41"/>
  <c r="F148" i="41"/>
  <c r="F149" i="41"/>
  <c r="F150" i="41"/>
  <c r="F151" i="41"/>
  <c r="F152" i="41"/>
  <c r="F153" i="41"/>
  <c r="F154" i="41"/>
  <c r="F155" i="41"/>
  <c r="F156" i="41"/>
  <c r="F157" i="41"/>
  <c r="F158" i="41"/>
  <c r="F159" i="41"/>
  <c r="F160" i="41"/>
  <c r="F161" i="41"/>
  <c r="F162" i="41"/>
  <c r="F163" i="41"/>
  <c r="F164" i="41"/>
  <c r="F165" i="41"/>
  <c r="F166" i="41"/>
  <c r="F167" i="41"/>
  <c r="F168" i="41"/>
  <c r="F169" i="41"/>
  <c r="F170" i="41"/>
  <c r="F171" i="41"/>
  <c r="F172" i="41"/>
  <c r="F173" i="41"/>
  <c r="F174" i="41"/>
  <c r="F175" i="41"/>
  <c r="F176" i="41"/>
  <c r="F177" i="41"/>
  <c r="F178" i="41"/>
  <c r="F179" i="41"/>
  <c r="F180" i="41"/>
  <c r="F181" i="41"/>
  <c r="F182" i="41"/>
  <c r="F183" i="41"/>
  <c r="F184" i="41"/>
  <c r="F185" i="41"/>
  <c r="F186" i="41"/>
  <c r="F187" i="41"/>
  <c r="F188" i="41"/>
  <c r="F189" i="41"/>
  <c r="F190" i="41"/>
  <c r="F191" i="41"/>
  <c r="F192" i="41"/>
  <c r="F193" i="41"/>
  <c r="F194" i="41"/>
  <c r="F195" i="41"/>
  <c r="F196" i="41"/>
  <c r="F197" i="41"/>
  <c r="F198" i="41"/>
  <c r="F199" i="41"/>
  <c r="F200" i="41"/>
  <c r="F201" i="41"/>
  <c r="F202" i="41"/>
  <c r="F203" i="41"/>
  <c r="F204" i="41"/>
  <c r="F205" i="41"/>
  <c r="F206" i="41"/>
  <c r="F207" i="41"/>
  <c r="F208" i="41"/>
  <c r="F209" i="41"/>
  <c r="F210" i="41"/>
  <c r="F211" i="41"/>
  <c r="F212" i="41"/>
  <c r="F213" i="41"/>
  <c r="F214" i="41"/>
  <c r="F215" i="41"/>
  <c r="F216" i="41"/>
  <c r="F217" i="41"/>
  <c r="F218" i="41"/>
  <c r="F219" i="41"/>
  <c r="F220" i="41"/>
  <c r="F221" i="41"/>
  <c r="F222" i="41"/>
  <c r="F223" i="41"/>
  <c r="F224" i="41"/>
  <c r="F225" i="41"/>
  <c r="F226" i="41"/>
  <c r="F227" i="41"/>
  <c r="F228" i="41"/>
  <c r="F229" i="41"/>
  <c r="F230" i="41"/>
  <c r="F231" i="41"/>
  <c r="F232" i="41"/>
  <c r="F233" i="41"/>
  <c r="F234" i="41"/>
  <c r="F235" i="41"/>
  <c r="F236" i="41"/>
  <c r="F237" i="41"/>
  <c r="F238" i="41"/>
  <c r="F239" i="41"/>
  <c r="F240" i="41"/>
  <c r="F241" i="41"/>
  <c r="F242" i="41"/>
  <c r="F243" i="41"/>
  <c r="F244" i="41"/>
  <c r="F245" i="41"/>
  <c r="F246" i="41"/>
  <c r="F247" i="41"/>
  <c r="F248" i="41"/>
  <c r="F249" i="41"/>
  <c r="F250" i="41"/>
  <c r="F251" i="41"/>
  <c r="F252" i="41"/>
  <c r="F253" i="41"/>
  <c r="F254" i="41"/>
  <c r="F255" i="41"/>
  <c r="F256" i="41"/>
  <c r="F257" i="41"/>
  <c r="F258" i="41"/>
  <c r="F259" i="41"/>
  <c r="F260" i="41"/>
  <c r="F261" i="41"/>
  <c r="F262" i="41"/>
  <c r="F263" i="41"/>
  <c r="F264" i="41"/>
  <c r="F265" i="41"/>
  <c r="F266" i="41"/>
  <c r="F267" i="41"/>
  <c r="F268" i="41"/>
  <c r="F269" i="41"/>
  <c r="F270" i="41"/>
  <c r="F271" i="41"/>
  <c r="F272" i="41"/>
  <c r="F273" i="41"/>
  <c r="F274" i="41"/>
  <c r="F275" i="41"/>
  <c r="F276" i="41"/>
  <c r="F277" i="41"/>
  <c r="F278" i="41"/>
  <c r="F279" i="41"/>
  <c r="F280" i="41"/>
  <c r="J5" i="43"/>
  <c r="J6" i="43"/>
  <c r="J7" i="43"/>
  <c r="J8" i="43"/>
  <c r="J9" i="43"/>
  <c r="J10" i="43"/>
  <c r="J11" i="43"/>
  <c r="J4" i="43"/>
  <c r="I5" i="43"/>
  <c r="I6" i="43"/>
  <c r="I7" i="43"/>
  <c r="I8" i="43"/>
  <c r="I9" i="43"/>
  <c r="I10" i="43"/>
  <c r="I11" i="43"/>
  <c r="I4" i="43"/>
  <c r="H5" i="43"/>
  <c r="H6" i="43"/>
  <c r="H7" i="43"/>
  <c r="H8" i="43"/>
  <c r="H9" i="43"/>
  <c r="H10" i="43"/>
  <c r="H11" i="43"/>
  <c r="H4" i="43"/>
  <c r="G11" i="43"/>
  <c r="K11" i="43" s="1"/>
  <c r="G5" i="43"/>
  <c r="K5" i="43" s="1"/>
  <c r="G6" i="43"/>
  <c r="K6" i="43" s="1"/>
  <c r="G7" i="43"/>
  <c r="K7" i="43" s="1"/>
  <c r="G8" i="43"/>
  <c r="K8" i="43" s="1"/>
  <c r="G9" i="43"/>
  <c r="K9" i="43" s="1"/>
  <c r="G10" i="43"/>
  <c r="K10" i="43" s="1"/>
  <c r="G4" i="43"/>
  <c r="K4" i="43" s="1"/>
  <c r="F5" i="43"/>
  <c r="F6" i="43"/>
  <c r="F7" i="43"/>
  <c r="F8" i="43"/>
  <c r="F9" i="43"/>
  <c r="F10" i="43"/>
  <c r="F11" i="43"/>
  <c r="F4" i="43"/>
  <c r="C22" i="43"/>
  <c r="C21" i="43"/>
  <c r="C20" i="43"/>
  <c r="C19" i="43"/>
  <c r="C18" i="43"/>
  <c r="C17" i="43"/>
  <c r="C5" i="40"/>
  <c r="D5" i="40" s="1"/>
  <c r="C6" i="40"/>
  <c r="D6" i="40" s="1"/>
  <c r="C7" i="40"/>
  <c r="D7" i="40" s="1"/>
  <c r="C8" i="40"/>
  <c r="D8" i="40" s="1"/>
  <c r="C9" i="40"/>
  <c r="D9" i="40" s="1"/>
  <c r="C10" i="40"/>
  <c r="D10" i="40" s="1"/>
  <c r="C11" i="40"/>
  <c r="D11" i="40" s="1"/>
  <c r="C12" i="40"/>
  <c r="D12" i="40" s="1"/>
  <c r="C13" i="40"/>
  <c r="D13" i="40" s="1"/>
  <c r="C14" i="40"/>
  <c r="D14" i="40" s="1"/>
  <c r="C15" i="40"/>
  <c r="D15" i="40" s="1"/>
  <c r="C16" i="40"/>
  <c r="D16" i="40" s="1"/>
  <c r="C17" i="40"/>
  <c r="D17" i="40" s="1"/>
  <c r="C18" i="40"/>
  <c r="D18" i="40" s="1"/>
  <c r="C19" i="40"/>
  <c r="D19" i="40" s="1"/>
  <c r="C20" i="40"/>
  <c r="D20" i="40" s="1"/>
  <c r="C21" i="40"/>
  <c r="D21" i="40" s="1"/>
  <c r="C22" i="40"/>
  <c r="D22" i="40" s="1"/>
  <c r="C23" i="40"/>
  <c r="D23" i="40" s="1"/>
  <c r="C24" i="40"/>
  <c r="D24" i="40" s="1"/>
  <c r="C25" i="40"/>
  <c r="D25" i="40" s="1"/>
  <c r="C26" i="40"/>
  <c r="D26" i="40" s="1"/>
  <c r="C27" i="40"/>
  <c r="D27" i="40" s="1"/>
  <c r="C28" i="40"/>
  <c r="D28" i="40" s="1"/>
  <c r="C29" i="40"/>
  <c r="D29" i="40" s="1"/>
  <c r="C30" i="40"/>
  <c r="D30" i="40" s="1"/>
  <c r="C31" i="40"/>
  <c r="D31" i="40" s="1"/>
  <c r="C32" i="40"/>
  <c r="D32" i="40" s="1"/>
  <c r="C33" i="40"/>
  <c r="D33" i="40" s="1"/>
  <c r="C34" i="40"/>
  <c r="D34" i="40" s="1"/>
  <c r="C35" i="40"/>
  <c r="D35" i="40" s="1"/>
  <c r="C36" i="40"/>
  <c r="D36" i="40" s="1"/>
  <c r="C37" i="40"/>
  <c r="D37" i="40" s="1"/>
  <c r="C38" i="40"/>
  <c r="D38" i="40" s="1"/>
  <c r="C39" i="40"/>
  <c r="D39" i="40" s="1"/>
  <c r="C40" i="40"/>
  <c r="D40" i="40" s="1"/>
  <c r="C41" i="40"/>
  <c r="D41" i="40" s="1"/>
  <c r="C42" i="40"/>
  <c r="D42" i="40" s="1"/>
  <c r="C43" i="40"/>
  <c r="D43" i="40" s="1"/>
  <c r="C44" i="40"/>
  <c r="D44" i="40" s="1"/>
  <c r="C45" i="40"/>
  <c r="D45" i="40" s="1"/>
  <c r="C46" i="40"/>
  <c r="D46" i="40" s="1"/>
  <c r="C47" i="40"/>
  <c r="D47" i="40" s="1"/>
  <c r="C48" i="40"/>
  <c r="D48" i="40" s="1"/>
  <c r="C49" i="40"/>
  <c r="D49" i="40" s="1"/>
  <c r="C50" i="40"/>
  <c r="D50" i="40" s="1"/>
  <c r="C51" i="40"/>
  <c r="D51" i="40" s="1"/>
  <c r="C52" i="40"/>
  <c r="D52" i="40" s="1"/>
  <c r="C53" i="40"/>
  <c r="D53" i="40" s="1"/>
  <c r="C54" i="40"/>
  <c r="D54" i="40" s="1"/>
  <c r="C55" i="40"/>
  <c r="D55" i="40" s="1"/>
  <c r="C56" i="40"/>
  <c r="D56" i="40" s="1"/>
  <c r="C57" i="40"/>
  <c r="D57" i="40" s="1"/>
  <c r="C58" i="40"/>
  <c r="D58" i="40" s="1"/>
  <c r="C59" i="40"/>
  <c r="D59" i="40" s="1"/>
  <c r="C60" i="40"/>
  <c r="D60" i="40" s="1"/>
  <c r="C61" i="40"/>
  <c r="D61" i="40" s="1"/>
  <c r="C62" i="40"/>
  <c r="D62" i="40" s="1"/>
  <c r="C63" i="40"/>
  <c r="D63" i="40" s="1"/>
  <c r="C64" i="40"/>
  <c r="D64" i="40" s="1"/>
  <c r="C65" i="40"/>
  <c r="D65" i="40" s="1"/>
  <c r="C66" i="40"/>
  <c r="D66" i="40" s="1"/>
  <c r="C67" i="40"/>
  <c r="D67" i="40" s="1"/>
  <c r="C68" i="40"/>
  <c r="D68" i="40" s="1"/>
  <c r="C69" i="40"/>
  <c r="D69" i="40" s="1"/>
  <c r="C70" i="40"/>
  <c r="D70" i="40" s="1"/>
  <c r="C71" i="40"/>
  <c r="D71" i="40" s="1"/>
  <c r="C72" i="40"/>
  <c r="D72" i="40" s="1"/>
  <c r="C73" i="40"/>
  <c r="D73" i="40" s="1"/>
  <c r="C74" i="40"/>
  <c r="D74" i="40" s="1"/>
  <c r="C75" i="40"/>
  <c r="D75" i="40" s="1"/>
  <c r="C76" i="40"/>
  <c r="D76" i="40" s="1"/>
  <c r="C77" i="40"/>
  <c r="D77" i="40" s="1"/>
  <c r="C78" i="40"/>
  <c r="D78" i="40" s="1"/>
  <c r="C79" i="40"/>
  <c r="D79" i="40" s="1"/>
  <c r="C80" i="40"/>
  <c r="D80" i="40" s="1"/>
  <c r="C81" i="40"/>
  <c r="D81" i="40" s="1"/>
  <c r="C82" i="40"/>
  <c r="D82" i="40" s="1"/>
  <c r="C83" i="40"/>
  <c r="D83" i="40" s="1"/>
  <c r="C84" i="40"/>
  <c r="D84" i="40" s="1"/>
  <c r="C85" i="40"/>
  <c r="D85" i="40" s="1"/>
  <c r="C86" i="40"/>
  <c r="D86" i="40" s="1"/>
  <c r="C87" i="40"/>
  <c r="D87" i="40" s="1"/>
  <c r="C88" i="40"/>
  <c r="D88" i="40" s="1"/>
  <c r="C89" i="40"/>
  <c r="D89" i="40" s="1"/>
  <c r="C90" i="40"/>
  <c r="D90" i="40" s="1"/>
  <c r="C91" i="40"/>
  <c r="D91" i="40" s="1"/>
  <c r="C92" i="40"/>
  <c r="D92" i="40" s="1"/>
  <c r="C93" i="40"/>
  <c r="D93" i="40" s="1"/>
  <c r="C94" i="40"/>
  <c r="D94" i="40" s="1"/>
  <c r="C95" i="40"/>
  <c r="D95" i="40" s="1"/>
  <c r="C96" i="40"/>
  <c r="D96" i="40" s="1"/>
  <c r="C97" i="40"/>
  <c r="D97" i="40" s="1"/>
  <c r="C98" i="40"/>
  <c r="D98" i="40" s="1"/>
  <c r="C99" i="40"/>
  <c r="D99" i="40" s="1"/>
  <c r="C100" i="40"/>
  <c r="D100" i="40" s="1"/>
  <c r="C101" i="40"/>
  <c r="D101" i="40" s="1"/>
  <c r="C102" i="40"/>
  <c r="D102" i="40" s="1"/>
  <c r="C103" i="40"/>
  <c r="D103" i="40" s="1"/>
  <c r="C104" i="40"/>
  <c r="D104" i="40" s="1"/>
  <c r="C105" i="40"/>
  <c r="D105" i="40" s="1"/>
  <c r="C106" i="40"/>
  <c r="D106" i="40" s="1"/>
  <c r="C107" i="40"/>
  <c r="D107" i="40" s="1"/>
  <c r="C108" i="40"/>
  <c r="D108" i="40" s="1"/>
  <c r="C109" i="40"/>
  <c r="D109" i="40" s="1"/>
  <c r="C110" i="40"/>
  <c r="D110" i="40" s="1"/>
  <c r="C111" i="40"/>
  <c r="D111" i="40" s="1"/>
  <c r="C112" i="40"/>
  <c r="D112" i="40" s="1"/>
  <c r="C113" i="40"/>
  <c r="D113" i="40" s="1"/>
  <c r="C114" i="40"/>
  <c r="D114" i="40" s="1"/>
  <c r="C115" i="40"/>
  <c r="D115" i="40" s="1"/>
  <c r="C116" i="40"/>
  <c r="D116" i="40" s="1"/>
  <c r="C117" i="40"/>
  <c r="D117" i="40" s="1"/>
  <c r="C118" i="40"/>
  <c r="D118" i="40" s="1"/>
  <c r="C119" i="40"/>
  <c r="D119" i="40" s="1"/>
  <c r="C120" i="40"/>
  <c r="D120" i="40" s="1"/>
  <c r="C121" i="40"/>
  <c r="D121" i="40" s="1"/>
  <c r="C122" i="40"/>
  <c r="D122" i="40" s="1"/>
  <c r="C123" i="40"/>
  <c r="D123" i="40" s="1"/>
  <c r="C124" i="40"/>
  <c r="D124" i="40" s="1"/>
  <c r="C125" i="40"/>
  <c r="D125" i="40" s="1"/>
  <c r="C126" i="40"/>
  <c r="D126" i="40" s="1"/>
  <c r="C127" i="40"/>
  <c r="D127" i="40" s="1"/>
  <c r="C128" i="40"/>
  <c r="D128" i="40" s="1"/>
  <c r="C129" i="40"/>
  <c r="D129" i="40" s="1"/>
  <c r="C130" i="40"/>
  <c r="D130" i="40" s="1"/>
  <c r="C131" i="40"/>
  <c r="D131" i="40" s="1"/>
  <c r="C132" i="40"/>
  <c r="D132" i="40" s="1"/>
  <c r="C133" i="40"/>
  <c r="D133" i="40" s="1"/>
  <c r="C134" i="40"/>
  <c r="D134" i="40" s="1"/>
  <c r="C135" i="40"/>
  <c r="D135" i="40" s="1"/>
  <c r="C136" i="40"/>
  <c r="D136" i="40" s="1"/>
  <c r="C137" i="40"/>
  <c r="D137" i="40" s="1"/>
  <c r="C138" i="40"/>
  <c r="D138" i="40" s="1"/>
  <c r="C139" i="40"/>
  <c r="D139" i="40" s="1"/>
  <c r="C140" i="40"/>
  <c r="D140" i="40" s="1"/>
  <c r="C141" i="40"/>
  <c r="D141" i="40" s="1"/>
  <c r="C142" i="40"/>
  <c r="D142" i="40" s="1"/>
  <c r="C143" i="40"/>
  <c r="D143" i="40" s="1"/>
  <c r="C144" i="40"/>
  <c r="D144" i="40" s="1"/>
  <c r="C145" i="40"/>
  <c r="D145" i="40" s="1"/>
  <c r="C146" i="40"/>
  <c r="D146" i="40" s="1"/>
  <c r="C147" i="40"/>
  <c r="D147" i="40" s="1"/>
  <c r="C148" i="40"/>
  <c r="D148" i="40" s="1"/>
  <c r="C149" i="40"/>
  <c r="D149" i="40" s="1"/>
  <c r="C150" i="40"/>
  <c r="D150" i="40" s="1"/>
  <c r="C151" i="40"/>
  <c r="D151" i="40" s="1"/>
  <c r="C152" i="40"/>
  <c r="D152" i="40" s="1"/>
  <c r="C153" i="40"/>
  <c r="D153" i="40" s="1"/>
  <c r="C154" i="40"/>
  <c r="D154" i="40" s="1"/>
  <c r="C155" i="40"/>
  <c r="D155" i="40" s="1"/>
  <c r="C156" i="40"/>
  <c r="D156" i="40" s="1"/>
  <c r="C157" i="40"/>
  <c r="D157" i="40" s="1"/>
  <c r="C158" i="40"/>
  <c r="D158" i="40" s="1"/>
  <c r="C159" i="40"/>
  <c r="D159" i="40" s="1"/>
  <c r="C160" i="40"/>
  <c r="D160" i="40" s="1"/>
  <c r="C161" i="40"/>
  <c r="D161" i="40" s="1"/>
  <c r="C162" i="40"/>
  <c r="D162" i="40" s="1"/>
  <c r="C163" i="40"/>
  <c r="D163" i="40" s="1"/>
  <c r="C164" i="40"/>
  <c r="D164" i="40" s="1"/>
  <c r="C165" i="40"/>
  <c r="D165" i="40" s="1"/>
  <c r="C166" i="40"/>
  <c r="D166" i="40" s="1"/>
  <c r="C167" i="40"/>
  <c r="D167" i="40" s="1"/>
  <c r="C168" i="40"/>
  <c r="D168" i="40" s="1"/>
  <c r="C169" i="40"/>
  <c r="D169" i="40" s="1"/>
  <c r="C170" i="40"/>
  <c r="D170" i="40" s="1"/>
  <c r="C171" i="40"/>
  <c r="D171" i="40" s="1"/>
  <c r="C172" i="40"/>
  <c r="D172" i="40" s="1"/>
  <c r="C173" i="40"/>
  <c r="D173" i="40" s="1"/>
  <c r="C174" i="40"/>
  <c r="D174" i="40" s="1"/>
  <c r="C175" i="40"/>
  <c r="D175" i="40" s="1"/>
  <c r="C176" i="40"/>
  <c r="D176" i="40" s="1"/>
  <c r="C177" i="40"/>
  <c r="D177" i="40" s="1"/>
  <c r="C178" i="40"/>
  <c r="D178" i="40" s="1"/>
  <c r="C179" i="40"/>
  <c r="D179" i="40" s="1"/>
  <c r="C180" i="40"/>
  <c r="D180" i="40" s="1"/>
  <c r="C181" i="40"/>
  <c r="D181" i="40" s="1"/>
  <c r="C182" i="40"/>
  <c r="D182" i="40" s="1"/>
  <c r="C183" i="40"/>
  <c r="D183" i="40" s="1"/>
  <c r="C184" i="40"/>
  <c r="D184" i="40" s="1"/>
  <c r="C185" i="40"/>
  <c r="D185" i="40" s="1"/>
  <c r="C186" i="40"/>
  <c r="D186" i="40" s="1"/>
  <c r="C187" i="40"/>
  <c r="D187" i="40" s="1"/>
  <c r="C188" i="40"/>
  <c r="D188" i="40" s="1"/>
  <c r="C189" i="40"/>
  <c r="D189" i="40" s="1"/>
  <c r="C190" i="40"/>
  <c r="D190" i="40" s="1"/>
  <c r="C191" i="40"/>
  <c r="D191" i="40" s="1"/>
  <c r="C192" i="40"/>
  <c r="D192" i="40" s="1"/>
  <c r="C193" i="40"/>
  <c r="D193" i="40" s="1"/>
  <c r="C194" i="40"/>
  <c r="D194" i="40" s="1"/>
  <c r="C195" i="40"/>
  <c r="D195" i="40" s="1"/>
  <c r="C196" i="40"/>
  <c r="D196" i="40" s="1"/>
  <c r="C197" i="40"/>
  <c r="D197" i="40" s="1"/>
  <c r="C198" i="40"/>
  <c r="D198" i="40" s="1"/>
  <c r="C199" i="40"/>
  <c r="D199" i="40" s="1"/>
  <c r="C200" i="40"/>
  <c r="D200" i="40" s="1"/>
  <c r="C201" i="40"/>
  <c r="D201" i="40" s="1"/>
  <c r="C202" i="40"/>
  <c r="D202" i="40" s="1"/>
  <c r="C203" i="40"/>
  <c r="D203" i="40" s="1"/>
  <c r="C204" i="40"/>
  <c r="D204" i="40" s="1"/>
  <c r="C205" i="40"/>
  <c r="D205" i="40" s="1"/>
  <c r="C206" i="40"/>
  <c r="D206" i="40" s="1"/>
  <c r="C207" i="40"/>
  <c r="D207" i="40" s="1"/>
  <c r="C208" i="40"/>
  <c r="D208" i="40" s="1"/>
  <c r="C209" i="40"/>
  <c r="D209" i="40" s="1"/>
  <c r="C210" i="40"/>
  <c r="D210" i="40" s="1"/>
  <c r="C211" i="40"/>
  <c r="D211" i="40" s="1"/>
  <c r="C212" i="40"/>
  <c r="D212" i="40" s="1"/>
  <c r="C213" i="40"/>
  <c r="D213" i="40" s="1"/>
  <c r="C214" i="40"/>
  <c r="D214" i="40" s="1"/>
  <c r="C215" i="40"/>
  <c r="D215" i="40" s="1"/>
  <c r="C216" i="40"/>
  <c r="D216" i="40" s="1"/>
  <c r="C217" i="40"/>
  <c r="D217" i="40" s="1"/>
  <c r="C218" i="40"/>
  <c r="D218" i="40" s="1"/>
  <c r="C219" i="40"/>
  <c r="D219" i="40" s="1"/>
  <c r="C220" i="40"/>
  <c r="D220" i="40" s="1"/>
  <c r="C221" i="40"/>
  <c r="D221" i="40" s="1"/>
  <c r="C222" i="40"/>
  <c r="D222" i="40" s="1"/>
  <c r="C223" i="40"/>
  <c r="D223" i="40" s="1"/>
  <c r="C224" i="40"/>
  <c r="D224" i="40" s="1"/>
  <c r="C225" i="40"/>
  <c r="D225" i="40" s="1"/>
  <c r="C226" i="40"/>
  <c r="D226" i="40" s="1"/>
  <c r="C227" i="40"/>
  <c r="D227" i="40" s="1"/>
  <c r="C228" i="40"/>
  <c r="D228" i="40" s="1"/>
  <c r="C229" i="40"/>
  <c r="D229" i="40" s="1"/>
  <c r="C230" i="40"/>
  <c r="D230" i="40" s="1"/>
  <c r="C231" i="40"/>
  <c r="D231" i="40" s="1"/>
  <c r="C232" i="40"/>
  <c r="D232" i="40" s="1"/>
  <c r="C233" i="40"/>
  <c r="D233" i="40" s="1"/>
  <c r="C234" i="40"/>
  <c r="D234" i="40" s="1"/>
  <c r="C235" i="40"/>
  <c r="D235" i="40" s="1"/>
  <c r="C236" i="40"/>
  <c r="D236" i="40" s="1"/>
  <c r="C237" i="40"/>
  <c r="D237" i="40" s="1"/>
  <c r="C238" i="40"/>
  <c r="D238" i="40" s="1"/>
  <c r="C239" i="40"/>
  <c r="D239" i="40" s="1"/>
  <c r="C240" i="40"/>
  <c r="D240" i="40" s="1"/>
  <c r="C241" i="40"/>
  <c r="D241" i="40" s="1"/>
  <c r="C242" i="40"/>
  <c r="D242" i="40" s="1"/>
  <c r="C243" i="40"/>
  <c r="D243" i="40" s="1"/>
  <c r="C244" i="40"/>
  <c r="D244" i="40" s="1"/>
  <c r="C245" i="40"/>
  <c r="D245" i="40" s="1"/>
  <c r="C246" i="40"/>
  <c r="D246" i="40" s="1"/>
  <c r="C247" i="40"/>
  <c r="D247" i="40" s="1"/>
  <c r="C248" i="40"/>
  <c r="D248" i="40" s="1"/>
  <c r="C249" i="40"/>
  <c r="D249" i="40" s="1"/>
  <c r="C250" i="40"/>
  <c r="D250" i="40" s="1"/>
  <c r="C251" i="40"/>
  <c r="D251" i="40" s="1"/>
  <c r="C252" i="40"/>
  <c r="D252" i="40" s="1"/>
  <c r="C253" i="40"/>
  <c r="D253" i="40" s="1"/>
  <c r="C254" i="40"/>
  <c r="D254" i="40" s="1"/>
  <c r="C255" i="40"/>
  <c r="D255" i="40" s="1"/>
  <c r="C256" i="40"/>
  <c r="D256" i="40" s="1"/>
  <c r="C257" i="40"/>
  <c r="D257" i="40" s="1"/>
  <c r="C258" i="40"/>
  <c r="D258" i="40" s="1"/>
  <c r="C259" i="40"/>
  <c r="D259" i="40" s="1"/>
  <c r="C260" i="40"/>
  <c r="D260" i="40" s="1"/>
  <c r="C261" i="40"/>
  <c r="D261" i="40" s="1"/>
  <c r="C262" i="40"/>
  <c r="D262" i="40" s="1"/>
  <c r="C263" i="40"/>
  <c r="D263" i="40" s="1"/>
  <c r="C264" i="40"/>
  <c r="D264" i="40" s="1"/>
  <c r="C265" i="40"/>
  <c r="D265" i="40" s="1"/>
  <c r="C266" i="40"/>
  <c r="D266" i="40" s="1"/>
  <c r="C267" i="40"/>
  <c r="D267" i="40" s="1"/>
  <c r="C268" i="40"/>
  <c r="D268" i="40" s="1"/>
  <c r="C269" i="40"/>
  <c r="D269" i="40" s="1"/>
  <c r="C270" i="40"/>
  <c r="D270" i="40" s="1"/>
  <c r="C271" i="40"/>
  <c r="D271" i="40" s="1"/>
  <c r="C272" i="40"/>
  <c r="D272" i="40" s="1"/>
  <c r="C273" i="40"/>
  <c r="D273" i="40" s="1"/>
  <c r="C274" i="40"/>
  <c r="D274" i="40" s="1"/>
  <c r="C275" i="40"/>
  <c r="D275" i="40" s="1"/>
  <c r="C276" i="40"/>
  <c r="D276" i="40" s="1"/>
  <c r="C277" i="40"/>
  <c r="D277" i="40" s="1"/>
  <c r="C278" i="40"/>
  <c r="D278" i="40" s="1"/>
  <c r="C279" i="40"/>
  <c r="D279" i="40" s="1"/>
  <c r="C280" i="40"/>
  <c r="D280" i="40" s="1"/>
  <c r="C281" i="40"/>
  <c r="D281" i="40" s="1"/>
  <c r="C282" i="40"/>
  <c r="D282" i="40" s="1"/>
  <c r="C283" i="40"/>
  <c r="D283" i="40" s="1"/>
  <c r="C284" i="40"/>
  <c r="D284" i="40" s="1"/>
  <c r="C285" i="40"/>
  <c r="D285" i="40" s="1"/>
  <c r="C286" i="40"/>
  <c r="D286" i="40" s="1"/>
  <c r="C287" i="40"/>
  <c r="D287" i="40" s="1"/>
  <c r="C288" i="40"/>
  <c r="D288" i="40" s="1"/>
  <c r="C289" i="40"/>
  <c r="D289" i="40" s="1"/>
  <c r="C290" i="40"/>
  <c r="D290" i="40" s="1"/>
  <c r="C291" i="40"/>
  <c r="D291" i="40" s="1"/>
  <c r="C292" i="40"/>
  <c r="D292" i="40" s="1"/>
  <c r="C293" i="40"/>
  <c r="D293" i="40" s="1"/>
  <c r="C294" i="40"/>
  <c r="D294" i="40" s="1"/>
  <c r="C295" i="40"/>
  <c r="D295" i="40" s="1"/>
  <c r="C296" i="40"/>
  <c r="D296" i="40" s="1"/>
  <c r="C297" i="40"/>
  <c r="D297" i="40" s="1"/>
  <c r="C298" i="40"/>
  <c r="D298" i="40" s="1"/>
  <c r="C299" i="40"/>
  <c r="D299" i="40" s="1"/>
  <c r="C300" i="40"/>
  <c r="D300" i="40" s="1"/>
  <c r="C301" i="40"/>
  <c r="D301" i="40" s="1"/>
  <c r="C302" i="40"/>
  <c r="D302" i="40" s="1"/>
  <c r="C303" i="40"/>
  <c r="D303" i="40" s="1"/>
  <c r="C304" i="40"/>
  <c r="D304" i="40" s="1"/>
  <c r="C305" i="40"/>
  <c r="D305" i="40" s="1"/>
  <c r="C306" i="40"/>
  <c r="D306" i="40" s="1"/>
  <c r="C307" i="40"/>
  <c r="D307" i="40" s="1"/>
  <c r="C308" i="40"/>
  <c r="D308" i="40" s="1"/>
  <c r="C309" i="40"/>
  <c r="D309" i="40" s="1"/>
  <c r="C310" i="40"/>
  <c r="D310" i="40" s="1"/>
  <c r="C311" i="40"/>
  <c r="D311" i="40" s="1"/>
  <c r="C312" i="40"/>
  <c r="D312" i="40" s="1"/>
  <c r="C313" i="40"/>
  <c r="D313" i="40" s="1"/>
  <c r="C314" i="40"/>
  <c r="D314" i="40" s="1"/>
  <c r="C315" i="40"/>
  <c r="D315" i="40" s="1"/>
  <c r="C316" i="40"/>
  <c r="D316" i="40" s="1"/>
  <c r="C317" i="40"/>
  <c r="D317" i="40" s="1"/>
  <c r="C318" i="40"/>
  <c r="D318" i="40" s="1"/>
  <c r="C319" i="40"/>
  <c r="D319" i="40" s="1"/>
  <c r="C320" i="40"/>
  <c r="D320" i="40" s="1"/>
  <c r="C321" i="40"/>
  <c r="D321" i="40" s="1"/>
  <c r="C322" i="40"/>
  <c r="D322" i="40" s="1"/>
  <c r="C323" i="40"/>
  <c r="D323" i="40" s="1"/>
  <c r="C324" i="40"/>
  <c r="D324" i="40" s="1"/>
  <c r="C325" i="40"/>
  <c r="D325" i="40" s="1"/>
  <c r="C326" i="40"/>
  <c r="D326" i="40" s="1"/>
  <c r="C327" i="40"/>
  <c r="D327" i="40" s="1"/>
  <c r="C328" i="40"/>
  <c r="D328" i="40" s="1"/>
  <c r="C329" i="40"/>
  <c r="D329" i="40" s="1"/>
  <c r="C330" i="40"/>
  <c r="D330" i="40" s="1"/>
  <c r="C331" i="40"/>
  <c r="D331" i="40" s="1"/>
  <c r="C332" i="40"/>
  <c r="D332" i="40" s="1"/>
  <c r="C333" i="40"/>
  <c r="D333" i="40" s="1"/>
  <c r="C334" i="40"/>
  <c r="D334" i="40" s="1"/>
  <c r="C335" i="40"/>
  <c r="D335" i="40" s="1"/>
  <c r="C336" i="40"/>
  <c r="D336" i="40" s="1"/>
  <c r="C337" i="40"/>
  <c r="D337" i="40" s="1"/>
  <c r="C338" i="40"/>
  <c r="D338" i="40" s="1"/>
  <c r="C339" i="40"/>
  <c r="D339" i="40" s="1"/>
  <c r="C340" i="40"/>
  <c r="D340" i="40" s="1"/>
  <c r="C341" i="40"/>
  <c r="D341" i="40" s="1"/>
  <c r="C342" i="40"/>
  <c r="D342" i="40" s="1"/>
  <c r="C343" i="40"/>
  <c r="D343" i="40" s="1"/>
  <c r="C344" i="40"/>
  <c r="D344" i="40" s="1"/>
  <c r="C345" i="40"/>
  <c r="D345" i="40" s="1"/>
  <c r="C346" i="40"/>
  <c r="D346" i="40" s="1"/>
  <c r="C347" i="40"/>
  <c r="D347" i="40" s="1"/>
  <c r="C348" i="40"/>
  <c r="D348" i="40" s="1"/>
  <c r="C349" i="40"/>
  <c r="D349" i="40" s="1"/>
  <c r="C350" i="40"/>
  <c r="D350" i="40" s="1"/>
  <c r="C351" i="40"/>
  <c r="D351" i="40" s="1"/>
  <c r="C352" i="40"/>
  <c r="D352" i="40" s="1"/>
  <c r="C353" i="40"/>
  <c r="D353" i="40" s="1"/>
  <c r="C354" i="40"/>
  <c r="D354" i="40" s="1"/>
  <c r="C355" i="40"/>
  <c r="D355" i="40" s="1"/>
  <c r="C356" i="40"/>
  <c r="D356" i="40" s="1"/>
  <c r="C357" i="40"/>
  <c r="D357" i="40" s="1"/>
  <c r="C358" i="40"/>
  <c r="D358" i="40" s="1"/>
  <c r="C359" i="40"/>
  <c r="D359" i="40" s="1"/>
  <c r="C360" i="40"/>
  <c r="D360" i="40" s="1"/>
  <c r="C361" i="40"/>
  <c r="D361" i="40" s="1"/>
  <c r="C362" i="40"/>
  <c r="D362" i="40" s="1"/>
  <c r="C363" i="40"/>
  <c r="D363" i="40" s="1"/>
  <c r="C364" i="40"/>
  <c r="D364" i="40" s="1"/>
  <c r="C365" i="40"/>
  <c r="D365" i="40" s="1"/>
  <c r="C366" i="40"/>
  <c r="D366" i="40" s="1"/>
  <c r="C367" i="40"/>
  <c r="D367" i="40" s="1"/>
  <c r="C368" i="40"/>
  <c r="D368" i="40" s="1"/>
  <c r="C369" i="40"/>
  <c r="D369" i="40" s="1"/>
  <c r="C370" i="40"/>
  <c r="D370" i="40" s="1"/>
  <c r="C371" i="40"/>
  <c r="D371" i="40" s="1"/>
  <c r="C372" i="40"/>
  <c r="D372" i="40" s="1"/>
  <c r="C373" i="40"/>
  <c r="D373" i="40" s="1"/>
  <c r="C374" i="40"/>
  <c r="D374" i="40" s="1"/>
  <c r="C375" i="40"/>
  <c r="D375" i="40" s="1"/>
  <c r="C376" i="40"/>
  <c r="D376" i="40" s="1"/>
  <c r="C377" i="40"/>
  <c r="D377" i="40" s="1"/>
  <c r="C378" i="40"/>
  <c r="D378" i="40" s="1"/>
  <c r="C379" i="40"/>
  <c r="D379" i="40" s="1"/>
  <c r="C380" i="40"/>
  <c r="D380" i="40" s="1"/>
  <c r="C381" i="40"/>
  <c r="D381" i="40" s="1"/>
  <c r="C382" i="40"/>
  <c r="D382" i="40" s="1"/>
  <c r="C383" i="40"/>
  <c r="D383" i="40" s="1"/>
  <c r="C384" i="40"/>
  <c r="D384" i="40" s="1"/>
  <c r="C385" i="40"/>
  <c r="D385" i="40" s="1"/>
  <c r="C386" i="40"/>
  <c r="D386" i="40" s="1"/>
  <c r="C387" i="40"/>
  <c r="D387" i="40" s="1"/>
  <c r="C388" i="40"/>
  <c r="D388" i="40" s="1"/>
  <c r="C389" i="40"/>
  <c r="D389" i="40" s="1"/>
  <c r="C390" i="40"/>
  <c r="D390" i="40" s="1"/>
  <c r="C391" i="40"/>
  <c r="D391" i="40" s="1"/>
  <c r="C392" i="40"/>
  <c r="D392" i="40" s="1"/>
  <c r="C393" i="40"/>
  <c r="D393" i="40" s="1"/>
  <c r="C394" i="40"/>
  <c r="D394" i="40" s="1"/>
  <c r="C395" i="40"/>
  <c r="D395" i="40" s="1"/>
  <c r="C396" i="40"/>
  <c r="D396" i="40" s="1"/>
  <c r="C397" i="40"/>
  <c r="D397" i="40" s="1"/>
  <c r="C398" i="40"/>
  <c r="D398" i="40" s="1"/>
  <c r="C399" i="40"/>
  <c r="D399" i="40" s="1"/>
  <c r="C400" i="40"/>
  <c r="D400" i="40" s="1"/>
  <c r="C401" i="40"/>
  <c r="D401" i="40" s="1"/>
  <c r="C402" i="40"/>
  <c r="D402" i="40" s="1"/>
  <c r="C403" i="40"/>
  <c r="D403" i="40" s="1"/>
  <c r="C404" i="40"/>
  <c r="D404" i="40" s="1"/>
  <c r="C405" i="40"/>
  <c r="D405" i="40" s="1"/>
  <c r="C406" i="40"/>
  <c r="D406" i="40" s="1"/>
  <c r="C407" i="40"/>
  <c r="D407" i="40" s="1"/>
  <c r="C408" i="40"/>
  <c r="D408" i="40" s="1"/>
  <c r="C409" i="40"/>
  <c r="D409" i="40" s="1"/>
  <c r="C410" i="40"/>
  <c r="D410" i="40" s="1"/>
  <c r="C411" i="40"/>
  <c r="D411" i="40" s="1"/>
  <c r="C412" i="40"/>
  <c r="D412" i="40" s="1"/>
  <c r="C413" i="40"/>
  <c r="D413" i="40" s="1"/>
  <c r="C414" i="40"/>
  <c r="D414" i="40" s="1"/>
  <c r="C415" i="40"/>
  <c r="D415" i="40" s="1"/>
  <c r="C416" i="40"/>
  <c r="D416" i="40" s="1"/>
  <c r="C417" i="40"/>
  <c r="D417" i="40" s="1"/>
  <c r="C418" i="40"/>
  <c r="D418" i="40" s="1"/>
  <c r="C419" i="40"/>
  <c r="D419" i="40" s="1"/>
  <c r="C420" i="40"/>
  <c r="D420" i="40" s="1"/>
  <c r="C421" i="40"/>
  <c r="D421" i="40" s="1"/>
  <c r="C422" i="40"/>
  <c r="D422" i="40" s="1"/>
  <c r="C423" i="40"/>
  <c r="D423" i="40" s="1"/>
  <c r="C424" i="40"/>
  <c r="D424" i="40" s="1"/>
  <c r="C425" i="40"/>
  <c r="D425" i="40" s="1"/>
  <c r="C426" i="40"/>
  <c r="D426" i="40" s="1"/>
  <c r="C427" i="40"/>
  <c r="D427" i="40" s="1"/>
  <c r="C428" i="40"/>
  <c r="D428" i="40" s="1"/>
  <c r="C429" i="40"/>
  <c r="D429" i="40" s="1"/>
  <c r="C430" i="40"/>
  <c r="D430" i="40" s="1"/>
  <c r="C431" i="40"/>
  <c r="D431" i="40" s="1"/>
  <c r="C432" i="40"/>
  <c r="D432" i="40" s="1"/>
  <c r="C433" i="40"/>
  <c r="D433" i="40" s="1"/>
  <c r="C434" i="40"/>
  <c r="D434" i="40" s="1"/>
  <c r="C435" i="40"/>
  <c r="D435" i="40" s="1"/>
  <c r="C436" i="40"/>
  <c r="D436" i="40" s="1"/>
  <c r="C437" i="40"/>
  <c r="D437" i="40" s="1"/>
  <c r="C438" i="40"/>
  <c r="D438" i="40" s="1"/>
  <c r="C439" i="40"/>
  <c r="D439" i="40" s="1"/>
  <c r="C440" i="40"/>
  <c r="D440" i="40" s="1"/>
  <c r="C441" i="40"/>
  <c r="D441" i="40" s="1"/>
  <c r="C442" i="40"/>
  <c r="D442" i="40" s="1"/>
  <c r="C443" i="40"/>
  <c r="D443" i="40" s="1"/>
  <c r="C444" i="40"/>
  <c r="D444" i="40" s="1"/>
  <c r="C445" i="40"/>
  <c r="D445" i="40" s="1"/>
  <c r="C446" i="40"/>
  <c r="D446" i="40" s="1"/>
  <c r="C447" i="40"/>
  <c r="D447" i="40" s="1"/>
  <c r="C448" i="40"/>
  <c r="D448" i="40" s="1"/>
  <c r="C449" i="40"/>
  <c r="D449" i="40" s="1"/>
  <c r="C450" i="40"/>
  <c r="D450" i="40" s="1"/>
  <c r="C451" i="40"/>
  <c r="D451" i="40" s="1"/>
  <c r="C452" i="40"/>
  <c r="D452" i="40" s="1"/>
  <c r="C453" i="40"/>
  <c r="D453" i="40" s="1"/>
  <c r="C454" i="40"/>
  <c r="D454" i="40" s="1"/>
  <c r="C455" i="40"/>
  <c r="D455" i="40" s="1"/>
  <c r="C456" i="40"/>
  <c r="D456" i="40" s="1"/>
  <c r="C457" i="40"/>
  <c r="D457" i="40" s="1"/>
  <c r="C458" i="40"/>
  <c r="D458" i="40" s="1"/>
  <c r="C459" i="40"/>
  <c r="D459" i="40" s="1"/>
  <c r="C460" i="40"/>
  <c r="D460" i="40" s="1"/>
  <c r="C461" i="40"/>
  <c r="D461" i="40" s="1"/>
  <c r="C462" i="40"/>
  <c r="D462" i="40" s="1"/>
  <c r="C463" i="40"/>
  <c r="D463" i="40" s="1"/>
  <c r="C464" i="40"/>
  <c r="D464" i="40" s="1"/>
  <c r="C465" i="40"/>
  <c r="D465" i="40" s="1"/>
  <c r="C466" i="40"/>
  <c r="D466" i="40" s="1"/>
  <c r="C467" i="40"/>
  <c r="D467" i="40" s="1"/>
  <c r="C468" i="40"/>
  <c r="D468" i="40" s="1"/>
  <c r="C469" i="40"/>
  <c r="D469" i="40" s="1"/>
  <c r="C470" i="40"/>
  <c r="D470" i="40" s="1"/>
  <c r="C471" i="40"/>
  <c r="D471" i="40" s="1"/>
  <c r="C472" i="40"/>
  <c r="D472" i="40" s="1"/>
  <c r="C473" i="40"/>
  <c r="D473" i="40" s="1"/>
  <c r="C474" i="40"/>
  <c r="D474" i="40" s="1"/>
  <c r="C475" i="40"/>
  <c r="D475" i="40" s="1"/>
  <c r="C476" i="40"/>
  <c r="D476" i="40" s="1"/>
  <c r="C477" i="40"/>
  <c r="D477" i="40" s="1"/>
  <c r="C478" i="40"/>
  <c r="D478" i="40" s="1"/>
  <c r="C479" i="40"/>
  <c r="D479" i="40" s="1"/>
  <c r="C480" i="40"/>
  <c r="D480" i="40" s="1"/>
  <c r="C481" i="40"/>
  <c r="D481" i="40" s="1"/>
  <c r="C482" i="40"/>
  <c r="D482" i="40" s="1"/>
  <c r="C483" i="40"/>
  <c r="D483" i="40" s="1"/>
  <c r="C484" i="40"/>
  <c r="D484" i="40" s="1"/>
  <c r="C485" i="40"/>
  <c r="D485" i="40" s="1"/>
  <c r="C486" i="40"/>
  <c r="D486" i="40" s="1"/>
  <c r="C487" i="40"/>
  <c r="D487" i="40" s="1"/>
  <c r="C488" i="40"/>
  <c r="D488" i="40" s="1"/>
  <c r="C489" i="40"/>
  <c r="D489" i="40" s="1"/>
  <c r="C490" i="40"/>
  <c r="D490" i="40" s="1"/>
  <c r="C491" i="40"/>
  <c r="D491" i="40" s="1"/>
  <c r="C492" i="40"/>
  <c r="D492" i="40" s="1"/>
  <c r="C493" i="40"/>
  <c r="D493" i="40" s="1"/>
  <c r="C494" i="40"/>
  <c r="D494" i="40" s="1"/>
  <c r="C495" i="40"/>
  <c r="D495" i="40" s="1"/>
  <c r="C496" i="40"/>
  <c r="D496" i="40" s="1"/>
  <c r="C497" i="40"/>
  <c r="D497" i="40" s="1"/>
  <c r="C498" i="40"/>
  <c r="D498" i="40" s="1"/>
  <c r="C499" i="40"/>
  <c r="D499" i="40" s="1"/>
  <c r="C500" i="40"/>
  <c r="D500" i="40" s="1"/>
  <c r="C501" i="40"/>
  <c r="D501" i="40" s="1"/>
  <c r="C502" i="40"/>
  <c r="D502" i="40" s="1"/>
  <c r="C503" i="40"/>
  <c r="D503" i="40" s="1"/>
  <c r="C504" i="40"/>
  <c r="D504" i="40" s="1"/>
  <c r="C505" i="40"/>
  <c r="D505" i="40" s="1"/>
  <c r="C506" i="40"/>
  <c r="D506" i="40" s="1"/>
  <c r="C507" i="40"/>
  <c r="D507" i="40" s="1"/>
  <c r="C508" i="40"/>
  <c r="D508" i="40" s="1"/>
  <c r="C509" i="40"/>
  <c r="D509" i="40" s="1"/>
  <c r="C510" i="40"/>
  <c r="D510" i="40" s="1"/>
  <c r="C511" i="40"/>
  <c r="D511" i="40" s="1"/>
  <c r="C512" i="40"/>
  <c r="D512" i="40" s="1"/>
  <c r="C513" i="40"/>
  <c r="D513" i="40" s="1"/>
  <c r="C514" i="40"/>
  <c r="D514" i="40" s="1"/>
  <c r="C515" i="40"/>
  <c r="D515" i="40" s="1"/>
  <c r="C516" i="40"/>
  <c r="D516" i="40" s="1"/>
  <c r="C517" i="40"/>
  <c r="D517" i="40" s="1"/>
  <c r="C518" i="40"/>
  <c r="D518" i="40" s="1"/>
  <c r="C519" i="40"/>
  <c r="D519" i="40" s="1"/>
  <c r="C520" i="40"/>
  <c r="D520" i="40" s="1"/>
  <c r="C521" i="40"/>
  <c r="D521" i="40" s="1"/>
  <c r="C522" i="40"/>
  <c r="D522" i="40" s="1"/>
  <c r="C523" i="40"/>
  <c r="D523" i="40" s="1"/>
  <c r="C524" i="40"/>
  <c r="D524" i="40" s="1"/>
  <c r="C525" i="40"/>
  <c r="D525" i="40" s="1"/>
  <c r="C526" i="40"/>
  <c r="D526" i="40" s="1"/>
  <c r="C527" i="40"/>
  <c r="D527" i="40" s="1"/>
  <c r="C528" i="40"/>
  <c r="D528" i="40" s="1"/>
  <c r="C529" i="40"/>
  <c r="D529" i="40" s="1"/>
  <c r="C530" i="40"/>
  <c r="D530" i="40" s="1"/>
  <c r="C531" i="40"/>
  <c r="D531" i="40" s="1"/>
  <c r="C532" i="40"/>
  <c r="D532" i="40" s="1"/>
  <c r="C533" i="40"/>
  <c r="D533" i="40" s="1"/>
  <c r="C534" i="40"/>
  <c r="D534" i="40" s="1"/>
  <c r="C535" i="40"/>
  <c r="D535" i="40" s="1"/>
  <c r="C536" i="40"/>
  <c r="D536" i="40" s="1"/>
  <c r="C537" i="40"/>
  <c r="D537" i="40" s="1"/>
  <c r="C538" i="40"/>
  <c r="D538" i="40" s="1"/>
  <c r="C539" i="40"/>
  <c r="D539" i="40" s="1"/>
  <c r="C540" i="40"/>
  <c r="D540" i="40" s="1"/>
  <c r="C541" i="40"/>
  <c r="D541" i="40" s="1"/>
  <c r="C542" i="40"/>
  <c r="D542" i="40" s="1"/>
  <c r="C543" i="40"/>
  <c r="D543" i="40" s="1"/>
  <c r="C544" i="40"/>
  <c r="D544" i="40" s="1"/>
  <c r="C545" i="40"/>
  <c r="D545" i="40" s="1"/>
  <c r="C546" i="40"/>
  <c r="D546" i="40" s="1"/>
  <c r="C547" i="40"/>
  <c r="D547" i="40" s="1"/>
  <c r="C548" i="40"/>
  <c r="D548" i="40" s="1"/>
  <c r="C549" i="40"/>
  <c r="D549" i="40" s="1"/>
  <c r="C550" i="40"/>
  <c r="D550" i="40" s="1"/>
  <c r="C551" i="40"/>
  <c r="D551" i="40" s="1"/>
  <c r="C552" i="40"/>
  <c r="D552" i="40" s="1"/>
  <c r="C553" i="40"/>
  <c r="D553" i="40" s="1"/>
  <c r="C554" i="40"/>
  <c r="D554" i="40" s="1"/>
  <c r="C555" i="40"/>
  <c r="D555" i="40" s="1"/>
  <c r="C556" i="40"/>
  <c r="D556" i="40" s="1"/>
  <c r="C557" i="40"/>
  <c r="D557" i="40" s="1"/>
  <c r="C558" i="40"/>
  <c r="D558" i="40" s="1"/>
  <c r="C559" i="40"/>
  <c r="D559" i="40" s="1"/>
  <c r="C560" i="40"/>
  <c r="D560" i="40" s="1"/>
  <c r="C561" i="40"/>
  <c r="D561" i="40" s="1"/>
  <c r="C562" i="40"/>
  <c r="D562" i="40" s="1"/>
  <c r="C563" i="40"/>
  <c r="D563" i="40" s="1"/>
  <c r="C564" i="40"/>
  <c r="D564" i="40" s="1"/>
  <c r="C565" i="40"/>
  <c r="D565" i="40" s="1"/>
  <c r="C566" i="40"/>
  <c r="D566" i="40" s="1"/>
  <c r="C567" i="40"/>
  <c r="D567" i="40" s="1"/>
  <c r="C568" i="40"/>
  <c r="D568" i="40" s="1"/>
  <c r="C569" i="40"/>
  <c r="D569" i="40" s="1"/>
  <c r="C570" i="40"/>
  <c r="D570" i="40" s="1"/>
  <c r="C571" i="40"/>
  <c r="D571" i="40" s="1"/>
  <c r="C572" i="40"/>
  <c r="D572" i="40" s="1"/>
  <c r="C573" i="40"/>
  <c r="D573" i="40" s="1"/>
  <c r="C574" i="40"/>
  <c r="D574" i="40" s="1"/>
  <c r="C575" i="40"/>
  <c r="D575" i="40" s="1"/>
  <c r="C576" i="40"/>
  <c r="D576" i="40" s="1"/>
  <c r="C577" i="40"/>
  <c r="D577" i="40" s="1"/>
  <c r="C578" i="40"/>
  <c r="D578" i="40" s="1"/>
  <c r="C579" i="40"/>
  <c r="D579" i="40" s="1"/>
  <c r="C580" i="40"/>
  <c r="D580" i="40" s="1"/>
  <c r="C581" i="40"/>
  <c r="D581" i="40" s="1"/>
  <c r="C582" i="40"/>
  <c r="D582" i="40" s="1"/>
  <c r="C583" i="40"/>
  <c r="D583" i="40" s="1"/>
  <c r="C584" i="40"/>
  <c r="D584" i="40" s="1"/>
  <c r="C585" i="40"/>
  <c r="D585" i="40" s="1"/>
  <c r="C586" i="40"/>
  <c r="D586" i="40" s="1"/>
  <c r="C587" i="40"/>
  <c r="D587" i="40" s="1"/>
  <c r="C588" i="40"/>
  <c r="D588" i="40" s="1"/>
  <c r="C589" i="40"/>
  <c r="D589" i="40" s="1"/>
  <c r="C590" i="40"/>
  <c r="D590" i="40" s="1"/>
  <c r="C591" i="40"/>
  <c r="D591" i="40" s="1"/>
  <c r="C592" i="40"/>
  <c r="D592" i="40" s="1"/>
  <c r="C593" i="40"/>
  <c r="D593" i="40" s="1"/>
  <c r="C594" i="40"/>
  <c r="D594" i="40" s="1"/>
  <c r="C595" i="40"/>
  <c r="D595" i="40" s="1"/>
  <c r="C596" i="40"/>
  <c r="D596" i="40" s="1"/>
  <c r="C597" i="40"/>
  <c r="D597" i="40" s="1"/>
  <c r="C598" i="40"/>
  <c r="D598" i="40" s="1"/>
  <c r="C599" i="40"/>
  <c r="D599" i="40" s="1"/>
  <c r="C600" i="40"/>
  <c r="D600" i="40" s="1"/>
  <c r="C601" i="40"/>
  <c r="D601" i="40" s="1"/>
  <c r="C602" i="40"/>
  <c r="D602" i="40" s="1"/>
  <c r="C603" i="40"/>
  <c r="D603" i="40" s="1"/>
  <c r="C604" i="40"/>
  <c r="D604" i="40" s="1"/>
  <c r="C605" i="40"/>
  <c r="D605" i="40" s="1"/>
  <c r="C606" i="40"/>
  <c r="D606" i="40" s="1"/>
  <c r="C607" i="40"/>
  <c r="D607" i="40" s="1"/>
  <c r="C608" i="40"/>
  <c r="D608" i="40" s="1"/>
  <c r="C609" i="40"/>
  <c r="D609" i="40" s="1"/>
  <c r="C610" i="40"/>
  <c r="D610" i="40" s="1"/>
  <c r="C611" i="40"/>
  <c r="D611" i="40" s="1"/>
  <c r="C612" i="40"/>
  <c r="D612" i="40" s="1"/>
  <c r="C613" i="40"/>
  <c r="D613" i="40" s="1"/>
  <c r="C614" i="40"/>
  <c r="D614" i="40" s="1"/>
  <c r="C615" i="40"/>
  <c r="D615" i="40" s="1"/>
  <c r="C616" i="40"/>
  <c r="D616" i="40" s="1"/>
  <c r="C617" i="40"/>
  <c r="D617" i="40" s="1"/>
  <c r="C618" i="40"/>
  <c r="D618" i="40" s="1"/>
  <c r="C619" i="40"/>
  <c r="D619" i="40" s="1"/>
  <c r="C620" i="40"/>
  <c r="D620" i="40" s="1"/>
  <c r="C621" i="40"/>
  <c r="D621" i="40" s="1"/>
  <c r="C622" i="40"/>
  <c r="D622" i="40" s="1"/>
  <c r="C623" i="40"/>
  <c r="D623" i="40" s="1"/>
  <c r="C624" i="40"/>
  <c r="D624" i="40" s="1"/>
  <c r="C625" i="40"/>
  <c r="D625" i="40" s="1"/>
  <c r="C626" i="40"/>
  <c r="D626" i="40" s="1"/>
  <c r="C627" i="40"/>
  <c r="D627" i="40" s="1"/>
  <c r="C628" i="40"/>
  <c r="D628" i="40" s="1"/>
  <c r="C629" i="40"/>
  <c r="D629" i="40" s="1"/>
  <c r="C630" i="40"/>
  <c r="D630" i="40" s="1"/>
  <c r="C631" i="40"/>
  <c r="D631" i="40" s="1"/>
  <c r="C632" i="40"/>
  <c r="D632" i="40" s="1"/>
  <c r="C633" i="40"/>
  <c r="D633" i="40" s="1"/>
  <c r="C634" i="40"/>
  <c r="D634" i="40" s="1"/>
  <c r="C635" i="40"/>
  <c r="D635" i="40" s="1"/>
  <c r="C636" i="40"/>
  <c r="D636" i="40" s="1"/>
  <c r="C637" i="40"/>
  <c r="D637" i="40" s="1"/>
  <c r="C638" i="40"/>
  <c r="D638" i="40" s="1"/>
  <c r="C639" i="40"/>
  <c r="D639" i="40" s="1"/>
  <c r="C640" i="40"/>
  <c r="D640" i="40" s="1"/>
  <c r="C641" i="40"/>
  <c r="D641" i="40" s="1"/>
  <c r="C642" i="40"/>
  <c r="D642" i="40" s="1"/>
  <c r="C643" i="40"/>
  <c r="D643" i="40" s="1"/>
  <c r="C644" i="40"/>
  <c r="D644" i="40" s="1"/>
  <c r="C645" i="40"/>
  <c r="D645" i="40" s="1"/>
  <c r="C646" i="40"/>
  <c r="D646" i="40" s="1"/>
  <c r="C647" i="40"/>
  <c r="D647" i="40" s="1"/>
  <c r="C648" i="40"/>
  <c r="D648" i="40" s="1"/>
  <c r="C649" i="40"/>
  <c r="D649" i="40" s="1"/>
  <c r="C650" i="40"/>
  <c r="D650" i="40" s="1"/>
  <c r="C651" i="40"/>
  <c r="D651" i="40" s="1"/>
  <c r="C652" i="40"/>
  <c r="D652" i="40" s="1"/>
  <c r="C653" i="40"/>
  <c r="D653" i="40" s="1"/>
  <c r="C654" i="40"/>
  <c r="D654" i="40" s="1"/>
  <c r="C655" i="40"/>
  <c r="D655" i="40" s="1"/>
  <c r="C656" i="40"/>
  <c r="D656" i="40" s="1"/>
  <c r="C657" i="40"/>
  <c r="D657" i="40" s="1"/>
  <c r="C658" i="40"/>
  <c r="D658" i="40" s="1"/>
  <c r="C659" i="40"/>
  <c r="D659" i="40" s="1"/>
  <c r="C660" i="40"/>
  <c r="D660" i="40" s="1"/>
  <c r="C661" i="40"/>
  <c r="D661" i="40" s="1"/>
  <c r="C662" i="40"/>
  <c r="D662" i="40" s="1"/>
  <c r="C663" i="40"/>
  <c r="D663" i="40" s="1"/>
  <c r="C664" i="40"/>
  <c r="D664" i="40" s="1"/>
  <c r="C665" i="40"/>
  <c r="D665" i="40" s="1"/>
  <c r="C666" i="40"/>
  <c r="D666" i="40" s="1"/>
  <c r="C667" i="40"/>
  <c r="D667" i="40" s="1"/>
  <c r="C668" i="40"/>
  <c r="D668" i="40" s="1"/>
  <c r="C669" i="40"/>
  <c r="D669" i="40" s="1"/>
  <c r="C670" i="40"/>
  <c r="D670" i="40" s="1"/>
  <c r="C671" i="40"/>
  <c r="D671" i="40" s="1"/>
  <c r="C672" i="40"/>
  <c r="D672" i="40" s="1"/>
  <c r="C673" i="40"/>
  <c r="D673" i="40" s="1"/>
  <c r="C674" i="40"/>
  <c r="D674" i="40" s="1"/>
  <c r="C675" i="40"/>
  <c r="D675" i="40" s="1"/>
  <c r="C676" i="40"/>
  <c r="D676" i="40" s="1"/>
  <c r="C677" i="40"/>
  <c r="D677" i="40" s="1"/>
  <c r="C678" i="40"/>
  <c r="D678" i="40" s="1"/>
  <c r="C679" i="40"/>
  <c r="D679" i="40" s="1"/>
  <c r="C680" i="40"/>
  <c r="D680" i="40" s="1"/>
  <c r="C681" i="40"/>
  <c r="D681" i="40" s="1"/>
  <c r="C682" i="40"/>
  <c r="D682" i="40" s="1"/>
  <c r="C683" i="40"/>
  <c r="D683" i="40" s="1"/>
  <c r="C684" i="40"/>
  <c r="D684" i="40" s="1"/>
  <c r="C685" i="40"/>
  <c r="D685" i="40" s="1"/>
  <c r="C686" i="40"/>
  <c r="D686" i="40" s="1"/>
  <c r="C687" i="40"/>
  <c r="D687" i="40" s="1"/>
  <c r="C688" i="40"/>
  <c r="D688" i="40" s="1"/>
  <c r="C689" i="40"/>
  <c r="D689" i="40" s="1"/>
  <c r="C690" i="40"/>
  <c r="D690" i="40" s="1"/>
  <c r="C691" i="40"/>
  <c r="D691" i="40" s="1"/>
  <c r="C692" i="40"/>
  <c r="D692" i="40" s="1"/>
  <c r="C693" i="40"/>
  <c r="D693" i="40" s="1"/>
  <c r="C694" i="40"/>
  <c r="D694" i="40" s="1"/>
  <c r="C695" i="40"/>
  <c r="D695" i="40" s="1"/>
  <c r="C696" i="40"/>
  <c r="D696" i="40" s="1"/>
  <c r="C697" i="40"/>
  <c r="D697" i="40" s="1"/>
  <c r="C698" i="40"/>
  <c r="D698" i="40" s="1"/>
  <c r="C699" i="40"/>
  <c r="D699" i="40" s="1"/>
  <c r="C700" i="40"/>
  <c r="D700" i="40" s="1"/>
  <c r="C701" i="40"/>
  <c r="D701" i="40" s="1"/>
  <c r="C702" i="40"/>
  <c r="D702" i="40" s="1"/>
  <c r="C703" i="40"/>
  <c r="D703" i="40" s="1"/>
  <c r="C704" i="40"/>
  <c r="D704" i="40" s="1"/>
  <c r="C705" i="40"/>
  <c r="D705" i="40" s="1"/>
  <c r="C706" i="40"/>
  <c r="D706" i="40" s="1"/>
  <c r="C707" i="40"/>
  <c r="D707" i="40" s="1"/>
  <c r="C708" i="40"/>
  <c r="D708" i="40" s="1"/>
  <c r="C709" i="40"/>
  <c r="D709" i="40" s="1"/>
  <c r="C710" i="40"/>
  <c r="D710" i="40" s="1"/>
  <c r="C711" i="40"/>
  <c r="D711" i="40" s="1"/>
  <c r="C712" i="40"/>
  <c r="D712" i="40" s="1"/>
  <c r="C713" i="40"/>
  <c r="D713" i="40" s="1"/>
  <c r="C714" i="40"/>
  <c r="D714" i="40" s="1"/>
  <c r="C715" i="40"/>
  <c r="D715" i="40" s="1"/>
  <c r="C716" i="40"/>
  <c r="D716" i="40" s="1"/>
  <c r="C717" i="40"/>
  <c r="D717" i="40" s="1"/>
  <c r="C718" i="40"/>
  <c r="D718" i="40" s="1"/>
  <c r="C719" i="40"/>
  <c r="D719" i="40" s="1"/>
  <c r="C720" i="40"/>
  <c r="D720" i="40" s="1"/>
  <c r="C721" i="40"/>
  <c r="D721" i="40" s="1"/>
  <c r="C722" i="40"/>
  <c r="D722" i="40" s="1"/>
  <c r="C723" i="40"/>
  <c r="D723" i="40" s="1"/>
  <c r="C724" i="40"/>
  <c r="D724" i="40" s="1"/>
  <c r="C725" i="40"/>
  <c r="D725" i="40" s="1"/>
  <c r="C726" i="40"/>
  <c r="D726" i="40" s="1"/>
  <c r="C727" i="40"/>
  <c r="D727" i="40" s="1"/>
  <c r="C728" i="40"/>
  <c r="D728" i="40" s="1"/>
  <c r="C729" i="40"/>
  <c r="D729" i="40" s="1"/>
  <c r="C730" i="40"/>
  <c r="D730" i="40" s="1"/>
  <c r="C731" i="40"/>
  <c r="D731" i="40" s="1"/>
  <c r="C732" i="40"/>
  <c r="D732" i="40" s="1"/>
  <c r="C733" i="40"/>
  <c r="D733" i="40" s="1"/>
  <c r="C734" i="40"/>
  <c r="D734" i="40" s="1"/>
  <c r="C735" i="40"/>
  <c r="D735" i="40" s="1"/>
  <c r="C736" i="40"/>
  <c r="D736" i="40" s="1"/>
  <c r="C737" i="40"/>
  <c r="D737" i="40" s="1"/>
  <c r="C738" i="40"/>
  <c r="D738" i="40" s="1"/>
  <c r="C739" i="40"/>
  <c r="D739" i="40" s="1"/>
  <c r="C740" i="40"/>
  <c r="D740" i="40" s="1"/>
  <c r="C741" i="40"/>
  <c r="D741" i="40" s="1"/>
  <c r="C742" i="40"/>
  <c r="D742" i="40" s="1"/>
  <c r="C743" i="40"/>
  <c r="D743" i="40" s="1"/>
  <c r="C744" i="40"/>
  <c r="D744" i="40" s="1"/>
  <c r="C745" i="40"/>
  <c r="D745" i="40" s="1"/>
  <c r="C746" i="40"/>
  <c r="D746" i="40" s="1"/>
  <c r="C747" i="40"/>
  <c r="D747" i="40" s="1"/>
  <c r="C748" i="40"/>
  <c r="D748" i="40" s="1"/>
  <c r="C749" i="40"/>
  <c r="D749" i="40" s="1"/>
  <c r="C750" i="40"/>
  <c r="D750" i="40" s="1"/>
  <c r="C751" i="40"/>
  <c r="D751" i="40" s="1"/>
  <c r="C752" i="40"/>
  <c r="D752" i="40" s="1"/>
  <c r="C753" i="40"/>
  <c r="D753" i="40" s="1"/>
  <c r="C754" i="40"/>
  <c r="D754" i="40" s="1"/>
  <c r="C755" i="40"/>
  <c r="D755" i="40" s="1"/>
  <c r="C756" i="40"/>
  <c r="D756" i="40" s="1"/>
  <c r="C757" i="40"/>
  <c r="D757" i="40" s="1"/>
  <c r="C758" i="40"/>
  <c r="D758" i="40" s="1"/>
  <c r="C759" i="40"/>
  <c r="D759" i="40" s="1"/>
  <c r="C760" i="40"/>
  <c r="D760" i="40" s="1"/>
  <c r="C761" i="40"/>
  <c r="D761" i="40" s="1"/>
  <c r="C762" i="40"/>
  <c r="D762" i="40" s="1"/>
  <c r="C763" i="40"/>
  <c r="D763" i="40" s="1"/>
  <c r="C764" i="40"/>
  <c r="D764" i="40" s="1"/>
  <c r="C765" i="40"/>
  <c r="D765" i="40" s="1"/>
  <c r="C766" i="40"/>
  <c r="D766" i="40" s="1"/>
  <c r="C767" i="40"/>
  <c r="D767" i="40" s="1"/>
  <c r="C768" i="40"/>
  <c r="D768" i="40" s="1"/>
  <c r="C769" i="40"/>
  <c r="D769" i="40" s="1"/>
  <c r="C770" i="40"/>
  <c r="D770" i="40" s="1"/>
  <c r="C771" i="40"/>
  <c r="D771" i="40" s="1"/>
  <c r="C772" i="40"/>
  <c r="D772" i="40" s="1"/>
  <c r="C773" i="40"/>
  <c r="D773" i="40" s="1"/>
  <c r="C774" i="40"/>
  <c r="D774" i="40" s="1"/>
  <c r="C775" i="40"/>
  <c r="D775" i="40" s="1"/>
  <c r="C776" i="40"/>
  <c r="D776" i="40" s="1"/>
  <c r="C777" i="40"/>
  <c r="D777" i="40" s="1"/>
  <c r="C778" i="40"/>
  <c r="D778" i="40" s="1"/>
  <c r="C779" i="40"/>
  <c r="D779" i="40" s="1"/>
  <c r="C780" i="40"/>
  <c r="D780" i="40" s="1"/>
  <c r="C781" i="40"/>
  <c r="D781" i="40" s="1"/>
  <c r="C782" i="40"/>
  <c r="D782" i="40" s="1"/>
  <c r="C783" i="40"/>
  <c r="D783" i="40" s="1"/>
  <c r="C784" i="40"/>
  <c r="D784" i="40" s="1"/>
  <c r="C785" i="40"/>
  <c r="D785" i="40" s="1"/>
  <c r="C786" i="40"/>
  <c r="D786" i="40" s="1"/>
  <c r="C787" i="40"/>
  <c r="D787" i="40" s="1"/>
  <c r="C788" i="40"/>
  <c r="D788" i="40" s="1"/>
  <c r="C789" i="40"/>
  <c r="D789" i="40" s="1"/>
  <c r="C790" i="40"/>
  <c r="D790" i="40" s="1"/>
  <c r="C791" i="40"/>
  <c r="D791" i="40" s="1"/>
  <c r="C792" i="40"/>
  <c r="D792" i="40" s="1"/>
  <c r="C793" i="40"/>
  <c r="D793" i="40" s="1"/>
  <c r="C794" i="40"/>
  <c r="D794" i="40" s="1"/>
  <c r="C795" i="40"/>
  <c r="D795" i="40" s="1"/>
  <c r="C796" i="40"/>
  <c r="D796" i="40" s="1"/>
  <c r="C797" i="40"/>
  <c r="D797" i="40" s="1"/>
  <c r="C798" i="40"/>
  <c r="D798" i="40" s="1"/>
  <c r="C799" i="40"/>
  <c r="D799" i="40" s="1"/>
  <c r="C800" i="40"/>
  <c r="D800" i="40" s="1"/>
  <c r="C801" i="40"/>
  <c r="D801" i="40" s="1"/>
  <c r="C802" i="40"/>
  <c r="D802" i="40" s="1"/>
  <c r="C803" i="40"/>
  <c r="D803" i="40" s="1"/>
  <c r="C804" i="40"/>
  <c r="D804" i="40" s="1"/>
  <c r="C805" i="40"/>
  <c r="D805" i="40" s="1"/>
  <c r="C806" i="40"/>
  <c r="D806" i="40" s="1"/>
  <c r="C807" i="40"/>
  <c r="D807" i="40" s="1"/>
  <c r="C808" i="40"/>
  <c r="D808" i="40" s="1"/>
  <c r="C809" i="40"/>
  <c r="D809" i="40" s="1"/>
  <c r="C810" i="40"/>
  <c r="D810" i="40" s="1"/>
  <c r="C811" i="40"/>
  <c r="D811" i="40" s="1"/>
  <c r="C812" i="40"/>
  <c r="D812" i="40" s="1"/>
  <c r="C813" i="40"/>
  <c r="D813" i="40" s="1"/>
  <c r="C814" i="40"/>
  <c r="D814" i="40" s="1"/>
  <c r="C815" i="40"/>
  <c r="D815" i="40" s="1"/>
  <c r="C816" i="40"/>
  <c r="D816" i="40" s="1"/>
  <c r="C817" i="40"/>
  <c r="D817" i="40" s="1"/>
  <c r="C818" i="40"/>
  <c r="D818" i="40" s="1"/>
  <c r="C819" i="40"/>
  <c r="D819" i="40" s="1"/>
  <c r="C820" i="40"/>
  <c r="D820" i="40" s="1"/>
  <c r="C821" i="40"/>
  <c r="D821" i="40" s="1"/>
  <c r="C822" i="40"/>
  <c r="D822" i="40" s="1"/>
  <c r="C823" i="40"/>
  <c r="D823" i="40" s="1"/>
  <c r="C824" i="40"/>
  <c r="D824" i="40" s="1"/>
  <c r="C825" i="40"/>
  <c r="D825" i="40" s="1"/>
  <c r="C826" i="40"/>
  <c r="D826" i="40" s="1"/>
  <c r="C827" i="40"/>
  <c r="D827" i="40" s="1"/>
  <c r="C828" i="40"/>
  <c r="D828" i="40" s="1"/>
  <c r="C829" i="40"/>
  <c r="D829" i="40" s="1"/>
  <c r="C830" i="40"/>
  <c r="D830" i="40" s="1"/>
  <c r="C831" i="40"/>
  <c r="D831" i="40" s="1"/>
  <c r="C832" i="40"/>
  <c r="D832" i="40" s="1"/>
  <c r="C833" i="40"/>
  <c r="D833" i="40" s="1"/>
  <c r="C834" i="40"/>
  <c r="D834" i="40" s="1"/>
  <c r="C835" i="40"/>
  <c r="D835" i="40" s="1"/>
  <c r="C836" i="40"/>
  <c r="D836" i="40" s="1"/>
  <c r="C837" i="40"/>
  <c r="D837" i="40" s="1"/>
  <c r="C838" i="40"/>
  <c r="D838" i="40" s="1"/>
  <c r="C839" i="40"/>
  <c r="D839" i="40" s="1"/>
  <c r="C840" i="40"/>
  <c r="D840" i="40" s="1"/>
  <c r="C841" i="40"/>
  <c r="D841" i="40" s="1"/>
  <c r="C842" i="40"/>
  <c r="D842" i="40" s="1"/>
  <c r="C843" i="40"/>
  <c r="D843" i="40" s="1"/>
  <c r="C844" i="40"/>
  <c r="D844" i="40" s="1"/>
  <c r="C845" i="40"/>
  <c r="D845" i="40" s="1"/>
  <c r="C846" i="40"/>
  <c r="D846" i="40" s="1"/>
  <c r="C847" i="40"/>
  <c r="D847" i="40" s="1"/>
  <c r="C848" i="40"/>
  <c r="D848" i="40" s="1"/>
  <c r="C849" i="40"/>
  <c r="D849" i="40" s="1"/>
  <c r="C850" i="40"/>
  <c r="D850" i="40" s="1"/>
  <c r="C851" i="40"/>
  <c r="D851" i="40" s="1"/>
  <c r="C852" i="40"/>
  <c r="D852" i="40" s="1"/>
  <c r="C853" i="40"/>
  <c r="D853" i="40" s="1"/>
  <c r="C854" i="40"/>
  <c r="D854" i="40" s="1"/>
  <c r="C855" i="40"/>
  <c r="D855" i="40" s="1"/>
  <c r="C856" i="40"/>
  <c r="D856" i="40" s="1"/>
  <c r="C857" i="40"/>
  <c r="D857" i="40" s="1"/>
  <c r="C858" i="40"/>
  <c r="D858" i="40" s="1"/>
  <c r="C859" i="40"/>
  <c r="D859" i="40" s="1"/>
  <c r="C860" i="40"/>
  <c r="D860" i="40" s="1"/>
  <c r="C861" i="40"/>
  <c r="D861" i="40" s="1"/>
  <c r="C862" i="40"/>
  <c r="D862" i="40" s="1"/>
  <c r="C863" i="40"/>
  <c r="D863" i="40" s="1"/>
  <c r="C864" i="40"/>
  <c r="D864" i="40" s="1"/>
  <c r="C865" i="40"/>
  <c r="D865" i="40" s="1"/>
  <c r="C866" i="40"/>
  <c r="D866" i="40" s="1"/>
  <c r="C867" i="40"/>
  <c r="D867" i="40" s="1"/>
  <c r="C868" i="40"/>
  <c r="D868" i="40" s="1"/>
  <c r="C869" i="40"/>
  <c r="D869" i="40" s="1"/>
  <c r="C870" i="40"/>
  <c r="D870" i="40" s="1"/>
  <c r="C871" i="40"/>
  <c r="D871" i="40" s="1"/>
  <c r="C872" i="40"/>
  <c r="D872" i="40" s="1"/>
  <c r="C873" i="40"/>
  <c r="D873" i="40" s="1"/>
  <c r="C874" i="40"/>
  <c r="D874" i="40" s="1"/>
  <c r="C875" i="40"/>
  <c r="D875" i="40" s="1"/>
  <c r="C876" i="40"/>
  <c r="D876" i="40" s="1"/>
  <c r="C877" i="40"/>
  <c r="D877" i="40" s="1"/>
  <c r="C878" i="40"/>
  <c r="D878" i="40" s="1"/>
  <c r="C879" i="40"/>
  <c r="D879" i="40" s="1"/>
  <c r="C880" i="40"/>
  <c r="D880" i="40" s="1"/>
  <c r="C881" i="40"/>
  <c r="D881" i="40" s="1"/>
  <c r="C882" i="40"/>
  <c r="D882" i="40" s="1"/>
  <c r="C883" i="40"/>
  <c r="D883" i="40" s="1"/>
  <c r="C884" i="40"/>
  <c r="D884" i="40" s="1"/>
  <c r="C885" i="40"/>
  <c r="D885" i="40" s="1"/>
  <c r="C886" i="40"/>
  <c r="D886" i="40" s="1"/>
  <c r="C887" i="40"/>
  <c r="D887" i="40" s="1"/>
  <c r="C888" i="40"/>
  <c r="D888" i="40" s="1"/>
  <c r="C889" i="40"/>
  <c r="D889" i="40" s="1"/>
  <c r="C890" i="40"/>
  <c r="D890" i="40" s="1"/>
  <c r="C891" i="40"/>
  <c r="D891" i="40" s="1"/>
  <c r="C892" i="40"/>
  <c r="D892" i="40" s="1"/>
  <c r="C893" i="40"/>
  <c r="D893" i="40" s="1"/>
  <c r="C894" i="40"/>
  <c r="D894" i="40" s="1"/>
  <c r="C895" i="40"/>
  <c r="D895" i="40" s="1"/>
  <c r="C896" i="40"/>
  <c r="D896" i="40" s="1"/>
  <c r="C897" i="40"/>
  <c r="D897" i="40" s="1"/>
  <c r="C898" i="40"/>
  <c r="D898" i="40" s="1"/>
  <c r="C899" i="40"/>
  <c r="D899" i="40" s="1"/>
  <c r="C900" i="40"/>
  <c r="D900" i="40" s="1"/>
  <c r="C901" i="40"/>
  <c r="D901" i="40" s="1"/>
  <c r="C902" i="40"/>
  <c r="D902" i="40" s="1"/>
  <c r="C903" i="40"/>
  <c r="D903" i="40" s="1"/>
  <c r="C904" i="40"/>
  <c r="D904" i="40" s="1"/>
  <c r="C905" i="40"/>
  <c r="D905" i="40" s="1"/>
  <c r="C906" i="40"/>
  <c r="D906" i="40" s="1"/>
  <c r="C907" i="40"/>
  <c r="D907" i="40" s="1"/>
  <c r="C908" i="40"/>
  <c r="D908" i="40" s="1"/>
  <c r="C909" i="40"/>
  <c r="D909" i="40" s="1"/>
  <c r="C910" i="40"/>
  <c r="D910" i="40" s="1"/>
  <c r="C911" i="40"/>
  <c r="D911" i="40" s="1"/>
  <c r="C912" i="40"/>
  <c r="D912" i="40" s="1"/>
  <c r="C913" i="40"/>
  <c r="D913" i="40" s="1"/>
  <c r="C914" i="40"/>
  <c r="D914" i="40" s="1"/>
  <c r="C915" i="40"/>
  <c r="D915" i="40" s="1"/>
  <c r="C916" i="40"/>
  <c r="D916" i="40" s="1"/>
  <c r="C917" i="40"/>
  <c r="D917" i="40" s="1"/>
  <c r="C918" i="40"/>
  <c r="D918" i="40" s="1"/>
  <c r="C919" i="40"/>
  <c r="D919" i="40" s="1"/>
  <c r="C920" i="40"/>
  <c r="D920" i="40" s="1"/>
  <c r="C921" i="40"/>
  <c r="D921" i="40" s="1"/>
  <c r="C922" i="40"/>
  <c r="D922" i="40" s="1"/>
  <c r="C923" i="40"/>
  <c r="D923" i="40" s="1"/>
  <c r="C924" i="40"/>
  <c r="D924" i="40" s="1"/>
  <c r="C925" i="40"/>
  <c r="D925" i="40" s="1"/>
  <c r="C926" i="40"/>
  <c r="D926" i="40" s="1"/>
  <c r="C927" i="40"/>
  <c r="D927" i="40" s="1"/>
  <c r="C928" i="40"/>
  <c r="D928" i="40" s="1"/>
  <c r="C929" i="40"/>
  <c r="D929" i="40" s="1"/>
  <c r="C930" i="40"/>
  <c r="D930" i="40" s="1"/>
  <c r="C931" i="40"/>
  <c r="D931" i="40" s="1"/>
  <c r="C932" i="40"/>
  <c r="D932" i="40" s="1"/>
  <c r="C933" i="40"/>
  <c r="D933" i="40" s="1"/>
  <c r="C934" i="40"/>
  <c r="D934" i="40" s="1"/>
  <c r="C935" i="40"/>
  <c r="D935" i="40" s="1"/>
  <c r="C936" i="40"/>
  <c r="D936" i="40" s="1"/>
  <c r="C937" i="40"/>
  <c r="D937" i="40" s="1"/>
  <c r="C938" i="40"/>
  <c r="D938" i="40" s="1"/>
  <c r="C939" i="40"/>
  <c r="D939" i="40" s="1"/>
  <c r="C940" i="40"/>
  <c r="D940" i="40" s="1"/>
  <c r="C941" i="40"/>
  <c r="D941" i="40" s="1"/>
  <c r="C942" i="40"/>
  <c r="D942" i="40" s="1"/>
  <c r="C943" i="40"/>
  <c r="D943" i="40" s="1"/>
  <c r="C944" i="40"/>
  <c r="D944" i="40" s="1"/>
  <c r="C945" i="40"/>
  <c r="D945" i="40" s="1"/>
  <c r="C946" i="40"/>
  <c r="D946" i="40" s="1"/>
  <c r="C947" i="40"/>
  <c r="D947" i="40" s="1"/>
  <c r="C948" i="40"/>
  <c r="D948" i="40" s="1"/>
  <c r="C949" i="40"/>
  <c r="D949" i="40" s="1"/>
  <c r="C950" i="40"/>
  <c r="D950" i="40" s="1"/>
  <c r="C951" i="40"/>
  <c r="D951" i="40" s="1"/>
  <c r="C952" i="40"/>
  <c r="D952" i="40" s="1"/>
  <c r="C953" i="40"/>
  <c r="D953" i="40" s="1"/>
  <c r="C954" i="40"/>
  <c r="D954" i="40" s="1"/>
  <c r="C955" i="40"/>
  <c r="D955" i="40" s="1"/>
  <c r="C956" i="40"/>
  <c r="D956" i="40" s="1"/>
  <c r="C957" i="40"/>
  <c r="D957" i="40" s="1"/>
  <c r="C958" i="40"/>
  <c r="D958" i="40" s="1"/>
  <c r="C959" i="40"/>
  <c r="D959" i="40" s="1"/>
  <c r="C960" i="40"/>
  <c r="D960" i="40" s="1"/>
  <c r="C961" i="40"/>
  <c r="D961" i="40" s="1"/>
  <c r="C962" i="40"/>
  <c r="D962" i="40" s="1"/>
  <c r="C963" i="40"/>
  <c r="D963" i="40" s="1"/>
  <c r="C964" i="40"/>
  <c r="D964" i="40" s="1"/>
  <c r="C965" i="40"/>
  <c r="D965" i="40" s="1"/>
  <c r="C966" i="40"/>
  <c r="D966" i="40" s="1"/>
  <c r="C967" i="40"/>
  <c r="D967" i="40" s="1"/>
  <c r="C968" i="40"/>
  <c r="D968" i="40" s="1"/>
  <c r="C969" i="40"/>
  <c r="D969" i="40" s="1"/>
  <c r="C970" i="40"/>
  <c r="D970" i="40" s="1"/>
  <c r="C971" i="40"/>
  <c r="D971" i="40" s="1"/>
  <c r="C972" i="40"/>
  <c r="D972" i="40" s="1"/>
  <c r="C973" i="40"/>
  <c r="D973" i="40" s="1"/>
  <c r="C974" i="40"/>
  <c r="D974" i="40" s="1"/>
  <c r="C975" i="40"/>
  <c r="D975" i="40" s="1"/>
  <c r="C976" i="40"/>
  <c r="D976" i="40" s="1"/>
  <c r="C977" i="40"/>
  <c r="D977" i="40" s="1"/>
  <c r="C978" i="40"/>
  <c r="D978" i="40" s="1"/>
  <c r="C979" i="40"/>
  <c r="D979" i="40" s="1"/>
  <c r="C980" i="40"/>
  <c r="D980" i="40" s="1"/>
  <c r="C981" i="40"/>
  <c r="D981" i="40" s="1"/>
  <c r="C982" i="40"/>
  <c r="D982" i="40" s="1"/>
  <c r="C983" i="40"/>
  <c r="D983" i="40" s="1"/>
  <c r="C984" i="40"/>
  <c r="D984" i="40" s="1"/>
  <c r="C985" i="40"/>
  <c r="D985" i="40" s="1"/>
  <c r="C986" i="40"/>
  <c r="D986" i="40" s="1"/>
  <c r="C987" i="40"/>
  <c r="D987" i="40" s="1"/>
  <c r="C988" i="40"/>
  <c r="D988" i="40" s="1"/>
  <c r="C989" i="40"/>
  <c r="D989" i="40" s="1"/>
  <c r="C990" i="40"/>
  <c r="D990" i="40" s="1"/>
  <c r="C991" i="40"/>
  <c r="D991" i="40" s="1"/>
  <c r="C992" i="40"/>
  <c r="D992" i="40" s="1"/>
  <c r="C993" i="40"/>
  <c r="D993" i="40" s="1"/>
  <c r="C994" i="40"/>
  <c r="D994" i="40" s="1"/>
  <c r="C995" i="40"/>
  <c r="D995" i="40" s="1"/>
  <c r="C996" i="40"/>
  <c r="D996" i="40" s="1"/>
  <c r="C997" i="40"/>
  <c r="D997" i="40" s="1"/>
  <c r="C998" i="40"/>
  <c r="D998" i="40" s="1"/>
  <c r="C999" i="40"/>
  <c r="D999" i="40" s="1"/>
  <c r="C1000" i="40"/>
  <c r="D1000" i="40" s="1"/>
  <c r="C1001" i="40"/>
  <c r="D1001" i="40" s="1"/>
  <c r="C1002" i="40"/>
  <c r="D1002" i="40" s="1"/>
  <c r="C1003" i="40"/>
  <c r="D1003" i="40" s="1"/>
  <c r="C1004" i="40"/>
  <c r="D1004" i="40" s="1"/>
  <c r="C1005" i="40"/>
  <c r="D1005" i="40" s="1"/>
  <c r="C1006" i="40"/>
  <c r="D1006" i="40" s="1"/>
  <c r="C1007" i="40"/>
  <c r="D1007" i="40" s="1"/>
  <c r="C1008" i="40"/>
  <c r="D1008" i="40" s="1"/>
  <c r="C1009" i="40"/>
  <c r="D1009" i="40" s="1"/>
  <c r="C1010" i="40"/>
  <c r="D1010" i="40" s="1"/>
  <c r="C1011" i="40"/>
  <c r="D1011" i="40" s="1"/>
  <c r="C1012" i="40"/>
  <c r="D1012" i="40" s="1"/>
  <c r="C1013" i="40"/>
  <c r="D1013" i="40" s="1"/>
  <c r="C1014" i="40"/>
  <c r="D1014" i="40" s="1"/>
  <c r="C1015" i="40"/>
  <c r="D1015" i="40" s="1"/>
  <c r="C1016" i="40"/>
  <c r="D1016" i="40" s="1"/>
  <c r="C1017" i="40"/>
  <c r="D1017" i="40" s="1"/>
  <c r="C1018" i="40"/>
  <c r="D1018" i="40" s="1"/>
  <c r="C1019" i="40"/>
  <c r="D1019" i="40" s="1"/>
  <c r="C1020" i="40"/>
  <c r="D1020" i="40" s="1"/>
  <c r="C1021" i="40"/>
  <c r="D1021" i="40" s="1"/>
  <c r="C1022" i="40"/>
  <c r="D1022" i="40" s="1"/>
  <c r="C1023" i="40"/>
  <c r="D1023" i="40" s="1"/>
  <c r="C1024" i="40"/>
  <c r="D1024" i="40" s="1"/>
  <c r="C1025" i="40"/>
  <c r="D1025" i="40" s="1"/>
  <c r="C1026" i="40"/>
  <c r="D1026" i="40" s="1"/>
  <c r="C1027" i="40"/>
  <c r="D1027" i="40" s="1"/>
  <c r="C1028" i="40"/>
  <c r="D1028" i="40" s="1"/>
  <c r="C1029" i="40"/>
  <c r="D1029" i="40" s="1"/>
  <c r="C1030" i="40"/>
  <c r="D1030" i="40" s="1"/>
  <c r="C1031" i="40"/>
  <c r="D1031" i="40" s="1"/>
  <c r="C1032" i="40"/>
  <c r="D1032" i="40" s="1"/>
  <c r="C1033" i="40"/>
  <c r="D1033" i="40" s="1"/>
  <c r="C1034" i="40"/>
  <c r="D1034" i="40" s="1"/>
  <c r="C1035" i="40"/>
  <c r="D1035" i="40" s="1"/>
  <c r="C1036" i="40"/>
  <c r="D1036" i="40" s="1"/>
  <c r="C1037" i="40"/>
  <c r="D1037" i="40" s="1"/>
  <c r="C1038" i="40"/>
  <c r="D1038" i="40" s="1"/>
  <c r="C1039" i="40"/>
  <c r="D1039" i="40" s="1"/>
  <c r="C1040" i="40"/>
  <c r="D1040" i="40" s="1"/>
  <c r="C1041" i="40"/>
  <c r="D1041" i="40" s="1"/>
  <c r="C1042" i="40"/>
  <c r="D1042" i="40" s="1"/>
  <c r="C1043" i="40"/>
  <c r="D1043" i="40" s="1"/>
  <c r="C1044" i="40"/>
  <c r="D1044" i="40" s="1"/>
  <c r="C1045" i="40"/>
  <c r="D1045" i="40" s="1"/>
  <c r="C1046" i="40"/>
  <c r="D1046" i="40" s="1"/>
  <c r="C1047" i="40"/>
  <c r="D1047" i="40" s="1"/>
  <c r="C1048" i="40"/>
  <c r="D1048" i="40" s="1"/>
  <c r="C1049" i="40"/>
  <c r="D1049" i="40" s="1"/>
  <c r="C1050" i="40"/>
  <c r="D1050" i="40" s="1"/>
  <c r="C1051" i="40"/>
  <c r="D1051" i="40" s="1"/>
  <c r="C1052" i="40"/>
  <c r="D1052" i="40" s="1"/>
  <c r="C1053" i="40"/>
  <c r="D1053" i="40" s="1"/>
  <c r="C1054" i="40"/>
  <c r="D1054" i="40" s="1"/>
  <c r="C1055" i="40"/>
  <c r="D1055" i="40" s="1"/>
  <c r="C1056" i="40"/>
  <c r="D1056" i="40" s="1"/>
  <c r="C1057" i="40"/>
  <c r="D1057" i="40" s="1"/>
  <c r="C1058" i="40"/>
  <c r="D1058" i="40" s="1"/>
  <c r="C1059" i="40"/>
  <c r="D1059" i="40" s="1"/>
  <c r="C1060" i="40"/>
  <c r="D1060" i="40" s="1"/>
  <c r="C1061" i="40"/>
  <c r="D1061" i="40" s="1"/>
  <c r="C1062" i="40"/>
  <c r="D1062" i="40" s="1"/>
  <c r="C1063" i="40"/>
  <c r="D1063" i="40" s="1"/>
  <c r="C1064" i="40"/>
  <c r="D1064" i="40" s="1"/>
  <c r="C1065" i="40"/>
  <c r="D1065" i="40" s="1"/>
  <c r="C1066" i="40"/>
  <c r="D1066" i="40" s="1"/>
  <c r="C1067" i="40"/>
  <c r="D1067" i="40" s="1"/>
  <c r="C1068" i="40"/>
  <c r="D1068" i="40" s="1"/>
  <c r="C1069" i="40"/>
  <c r="D1069" i="40" s="1"/>
  <c r="C1070" i="40"/>
  <c r="D1070" i="40" s="1"/>
  <c r="C1071" i="40"/>
  <c r="D1071" i="40" s="1"/>
  <c r="C1072" i="40"/>
  <c r="D1072" i="40" s="1"/>
  <c r="C1073" i="40"/>
  <c r="D1073" i="40" s="1"/>
  <c r="C1074" i="40"/>
  <c r="D1074" i="40" s="1"/>
  <c r="C1075" i="40"/>
  <c r="D1075" i="40" s="1"/>
  <c r="C1076" i="40"/>
  <c r="D1076" i="40" s="1"/>
  <c r="C1077" i="40"/>
  <c r="D1077" i="40" s="1"/>
  <c r="C1078" i="40"/>
  <c r="D1078" i="40" s="1"/>
  <c r="C1079" i="40"/>
  <c r="D1079" i="40" s="1"/>
  <c r="C1080" i="40"/>
  <c r="D1080" i="40" s="1"/>
  <c r="C1081" i="40"/>
  <c r="D1081" i="40" s="1"/>
  <c r="C1082" i="40"/>
  <c r="D1082" i="40" s="1"/>
  <c r="C1083" i="40"/>
  <c r="D1083" i="40" s="1"/>
  <c r="C1084" i="40"/>
  <c r="D1084" i="40" s="1"/>
  <c r="C1085" i="40"/>
  <c r="D1085" i="40" s="1"/>
  <c r="C1086" i="40"/>
  <c r="D1086" i="40" s="1"/>
  <c r="C1087" i="40"/>
  <c r="D1087" i="40" s="1"/>
  <c r="C1088" i="40"/>
  <c r="D1088" i="40" s="1"/>
  <c r="C1089" i="40"/>
  <c r="D1089" i="40" s="1"/>
  <c r="C1090" i="40"/>
  <c r="D1090" i="40" s="1"/>
  <c r="C1091" i="40"/>
  <c r="D1091" i="40" s="1"/>
  <c r="C1092" i="40"/>
  <c r="D1092" i="40" s="1"/>
  <c r="C1093" i="40"/>
  <c r="D1093" i="40" s="1"/>
  <c r="C1094" i="40"/>
  <c r="D1094" i="40" s="1"/>
  <c r="C1095" i="40"/>
  <c r="D1095" i="40" s="1"/>
  <c r="C1096" i="40"/>
  <c r="D1096" i="40" s="1"/>
  <c r="C1097" i="40"/>
  <c r="D1097" i="40" s="1"/>
  <c r="C1098" i="40"/>
  <c r="D1098" i="40" s="1"/>
  <c r="C1099" i="40"/>
  <c r="D1099" i="40" s="1"/>
  <c r="C1100" i="40"/>
  <c r="D1100" i="40" s="1"/>
  <c r="C1101" i="40"/>
  <c r="D1101" i="40" s="1"/>
  <c r="C1102" i="40"/>
  <c r="D1102" i="40" s="1"/>
  <c r="C1103" i="40"/>
  <c r="D1103" i="40" s="1"/>
  <c r="C1104" i="40"/>
  <c r="D1104" i="40" s="1"/>
  <c r="C1105" i="40"/>
  <c r="D1105" i="40" s="1"/>
  <c r="C1106" i="40"/>
  <c r="D1106" i="40" s="1"/>
  <c r="C1107" i="40"/>
  <c r="D1107" i="40" s="1"/>
  <c r="C1108" i="40"/>
  <c r="D1108" i="40" s="1"/>
  <c r="C1109" i="40"/>
  <c r="D1109" i="40" s="1"/>
  <c r="C1110" i="40"/>
  <c r="D1110" i="40" s="1"/>
  <c r="C1111" i="40"/>
  <c r="D1111" i="40" s="1"/>
  <c r="C1112" i="40"/>
  <c r="D1112" i="40" s="1"/>
  <c r="C1113" i="40"/>
  <c r="D1113" i="40" s="1"/>
  <c r="C1114" i="40"/>
  <c r="D1114" i="40" s="1"/>
  <c r="C1115" i="40"/>
  <c r="D1115" i="40" s="1"/>
  <c r="C1116" i="40"/>
  <c r="D1116" i="40" s="1"/>
  <c r="C1117" i="40"/>
  <c r="D1117" i="40" s="1"/>
  <c r="C1118" i="40"/>
  <c r="D1118" i="40" s="1"/>
  <c r="C1119" i="40"/>
  <c r="D1119" i="40" s="1"/>
  <c r="C1120" i="40"/>
  <c r="D1120" i="40" s="1"/>
  <c r="C1121" i="40"/>
  <c r="D1121" i="40" s="1"/>
  <c r="C1122" i="40"/>
  <c r="D1122" i="40" s="1"/>
  <c r="C1123" i="40"/>
  <c r="D1123" i="40" s="1"/>
  <c r="C1124" i="40"/>
  <c r="D1124" i="40" s="1"/>
  <c r="C1125" i="40"/>
  <c r="D1125" i="40" s="1"/>
  <c r="C1126" i="40"/>
  <c r="D1126" i="40" s="1"/>
  <c r="C1127" i="40"/>
  <c r="D1127" i="40" s="1"/>
  <c r="C1128" i="40"/>
  <c r="D1128" i="40" s="1"/>
  <c r="C1129" i="40"/>
  <c r="D1129" i="40" s="1"/>
  <c r="C1130" i="40"/>
  <c r="D1130" i="40" s="1"/>
  <c r="C1131" i="40"/>
  <c r="D1131" i="40" s="1"/>
  <c r="C1132" i="40"/>
  <c r="D1132" i="40" s="1"/>
  <c r="C1133" i="40"/>
  <c r="D1133" i="40" s="1"/>
  <c r="C1134" i="40"/>
  <c r="D1134" i="40" s="1"/>
  <c r="C1135" i="40"/>
  <c r="D1135" i="40" s="1"/>
  <c r="C1136" i="40"/>
  <c r="D1136" i="40" s="1"/>
  <c r="C1137" i="40"/>
  <c r="D1137" i="40" s="1"/>
  <c r="C1138" i="40"/>
  <c r="D1138" i="40" s="1"/>
  <c r="C1139" i="40"/>
  <c r="D1139" i="40" s="1"/>
  <c r="C1140" i="40"/>
  <c r="D1140" i="40" s="1"/>
  <c r="C1141" i="40"/>
  <c r="D1141" i="40" s="1"/>
  <c r="C1142" i="40"/>
  <c r="D1142" i="40" s="1"/>
  <c r="C1143" i="40"/>
  <c r="D1143" i="40" s="1"/>
  <c r="C1144" i="40"/>
  <c r="D1144" i="40" s="1"/>
  <c r="C1145" i="40"/>
  <c r="D1145" i="40" s="1"/>
  <c r="C1146" i="40"/>
  <c r="D1146" i="40" s="1"/>
  <c r="C1147" i="40"/>
  <c r="D1147" i="40" s="1"/>
  <c r="C1148" i="40"/>
  <c r="D1148" i="40" s="1"/>
  <c r="C1149" i="40"/>
  <c r="D1149" i="40" s="1"/>
  <c r="C1150" i="40"/>
  <c r="D1150" i="40" s="1"/>
  <c r="C1151" i="40"/>
  <c r="D1151" i="40" s="1"/>
  <c r="C1152" i="40"/>
  <c r="D1152" i="40" s="1"/>
  <c r="C1153" i="40"/>
  <c r="D1153" i="40" s="1"/>
  <c r="C1154" i="40"/>
  <c r="D1154" i="40" s="1"/>
  <c r="C1155" i="40"/>
  <c r="D1155" i="40" s="1"/>
  <c r="C1156" i="40"/>
  <c r="D1156" i="40" s="1"/>
  <c r="C1157" i="40"/>
  <c r="D1157" i="40" s="1"/>
  <c r="C1158" i="40"/>
  <c r="D1158" i="40" s="1"/>
  <c r="C1159" i="40"/>
  <c r="D1159" i="40" s="1"/>
  <c r="C1160" i="40"/>
  <c r="D1160" i="40" s="1"/>
  <c r="C1161" i="40"/>
  <c r="D1161" i="40" s="1"/>
  <c r="C1162" i="40"/>
  <c r="D1162" i="40" s="1"/>
  <c r="C1163" i="40"/>
  <c r="D1163" i="40" s="1"/>
  <c r="C1164" i="40"/>
  <c r="D1164" i="40" s="1"/>
  <c r="C1165" i="40"/>
  <c r="D1165" i="40" s="1"/>
  <c r="C1166" i="40"/>
  <c r="D1166" i="40" s="1"/>
  <c r="C1167" i="40"/>
  <c r="D1167" i="40" s="1"/>
  <c r="C1168" i="40"/>
  <c r="D1168" i="40" s="1"/>
  <c r="C1169" i="40"/>
  <c r="D1169" i="40" s="1"/>
  <c r="C1170" i="40"/>
  <c r="D1170" i="40" s="1"/>
  <c r="C1171" i="40"/>
  <c r="D1171" i="40" s="1"/>
  <c r="C1172" i="40"/>
  <c r="D1172" i="40" s="1"/>
  <c r="C1173" i="40"/>
  <c r="D1173" i="40" s="1"/>
  <c r="C1174" i="40"/>
  <c r="D1174" i="40" s="1"/>
  <c r="C1175" i="40"/>
  <c r="D1175" i="40" s="1"/>
  <c r="C1176" i="40"/>
  <c r="D1176" i="40" s="1"/>
  <c r="C1177" i="40"/>
  <c r="D1177" i="40" s="1"/>
  <c r="C1178" i="40"/>
  <c r="D1178" i="40" s="1"/>
  <c r="C1179" i="40"/>
  <c r="D1179" i="40" s="1"/>
  <c r="C1180" i="40"/>
  <c r="D1180" i="40" s="1"/>
  <c r="C1181" i="40"/>
  <c r="D1181" i="40" s="1"/>
  <c r="C1182" i="40"/>
  <c r="D1182" i="40" s="1"/>
  <c r="C1183" i="40"/>
  <c r="D1183" i="40" s="1"/>
  <c r="C1184" i="40"/>
  <c r="D1184" i="40" s="1"/>
  <c r="C1185" i="40"/>
  <c r="D1185" i="40" s="1"/>
  <c r="C1186" i="40"/>
  <c r="D1186" i="40" s="1"/>
  <c r="C1187" i="40"/>
  <c r="D1187" i="40" s="1"/>
  <c r="C1188" i="40"/>
  <c r="D1188" i="40" s="1"/>
  <c r="C1189" i="40"/>
  <c r="D1189" i="40" s="1"/>
  <c r="C1190" i="40"/>
  <c r="D1190" i="40" s="1"/>
  <c r="C1191" i="40"/>
  <c r="D1191" i="40" s="1"/>
  <c r="C1192" i="40"/>
  <c r="D1192" i="40" s="1"/>
  <c r="C1193" i="40"/>
  <c r="D1193" i="40" s="1"/>
  <c r="C1194" i="40"/>
  <c r="D1194" i="40" s="1"/>
  <c r="C1195" i="40"/>
  <c r="D1195" i="40" s="1"/>
  <c r="C1196" i="40"/>
  <c r="D1196" i="40" s="1"/>
  <c r="C1197" i="40"/>
  <c r="D1197" i="40" s="1"/>
  <c r="C1198" i="40"/>
  <c r="D1198" i="40" s="1"/>
  <c r="C1199" i="40"/>
  <c r="D1199" i="40" s="1"/>
  <c r="C1200" i="40"/>
  <c r="D1200" i="40" s="1"/>
  <c r="C1201" i="40"/>
  <c r="D1201" i="40" s="1"/>
  <c r="C1202" i="40"/>
  <c r="D1202" i="40" s="1"/>
  <c r="C1203" i="40"/>
  <c r="D1203" i="40" s="1"/>
  <c r="C1204" i="40"/>
  <c r="D1204" i="40" s="1"/>
  <c r="C1205" i="40"/>
  <c r="D1205" i="40" s="1"/>
  <c r="C1206" i="40"/>
  <c r="D1206" i="40" s="1"/>
  <c r="C1207" i="40"/>
  <c r="D1207" i="40" s="1"/>
  <c r="C1208" i="40"/>
  <c r="D1208" i="40" s="1"/>
  <c r="C1209" i="40"/>
  <c r="D1209" i="40" s="1"/>
  <c r="C1210" i="40"/>
  <c r="D1210" i="40" s="1"/>
  <c r="C1211" i="40"/>
  <c r="D1211" i="40" s="1"/>
  <c r="C1212" i="40"/>
  <c r="D1212" i="40" s="1"/>
  <c r="C1213" i="40"/>
  <c r="D1213" i="40" s="1"/>
  <c r="C1214" i="40"/>
  <c r="D1214" i="40" s="1"/>
  <c r="C1215" i="40"/>
  <c r="D1215" i="40" s="1"/>
  <c r="C1216" i="40"/>
  <c r="D1216" i="40" s="1"/>
  <c r="C1217" i="40"/>
  <c r="D1217" i="40" s="1"/>
  <c r="C1218" i="40"/>
  <c r="D1218" i="40" s="1"/>
  <c r="C1219" i="40"/>
  <c r="D1219" i="40" s="1"/>
  <c r="C1220" i="40"/>
  <c r="D1220" i="40" s="1"/>
  <c r="C1221" i="40"/>
  <c r="D1221" i="40" s="1"/>
  <c r="C1222" i="40"/>
  <c r="D1222" i="40" s="1"/>
  <c r="C1223" i="40"/>
  <c r="D1223" i="40" s="1"/>
  <c r="C1224" i="40"/>
  <c r="D1224" i="40" s="1"/>
  <c r="C1225" i="40"/>
  <c r="D1225" i="40" s="1"/>
  <c r="C1226" i="40"/>
  <c r="D1226" i="40" s="1"/>
  <c r="C1227" i="40"/>
  <c r="D1227" i="40" s="1"/>
  <c r="C1228" i="40"/>
  <c r="D1228" i="40" s="1"/>
  <c r="C1229" i="40"/>
  <c r="D1229" i="40" s="1"/>
  <c r="C1230" i="40"/>
  <c r="D1230" i="40" s="1"/>
  <c r="C1231" i="40"/>
  <c r="D1231" i="40" s="1"/>
  <c r="C1232" i="40"/>
  <c r="D1232" i="40" s="1"/>
  <c r="C1233" i="40"/>
  <c r="D1233" i="40" s="1"/>
  <c r="C1234" i="40"/>
  <c r="D1234" i="40" s="1"/>
  <c r="C1235" i="40"/>
  <c r="D1235" i="40" s="1"/>
  <c r="C1236" i="40"/>
  <c r="D1236" i="40" s="1"/>
  <c r="C1237" i="40"/>
  <c r="D1237" i="40" s="1"/>
  <c r="C1238" i="40"/>
  <c r="D1238" i="40" s="1"/>
  <c r="C1239" i="40"/>
  <c r="D1239" i="40" s="1"/>
  <c r="C1240" i="40"/>
  <c r="D1240" i="40" s="1"/>
  <c r="C1241" i="40"/>
  <c r="D1241" i="40" s="1"/>
  <c r="C1242" i="40"/>
  <c r="D1242" i="40" s="1"/>
  <c r="C1243" i="40"/>
  <c r="D1243" i="40" s="1"/>
  <c r="C1244" i="40"/>
  <c r="D1244" i="40" s="1"/>
  <c r="C1245" i="40"/>
  <c r="D1245" i="40" s="1"/>
  <c r="C1246" i="40"/>
  <c r="D1246" i="40" s="1"/>
  <c r="C1247" i="40"/>
  <c r="D1247" i="40" s="1"/>
  <c r="C1248" i="40"/>
  <c r="D1248" i="40" s="1"/>
  <c r="C1249" i="40"/>
  <c r="D1249" i="40" s="1"/>
  <c r="C1250" i="40"/>
  <c r="D1250" i="40" s="1"/>
  <c r="C1251" i="40"/>
  <c r="D1251" i="40" s="1"/>
  <c r="C1252" i="40"/>
  <c r="D1252" i="40" s="1"/>
  <c r="C1253" i="40"/>
  <c r="D1253" i="40" s="1"/>
  <c r="C1254" i="40"/>
  <c r="D1254" i="40" s="1"/>
  <c r="C1255" i="40"/>
  <c r="D1255" i="40" s="1"/>
  <c r="C1256" i="40"/>
  <c r="D1256" i="40" s="1"/>
  <c r="C1257" i="40"/>
  <c r="D1257" i="40" s="1"/>
  <c r="C1258" i="40"/>
  <c r="D1258" i="40" s="1"/>
  <c r="C1259" i="40"/>
  <c r="D1259" i="40" s="1"/>
  <c r="C1260" i="40"/>
  <c r="D1260" i="40" s="1"/>
  <c r="C1261" i="40"/>
  <c r="D1261" i="40" s="1"/>
  <c r="C1262" i="40"/>
  <c r="D1262" i="40" s="1"/>
  <c r="C1263" i="40"/>
  <c r="D1263" i="40" s="1"/>
  <c r="C1264" i="40"/>
  <c r="D1264" i="40" s="1"/>
  <c r="C1265" i="40"/>
  <c r="D1265" i="40" s="1"/>
  <c r="C1266" i="40"/>
  <c r="D1266" i="40" s="1"/>
  <c r="C1267" i="40"/>
  <c r="D1267" i="40" s="1"/>
  <c r="C1268" i="40"/>
  <c r="D1268" i="40" s="1"/>
  <c r="C1269" i="40"/>
  <c r="D1269" i="40" s="1"/>
  <c r="C1270" i="40"/>
  <c r="D1270" i="40" s="1"/>
  <c r="C1271" i="40"/>
  <c r="D1271" i="40" s="1"/>
  <c r="C1272" i="40"/>
  <c r="D1272" i="40" s="1"/>
  <c r="C1273" i="40"/>
  <c r="D1273" i="40" s="1"/>
  <c r="C1274" i="40"/>
  <c r="D1274" i="40" s="1"/>
  <c r="C1275" i="40"/>
  <c r="D1275" i="40" s="1"/>
  <c r="C1276" i="40"/>
  <c r="D1276" i="40" s="1"/>
  <c r="C1277" i="40"/>
  <c r="D1277" i="40" s="1"/>
  <c r="C1278" i="40"/>
  <c r="D1278" i="40" s="1"/>
  <c r="C1279" i="40"/>
  <c r="D1279" i="40" s="1"/>
  <c r="C1280" i="40"/>
  <c r="D1280" i="40" s="1"/>
  <c r="C1281" i="40"/>
  <c r="D1281" i="40" s="1"/>
  <c r="C1282" i="40"/>
  <c r="D1282" i="40" s="1"/>
  <c r="C1283" i="40"/>
  <c r="D1283" i="40" s="1"/>
  <c r="C1284" i="40"/>
  <c r="D1284" i="40" s="1"/>
  <c r="C1285" i="40"/>
  <c r="D1285" i="40" s="1"/>
  <c r="C1286" i="40"/>
  <c r="D1286" i="40" s="1"/>
  <c r="C1287" i="40"/>
  <c r="D1287" i="40" s="1"/>
  <c r="C1288" i="40"/>
  <c r="D1288" i="40" s="1"/>
  <c r="C1289" i="40"/>
  <c r="D1289" i="40" s="1"/>
  <c r="C1290" i="40"/>
  <c r="D1290" i="40" s="1"/>
  <c r="C1291" i="40"/>
  <c r="D1291" i="40" s="1"/>
  <c r="C1292" i="40"/>
  <c r="D1292" i="40" s="1"/>
  <c r="C1293" i="40"/>
  <c r="D1293" i="40" s="1"/>
  <c r="C1294" i="40"/>
  <c r="D1294" i="40" s="1"/>
  <c r="C1295" i="40"/>
  <c r="D1295" i="40" s="1"/>
  <c r="C1296" i="40"/>
  <c r="D1296" i="40" s="1"/>
  <c r="C1297" i="40"/>
  <c r="D1297" i="40" s="1"/>
  <c r="C1298" i="40"/>
  <c r="D1298" i="40" s="1"/>
  <c r="C1299" i="40"/>
  <c r="D1299" i="40" s="1"/>
  <c r="C1300" i="40"/>
  <c r="D1300" i="40" s="1"/>
  <c r="C1301" i="40"/>
  <c r="D1301" i="40" s="1"/>
  <c r="C1302" i="40"/>
  <c r="D1302" i="40" s="1"/>
  <c r="C1303" i="40"/>
  <c r="D1303" i="40" s="1"/>
  <c r="C1304" i="40"/>
  <c r="D1304" i="40" s="1"/>
  <c r="C1305" i="40"/>
  <c r="D1305" i="40" s="1"/>
  <c r="C1306" i="40"/>
  <c r="D1306" i="40" s="1"/>
  <c r="C1307" i="40"/>
  <c r="D1307" i="40" s="1"/>
  <c r="C1308" i="40"/>
  <c r="D1308" i="40" s="1"/>
  <c r="C1309" i="40"/>
  <c r="D1309" i="40" s="1"/>
  <c r="C1310" i="40"/>
  <c r="D1310" i="40" s="1"/>
  <c r="C1311" i="40"/>
  <c r="D1311" i="40" s="1"/>
  <c r="C1312" i="40"/>
  <c r="D1312" i="40" s="1"/>
  <c r="C1313" i="40"/>
  <c r="D1313" i="40" s="1"/>
  <c r="C1314" i="40"/>
  <c r="D1314" i="40" s="1"/>
  <c r="C1315" i="40"/>
  <c r="D1315" i="40" s="1"/>
  <c r="C1316" i="40"/>
  <c r="D1316" i="40" s="1"/>
  <c r="C1317" i="40"/>
  <c r="D1317" i="40" s="1"/>
  <c r="C1318" i="40"/>
  <c r="D1318" i="40" s="1"/>
  <c r="C1319" i="40"/>
  <c r="D1319" i="40" s="1"/>
  <c r="C1320" i="40"/>
  <c r="D1320" i="40" s="1"/>
  <c r="C1321" i="40"/>
  <c r="D1321" i="40" s="1"/>
  <c r="C1322" i="40"/>
  <c r="D1322" i="40" s="1"/>
  <c r="C1323" i="40"/>
  <c r="D1323" i="40" s="1"/>
  <c r="C1324" i="40"/>
  <c r="D1324" i="40" s="1"/>
  <c r="C1325" i="40"/>
  <c r="D1325" i="40" s="1"/>
  <c r="C1326" i="40"/>
  <c r="D1326" i="40" s="1"/>
  <c r="C1327" i="40"/>
  <c r="D1327" i="40" s="1"/>
  <c r="C1328" i="40"/>
  <c r="D1328" i="40" s="1"/>
  <c r="C1329" i="40"/>
  <c r="D1329" i="40" s="1"/>
  <c r="C1330" i="40"/>
  <c r="D1330" i="40" s="1"/>
  <c r="C1331" i="40"/>
  <c r="D1331" i="40" s="1"/>
  <c r="C1332" i="40"/>
  <c r="D1332" i="40" s="1"/>
  <c r="C1333" i="40"/>
  <c r="D1333" i="40" s="1"/>
  <c r="C1334" i="40"/>
  <c r="D1334" i="40" s="1"/>
  <c r="C1335" i="40"/>
  <c r="D1335" i="40" s="1"/>
  <c r="C1336" i="40"/>
  <c r="D1336" i="40" s="1"/>
  <c r="C1337" i="40"/>
  <c r="D1337" i="40" s="1"/>
  <c r="C1338" i="40"/>
  <c r="D1338" i="40" s="1"/>
  <c r="C1339" i="40"/>
  <c r="D1339" i="40" s="1"/>
  <c r="C1340" i="40"/>
  <c r="D1340" i="40" s="1"/>
  <c r="C1341" i="40"/>
  <c r="D1341" i="40" s="1"/>
  <c r="C1342" i="40"/>
  <c r="D1342" i="40" s="1"/>
  <c r="C1343" i="40"/>
  <c r="D1343" i="40" s="1"/>
  <c r="C1344" i="40"/>
  <c r="D1344" i="40" s="1"/>
  <c r="C1345" i="40"/>
  <c r="D1345" i="40" s="1"/>
  <c r="C1346" i="40"/>
  <c r="D1346" i="40" s="1"/>
  <c r="C1347" i="40"/>
  <c r="D1347" i="40" s="1"/>
  <c r="C1348" i="40"/>
  <c r="D1348" i="40" s="1"/>
  <c r="C1349" i="40"/>
  <c r="D1349" i="40" s="1"/>
  <c r="C1350" i="40"/>
  <c r="D1350" i="40" s="1"/>
  <c r="C1351" i="40"/>
  <c r="D1351" i="40" s="1"/>
  <c r="C1352" i="40"/>
  <c r="D1352" i="40" s="1"/>
  <c r="C1353" i="40"/>
  <c r="D1353" i="40" s="1"/>
  <c r="C1354" i="40"/>
  <c r="D1354" i="40" s="1"/>
  <c r="C1355" i="40"/>
  <c r="D1355" i="40" s="1"/>
  <c r="C1356" i="40"/>
  <c r="D1356" i="40" s="1"/>
  <c r="C1357" i="40"/>
  <c r="D1357" i="40" s="1"/>
  <c r="C1358" i="40"/>
  <c r="D1358" i="40" s="1"/>
  <c r="C1359" i="40"/>
  <c r="D1359" i="40" s="1"/>
  <c r="C1360" i="40"/>
  <c r="D1360" i="40" s="1"/>
  <c r="C1361" i="40"/>
  <c r="D1361" i="40" s="1"/>
  <c r="C1362" i="40"/>
  <c r="D1362" i="40" s="1"/>
  <c r="C1363" i="40"/>
  <c r="D1363" i="40" s="1"/>
  <c r="C1364" i="40"/>
  <c r="D1364" i="40" s="1"/>
  <c r="C1365" i="40"/>
  <c r="D1365" i="40" s="1"/>
  <c r="C1366" i="40"/>
  <c r="D1366" i="40" s="1"/>
  <c r="C1367" i="40"/>
  <c r="D1367" i="40" s="1"/>
  <c r="C1368" i="40"/>
  <c r="D1368" i="40" s="1"/>
  <c r="C1369" i="40"/>
  <c r="D1369" i="40" s="1"/>
  <c r="C1370" i="40"/>
  <c r="D1370" i="40" s="1"/>
  <c r="C1371" i="40"/>
  <c r="D1371" i="40" s="1"/>
  <c r="C1372" i="40"/>
  <c r="D1372" i="40" s="1"/>
  <c r="C1373" i="40"/>
  <c r="D1373" i="40" s="1"/>
  <c r="C1374" i="40"/>
  <c r="D1374" i="40" s="1"/>
  <c r="C1375" i="40"/>
  <c r="D1375" i="40" s="1"/>
  <c r="C1376" i="40"/>
  <c r="D1376" i="40" s="1"/>
  <c r="C1377" i="40"/>
  <c r="D1377" i="40" s="1"/>
  <c r="C1378" i="40"/>
  <c r="D1378" i="40" s="1"/>
  <c r="C1379" i="40"/>
  <c r="D1379" i="40" s="1"/>
  <c r="C1380" i="40"/>
  <c r="D1380" i="40" s="1"/>
  <c r="C1381" i="40"/>
  <c r="D1381" i="40" s="1"/>
  <c r="C1382" i="40"/>
  <c r="D1382" i="40" s="1"/>
  <c r="C1383" i="40"/>
  <c r="D1383" i="40" s="1"/>
  <c r="C1384" i="40"/>
  <c r="D1384" i="40" s="1"/>
  <c r="C1385" i="40"/>
  <c r="D1385" i="40" s="1"/>
  <c r="C1386" i="40"/>
  <c r="D1386" i="40" s="1"/>
  <c r="C1387" i="40"/>
  <c r="D1387" i="40" s="1"/>
  <c r="C1388" i="40"/>
  <c r="D1388" i="40" s="1"/>
  <c r="C1389" i="40"/>
  <c r="D1389" i="40" s="1"/>
  <c r="C1390" i="40"/>
  <c r="D1390" i="40" s="1"/>
  <c r="C1391" i="40"/>
  <c r="D1391" i="40" s="1"/>
  <c r="C1392" i="40"/>
  <c r="D1392" i="40" s="1"/>
  <c r="C1393" i="40"/>
  <c r="D1393" i="40" s="1"/>
  <c r="C1394" i="40"/>
  <c r="D1394" i="40" s="1"/>
  <c r="C1395" i="40"/>
  <c r="D1395" i="40" s="1"/>
  <c r="C1396" i="40"/>
  <c r="D1396" i="40" s="1"/>
  <c r="C1397" i="40"/>
  <c r="D1397" i="40" s="1"/>
  <c r="C1398" i="40"/>
  <c r="D1398" i="40" s="1"/>
  <c r="C1399" i="40"/>
  <c r="D1399" i="40" s="1"/>
  <c r="C1400" i="40"/>
  <c r="D1400" i="40" s="1"/>
  <c r="C1401" i="40"/>
  <c r="D1401" i="40" s="1"/>
  <c r="C1402" i="40"/>
  <c r="D1402" i="40" s="1"/>
  <c r="C1403" i="40"/>
  <c r="D1403" i="40" s="1"/>
  <c r="C1404" i="40"/>
  <c r="D1404" i="40" s="1"/>
  <c r="C1405" i="40"/>
  <c r="D1405" i="40" s="1"/>
  <c r="C1406" i="40"/>
  <c r="D1406" i="40" s="1"/>
  <c r="C1407" i="40"/>
  <c r="D1407" i="40" s="1"/>
  <c r="C1408" i="40"/>
  <c r="D1408" i="40" s="1"/>
  <c r="C1409" i="40"/>
  <c r="D1409" i="40" s="1"/>
  <c r="C1410" i="40"/>
  <c r="D1410" i="40" s="1"/>
  <c r="C1411" i="40"/>
  <c r="D1411" i="40" s="1"/>
  <c r="C1412" i="40"/>
  <c r="D1412" i="40" s="1"/>
  <c r="C1413" i="40"/>
  <c r="D1413" i="40" s="1"/>
  <c r="C1414" i="40"/>
  <c r="D1414" i="40" s="1"/>
  <c r="C1415" i="40"/>
  <c r="D1415" i="40" s="1"/>
  <c r="C1416" i="40"/>
  <c r="D1416" i="40" s="1"/>
  <c r="C1417" i="40"/>
  <c r="D1417" i="40" s="1"/>
  <c r="C1418" i="40"/>
  <c r="D1418" i="40" s="1"/>
  <c r="C1419" i="40"/>
  <c r="D1419" i="40" s="1"/>
  <c r="C1420" i="40"/>
  <c r="D1420" i="40" s="1"/>
  <c r="C1421" i="40"/>
  <c r="D1421" i="40" s="1"/>
  <c r="C1422" i="40"/>
  <c r="D1422" i="40" s="1"/>
  <c r="C1423" i="40"/>
  <c r="D1423" i="40" s="1"/>
  <c r="C1424" i="40"/>
  <c r="D1424" i="40" s="1"/>
  <c r="C1425" i="40"/>
  <c r="D1425" i="40" s="1"/>
  <c r="C1426" i="40"/>
  <c r="D1426" i="40" s="1"/>
  <c r="C1427" i="40"/>
  <c r="D1427" i="40" s="1"/>
  <c r="C1428" i="40"/>
  <c r="D1428" i="40" s="1"/>
  <c r="C1429" i="40"/>
  <c r="D1429" i="40" s="1"/>
  <c r="C1430" i="40"/>
  <c r="D1430" i="40" s="1"/>
  <c r="C1431" i="40"/>
  <c r="D1431" i="40" s="1"/>
  <c r="C1432" i="40"/>
  <c r="D1432" i="40" s="1"/>
  <c r="C1433" i="40"/>
  <c r="D1433" i="40" s="1"/>
  <c r="C1434" i="40"/>
  <c r="D1434" i="40" s="1"/>
  <c r="C1435" i="40"/>
  <c r="D1435" i="40" s="1"/>
  <c r="C1436" i="40"/>
  <c r="D1436" i="40" s="1"/>
  <c r="C1437" i="40"/>
  <c r="D1437" i="40" s="1"/>
  <c r="C1438" i="40"/>
  <c r="D1438" i="40" s="1"/>
  <c r="C1439" i="40"/>
  <c r="D1439" i="40" s="1"/>
  <c r="C1440" i="40"/>
  <c r="D1440" i="40" s="1"/>
  <c r="C1441" i="40"/>
  <c r="D1441" i="40" s="1"/>
  <c r="C1442" i="40"/>
  <c r="D1442" i="40" s="1"/>
  <c r="C1443" i="40"/>
  <c r="D1443" i="40" s="1"/>
  <c r="C1444" i="40"/>
  <c r="D1444" i="40" s="1"/>
  <c r="C1445" i="40"/>
  <c r="D1445" i="40" s="1"/>
  <c r="C1446" i="40"/>
  <c r="D1446" i="40" s="1"/>
  <c r="C1447" i="40"/>
  <c r="D1447" i="40" s="1"/>
  <c r="C1448" i="40"/>
  <c r="D1448" i="40" s="1"/>
  <c r="C1449" i="40"/>
  <c r="D1449" i="40" s="1"/>
  <c r="C1450" i="40"/>
  <c r="D1450" i="40" s="1"/>
  <c r="C1451" i="40"/>
  <c r="D1451" i="40" s="1"/>
  <c r="C1452" i="40"/>
  <c r="D1452" i="40" s="1"/>
  <c r="C1453" i="40"/>
  <c r="D1453" i="40" s="1"/>
  <c r="C1454" i="40"/>
  <c r="D1454" i="40" s="1"/>
  <c r="C1455" i="40"/>
  <c r="D1455" i="40" s="1"/>
  <c r="C1456" i="40"/>
  <c r="D1456" i="40" s="1"/>
  <c r="C1457" i="40"/>
  <c r="D1457" i="40" s="1"/>
  <c r="C1458" i="40"/>
  <c r="D1458" i="40" s="1"/>
  <c r="C1459" i="40"/>
  <c r="D1459" i="40" s="1"/>
  <c r="C1460" i="40"/>
  <c r="D1460" i="40" s="1"/>
  <c r="C1461" i="40"/>
  <c r="D1461" i="40" s="1"/>
  <c r="C1462" i="40"/>
  <c r="D1462" i="40" s="1"/>
  <c r="C1463" i="40"/>
  <c r="D1463" i="40" s="1"/>
  <c r="C1464" i="40"/>
  <c r="D1464" i="40" s="1"/>
  <c r="C1465" i="40"/>
  <c r="D1465" i="40" s="1"/>
  <c r="C1466" i="40"/>
  <c r="D1466" i="40" s="1"/>
  <c r="C1467" i="40"/>
  <c r="D1467" i="40" s="1"/>
  <c r="C1468" i="40"/>
  <c r="D1468" i="40" s="1"/>
  <c r="C1469" i="40"/>
  <c r="D1469" i="40" s="1"/>
  <c r="C1470" i="40"/>
  <c r="D1470" i="40" s="1"/>
  <c r="C1471" i="40"/>
  <c r="D1471" i="40" s="1"/>
  <c r="C1472" i="40"/>
  <c r="D1472" i="40" s="1"/>
  <c r="C1473" i="40"/>
  <c r="D1473" i="40" s="1"/>
  <c r="C1474" i="40"/>
  <c r="D1474" i="40" s="1"/>
  <c r="C1475" i="40"/>
  <c r="D1475" i="40" s="1"/>
  <c r="C1476" i="40"/>
  <c r="D1476" i="40" s="1"/>
  <c r="C1477" i="40"/>
  <c r="D1477" i="40" s="1"/>
  <c r="C1478" i="40"/>
  <c r="D1478" i="40" s="1"/>
  <c r="C1479" i="40"/>
  <c r="D1479" i="40" s="1"/>
  <c r="C1480" i="40"/>
  <c r="D1480" i="40" s="1"/>
  <c r="C1481" i="40"/>
  <c r="D1481" i="40" s="1"/>
  <c r="C1482" i="40"/>
  <c r="D1482" i="40" s="1"/>
  <c r="C1483" i="40"/>
  <c r="D1483" i="40" s="1"/>
  <c r="C1484" i="40"/>
  <c r="D1484" i="40" s="1"/>
  <c r="C1485" i="40"/>
  <c r="D1485" i="40" s="1"/>
  <c r="C1486" i="40"/>
  <c r="D1486" i="40" s="1"/>
  <c r="C1487" i="40"/>
  <c r="D1487" i="40" s="1"/>
  <c r="C1488" i="40"/>
  <c r="D1488" i="40" s="1"/>
  <c r="C1489" i="40"/>
  <c r="D1489" i="40" s="1"/>
  <c r="C1490" i="40"/>
  <c r="D1490" i="40" s="1"/>
  <c r="C1491" i="40"/>
  <c r="D1491" i="40" s="1"/>
  <c r="C1492" i="40"/>
  <c r="D1492" i="40" s="1"/>
  <c r="C1493" i="40"/>
  <c r="D1493" i="40" s="1"/>
  <c r="C1494" i="40"/>
  <c r="D1494" i="40" s="1"/>
  <c r="C1495" i="40"/>
  <c r="D1495" i="40" s="1"/>
  <c r="C1496" i="40"/>
  <c r="D1496" i="40" s="1"/>
  <c r="C1497" i="40"/>
  <c r="D1497" i="40" s="1"/>
  <c r="C1498" i="40"/>
  <c r="D1498" i="40" s="1"/>
  <c r="C1499" i="40"/>
  <c r="D1499" i="40" s="1"/>
  <c r="C1500" i="40"/>
  <c r="D1500" i="40" s="1"/>
  <c r="C1501" i="40"/>
  <c r="D1501" i="40" s="1"/>
  <c r="C1502" i="40"/>
  <c r="D1502" i="40" s="1"/>
  <c r="C1503" i="40"/>
  <c r="D1503" i="40" s="1"/>
  <c r="C1504" i="40"/>
  <c r="D1504" i="40" s="1"/>
  <c r="C1505" i="40"/>
  <c r="D1505" i="40" s="1"/>
  <c r="C1506" i="40"/>
  <c r="D1506" i="40" s="1"/>
  <c r="C1507" i="40"/>
  <c r="D1507" i="40" s="1"/>
  <c r="C1508" i="40"/>
  <c r="D1508" i="40" s="1"/>
  <c r="C1509" i="40"/>
  <c r="D1509" i="40" s="1"/>
  <c r="C1510" i="40"/>
  <c r="D1510" i="40" s="1"/>
  <c r="C1511" i="40"/>
  <c r="D1511" i="40" s="1"/>
  <c r="C1512" i="40"/>
  <c r="D1512" i="40" s="1"/>
  <c r="C1513" i="40"/>
  <c r="D1513" i="40" s="1"/>
  <c r="C1514" i="40"/>
  <c r="D1514" i="40" s="1"/>
  <c r="C1515" i="40"/>
  <c r="D1515" i="40" s="1"/>
  <c r="C1516" i="40"/>
  <c r="D1516" i="40" s="1"/>
  <c r="C1517" i="40"/>
  <c r="D1517" i="40" s="1"/>
  <c r="C1518" i="40"/>
  <c r="D1518" i="40" s="1"/>
  <c r="C1519" i="40"/>
  <c r="D1519" i="40" s="1"/>
  <c r="C1520" i="40"/>
  <c r="D1520" i="40" s="1"/>
  <c r="C1521" i="40"/>
  <c r="D1521" i="40" s="1"/>
  <c r="C1522" i="40"/>
  <c r="D1522" i="40" s="1"/>
  <c r="C1523" i="40"/>
  <c r="D1523" i="40" s="1"/>
  <c r="C1524" i="40"/>
  <c r="D1524" i="40" s="1"/>
  <c r="C1525" i="40"/>
  <c r="D1525" i="40" s="1"/>
  <c r="C1526" i="40"/>
  <c r="D1526" i="40" s="1"/>
  <c r="C1527" i="40"/>
  <c r="D1527" i="40" s="1"/>
  <c r="C1528" i="40"/>
  <c r="D1528" i="40" s="1"/>
  <c r="C1529" i="40"/>
  <c r="D1529" i="40" s="1"/>
  <c r="C1530" i="40"/>
  <c r="D1530" i="40" s="1"/>
  <c r="C1531" i="40"/>
  <c r="D1531" i="40" s="1"/>
  <c r="C1532" i="40"/>
  <c r="D1532" i="40" s="1"/>
  <c r="C1533" i="40"/>
  <c r="D1533" i="40" s="1"/>
  <c r="C1534" i="40"/>
  <c r="D1534" i="40" s="1"/>
  <c r="C1535" i="40"/>
  <c r="D1535" i="40" s="1"/>
  <c r="C1536" i="40"/>
  <c r="D1536" i="40" s="1"/>
  <c r="C1537" i="40"/>
  <c r="D1537" i="40" s="1"/>
  <c r="C1538" i="40"/>
  <c r="D1538" i="40" s="1"/>
  <c r="C1539" i="40"/>
  <c r="D1539" i="40" s="1"/>
  <c r="C1540" i="40"/>
  <c r="D1540" i="40" s="1"/>
  <c r="C1541" i="40"/>
  <c r="D1541" i="40" s="1"/>
  <c r="C1542" i="40"/>
  <c r="D1542" i="40" s="1"/>
  <c r="C1543" i="40"/>
  <c r="D1543" i="40" s="1"/>
  <c r="C1544" i="40"/>
  <c r="D1544" i="40" s="1"/>
  <c r="C1545" i="40"/>
  <c r="D1545" i="40" s="1"/>
  <c r="C1546" i="40"/>
  <c r="D1546" i="40" s="1"/>
  <c r="C1547" i="40"/>
  <c r="D1547" i="40" s="1"/>
  <c r="C1548" i="40"/>
  <c r="D1548" i="40" s="1"/>
  <c r="C1549" i="40"/>
  <c r="D1549" i="40" s="1"/>
  <c r="C1550" i="40"/>
  <c r="D1550" i="40" s="1"/>
  <c r="C1551" i="40"/>
  <c r="D1551" i="40" s="1"/>
  <c r="C1552" i="40"/>
  <c r="D1552" i="40" s="1"/>
  <c r="C1553" i="40"/>
  <c r="D1553" i="40" s="1"/>
  <c r="C1554" i="40"/>
  <c r="D1554" i="40" s="1"/>
  <c r="C1555" i="40"/>
  <c r="D1555" i="40" s="1"/>
  <c r="C1556" i="40"/>
  <c r="D1556" i="40" s="1"/>
  <c r="C1557" i="40"/>
  <c r="D1557" i="40" s="1"/>
  <c r="C1558" i="40"/>
  <c r="D1558" i="40" s="1"/>
  <c r="C1559" i="40"/>
  <c r="D1559" i="40" s="1"/>
  <c r="C1560" i="40"/>
  <c r="D1560" i="40" s="1"/>
  <c r="C1561" i="40"/>
  <c r="D1561" i="40" s="1"/>
  <c r="C1562" i="40"/>
  <c r="D1562" i="40" s="1"/>
  <c r="C1563" i="40"/>
  <c r="D1563" i="40" s="1"/>
  <c r="C1564" i="40"/>
  <c r="D1564" i="40" s="1"/>
  <c r="C1565" i="40"/>
  <c r="D1565" i="40" s="1"/>
  <c r="C1566" i="40"/>
  <c r="D1566" i="40" s="1"/>
  <c r="C1567" i="40"/>
  <c r="D1567" i="40" s="1"/>
  <c r="C1568" i="40"/>
  <c r="D1568" i="40" s="1"/>
  <c r="C1569" i="40"/>
  <c r="D1569" i="40" s="1"/>
  <c r="C1570" i="40"/>
  <c r="D1570" i="40" s="1"/>
  <c r="C1571" i="40"/>
  <c r="D1571" i="40" s="1"/>
  <c r="C1572" i="40"/>
  <c r="D1572" i="40" s="1"/>
  <c r="C1573" i="40"/>
  <c r="D1573" i="40" s="1"/>
  <c r="C1574" i="40"/>
  <c r="D1574" i="40" s="1"/>
  <c r="C1575" i="40"/>
  <c r="D1575" i="40" s="1"/>
  <c r="C1576" i="40"/>
  <c r="D1576" i="40" s="1"/>
  <c r="C1577" i="40"/>
  <c r="D1577" i="40" s="1"/>
  <c r="C1578" i="40"/>
  <c r="D1578" i="40" s="1"/>
  <c r="C1579" i="40"/>
  <c r="D1579" i="40" s="1"/>
  <c r="C1580" i="40"/>
  <c r="D1580" i="40" s="1"/>
  <c r="C1581" i="40"/>
  <c r="D1581" i="40" s="1"/>
  <c r="C1582" i="40"/>
  <c r="D1582" i="40" s="1"/>
  <c r="C1583" i="40"/>
  <c r="D1583" i="40" s="1"/>
  <c r="C1584" i="40"/>
  <c r="D1584" i="40" s="1"/>
  <c r="C1585" i="40"/>
  <c r="D1585" i="40" s="1"/>
  <c r="C1586" i="40"/>
  <c r="D1586" i="40" s="1"/>
  <c r="C1587" i="40"/>
  <c r="D1587" i="40" s="1"/>
  <c r="C1588" i="40"/>
  <c r="D1588" i="40" s="1"/>
  <c r="C1589" i="40"/>
  <c r="D1589" i="40" s="1"/>
  <c r="C1590" i="40"/>
  <c r="D1590" i="40" s="1"/>
  <c r="C1591" i="40"/>
  <c r="D1591" i="40" s="1"/>
  <c r="C1592" i="40"/>
  <c r="D1592" i="40" s="1"/>
  <c r="C1593" i="40"/>
  <c r="D1593" i="40" s="1"/>
  <c r="C1594" i="40"/>
  <c r="D1594" i="40" s="1"/>
  <c r="C1595" i="40"/>
  <c r="D1595" i="40" s="1"/>
  <c r="C1596" i="40"/>
  <c r="D1596" i="40" s="1"/>
  <c r="C1597" i="40"/>
  <c r="D1597" i="40" s="1"/>
  <c r="C1598" i="40"/>
  <c r="D1598" i="40" s="1"/>
  <c r="C1599" i="40"/>
  <c r="D1599" i="40" s="1"/>
  <c r="C1600" i="40"/>
  <c r="D1600" i="40" s="1"/>
  <c r="C1601" i="40"/>
  <c r="D1601" i="40" s="1"/>
  <c r="C1602" i="40"/>
  <c r="D1602" i="40" s="1"/>
  <c r="C1603" i="40"/>
  <c r="D1603" i="40" s="1"/>
  <c r="C1604" i="40"/>
  <c r="D1604" i="40" s="1"/>
  <c r="C1605" i="40"/>
  <c r="D1605" i="40" s="1"/>
  <c r="C1606" i="40"/>
  <c r="D1606" i="40" s="1"/>
  <c r="C1607" i="40"/>
  <c r="D1607" i="40" s="1"/>
  <c r="C1608" i="40"/>
  <c r="D1608" i="40" s="1"/>
  <c r="C1609" i="40"/>
  <c r="D1609" i="40" s="1"/>
  <c r="C1610" i="40"/>
  <c r="D1610" i="40" s="1"/>
  <c r="C1611" i="40"/>
  <c r="D1611" i="40" s="1"/>
  <c r="C1612" i="40"/>
  <c r="D1612" i="40" s="1"/>
  <c r="C1613" i="40"/>
  <c r="D1613" i="40" s="1"/>
  <c r="C1614" i="40"/>
  <c r="D1614" i="40" s="1"/>
  <c r="C1615" i="40"/>
  <c r="D1615" i="40" s="1"/>
  <c r="C1616" i="40"/>
  <c r="D1616" i="40" s="1"/>
  <c r="C1617" i="40"/>
  <c r="D1617" i="40" s="1"/>
  <c r="C1618" i="40"/>
  <c r="D1618" i="40" s="1"/>
  <c r="C1619" i="40"/>
  <c r="D1619" i="40" s="1"/>
  <c r="C1620" i="40"/>
  <c r="D1620" i="40" s="1"/>
  <c r="C1621" i="40"/>
  <c r="D1621" i="40" s="1"/>
  <c r="C1622" i="40"/>
  <c r="D1622" i="40" s="1"/>
  <c r="C1623" i="40"/>
  <c r="D1623" i="40" s="1"/>
  <c r="C1624" i="40"/>
  <c r="D1624" i="40" s="1"/>
  <c r="C1625" i="40"/>
  <c r="D1625" i="40" s="1"/>
  <c r="C1626" i="40"/>
  <c r="D1626" i="40" s="1"/>
  <c r="C1627" i="40"/>
  <c r="D1627" i="40" s="1"/>
  <c r="C1628" i="40"/>
  <c r="D1628" i="40" s="1"/>
  <c r="C1629" i="40"/>
  <c r="D1629" i="40" s="1"/>
  <c r="C1630" i="40"/>
  <c r="D1630" i="40" s="1"/>
  <c r="C1631" i="40"/>
  <c r="D1631" i="40" s="1"/>
  <c r="C1632" i="40"/>
  <c r="D1632" i="40" s="1"/>
  <c r="C1633" i="40"/>
  <c r="D1633" i="40" s="1"/>
  <c r="C1634" i="40"/>
  <c r="D1634" i="40" s="1"/>
  <c r="C1635" i="40"/>
  <c r="D1635" i="40" s="1"/>
  <c r="C1636" i="40"/>
  <c r="D1636" i="40" s="1"/>
  <c r="C1637" i="40"/>
  <c r="D1637" i="40" s="1"/>
  <c r="C1638" i="40"/>
  <c r="D1638" i="40" s="1"/>
  <c r="C1639" i="40"/>
  <c r="D1639" i="40" s="1"/>
  <c r="C1640" i="40"/>
  <c r="D1640" i="40" s="1"/>
  <c r="C1641" i="40"/>
  <c r="D1641" i="40" s="1"/>
  <c r="C1642" i="40"/>
  <c r="D1642" i="40" s="1"/>
  <c r="C1643" i="40"/>
  <c r="D1643" i="40" s="1"/>
  <c r="C1644" i="40"/>
  <c r="D1644" i="40" s="1"/>
  <c r="C1645" i="40"/>
  <c r="D1645" i="40" s="1"/>
  <c r="C1646" i="40"/>
  <c r="D1646" i="40" s="1"/>
  <c r="C1647" i="40"/>
  <c r="D1647" i="40" s="1"/>
  <c r="C1648" i="40"/>
  <c r="D1648" i="40" s="1"/>
  <c r="C1649" i="40"/>
  <c r="D1649" i="40" s="1"/>
  <c r="C1650" i="40"/>
  <c r="D1650" i="40" s="1"/>
  <c r="C1651" i="40"/>
  <c r="D1651" i="40" s="1"/>
  <c r="C1652" i="40"/>
  <c r="D1652" i="40" s="1"/>
  <c r="C1653" i="40"/>
  <c r="D1653" i="40" s="1"/>
  <c r="C1654" i="40"/>
  <c r="D1654" i="40" s="1"/>
  <c r="C1655" i="40"/>
  <c r="D1655" i="40" s="1"/>
  <c r="C1656" i="40"/>
  <c r="D1656" i="40" s="1"/>
  <c r="C1657" i="40"/>
  <c r="D1657" i="40" s="1"/>
  <c r="C1658" i="40"/>
  <c r="D1658" i="40" s="1"/>
  <c r="C1659" i="40"/>
  <c r="D1659" i="40" s="1"/>
  <c r="C1660" i="40"/>
  <c r="D1660" i="40" s="1"/>
  <c r="C1661" i="40"/>
  <c r="D1661" i="40" s="1"/>
  <c r="C1662" i="40"/>
  <c r="D1662" i="40" s="1"/>
  <c r="C1663" i="40"/>
  <c r="D1663" i="40" s="1"/>
  <c r="C1664" i="40"/>
  <c r="D1664" i="40" s="1"/>
  <c r="C1665" i="40"/>
  <c r="D1665" i="40" s="1"/>
  <c r="C1666" i="40"/>
  <c r="D1666" i="40" s="1"/>
  <c r="C1667" i="40"/>
  <c r="D1667" i="40" s="1"/>
  <c r="C1668" i="40"/>
  <c r="D1668" i="40" s="1"/>
  <c r="C1669" i="40"/>
  <c r="D1669" i="40" s="1"/>
  <c r="C1670" i="40"/>
  <c r="D1670" i="40" s="1"/>
  <c r="C1671" i="40"/>
  <c r="D1671" i="40" s="1"/>
  <c r="C1672" i="40"/>
  <c r="D1672" i="40" s="1"/>
  <c r="C1673" i="40"/>
  <c r="D1673" i="40" s="1"/>
  <c r="C1674" i="40"/>
  <c r="D1674" i="40" s="1"/>
  <c r="C1675" i="40"/>
  <c r="D1675" i="40" s="1"/>
  <c r="C1676" i="40"/>
  <c r="D1676" i="40" s="1"/>
  <c r="C1677" i="40"/>
  <c r="D1677" i="40" s="1"/>
  <c r="C1678" i="40"/>
  <c r="D1678" i="40" s="1"/>
  <c r="C1679" i="40"/>
  <c r="D1679" i="40" s="1"/>
  <c r="C1680" i="40"/>
  <c r="D1680" i="40" s="1"/>
  <c r="C1681" i="40"/>
  <c r="D1681" i="40" s="1"/>
  <c r="C1682" i="40"/>
  <c r="D1682" i="40" s="1"/>
  <c r="C1683" i="40"/>
  <c r="D1683" i="40" s="1"/>
  <c r="C1684" i="40"/>
  <c r="D1684" i="40" s="1"/>
  <c r="C1685" i="40"/>
  <c r="D1685" i="40" s="1"/>
  <c r="C1686" i="40"/>
  <c r="D1686" i="40" s="1"/>
  <c r="C1687" i="40"/>
  <c r="D1687" i="40" s="1"/>
  <c r="C1688" i="40"/>
  <c r="D1688" i="40" s="1"/>
  <c r="C1689" i="40"/>
  <c r="D1689" i="40" s="1"/>
  <c r="C1690" i="40"/>
  <c r="D1690" i="40" s="1"/>
  <c r="C1691" i="40"/>
  <c r="D1691" i="40" s="1"/>
  <c r="C1691" i="39" s="1"/>
  <c r="C1692" i="40"/>
  <c r="D1692" i="40" s="1"/>
  <c r="C1692" i="39" s="1"/>
  <c r="C1693" i="40"/>
  <c r="D1693" i="40" s="1"/>
  <c r="C1693" i="39" s="1"/>
  <c r="C1694" i="40"/>
  <c r="D1694" i="40" s="1"/>
  <c r="C1694" i="39" s="1"/>
  <c r="C1695" i="40"/>
  <c r="D1695" i="40" s="1"/>
  <c r="C1695" i="39" s="1"/>
  <c r="C1696" i="40"/>
  <c r="D1696" i="40" s="1"/>
  <c r="C1696" i="39" s="1"/>
  <c r="C1697" i="40"/>
  <c r="D1697" i="40" s="1"/>
  <c r="C1697" i="39" s="1"/>
  <c r="C1698" i="40"/>
  <c r="D1698" i="40" s="1"/>
  <c r="C1698" i="39" s="1"/>
  <c r="C1699" i="40"/>
  <c r="D1699" i="40" s="1"/>
  <c r="C1699" i="39" s="1"/>
  <c r="C1700" i="40"/>
  <c r="D1700" i="40" s="1"/>
  <c r="C1700" i="39" s="1"/>
  <c r="C1701" i="40"/>
  <c r="D1701" i="40" s="1"/>
  <c r="C1701" i="39" s="1"/>
  <c r="C1702" i="40"/>
  <c r="D1702" i="40" s="1"/>
  <c r="C1702" i="39" s="1"/>
  <c r="C1703" i="40"/>
  <c r="D1703" i="40" s="1"/>
  <c r="C1703" i="39" s="1"/>
  <c r="C1704" i="40"/>
  <c r="D1704" i="40" s="1"/>
  <c r="C1705" i="40"/>
  <c r="D1705" i="40" s="1"/>
  <c r="C1706" i="40"/>
  <c r="D1706" i="40" s="1"/>
  <c r="C1707" i="40"/>
  <c r="D1707" i="40" s="1"/>
  <c r="C1708" i="40"/>
  <c r="D1708" i="40" s="1"/>
  <c r="C1709" i="40"/>
  <c r="D1709" i="40" s="1"/>
  <c r="C1710" i="40"/>
  <c r="D1710" i="40" s="1"/>
  <c r="C1711" i="40"/>
  <c r="D1711" i="40" s="1"/>
  <c r="C1712" i="40"/>
  <c r="D1712" i="40" s="1"/>
  <c r="C1713" i="40"/>
  <c r="D1713" i="40" s="1"/>
  <c r="C1714" i="40"/>
  <c r="D1714" i="40" s="1"/>
  <c r="C1715" i="40"/>
  <c r="D1715" i="40" s="1"/>
  <c r="C1716" i="40"/>
  <c r="D1716" i="40" s="1"/>
  <c r="C1717" i="40"/>
  <c r="D1717" i="40" s="1"/>
  <c r="C1718" i="40"/>
  <c r="D1718" i="40" s="1"/>
  <c r="C1719" i="40"/>
  <c r="D1719" i="40" s="1"/>
  <c r="C1720" i="40"/>
  <c r="D1720" i="40" s="1"/>
  <c r="C1721" i="40"/>
  <c r="D1721" i="40" s="1"/>
  <c r="C1722" i="40"/>
  <c r="D1722" i="40" s="1"/>
  <c r="C1723" i="40"/>
  <c r="D1723" i="40" s="1"/>
  <c r="C1724" i="40"/>
  <c r="D1724" i="40" s="1"/>
  <c r="C1725" i="40"/>
  <c r="D1725" i="40" s="1"/>
  <c r="C1726" i="40"/>
  <c r="D1726" i="40" s="1"/>
  <c r="C1727" i="40"/>
  <c r="D1727" i="40" s="1"/>
  <c r="C1728" i="40"/>
  <c r="D1728" i="40" s="1"/>
  <c r="C1729" i="40"/>
  <c r="D1729" i="40" s="1"/>
  <c r="C1730" i="40"/>
  <c r="D1730" i="40" s="1"/>
  <c r="C1731" i="40"/>
  <c r="D1731" i="40" s="1"/>
  <c r="C1732" i="40"/>
  <c r="D1732" i="40" s="1"/>
  <c r="C1733" i="40"/>
  <c r="D1733" i="40" s="1"/>
  <c r="C1734" i="40"/>
  <c r="D1734" i="40" s="1"/>
  <c r="C1735" i="40"/>
  <c r="D1735" i="40" s="1"/>
  <c r="C1736" i="40"/>
  <c r="D1736" i="40" s="1"/>
  <c r="C1737" i="40"/>
  <c r="D1737" i="40" s="1"/>
  <c r="C1738" i="40"/>
  <c r="D1738" i="40" s="1"/>
  <c r="C1739" i="40"/>
  <c r="D1739" i="40" s="1"/>
  <c r="C1740" i="40"/>
  <c r="D1740" i="40" s="1"/>
  <c r="C1741" i="40"/>
  <c r="D1741" i="40" s="1"/>
  <c r="C1742" i="40"/>
  <c r="D1742" i="40" s="1"/>
  <c r="C1743" i="40"/>
  <c r="D1743" i="40" s="1"/>
  <c r="C1744" i="40"/>
  <c r="D1744" i="40" s="1"/>
  <c r="C1745" i="40"/>
  <c r="D1745" i="40" s="1"/>
  <c r="C1746" i="40"/>
  <c r="D1746" i="40" s="1"/>
  <c r="C1747" i="40"/>
  <c r="D1747" i="40" s="1"/>
  <c r="C1748" i="40"/>
  <c r="D1748" i="40" s="1"/>
  <c r="C1749" i="40"/>
  <c r="D1749" i="40" s="1"/>
  <c r="C1750" i="40"/>
  <c r="D1750" i="40" s="1"/>
  <c r="C1751" i="40"/>
  <c r="D1751" i="40" s="1"/>
  <c r="C1752" i="40"/>
  <c r="D1752" i="40" s="1"/>
  <c r="C1753" i="40"/>
  <c r="D1753" i="40" s="1"/>
  <c r="C1754" i="40"/>
  <c r="D1754" i="40" s="1"/>
  <c r="C1755" i="40"/>
  <c r="D1755" i="40" s="1"/>
  <c r="C1756" i="40"/>
  <c r="D1756" i="40" s="1"/>
  <c r="C1757" i="40"/>
  <c r="D1757" i="40" s="1"/>
  <c r="C1758" i="40"/>
  <c r="D1758" i="40" s="1"/>
  <c r="C1759" i="40"/>
  <c r="D1759" i="40" s="1"/>
  <c r="C1760" i="40"/>
  <c r="D1760" i="40" s="1"/>
  <c r="C1761" i="40"/>
  <c r="D1761" i="40" s="1"/>
  <c r="C1762" i="40"/>
  <c r="D1762" i="40" s="1"/>
  <c r="C1763" i="40"/>
  <c r="D1763" i="40" s="1"/>
  <c r="C1764" i="40"/>
  <c r="D1764" i="40" s="1"/>
  <c r="C1765" i="40"/>
  <c r="D1765" i="40" s="1"/>
  <c r="C1766" i="40"/>
  <c r="D1766" i="40" s="1"/>
  <c r="C1767" i="40"/>
  <c r="D1767" i="40" s="1"/>
  <c r="C1768" i="40"/>
  <c r="D1768" i="40" s="1"/>
  <c r="C1769" i="40"/>
  <c r="D1769" i="40" s="1"/>
  <c r="C1770" i="40"/>
  <c r="D1770" i="40" s="1"/>
  <c r="C1771" i="40"/>
  <c r="D1771" i="40" s="1"/>
  <c r="C1772" i="40"/>
  <c r="D1772" i="40" s="1"/>
  <c r="C1773" i="40"/>
  <c r="D1773" i="40" s="1"/>
  <c r="C1774" i="40"/>
  <c r="D1774" i="40" s="1"/>
  <c r="C1775" i="40"/>
  <c r="D1775" i="40" s="1"/>
  <c r="C1776" i="40"/>
  <c r="D1776" i="40" s="1"/>
  <c r="C1777" i="40"/>
  <c r="D1777" i="40" s="1"/>
  <c r="C1778" i="40"/>
  <c r="D1778" i="40" s="1"/>
  <c r="C1779" i="40"/>
  <c r="D1779" i="40" s="1"/>
  <c r="C1780" i="40"/>
  <c r="D1780" i="40" s="1"/>
  <c r="C1781" i="40"/>
  <c r="D1781" i="40" s="1"/>
  <c r="C1782" i="40"/>
  <c r="D1782" i="40" s="1"/>
  <c r="C1783" i="40"/>
  <c r="D1783" i="40" s="1"/>
  <c r="C1784" i="40"/>
  <c r="D1784" i="40" s="1"/>
  <c r="C1785" i="40"/>
  <c r="D1785" i="40" s="1"/>
  <c r="C1786" i="40"/>
  <c r="D1786" i="40" s="1"/>
  <c r="C1787" i="40"/>
  <c r="D1787" i="40" s="1"/>
  <c r="C1788" i="40"/>
  <c r="D1788" i="40" s="1"/>
  <c r="C1789" i="40"/>
  <c r="D1789" i="40" s="1"/>
  <c r="C1790" i="40"/>
  <c r="D1790" i="40" s="1"/>
  <c r="C1791" i="40"/>
  <c r="D1791" i="40" s="1"/>
  <c r="C1792" i="40"/>
  <c r="D1792" i="40" s="1"/>
  <c r="C1793" i="40"/>
  <c r="D1793" i="40" s="1"/>
  <c r="C1794" i="40"/>
  <c r="D1794" i="40" s="1"/>
  <c r="C1795" i="40"/>
  <c r="D1795" i="40" s="1"/>
  <c r="C1796" i="40"/>
  <c r="D1796" i="40" s="1"/>
  <c r="C1797" i="40"/>
  <c r="D1797" i="40" s="1"/>
  <c r="C1798" i="40"/>
  <c r="D1798" i="40" s="1"/>
  <c r="C1799" i="40"/>
  <c r="D1799" i="40" s="1"/>
  <c r="C1800" i="40"/>
  <c r="D1800" i="40" s="1"/>
  <c r="C1801" i="40"/>
  <c r="D1801" i="40" s="1"/>
  <c r="C1802" i="40"/>
  <c r="D1802" i="40" s="1"/>
  <c r="C1803" i="40"/>
  <c r="D1803" i="40" s="1"/>
  <c r="C1804" i="40"/>
  <c r="D1804" i="40" s="1"/>
  <c r="C1805" i="40"/>
  <c r="D1805" i="40" s="1"/>
  <c r="C1806" i="40"/>
  <c r="D1806" i="40" s="1"/>
  <c r="C1807" i="40"/>
  <c r="D1807" i="40" s="1"/>
  <c r="C1808" i="40"/>
  <c r="D1808" i="40" s="1"/>
  <c r="C1809" i="40"/>
  <c r="D1809" i="40" s="1"/>
  <c r="C1810" i="40"/>
  <c r="D1810" i="40" s="1"/>
  <c r="C1811" i="40"/>
  <c r="D1811" i="40" s="1"/>
  <c r="C1812" i="40"/>
  <c r="D1812" i="40" s="1"/>
  <c r="C1813" i="40"/>
  <c r="D1813" i="40" s="1"/>
  <c r="C1814" i="40"/>
  <c r="D1814" i="40" s="1"/>
  <c r="C1815" i="40"/>
  <c r="D1815" i="40" s="1"/>
  <c r="C1816" i="40"/>
  <c r="D1816" i="40" s="1"/>
  <c r="C1817" i="40"/>
  <c r="D1817" i="40" s="1"/>
  <c r="C1818" i="40"/>
  <c r="D1818" i="40" s="1"/>
  <c r="C1819" i="40"/>
  <c r="D1819" i="40" s="1"/>
  <c r="C1820" i="40"/>
  <c r="D1820" i="40" s="1"/>
  <c r="C1821" i="40"/>
  <c r="D1821" i="40" s="1"/>
  <c r="C1822" i="40"/>
  <c r="D1822" i="40" s="1"/>
  <c r="C1823" i="40"/>
  <c r="D1823" i="40" s="1"/>
  <c r="C1824" i="40"/>
  <c r="D1824" i="40" s="1"/>
  <c r="C1825" i="40"/>
  <c r="D1825" i="40" s="1"/>
  <c r="C1826" i="40"/>
  <c r="D1826" i="40" s="1"/>
  <c r="C1827" i="40"/>
  <c r="D1827" i="40" s="1"/>
  <c r="C1828" i="40"/>
  <c r="D1828" i="40" s="1"/>
  <c r="C1829" i="40"/>
  <c r="D1829" i="40" s="1"/>
  <c r="C1830" i="40"/>
  <c r="D1830" i="40" s="1"/>
  <c r="C1831" i="40"/>
  <c r="D1831" i="40" s="1"/>
  <c r="C1832" i="40"/>
  <c r="D1832" i="40" s="1"/>
  <c r="C1833" i="40"/>
  <c r="D1833" i="40" s="1"/>
  <c r="C1834" i="40"/>
  <c r="D1834" i="40" s="1"/>
  <c r="C1835" i="40"/>
  <c r="D1835" i="40" s="1"/>
  <c r="C1836" i="40"/>
  <c r="D1836" i="40" s="1"/>
  <c r="C1837" i="40"/>
  <c r="D1837" i="40" s="1"/>
  <c r="C1838" i="40"/>
  <c r="D1838" i="40" s="1"/>
  <c r="C1839" i="40"/>
  <c r="D1839" i="40" s="1"/>
  <c r="C1840" i="40"/>
  <c r="D1840" i="40" s="1"/>
  <c r="C1841" i="40"/>
  <c r="D1841" i="40" s="1"/>
  <c r="C1842" i="40"/>
  <c r="D1842" i="40" s="1"/>
  <c r="C1843" i="40"/>
  <c r="D1843" i="40" s="1"/>
  <c r="C1844" i="40"/>
  <c r="D1844" i="40" s="1"/>
  <c r="C1845" i="40"/>
  <c r="D1845" i="40" s="1"/>
  <c r="C1846" i="40"/>
  <c r="D1846" i="40" s="1"/>
  <c r="C1847" i="40"/>
  <c r="D1847" i="40" s="1"/>
  <c r="C1848" i="40"/>
  <c r="D1848" i="40" s="1"/>
  <c r="C1849" i="40"/>
  <c r="D1849" i="40" s="1"/>
  <c r="C1850" i="40"/>
  <c r="D1850" i="40" s="1"/>
  <c r="C1851" i="40"/>
  <c r="D1851" i="40" s="1"/>
  <c r="C1852" i="40"/>
  <c r="D1852" i="40" s="1"/>
  <c r="C1853" i="40"/>
  <c r="D1853" i="40" s="1"/>
  <c r="C1854" i="40"/>
  <c r="D1854" i="40" s="1"/>
  <c r="C1855" i="40"/>
  <c r="D1855" i="40" s="1"/>
  <c r="C1856" i="40"/>
  <c r="D1856" i="40" s="1"/>
  <c r="C1857" i="40"/>
  <c r="D1857" i="40" s="1"/>
  <c r="C1858" i="40"/>
  <c r="D1858" i="40" s="1"/>
  <c r="C1859" i="40"/>
  <c r="D1859" i="40" s="1"/>
  <c r="C1860" i="40"/>
  <c r="D1860" i="40" s="1"/>
  <c r="C1861" i="40"/>
  <c r="D1861" i="40" s="1"/>
  <c r="C1862" i="40"/>
  <c r="D1862" i="40" s="1"/>
  <c r="C1863" i="40"/>
  <c r="D1863" i="40" s="1"/>
  <c r="C1864" i="40"/>
  <c r="D1864" i="40" s="1"/>
  <c r="C1865" i="40"/>
  <c r="D1865" i="40" s="1"/>
  <c r="C1866" i="40"/>
  <c r="D1866" i="40" s="1"/>
  <c r="C1867" i="40"/>
  <c r="D1867" i="40" s="1"/>
  <c r="C1868" i="40"/>
  <c r="D1868" i="40" s="1"/>
  <c r="C1869" i="40"/>
  <c r="D1869" i="40" s="1"/>
  <c r="C1870" i="40"/>
  <c r="D1870" i="40" s="1"/>
  <c r="C1871" i="40"/>
  <c r="D1871" i="40" s="1"/>
  <c r="C1872" i="40"/>
  <c r="D1872" i="40" s="1"/>
  <c r="C1873" i="40"/>
  <c r="D1873" i="40" s="1"/>
  <c r="C1874" i="40"/>
  <c r="D1874" i="40" s="1"/>
  <c r="C1875" i="40"/>
  <c r="D1875" i="40" s="1"/>
  <c r="C1876" i="40"/>
  <c r="D1876" i="40" s="1"/>
  <c r="C1877" i="40"/>
  <c r="D1877" i="40" s="1"/>
  <c r="C1878" i="40"/>
  <c r="D1878" i="40" s="1"/>
  <c r="C1879" i="40"/>
  <c r="D1879" i="40" s="1"/>
  <c r="C1880" i="40"/>
  <c r="D1880" i="40" s="1"/>
  <c r="C1881" i="40"/>
  <c r="D1881" i="40" s="1"/>
  <c r="C1882" i="40"/>
  <c r="D1882" i="40" s="1"/>
  <c r="C1883" i="40"/>
  <c r="D1883" i="40" s="1"/>
  <c r="C1884" i="40"/>
  <c r="D1884" i="40" s="1"/>
  <c r="C1885" i="40"/>
  <c r="D1885" i="40" s="1"/>
  <c r="C1886" i="40"/>
  <c r="D1886" i="40" s="1"/>
  <c r="C1887" i="40"/>
  <c r="D1887" i="40" s="1"/>
  <c r="C1888" i="40"/>
  <c r="D1888" i="40" s="1"/>
  <c r="C1889" i="40"/>
  <c r="D1889" i="40" s="1"/>
  <c r="C1890" i="40"/>
  <c r="D1890" i="40" s="1"/>
  <c r="C1891" i="40"/>
  <c r="D1891" i="40" s="1"/>
  <c r="C1892" i="40"/>
  <c r="D1892" i="40" s="1"/>
  <c r="C1893" i="40"/>
  <c r="D1893" i="40" s="1"/>
  <c r="C1894" i="40"/>
  <c r="D1894" i="40" s="1"/>
  <c r="C1895" i="40"/>
  <c r="D1895" i="40" s="1"/>
  <c r="C1896" i="40"/>
  <c r="D1896" i="40" s="1"/>
  <c r="C1897" i="40"/>
  <c r="D1897" i="40" s="1"/>
  <c r="C1898" i="40"/>
  <c r="D1898" i="40" s="1"/>
  <c r="C1899" i="40"/>
  <c r="D1899" i="40" s="1"/>
  <c r="C1900" i="40"/>
  <c r="D1900" i="40" s="1"/>
  <c r="C1901" i="40"/>
  <c r="D1901" i="40" s="1"/>
  <c r="C1902" i="40"/>
  <c r="D1902" i="40" s="1"/>
  <c r="C1903" i="40"/>
  <c r="D1903" i="40" s="1"/>
  <c r="C1904" i="40"/>
  <c r="D1904" i="40" s="1"/>
  <c r="C1905" i="40"/>
  <c r="D1905" i="40" s="1"/>
  <c r="C1906" i="40"/>
  <c r="D1906" i="40" s="1"/>
  <c r="C1907" i="40"/>
  <c r="D1907" i="40" s="1"/>
  <c r="C1908" i="40"/>
  <c r="D1908" i="40" s="1"/>
  <c r="C1909" i="40"/>
  <c r="D1909" i="40" s="1"/>
  <c r="C1910" i="40"/>
  <c r="D1910" i="40" s="1"/>
  <c r="C1911" i="40"/>
  <c r="D1911" i="40" s="1"/>
  <c r="C1912" i="40"/>
  <c r="D1912" i="40" s="1"/>
  <c r="C1913" i="40"/>
  <c r="D1913" i="40" s="1"/>
  <c r="C1914" i="40"/>
  <c r="D1914" i="40" s="1"/>
  <c r="C1915" i="40"/>
  <c r="D1915" i="40" s="1"/>
  <c r="C1916" i="40"/>
  <c r="D1916" i="40" s="1"/>
  <c r="C1917" i="40"/>
  <c r="D1917" i="40" s="1"/>
  <c r="C1918" i="40"/>
  <c r="D1918" i="40" s="1"/>
  <c r="C1919" i="40"/>
  <c r="D1919" i="40" s="1"/>
  <c r="C1920" i="40"/>
  <c r="D1920" i="40" s="1"/>
  <c r="C1921" i="40"/>
  <c r="D1921" i="40" s="1"/>
  <c r="C1922" i="40"/>
  <c r="D1922" i="40" s="1"/>
  <c r="C1923" i="40"/>
  <c r="D1923" i="40" s="1"/>
  <c r="C1924" i="40"/>
  <c r="D1924" i="40" s="1"/>
  <c r="C1925" i="40"/>
  <c r="D1925" i="40" s="1"/>
  <c r="C1926" i="40"/>
  <c r="D1926" i="40" s="1"/>
  <c r="C1927" i="40"/>
  <c r="D1927" i="40" s="1"/>
  <c r="C1928" i="40"/>
  <c r="D1928" i="40" s="1"/>
  <c r="C1929" i="40"/>
  <c r="D1929" i="40" s="1"/>
  <c r="C1930" i="40"/>
  <c r="D1930" i="40" s="1"/>
  <c r="C1931" i="40"/>
  <c r="D1931" i="40" s="1"/>
  <c r="C1932" i="40"/>
  <c r="D1932" i="40" s="1"/>
  <c r="C1933" i="40"/>
  <c r="D1933" i="40" s="1"/>
  <c r="C1934" i="40"/>
  <c r="D1934" i="40" s="1"/>
  <c r="C1935" i="40"/>
  <c r="D1935" i="40" s="1"/>
  <c r="C1936" i="40"/>
  <c r="D1936" i="40" s="1"/>
  <c r="C1937" i="40"/>
  <c r="D1937" i="40" s="1"/>
  <c r="C1938" i="40"/>
  <c r="D1938" i="40" s="1"/>
  <c r="C1939" i="40"/>
  <c r="D1939" i="40" s="1"/>
  <c r="C1940" i="40"/>
  <c r="D1940" i="40" s="1"/>
  <c r="C1941" i="40"/>
  <c r="D1941" i="40" s="1"/>
  <c r="C1942" i="40"/>
  <c r="D1942" i="40" s="1"/>
  <c r="C1943" i="40"/>
  <c r="D1943" i="40" s="1"/>
  <c r="C1944" i="40"/>
  <c r="D1944" i="40" s="1"/>
  <c r="C1945" i="40"/>
  <c r="D1945" i="40" s="1"/>
  <c r="C1946" i="40"/>
  <c r="D1946" i="40" s="1"/>
  <c r="C1947" i="40"/>
  <c r="D1947" i="40" s="1"/>
  <c r="C1948" i="40"/>
  <c r="D1948" i="40" s="1"/>
  <c r="C1949" i="40"/>
  <c r="D1949" i="40" s="1"/>
  <c r="C1950" i="40"/>
  <c r="D1950" i="40" s="1"/>
  <c r="C1951" i="40"/>
  <c r="D1951" i="40" s="1"/>
  <c r="C1952" i="40"/>
  <c r="D1952" i="40" s="1"/>
  <c r="C1953" i="40"/>
  <c r="D1953" i="40" s="1"/>
  <c r="C1954" i="40"/>
  <c r="D1954" i="40" s="1"/>
  <c r="C1955" i="40"/>
  <c r="D1955" i="40" s="1"/>
  <c r="C1956" i="40"/>
  <c r="D1956" i="40" s="1"/>
  <c r="C1957" i="40"/>
  <c r="D1957" i="40" s="1"/>
  <c r="C1958" i="40"/>
  <c r="D1958" i="40" s="1"/>
  <c r="C1959" i="40"/>
  <c r="D1959" i="40" s="1"/>
  <c r="C1960" i="40"/>
  <c r="D1960" i="40" s="1"/>
  <c r="C1961" i="40"/>
  <c r="D1961" i="40" s="1"/>
  <c r="C1962" i="40"/>
  <c r="D1962" i="40" s="1"/>
  <c r="C1963" i="40"/>
  <c r="D1963" i="40" s="1"/>
  <c r="C1964" i="40"/>
  <c r="D1964" i="40" s="1"/>
  <c r="C1965" i="40"/>
  <c r="D1965" i="40" s="1"/>
  <c r="C1966" i="40"/>
  <c r="D1966" i="40" s="1"/>
  <c r="C1967" i="40"/>
  <c r="D1967" i="40" s="1"/>
  <c r="C1968" i="40"/>
  <c r="D1968" i="40" s="1"/>
  <c r="C1969" i="40"/>
  <c r="D1969" i="40" s="1"/>
  <c r="C1970" i="40"/>
  <c r="D1970" i="40" s="1"/>
  <c r="C1971" i="40"/>
  <c r="D1971" i="40" s="1"/>
  <c r="C1972" i="40"/>
  <c r="D1972" i="40" s="1"/>
  <c r="C1973" i="40"/>
  <c r="D1973" i="40" s="1"/>
  <c r="C1974" i="40"/>
  <c r="D1974" i="40" s="1"/>
  <c r="C1975" i="40"/>
  <c r="D1975" i="40" s="1"/>
  <c r="C1976" i="40"/>
  <c r="D1976" i="40" s="1"/>
  <c r="C1977" i="40"/>
  <c r="D1977" i="40" s="1"/>
  <c r="C1978" i="40"/>
  <c r="D1978" i="40" s="1"/>
  <c r="C1979" i="40"/>
  <c r="D1979" i="40" s="1"/>
  <c r="C1980" i="40"/>
  <c r="D1980" i="40" s="1"/>
  <c r="C1981" i="40"/>
  <c r="D1981" i="40" s="1"/>
  <c r="C1982" i="40"/>
  <c r="D1982" i="40" s="1"/>
  <c r="C1983" i="40"/>
  <c r="D1983" i="40" s="1"/>
  <c r="C1984" i="40"/>
  <c r="D1984" i="40" s="1"/>
  <c r="C1985" i="40"/>
  <c r="D1985" i="40" s="1"/>
  <c r="C1986" i="40"/>
  <c r="D1986" i="40" s="1"/>
  <c r="C1987" i="40"/>
  <c r="D1987" i="40" s="1"/>
  <c r="C1988" i="40"/>
  <c r="D1988" i="40" s="1"/>
  <c r="C1989" i="40"/>
  <c r="D1989" i="40" s="1"/>
  <c r="C1990" i="40"/>
  <c r="D1990" i="40" s="1"/>
  <c r="C1991" i="40"/>
  <c r="D1991" i="40" s="1"/>
  <c r="C1992" i="40"/>
  <c r="D1992" i="40" s="1"/>
  <c r="C1993" i="40"/>
  <c r="D1993" i="40" s="1"/>
  <c r="C1994" i="40"/>
  <c r="D1994" i="40" s="1"/>
  <c r="C1995" i="40"/>
  <c r="D1995" i="40" s="1"/>
  <c r="C1996" i="40"/>
  <c r="D1996" i="40" s="1"/>
  <c r="C1997" i="40"/>
  <c r="D1997" i="40" s="1"/>
  <c r="C1998" i="40"/>
  <c r="D1998" i="40" s="1"/>
  <c r="C1999" i="40"/>
  <c r="D1999" i="40" s="1"/>
  <c r="C2000" i="40"/>
  <c r="D2000" i="40" s="1"/>
  <c r="C2001" i="40"/>
  <c r="D2001" i="40" s="1"/>
  <c r="C2002" i="40"/>
  <c r="D2002" i="40" s="1"/>
  <c r="C2003" i="40"/>
  <c r="D2003" i="40" s="1"/>
  <c r="C2004" i="40"/>
  <c r="D2004" i="40" s="1"/>
  <c r="C2005" i="40"/>
  <c r="D2005" i="40" s="1"/>
  <c r="C2006" i="40"/>
  <c r="D2006" i="40" s="1"/>
  <c r="C2007" i="40"/>
  <c r="D2007" i="40" s="1"/>
  <c r="C2008" i="40"/>
  <c r="D2008" i="40" s="1"/>
  <c r="C2009" i="40"/>
  <c r="D2009" i="40" s="1"/>
  <c r="C2010" i="40"/>
  <c r="D2010" i="40" s="1"/>
  <c r="C2011" i="40"/>
  <c r="D2011" i="40" s="1"/>
  <c r="C2012" i="40"/>
  <c r="D2012" i="40" s="1"/>
  <c r="C2013" i="40"/>
  <c r="D2013" i="40" s="1"/>
  <c r="C2014" i="40"/>
  <c r="D2014" i="40" s="1"/>
  <c r="C2015" i="40"/>
  <c r="D2015" i="40" s="1"/>
  <c r="C2016" i="40"/>
  <c r="D2016" i="40" s="1"/>
  <c r="C2017" i="40"/>
  <c r="D2017" i="40" s="1"/>
  <c r="C2018" i="40"/>
  <c r="D2018" i="40" s="1"/>
  <c r="C2019" i="40"/>
  <c r="D2019" i="40" s="1"/>
  <c r="C2020" i="40"/>
  <c r="D2020" i="40" s="1"/>
  <c r="C2021" i="40"/>
  <c r="D2021" i="40" s="1"/>
  <c r="C2022" i="40"/>
  <c r="D2022" i="40" s="1"/>
  <c r="C2023" i="40"/>
  <c r="D2023" i="40" s="1"/>
  <c r="C2024" i="40"/>
  <c r="D2024" i="40" s="1"/>
  <c r="C2025" i="40"/>
  <c r="D2025" i="40" s="1"/>
  <c r="C2026" i="40"/>
  <c r="D2026" i="40" s="1"/>
  <c r="C2027" i="40"/>
  <c r="D2027" i="40" s="1"/>
  <c r="C2028" i="40"/>
  <c r="D2028" i="40" s="1"/>
  <c r="C2029" i="40"/>
  <c r="D2029" i="40" s="1"/>
  <c r="C2030" i="40"/>
  <c r="D2030" i="40" s="1"/>
  <c r="C2031" i="40"/>
  <c r="D2031" i="40" s="1"/>
  <c r="C2032" i="40"/>
  <c r="D2032" i="40" s="1"/>
  <c r="C2033" i="40"/>
  <c r="D2033" i="40" s="1"/>
  <c r="C2034" i="40"/>
  <c r="D2034" i="40" s="1"/>
  <c r="C2035" i="40"/>
  <c r="D2035" i="40" s="1"/>
  <c r="C2036" i="40"/>
  <c r="D2036" i="40" s="1"/>
  <c r="C2037" i="40"/>
  <c r="D2037" i="40" s="1"/>
  <c r="C2038" i="40"/>
  <c r="D2038" i="40" s="1"/>
  <c r="C2039" i="40"/>
  <c r="D2039" i="40" s="1"/>
  <c r="C2040" i="40"/>
  <c r="D2040" i="40" s="1"/>
  <c r="C2041" i="40"/>
  <c r="D2041" i="40" s="1"/>
  <c r="C2042" i="40"/>
  <c r="D2042" i="40" s="1"/>
  <c r="C2043" i="40"/>
  <c r="D2043" i="40" s="1"/>
  <c r="C2044" i="40"/>
  <c r="D2044" i="40" s="1"/>
  <c r="C2045" i="40"/>
  <c r="D2045" i="40" s="1"/>
  <c r="C2046" i="40"/>
  <c r="D2046" i="40" s="1"/>
  <c r="C2047" i="40"/>
  <c r="D2047" i="40" s="1"/>
  <c r="C2048" i="40"/>
  <c r="D2048" i="40" s="1"/>
  <c r="C2049" i="40"/>
  <c r="D2049" i="40" s="1"/>
  <c r="C2050" i="40"/>
  <c r="D2050" i="40" s="1"/>
  <c r="C2051" i="40"/>
  <c r="D2051" i="40" s="1"/>
  <c r="C2052" i="40"/>
  <c r="D2052" i="40" s="1"/>
  <c r="C2053" i="40"/>
  <c r="D2053" i="40" s="1"/>
  <c r="C2054" i="40"/>
  <c r="D2054" i="40" s="1"/>
  <c r="C2055" i="40"/>
  <c r="D2055" i="40" s="1"/>
  <c r="C2056" i="40"/>
  <c r="D2056" i="40" s="1"/>
  <c r="C2057" i="40"/>
  <c r="D2057" i="40" s="1"/>
  <c r="C2058" i="40"/>
  <c r="D2058" i="40" s="1"/>
  <c r="C2059" i="40"/>
  <c r="D2059" i="40" s="1"/>
  <c r="C2060" i="40"/>
  <c r="D2060" i="40" s="1"/>
  <c r="C2061" i="40"/>
  <c r="D2061" i="40" s="1"/>
  <c r="C2062" i="40"/>
  <c r="D2062" i="40" s="1"/>
  <c r="C2063" i="40"/>
  <c r="D2063" i="40" s="1"/>
  <c r="C2064" i="40"/>
  <c r="D2064" i="40" s="1"/>
  <c r="C2065" i="40"/>
  <c r="D2065" i="40" s="1"/>
  <c r="C2066" i="40"/>
  <c r="D2066" i="40" s="1"/>
  <c r="C2067" i="40"/>
  <c r="D2067" i="40" s="1"/>
  <c r="C2068" i="40"/>
  <c r="D2068" i="40" s="1"/>
  <c r="C2069" i="40"/>
  <c r="D2069" i="40" s="1"/>
  <c r="C2070" i="40"/>
  <c r="D2070" i="40" s="1"/>
  <c r="C2071" i="40"/>
  <c r="D2071" i="40" s="1"/>
  <c r="C2072" i="40"/>
  <c r="D2072" i="40" s="1"/>
  <c r="C2073" i="40"/>
  <c r="D2073" i="40" s="1"/>
  <c r="C2074" i="40"/>
  <c r="D2074" i="40" s="1"/>
  <c r="C2075" i="40"/>
  <c r="D2075" i="40" s="1"/>
  <c r="C2076" i="40"/>
  <c r="D2076" i="40" s="1"/>
  <c r="C2077" i="40"/>
  <c r="D2077" i="40" s="1"/>
  <c r="C2078" i="40"/>
  <c r="D2078" i="40" s="1"/>
  <c r="C2079" i="40"/>
  <c r="D2079" i="40" s="1"/>
  <c r="C2080" i="40"/>
  <c r="D2080" i="40" s="1"/>
  <c r="C2081" i="40"/>
  <c r="D2081" i="40" s="1"/>
  <c r="C2082" i="40"/>
  <c r="D2082" i="40" s="1"/>
  <c r="C2083" i="40"/>
  <c r="D2083" i="40" s="1"/>
  <c r="C2084" i="40"/>
  <c r="D2084" i="40" s="1"/>
  <c r="C2085" i="40"/>
  <c r="D2085" i="40" s="1"/>
  <c r="C2086" i="40"/>
  <c r="D2086" i="40" s="1"/>
  <c r="C2087" i="40"/>
  <c r="D2087" i="40" s="1"/>
  <c r="C2088" i="40"/>
  <c r="D2088" i="40" s="1"/>
  <c r="C2089" i="40"/>
  <c r="D2089" i="40" s="1"/>
  <c r="C2090" i="40"/>
  <c r="D2090" i="40" s="1"/>
  <c r="C2091" i="40"/>
  <c r="D2091" i="40" s="1"/>
  <c r="C2092" i="40"/>
  <c r="D2092" i="40" s="1"/>
  <c r="C2093" i="40"/>
  <c r="D2093" i="40" s="1"/>
  <c r="C2094" i="40"/>
  <c r="D2094" i="40" s="1"/>
  <c r="C2095" i="40"/>
  <c r="D2095" i="40" s="1"/>
  <c r="C2096" i="40"/>
  <c r="D2096" i="40" s="1"/>
  <c r="C2097" i="40"/>
  <c r="D2097" i="40" s="1"/>
  <c r="C2098" i="40"/>
  <c r="D2098" i="40" s="1"/>
  <c r="C2099" i="40"/>
  <c r="D2099" i="40" s="1"/>
  <c r="C2100" i="40"/>
  <c r="D2100" i="40" s="1"/>
  <c r="C2101" i="40"/>
  <c r="D2101" i="40" s="1"/>
  <c r="C2102" i="40"/>
  <c r="D2102" i="40" s="1"/>
  <c r="C2103" i="40"/>
  <c r="D2103" i="40" s="1"/>
  <c r="C2104" i="40"/>
  <c r="D2104" i="40" s="1"/>
  <c r="C2105" i="40"/>
  <c r="D2105" i="40" s="1"/>
  <c r="C2106" i="40"/>
  <c r="D2106" i="40" s="1"/>
  <c r="C2107" i="40"/>
  <c r="D2107" i="40" s="1"/>
  <c r="C2108" i="40"/>
  <c r="D2108" i="40" s="1"/>
  <c r="C2109" i="40"/>
  <c r="D2109" i="40" s="1"/>
  <c r="C2110" i="40"/>
  <c r="D2110" i="40" s="1"/>
  <c r="C2111" i="40"/>
  <c r="D2111" i="40" s="1"/>
  <c r="C2112" i="40"/>
  <c r="D2112" i="40" s="1"/>
  <c r="C2113" i="40"/>
  <c r="D2113" i="40" s="1"/>
  <c r="C2114" i="40"/>
  <c r="D2114" i="40" s="1"/>
  <c r="C2115" i="40"/>
  <c r="D2115" i="40" s="1"/>
  <c r="C2116" i="40"/>
  <c r="D2116" i="40" s="1"/>
  <c r="C2117" i="40"/>
  <c r="D2117" i="40" s="1"/>
  <c r="C2118" i="40"/>
  <c r="D2118" i="40" s="1"/>
  <c r="C2119" i="40"/>
  <c r="D2119" i="40" s="1"/>
  <c r="C2120" i="40"/>
  <c r="D2120" i="40" s="1"/>
  <c r="C2121" i="40"/>
  <c r="D2121" i="40" s="1"/>
  <c r="C2122" i="40"/>
  <c r="D2122" i="40" s="1"/>
  <c r="C2123" i="40"/>
  <c r="D2123" i="40" s="1"/>
  <c r="C2124" i="40"/>
  <c r="D2124" i="40" s="1"/>
  <c r="C2125" i="40"/>
  <c r="D2125" i="40" s="1"/>
  <c r="C2126" i="40"/>
  <c r="D2126" i="40" s="1"/>
  <c r="C2127" i="40"/>
  <c r="D2127" i="40" s="1"/>
  <c r="C2128" i="40"/>
  <c r="D2128" i="40" s="1"/>
  <c r="C2129" i="40"/>
  <c r="D2129" i="40" s="1"/>
  <c r="C2130" i="40"/>
  <c r="D2130" i="40" s="1"/>
  <c r="C2131" i="40"/>
  <c r="D2131" i="40" s="1"/>
  <c r="C2132" i="40"/>
  <c r="D2132" i="40" s="1"/>
  <c r="C2133" i="40"/>
  <c r="D2133" i="40" s="1"/>
  <c r="C2134" i="40"/>
  <c r="D2134" i="40" s="1"/>
  <c r="C2135" i="40"/>
  <c r="D2135" i="40" s="1"/>
  <c r="C2136" i="40"/>
  <c r="D2136" i="40" s="1"/>
  <c r="C2137" i="40"/>
  <c r="D2137" i="40" s="1"/>
  <c r="C2138" i="40"/>
  <c r="D2138" i="40" s="1"/>
  <c r="C2139" i="40"/>
  <c r="D2139" i="40" s="1"/>
  <c r="C2140" i="40"/>
  <c r="D2140" i="40" s="1"/>
  <c r="C2141" i="40"/>
  <c r="D2141" i="40" s="1"/>
  <c r="C2142" i="40"/>
  <c r="D2142" i="40" s="1"/>
  <c r="C2143" i="40"/>
  <c r="D2143" i="40" s="1"/>
  <c r="C2144" i="40"/>
  <c r="D2144" i="40" s="1"/>
  <c r="C2145" i="40"/>
  <c r="D2145" i="40" s="1"/>
  <c r="C2146" i="40"/>
  <c r="D2146" i="40" s="1"/>
  <c r="C2147" i="40"/>
  <c r="D2147" i="40" s="1"/>
  <c r="C2148" i="40"/>
  <c r="D2148" i="40" s="1"/>
  <c r="C2149" i="40"/>
  <c r="D2149" i="40" s="1"/>
  <c r="C2150" i="40"/>
  <c r="D2150" i="40" s="1"/>
  <c r="C2151" i="40"/>
  <c r="D2151" i="40" s="1"/>
  <c r="C2152" i="40"/>
  <c r="D2152" i="40" s="1"/>
  <c r="C2153" i="40"/>
  <c r="D2153" i="40" s="1"/>
  <c r="C2154" i="40"/>
  <c r="D2154" i="40" s="1"/>
  <c r="C2155" i="40"/>
  <c r="D2155" i="40" s="1"/>
  <c r="C2156" i="40"/>
  <c r="D2156" i="40" s="1"/>
  <c r="C2157" i="40"/>
  <c r="D2157" i="40" s="1"/>
  <c r="C2158" i="40"/>
  <c r="D2158" i="40" s="1"/>
  <c r="C2159" i="40"/>
  <c r="D2159" i="40" s="1"/>
  <c r="C2160" i="40"/>
  <c r="D2160" i="40" s="1"/>
  <c r="C2161" i="40"/>
  <c r="D2161" i="40" s="1"/>
  <c r="C2162" i="40"/>
  <c r="D2162" i="40" s="1"/>
  <c r="C2163" i="40"/>
  <c r="D2163" i="40" s="1"/>
  <c r="C2164" i="40"/>
  <c r="D2164" i="40" s="1"/>
  <c r="C2165" i="40"/>
  <c r="D2165" i="40" s="1"/>
  <c r="C2166" i="40"/>
  <c r="D2166" i="40" s="1"/>
  <c r="C2167" i="40"/>
  <c r="D2167" i="40" s="1"/>
  <c r="C2168" i="40"/>
  <c r="D2168" i="40" s="1"/>
  <c r="C2169" i="40"/>
  <c r="D2169" i="40" s="1"/>
  <c r="C2170" i="40"/>
  <c r="D2170" i="40" s="1"/>
  <c r="C2171" i="40"/>
  <c r="D2171" i="40" s="1"/>
  <c r="C2172" i="40"/>
  <c r="D2172" i="40" s="1"/>
  <c r="C2173" i="40"/>
  <c r="D2173" i="40" s="1"/>
  <c r="C2174" i="40"/>
  <c r="D2174" i="40" s="1"/>
  <c r="C2175" i="40"/>
  <c r="D2175" i="40" s="1"/>
  <c r="C2176" i="40"/>
  <c r="D2176" i="40" s="1"/>
  <c r="C2177" i="40"/>
  <c r="D2177" i="40" s="1"/>
  <c r="C2178" i="40"/>
  <c r="D2178" i="40" s="1"/>
  <c r="C2179" i="40"/>
  <c r="D2179" i="40" s="1"/>
  <c r="C2180" i="40"/>
  <c r="D2180" i="40" s="1"/>
  <c r="C2181" i="40"/>
  <c r="D2181" i="40" s="1"/>
  <c r="C2182" i="40"/>
  <c r="D2182" i="40" s="1"/>
  <c r="C2183" i="40"/>
  <c r="D2183" i="40" s="1"/>
  <c r="C2184" i="40"/>
  <c r="D2184" i="40" s="1"/>
  <c r="C2185" i="40"/>
  <c r="D2185" i="40" s="1"/>
  <c r="C2186" i="40"/>
  <c r="D2186" i="40" s="1"/>
  <c r="C2187" i="40"/>
  <c r="D2187" i="40" s="1"/>
  <c r="C2188" i="40"/>
  <c r="D2188" i="40" s="1"/>
  <c r="C2189" i="40"/>
  <c r="D2189" i="40" s="1"/>
  <c r="C2190" i="40"/>
  <c r="D2190" i="40" s="1"/>
  <c r="C2191" i="40"/>
  <c r="D2191" i="40" s="1"/>
  <c r="C2192" i="40"/>
  <c r="D2192" i="40" s="1"/>
  <c r="C2193" i="40"/>
  <c r="D2193" i="40" s="1"/>
  <c r="C2194" i="40"/>
  <c r="D2194" i="40" s="1"/>
  <c r="C2195" i="40"/>
  <c r="D2195" i="40" s="1"/>
  <c r="C2196" i="40"/>
  <c r="D2196" i="40" s="1"/>
  <c r="C2197" i="40"/>
  <c r="D2197" i="40" s="1"/>
  <c r="C2198" i="40"/>
  <c r="D2198" i="40" s="1"/>
  <c r="C2199" i="40"/>
  <c r="D2199" i="40" s="1"/>
  <c r="C2200" i="40"/>
  <c r="D2200" i="40" s="1"/>
  <c r="C2201" i="40"/>
  <c r="D2201" i="40" s="1"/>
  <c r="C2202" i="40"/>
  <c r="D2202" i="40" s="1"/>
  <c r="C2203" i="40"/>
  <c r="D2203" i="40" s="1"/>
  <c r="C2204" i="40"/>
  <c r="D2204" i="40" s="1"/>
  <c r="C2205" i="40"/>
  <c r="D2205" i="40" s="1"/>
  <c r="C2206" i="40"/>
  <c r="D2206" i="40" s="1"/>
  <c r="C2207" i="40"/>
  <c r="D2207" i="40" s="1"/>
  <c r="C2208" i="40"/>
  <c r="D2208" i="40" s="1"/>
  <c r="C2209" i="40"/>
  <c r="D2209" i="40" s="1"/>
  <c r="C2210" i="40"/>
  <c r="D2210" i="40" s="1"/>
  <c r="C2211" i="40"/>
  <c r="D2211" i="40" s="1"/>
  <c r="C2212" i="40"/>
  <c r="D2212" i="40" s="1"/>
  <c r="C2213" i="40"/>
  <c r="D2213" i="40" s="1"/>
  <c r="C2214" i="40"/>
  <c r="D2214" i="40" s="1"/>
  <c r="C2215" i="40"/>
  <c r="D2215" i="40" s="1"/>
  <c r="C2216" i="40"/>
  <c r="D2216" i="40" s="1"/>
  <c r="C2217" i="40"/>
  <c r="D2217" i="40" s="1"/>
  <c r="C2218" i="40"/>
  <c r="D2218" i="40" s="1"/>
  <c r="C2219" i="40"/>
  <c r="D2219" i="40" s="1"/>
  <c r="C2220" i="40"/>
  <c r="D2220" i="40" s="1"/>
  <c r="C2221" i="40"/>
  <c r="D2221" i="40" s="1"/>
  <c r="C2222" i="40"/>
  <c r="D2222" i="40" s="1"/>
  <c r="C2223" i="40"/>
  <c r="D2223" i="40" s="1"/>
  <c r="C2224" i="40"/>
  <c r="D2224" i="40" s="1"/>
  <c r="C2225" i="40"/>
  <c r="D2225" i="40" s="1"/>
  <c r="C2226" i="40"/>
  <c r="D2226" i="40" s="1"/>
  <c r="C2227" i="40"/>
  <c r="D2227" i="40" s="1"/>
  <c r="C2228" i="40"/>
  <c r="D2228" i="40" s="1"/>
  <c r="C2229" i="40"/>
  <c r="D2229" i="40" s="1"/>
  <c r="C2230" i="40"/>
  <c r="D2230" i="40" s="1"/>
  <c r="C2231" i="40"/>
  <c r="D2231" i="40" s="1"/>
  <c r="C2232" i="40"/>
  <c r="D2232" i="40" s="1"/>
  <c r="C2233" i="40"/>
  <c r="D2233" i="40" s="1"/>
  <c r="C2234" i="40"/>
  <c r="D2234" i="40" s="1"/>
  <c r="C2235" i="40"/>
  <c r="D2235" i="40" s="1"/>
  <c r="C2236" i="40"/>
  <c r="D2236" i="40" s="1"/>
  <c r="C2237" i="40"/>
  <c r="D2237" i="40" s="1"/>
  <c r="C2238" i="40"/>
  <c r="D2238" i="40" s="1"/>
  <c r="C2239" i="40"/>
  <c r="D2239" i="40" s="1"/>
  <c r="C2240" i="40"/>
  <c r="D2240" i="40" s="1"/>
  <c r="C2241" i="40"/>
  <c r="D2241" i="40" s="1"/>
  <c r="C2242" i="40"/>
  <c r="D2242" i="40" s="1"/>
  <c r="C2243" i="40"/>
  <c r="D2243" i="40" s="1"/>
  <c r="C2244" i="40"/>
  <c r="D2244" i="40" s="1"/>
  <c r="C2245" i="40"/>
  <c r="D2245" i="40" s="1"/>
  <c r="C2246" i="40"/>
  <c r="D2246" i="40" s="1"/>
  <c r="C2247" i="40"/>
  <c r="D2247" i="40" s="1"/>
  <c r="C2248" i="40"/>
  <c r="D2248" i="40" s="1"/>
  <c r="C2249" i="40"/>
  <c r="D2249" i="40" s="1"/>
  <c r="C2250" i="40"/>
  <c r="D2250" i="40" s="1"/>
  <c r="C2251" i="40"/>
  <c r="D2251" i="40" s="1"/>
  <c r="C2252" i="40"/>
  <c r="D2252" i="40" s="1"/>
  <c r="C2253" i="40"/>
  <c r="D2253" i="40" s="1"/>
  <c r="C2254" i="40"/>
  <c r="D2254" i="40" s="1"/>
  <c r="C2255" i="40"/>
  <c r="D2255" i="40" s="1"/>
  <c r="C2256" i="40"/>
  <c r="D2256" i="40" s="1"/>
  <c r="C2257" i="40"/>
  <c r="D2257" i="40" s="1"/>
  <c r="C2258" i="40"/>
  <c r="D2258" i="40" s="1"/>
  <c r="C2259" i="40"/>
  <c r="D2259" i="40" s="1"/>
  <c r="C2260" i="40"/>
  <c r="D2260" i="40" s="1"/>
  <c r="C2261" i="40"/>
  <c r="D2261" i="40" s="1"/>
  <c r="C2262" i="40"/>
  <c r="D2262" i="40" s="1"/>
  <c r="C2263" i="40"/>
  <c r="D2263" i="40" s="1"/>
  <c r="C2264" i="40"/>
  <c r="D2264" i="40" s="1"/>
  <c r="C2265" i="40"/>
  <c r="D2265" i="40" s="1"/>
  <c r="C2266" i="40"/>
  <c r="D2266" i="40" s="1"/>
  <c r="C2267" i="40"/>
  <c r="D2267" i="40" s="1"/>
  <c r="C2268" i="40"/>
  <c r="D2268" i="40" s="1"/>
  <c r="C2269" i="40"/>
  <c r="D2269" i="40" s="1"/>
  <c r="C2270" i="40"/>
  <c r="D2270" i="40" s="1"/>
  <c r="C2271" i="40"/>
  <c r="D2271" i="40" s="1"/>
  <c r="C2272" i="40"/>
  <c r="D2272" i="40" s="1"/>
  <c r="C2273" i="40"/>
  <c r="D2273" i="40" s="1"/>
  <c r="C2274" i="40"/>
  <c r="D2274" i="40" s="1"/>
  <c r="C2275" i="40"/>
  <c r="D2275" i="40" s="1"/>
  <c r="C2276" i="40"/>
  <c r="D2276" i="40" s="1"/>
  <c r="C2277" i="40"/>
  <c r="D2277" i="40" s="1"/>
  <c r="C2278" i="40"/>
  <c r="D2278" i="40" s="1"/>
  <c r="C2279" i="40"/>
  <c r="D2279" i="40" s="1"/>
  <c r="C2280" i="40"/>
  <c r="D2280" i="40" s="1"/>
  <c r="C2281" i="40"/>
  <c r="D2281" i="40" s="1"/>
  <c r="C2282" i="40"/>
  <c r="D2282" i="40" s="1"/>
  <c r="C2283" i="40"/>
  <c r="D2283" i="40" s="1"/>
  <c r="C2284" i="40"/>
  <c r="D2284" i="40" s="1"/>
  <c r="C2285" i="40"/>
  <c r="D2285" i="40" s="1"/>
  <c r="C2286" i="40"/>
  <c r="D2286" i="40" s="1"/>
  <c r="C2287" i="40"/>
  <c r="D2287" i="40" s="1"/>
  <c r="C2288" i="40"/>
  <c r="D2288" i="40" s="1"/>
  <c r="C2289" i="40"/>
  <c r="D2289" i="40" s="1"/>
  <c r="C2290" i="40"/>
  <c r="D2290" i="40" s="1"/>
  <c r="C2291" i="40"/>
  <c r="D2291" i="40" s="1"/>
  <c r="C2292" i="40"/>
  <c r="D2292" i="40" s="1"/>
  <c r="C2293" i="40"/>
  <c r="D2293" i="40" s="1"/>
  <c r="C2294" i="40"/>
  <c r="D2294" i="40" s="1"/>
  <c r="C2295" i="40"/>
  <c r="D2295" i="40" s="1"/>
  <c r="C2296" i="40"/>
  <c r="D2296" i="40" s="1"/>
  <c r="C2297" i="40"/>
  <c r="D2297" i="40" s="1"/>
  <c r="C2298" i="40"/>
  <c r="D2298" i="40" s="1"/>
  <c r="C2299" i="40"/>
  <c r="D2299" i="40" s="1"/>
  <c r="C2300" i="40"/>
  <c r="D2300" i="40" s="1"/>
  <c r="C2301" i="40"/>
  <c r="D2301" i="40" s="1"/>
  <c r="C2302" i="40"/>
  <c r="D2302" i="40" s="1"/>
  <c r="C2303" i="40"/>
  <c r="D2303" i="40" s="1"/>
  <c r="C2304" i="40"/>
  <c r="D2304" i="40" s="1"/>
  <c r="C2305" i="40"/>
  <c r="D2305" i="40" s="1"/>
  <c r="C2306" i="40"/>
  <c r="D2306" i="40" s="1"/>
  <c r="C2307" i="40"/>
  <c r="D2307" i="40" s="1"/>
  <c r="C2308" i="40"/>
  <c r="D2308" i="40" s="1"/>
  <c r="C2309" i="40"/>
  <c r="D2309" i="40" s="1"/>
  <c r="C2310" i="40"/>
  <c r="D2310" i="40" s="1"/>
  <c r="C2311" i="40"/>
  <c r="D2311" i="40" s="1"/>
  <c r="C2312" i="40"/>
  <c r="D2312" i="40" s="1"/>
  <c r="C2313" i="40"/>
  <c r="D2313" i="40" s="1"/>
  <c r="C2314" i="40"/>
  <c r="D2314" i="40" s="1"/>
  <c r="C2315" i="40"/>
  <c r="D2315" i="40" s="1"/>
  <c r="C2316" i="40"/>
  <c r="D2316" i="40" s="1"/>
  <c r="C2317" i="40"/>
  <c r="D2317" i="40" s="1"/>
  <c r="C2318" i="40"/>
  <c r="D2318" i="40" s="1"/>
  <c r="C2319" i="40"/>
  <c r="D2319" i="40" s="1"/>
  <c r="C2320" i="40"/>
  <c r="D2320" i="40" s="1"/>
  <c r="C2321" i="40"/>
  <c r="D2321" i="40" s="1"/>
  <c r="C2322" i="40"/>
  <c r="D2322" i="40" s="1"/>
  <c r="C2323" i="40"/>
  <c r="D2323" i="40" s="1"/>
  <c r="C2324" i="40"/>
  <c r="D2324" i="40" s="1"/>
  <c r="C2325" i="40"/>
  <c r="D2325" i="40" s="1"/>
  <c r="C2326" i="40"/>
  <c r="D2326" i="40" s="1"/>
  <c r="C2327" i="40"/>
  <c r="D2327" i="40" s="1"/>
  <c r="C2328" i="40"/>
  <c r="D2328" i="40" s="1"/>
  <c r="C2329" i="40"/>
  <c r="D2329" i="40" s="1"/>
  <c r="C2330" i="40"/>
  <c r="D2330" i="40" s="1"/>
  <c r="C2331" i="40"/>
  <c r="D2331" i="40" s="1"/>
  <c r="C2332" i="40"/>
  <c r="D2332" i="40" s="1"/>
  <c r="C2333" i="40"/>
  <c r="D2333" i="40" s="1"/>
  <c r="C2334" i="40"/>
  <c r="D2334" i="40" s="1"/>
  <c r="C2335" i="40"/>
  <c r="D2335" i="40" s="1"/>
  <c r="C2336" i="40"/>
  <c r="D2336" i="40" s="1"/>
  <c r="C2337" i="40"/>
  <c r="D2337" i="40" s="1"/>
  <c r="C2338" i="40"/>
  <c r="D2338" i="40" s="1"/>
  <c r="C2339" i="40"/>
  <c r="D2339" i="40" s="1"/>
  <c r="C2340" i="40"/>
  <c r="D2340" i="40" s="1"/>
  <c r="C2341" i="40"/>
  <c r="D2341" i="40" s="1"/>
  <c r="C2342" i="40"/>
  <c r="D2342" i="40" s="1"/>
  <c r="C2343" i="40"/>
  <c r="D2343" i="40" s="1"/>
  <c r="C2344" i="40"/>
  <c r="D2344" i="40" s="1"/>
  <c r="C2345" i="40"/>
  <c r="D2345" i="40" s="1"/>
  <c r="C2346" i="40"/>
  <c r="D2346" i="40" s="1"/>
  <c r="C2347" i="40"/>
  <c r="D2347" i="40" s="1"/>
  <c r="C2348" i="40"/>
  <c r="D2348" i="40" s="1"/>
  <c r="C2349" i="40"/>
  <c r="D2349" i="40" s="1"/>
  <c r="C2350" i="40"/>
  <c r="D2350" i="40" s="1"/>
  <c r="C2351" i="40"/>
  <c r="D2351" i="40" s="1"/>
  <c r="C2352" i="40"/>
  <c r="D2352" i="40" s="1"/>
  <c r="C2353" i="40"/>
  <c r="D2353" i="40" s="1"/>
  <c r="C2354" i="40"/>
  <c r="D2354" i="40" s="1"/>
  <c r="C2355" i="40"/>
  <c r="D2355" i="40" s="1"/>
  <c r="C2356" i="40"/>
  <c r="D2356" i="40" s="1"/>
  <c r="C2357" i="40"/>
  <c r="D2357" i="40" s="1"/>
  <c r="C2358" i="40"/>
  <c r="D2358" i="40" s="1"/>
  <c r="C2359" i="40"/>
  <c r="D2359" i="40" s="1"/>
  <c r="C2360" i="40"/>
  <c r="D2360" i="40" s="1"/>
  <c r="C2361" i="40"/>
  <c r="D2361" i="40" s="1"/>
  <c r="C2362" i="40"/>
  <c r="D2362" i="40" s="1"/>
  <c r="C2363" i="40"/>
  <c r="D2363" i="40" s="1"/>
  <c r="C2364" i="40"/>
  <c r="D2364" i="40" s="1"/>
  <c r="C2365" i="40"/>
  <c r="D2365" i="40" s="1"/>
  <c r="C2366" i="40"/>
  <c r="D2366" i="40" s="1"/>
  <c r="C2367" i="40"/>
  <c r="D2367" i="40" s="1"/>
  <c r="C2368" i="40"/>
  <c r="D2368" i="40" s="1"/>
  <c r="C2369" i="40"/>
  <c r="D2369" i="40" s="1"/>
  <c r="C2370" i="40"/>
  <c r="D2370" i="40" s="1"/>
  <c r="C2371" i="40"/>
  <c r="D2371" i="40" s="1"/>
  <c r="C2372" i="40"/>
  <c r="D2372" i="40" s="1"/>
  <c r="C2373" i="40"/>
  <c r="D2373" i="40" s="1"/>
  <c r="C2374" i="40"/>
  <c r="D2374" i="40" s="1"/>
  <c r="C2375" i="40"/>
  <c r="D2375" i="40" s="1"/>
  <c r="C2376" i="40"/>
  <c r="D2376" i="40" s="1"/>
  <c r="C2377" i="40"/>
  <c r="D2377" i="40" s="1"/>
  <c r="C2378" i="40"/>
  <c r="D2378" i="40" s="1"/>
  <c r="C2379" i="40"/>
  <c r="D2379" i="40" s="1"/>
  <c r="C2380" i="40"/>
  <c r="D2380" i="40" s="1"/>
  <c r="C2381" i="40"/>
  <c r="D2381" i="40" s="1"/>
  <c r="C2382" i="40"/>
  <c r="D2382" i="40" s="1"/>
  <c r="C2383" i="40"/>
  <c r="D2383" i="40" s="1"/>
  <c r="C2384" i="40"/>
  <c r="D2384" i="40" s="1"/>
  <c r="C2385" i="40"/>
  <c r="D2385" i="40" s="1"/>
  <c r="C2386" i="40"/>
  <c r="D2386" i="40" s="1"/>
  <c r="C2387" i="40"/>
  <c r="D2387" i="40" s="1"/>
  <c r="C2388" i="40"/>
  <c r="D2388" i="40" s="1"/>
  <c r="C2389" i="40"/>
  <c r="D2389" i="40" s="1"/>
  <c r="C2390" i="40"/>
  <c r="D2390" i="40" s="1"/>
  <c r="C2391" i="40"/>
  <c r="D2391" i="40" s="1"/>
  <c r="C2392" i="40"/>
  <c r="D2392" i="40" s="1"/>
  <c r="C2393" i="40"/>
  <c r="D2393" i="40" s="1"/>
  <c r="C2394" i="40"/>
  <c r="D2394" i="40" s="1"/>
  <c r="C2395" i="40"/>
  <c r="D2395" i="40" s="1"/>
  <c r="C2396" i="40"/>
  <c r="D2396" i="40" s="1"/>
  <c r="C2397" i="40"/>
  <c r="D2397" i="40" s="1"/>
  <c r="C2398" i="40"/>
  <c r="D2398" i="40" s="1"/>
  <c r="C2399" i="40"/>
  <c r="D2399" i="40" s="1"/>
  <c r="C2400" i="40"/>
  <c r="D2400" i="40" s="1"/>
  <c r="C2401" i="40"/>
  <c r="D2401" i="40" s="1"/>
  <c r="C2402" i="40"/>
  <c r="D2402" i="40" s="1"/>
  <c r="C2403" i="40"/>
  <c r="D2403" i="40" s="1"/>
  <c r="C2404" i="40"/>
  <c r="D2404" i="40" s="1"/>
  <c r="C2405" i="40"/>
  <c r="D2405" i="40" s="1"/>
  <c r="C2406" i="40"/>
  <c r="D2406" i="40" s="1"/>
  <c r="C2407" i="40"/>
  <c r="D2407" i="40" s="1"/>
  <c r="C2408" i="40"/>
  <c r="D2408" i="40" s="1"/>
  <c r="C2409" i="40"/>
  <c r="D2409" i="40" s="1"/>
  <c r="C2410" i="40"/>
  <c r="D2410" i="40" s="1"/>
  <c r="C2411" i="40"/>
  <c r="D2411" i="40" s="1"/>
  <c r="C2412" i="40"/>
  <c r="D2412" i="40" s="1"/>
  <c r="C2413" i="40"/>
  <c r="D2413" i="40" s="1"/>
  <c r="C2414" i="40"/>
  <c r="D2414" i="40" s="1"/>
  <c r="C2415" i="40"/>
  <c r="D2415" i="40" s="1"/>
  <c r="C2416" i="40"/>
  <c r="D2416" i="40" s="1"/>
  <c r="C2417" i="40"/>
  <c r="D2417" i="40" s="1"/>
  <c r="C2418" i="40"/>
  <c r="D2418" i="40" s="1"/>
  <c r="C2419" i="40"/>
  <c r="D2419" i="40" s="1"/>
  <c r="C2420" i="40"/>
  <c r="D2420" i="40" s="1"/>
  <c r="C2421" i="40"/>
  <c r="D2421" i="40" s="1"/>
  <c r="C2422" i="40"/>
  <c r="D2422" i="40" s="1"/>
  <c r="C2423" i="40"/>
  <c r="D2423" i="40" s="1"/>
  <c r="C2424" i="40"/>
  <c r="D2424" i="40" s="1"/>
  <c r="C2425" i="40"/>
  <c r="D2425" i="40" s="1"/>
  <c r="C2426" i="40"/>
  <c r="D2426" i="40" s="1"/>
  <c r="C2427" i="40"/>
  <c r="D2427" i="40" s="1"/>
  <c r="C2428" i="40"/>
  <c r="D2428" i="40" s="1"/>
  <c r="C2429" i="40"/>
  <c r="D2429" i="40" s="1"/>
  <c r="C2430" i="40"/>
  <c r="D2430" i="40" s="1"/>
  <c r="C2431" i="40"/>
  <c r="D2431" i="40" s="1"/>
  <c r="C2432" i="40"/>
  <c r="D2432" i="40" s="1"/>
  <c r="C2433" i="40"/>
  <c r="D2433" i="40" s="1"/>
  <c r="C2434" i="40"/>
  <c r="D2434" i="40" s="1"/>
  <c r="C2435" i="40"/>
  <c r="D2435" i="40" s="1"/>
  <c r="C2436" i="40"/>
  <c r="D2436" i="40" s="1"/>
  <c r="C2437" i="40"/>
  <c r="D2437" i="40" s="1"/>
  <c r="C2438" i="40"/>
  <c r="D2438" i="40" s="1"/>
  <c r="C2439" i="40"/>
  <c r="D2439" i="40" s="1"/>
  <c r="C2440" i="40"/>
  <c r="D2440" i="40" s="1"/>
  <c r="C2441" i="40"/>
  <c r="D2441" i="40" s="1"/>
  <c r="C2442" i="40"/>
  <c r="D2442" i="40" s="1"/>
  <c r="C2443" i="40"/>
  <c r="D2443" i="40" s="1"/>
  <c r="C2444" i="40"/>
  <c r="D2444" i="40" s="1"/>
  <c r="C2445" i="40"/>
  <c r="D2445" i="40" s="1"/>
  <c r="C2446" i="40"/>
  <c r="D2446" i="40" s="1"/>
  <c r="C2447" i="40"/>
  <c r="D2447" i="40" s="1"/>
  <c r="C2448" i="40"/>
  <c r="D2448" i="40" s="1"/>
  <c r="C2449" i="40"/>
  <c r="D2449" i="40" s="1"/>
  <c r="C2450" i="40"/>
  <c r="D2450" i="40" s="1"/>
  <c r="C2451" i="40"/>
  <c r="D2451" i="40" s="1"/>
  <c r="C2452" i="40"/>
  <c r="D2452" i="40" s="1"/>
  <c r="C2453" i="40"/>
  <c r="D2453" i="40" s="1"/>
  <c r="C2454" i="40"/>
  <c r="D2454" i="40" s="1"/>
  <c r="C2455" i="40"/>
  <c r="D2455" i="40" s="1"/>
  <c r="C2456" i="40"/>
  <c r="D2456" i="40" s="1"/>
  <c r="C2457" i="40"/>
  <c r="D2457" i="40" s="1"/>
  <c r="C2458" i="40"/>
  <c r="D2458" i="40" s="1"/>
  <c r="C2459" i="40"/>
  <c r="D2459" i="40" s="1"/>
  <c r="C2460" i="40"/>
  <c r="D2460" i="40" s="1"/>
  <c r="C2461" i="40"/>
  <c r="D2461" i="40" s="1"/>
  <c r="C2462" i="40"/>
  <c r="D2462" i="40" s="1"/>
  <c r="C2463" i="40"/>
  <c r="D2463" i="40" s="1"/>
  <c r="C2464" i="40"/>
  <c r="D2464" i="40" s="1"/>
  <c r="C2465" i="40"/>
  <c r="D2465" i="40" s="1"/>
  <c r="C2466" i="40"/>
  <c r="D2466" i="40" s="1"/>
  <c r="C2467" i="40"/>
  <c r="D2467" i="40" s="1"/>
  <c r="C2468" i="40"/>
  <c r="D2468" i="40" s="1"/>
  <c r="C2469" i="40"/>
  <c r="D2469" i="40" s="1"/>
  <c r="C2470" i="40"/>
  <c r="D2470" i="40" s="1"/>
  <c r="C2471" i="40"/>
  <c r="D2471" i="40" s="1"/>
  <c r="C2472" i="40"/>
  <c r="D2472" i="40" s="1"/>
  <c r="C2473" i="40"/>
  <c r="D2473" i="40" s="1"/>
  <c r="C2474" i="40"/>
  <c r="D2474" i="40" s="1"/>
  <c r="C2475" i="40"/>
  <c r="D2475" i="40" s="1"/>
  <c r="C2476" i="40"/>
  <c r="D2476" i="40" s="1"/>
  <c r="C2477" i="40"/>
  <c r="D2477" i="40" s="1"/>
  <c r="C2478" i="40"/>
  <c r="D2478" i="40" s="1"/>
  <c r="C2479" i="40"/>
  <c r="D2479" i="40" s="1"/>
  <c r="C2480" i="40"/>
  <c r="D2480" i="40" s="1"/>
  <c r="C2481" i="40"/>
  <c r="D2481" i="40" s="1"/>
  <c r="C2482" i="40"/>
  <c r="D2482" i="40" s="1"/>
  <c r="C2483" i="40"/>
  <c r="D2483" i="40" s="1"/>
  <c r="C2484" i="40"/>
  <c r="D2484" i="40" s="1"/>
  <c r="C2485" i="40"/>
  <c r="D2485" i="40" s="1"/>
  <c r="C2486" i="40"/>
  <c r="D2486" i="40" s="1"/>
  <c r="C2487" i="40"/>
  <c r="D2487" i="40" s="1"/>
  <c r="C2488" i="40"/>
  <c r="D2488" i="40" s="1"/>
  <c r="C2489" i="40"/>
  <c r="D2489" i="40" s="1"/>
  <c r="C2490" i="40"/>
  <c r="D2490" i="40" s="1"/>
  <c r="C2491" i="40"/>
  <c r="D2491" i="40" s="1"/>
  <c r="C2492" i="40"/>
  <c r="D2492" i="40" s="1"/>
  <c r="C2493" i="40"/>
  <c r="D2493" i="40" s="1"/>
  <c r="C2494" i="40"/>
  <c r="D2494" i="40" s="1"/>
  <c r="C2495" i="40"/>
  <c r="D2495" i="40" s="1"/>
  <c r="C2496" i="40"/>
  <c r="D2496" i="40" s="1"/>
  <c r="C2497" i="40"/>
  <c r="D2497" i="40" s="1"/>
  <c r="C2498" i="40"/>
  <c r="D2498" i="40" s="1"/>
  <c r="C2499" i="40"/>
  <c r="D2499" i="40" s="1"/>
  <c r="C2500" i="40"/>
  <c r="D2500" i="40" s="1"/>
  <c r="C2501" i="40"/>
  <c r="D2501" i="40" s="1"/>
  <c r="C2502" i="40"/>
  <c r="D2502" i="40" s="1"/>
  <c r="C2503" i="40"/>
  <c r="D2503" i="40" s="1"/>
  <c r="C2504" i="40"/>
  <c r="D2504" i="40" s="1"/>
  <c r="C2505" i="40"/>
  <c r="D2505" i="40" s="1"/>
  <c r="C2506" i="40"/>
  <c r="D2506" i="40" s="1"/>
  <c r="C2507" i="40"/>
  <c r="D2507" i="40" s="1"/>
  <c r="C2508" i="40"/>
  <c r="D2508" i="40" s="1"/>
  <c r="C2509" i="40"/>
  <c r="D2509" i="40" s="1"/>
  <c r="C2510" i="40"/>
  <c r="D2510" i="40" s="1"/>
  <c r="C2511" i="40"/>
  <c r="D2511" i="40" s="1"/>
  <c r="C2512" i="40"/>
  <c r="D2512" i="40" s="1"/>
  <c r="C2513" i="40"/>
  <c r="D2513" i="40" s="1"/>
  <c r="C2514" i="40"/>
  <c r="D2514" i="40" s="1"/>
  <c r="C2515" i="40"/>
  <c r="D2515" i="40" s="1"/>
  <c r="C2516" i="40"/>
  <c r="D2516" i="40" s="1"/>
  <c r="C2517" i="40"/>
  <c r="D2517" i="40" s="1"/>
  <c r="C2518" i="40"/>
  <c r="D2518" i="40" s="1"/>
  <c r="C2519" i="40"/>
  <c r="D2519" i="40" s="1"/>
  <c r="C2520" i="40"/>
  <c r="D2520" i="40" s="1"/>
  <c r="C2521" i="40"/>
  <c r="D2521" i="40" s="1"/>
  <c r="C2522" i="40"/>
  <c r="D2522" i="40" s="1"/>
  <c r="C2523" i="40"/>
  <c r="D2523" i="40" s="1"/>
  <c r="C2524" i="40"/>
  <c r="D2524" i="40" s="1"/>
  <c r="C2525" i="40"/>
  <c r="D2525" i="40" s="1"/>
  <c r="C2526" i="40"/>
  <c r="D2526" i="40" s="1"/>
  <c r="C2527" i="40"/>
  <c r="D2527" i="40" s="1"/>
  <c r="C2528" i="40"/>
  <c r="D2528" i="40" s="1"/>
  <c r="C2529" i="40"/>
  <c r="D2529" i="40" s="1"/>
  <c r="C2530" i="40"/>
  <c r="D2530" i="40" s="1"/>
  <c r="C2531" i="40"/>
  <c r="D2531" i="40" s="1"/>
  <c r="C2532" i="40"/>
  <c r="D2532" i="40" s="1"/>
  <c r="C2533" i="40"/>
  <c r="D2533" i="40" s="1"/>
  <c r="C2534" i="40"/>
  <c r="D2534" i="40" s="1"/>
  <c r="C2535" i="40"/>
  <c r="D2535" i="40" s="1"/>
  <c r="C2536" i="40"/>
  <c r="D2536" i="40" s="1"/>
  <c r="C2537" i="40"/>
  <c r="D2537" i="40" s="1"/>
  <c r="C2538" i="40"/>
  <c r="D2538" i="40" s="1"/>
  <c r="C2539" i="40"/>
  <c r="D2539" i="40" s="1"/>
  <c r="C2540" i="40"/>
  <c r="D2540" i="40" s="1"/>
  <c r="C2541" i="40"/>
  <c r="D2541" i="40" s="1"/>
  <c r="C2542" i="40"/>
  <c r="D2542" i="40" s="1"/>
  <c r="C2543" i="40"/>
  <c r="D2543" i="40" s="1"/>
  <c r="C2544" i="40"/>
  <c r="D2544" i="40" s="1"/>
  <c r="C2545" i="40"/>
  <c r="D2545" i="40" s="1"/>
  <c r="C2546" i="40"/>
  <c r="D2546" i="40" s="1"/>
  <c r="C2547" i="40"/>
  <c r="D2547" i="40" s="1"/>
  <c r="C2548" i="40"/>
  <c r="D2548" i="40" s="1"/>
  <c r="C2549" i="40"/>
  <c r="D2549" i="40" s="1"/>
  <c r="C2550" i="40"/>
  <c r="D2550" i="40" s="1"/>
  <c r="C2551" i="40"/>
  <c r="D2551" i="40" s="1"/>
  <c r="C2552" i="40"/>
  <c r="D2552" i="40" s="1"/>
  <c r="C2553" i="40"/>
  <c r="D2553" i="40" s="1"/>
  <c r="C2554" i="40"/>
  <c r="D2554" i="40" s="1"/>
  <c r="C2555" i="40"/>
  <c r="D2555" i="40" s="1"/>
  <c r="C2556" i="40"/>
  <c r="D2556" i="40" s="1"/>
  <c r="C2557" i="40"/>
  <c r="D2557" i="40" s="1"/>
  <c r="C2558" i="40"/>
  <c r="D2558" i="40" s="1"/>
  <c r="C2559" i="40"/>
  <c r="D2559" i="40" s="1"/>
  <c r="C2560" i="40"/>
  <c r="D2560" i="40" s="1"/>
  <c r="C2561" i="40"/>
  <c r="D2561" i="40" s="1"/>
  <c r="C2562" i="40"/>
  <c r="D2562" i="40" s="1"/>
  <c r="C2563" i="40"/>
  <c r="D2563" i="40" s="1"/>
  <c r="C2564" i="40"/>
  <c r="D2564" i="40" s="1"/>
  <c r="C2565" i="40"/>
  <c r="D2565" i="40" s="1"/>
  <c r="C2566" i="40"/>
  <c r="D2566" i="40" s="1"/>
  <c r="C2567" i="40"/>
  <c r="D2567" i="40" s="1"/>
  <c r="C2568" i="40"/>
  <c r="D2568" i="40" s="1"/>
  <c r="C2569" i="40"/>
  <c r="D2569" i="40" s="1"/>
  <c r="C2570" i="40"/>
  <c r="D2570" i="40" s="1"/>
  <c r="C2571" i="40"/>
  <c r="D2571" i="40" s="1"/>
  <c r="C2572" i="40"/>
  <c r="D2572" i="40" s="1"/>
  <c r="C2573" i="40"/>
  <c r="D2573" i="40" s="1"/>
  <c r="C2574" i="40"/>
  <c r="D2574" i="40" s="1"/>
  <c r="C2575" i="40"/>
  <c r="D2575" i="40" s="1"/>
  <c r="C2576" i="40"/>
  <c r="D2576" i="40" s="1"/>
  <c r="C2577" i="40"/>
  <c r="D2577" i="40" s="1"/>
  <c r="C2578" i="40"/>
  <c r="D2578" i="40" s="1"/>
  <c r="C2579" i="40"/>
  <c r="D2579" i="40" s="1"/>
  <c r="C2580" i="40"/>
  <c r="D2580" i="40" s="1"/>
  <c r="C2581" i="40"/>
  <c r="D2581" i="40" s="1"/>
  <c r="C2582" i="40"/>
  <c r="D2582" i="40" s="1"/>
  <c r="C2583" i="40"/>
  <c r="D2583" i="40" s="1"/>
  <c r="C2584" i="40"/>
  <c r="D2584" i="40" s="1"/>
  <c r="C2585" i="40"/>
  <c r="D2585" i="40" s="1"/>
  <c r="C2586" i="40"/>
  <c r="D2586" i="40" s="1"/>
  <c r="C2587" i="40"/>
  <c r="D2587" i="40" s="1"/>
  <c r="C2588" i="40"/>
  <c r="D2588" i="40" s="1"/>
  <c r="C2589" i="40"/>
  <c r="D2589" i="40" s="1"/>
  <c r="C2590" i="40"/>
  <c r="D2590" i="40" s="1"/>
  <c r="C2591" i="40"/>
  <c r="D2591" i="40" s="1"/>
  <c r="C2592" i="40"/>
  <c r="D2592" i="40" s="1"/>
  <c r="C2593" i="40"/>
  <c r="D2593" i="40" s="1"/>
  <c r="C2594" i="40"/>
  <c r="D2594" i="40" s="1"/>
  <c r="C2595" i="40"/>
  <c r="D2595" i="40" s="1"/>
  <c r="C2596" i="40"/>
  <c r="D2596" i="40" s="1"/>
  <c r="C2597" i="40"/>
  <c r="D2597" i="40" s="1"/>
  <c r="C2598" i="40"/>
  <c r="D2598" i="40" s="1"/>
  <c r="C2599" i="40"/>
  <c r="D2599" i="40" s="1"/>
  <c r="C2600" i="40"/>
  <c r="D2600" i="40" s="1"/>
  <c r="C2601" i="40"/>
  <c r="D2601" i="40" s="1"/>
  <c r="C2602" i="40"/>
  <c r="D2602" i="40" s="1"/>
  <c r="C2603" i="40"/>
  <c r="D2603" i="40" s="1"/>
  <c r="C2604" i="40"/>
  <c r="D2604" i="40" s="1"/>
  <c r="C2605" i="40"/>
  <c r="D2605" i="40" s="1"/>
  <c r="C2606" i="40"/>
  <c r="D2606" i="40" s="1"/>
  <c r="C2607" i="40"/>
  <c r="D2607" i="40" s="1"/>
  <c r="C2608" i="40"/>
  <c r="D2608" i="40" s="1"/>
  <c r="C2609" i="40"/>
  <c r="D2609" i="40" s="1"/>
  <c r="C2610" i="40"/>
  <c r="D2610" i="40" s="1"/>
  <c r="C2611" i="40"/>
  <c r="D2611" i="40" s="1"/>
  <c r="C2612" i="40"/>
  <c r="D2612" i="40" s="1"/>
  <c r="C2613" i="40"/>
  <c r="D2613" i="40" s="1"/>
  <c r="C2614" i="40"/>
  <c r="D2614" i="40" s="1"/>
  <c r="C2615" i="40"/>
  <c r="D2615" i="40" s="1"/>
  <c r="C2616" i="40"/>
  <c r="D2616" i="40" s="1"/>
  <c r="C2617" i="40"/>
  <c r="D2617" i="40" s="1"/>
  <c r="C2618" i="40"/>
  <c r="D2618" i="40" s="1"/>
  <c r="C2619" i="40"/>
  <c r="D2619" i="40" s="1"/>
  <c r="C2620" i="40"/>
  <c r="D2620" i="40" s="1"/>
  <c r="C2621" i="40"/>
  <c r="D2621" i="40" s="1"/>
  <c r="C2622" i="40"/>
  <c r="D2622" i="40" s="1"/>
  <c r="C2623" i="40"/>
  <c r="D2623" i="40" s="1"/>
  <c r="C2624" i="40"/>
  <c r="D2624" i="40" s="1"/>
  <c r="C2625" i="40"/>
  <c r="D2625" i="40" s="1"/>
  <c r="C2626" i="40"/>
  <c r="D2626" i="40" s="1"/>
  <c r="C2627" i="40"/>
  <c r="D2627" i="40" s="1"/>
  <c r="C2628" i="40"/>
  <c r="D2628" i="40" s="1"/>
  <c r="C2629" i="40"/>
  <c r="D2629" i="40" s="1"/>
  <c r="C2630" i="40"/>
  <c r="D2630" i="40" s="1"/>
  <c r="C2631" i="40"/>
  <c r="D2631" i="40" s="1"/>
  <c r="C2632" i="40"/>
  <c r="D2632" i="40" s="1"/>
  <c r="C2633" i="40"/>
  <c r="D2633" i="40" s="1"/>
  <c r="C2634" i="40"/>
  <c r="D2634" i="40" s="1"/>
  <c r="C2635" i="40"/>
  <c r="D2635" i="40" s="1"/>
  <c r="C2636" i="40"/>
  <c r="D2636" i="40" s="1"/>
  <c r="C2637" i="40"/>
  <c r="D2637" i="40" s="1"/>
  <c r="C2638" i="40"/>
  <c r="D2638" i="40" s="1"/>
  <c r="C2639" i="40"/>
  <c r="D2639" i="40" s="1"/>
  <c r="C2640" i="40"/>
  <c r="D2640" i="40" s="1"/>
  <c r="C2641" i="40"/>
  <c r="D2641" i="40" s="1"/>
  <c r="C2642" i="40"/>
  <c r="D2642" i="40" s="1"/>
  <c r="C2643" i="40"/>
  <c r="D2643" i="40" s="1"/>
  <c r="C2644" i="40"/>
  <c r="D2644" i="40" s="1"/>
  <c r="C2645" i="40"/>
  <c r="D2645" i="40" s="1"/>
  <c r="C2646" i="40"/>
  <c r="D2646" i="40" s="1"/>
  <c r="C2647" i="40"/>
  <c r="D2647" i="40" s="1"/>
  <c r="C2648" i="40"/>
  <c r="D2648" i="40" s="1"/>
  <c r="C2649" i="40"/>
  <c r="D2649" i="40" s="1"/>
  <c r="C2650" i="40"/>
  <c r="D2650" i="40" s="1"/>
  <c r="C2651" i="40"/>
  <c r="D2651" i="40" s="1"/>
  <c r="C2652" i="40"/>
  <c r="D2652" i="40" s="1"/>
  <c r="C2653" i="40"/>
  <c r="D2653" i="40" s="1"/>
  <c r="C2654" i="40"/>
  <c r="D2654" i="40" s="1"/>
  <c r="C2655" i="40"/>
  <c r="D2655" i="40" s="1"/>
  <c r="C2656" i="40"/>
  <c r="D2656" i="40" s="1"/>
  <c r="C2657" i="40"/>
  <c r="D2657" i="40" s="1"/>
  <c r="C2658" i="40"/>
  <c r="D2658" i="40" s="1"/>
  <c r="C2659" i="40"/>
  <c r="D2659" i="40" s="1"/>
  <c r="C2660" i="40"/>
  <c r="D2660" i="40" s="1"/>
  <c r="C2661" i="40"/>
  <c r="D2661" i="40" s="1"/>
  <c r="C2662" i="40"/>
  <c r="D2662" i="40" s="1"/>
  <c r="C2663" i="40"/>
  <c r="D2663" i="40" s="1"/>
  <c r="C2664" i="40"/>
  <c r="D2664" i="40" s="1"/>
  <c r="C2665" i="40"/>
  <c r="D2665" i="40" s="1"/>
  <c r="C2666" i="40"/>
  <c r="D2666" i="40" s="1"/>
  <c r="C2667" i="40"/>
  <c r="D2667" i="40" s="1"/>
  <c r="C2668" i="40"/>
  <c r="D2668" i="40" s="1"/>
  <c r="C2669" i="40"/>
  <c r="D2669" i="40" s="1"/>
  <c r="C2670" i="40"/>
  <c r="D2670" i="40" s="1"/>
  <c r="C2671" i="40"/>
  <c r="D2671" i="40" s="1"/>
  <c r="C2672" i="40"/>
  <c r="D2672" i="40" s="1"/>
  <c r="C2673" i="40"/>
  <c r="D2673" i="40" s="1"/>
  <c r="C2674" i="40"/>
  <c r="D2674" i="40" s="1"/>
  <c r="C2675" i="40"/>
  <c r="D2675" i="40" s="1"/>
  <c r="C2676" i="40"/>
  <c r="D2676" i="40" s="1"/>
  <c r="C2677" i="40"/>
  <c r="D2677" i="40" s="1"/>
  <c r="C2678" i="40"/>
  <c r="D2678" i="40" s="1"/>
  <c r="C2679" i="40"/>
  <c r="D2679" i="40" s="1"/>
  <c r="C2680" i="40"/>
  <c r="D2680" i="40" s="1"/>
  <c r="C2681" i="40"/>
  <c r="D2681" i="40" s="1"/>
  <c r="C2682" i="40"/>
  <c r="D2682" i="40" s="1"/>
  <c r="C2683" i="40"/>
  <c r="D2683" i="40" s="1"/>
  <c r="C2684" i="40"/>
  <c r="D2684" i="40" s="1"/>
  <c r="C2685" i="40"/>
  <c r="D2685" i="40" s="1"/>
  <c r="C2686" i="40"/>
  <c r="D2686" i="40" s="1"/>
  <c r="C2687" i="40"/>
  <c r="D2687" i="40" s="1"/>
  <c r="C2688" i="40"/>
  <c r="D2688" i="40" s="1"/>
  <c r="C2689" i="40"/>
  <c r="D2689" i="40" s="1"/>
  <c r="C2690" i="40"/>
  <c r="D2690" i="40" s="1"/>
  <c r="C2691" i="40"/>
  <c r="D2691" i="40" s="1"/>
  <c r="C2692" i="40"/>
  <c r="D2692" i="40" s="1"/>
  <c r="C2693" i="40"/>
  <c r="D2693" i="40" s="1"/>
  <c r="C2694" i="40"/>
  <c r="D2694" i="40" s="1"/>
  <c r="C2695" i="40"/>
  <c r="D2695" i="40" s="1"/>
  <c r="C2696" i="40"/>
  <c r="D2696" i="40" s="1"/>
  <c r="C2697" i="40"/>
  <c r="D2697" i="40" s="1"/>
  <c r="C2698" i="40"/>
  <c r="D2698" i="40" s="1"/>
  <c r="C2699" i="40"/>
  <c r="D2699" i="40" s="1"/>
  <c r="C2700" i="40"/>
  <c r="D2700" i="40" s="1"/>
  <c r="C2701" i="40"/>
  <c r="D2701" i="40" s="1"/>
  <c r="C2702" i="40"/>
  <c r="D2702" i="40" s="1"/>
  <c r="C2703" i="40"/>
  <c r="D2703" i="40" s="1"/>
  <c r="C2704" i="40"/>
  <c r="D2704" i="40" s="1"/>
  <c r="C2705" i="40"/>
  <c r="D2705" i="40" s="1"/>
  <c r="C2706" i="40"/>
  <c r="D2706" i="40" s="1"/>
  <c r="C2707" i="40"/>
  <c r="D2707" i="40" s="1"/>
  <c r="C2708" i="40"/>
  <c r="D2708" i="40" s="1"/>
  <c r="C2709" i="40"/>
  <c r="D2709" i="40" s="1"/>
  <c r="C2710" i="40"/>
  <c r="D2710" i="40" s="1"/>
  <c r="C2711" i="40"/>
  <c r="D2711" i="40" s="1"/>
  <c r="C2712" i="40"/>
  <c r="D2712" i="40" s="1"/>
  <c r="C2713" i="40"/>
  <c r="D2713" i="40" s="1"/>
  <c r="C2714" i="40"/>
  <c r="D2714" i="40" s="1"/>
  <c r="C2715" i="40"/>
  <c r="D2715" i="40" s="1"/>
  <c r="C2716" i="40"/>
  <c r="D2716" i="40" s="1"/>
  <c r="C2717" i="40"/>
  <c r="D2717" i="40" s="1"/>
  <c r="C2718" i="40"/>
  <c r="D2718" i="40" s="1"/>
  <c r="C2719" i="40"/>
  <c r="D2719" i="40" s="1"/>
  <c r="C2720" i="40"/>
  <c r="D2720" i="40" s="1"/>
  <c r="C2721" i="40"/>
  <c r="D2721" i="40" s="1"/>
  <c r="C2722" i="40"/>
  <c r="D2722" i="40" s="1"/>
  <c r="C2723" i="40"/>
  <c r="D2723" i="40" s="1"/>
  <c r="C2724" i="40"/>
  <c r="D2724" i="40" s="1"/>
  <c r="C2725" i="40"/>
  <c r="D2725" i="40" s="1"/>
  <c r="C2726" i="40"/>
  <c r="D2726" i="40" s="1"/>
  <c r="C2727" i="40"/>
  <c r="D2727" i="40" s="1"/>
  <c r="C2728" i="40"/>
  <c r="D2728" i="40" s="1"/>
  <c r="C2729" i="40"/>
  <c r="D2729" i="40" s="1"/>
  <c r="C2730" i="40"/>
  <c r="D2730" i="40" s="1"/>
  <c r="C2731" i="40"/>
  <c r="D2731" i="40" s="1"/>
  <c r="C2732" i="40"/>
  <c r="D2732" i="40" s="1"/>
  <c r="C2733" i="40"/>
  <c r="D2733" i="40" s="1"/>
  <c r="C2734" i="40"/>
  <c r="D2734" i="40" s="1"/>
  <c r="C2735" i="40"/>
  <c r="D2735" i="40" s="1"/>
  <c r="C2736" i="40"/>
  <c r="D2736" i="40" s="1"/>
  <c r="C2737" i="40"/>
  <c r="D2737" i="40" s="1"/>
  <c r="C2738" i="40"/>
  <c r="D2738" i="40" s="1"/>
  <c r="C2739" i="40"/>
  <c r="D2739" i="40" s="1"/>
  <c r="C2740" i="40"/>
  <c r="D2740" i="40" s="1"/>
  <c r="C2741" i="40"/>
  <c r="D2741" i="40" s="1"/>
  <c r="C2742" i="40"/>
  <c r="D2742" i="40" s="1"/>
  <c r="C2743" i="40"/>
  <c r="D2743" i="40" s="1"/>
  <c r="C2744" i="40"/>
  <c r="D2744" i="40" s="1"/>
  <c r="C2745" i="40"/>
  <c r="D2745" i="40" s="1"/>
  <c r="C2746" i="40"/>
  <c r="D2746" i="40" s="1"/>
  <c r="C2747" i="40"/>
  <c r="D2747" i="40" s="1"/>
  <c r="C2748" i="40"/>
  <c r="D2748" i="40" s="1"/>
  <c r="C2749" i="40"/>
  <c r="D2749" i="40" s="1"/>
  <c r="C2750" i="40"/>
  <c r="D2750" i="40" s="1"/>
  <c r="C2751" i="40"/>
  <c r="D2751" i="40" s="1"/>
  <c r="C2752" i="40"/>
  <c r="D2752" i="40" s="1"/>
  <c r="C2753" i="40"/>
  <c r="D2753" i="40" s="1"/>
  <c r="C2754" i="40"/>
  <c r="D2754" i="40" s="1"/>
  <c r="C2755" i="40"/>
  <c r="D2755" i="40" s="1"/>
  <c r="C2756" i="40"/>
  <c r="D2756" i="40" s="1"/>
  <c r="C2757" i="40"/>
  <c r="D2757" i="40" s="1"/>
  <c r="C2758" i="40"/>
  <c r="D2758" i="40" s="1"/>
  <c r="C2759" i="40"/>
  <c r="D2759" i="40" s="1"/>
  <c r="C2760" i="40"/>
  <c r="D2760" i="40" s="1"/>
  <c r="C2761" i="40"/>
  <c r="D2761" i="40" s="1"/>
  <c r="C2762" i="40"/>
  <c r="D2762" i="40" s="1"/>
  <c r="C2763" i="40"/>
  <c r="D2763" i="40" s="1"/>
  <c r="C2764" i="40"/>
  <c r="D2764" i="40" s="1"/>
  <c r="C2765" i="40"/>
  <c r="D2765" i="40" s="1"/>
  <c r="C2766" i="40"/>
  <c r="D2766" i="40" s="1"/>
  <c r="C2767" i="40"/>
  <c r="D2767" i="40" s="1"/>
  <c r="C2768" i="40"/>
  <c r="D2768" i="40" s="1"/>
  <c r="C2769" i="40"/>
  <c r="D2769" i="40" s="1"/>
  <c r="C2770" i="40"/>
  <c r="D2770" i="40" s="1"/>
  <c r="C2771" i="40"/>
  <c r="D2771" i="40" s="1"/>
  <c r="C2772" i="40"/>
  <c r="D2772" i="40" s="1"/>
  <c r="C2773" i="40"/>
  <c r="D2773" i="40" s="1"/>
  <c r="C2774" i="40"/>
  <c r="D2774" i="40" s="1"/>
  <c r="C2775" i="40"/>
  <c r="D2775" i="40" s="1"/>
  <c r="C2776" i="40"/>
  <c r="D2776" i="40" s="1"/>
  <c r="C2777" i="40"/>
  <c r="D2777" i="40" s="1"/>
  <c r="C2778" i="40"/>
  <c r="D2778" i="40" s="1"/>
  <c r="C2779" i="40"/>
  <c r="D2779" i="40" s="1"/>
  <c r="C2780" i="40"/>
  <c r="D2780" i="40" s="1"/>
  <c r="C2781" i="40"/>
  <c r="D2781" i="40" s="1"/>
  <c r="C2782" i="40"/>
  <c r="D2782" i="40" s="1"/>
  <c r="C2783" i="40"/>
  <c r="D2783" i="40" s="1"/>
  <c r="C2784" i="40"/>
  <c r="D2784" i="40" s="1"/>
  <c r="C2785" i="40"/>
  <c r="D2785" i="40" s="1"/>
  <c r="C2786" i="40"/>
  <c r="D2786" i="40" s="1"/>
  <c r="C2787" i="40"/>
  <c r="D2787" i="40" s="1"/>
  <c r="C2788" i="40"/>
  <c r="D2788" i="40" s="1"/>
  <c r="C2789" i="40"/>
  <c r="D2789" i="40" s="1"/>
  <c r="C2790" i="40"/>
  <c r="D2790" i="40" s="1"/>
  <c r="C2790" i="39" s="1"/>
  <c r="C2791" i="40"/>
  <c r="D2791" i="40" s="1"/>
  <c r="C2791" i="39" s="1"/>
  <c r="C2792" i="40"/>
  <c r="D2792" i="40" s="1"/>
  <c r="C2792" i="39" s="1"/>
  <c r="C2793" i="40"/>
  <c r="D2793" i="40" s="1"/>
  <c r="C2793" i="39" s="1"/>
  <c r="C2794" i="40"/>
  <c r="D2794" i="40" s="1"/>
  <c r="C2794" i="39" s="1"/>
  <c r="C2795" i="40"/>
  <c r="D2795" i="40" s="1"/>
  <c r="C2795" i="39" s="1"/>
  <c r="C2796" i="40"/>
  <c r="D2796" i="40" s="1"/>
  <c r="C2796" i="39" s="1"/>
  <c r="C2797" i="40"/>
  <c r="D2797" i="40" s="1"/>
  <c r="C2797" i="39" s="1"/>
  <c r="C2798" i="40"/>
  <c r="D2798" i="40" s="1"/>
  <c r="C2798" i="39" s="1"/>
  <c r="C2799" i="40"/>
  <c r="D2799" i="40" s="1"/>
  <c r="C2799" i="39" s="1"/>
  <c r="C2800" i="40"/>
  <c r="D2800" i="40" s="1"/>
  <c r="C2800" i="39" s="1"/>
  <c r="C2801" i="40"/>
  <c r="D2801" i="40" s="1"/>
  <c r="C2801" i="39" s="1"/>
  <c r="C2802" i="40"/>
  <c r="D2802" i="40" s="1"/>
  <c r="C2802" i="39" s="1"/>
  <c r="C2803" i="40"/>
  <c r="D2803" i="40" s="1"/>
  <c r="C2803" i="39" s="1"/>
  <c r="C2804" i="40"/>
  <c r="D2804" i="40" s="1"/>
  <c r="C2804" i="39" s="1"/>
  <c r="C2805" i="40"/>
  <c r="D2805" i="40" s="1"/>
  <c r="C2805" i="39" s="1"/>
  <c r="C2806" i="40"/>
  <c r="D2806" i="40" s="1"/>
  <c r="C2806" i="39" s="1"/>
  <c r="C2807" i="40"/>
  <c r="D2807" i="40" s="1"/>
  <c r="C2807" i="39" s="1"/>
  <c r="C2808" i="40"/>
  <c r="D2808" i="40" s="1"/>
  <c r="C2808" i="39" s="1"/>
  <c r="C2809" i="40"/>
  <c r="D2809" i="40" s="1"/>
  <c r="C2809" i="39" s="1"/>
  <c r="C2810" i="40"/>
  <c r="D2810" i="40" s="1"/>
  <c r="C2810" i="39" s="1"/>
  <c r="C2811" i="40"/>
  <c r="D2811" i="40" s="1"/>
  <c r="C2811" i="39" s="1"/>
  <c r="C2812" i="40"/>
  <c r="D2812" i="40" s="1"/>
  <c r="C2812" i="39" s="1"/>
  <c r="C2813" i="40"/>
  <c r="D2813" i="40" s="1"/>
  <c r="C2813" i="39" s="1"/>
  <c r="C2814" i="40"/>
  <c r="D2814" i="40" s="1"/>
  <c r="C2814" i="39" s="1"/>
  <c r="C2815" i="40"/>
  <c r="D2815" i="40" s="1"/>
  <c r="C2815" i="39" s="1"/>
  <c r="C2816" i="40"/>
  <c r="D2816" i="40" s="1"/>
  <c r="C2816" i="39" s="1"/>
  <c r="C2817" i="40"/>
  <c r="D2817" i="40" s="1"/>
  <c r="C2817" i="39" s="1"/>
  <c r="C2818" i="40"/>
  <c r="D2818" i="40" s="1"/>
  <c r="C2818" i="39" s="1"/>
  <c r="C2819" i="40"/>
  <c r="D2819" i="40" s="1"/>
  <c r="C2819" i="39" s="1"/>
  <c r="C2820" i="40"/>
  <c r="D2820" i="40" s="1"/>
  <c r="C2820" i="39" s="1"/>
  <c r="C2821" i="40"/>
  <c r="D2821" i="40" s="1"/>
  <c r="C2821" i="39" s="1"/>
  <c r="C2822" i="40"/>
  <c r="D2822" i="40" s="1"/>
  <c r="C2822" i="39" s="1"/>
  <c r="C2823" i="40"/>
  <c r="D2823" i="40" s="1"/>
  <c r="C2823" i="39" s="1"/>
  <c r="C2824" i="40"/>
  <c r="D2824" i="40" s="1"/>
  <c r="C2824" i="39" s="1"/>
  <c r="C2825" i="40"/>
  <c r="D2825" i="40" s="1"/>
  <c r="C2825" i="39" s="1"/>
  <c r="C2826" i="40"/>
  <c r="D2826" i="40" s="1"/>
  <c r="C2826" i="39" s="1"/>
  <c r="C2827" i="40"/>
  <c r="D2827" i="40" s="1"/>
  <c r="C2827" i="39" s="1"/>
  <c r="C2828" i="40"/>
  <c r="D2828" i="40" s="1"/>
  <c r="C2828" i="39" s="1"/>
  <c r="C2829" i="40"/>
  <c r="D2829" i="40" s="1"/>
  <c r="C2829" i="39" s="1"/>
  <c r="C2830" i="40"/>
  <c r="D2830" i="40" s="1"/>
  <c r="C2830" i="39" s="1"/>
  <c r="C2831" i="40"/>
  <c r="D2831" i="40" s="1"/>
  <c r="C2831" i="39" s="1"/>
  <c r="C2832" i="40"/>
  <c r="D2832" i="40" s="1"/>
  <c r="C2832" i="39" s="1"/>
  <c r="C2833" i="40"/>
  <c r="D2833" i="40" s="1"/>
  <c r="C2833" i="39" s="1"/>
  <c r="C2834" i="40"/>
  <c r="D2834" i="40" s="1"/>
  <c r="C2834" i="39" s="1"/>
  <c r="C2835" i="40"/>
  <c r="D2835" i="40" s="1"/>
  <c r="C2835" i="39" s="1"/>
  <c r="C2836" i="40"/>
  <c r="D2836" i="40" s="1"/>
  <c r="C2836" i="39" s="1"/>
  <c r="C2837" i="40"/>
  <c r="D2837" i="40" s="1"/>
  <c r="C2837" i="39" s="1"/>
  <c r="C2838" i="40"/>
  <c r="D2838" i="40" s="1"/>
  <c r="C2838" i="39" s="1"/>
  <c r="C2839" i="40"/>
  <c r="D2839" i="40" s="1"/>
  <c r="C2839" i="39" s="1"/>
  <c r="C2840" i="40"/>
  <c r="D2840" i="40" s="1"/>
  <c r="C2840" i="39" s="1"/>
  <c r="C2841" i="40"/>
  <c r="D2841" i="40" s="1"/>
  <c r="C2841" i="39" s="1"/>
  <c r="C2842" i="40"/>
  <c r="D2842" i="40" s="1"/>
  <c r="C2842" i="39" s="1"/>
  <c r="C2843" i="40"/>
  <c r="D2843" i="40" s="1"/>
  <c r="C2843" i="39" s="1"/>
  <c r="C2844" i="40"/>
  <c r="D2844" i="40" s="1"/>
  <c r="C2844" i="39" s="1"/>
  <c r="C2845" i="40"/>
  <c r="D2845" i="40" s="1"/>
  <c r="C2845" i="39" s="1"/>
  <c r="C2846" i="40"/>
  <c r="D2846" i="40" s="1"/>
  <c r="C2846" i="39" s="1"/>
  <c r="C2847" i="40"/>
  <c r="D2847" i="40" s="1"/>
  <c r="C2847" i="39" s="1"/>
  <c r="C2848" i="40"/>
  <c r="D2848" i="40" s="1"/>
  <c r="C2848" i="39" s="1"/>
  <c r="C2849" i="40"/>
  <c r="D2849" i="40" s="1"/>
  <c r="C2849" i="39" s="1"/>
  <c r="C2850" i="40"/>
  <c r="D2850" i="40" s="1"/>
  <c r="C2850" i="39" s="1"/>
  <c r="C2851" i="40"/>
  <c r="D2851" i="40" s="1"/>
  <c r="C2851" i="39" s="1"/>
  <c r="C2852" i="40"/>
  <c r="D2852" i="40" s="1"/>
  <c r="C2852" i="39" s="1"/>
  <c r="C2853" i="40"/>
  <c r="D2853" i="40" s="1"/>
  <c r="C2853" i="39" s="1"/>
  <c r="C2854" i="40"/>
  <c r="D2854" i="40" s="1"/>
  <c r="C2854" i="39" s="1"/>
  <c r="C2855" i="40"/>
  <c r="D2855" i="40" s="1"/>
  <c r="C2855" i="39" s="1"/>
  <c r="C2856" i="40"/>
  <c r="D2856" i="40" s="1"/>
  <c r="C2856" i="39" s="1"/>
  <c r="C2857" i="40"/>
  <c r="D2857" i="40" s="1"/>
  <c r="C2857" i="39" s="1"/>
  <c r="C2858" i="40"/>
  <c r="D2858" i="40" s="1"/>
  <c r="C2858" i="39" s="1"/>
  <c r="C2859" i="40"/>
  <c r="D2859" i="40" s="1"/>
  <c r="C2859" i="39" s="1"/>
  <c r="C2860" i="40"/>
  <c r="D2860" i="40" s="1"/>
  <c r="C2860" i="39" s="1"/>
  <c r="C2861" i="40"/>
  <c r="D2861" i="40" s="1"/>
  <c r="C2861" i="39" s="1"/>
  <c r="C2862" i="40"/>
  <c r="D2862" i="40" s="1"/>
  <c r="C2862" i="39" s="1"/>
  <c r="C2863" i="40"/>
  <c r="D2863" i="40" s="1"/>
  <c r="C2863" i="39" s="1"/>
  <c r="C2864" i="40"/>
  <c r="D2864" i="40" s="1"/>
  <c r="C2864" i="39" s="1"/>
  <c r="C2865" i="40"/>
  <c r="D2865" i="40" s="1"/>
  <c r="C2865" i="39" s="1"/>
  <c r="C2866" i="40"/>
  <c r="D2866" i="40" s="1"/>
  <c r="C2866" i="39" s="1"/>
  <c r="C2867" i="40"/>
  <c r="D2867" i="40" s="1"/>
  <c r="C2867" i="39" s="1"/>
  <c r="C2868" i="40"/>
  <c r="D2868" i="40" s="1"/>
  <c r="C2868" i="39" s="1"/>
  <c r="C2869" i="40"/>
  <c r="D2869" i="40" s="1"/>
  <c r="C2869" i="39" s="1"/>
  <c r="C2870" i="40"/>
  <c r="D2870" i="40" s="1"/>
  <c r="C2870" i="39" s="1"/>
  <c r="C2871" i="40"/>
  <c r="D2871" i="40" s="1"/>
  <c r="C2871" i="39" s="1"/>
  <c r="C2872" i="40"/>
  <c r="D2872" i="40" s="1"/>
  <c r="C2872" i="39" s="1"/>
  <c r="C2873" i="40"/>
  <c r="D2873" i="40" s="1"/>
  <c r="C2873" i="39" s="1"/>
  <c r="C2874" i="40"/>
  <c r="D2874" i="40" s="1"/>
  <c r="C2874" i="39" s="1"/>
  <c r="C2875" i="40"/>
  <c r="D2875" i="40" s="1"/>
  <c r="C2875" i="39" s="1"/>
  <c r="C2876" i="40"/>
  <c r="D2876" i="40" s="1"/>
  <c r="C2876" i="39" s="1"/>
  <c r="C2877" i="40"/>
  <c r="D2877" i="40" s="1"/>
  <c r="C2877" i="39" s="1"/>
  <c r="C2878" i="40"/>
  <c r="D2878" i="40" s="1"/>
  <c r="C2878" i="39" s="1"/>
  <c r="C2879" i="40"/>
  <c r="D2879" i="40" s="1"/>
  <c r="C2879" i="39" s="1"/>
  <c r="C2880" i="40"/>
  <c r="D2880" i="40" s="1"/>
  <c r="C2880" i="39" s="1"/>
  <c r="C2881" i="40"/>
  <c r="D2881" i="40" s="1"/>
  <c r="C2881" i="39" s="1"/>
  <c r="C2882" i="40"/>
  <c r="D2882" i="40" s="1"/>
  <c r="C2882" i="39" s="1"/>
  <c r="C2883" i="40"/>
  <c r="D2883" i="40" s="1"/>
  <c r="C2883" i="39" s="1"/>
  <c r="C2884" i="40"/>
  <c r="D2884" i="40" s="1"/>
  <c r="C2884" i="39" s="1"/>
  <c r="C2885" i="40"/>
  <c r="D2885" i="40" s="1"/>
  <c r="C2885" i="39" s="1"/>
  <c r="C2886" i="40"/>
  <c r="D2886" i="40" s="1"/>
  <c r="C2886" i="39" s="1"/>
  <c r="C2887" i="40"/>
  <c r="D2887" i="40" s="1"/>
  <c r="C2887" i="39" s="1"/>
  <c r="C2888" i="40"/>
  <c r="D2888" i="40" s="1"/>
  <c r="C2888" i="39" s="1"/>
  <c r="C2889" i="40"/>
  <c r="D2889" i="40" s="1"/>
  <c r="C2889" i="39" s="1"/>
  <c r="C2890" i="40"/>
  <c r="D2890" i="40" s="1"/>
  <c r="C2890" i="39" s="1"/>
  <c r="C2891" i="40"/>
  <c r="D2891" i="40" s="1"/>
  <c r="C2891" i="39" s="1"/>
  <c r="C2892" i="40"/>
  <c r="D2892" i="40" s="1"/>
  <c r="C2892" i="39" s="1"/>
  <c r="C2893" i="40"/>
  <c r="D2893" i="40" s="1"/>
  <c r="C2893" i="39" s="1"/>
  <c r="C2894" i="40"/>
  <c r="D2894" i="40" s="1"/>
  <c r="C2894" i="39" s="1"/>
  <c r="C2895" i="40"/>
  <c r="D2895" i="40" s="1"/>
  <c r="C2895" i="39" s="1"/>
  <c r="C2896" i="40"/>
  <c r="D2896" i="40" s="1"/>
  <c r="C2896" i="39" s="1"/>
  <c r="C2897" i="40"/>
  <c r="D2897" i="40" s="1"/>
  <c r="C2897" i="39" s="1"/>
  <c r="C2898" i="40"/>
  <c r="D2898" i="40" s="1"/>
  <c r="C2898" i="39" s="1"/>
  <c r="C2899" i="40"/>
  <c r="D2899" i="40" s="1"/>
  <c r="C2899" i="39" s="1"/>
  <c r="C2900" i="40"/>
  <c r="D2900" i="40" s="1"/>
  <c r="C2900" i="39" s="1"/>
  <c r="C2901" i="40"/>
  <c r="D2901" i="40" s="1"/>
  <c r="C2901" i="39" s="1"/>
  <c r="C2902" i="40"/>
  <c r="D2902" i="40" s="1"/>
  <c r="C2902" i="39" s="1"/>
  <c r="C2903" i="40"/>
  <c r="D2903" i="40" s="1"/>
  <c r="C2903" i="39" s="1"/>
  <c r="C2904" i="40"/>
  <c r="D2904" i="40" s="1"/>
  <c r="C2905" i="40"/>
  <c r="D2905" i="40" s="1"/>
  <c r="C2906" i="40"/>
  <c r="D2906" i="40" s="1"/>
  <c r="C2907" i="40"/>
  <c r="D2907" i="40" s="1"/>
  <c r="C2908" i="40"/>
  <c r="D2908" i="40" s="1"/>
  <c r="C2909" i="40"/>
  <c r="D2909" i="40" s="1"/>
  <c r="C2910" i="40"/>
  <c r="D2910" i="40" s="1"/>
  <c r="C2911" i="40"/>
  <c r="D2911" i="40" s="1"/>
  <c r="C2912" i="40"/>
  <c r="D2912" i="40" s="1"/>
  <c r="C2913" i="40"/>
  <c r="D2913" i="40" s="1"/>
  <c r="C2914" i="40"/>
  <c r="D2914" i="40" s="1"/>
  <c r="C2915" i="40"/>
  <c r="D2915" i="40" s="1"/>
  <c r="C2916" i="40"/>
  <c r="D2916" i="40" s="1"/>
  <c r="C2917" i="40"/>
  <c r="D2917" i="40" s="1"/>
  <c r="C2918" i="40"/>
  <c r="D2918" i="40" s="1"/>
  <c r="C2919" i="40"/>
  <c r="D2919" i="40" s="1"/>
  <c r="C2920" i="40"/>
  <c r="D2920" i="40" s="1"/>
  <c r="C2921" i="40"/>
  <c r="D2921" i="40" s="1"/>
  <c r="C2922" i="40"/>
  <c r="D2922" i="40" s="1"/>
  <c r="C2923" i="40"/>
  <c r="D2923" i="40" s="1"/>
  <c r="C2924" i="40"/>
  <c r="D2924" i="40" s="1"/>
  <c r="C2925" i="40"/>
  <c r="D2925" i="40" s="1"/>
  <c r="C2926" i="40"/>
  <c r="D2926" i="40" s="1"/>
  <c r="C2927" i="40"/>
  <c r="D2927" i="40" s="1"/>
  <c r="C2928" i="40"/>
  <c r="D2928" i="40" s="1"/>
  <c r="C2929" i="40"/>
  <c r="D2929" i="40" s="1"/>
  <c r="C2930" i="40"/>
  <c r="D2930" i="40" s="1"/>
  <c r="C2931" i="40"/>
  <c r="D2931" i="40" s="1"/>
  <c r="C2932" i="40"/>
  <c r="D2932" i="40" s="1"/>
  <c r="C2933" i="40"/>
  <c r="D2933" i="40" s="1"/>
  <c r="C2934" i="40"/>
  <c r="D2934" i="40" s="1"/>
  <c r="C2935" i="40"/>
  <c r="D2935" i="40" s="1"/>
  <c r="C2936" i="40"/>
  <c r="D2936" i="40" s="1"/>
  <c r="C2937" i="40"/>
  <c r="D2937" i="40" s="1"/>
  <c r="C2938" i="40"/>
  <c r="D2938" i="40" s="1"/>
  <c r="C2939" i="40"/>
  <c r="D2939" i="40" s="1"/>
  <c r="C2940" i="40"/>
  <c r="D2940" i="40" s="1"/>
  <c r="C2941" i="40"/>
  <c r="D2941" i="40" s="1"/>
  <c r="C2942" i="40"/>
  <c r="D2942" i="40" s="1"/>
  <c r="C2943" i="40"/>
  <c r="D2943" i="40" s="1"/>
  <c r="C2944" i="40"/>
  <c r="D2944" i="40" s="1"/>
  <c r="C2945" i="40"/>
  <c r="D2945" i="40" s="1"/>
  <c r="C2946" i="40"/>
  <c r="D2946" i="40" s="1"/>
  <c r="C2947" i="40"/>
  <c r="D2947" i="40" s="1"/>
  <c r="C2948" i="40"/>
  <c r="D2948" i="40" s="1"/>
  <c r="C2949" i="40"/>
  <c r="D2949" i="40" s="1"/>
  <c r="C2950" i="40"/>
  <c r="D2950" i="40" s="1"/>
  <c r="C2951" i="40"/>
  <c r="D2951" i="40" s="1"/>
  <c r="C2952" i="40"/>
  <c r="D2952" i="40" s="1"/>
  <c r="C2953" i="40"/>
  <c r="D2953" i="40" s="1"/>
  <c r="C2954" i="40"/>
  <c r="D2954" i="40" s="1"/>
  <c r="C2955" i="40"/>
  <c r="D2955" i="40" s="1"/>
  <c r="C2956" i="40"/>
  <c r="D2956" i="40" s="1"/>
  <c r="C2957" i="40"/>
  <c r="D2957" i="40" s="1"/>
  <c r="C2958" i="40"/>
  <c r="D2958" i="40" s="1"/>
  <c r="C2959" i="40"/>
  <c r="D2959" i="40" s="1"/>
  <c r="C2960" i="40"/>
  <c r="D2960" i="40" s="1"/>
  <c r="C2961" i="40"/>
  <c r="D2961" i="40" s="1"/>
  <c r="C2962" i="40"/>
  <c r="D2962" i="40" s="1"/>
  <c r="C2962" i="39" s="1"/>
  <c r="C2963" i="40"/>
  <c r="D2963" i="40" s="1"/>
  <c r="C2963" i="39" s="1"/>
  <c r="C2964" i="40"/>
  <c r="D2964" i="40" s="1"/>
  <c r="C2964" i="39" s="1"/>
  <c r="C2965" i="40"/>
  <c r="D2965" i="40" s="1"/>
  <c r="C2965" i="39" s="1"/>
  <c r="C2966" i="40"/>
  <c r="D2966" i="40" s="1"/>
  <c r="C2966" i="39" s="1"/>
  <c r="C2967" i="40"/>
  <c r="D2967" i="40" s="1"/>
  <c r="C2967" i="39" s="1"/>
  <c r="C2968" i="40"/>
  <c r="D2968" i="40" s="1"/>
  <c r="C2968" i="39" s="1"/>
  <c r="C2969" i="40"/>
  <c r="D2969" i="40" s="1"/>
  <c r="C2969" i="39" s="1"/>
  <c r="C2970" i="40"/>
  <c r="D2970" i="40" s="1"/>
  <c r="C2970" i="39" s="1"/>
  <c r="C2971" i="40"/>
  <c r="D2971" i="40" s="1"/>
  <c r="C2971" i="39" s="1"/>
  <c r="C2972" i="40"/>
  <c r="D2972" i="40" s="1"/>
  <c r="C2972" i="39" s="1"/>
  <c r="C2973" i="40"/>
  <c r="D2973" i="40" s="1"/>
  <c r="C2973" i="39" s="1"/>
  <c r="C2974" i="40"/>
  <c r="D2974" i="40" s="1"/>
  <c r="C2974" i="39" s="1"/>
  <c r="C2975" i="40"/>
  <c r="D2975" i="40" s="1"/>
  <c r="C2975" i="39" s="1"/>
  <c r="C2976" i="40"/>
  <c r="D2976" i="40" s="1"/>
  <c r="C2976" i="39" s="1"/>
  <c r="C2977" i="40"/>
  <c r="D2977" i="40" s="1"/>
  <c r="C2977" i="39" s="1"/>
  <c r="C2978" i="40"/>
  <c r="D2978" i="40" s="1"/>
  <c r="C2978" i="39" s="1"/>
  <c r="C2979" i="40"/>
  <c r="D2979" i="40" s="1"/>
  <c r="C2979" i="39" s="1"/>
  <c r="C2980" i="40"/>
  <c r="D2980" i="40" s="1"/>
  <c r="C2980" i="39" s="1"/>
  <c r="C2981" i="40"/>
  <c r="D2981" i="40" s="1"/>
  <c r="C2981" i="39" s="1"/>
  <c r="C2982" i="40"/>
  <c r="D2982" i="40" s="1"/>
  <c r="C2982" i="39" s="1"/>
  <c r="C2983" i="40"/>
  <c r="D2983" i="40" s="1"/>
  <c r="C2983" i="39" s="1"/>
  <c r="C4" i="40"/>
  <c r="D4" i="40" s="1"/>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B97" i="40"/>
  <c r="B98" i="40"/>
  <c r="B99" i="40"/>
  <c r="B100" i="40"/>
  <c r="B101" i="40"/>
  <c r="B102" i="40"/>
  <c r="B103" i="40"/>
  <c r="B104" i="40"/>
  <c r="B105" i="40"/>
  <c r="B106" i="40"/>
  <c r="B107" i="40"/>
  <c r="B108" i="40"/>
  <c r="B109" i="40"/>
  <c r="B110" i="40"/>
  <c r="B111" i="40"/>
  <c r="B112" i="40"/>
  <c r="B113" i="40"/>
  <c r="B114" i="40"/>
  <c r="B115" i="40"/>
  <c r="B116" i="40"/>
  <c r="B117" i="40"/>
  <c r="B118" i="40"/>
  <c r="B119" i="40"/>
  <c r="B120" i="40"/>
  <c r="B121" i="40"/>
  <c r="B122" i="40"/>
  <c r="B123" i="40"/>
  <c r="B124" i="40"/>
  <c r="B125" i="40"/>
  <c r="B126" i="40"/>
  <c r="B127" i="40"/>
  <c r="B128" i="40"/>
  <c r="B129" i="40"/>
  <c r="B130" i="40"/>
  <c r="B131" i="40"/>
  <c r="B132" i="40"/>
  <c r="B133" i="40"/>
  <c r="B134" i="40"/>
  <c r="B135" i="40"/>
  <c r="B136" i="40"/>
  <c r="B137" i="40"/>
  <c r="B138" i="40"/>
  <c r="B139" i="40"/>
  <c r="B140" i="40"/>
  <c r="B141" i="40"/>
  <c r="B142" i="40"/>
  <c r="B143" i="40"/>
  <c r="B144" i="40"/>
  <c r="B145" i="40"/>
  <c r="B146" i="40"/>
  <c r="B147" i="40"/>
  <c r="B148" i="40"/>
  <c r="B149" i="40"/>
  <c r="B150" i="40"/>
  <c r="B151" i="40"/>
  <c r="B152" i="40"/>
  <c r="B153" i="40"/>
  <c r="B154" i="40"/>
  <c r="B155" i="40"/>
  <c r="B156" i="40"/>
  <c r="B157" i="40"/>
  <c r="B158" i="40"/>
  <c r="B159" i="40"/>
  <c r="B160" i="40"/>
  <c r="B161" i="40"/>
  <c r="B162" i="40"/>
  <c r="B163" i="40"/>
  <c r="B164" i="40"/>
  <c r="B165" i="40"/>
  <c r="B166" i="40"/>
  <c r="B167" i="40"/>
  <c r="B168" i="40"/>
  <c r="B169" i="40"/>
  <c r="B170" i="40"/>
  <c r="B171" i="40"/>
  <c r="B172" i="40"/>
  <c r="B173" i="40"/>
  <c r="B174" i="40"/>
  <c r="B175" i="40"/>
  <c r="B176" i="40"/>
  <c r="B177" i="40"/>
  <c r="B178" i="40"/>
  <c r="B179" i="40"/>
  <c r="B180" i="40"/>
  <c r="B181" i="40"/>
  <c r="B182" i="40"/>
  <c r="B183" i="40"/>
  <c r="B184" i="40"/>
  <c r="B185" i="40"/>
  <c r="B186" i="40"/>
  <c r="B187" i="40"/>
  <c r="B188" i="40"/>
  <c r="B189" i="40"/>
  <c r="B190" i="40"/>
  <c r="B191" i="40"/>
  <c r="B192" i="40"/>
  <c r="B193" i="40"/>
  <c r="B194" i="40"/>
  <c r="B195" i="40"/>
  <c r="B196" i="40"/>
  <c r="B197" i="40"/>
  <c r="B198" i="40"/>
  <c r="B199" i="40"/>
  <c r="B200" i="40"/>
  <c r="B201" i="40"/>
  <c r="B202" i="40"/>
  <c r="B203" i="40"/>
  <c r="B204" i="40"/>
  <c r="B205" i="40"/>
  <c r="B206" i="40"/>
  <c r="B207" i="40"/>
  <c r="B208" i="40"/>
  <c r="B209" i="40"/>
  <c r="B210" i="40"/>
  <c r="B211" i="40"/>
  <c r="B212" i="40"/>
  <c r="B213" i="40"/>
  <c r="B214" i="40"/>
  <c r="B215" i="40"/>
  <c r="B216" i="40"/>
  <c r="B217" i="40"/>
  <c r="B218" i="40"/>
  <c r="B219" i="40"/>
  <c r="B220" i="40"/>
  <c r="B221" i="40"/>
  <c r="B222" i="40"/>
  <c r="B223" i="40"/>
  <c r="B224" i="40"/>
  <c r="B225" i="40"/>
  <c r="B226" i="40"/>
  <c r="B227" i="40"/>
  <c r="B228" i="40"/>
  <c r="B229" i="40"/>
  <c r="B230" i="40"/>
  <c r="B231" i="40"/>
  <c r="B232" i="40"/>
  <c r="B233" i="40"/>
  <c r="B234" i="40"/>
  <c r="B235" i="40"/>
  <c r="B236" i="40"/>
  <c r="B237" i="40"/>
  <c r="B238" i="40"/>
  <c r="B239" i="40"/>
  <c r="B240" i="40"/>
  <c r="B241" i="40"/>
  <c r="B242" i="40"/>
  <c r="B243" i="40"/>
  <c r="B244" i="40"/>
  <c r="B245" i="40"/>
  <c r="B246" i="40"/>
  <c r="B247" i="40"/>
  <c r="B248" i="40"/>
  <c r="B249" i="40"/>
  <c r="B250" i="40"/>
  <c r="B251" i="40"/>
  <c r="B252" i="40"/>
  <c r="B253" i="40"/>
  <c r="B254" i="40"/>
  <c r="B255" i="40"/>
  <c r="B256" i="40"/>
  <c r="B257" i="40"/>
  <c r="B258" i="40"/>
  <c r="B259" i="40"/>
  <c r="B260" i="40"/>
  <c r="B261" i="40"/>
  <c r="B262" i="40"/>
  <c r="B263" i="40"/>
  <c r="B264" i="40"/>
  <c r="B265" i="40"/>
  <c r="B266" i="40"/>
  <c r="B267" i="40"/>
  <c r="B268" i="40"/>
  <c r="B269" i="40"/>
  <c r="B270" i="40"/>
  <c r="B271" i="40"/>
  <c r="B272" i="40"/>
  <c r="B273" i="40"/>
  <c r="B274" i="40"/>
  <c r="B275" i="40"/>
  <c r="B276" i="40"/>
  <c r="B277" i="40"/>
  <c r="B278" i="40"/>
  <c r="B279" i="40"/>
  <c r="B280" i="40"/>
  <c r="B281" i="40"/>
  <c r="B282" i="40"/>
  <c r="B283" i="40"/>
  <c r="B284" i="40"/>
  <c r="B285" i="40"/>
  <c r="B286" i="40"/>
  <c r="B287" i="40"/>
  <c r="B288" i="40"/>
  <c r="B289" i="40"/>
  <c r="B290" i="40"/>
  <c r="B291" i="40"/>
  <c r="B292" i="40"/>
  <c r="B293" i="40"/>
  <c r="B294" i="40"/>
  <c r="B295" i="40"/>
  <c r="B296" i="40"/>
  <c r="B297" i="40"/>
  <c r="B298" i="40"/>
  <c r="B299" i="40"/>
  <c r="B300" i="40"/>
  <c r="B301" i="40"/>
  <c r="B302" i="40"/>
  <c r="B303" i="40"/>
  <c r="B304" i="40"/>
  <c r="B305" i="40"/>
  <c r="B306" i="40"/>
  <c r="B307" i="40"/>
  <c r="B308" i="40"/>
  <c r="B309" i="40"/>
  <c r="B310" i="40"/>
  <c r="B311" i="40"/>
  <c r="B312" i="40"/>
  <c r="B313" i="40"/>
  <c r="B314" i="40"/>
  <c r="B315" i="40"/>
  <c r="B316" i="40"/>
  <c r="B317" i="40"/>
  <c r="B318" i="40"/>
  <c r="B319" i="40"/>
  <c r="B320" i="40"/>
  <c r="B321" i="40"/>
  <c r="B322" i="40"/>
  <c r="B323" i="40"/>
  <c r="B324" i="40"/>
  <c r="B325" i="40"/>
  <c r="B326" i="40"/>
  <c r="B327" i="40"/>
  <c r="B328" i="40"/>
  <c r="B329" i="40"/>
  <c r="B330" i="40"/>
  <c r="B331" i="40"/>
  <c r="B332" i="40"/>
  <c r="B333" i="40"/>
  <c r="B334" i="40"/>
  <c r="B335" i="40"/>
  <c r="B336" i="40"/>
  <c r="B337" i="40"/>
  <c r="B338" i="40"/>
  <c r="B339" i="40"/>
  <c r="B340" i="40"/>
  <c r="B341" i="40"/>
  <c r="B342" i="40"/>
  <c r="B343" i="40"/>
  <c r="B344" i="40"/>
  <c r="B345" i="40"/>
  <c r="B346" i="40"/>
  <c r="B347" i="40"/>
  <c r="B348" i="40"/>
  <c r="B349" i="40"/>
  <c r="B350" i="40"/>
  <c r="B351" i="40"/>
  <c r="B352" i="40"/>
  <c r="B353" i="40"/>
  <c r="B354" i="40"/>
  <c r="B355" i="40"/>
  <c r="B356" i="40"/>
  <c r="B357" i="40"/>
  <c r="B358" i="40"/>
  <c r="B359" i="40"/>
  <c r="B360" i="40"/>
  <c r="B361" i="40"/>
  <c r="B362" i="40"/>
  <c r="B363" i="40"/>
  <c r="B364" i="40"/>
  <c r="B365" i="40"/>
  <c r="B366" i="40"/>
  <c r="B367" i="40"/>
  <c r="B368" i="40"/>
  <c r="B369" i="40"/>
  <c r="B370" i="40"/>
  <c r="B371" i="40"/>
  <c r="B372" i="40"/>
  <c r="B373" i="40"/>
  <c r="B374" i="40"/>
  <c r="B375" i="40"/>
  <c r="B376" i="40"/>
  <c r="B377" i="40"/>
  <c r="B378" i="40"/>
  <c r="B379" i="40"/>
  <c r="B380" i="40"/>
  <c r="B381" i="40"/>
  <c r="B382" i="40"/>
  <c r="B383" i="40"/>
  <c r="B384" i="40"/>
  <c r="B385" i="40"/>
  <c r="B386" i="40"/>
  <c r="B387" i="40"/>
  <c r="B388" i="40"/>
  <c r="B389" i="40"/>
  <c r="B390" i="40"/>
  <c r="B391" i="40"/>
  <c r="B392" i="40"/>
  <c r="B393" i="40"/>
  <c r="B394" i="40"/>
  <c r="B395" i="40"/>
  <c r="B396" i="40"/>
  <c r="B397" i="40"/>
  <c r="B398" i="40"/>
  <c r="B399" i="40"/>
  <c r="B400" i="40"/>
  <c r="B401" i="40"/>
  <c r="B402" i="40"/>
  <c r="B403" i="40"/>
  <c r="B404" i="40"/>
  <c r="B405" i="40"/>
  <c r="B406" i="40"/>
  <c r="B407" i="40"/>
  <c r="B408" i="40"/>
  <c r="B409" i="40"/>
  <c r="B410" i="40"/>
  <c r="B411" i="40"/>
  <c r="B412" i="40"/>
  <c r="B413" i="40"/>
  <c r="B414" i="40"/>
  <c r="B415" i="40"/>
  <c r="B416" i="40"/>
  <c r="B417" i="40"/>
  <c r="B418" i="40"/>
  <c r="B419" i="40"/>
  <c r="B420" i="40"/>
  <c r="B421" i="40"/>
  <c r="B422" i="40"/>
  <c r="B423" i="40"/>
  <c r="B424" i="40"/>
  <c r="B425" i="40"/>
  <c r="B426" i="40"/>
  <c r="B427" i="40"/>
  <c r="B428" i="40"/>
  <c r="B429" i="40"/>
  <c r="B430" i="40"/>
  <c r="B431" i="40"/>
  <c r="B432" i="40"/>
  <c r="B433" i="40"/>
  <c r="B434" i="40"/>
  <c r="B435" i="40"/>
  <c r="B436" i="40"/>
  <c r="B437" i="40"/>
  <c r="B438" i="40"/>
  <c r="B439" i="40"/>
  <c r="B440" i="40"/>
  <c r="B441" i="40"/>
  <c r="B442" i="40"/>
  <c r="B443" i="40"/>
  <c r="B444" i="40"/>
  <c r="B445" i="40"/>
  <c r="B446" i="40"/>
  <c r="B447" i="40"/>
  <c r="B448" i="40"/>
  <c r="B449" i="40"/>
  <c r="B450" i="40"/>
  <c r="B451" i="40"/>
  <c r="B452" i="40"/>
  <c r="B453" i="40"/>
  <c r="B454" i="40"/>
  <c r="B455" i="40"/>
  <c r="B456" i="40"/>
  <c r="B457" i="40"/>
  <c r="B458" i="40"/>
  <c r="B459" i="40"/>
  <c r="B460" i="40"/>
  <c r="B461" i="40"/>
  <c r="B462" i="40"/>
  <c r="B463" i="40"/>
  <c r="B464" i="40"/>
  <c r="B465" i="40"/>
  <c r="B466" i="40"/>
  <c r="B467" i="40"/>
  <c r="B468" i="40"/>
  <c r="B469" i="40"/>
  <c r="B470" i="40"/>
  <c r="B471" i="40"/>
  <c r="B472" i="40"/>
  <c r="B473" i="40"/>
  <c r="B474" i="40"/>
  <c r="B475" i="40"/>
  <c r="B476" i="40"/>
  <c r="B477" i="40"/>
  <c r="B478" i="40"/>
  <c r="B479" i="40"/>
  <c r="B480" i="40"/>
  <c r="B481" i="40"/>
  <c r="B482" i="40"/>
  <c r="B483" i="40"/>
  <c r="B484" i="40"/>
  <c r="B485" i="40"/>
  <c r="B486" i="40"/>
  <c r="B487" i="40"/>
  <c r="B488" i="40"/>
  <c r="B489" i="40"/>
  <c r="B490" i="40"/>
  <c r="B491" i="40"/>
  <c r="B492" i="40"/>
  <c r="B493" i="40"/>
  <c r="B494" i="40"/>
  <c r="B495" i="40"/>
  <c r="B496" i="40"/>
  <c r="B497" i="40"/>
  <c r="B498" i="40"/>
  <c r="B499" i="40"/>
  <c r="B500" i="40"/>
  <c r="B501" i="40"/>
  <c r="B502" i="40"/>
  <c r="B503" i="40"/>
  <c r="B504" i="40"/>
  <c r="B505" i="40"/>
  <c r="B506" i="40"/>
  <c r="B507" i="40"/>
  <c r="B508" i="40"/>
  <c r="B509" i="40"/>
  <c r="B510" i="40"/>
  <c r="B511" i="40"/>
  <c r="B512" i="40"/>
  <c r="B513" i="40"/>
  <c r="B514" i="40"/>
  <c r="B515" i="40"/>
  <c r="B516" i="40"/>
  <c r="B517" i="40"/>
  <c r="B518" i="40"/>
  <c r="B519" i="40"/>
  <c r="B520" i="40"/>
  <c r="B521" i="40"/>
  <c r="B522" i="40"/>
  <c r="B523" i="40"/>
  <c r="B524" i="40"/>
  <c r="B525" i="40"/>
  <c r="B526" i="40"/>
  <c r="B527" i="40"/>
  <c r="B528" i="40"/>
  <c r="B529" i="40"/>
  <c r="B530" i="40"/>
  <c r="B531" i="40"/>
  <c r="B532" i="40"/>
  <c r="B533" i="40"/>
  <c r="B534" i="40"/>
  <c r="B535" i="40"/>
  <c r="B536" i="40"/>
  <c r="B537" i="40"/>
  <c r="B538" i="40"/>
  <c r="B539" i="40"/>
  <c r="B540" i="40"/>
  <c r="B541" i="40"/>
  <c r="B542" i="40"/>
  <c r="B543" i="40"/>
  <c r="B544" i="40"/>
  <c r="B545" i="40"/>
  <c r="B546" i="40"/>
  <c r="B547" i="40"/>
  <c r="B548" i="40"/>
  <c r="B549" i="40"/>
  <c r="B550" i="40"/>
  <c r="B551" i="40"/>
  <c r="B552" i="40"/>
  <c r="B553" i="40"/>
  <c r="B554" i="40"/>
  <c r="B555" i="40"/>
  <c r="B556" i="40"/>
  <c r="B557" i="40"/>
  <c r="B558" i="40"/>
  <c r="B559" i="40"/>
  <c r="B560" i="40"/>
  <c r="B561" i="40"/>
  <c r="B562" i="40"/>
  <c r="B563" i="40"/>
  <c r="B564" i="40"/>
  <c r="B565" i="40"/>
  <c r="B566" i="40"/>
  <c r="B567" i="40"/>
  <c r="B568" i="40"/>
  <c r="B569" i="40"/>
  <c r="B570" i="40"/>
  <c r="B571" i="40"/>
  <c r="B572" i="40"/>
  <c r="B573" i="40"/>
  <c r="B574" i="40"/>
  <c r="B575" i="40"/>
  <c r="B576" i="40"/>
  <c r="B577" i="40"/>
  <c r="B578" i="40"/>
  <c r="B579" i="40"/>
  <c r="B580" i="40"/>
  <c r="B581" i="40"/>
  <c r="B582" i="40"/>
  <c r="B583" i="40"/>
  <c r="B584" i="40"/>
  <c r="B585" i="40"/>
  <c r="B586" i="40"/>
  <c r="B587" i="40"/>
  <c r="B588" i="40"/>
  <c r="B589" i="40"/>
  <c r="B590" i="40"/>
  <c r="B591" i="40"/>
  <c r="B592" i="40"/>
  <c r="B593" i="40"/>
  <c r="B594" i="40"/>
  <c r="B595" i="40"/>
  <c r="B596" i="40"/>
  <c r="B597" i="40"/>
  <c r="B598" i="40"/>
  <c r="B599" i="40"/>
  <c r="B600" i="40"/>
  <c r="B601" i="40"/>
  <c r="B602" i="40"/>
  <c r="B603" i="40"/>
  <c r="B604" i="40"/>
  <c r="B605" i="40"/>
  <c r="B606" i="40"/>
  <c r="B607" i="40"/>
  <c r="B608" i="40"/>
  <c r="B609" i="40"/>
  <c r="B610" i="40"/>
  <c r="B611" i="40"/>
  <c r="B612" i="40"/>
  <c r="B613" i="40"/>
  <c r="B614" i="40"/>
  <c r="B615" i="40"/>
  <c r="B616" i="40"/>
  <c r="B617" i="40"/>
  <c r="B618" i="40"/>
  <c r="B619" i="40"/>
  <c r="B620" i="40"/>
  <c r="B621" i="40"/>
  <c r="B622" i="40"/>
  <c r="B623" i="40"/>
  <c r="B624" i="40"/>
  <c r="B625" i="40"/>
  <c r="B626" i="40"/>
  <c r="B627" i="40"/>
  <c r="B628" i="40"/>
  <c r="B629" i="40"/>
  <c r="B630" i="40"/>
  <c r="B631" i="40"/>
  <c r="B632" i="40"/>
  <c r="B633" i="40"/>
  <c r="B634" i="40"/>
  <c r="B635" i="40"/>
  <c r="B636" i="40"/>
  <c r="B637" i="40"/>
  <c r="B638" i="40"/>
  <c r="B639" i="40"/>
  <c r="B640" i="40"/>
  <c r="B641" i="40"/>
  <c r="B642" i="40"/>
  <c r="B643" i="40"/>
  <c r="B644" i="40"/>
  <c r="B645" i="40"/>
  <c r="B646" i="40"/>
  <c r="B647" i="40"/>
  <c r="B648" i="40"/>
  <c r="B649" i="40"/>
  <c r="B650" i="40"/>
  <c r="B651" i="40"/>
  <c r="B652" i="40"/>
  <c r="B653" i="40"/>
  <c r="B654" i="40"/>
  <c r="B655" i="40"/>
  <c r="B656" i="40"/>
  <c r="B657" i="40"/>
  <c r="B658" i="40"/>
  <c r="B659" i="40"/>
  <c r="B660" i="40"/>
  <c r="B661" i="40"/>
  <c r="B662" i="40"/>
  <c r="B663" i="40"/>
  <c r="B664" i="40"/>
  <c r="B665" i="40"/>
  <c r="B666" i="40"/>
  <c r="B667" i="40"/>
  <c r="B668" i="40"/>
  <c r="B669" i="40"/>
  <c r="B670" i="40"/>
  <c r="B671" i="40"/>
  <c r="B672" i="40"/>
  <c r="B673" i="40"/>
  <c r="B674" i="40"/>
  <c r="B675" i="40"/>
  <c r="B676" i="40"/>
  <c r="B677" i="40"/>
  <c r="B678" i="40"/>
  <c r="B679" i="40"/>
  <c r="B680" i="40"/>
  <c r="B681" i="40"/>
  <c r="B682" i="40"/>
  <c r="B683" i="40"/>
  <c r="B684" i="40"/>
  <c r="B685" i="40"/>
  <c r="B686" i="40"/>
  <c r="B687" i="40"/>
  <c r="B688" i="40"/>
  <c r="B689" i="40"/>
  <c r="B690" i="40"/>
  <c r="B691" i="40"/>
  <c r="B692" i="40"/>
  <c r="B693" i="40"/>
  <c r="B694" i="40"/>
  <c r="B695" i="40"/>
  <c r="B696" i="40"/>
  <c r="B697" i="40"/>
  <c r="B698" i="40"/>
  <c r="B699" i="40"/>
  <c r="B700" i="40"/>
  <c r="B701" i="40"/>
  <c r="B702" i="40"/>
  <c r="B703" i="40"/>
  <c r="B704" i="40"/>
  <c r="B705" i="40"/>
  <c r="B706" i="40"/>
  <c r="B707" i="40"/>
  <c r="B708" i="40"/>
  <c r="B709" i="40"/>
  <c r="B710" i="40"/>
  <c r="B711" i="40"/>
  <c r="B712" i="40"/>
  <c r="B713" i="40"/>
  <c r="B714" i="40"/>
  <c r="B715" i="40"/>
  <c r="B716" i="40"/>
  <c r="B717" i="40"/>
  <c r="B718" i="40"/>
  <c r="B719" i="40"/>
  <c r="B720" i="40"/>
  <c r="B721" i="40"/>
  <c r="B722" i="40"/>
  <c r="B723" i="40"/>
  <c r="B724" i="40"/>
  <c r="B725" i="40"/>
  <c r="B726" i="40"/>
  <c r="B727" i="40"/>
  <c r="B728" i="40"/>
  <c r="B729" i="40"/>
  <c r="B730" i="40"/>
  <c r="B731" i="40"/>
  <c r="B732" i="40"/>
  <c r="B733" i="40"/>
  <c r="B734" i="40"/>
  <c r="B735" i="40"/>
  <c r="B736" i="40"/>
  <c r="B737" i="40"/>
  <c r="B738" i="40"/>
  <c r="B739" i="40"/>
  <c r="B740" i="40"/>
  <c r="B741" i="40"/>
  <c r="B742" i="40"/>
  <c r="B743" i="40"/>
  <c r="B744" i="40"/>
  <c r="B745" i="40"/>
  <c r="B746" i="40"/>
  <c r="B747" i="40"/>
  <c r="B748" i="40"/>
  <c r="B749" i="40"/>
  <c r="B750" i="40"/>
  <c r="B751" i="40"/>
  <c r="B752" i="40"/>
  <c r="B753" i="40"/>
  <c r="B754" i="40"/>
  <c r="B755" i="40"/>
  <c r="B756" i="40"/>
  <c r="B757" i="40"/>
  <c r="B758" i="40"/>
  <c r="B759" i="40"/>
  <c r="B760" i="40"/>
  <c r="B761" i="40"/>
  <c r="B762" i="40"/>
  <c r="B763" i="40"/>
  <c r="B764" i="40"/>
  <c r="B765" i="40"/>
  <c r="B766" i="40"/>
  <c r="B767" i="40"/>
  <c r="B768" i="40"/>
  <c r="B769" i="40"/>
  <c r="B770" i="40"/>
  <c r="B771" i="40"/>
  <c r="B772" i="40"/>
  <c r="B773" i="40"/>
  <c r="B774" i="40"/>
  <c r="B775" i="40"/>
  <c r="B776" i="40"/>
  <c r="B777" i="40"/>
  <c r="B778" i="40"/>
  <c r="B779" i="40"/>
  <c r="B780" i="40"/>
  <c r="B781" i="40"/>
  <c r="B782" i="40"/>
  <c r="B783" i="40"/>
  <c r="B784" i="40"/>
  <c r="B785" i="40"/>
  <c r="B786" i="40"/>
  <c r="B787" i="40"/>
  <c r="B788" i="40"/>
  <c r="B789" i="40"/>
  <c r="B790" i="40"/>
  <c r="B791" i="40"/>
  <c r="B792" i="40"/>
  <c r="B793" i="40"/>
  <c r="B794" i="40"/>
  <c r="B795" i="40"/>
  <c r="B796" i="40"/>
  <c r="B797" i="40"/>
  <c r="B798" i="40"/>
  <c r="B799" i="40"/>
  <c r="B800" i="40"/>
  <c r="B801" i="40"/>
  <c r="B802" i="40"/>
  <c r="B803" i="40"/>
  <c r="B804" i="40"/>
  <c r="B805" i="40"/>
  <c r="B806" i="40"/>
  <c r="B807" i="40"/>
  <c r="B808" i="40"/>
  <c r="B809" i="40"/>
  <c r="B810" i="40"/>
  <c r="B811" i="40"/>
  <c r="B812" i="40"/>
  <c r="B813" i="40"/>
  <c r="B814" i="40"/>
  <c r="B815" i="40"/>
  <c r="B816" i="40"/>
  <c r="B817" i="40"/>
  <c r="B818" i="40"/>
  <c r="B819" i="40"/>
  <c r="B820" i="40"/>
  <c r="B821" i="40"/>
  <c r="B822" i="40"/>
  <c r="B823" i="40"/>
  <c r="B824" i="40"/>
  <c r="B825" i="40"/>
  <c r="B826" i="40"/>
  <c r="B827" i="40"/>
  <c r="B828" i="40"/>
  <c r="B829" i="40"/>
  <c r="B830" i="40"/>
  <c r="B831" i="40"/>
  <c r="B832" i="40"/>
  <c r="B833" i="40"/>
  <c r="B834" i="40"/>
  <c r="B835" i="40"/>
  <c r="B836" i="40"/>
  <c r="B837" i="40"/>
  <c r="B838" i="40"/>
  <c r="B839" i="40"/>
  <c r="B840" i="40"/>
  <c r="B841" i="40"/>
  <c r="B842" i="40"/>
  <c r="B843" i="40"/>
  <c r="B844" i="40"/>
  <c r="B845" i="40"/>
  <c r="B846" i="40"/>
  <c r="B847" i="40"/>
  <c r="B848" i="40"/>
  <c r="B849" i="40"/>
  <c r="B850" i="40"/>
  <c r="B851" i="40"/>
  <c r="B852" i="40"/>
  <c r="B853" i="40"/>
  <c r="B854" i="40"/>
  <c r="B855" i="40"/>
  <c r="B856" i="40"/>
  <c r="B857" i="40"/>
  <c r="B858" i="40"/>
  <c r="B859" i="40"/>
  <c r="B860" i="40"/>
  <c r="B861" i="40"/>
  <c r="B862" i="40"/>
  <c r="B863" i="40"/>
  <c r="B864" i="40"/>
  <c r="B865" i="40"/>
  <c r="B866" i="40"/>
  <c r="B867" i="40"/>
  <c r="B868" i="40"/>
  <c r="B869" i="40"/>
  <c r="B870" i="40"/>
  <c r="B871" i="40"/>
  <c r="B872" i="40"/>
  <c r="B873" i="40"/>
  <c r="B874" i="40"/>
  <c r="B875" i="40"/>
  <c r="B876" i="40"/>
  <c r="B877" i="40"/>
  <c r="B878" i="40"/>
  <c r="B879" i="40"/>
  <c r="B880" i="40"/>
  <c r="B881" i="40"/>
  <c r="B882" i="40"/>
  <c r="B883" i="40"/>
  <c r="B884" i="40"/>
  <c r="B885" i="40"/>
  <c r="B886" i="40"/>
  <c r="B887" i="40"/>
  <c r="B888" i="40"/>
  <c r="B889" i="40"/>
  <c r="B890" i="40"/>
  <c r="B891" i="40"/>
  <c r="B892" i="40"/>
  <c r="B893" i="40"/>
  <c r="B894" i="40"/>
  <c r="B895" i="40"/>
  <c r="B896" i="40"/>
  <c r="B897" i="40"/>
  <c r="B898" i="40"/>
  <c r="B899" i="40"/>
  <c r="B900" i="40"/>
  <c r="B901" i="40"/>
  <c r="B902" i="40"/>
  <c r="B903" i="40"/>
  <c r="B904" i="40"/>
  <c r="B905" i="40"/>
  <c r="B906" i="40"/>
  <c r="B907" i="40"/>
  <c r="B908" i="40"/>
  <c r="B909" i="40"/>
  <c r="B910" i="40"/>
  <c r="B911" i="40"/>
  <c r="B912" i="40"/>
  <c r="B913" i="40"/>
  <c r="B914" i="40"/>
  <c r="B915" i="40"/>
  <c r="B916" i="40"/>
  <c r="B917" i="40"/>
  <c r="B918" i="40"/>
  <c r="B919" i="40"/>
  <c r="B920" i="40"/>
  <c r="B921" i="40"/>
  <c r="B922" i="40"/>
  <c r="B923" i="40"/>
  <c r="B924" i="40"/>
  <c r="B925" i="40"/>
  <c r="B926" i="40"/>
  <c r="B927" i="40"/>
  <c r="B928" i="40"/>
  <c r="B929" i="40"/>
  <c r="B930" i="40"/>
  <c r="B931" i="40"/>
  <c r="B932" i="40"/>
  <c r="B933" i="40"/>
  <c r="B934" i="40"/>
  <c r="B935" i="40"/>
  <c r="B936" i="40"/>
  <c r="B937" i="40"/>
  <c r="B938" i="40"/>
  <c r="B939" i="40"/>
  <c r="B940" i="40"/>
  <c r="B941" i="40"/>
  <c r="B942" i="40"/>
  <c r="B943" i="40"/>
  <c r="B944" i="40"/>
  <c r="B945" i="40"/>
  <c r="B946" i="40"/>
  <c r="B947" i="40"/>
  <c r="B948" i="40"/>
  <c r="B949" i="40"/>
  <c r="B950" i="40"/>
  <c r="B951" i="40"/>
  <c r="B952" i="40"/>
  <c r="B953" i="40"/>
  <c r="B954" i="40"/>
  <c r="B955" i="40"/>
  <c r="B956" i="40"/>
  <c r="B957" i="40"/>
  <c r="B958" i="40"/>
  <c r="B959" i="40"/>
  <c r="B960" i="40"/>
  <c r="B961" i="40"/>
  <c r="B962" i="40"/>
  <c r="B963" i="40"/>
  <c r="B964" i="40"/>
  <c r="B965" i="40"/>
  <c r="B966" i="40"/>
  <c r="B967" i="40"/>
  <c r="B968" i="40"/>
  <c r="B969" i="40"/>
  <c r="B970" i="40"/>
  <c r="B971" i="40"/>
  <c r="B972" i="40"/>
  <c r="B973" i="40"/>
  <c r="B974" i="40"/>
  <c r="B975" i="40"/>
  <c r="B976" i="40"/>
  <c r="B977" i="40"/>
  <c r="B978" i="40"/>
  <c r="B979" i="40"/>
  <c r="B980" i="40"/>
  <c r="B981" i="40"/>
  <c r="B982" i="40"/>
  <c r="B983" i="40"/>
  <c r="B984" i="40"/>
  <c r="B985" i="40"/>
  <c r="B986" i="40"/>
  <c r="B987" i="40"/>
  <c r="B988" i="40"/>
  <c r="B989" i="40"/>
  <c r="B990" i="40"/>
  <c r="B991" i="40"/>
  <c r="B992" i="40"/>
  <c r="B993" i="40"/>
  <c r="B994" i="40"/>
  <c r="B995" i="40"/>
  <c r="B996" i="40"/>
  <c r="B997" i="40"/>
  <c r="B998" i="40"/>
  <c r="B999" i="40"/>
  <c r="B1000" i="40"/>
  <c r="B1001" i="40"/>
  <c r="B1002" i="40"/>
  <c r="B1003" i="40"/>
  <c r="B1004" i="40"/>
  <c r="B1005" i="40"/>
  <c r="B1006" i="40"/>
  <c r="B1007" i="40"/>
  <c r="B1008" i="40"/>
  <c r="B1009" i="40"/>
  <c r="B1010" i="40"/>
  <c r="B1011" i="40"/>
  <c r="B1012" i="40"/>
  <c r="B1013" i="40"/>
  <c r="B1014" i="40"/>
  <c r="B1015" i="40"/>
  <c r="B1016" i="40"/>
  <c r="B1017" i="40"/>
  <c r="B1018" i="40"/>
  <c r="B1019" i="40"/>
  <c r="B1020" i="40"/>
  <c r="B1021" i="40"/>
  <c r="B1022" i="40"/>
  <c r="B1023" i="40"/>
  <c r="B1024" i="40"/>
  <c r="B1025" i="40"/>
  <c r="B1026" i="40"/>
  <c r="B1027" i="40"/>
  <c r="B1028" i="40"/>
  <c r="B1029" i="40"/>
  <c r="B1030" i="40"/>
  <c r="B1031" i="40"/>
  <c r="B1032" i="40"/>
  <c r="B1033" i="40"/>
  <c r="B1034" i="40"/>
  <c r="B1035" i="40"/>
  <c r="B1036" i="40"/>
  <c r="B1037" i="40"/>
  <c r="B1038" i="40"/>
  <c r="B1039" i="40"/>
  <c r="B1040" i="40"/>
  <c r="B1041" i="40"/>
  <c r="B1042" i="40"/>
  <c r="B1043" i="40"/>
  <c r="B1044" i="40"/>
  <c r="B1045" i="40"/>
  <c r="B1046" i="40"/>
  <c r="B1047" i="40"/>
  <c r="B1048" i="40"/>
  <c r="B1049" i="40"/>
  <c r="B1050" i="40"/>
  <c r="B1051" i="40"/>
  <c r="B1052" i="40"/>
  <c r="B1053" i="40"/>
  <c r="B1054" i="40"/>
  <c r="B1055" i="40"/>
  <c r="B1056" i="40"/>
  <c r="B1057" i="40"/>
  <c r="B1058" i="40"/>
  <c r="B1059" i="40"/>
  <c r="B1060" i="40"/>
  <c r="B1061" i="40"/>
  <c r="B1062" i="40"/>
  <c r="B1063" i="40"/>
  <c r="B1064" i="40"/>
  <c r="B1065" i="40"/>
  <c r="B1066" i="40"/>
  <c r="B1067" i="40"/>
  <c r="B1068" i="40"/>
  <c r="B1069" i="40"/>
  <c r="B1070" i="40"/>
  <c r="B1071" i="40"/>
  <c r="B1072" i="40"/>
  <c r="B1073" i="40"/>
  <c r="B1074" i="40"/>
  <c r="B1075" i="40"/>
  <c r="B1076" i="40"/>
  <c r="B1077" i="40"/>
  <c r="B1078" i="40"/>
  <c r="B1079" i="40"/>
  <c r="B1080" i="40"/>
  <c r="B1081" i="40"/>
  <c r="B1082" i="40"/>
  <c r="B1083" i="40"/>
  <c r="B1084" i="40"/>
  <c r="B1085" i="40"/>
  <c r="B1086" i="40"/>
  <c r="B1087" i="40"/>
  <c r="B1088" i="40"/>
  <c r="B1089" i="40"/>
  <c r="B1090" i="40"/>
  <c r="B1091" i="40"/>
  <c r="B1092" i="40"/>
  <c r="B1093" i="40"/>
  <c r="B1094" i="40"/>
  <c r="B1095" i="40"/>
  <c r="B1096" i="40"/>
  <c r="B1097" i="40"/>
  <c r="B1098" i="40"/>
  <c r="B1099" i="40"/>
  <c r="B1100" i="40"/>
  <c r="B1101" i="40"/>
  <c r="B1102" i="40"/>
  <c r="B1103" i="40"/>
  <c r="B1104" i="40"/>
  <c r="B1105" i="40"/>
  <c r="B1106" i="40"/>
  <c r="B1107" i="40"/>
  <c r="B1108" i="40"/>
  <c r="B1109" i="40"/>
  <c r="B1110" i="40"/>
  <c r="B1111" i="40"/>
  <c r="B1112" i="40"/>
  <c r="B1113" i="40"/>
  <c r="B1114" i="40"/>
  <c r="B1115" i="40"/>
  <c r="B1116" i="40"/>
  <c r="B1117" i="40"/>
  <c r="B1118" i="40"/>
  <c r="B1119" i="40"/>
  <c r="B1120" i="40"/>
  <c r="B1121" i="40"/>
  <c r="B1122" i="40"/>
  <c r="B1123" i="40"/>
  <c r="B1124" i="40"/>
  <c r="B1125" i="40"/>
  <c r="B1126" i="40"/>
  <c r="B1127" i="40"/>
  <c r="B1128" i="40"/>
  <c r="B1129" i="40"/>
  <c r="B1130" i="40"/>
  <c r="B1131" i="40"/>
  <c r="B1132" i="40"/>
  <c r="B1133" i="40"/>
  <c r="B1134" i="40"/>
  <c r="B1135" i="40"/>
  <c r="B1136" i="40"/>
  <c r="B1137" i="40"/>
  <c r="B1138" i="40"/>
  <c r="B1139" i="40"/>
  <c r="B1140" i="40"/>
  <c r="B1141" i="40"/>
  <c r="B1142" i="40"/>
  <c r="B1143" i="40"/>
  <c r="B1144" i="40"/>
  <c r="B1145" i="40"/>
  <c r="B1146" i="40"/>
  <c r="B1147" i="40"/>
  <c r="B1148" i="40"/>
  <c r="B1149" i="40"/>
  <c r="B1150" i="40"/>
  <c r="B1151" i="40"/>
  <c r="B1152" i="40"/>
  <c r="B1153" i="40"/>
  <c r="B1154" i="40"/>
  <c r="B1155" i="40"/>
  <c r="B1156" i="40"/>
  <c r="B1157" i="40"/>
  <c r="B1158" i="40"/>
  <c r="B1159" i="40"/>
  <c r="B1160" i="40"/>
  <c r="B1161" i="40"/>
  <c r="B1162" i="40"/>
  <c r="B1163" i="40"/>
  <c r="B1164" i="40"/>
  <c r="B1165" i="40"/>
  <c r="B1166" i="40"/>
  <c r="B1167" i="40"/>
  <c r="B1168" i="40"/>
  <c r="B1169" i="40"/>
  <c r="B1170" i="40"/>
  <c r="B1171" i="40"/>
  <c r="B1172" i="40"/>
  <c r="B1173" i="40"/>
  <c r="B1174" i="40"/>
  <c r="B1175" i="40"/>
  <c r="B1176" i="40"/>
  <c r="B1177" i="40"/>
  <c r="B1178" i="40"/>
  <c r="B1179" i="40"/>
  <c r="B1180" i="40"/>
  <c r="B1181" i="40"/>
  <c r="B1182" i="40"/>
  <c r="B1183" i="40"/>
  <c r="B1184" i="40"/>
  <c r="B1185" i="40"/>
  <c r="B1186" i="40"/>
  <c r="B1187" i="40"/>
  <c r="B1188" i="40"/>
  <c r="B1189" i="40"/>
  <c r="B1190" i="40"/>
  <c r="B1191" i="40"/>
  <c r="B1192" i="40"/>
  <c r="B1193" i="40"/>
  <c r="B1194" i="40"/>
  <c r="B1195" i="40"/>
  <c r="B1196" i="40"/>
  <c r="B1197" i="40"/>
  <c r="B1198" i="40"/>
  <c r="B1199" i="40"/>
  <c r="B1200" i="40"/>
  <c r="B1201" i="40"/>
  <c r="B1202" i="40"/>
  <c r="B1203" i="40"/>
  <c r="B1204" i="40"/>
  <c r="B1205" i="40"/>
  <c r="B1206" i="40"/>
  <c r="B1207" i="40"/>
  <c r="B1208" i="40"/>
  <c r="B1209" i="40"/>
  <c r="B1210" i="40"/>
  <c r="B1211" i="40"/>
  <c r="B1212" i="40"/>
  <c r="B1213" i="40"/>
  <c r="B1214" i="40"/>
  <c r="B1215" i="40"/>
  <c r="B1216" i="40"/>
  <c r="B1217" i="40"/>
  <c r="B1218" i="40"/>
  <c r="B1219" i="40"/>
  <c r="B1220" i="40"/>
  <c r="B1221" i="40"/>
  <c r="B1222" i="40"/>
  <c r="B1223" i="40"/>
  <c r="B1224" i="40"/>
  <c r="B1225" i="40"/>
  <c r="B1226" i="40"/>
  <c r="B1227" i="40"/>
  <c r="B1228" i="40"/>
  <c r="B1229" i="40"/>
  <c r="B1230" i="40"/>
  <c r="B1231" i="40"/>
  <c r="B1232" i="40"/>
  <c r="B1233" i="40"/>
  <c r="B1234" i="40"/>
  <c r="B1235" i="40"/>
  <c r="B1236" i="40"/>
  <c r="B1237" i="40"/>
  <c r="B1238" i="40"/>
  <c r="B1239" i="40"/>
  <c r="B1240" i="40"/>
  <c r="B1241" i="40"/>
  <c r="B1242" i="40"/>
  <c r="B1243" i="40"/>
  <c r="B1244" i="40"/>
  <c r="B1245" i="40"/>
  <c r="B1246" i="40"/>
  <c r="B1247" i="40"/>
  <c r="B1248" i="40"/>
  <c r="B1249" i="40"/>
  <c r="B1250" i="40"/>
  <c r="B1251" i="40"/>
  <c r="B1252" i="40"/>
  <c r="B1253" i="40"/>
  <c r="B1254" i="40"/>
  <c r="B1255" i="40"/>
  <c r="B1256" i="40"/>
  <c r="B1257" i="40"/>
  <c r="B1258" i="40"/>
  <c r="B1259" i="40"/>
  <c r="B1260" i="40"/>
  <c r="B1261" i="40"/>
  <c r="B1262" i="40"/>
  <c r="B1263" i="40"/>
  <c r="B1264" i="40"/>
  <c r="B1265" i="40"/>
  <c r="B1266" i="40"/>
  <c r="B1267" i="40"/>
  <c r="B1268" i="40"/>
  <c r="B1269" i="40"/>
  <c r="B1270" i="40"/>
  <c r="B1271" i="40"/>
  <c r="B1272" i="40"/>
  <c r="B1273" i="40"/>
  <c r="B1274" i="40"/>
  <c r="B1275" i="40"/>
  <c r="B1276" i="40"/>
  <c r="B1277" i="40"/>
  <c r="B1278" i="40"/>
  <c r="B1279" i="40"/>
  <c r="B1280" i="40"/>
  <c r="B1281" i="40"/>
  <c r="B1282" i="40"/>
  <c r="B1283" i="40"/>
  <c r="B1284" i="40"/>
  <c r="B1285" i="40"/>
  <c r="B1286" i="40"/>
  <c r="B1287" i="40"/>
  <c r="B1288" i="40"/>
  <c r="B1289" i="40"/>
  <c r="B1290" i="40"/>
  <c r="B1291" i="40"/>
  <c r="B1292" i="40"/>
  <c r="B1293" i="40"/>
  <c r="B1294" i="40"/>
  <c r="B1295" i="40"/>
  <c r="B1296" i="40"/>
  <c r="B1297" i="40"/>
  <c r="B1298" i="40"/>
  <c r="B1299" i="40"/>
  <c r="B1300" i="40"/>
  <c r="B1301" i="40"/>
  <c r="B1302" i="40"/>
  <c r="B1303" i="40"/>
  <c r="B1304" i="40"/>
  <c r="B1305" i="40"/>
  <c r="B1306" i="40"/>
  <c r="B1307" i="40"/>
  <c r="B1308" i="40"/>
  <c r="B1309" i="40"/>
  <c r="B1310" i="40"/>
  <c r="B1311" i="40"/>
  <c r="B1312" i="40"/>
  <c r="B1313" i="40"/>
  <c r="B1314" i="40"/>
  <c r="B1315" i="40"/>
  <c r="B1316" i="40"/>
  <c r="B1317" i="40"/>
  <c r="B1318" i="40"/>
  <c r="B1319" i="40"/>
  <c r="B1320" i="40"/>
  <c r="B1321" i="40"/>
  <c r="B1322" i="40"/>
  <c r="B1323" i="40"/>
  <c r="B1324" i="40"/>
  <c r="B1325" i="40"/>
  <c r="B1326" i="40"/>
  <c r="B1327" i="40"/>
  <c r="B1328" i="40"/>
  <c r="B1329" i="40"/>
  <c r="B1330" i="40"/>
  <c r="B1331" i="40"/>
  <c r="B1332" i="40"/>
  <c r="B1333" i="40"/>
  <c r="B1334" i="40"/>
  <c r="B1335" i="40"/>
  <c r="B1336" i="40"/>
  <c r="B1337" i="40"/>
  <c r="B1338" i="40"/>
  <c r="B1339" i="40"/>
  <c r="B1340" i="40"/>
  <c r="B1341" i="40"/>
  <c r="B1342" i="40"/>
  <c r="B1343" i="40"/>
  <c r="B1344" i="40"/>
  <c r="B1345" i="40"/>
  <c r="B1346" i="40"/>
  <c r="B1347" i="40"/>
  <c r="B1348" i="40"/>
  <c r="B1349" i="40"/>
  <c r="B1350" i="40"/>
  <c r="B1351" i="40"/>
  <c r="B1352" i="40"/>
  <c r="B1353" i="40"/>
  <c r="B1354" i="40"/>
  <c r="B1355" i="40"/>
  <c r="B1356" i="40"/>
  <c r="B1357" i="40"/>
  <c r="B1358" i="40"/>
  <c r="B1359" i="40"/>
  <c r="B1360" i="40"/>
  <c r="B1361" i="40"/>
  <c r="B1362" i="40"/>
  <c r="B1363" i="40"/>
  <c r="B1364" i="40"/>
  <c r="B1365" i="40"/>
  <c r="B1366" i="40"/>
  <c r="B1367" i="40"/>
  <c r="B1368" i="40"/>
  <c r="B1369" i="40"/>
  <c r="B1370" i="40"/>
  <c r="B1371" i="40"/>
  <c r="B1372" i="40"/>
  <c r="B1373" i="40"/>
  <c r="B1374" i="40"/>
  <c r="B1375" i="40"/>
  <c r="B1376" i="40"/>
  <c r="B1377" i="40"/>
  <c r="B1378" i="40"/>
  <c r="B1379" i="40"/>
  <c r="B1380" i="40"/>
  <c r="B1381" i="40"/>
  <c r="B1382" i="40"/>
  <c r="B1383" i="40"/>
  <c r="B1384" i="40"/>
  <c r="B1385" i="40"/>
  <c r="B1386" i="40"/>
  <c r="B1387" i="40"/>
  <c r="B1388" i="40"/>
  <c r="B1389" i="40"/>
  <c r="B1390" i="40"/>
  <c r="B1391" i="40"/>
  <c r="B1392" i="40"/>
  <c r="B1393" i="40"/>
  <c r="B1394" i="40"/>
  <c r="B1395" i="40"/>
  <c r="B1396" i="40"/>
  <c r="B1397" i="40"/>
  <c r="B1398" i="40"/>
  <c r="B1399" i="40"/>
  <c r="B1400" i="40"/>
  <c r="B1401" i="40"/>
  <c r="B1402" i="40"/>
  <c r="B1403" i="40"/>
  <c r="B1404" i="40"/>
  <c r="B1405" i="40"/>
  <c r="B1406" i="40"/>
  <c r="B1407" i="40"/>
  <c r="B1408" i="40"/>
  <c r="B1409" i="40"/>
  <c r="B1410" i="40"/>
  <c r="B1411" i="40"/>
  <c r="B1412" i="40"/>
  <c r="B1413" i="40"/>
  <c r="B1414" i="40"/>
  <c r="B1415" i="40"/>
  <c r="B1416" i="40"/>
  <c r="B1417" i="40"/>
  <c r="B1418" i="40"/>
  <c r="B1419" i="40"/>
  <c r="B1420" i="40"/>
  <c r="B1421" i="40"/>
  <c r="B1422" i="40"/>
  <c r="B1423" i="40"/>
  <c r="B1424" i="40"/>
  <c r="B1425" i="40"/>
  <c r="B1426" i="40"/>
  <c r="B1427" i="40"/>
  <c r="B1428" i="40"/>
  <c r="B1429" i="40"/>
  <c r="B1430" i="40"/>
  <c r="B1431" i="40"/>
  <c r="B1432" i="40"/>
  <c r="B1433" i="40"/>
  <c r="B1434" i="40"/>
  <c r="B1435" i="40"/>
  <c r="B1436" i="40"/>
  <c r="B1437" i="40"/>
  <c r="B1438" i="40"/>
  <c r="B1439" i="40"/>
  <c r="B1440" i="40"/>
  <c r="B1441" i="40"/>
  <c r="B1442" i="40"/>
  <c r="B1443" i="40"/>
  <c r="B1444" i="40"/>
  <c r="B1445" i="40"/>
  <c r="B1446" i="40"/>
  <c r="B1447" i="40"/>
  <c r="B1448" i="40"/>
  <c r="B1449" i="40"/>
  <c r="B1450" i="40"/>
  <c r="B1451" i="40"/>
  <c r="B1452" i="40"/>
  <c r="B1453" i="40"/>
  <c r="B1454" i="40"/>
  <c r="B1455" i="40"/>
  <c r="B1456" i="40"/>
  <c r="B1457" i="40"/>
  <c r="B1458" i="40"/>
  <c r="B1459" i="40"/>
  <c r="B1460" i="40"/>
  <c r="B1461" i="40"/>
  <c r="B1462" i="40"/>
  <c r="B1463" i="40"/>
  <c r="B1464" i="40"/>
  <c r="B1465" i="40"/>
  <c r="B1466" i="40"/>
  <c r="B1467" i="40"/>
  <c r="B1468" i="40"/>
  <c r="B1469" i="40"/>
  <c r="B1470" i="40"/>
  <c r="B1471" i="40"/>
  <c r="B1472" i="40"/>
  <c r="B1473" i="40"/>
  <c r="B1474" i="40"/>
  <c r="B1474" i="39" s="1"/>
  <c r="B1475" i="40"/>
  <c r="B1476" i="40"/>
  <c r="B1477" i="40"/>
  <c r="B1478" i="40"/>
  <c r="B1479" i="40"/>
  <c r="B1480" i="40"/>
  <c r="B1481" i="40"/>
  <c r="B1482" i="40"/>
  <c r="B1483" i="40"/>
  <c r="B1484" i="40"/>
  <c r="B1485" i="40"/>
  <c r="B1486" i="40"/>
  <c r="B1487" i="40"/>
  <c r="B1488" i="40"/>
  <c r="B1489" i="40"/>
  <c r="B1490" i="40"/>
  <c r="B1491" i="40"/>
  <c r="B1492" i="40"/>
  <c r="B1493" i="40"/>
  <c r="B1494" i="40"/>
  <c r="B1494" i="39" s="1"/>
  <c r="B1495" i="40"/>
  <c r="B1495" i="39" s="1"/>
  <c r="B1496" i="40"/>
  <c r="B1497" i="40"/>
  <c r="B1497" i="39" s="1"/>
  <c r="B1498" i="40"/>
  <c r="B1498" i="39" s="1"/>
  <c r="B1499" i="40"/>
  <c r="B1499" i="39" s="1"/>
  <c r="B1500" i="40"/>
  <c r="B1500" i="39" s="1"/>
  <c r="B1501" i="40"/>
  <c r="B1501" i="39" s="1"/>
  <c r="B1502" i="40"/>
  <c r="B1502" i="39" s="1"/>
  <c r="B1503" i="40"/>
  <c r="B1503" i="39" s="1"/>
  <c r="B1504" i="40"/>
  <c r="B1504" i="39" s="1"/>
  <c r="B1505" i="40"/>
  <c r="B1505" i="39" s="1"/>
  <c r="B1506" i="40"/>
  <c r="B1506" i="39" s="1"/>
  <c r="B1507" i="40"/>
  <c r="B1507" i="39" s="1"/>
  <c r="B1508" i="40"/>
  <c r="B1508" i="39" s="1"/>
  <c r="B1509" i="40"/>
  <c r="B1509" i="39" s="1"/>
  <c r="B1510" i="40"/>
  <c r="B1511" i="40"/>
  <c r="B1511" i="39" s="1"/>
  <c r="B1512" i="40"/>
  <c r="B1512" i="39" s="1"/>
  <c r="B1513" i="40"/>
  <c r="B1513" i="39" s="1"/>
  <c r="B1514" i="40"/>
  <c r="B1514" i="39" s="1"/>
  <c r="B1515" i="40"/>
  <c r="B1515" i="39" s="1"/>
  <c r="B1516" i="40"/>
  <c r="B1517" i="40"/>
  <c r="B1517" i="39" s="1"/>
  <c r="B1518" i="40"/>
  <c r="B1518" i="39" s="1"/>
  <c r="B1519" i="40"/>
  <c r="B1519" i="39" s="1"/>
  <c r="B1520" i="40"/>
  <c r="B1520" i="39" s="1"/>
  <c r="B1521" i="40"/>
  <c r="B1521" i="39" s="1"/>
  <c r="B1522" i="40"/>
  <c r="B1522" i="39" s="1"/>
  <c r="B1523" i="40"/>
  <c r="B1523" i="39" s="1"/>
  <c r="B1524" i="40"/>
  <c r="B1524" i="39" s="1"/>
  <c r="B1525" i="40"/>
  <c r="B1525" i="39" s="1"/>
  <c r="B1526" i="40"/>
  <c r="B1526" i="39" s="1"/>
  <c r="B1527" i="40"/>
  <c r="B1527" i="39" s="1"/>
  <c r="B1528" i="40"/>
  <c r="B1528" i="39" s="1"/>
  <c r="B1529" i="40"/>
  <c r="B1529" i="39" s="1"/>
  <c r="B1530" i="40"/>
  <c r="B1531" i="40"/>
  <c r="B1531" i="39" s="1"/>
  <c r="B1532" i="40"/>
  <c r="B1532" i="39" s="1"/>
  <c r="B1533" i="40"/>
  <c r="B1533" i="39" s="1"/>
  <c r="B1534" i="40"/>
  <c r="B1534" i="39" s="1"/>
  <c r="B1535" i="40"/>
  <c r="B1535" i="39" s="1"/>
  <c r="B1536" i="40"/>
  <c r="B1537" i="40"/>
  <c r="B1537" i="39" s="1"/>
  <c r="B1538" i="40"/>
  <c r="B1538" i="39" s="1"/>
  <c r="B1539" i="40"/>
  <c r="B1539" i="39" s="1"/>
  <c r="B1540" i="40"/>
  <c r="B1540" i="39" s="1"/>
  <c r="B1541" i="40"/>
  <c r="B1541" i="39" s="1"/>
  <c r="B1542" i="40"/>
  <c r="B1542" i="39" s="1"/>
  <c r="B1543" i="40"/>
  <c r="B1543" i="39" s="1"/>
  <c r="B1544" i="40"/>
  <c r="B1544" i="39" s="1"/>
  <c r="B1545" i="40"/>
  <c r="B1545" i="39" s="1"/>
  <c r="B1546" i="40"/>
  <c r="B1546" i="39" s="1"/>
  <c r="B1547" i="40"/>
  <c r="B1547" i="39" s="1"/>
  <c r="B1548" i="40"/>
  <c r="B1548" i="39" s="1"/>
  <c r="B1549" i="40"/>
  <c r="B1549" i="39" s="1"/>
  <c r="B1550" i="40"/>
  <c r="B1551" i="40"/>
  <c r="B1551" i="39" s="1"/>
  <c r="B1552" i="40"/>
  <c r="B1552" i="39" s="1"/>
  <c r="B1553" i="40"/>
  <c r="B1553" i="39" s="1"/>
  <c r="B1554" i="40"/>
  <c r="B1554" i="39" s="1"/>
  <c r="B1555" i="40"/>
  <c r="B1555" i="39" s="1"/>
  <c r="B1556" i="40"/>
  <c r="B1557" i="40"/>
  <c r="B1557" i="39" s="1"/>
  <c r="B1558" i="40"/>
  <c r="B1558" i="39" s="1"/>
  <c r="B1559" i="40"/>
  <c r="B1559" i="39" s="1"/>
  <c r="B1560" i="40"/>
  <c r="B1560" i="39" s="1"/>
  <c r="B1561" i="40"/>
  <c r="B1561" i="39" s="1"/>
  <c r="B1562" i="40"/>
  <c r="B1562" i="39" s="1"/>
  <c r="B1563" i="40"/>
  <c r="B1563" i="39" s="1"/>
  <c r="B1564" i="40"/>
  <c r="B1564" i="39" s="1"/>
  <c r="B1565" i="40"/>
  <c r="B1565" i="39" s="1"/>
  <c r="B1566" i="40"/>
  <c r="B1566" i="39" s="1"/>
  <c r="B1567" i="40"/>
  <c r="B1567" i="39" s="1"/>
  <c r="B1568" i="40"/>
  <c r="B1568" i="39" s="1"/>
  <c r="B1569" i="40"/>
  <c r="B1569" i="39" s="1"/>
  <c r="B1570" i="40"/>
  <c r="B1571" i="40"/>
  <c r="B1571" i="39" s="1"/>
  <c r="B1572" i="40"/>
  <c r="B1572" i="39" s="1"/>
  <c r="B1573" i="40"/>
  <c r="B1573" i="39" s="1"/>
  <c r="B1574" i="40"/>
  <c r="B1574" i="39" s="1"/>
  <c r="B1575" i="40"/>
  <c r="B1575" i="39" s="1"/>
  <c r="B1576" i="40"/>
  <c r="B1577" i="40"/>
  <c r="B1577" i="39" s="1"/>
  <c r="B1578" i="40"/>
  <c r="B1578" i="39" s="1"/>
  <c r="B1579" i="40"/>
  <c r="B1579" i="39" s="1"/>
  <c r="B1580" i="40"/>
  <c r="B1580" i="39" s="1"/>
  <c r="B1581" i="40"/>
  <c r="B1581" i="39" s="1"/>
  <c r="B1582" i="40"/>
  <c r="B1582" i="39" s="1"/>
  <c r="B1583" i="40"/>
  <c r="B1583" i="39" s="1"/>
  <c r="B1584" i="40"/>
  <c r="B1584" i="39" s="1"/>
  <c r="B1585" i="40"/>
  <c r="B1585" i="39" s="1"/>
  <c r="B1586" i="40"/>
  <c r="B1586" i="39" s="1"/>
  <c r="B1587" i="40"/>
  <c r="B1587" i="39" s="1"/>
  <c r="B1588" i="40"/>
  <c r="B1588" i="39" s="1"/>
  <c r="B1589" i="40"/>
  <c r="B1589" i="39" s="1"/>
  <c r="B1590" i="40"/>
  <c r="B1591" i="40"/>
  <c r="B1591" i="39" s="1"/>
  <c r="B1592" i="40"/>
  <c r="B1592" i="39" s="1"/>
  <c r="B1593" i="40"/>
  <c r="B1593" i="39" s="1"/>
  <c r="B1594" i="40"/>
  <c r="B1594" i="39" s="1"/>
  <c r="B1595" i="40"/>
  <c r="B1595" i="39" s="1"/>
  <c r="B1596" i="40"/>
  <c r="B1597" i="40"/>
  <c r="B1597" i="39" s="1"/>
  <c r="B1598" i="40"/>
  <c r="B1598" i="39" s="1"/>
  <c r="B1599" i="40"/>
  <c r="B1599" i="39" s="1"/>
  <c r="B1600" i="40"/>
  <c r="B1600" i="39" s="1"/>
  <c r="B1601" i="40"/>
  <c r="B1601" i="39" s="1"/>
  <c r="B1602" i="40"/>
  <c r="B1602" i="39" s="1"/>
  <c r="B1603" i="40"/>
  <c r="B1603" i="39" s="1"/>
  <c r="B1604" i="40"/>
  <c r="B1604" i="39" s="1"/>
  <c r="B1605" i="40"/>
  <c r="B1605" i="39" s="1"/>
  <c r="B1606" i="40"/>
  <c r="B1606" i="39" s="1"/>
  <c r="B1607" i="40"/>
  <c r="B1607" i="39" s="1"/>
  <c r="B1608" i="40"/>
  <c r="B1608" i="39" s="1"/>
  <c r="B1609" i="40"/>
  <c r="B1609" i="39" s="1"/>
  <c r="B1610" i="40"/>
  <c r="B1611" i="40"/>
  <c r="B1611" i="39" s="1"/>
  <c r="B1612" i="40"/>
  <c r="B1612" i="39" s="1"/>
  <c r="B1613" i="40"/>
  <c r="B1613" i="39" s="1"/>
  <c r="B1614" i="40"/>
  <c r="B1614" i="39" s="1"/>
  <c r="B1615" i="40"/>
  <c r="B1615" i="39" s="1"/>
  <c r="B1616" i="40"/>
  <c r="B1617" i="40"/>
  <c r="B1617" i="39" s="1"/>
  <c r="B1618" i="40"/>
  <c r="B1618" i="39" s="1"/>
  <c r="B1619" i="40"/>
  <c r="B1619" i="39" s="1"/>
  <c r="B1620" i="40"/>
  <c r="B1620" i="39" s="1"/>
  <c r="B1621" i="40"/>
  <c r="B1621" i="39" s="1"/>
  <c r="B1622" i="40"/>
  <c r="B1622" i="39" s="1"/>
  <c r="B1623" i="40"/>
  <c r="B1623" i="39" s="1"/>
  <c r="B1624" i="40"/>
  <c r="B1624" i="39" s="1"/>
  <c r="B1625" i="40"/>
  <c r="B1625" i="39" s="1"/>
  <c r="B1626" i="40"/>
  <c r="B1626" i="39" s="1"/>
  <c r="B1627" i="40"/>
  <c r="B1627" i="39" s="1"/>
  <c r="B1628" i="40"/>
  <c r="B1628" i="39" s="1"/>
  <c r="B1629" i="40"/>
  <c r="B1629" i="39" s="1"/>
  <c r="B1630" i="40"/>
  <c r="B1631" i="40"/>
  <c r="B1631" i="39" s="1"/>
  <c r="B1632" i="40"/>
  <c r="B1632" i="39" s="1"/>
  <c r="B1633" i="40"/>
  <c r="B1633" i="39" s="1"/>
  <c r="B1634" i="40"/>
  <c r="B1634" i="39" s="1"/>
  <c r="B1635" i="40"/>
  <c r="B1635" i="39" s="1"/>
  <c r="B1636" i="40"/>
  <c r="B1637" i="40"/>
  <c r="B1637" i="39" s="1"/>
  <c r="B1638" i="40"/>
  <c r="B1638" i="39" s="1"/>
  <c r="B1639" i="40"/>
  <c r="B1639" i="39" s="1"/>
  <c r="B1640" i="40"/>
  <c r="B1640" i="39" s="1"/>
  <c r="B1641" i="40"/>
  <c r="B1641" i="39" s="1"/>
  <c r="B1642" i="40"/>
  <c r="B1642" i="39" s="1"/>
  <c r="B1643" i="40"/>
  <c r="B1643" i="39" s="1"/>
  <c r="B1644" i="40"/>
  <c r="B1644" i="39" s="1"/>
  <c r="B1645" i="40"/>
  <c r="B1645" i="39" s="1"/>
  <c r="B1646" i="40"/>
  <c r="B1646" i="39" s="1"/>
  <c r="B1647" i="40"/>
  <c r="B1647" i="39" s="1"/>
  <c r="B1648" i="40"/>
  <c r="B1648" i="39" s="1"/>
  <c r="B1649" i="40"/>
  <c r="B1649" i="39" s="1"/>
  <c r="B1650" i="40"/>
  <c r="B1651" i="40"/>
  <c r="B1651" i="39" s="1"/>
  <c r="B1652" i="40"/>
  <c r="B1652" i="39" s="1"/>
  <c r="B1653" i="40"/>
  <c r="B1653" i="39" s="1"/>
  <c r="B1654" i="40"/>
  <c r="B1654" i="39" s="1"/>
  <c r="B1655" i="40"/>
  <c r="B1655" i="39" s="1"/>
  <c r="B1656" i="40"/>
  <c r="B1657" i="40"/>
  <c r="B1657" i="39" s="1"/>
  <c r="B1658" i="40"/>
  <c r="B1658" i="39" s="1"/>
  <c r="B1659" i="40"/>
  <c r="B1659" i="39" s="1"/>
  <c r="B1660" i="40"/>
  <c r="B1660" i="39" s="1"/>
  <c r="B1661" i="40"/>
  <c r="B1661" i="39" s="1"/>
  <c r="B1662" i="40"/>
  <c r="B1662" i="39" s="1"/>
  <c r="B1663" i="40"/>
  <c r="B1663" i="39" s="1"/>
  <c r="B1664" i="40"/>
  <c r="B1664" i="39" s="1"/>
  <c r="B1665" i="40"/>
  <c r="B1665" i="39" s="1"/>
  <c r="B1666" i="40"/>
  <c r="B1666" i="39" s="1"/>
  <c r="B1667" i="40"/>
  <c r="B1667" i="39" s="1"/>
  <c r="B1668" i="40"/>
  <c r="B1668" i="39" s="1"/>
  <c r="B1669" i="40"/>
  <c r="B1669" i="39" s="1"/>
  <c r="B1670" i="40"/>
  <c r="B1671" i="40"/>
  <c r="B1671" i="39" s="1"/>
  <c r="B1672" i="40"/>
  <c r="B1672" i="39" s="1"/>
  <c r="B1673" i="40"/>
  <c r="B1673" i="39" s="1"/>
  <c r="B1674" i="40"/>
  <c r="B1674" i="39" s="1"/>
  <c r="B1675" i="40"/>
  <c r="B1675" i="39" s="1"/>
  <c r="B1676" i="40"/>
  <c r="B1677" i="40"/>
  <c r="B1677" i="39" s="1"/>
  <c r="B1678" i="40"/>
  <c r="B1678" i="39" s="1"/>
  <c r="B1679" i="40"/>
  <c r="B1679" i="39" s="1"/>
  <c r="B1680" i="40"/>
  <c r="B1680" i="39" s="1"/>
  <c r="B1681" i="40"/>
  <c r="B1681" i="39" s="1"/>
  <c r="B1682" i="40"/>
  <c r="B1682" i="39" s="1"/>
  <c r="B1683" i="40"/>
  <c r="B1683" i="39" s="1"/>
  <c r="B1684" i="40"/>
  <c r="B1684" i="39" s="1"/>
  <c r="B1685" i="40"/>
  <c r="B1685" i="39" s="1"/>
  <c r="B1686" i="40"/>
  <c r="B1686" i="39" s="1"/>
  <c r="B1687" i="40"/>
  <c r="B1687" i="39" s="1"/>
  <c r="B1688" i="40"/>
  <c r="B1688" i="39" s="1"/>
  <c r="B1689" i="40"/>
  <c r="B1689" i="39" s="1"/>
  <c r="B1690" i="40"/>
  <c r="B1691" i="40"/>
  <c r="B1691" i="39" s="1"/>
  <c r="B1692" i="40"/>
  <c r="B1692" i="39" s="1"/>
  <c r="B1693" i="40"/>
  <c r="B1693" i="39" s="1"/>
  <c r="B1694" i="40"/>
  <c r="B1694" i="39" s="1"/>
  <c r="B1695" i="40"/>
  <c r="B1695" i="39" s="1"/>
  <c r="B1696" i="40"/>
  <c r="B1696" i="39" s="1"/>
  <c r="B1697" i="40"/>
  <c r="B1697" i="39" s="1"/>
  <c r="B1698" i="40"/>
  <c r="B1698" i="39" s="1"/>
  <c r="B1699" i="40"/>
  <c r="B1699" i="39" s="1"/>
  <c r="B1700" i="40"/>
  <c r="B1700" i="39" s="1"/>
  <c r="B1701" i="40"/>
  <c r="B1701" i="39" s="1"/>
  <c r="B1702" i="40"/>
  <c r="B1702" i="39" s="1"/>
  <c r="B1703" i="40"/>
  <c r="B1703" i="39" s="1"/>
  <c r="B1704" i="40"/>
  <c r="B1704" i="39" s="1"/>
  <c r="B1705" i="40"/>
  <c r="B1706" i="40"/>
  <c r="B1707" i="40"/>
  <c r="B1708" i="40"/>
  <c r="B1709" i="40"/>
  <c r="B1710" i="40"/>
  <c r="B1711" i="40"/>
  <c r="B1712" i="40"/>
  <c r="B1713" i="40"/>
  <c r="B1714" i="40"/>
  <c r="B1715" i="40"/>
  <c r="B1716" i="40"/>
  <c r="B1717" i="40"/>
  <c r="B1718" i="40"/>
  <c r="B1719" i="40"/>
  <c r="B1720" i="40"/>
  <c r="B1721" i="40"/>
  <c r="B1722" i="40"/>
  <c r="B1723" i="40"/>
  <c r="B1724" i="40"/>
  <c r="B1724" i="39" s="1"/>
  <c r="B1725" i="40"/>
  <c r="B1726" i="40"/>
  <c r="B1727" i="40"/>
  <c r="B1728" i="40"/>
  <c r="B1729" i="40"/>
  <c r="B1730" i="40"/>
  <c r="B1731" i="40"/>
  <c r="B1732" i="40"/>
  <c r="B1733" i="40"/>
  <c r="B1734" i="40"/>
  <c r="B1735" i="40"/>
  <c r="B1736" i="40"/>
  <c r="B1737" i="40"/>
  <c r="B1738" i="40"/>
  <c r="B1739" i="40"/>
  <c r="B1740" i="40"/>
  <c r="B1741" i="40"/>
  <c r="B1742" i="40"/>
  <c r="B1743" i="40"/>
  <c r="B1744" i="40"/>
  <c r="B1744" i="39" s="1"/>
  <c r="B1745" i="40"/>
  <c r="B1746" i="40"/>
  <c r="B1747" i="40"/>
  <c r="B1748" i="40"/>
  <c r="B1749" i="40"/>
  <c r="B1750" i="40"/>
  <c r="B1751" i="40"/>
  <c r="B1752" i="40"/>
  <c r="B1753" i="40"/>
  <c r="B1754" i="40"/>
  <c r="B1755" i="40"/>
  <c r="B1756" i="40"/>
  <c r="B1757" i="40"/>
  <c r="B1758" i="40"/>
  <c r="B1759" i="40"/>
  <c r="B1760" i="40"/>
  <c r="B1761" i="40"/>
  <c r="B1762" i="40"/>
  <c r="B1763" i="40"/>
  <c r="B1764" i="40"/>
  <c r="B1764" i="39" s="1"/>
  <c r="B1765" i="40"/>
  <c r="B1766" i="40"/>
  <c r="B1767" i="40"/>
  <c r="B1768" i="40"/>
  <c r="B1769" i="40"/>
  <c r="B1770" i="40"/>
  <c r="B1771" i="40"/>
  <c r="B1772" i="40"/>
  <c r="B1773" i="40"/>
  <c r="B1774" i="40"/>
  <c r="B1775" i="40"/>
  <c r="B1776" i="40"/>
  <c r="B1777" i="40"/>
  <c r="B1778" i="40"/>
  <c r="B1779" i="40"/>
  <c r="B1780" i="40"/>
  <c r="B1781" i="40"/>
  <c r="B1782" i="40"/>
  <c r="B1783" i="40"/>
  <c r="B1784" i="40"/>
  <c r="B1784" i="39" s="1"/>
  <c r="B1785" i="40"/>
  <c r="B1786" i="40"/>
  <c r="B1787" i="40"/>
  <c r="B1788" i="40"/>
  <c r="B1788" i="39" s="1"/>
  <c r="B1789" i="40"/>
  <c r="B1790" i="40"/>
  <c r="B1791" i="40"/>
  <c r="B1792" i="40"/>
  <c r="B1793" i="40"/>
  <c r="B1794" i="40"/>
  <c r="B1795" i="40"/>
  <c r="B1796" i="40"/>
  <c r="B1797" i="40"/>
  <c r="B1798" i="40"/>
  <c r="B1799" i="40"/>
  <c r="B1800" i="40"/>
  <c r="B1801" i="40"/>
  <c r="B1802" i="40"/>
  <c r="B1803" i="40"/>
  <c r="B1804" i="40"/>
  <c r="B1804" i="39" s="1"/>
  <c r="B1805" i="40"/>
  <c r="B1806" i="40"/>
  <c r="B1807" i="40"/>
  <c r="B1808" i="40"/>
  <c r="B1808" i="39" s="1"/>
  <c r="B1809" i="40"/>
  <c r="B1810" i="40"/>
  <c r="B1811" i="40"/>
  <c r="B1812" i="40"/>
  <c r="B1813" i="40"/>
  <c r="B1814" i="40"/>
  <c r="B1815" i="40"/>
  <c r="B1816" i="40"/>
  <c r="B1817" i="40"/>
  <c r="B1818" i="40"/>
  <c r="B1819" i="40"/>
  <c r="B1820" i="40"/>
  <c r="B1821" i="40"/>
  <c r="B1822" i="40"/>
  <c r="B1823" i="40"/>
  <c r="B1823" i="39" s="1"/>
  <c r="B1824" i="40"/>
  <c r="B1824" i="39" s="1"/>
  <c r="B1825" i="40"/>
  <c r="B1826" i="40"/>
  <c r="B1827" i="40"/>
  <c r="B1828" i="40"/>
  <c r="B1828" i="39" s="1"/>
  <c r="B1829" i="40"/>
  <c r="B1830" i="40"/>
  <c r="B1831" i="40"/>
  <c r="B1832" i="40"/>
  <c r="B1833" i="40"/>
  <c r="B1834" i="40"/>
  <c r="B1835" i="40"/>
  <c r="B1836" i="40"/>
  <c r="B1837" i="40"/>
  <c r="B1838" i="40"/>
  <c r="B1839" i="40"/>
  <c r="B1840" i="40"/>
  <c r="B1841" i="40"/>
  <c r="B1842" i="40"/>
  <c r="B1843" i="40"/>
  <c r="B1843" i="39" s="1"/>
  <c r="B1844" i="40"/>
  <c r="B1844" i="39" s="1"/>
  <c r="B1845" i="40"/>
  <c r="B1846" i="40"/>
  <c r="B1847" i="40"/>
  <c r="B1848" i="40"/>
  <c r="B1848" i="39" s="1"/>
  <c r="B1849" i="40"/>
  <c r="B1850" i="40"/>
  <c r="B1851" i="40"/>
  <c r="B1852" i="40"/>
  <c r="B1853" i="40"/>
  <c r="B1854" i="40"/>
  <c r="B1855" i="40"/>
  <c r="B1856" i="40"/>
  <c r="B1857" i="40"/>
  <c r="B1858" i="40"/>
  <c r="B1859" i="40"/>
  <c r="B1860" i="40"/>
  <c r="B1861" i="40"/>
  <c r="B1862" i="40"/>
  <c r="B1863" i="40"/>
  <c r="B1863" i="39" s="1"/>
  <c r="B1864" i="40"/>
  <c r="B1864" i="39" s="1"/>
  <c r="B1865" i="40"/>
  <c r="B1866" i="40"/>
  <c r="B1867" i="40"/>
  <c r="B1868" i="40"/>
  <c r="B1868" i="39" s="1"/>
  <c r="B1869" i="40"/>
  <c r="B1870" i="40"/>
  <c r="B1871" i="40"/>
  <c r="B1872" i="40"/>
  <c r="B1873" i="40"/>
  <c r="B1874" i="40"/>
  <c r="B1875" i="40"/>
  <c r="B1876" i="40"/>
  <c r="B1877" i="40"/>
  <c r="B1878" i="40"/>
  <c r="B1879" i="40"/>
  <c r="B1880" i="40"/>
  <c r="B1881" i="40"/>
  <c r="B1882" i="40"/>
  <c r="B1883" i="40"/>
  <c r="B1883" i="39" s="1"/>
  <c r="B1884" i="40"/>
  <c r="B1884" i="39" s="1"/>
  <c r="B1885" i="40"/>
  <c r="B1886" i="40"/>
  <c r="B1887" i="40"/>
  <c r="B1888" i="40"/>
  <c r="B1888" i="39" s="1"/>
  <c r="B1889" i="40"/>
  <c r="B1890" i="40"/>
  <c r="B1891" i="40"/>
  <c r="B1892" i="40"/>
  <c r="B1893" i="40"/>
  <c r="B1894" i="40"/>
  <c r="B1894" i="39" s="1"/>
  <c r="B1895" i="40"/>
  <c r="B1895" i="39" s="1"/>
  <c r="B1896" i="40"/>
  <c r="B1896" i="39" s="1"/>
  <c r="B1897" i="40"/>
  <c r="B1897" i="39" s="1"/>
  <c r="B1898" i="40"/>
  <c r="B1898" i="39" s="1"/>
  <c r="B1899" i="40"/>
  <c r="B1900" i="40"/>
  <c r="B1900" i="39" s="1"/>
  <c r="B1901" i="40"/>
  <c r="B1901" i="39" s="1"/>
  <c r="B1902" i="40"/>
  <c r="B1902" i="39" s="1"/>
  <c r="B1903" i="40"/>
  <c r="B1903" i="39" s="1"/>
  <c r="B1904" i="40"/>
  <c r="B1904" i="39" s="1"/>
  <c r="B1905" i="40"/>
  <c r="B1905" i="39" s="1"/>
  <c r="B1906" i="40"/>
  <c r="B1906" i="39" s="1"/>
  <c r="B1907" i="40"/>
  <c r="B1907" i="39" s="1"/>
  <c r="B1908" i="40"/>
  <c r="B1908" i="39" s="1"/>
  <c r="B1909" i="40"/>
  <c r="B1909" i="39" s="1"/>
  <c r="B1910" i="40"/>
  <c r="B1910" i="39" s="1"/>
  <c r="B1911" i="40"/>
  <c r="B1911" i="39" s="1"/>
  <c r="B1912" i="40"/>
  <c r="B1912" i="39" s="1"/>
  <c r="B1913" i="40"/>
  <c r="B1914" i="40"/>
  <c r="B1914" i="39" s="1"/>
  <c r="B1915" i="40"/>
  <c r="B1915" i="39" s="1"/>
  <c r="B1916" i="40"/>
  <c r="B1916" i="39" s="1"/>
  <c r="B1917" i="40"/>
  <c r="B1917" i="39" s="1"/>
  <c r="B1918" i="40"/>
  <c r="B1918" i="39" s="1"/>
  <c r="B1919" i="40"/>
  <c r="B1920" i="40"/>
  <c r="B1920" i="39" s="1"/>
  <c r="B1921" i="40"/>
  <c r="B1921" i="39" s="1"/>
  <c r="B1922" i="40"/>
  <c r="B1922" i="39" s="1"/>
  <c r="B1923" i="40"/>
  <c r="B1923" i="39" s="1"/>
  <c r="B1924" i="40"/>
  <c r="B1924" i="39" s="1"/>
  <c r="B1925" i="40"/>
  <c r="B1925" i="39" s="1"/>
  <c r="B1926" i="40"/>
  <c r="B1926" i="39" s="1"/>
  <c r="B1927" i="40"/>
  <c r="B1927" i="39" s="1"/>
  <c r="B1928" i="40"/>
  <c r="B1928" i="39" s="1"/>
  <c r="B1929" i="40"/>
  <c r="B1929" i="39" s="1"/>
  <c r="B1930" i="40"/>
  <c r="B1930" i="39" s="1"/>
  <c r="B1931" i="40"/>
  <c r="B1931" i="39" s="1"/>
  <c r="B1932" i="40"/>
  <c r="B1932" i="39" s="1"/>
  <c r="B1933" i="40"/>
  <c r="B1934" i="40"/>
  <c r="B1934" i="39" s="1"/>
  <c r="B1935" i="40"/>
  <c r="B1935" i="39" s="1"/>
  <c r="B1936" i="40"/>
  <c r="B1936" i="39" s="1"/>
  <c r="B1937" i="40"/>
  <c r="B1937" i="39" s="1"/>
  <c r="B1938" i="40"/>
  <c r="B1938" i="39" s="1"/>
  <c r="B1939" i="40"/>
  <c r="B1940" i="40"/>
  <c r="B1940" i="39" s="1"/>
  <c r="B1941" i="40"/>
  <c r="B1941" i="39" s="1"/>
  <c r="B1942" i="40"/>
  <c r="B1942" i="39" s="1"/>
  <c r="B1943" i="40"/>
  <c r="B1943" i="39" s="1"/>
  <c r="B1944" i="40"/>
  <c r="B1944" i="39" s="1"/>
  <c r="B1945" i="40"/>
  <c r="B1945" i="39" s="1"/>
  <c r="B1946" i="40"/>
  <c r="B1946" i="39" s="1"/>
  <c r="B1947" i="40"/>
  <c r="B1947" i="39" s="1"/>
  <c r="B1948" i="40"/>
  <c r="B1948" i="39" s="1"/>
  <c r="B1949" i="40"/>
  <c r="B1949" i="39" s="1"/>
  <c r="B1950" i="40"/>
  <c r="B1950" i="39" s="1"/>
  <c r="B1951" i="40"/>
  <c r="B1951" i="39" s="1"/>
  <c r="B1952" i="40"/>
  <c r="B1952" i="39" s="1"/>
  <c r="B1953" i="40"/>
  <c r="B1954" i="40"/>
  <c r="B1954" i="39" s="1"/>
  <c r="B1955" i="40"/>
  <c r="B1955" i="39" s="1"/>
  <c r="B1956" i="40"/>
  <c r="B1956" i="39" s="1"/>
  <c r="B1957" i="40"/>
  <c r="B1957" i="39" s="1"/>
  <c r="B1958" i="40"/>
  <c r="B1958" i="39" s="1"/>
  <c r="B1959" i="40"/>
  <c r="B1960" i="40"/>
  <c r="B1960" i="39" s="1"/>
  <c r="B1961" i="40"/>
  <c r="B1961" i="39" s="1"/>
  <c r="B1962" i="40"/>
  <c r="B1962" i="39" s="1"/>
  <c r="B1963" i="40"/>
  <c r="B1963" i="39" s="1"/>
  <c r="B1964" i="40"/>
  <c r="B1964" i="39" s="1"/>
  <c r="B1965" i="40"/>
  <c r="B1965" i="39" s="1"/>
  <c r="B1966" i="40"/>
  <c r="B1966" i="39" s="1"/>
  <c r="B1967" i="40"/>
  <c r="B1967" i="39" s="1"/>
  <c r="B1968" i="40"/>
  <c r="B1968" i="39" s="1"/>
  <c r="B1969" i="40"/>
  <c r="B1969" i="39" s="1"/>
  <c r="B1970" i="40"/>
  <c r="B1970" i="39" s="1"/>
  <c r="B1971" i="40"/>
  <c r="B1971" i="39" s="1"/>
  <c r="B1972" i="40"/>
  <c r="B1972" i="39" s="1"/>
  <c r="B1973" i="40"/>
  <c r="B1974" i="40"/>
  <c r="B1974" i="39" s="1"/>
  <c r="B1975" i="40"/>
  <c r="B1975" i="39" s="1"/>
  <c r="B1976" i="40"/>
  <c r="B1976" i="39" s="1"/>
  <c r="B1977" i="40"/>
  <c r="B1977" i="39" s="1"/>
  <c r="B1978" i="40"/>
  <c r="B1978" i="39" s="1"/>
  <c r="B1979" i="40"/>
  <c r="B1980" i="40"/>
  <c r="B1980" i="39" s="1"/>
  <c r="B1981" i="40"/>
  <c r="B1981" i="39" s="1"/>
  <c r="B1982" i="40"/>
  <c r="B1982" i="39" s="1"/>
  <c r="B1983" i="40"/>
  <c r="B1983" i="39" s="1"/>
  <c r="B1984" i="40"/>
  <c r="B1984" i="39" s="1"/>
  <c r="B1985" i="40"/>
  <c r="B1985" i="39" s="1"/>
  <c r="B1986" i="40"/>
  <c r="B1986" i="39" s="1"/>
  <c r="B1987" i="40"/>
  <c r="B1987" i="39" s="1"/>
  <c r="B1988" i="40"/>
  <c r="B1988" i="39" s="1"/>
  <c r="B1989" i="40"/>
  <c r="B1989" i="39" s="1"/>
  <c r="B1990" i="40"/>
  <c r="B1990" i="39" s="1"/>
  <c r="B1991" i="40"/>
  <c r="B1991" i="39" s="1"/>
  <c r="B1992" i="40"/>
  <c r="B1992" i="39" s="1"/>
  <c r="B1993" i="40"/>
  <c r="B1994" i="40"/>
  <c r="B1994" i="39" s="1"/>
  <c r="B1995" i="40"/>
  <c r="B1995" i="39" s="1"/>
  <c r="B1996" i="40"/>
  <c r="B1996" i="39" s="1"/>
  <c r="B1997" i="40"/>
  <c r="B1997" i="39" s="1"/>
  <c r="B1998" i="40"/>
  <c r="B1998" i="39" s="1"/>
  <c r="B1999" i="40"/>
  <c r="B2000" i="40"/>
  <c r="B2000" i="39" s="1"/>
  <c r="B2001" i="40"/>
  <c r="B2001" i="39" s="1"/>
  <c r="B2002" i="40"/>
  <c r="B2002" i="39" s="1"/>
  <c r="B2003" i="40"/>
  <c r="B2003" i="39" s="1"/>
  <c r="B2004" i="40"/>
  <c r="B2004" i="39" s="1"/>
  <c r="B2005" i="40"/>
  <c r="B2005" i="39" s="1"/>
  <c r="B2006" i="40"/>
  <c r="B2006" i="39" s="1"/>
  <c r="B2007" i="40"/>
  <c r="B2007" i="39" s="1"/>
  <c r="B2008" i="40"/>
  <c r="B2008" i="39" s="1"/>
  <c r="B2009" i="40"/>
  <c r="B2009" i="39" s="1"/>
  <c r="B2010" i="40"/>
  <c r="B2010" i="39" s="1"/>
  <c r="B2011" i="40"/>
  <c r="B2011" i="39" s="1"/>
  <c r="B2012" i="40"/>
  <c r="B2012" i="39" s="1"/>
  <c r="B2013" i="40"/>
  <c r="B2014" i="40"/>
  <c r="B2014" i="39" s="1"/>
  <c r="B2015" i="40"/>
  <c r="B2015" i="39" s="1"/>
  <c r="B2016" i="40"/>
  <c r="B2016" i="39" s="1"/>
  <c r="B2017" i="40"/>
  <c r="B2017" i="39" s="1"/>
  <c r="B2018" i="40"/>
  <c r="B2018" i="39" s="1"/>
  <c r="B2019" i="40"/>
  <c r="B2020" i="40"/>
  <c r="B2020" i="39" s="1"/>
  <c r="B2021" i="40"/>
  <c r="B2021" i="39" s="1"/>
  <c r="B2022" i="40"/>
  <c r="B2022" i="39" s="1"/>
  <c r="B2023" i="40"/>
  <c r="B2023" i="39" s="1"/>
  <c r="B2024" i="40"/>
  <c r="B2024" i="39" s="1"/>
  <c r="B2025" i="40"/>
  <c r="B2025" i="39" s="1"/>
  <c r="B2026" i="40"/>
  <c r="B2026" i="39" s="1"/>
  <c r="B2027" i="40"/>
  <c r="B2027" i="39" s="1"/>
  <c r="B2028" i="40"/>
  <c r="B2028" i="39" s="1"/>
  <c r="B2029" i="40"/>
  <c r="B2029" i="39" s="1"/>
  <c r="B2030" i="40"/>
  <c r="B2030" i="39" s="1"/>
  <c r="B2031" i="40"/>
  <c r="B2031" i="39" s="1"/>
  <c r="B2032" i="40"/>
  <c r="B2032" i="39" s="1"/>
  <c r="B2033" i="40"/>
  <c r="B2034" i="40"/>
  <c r="B2034" i="39" s="1"/>
  <c r="B2035" i="40"/>
  <c r="B2035" i="39" s="1"/>
  <c r="B2036" i="40"/>
  <c r="B2036" i="39" s="1"/>
  <c r="B2037" i="40"/>
  <c r="B2037" i="39" s="1"/>
  <c r="B2038" i="40"/>
  <c r="B2038" i="39" s="1"/>
  <c r="B2039" i="40"/>
  <c r="B2040" i="40"/>
  <c r="B2040" i="39" s="1"/>
  <c r="B2041" i="40"/>
  <c r="B2041" i="39" s="1"/>
  <c r="B2042" i="40"/>
  <c r="B2042" i="39" s="1"/>
  <c r="B2043" i="40"/>
  <c r="B2043" i="39" s="1"/>
  <c r="B2044" i="40"/>
  <c r="B2044" i="39" s="1"/>
  <c r="B2045" i="40"/>
  <c r="B2045" i="39" s="1"/>
  <c r="B2046" i="40"/>
  <c r="B2046" i="39" s="1"/>
  <c r="B2047" i="40"/>
  <c r="B2047" i="39" s="1"/>
  <c r="B2048" i="40"/>
  <c r="B2048" i="39" s="1"/>
  <c r="B2049" i="40"/>
  <c r="B2049" i="39" s="1"/>
  <c r="B2050" i="40"/>
  <c r="B2051" i="40"/>
  <c r="B2052" i="40"/>
  <c r="B2053" i="40"/>
  <c r="B2054" i="40"/>
  <c r="B2055" i="40"/>
  <c r="B2056" i="40"/>
  <c r="B2057" i="40"/>
  <c r="B2058" i="40"/>
  <c r="B2059" i="40"/>
  <c r="B2059" i="39" s="1"/>
  <c r="B2060" i="40"/>
  <c r="B2060" i="39" s="1"/>
  <c r="B2061" i="40"/>
  <c r="B2062" i="40"/>
  <c r="B2063" i="40"/>
  <c r="B2063" i="39" s="1"/>
  <c r="B2064" i="40"/>
  <c r="B2064" i="39" s="1"/>
  <c r="B2065" i="40"/>
  <c r="B2065" i="39" s="1"/>
  <c r="B2066" i="40"/>
  <c r="B2067" i="40"/>
  <c r="B2068" i="40"/>
  <c r="B2069" i="40"/>
  <c r="B2070" i="40"/>
  <c r="B2071" i="40"/>
  <c r="B2072" i="40"/>
  <c r="B2073" i="40"/>
  <c r="B2074" i="40"/>
  <c r="B2075" i="40"/>
  <c r="B2076" i="40"/>
  <c r="B2077" i="40"/>
  <c r="B2078" i="40"/>
  <c r="B2078" i="39" s="1"/>
  <c r="B2079" i="40"/>
  <c r="B2079" i="39" s="1"/>
  <c r="B2080" i="40"/>
  <c r="B2080" i="39" s="1"/>
  <c r="B2081" i="40"/>
  <c r="B2082" i="40"/>
  <c r="B2082" i="39" s="1"/>
  <c r="B2083" i="40"/>
  <c r="B2083" i="39" s="1"/>
  <c r="B2084" i="40"/>
  <c r="B2084" i="39" s="1"/>
  <c r="B2085" i="40"/>
  <c r="B2085" i="39" s="1"/>
  <c r="B2086" i="40"/>
  <c r="B2087" i="40"/>
  <c r="B2088" i="40"/>
  <c r="B2089" i="40"/>
  <c r="B2090" i="40"/>
  <c r="B2091" i="40"/>
  <c r="B2092" i="40"/>
  <c r="B2093" i="40"/>
  <c r="B2094" i="40"/>
  <c r="B2095" i="40"/>
  <c r="B2096" i="40"/>
  <c r="B2097" i="40"/>
  <c r="B2098" i="40"/>
  <c r="B2098" i="39" s="1"/>
  <c r="B2099" i="40"/>
  <c r="B2099" i="39" s="1"/>
  <c r="B2100" i="40"/>
  <c r="B2100" i="39" s="1"/>
  <c r="B2101" i="40"/>
  <c r="B2102" i="40"/>
  <c r="B2102" i="39" s="1"/>
  <c r="B2103" i="40"/>
  <c r="B2103" i="39" s="1"/>
  <c r="B2104" i="40"/>
  <c r="B2104" i="39" s="1"/>
  <c r="B2105" i="40"/>
  <c r="B2105" i="39" s="1"/>
  <c r="B2106" i="40"/>
  <c r="B2107" i="40"/>
  <c r="B2108" i="40"/>
  <c r="B2109" i="40"/>
  <c r="B2110" i="40"/>
  <c r="B2111" i="40"/>
  <c r="B2112" i="40"/>
  <c r="B2113" i="40"/>
  <c r="B2114" i="40"/>
  <c r="B2115" i="40"/>
  <c r="B2116" i="40"/>
  <c r="B2117" i="40"/>
  <c r="B2118" i="40"/>
  <c r="B2118" i="39" s="1"/>
  <c r="B2119" i="40"/>
  <c r="B2119" i="39" s="1"/>
  <c r="B2120" i="40"/>
  <c r="B2120" i="39" s="1"/>
  <c r="B2121" i="40"/>
  <c r="B2121" i="39" s="1"/>
  <c r="B2122" i="40"/>
  <c r="B2122" i="39" s="1"/>
  <c r="B2123" i="40"/>
  <c r="B2123" i="39" s="1"/>
  <c r="B2124" i="40"/>
  <c r="B2124" i="39" s="1"/>
  <c r="B2125" i="40"/>
  <c r="B2125" i="39" s="1"/>
  <c r="B2126" i="40"/>
  <c r="B2127" i="40"/>
  <c r="B2128" i="40"/>
  <c r="B2129" i="40"/>
  <c r="B2130" i="40"/>
  <c r="B2131" i="40"/>
  <c r="B2132" i="40"/>
  <c r="B2133" i="40"/>
  <c r="B2134" i="40"/>
  <c r="B2135" i="40"/>
  <c r="B2136" i="40"/>
  <c r="B2137" i="40"/>
  <c r="B2138" i="40"/>
  <c r="B2138" i="39" s="1"/>
  <c r="B2139" i="40"/>
  <c r="B2139" i="39" s="1"/>
  <c r="B2140" i="40"/>
  <c r="B2140" i="39" s="1"/>
  <c r="B2141" i="40"/>
  <c r="B2141" i="39" s="1"/>
  <c r="B2142" i="40"/>
  <c r="B2142" i="39" s="1"/>
  <c r="B2143" i="40"/>
  <c r="B2143" i="39" s="1"/>
  <c r="B2144" i="40"/>
  <c r="B2144" i="39" s="1"/>
  <c r="B2145" i="40"/>
  <c r="B2145" i="39" s="1"/>
  <c r="B2146" i="40"/>
  <c r="B2147" i="40"/>
  <c r="B2148" i="40"/>
  <c r="B2149" i="40"/>
  <c r="B2150" i="40"/>
  <c r="B2151" i="40"/>
  <c r="B2152" i="40"/>
  <c r="B2153" i="40"/>
  <c r="B2154" i="40"/>
  <c r="B2155" i="40"/>
  <c r="B2156" i="40"/>
  <c r="B2157" i="40"/>
  <c r="B2158" i="40"/>
  <c r="B2158" i="39" s="1"/>
  <c r="B2159" i="40"/>
  <c r="B2159" i="39" s="1"/>
  <c r="B2160" i="40"/>
  <c r="B2160" i="39" s="1"/>
  <c r="B2161" i="40"/>
  <c r="B2161" i="39" s="1"/>
  <c r="B2162" i="40"/>
  <c r="B2162" i="39" s="1"/>
  <c r="B2163" i="40"/>
  <c r="B2163" i="39" s="1"/>
  <c r="B2164" i="40"/>
  <c r="B2164" i="39" s="1"/>
  <c r="B2165" i="40"/>
  <c r="B2165" i="39" s="1"/>
  <c r="B2166" i="40"/>
  <c r="B2167" i="40"/>
  <c r="B2168" i="40"/>
  <c r="B2169" i="40"/>
  <c r="B2170" i="40"/>
  <c r="B2171" i="40"/>
  <c r="B2172" i="40"/>
  <c r="B2173" i="40"/>
  <c r="B2174" i="40"/>
  <c r="B2175" i="40"/>
  <c r="B2176" i="40"/>
  <c r="B2177" i="40"/>
  <c r="B2178" i="40"/>
  <c r="B2178" i="39" s="1"/>
  <c r="B2179" i="40"/>
  <c r="B2179" i="39" s="1"/>
  <c r="B2180" i="40"/>
  <c r="B2180" i="39" s="1"/>
  <c r="B2181" i="40"/>
  <c r="B2181" i="39" s="1"/>
  <c r="B2182" i="40"/>
  <c r="B2182" i="39" s="1"/>
  <c r="B2183" i="40"/>
  <c r="B2183" i="39" s="1"/>
  <c r="B2184" i="40"/>
  <c r="B2184" i="39" s="1"/>
  <c r="B2185" i="40"/>
  <c r="B2185" i="39" s="1"/>
  <c r="B2186" i="40"/>
  <c r="B2187" i="40"/>
  <c r="B2188" i="40"/>
  <c r="B2189" i="40"/>
  <c r="B2190" i="40"/>
  <c r="B2191" i="40"/>
  <c r="B2192" i="40"/>
  <c r="B2193" i="40"/>
  <c r="B2194" i="40"/>
  <c r="B2195" i="40"/>
  <c r="B2196" i="40"/>
  <c r="B2197" i="40"/>
  <c r="B2198" i="40"/>
  <c r="B2198" i="39" s="1"/>
  <c r="B2199" i="40"/>
  <c r="B2199" i="39" s="1"/>
  <c r="B2200" i="40"/>
  <c r="B2200" i="39" s="1"/>
  <c r="B2201" i="40"/>
  <c r="B2201" i="39" s="1"/>
  <c r="B2202" i="40"/>
  <c r="B2202" i="39" s="1"/>
  <c r="B2203" i="40"/>
  <c r="B2203" i="39" s="1"/>
  <c r="B2204" i="40"/>
  <c r="B2204" i="39" s="1"/>
  <c r="B2205" i="40"/>
  <c r="B2205" i="39" s="1"/>
  <c r="B2206" i="40"/>
  <c r="B2207" i="40"/>
  <c r="B2208" i="40"/>
  <c r="B2209" i="40"/>
  <c r="B2210" i="40"/>
  <c r="B2211" i="40"/>
  <c r="B2212" i="40"/>
  <c r="B2213" i="40"/>
  <c r="B2214" i="40"/>
  <c r="B2215" i="40"/>
  <c r="B2216" i="40"/>
  <c r="B2217" i="40"/>
  <c r="B2218" i="40"/>
  <c r="B2218" i="39" s="1"/>
  <c r="B2219" i="40"/>
  <c r="B2219" i="39" s="1"/>
  <c r="B2220" i="40"/>
  <c r="B2220" i="39" s="1"/>
  <c r="B2221" i="40"/>
  <c r="B2221" i="39" s="1"/>
  <c r="B2222" i="40"/>
  <c r="B2222" i="39" s="1"/>
  <c r="B2223" i="40"/>
  <c r="B2223" i="39" s="1"/>
  <c r="B2224" i="40"/>
  <c r="B2224" i="39" s="1"/>
  <c r="B2225" i="40"/>
  <c r="B2225" i="39" s="1"/>
  <c r="B2226" i="40"/>
  <c r="B2227" i="40"/>
  <c r="B2228" i="40"/>
  <c r="B2229" i="40"/>
  <c r="B2230" i="40"/>
  <c r="B2231" i="40"/>
  <c r="B2232" i="40"/>
  <c r="B2233" i="40"/>
  <c r="B2234" i="40"/>
  <c r="B2235" i="40"/>
  <c r="B2236" i="40"/>
  <c r="B2237" i="40"/>
  <c r="B2238" i="40"/>
  <c r="B2238" i="39" s="1"/>
  <c r="B2239" i="40"/>
  <c r="B2239" i="39" s="1"/>
  <c r="B2240" i="40"/>
  <c r="B2240" i="39" s="1"/>
  <c r="B2241" i="40"/>
  <c r="B2241" i="39" s="1"/>
  <c r="B2242" i="40"/>
  <c r="B2242" i="39" s="1"/>
  <c r="B2243" i="40"/>
  <c r="B2243" i="39" s="1"/>
  <c r="B2244" i="40"/>
  <c r="B2244" i="39" s="1"/>
  <c r="B2245" i="40"/>
  <c r="B2245" i="39" s="1"/>
  <c r="B2246" i="40"/>
  <c r="B2247" i="40"/>
  <c r="B2248" i="40"/>
  <c r="B2249" i="40"/>
  <c r="B2250" i="40"/>
  <c r="B2251" i="40"/>
  <c r="B2252" i="40"/>
  <c r="B2253" i="40"/>
  <c r="B2254" i="40"/>
  <c r="B2255" i="40"/>
  <c r="B2256" i="40"/>
  <c r="B2257" i="40"/>
  <c r="B2258" i="40"/>
  <c r="B2258" i="39" s="1"/>
  <c r="B2259" i="40"/>
  <c r="B2259" i="39" s="1"/>
  <c r="B2260" i="40"/>
  <c r="B2260" i="39" s="1"/>
  <c r="B2261" i="40"/>
  <c r="B2261" i="39" s="1"/>
  <c r="B2262" i="40"/>
  <c r="B2262" i="39" s="1"/>
  <c r="B2263" i="40"/>
  <c r="B2263" i="39" s="1"/>
  <c r="B2264" i="40"/>
  <c r="B2264" i="39" s="1"/>
  <c r="B2265" i="40"/>
  <c r="B2265" i="39" s="1"/>
  <c r="B2266" i="40"/>
  <c r="B2267" i="40"/>
  <c r="B2268" i="40"/>
  <c r="B2269" i="40"/>
  <c r="B2270" i="40"/>
  <c r="B2271" i="40"/>
  <c r="B2272" i="40"/>
  <c r="B2273" i="40"/>
  <c r="B2274" i="40"/>
  <c r="B2275" i="40"/>
  <c r="B2276" i="40"/>
  <c r="B2277" i="40"/>
  <c r="B2278" i="40"/>
  <c r="B2278" i="39" s="1"/>
  <c r="B2279" i="40"/>
  <c r="B2279" i="39" s="1"/>
  <c r="B2280" i="40"/>
  <c r="B2280" i="39" s="1"/>
  <c r="B2281" i="40"/>
  <c r="B2281" i="39" s="1"/>
  <c r="B2282" i="40"/>
  <c r="B2282" i="39" s="1"/>
  <c r="B2283" i="40"/>
  <c r="B2283" i="39" s="1"/>
  <c r="B2284" i="40"/>
  <c r="B2284" i="39" s="1"/>
  <c r="B2285" i="40"/>
  <c r="B2285" i="39" s="1"/>
  <c r="B2286" i="40"/>
  <c r="B2287" i="40"/>
  <c r="B2288" i="40"/>
  <c r="B2289" i="40"/>
  <c r="B2290" i="40"/>
  <c r="B2291" i="40"/>
  <c r="B2292" i="40"/>
  <c r="B2293" i="40"/>
  <c r="B2294" i="40"/>
  <c r="B2295" i="40"/>
  <c r="B2296" i="40"/>
  <c r="B2297" i="40"/>
  <c r="B2298" i="40"/>
  <c r="B2298" i="39" s="1"/>
  <c r="B2299" i="40"/>
  <c r="B2299" i="39" s="1"/>
  <c r="B2300" i="40"/>
  <c r="B2300" i="39" s="1"/>
  <c r="B2301" i="40"/>
  <c r="B2301" i="39" s="1"/>
  <c r="B2302" i="40"/>
  <c r="B2302" i="39" s="1"/>
  <c r="B2303" i="40"/>
  <c r="B2303" i="39" s="1"/>
  <c r="B2304" i="40"/>
  <c r="B2304" i="39" s="1"/>
  <c r="B2305" i="40"/>
  <c r="B2305" i="39" s="1"/>
  <c r="B2306" i="40"/>
  <c r="B2307" i="40"/>
  <c r="B2307" i="39" s="1"/>
  <c r="B2308" i="40"/>
  <c r="B2308" i="39" s="1"/>
  <c r="B2309" i="40"/>
  <c r="B2310" i="40"/>
  <c r="B2311" i="40"/>
  <c r="B2312" i="40"/>
  <c r="B2313" i="40"/>
  <c r="B2313" i="39" s="1"/>
  <c r="B2314" i="40"/>
  <c r="B2314" i="39" s="1"/>
  <c r="B2315" i="40"/>
  <c r="B2316" i="40"/>
  <c r="B2316" i="39" s="1"/>
  <c r="B2317" i="40"/>
  <c r="B2318" i="40"/>
  <c r="B2318" i="39" s="1"/>
  <c r="B2319" i="40"/>
  <c r="B2319" i="39" s="1"/>
  <c r="B2320" i="40"/>
  <c r="B2320" i="39" s="1"/>
  <c r="B2321" i="40"/>
  <c r="B2321" i="39" s="1"/>
  <c r="B2322" i="40"/>
  <c r="B2322" i="39" s="1"/>
  <c r="B2323" i="40"/>
  <c r="B2323" i="39" s="1"/>
  <c r="B2324" i="40"/>
  <c r="B2324" i="39" s="1"/>
  <c r="B2325" i="40"/>
  <c r="B2325" i="39" s="1"/>
  <c r="B2326" i="40"/>
  <c r="B2327" i="40"/>
  <c r="B2327" i="39" s="1"/>
  <c r="B2328" i="40"/>
  <c r="B2328" i="39" s="1"/>
  <c r="B2329" i="40"/>
  <c r="B2330" i="40"/>
  <c r="B2331" i="40"/>
  <c r="B2332" i="40"/>
  <c r="B2333" i="40"/>
  <c r="B2333" i="39" s="1"/>
  <c r="B2334" i="40"/>
  <c r="B2334" i="39" s="1"/>
  <c r="B2335" i="40"/>
  <c r="B2336" i="40"/>
  <c r="B2336" i="39" s="1"/>
  <c r="B2337" i="40"/>
  <c r="B2338" i="40"/>
  <c r="B2338" i="39" s="1"/>
  <c r="B2339" i="40"/>
  <c r="B2339" i="39" s="1"/>
  <c r="B2340" i="40"/>
  <c r="B2340" i="39" s="1"/>
  <c r="B2341" i="40"/>
  <c r="B2341" i="39" s="1"/>
  <c r="B2342" i="40"/>
  <c r="B2342" i="39" s="1"/>
  <c r="B2343" i="40"/>
  <c r="B2343" i="39" s="1"/>
  <c r="B2344" i="40"/>
  <c r="B2344" i="39" s="1"/>
  <c r="B2345" i="40"/>
  <c r="B2345" i="39" s="1"/>
  <c r="B2346" i="40"/>
  <c r="B2347" i="40"/>
  <c r="B2347" i="39" s="1"/>
  <c r="B2348" i="40"/>
  <c r="B2348" i="39" s="1"/>
  <c r="B2349" i="40"/>
  <c r="B2350" i="40"/>
  <c r="B2351" i="40"/>
  <c r="B2352" i="40"/>
  <c r="B2353" i="40"/>
  <c r="B2353" i="39" s="1"/>
  <c r="B2354" i="40"/>
  <c r="B2354" i="39" s="1"/>
  <c r="B2355" i="40"/>
  <c r="B2356" i="40"/>
  <c r="B2356" i="39" s="1"/>
  <c r="B2357" i="40"/>
  <c r="B2358" i="40"/>
  <c r="B2358" i="39" s="1"/>
  <c r="B2359" i="40"/>
  <c r="B2359" i="39" s="1"/>
  <c r="B2360" i="40"/>
  <c r="B2360" i="39" s="1"/>
  <c r="B2361" i="40"/>
  <c r="B2361" i="39" s="1"/>
  <c r="B2362" i="40"/>
  <c r="B2362" i="39" s="1"/>
  <c r="B2363" i="40"/>
  <c r="B2363" i="39" s="1"/>
  <c r="B2364" i="40"/>
  <c r="B2364" i="39" s="1"/>
  <c r="B2365" i="40"/>
  <c r="B2365" i="39" s="1"/>
  <c r="B2366" i="40"/>
  <c r="B2367" i="40"/>
  <c r="B2367" i="39" s="1"/>
  <c r="B2368" i="40"/>
  <c r="B2368" i="39" s="1"/>
  <c r="B2369" i="40"/>
  <c r="B2370" i="40"/>
  <c r="B2371" i="40"/>
  <c r="B2372" i="40"/>
  <c r="B2373" i="40"/>
  <c r="B2373" i="39" s="1"/>
  <c r="B2374" i="40"/>
  <c r="B2374" i="39" s="1"/>
  <c r="B2375" i="40"/>
  <c r="B2376" i="40"/>
  <c r="B2376" i="39" s="1"/>
  <c r="B2377" i="40"/>
  <c r="B2378" i="40"/>
  <c r="B2378" i="39" s="1"/>
  <c r="B2379" i="40"/>
  <c r="B2379" i="39" s="1"/>
  <c r="B2380" i="40"/>
  <c r="B2380" i="39" s="1"/>
  <c r="B2381" i="40"/>
  <c r="B2381" i="39" s="1"/>
  <c r="B2382" i="40"/>
  <c r="B2382" i="39" s="1"/>
  <c r="B2383" i="40"/>
  <c r="B2383" i="39" s="1"/>
  <c r="B2384" i="40"/>
  <c r="B2384" i="39" s="1"/>
  <c r="B2385" i="40"/>
  <c r="B2385" i="39" s="1"/>
  <c r="B2386" i="40"/>
  <c r="B2387" i="40"/>
  <c r="B2387" i="39" s="1"/>
  <c r="B2388" i="40"/>
  <c r="B2388" i="39" s="1"/>
  <c r="B2389" i="40"/>
  <c r="B2390" i="40"/>
  <c r="B2391" i="40"/>
  <c r="B2392" i="40"/>
  <c r="B2393" i="40"/>
  <c r="B2393" i="39" s="1"/>
  <c r="B2394" i="40"/>
  <c r="B2394" i="39" s="1"/>
  <c r="B2395" i="40"/>
  <c r="B2396" i="40"/>
  <c r="B2396" i="39" s="1"/>
  <c r="B2397" i="40"/>
  <c r="B2398" i="40"/>
  <c r="B2398" i="39" s="1"/>
  <c r="B2399" i="40"/>
  <c r="B2399" i="39" s="1"/>
  <c r="B2400" i="40"/>
  <c r="B2400" i="39" s="1"/>
  <c r="B2401" i="40"/>
  <c r="B2401" i="39" s="1"/>
  <c r="B2402" i="40"/>
  <c r="B2402" i="39" s="1"/>
  <c r="B2403" i="40"/>
  <c r="B2403" i="39" s="1"/>
  <c r="B2404" i="40"/>
  <c r="B2404" i="39" s="1"/>
  <c r="B2405" i="40"/>
  <c r="B2405" i="39" s="1"/>
  <c r="B2406" i="40"/>
  <c r="B2407" i="40"/>
  <c r="B2407" i="39" s="1"/>
  <c r="B2408" i="40"/>
  <c r="B2408" i="39" s="1"/>
  <c r="B2409" i="40"/>
  <c r="B2410" i="40"/>
  <c r="B2411" i="40"/>
  <c r="B2411" i="39" s="1"/>
  <c r="B2412" i="40"/>
  <c r="B2413" i="40"/>
  <c r="B2413" i="39" s="1"/>
  <c r="B2414" i="40"/>
  <c r="B2414" i="39" s="1"/>
  <c r="B2415" i="40"/>
  <c r="B2416" i="40"/>
  <c r="B2416" i="39" s="1"/>
  <c r="B2417" i="40"/>
  <c r="B2417" i="39" s="1"/>
  <c r="B2418" i="40"/>
  <c r="B2418" i="39" s="1"/>
  <c r="B2419" i="40"/>
  <c r="B2419" i="39" s="1"/>
  <c r="B2420" i="40"/>
  <c r="B2420" i="39" s="1"/>
  <c r="B2421" i="40"/>
  <c r="B2421" i="39" s="1"/>
  <c r="B2422" i="40"/>
  <c r="B2422" i="39" s="1"/>
  <c r="B2423" i="40"/>
  <c r="B2423" i="39" s="1"/>
  <c r="B2424" i="40"/>
  <c r="B2424" i="39" s="1"/>
  <c r="B2425" i="40"/>
  <c r="B2425" i="39" s="1"/>
  <c r="B2426" i="40"/>
  <c r="B2427" i="40"/>
  <c r="B2427" i="39" s="1"/>
  <c r="B2428" i="40"/>
  <c r="B2428" i="39" s="1"/>
  <c r="B2429" i="40"/>
  <c r="B2430" i="40"/>
  <c r="B2431" i="40"/>
  <c r="B2431" i="39" s="1"/>
  <c r="B2432" i="40"/>
  <c r="B2433" i="40"/>
  <c r="B2433" i="39" s="1"/>
  <c r="B2434" i="40"/>
  <c r="B2434" i="39" s="1"/>
  <c r="B2435" i="40"/>
  <c r="B2436" i="40"/>
  <c r="B2436" i="39" s="1"/>
  <c r="B2437" i="40"/>
  <c r="B2437" i="39" s="1"/>
  <c r="B2438" i="40"/>
  <c r="B2438" i="39" s="1"/>
  <c r="B2439" i="40"/>
  <c r="B2439" i="39" s="1"/>
  <c r="B2440" i="40"/>
  <c r="B2440" i="39" s="1"/>
  <c r="B2441" i="40"/>
  <c r="B2441" i="39" s="1"/>
  <c r="B2442" i="40"/>
  <c r="B2442" i="39" s="1"/>
  <c r="B2443" i="40"/>
  <c r="B2443" i="39" s="1"/>
  <c r="B2444" i="40"/>
  <c r="B2444" i="39" s="1"/>
  <c r="B2445" i="40"/>
  <c r="B2445" i="39" s="1"/>
  <c r="B2446" i="40"/>
  <c r="B2447" i="40"/>
  <c r="B2447" i="39" s="1"/>
  <c r="B2448" i="40"/>
  <c r="B2448" i="39" s="1"/>
  <c r="B2449" i="40"/>
  <c r="B2450" i="40"/>
  <c r="B2451" i="40"/>
  <c r="B2451" i="39" s="1"/>
  <c r="B2452" i="40"/>
  <c r="B2453" i="40"/>
  <c r="B2453" i="39" s="1"/>
  <c r="B2454" i="40"/>
  <c r="B2454" i="39" s="1"/>
  <c r="B2455" i="40"/>
  <c r="B2456" i="40"/>
  <c r="B2456" i="39" s="1"/>
  <c r="B2457" i="40"/>
  <c r="B2457" i="39" s="1"/>
  <c r="B2458" i="40"/>
  <c r="B2458" i="39" s="1"/>
  <c r="B2459" i="40"/>
  <c r="B2459" i="39" s="1"/>
  <c r="B2460" i="40"/>
  <c r="B2460" i="39" s="1"/>
  <c r="B2461" i="40"/>
  <c r="B2461" i="39" s="1"/>
  <c r="B2462" i="40"/>
  <c r="B2462" i="39" s="1"/>
  <c r="B2463" i="40"/>
  <c r="B2463" i="39" s="1"/>
  <c r="B2464" i="40"/>
  <c r="B2464" i="39" s="1"/>
  <c r="B2465" i="40"/>
  <c r="B2465" i="39" s="1"/>
  <c r="B2466" i="40"/>
  <c r="B2467" i="40"/>
  <c r="B2467" i="39" s="1"/>
  <c r="B2468" i="40"/>
  <c r="B2468" i="39" s="1"/>
  <c r="B2469" i="40"/>
  <c r="B2470" i="40"/>
  <c r="B2471" i="40"/>
  <c r="B2471" i="39" s="1"/>
  <c r="B2472" i="40"/>
  <c r="B2473" i="40"/>
  <c r="B2473" i="39" s="1"/>
  <c r="B2474" i="40"/>
  <c r="B2474" i="39" s="1"/>
  <c r="B2475" i="40"/>
  <c r="B2476" i="40"/>
  <c r="B2476" i="39" s="1"/>
  <c r="B2477" i="40"/>
  <c r="B2477" i="39" s="1"/>
  <c r="B2478" i="40"/>
  <c r="B2478" i="39" s="1"/>
  <c r="B2479" i="40"/>
  <c r="B2479" i="39" s="1"/>
  <c r="B2480" i="40"/>
  <c r="B2480" i="39" s="1"/>
  <c r="B2481" i="40"/>
  <c r="B2481" i="39" s="1"/>
  <c r="B2482" i="40"/>
  <c r="B2482" i="39" s="1"/>
  <c r="B2483" i="40"/>
  <c r="B2483" i="39" s="1"/>
  <c r="B2484" i="40"/>
  <c r="B2484" i="39" s="1"/>
  <c r="B2485" i="40"/>
  <c r="B2485" i="39" s="1"/>
  <c r="B2486" i="40"/>
  <c r="B2487" i="40"/>
  <c r="B2487" i="39" s="1"/>
  <c r="B2488" i="40"/>
  <c r="B2488" i="39" s="1"/>
  <c r="B2489" i="40"/>
  <c r="B2490" i="40"/>
  <c r="B2491" i="40"/>
  <c r="B2491" i="39" s="1"/>
  <c r="B2492" i="40"/>
  <c r="B2493" i="40"/>
  <c r="B2493" i="39" s="1"/>
  <c r="B2494" i="40"/>
  <c r="B2494" i="39" s="1"/>
  <c r="B2495" i="40"/>
  <c r="B2496" i="40"/>
  <c r="B2496" i="39" s="1"/>
  <c r="B2497" i="40"/>
  <c r="B2497" i="39" s="1"/>
  <c r="B2498" i="40"/>
  <c r="B2498" i="39" s="1"/>
  <c r="B2499" i="40"/>
  <c r="B2499" i="39" s="1"/>
  <c r="B2500" i="40"/>
  <c r="B2500" i="39" s="1"/>
  <c r="B2501" i="40"/>
  <c r="B2501" i="39" s="1"/>
  <c r="B2502" i="40"/>
  <c r="B2502" i="39" s="1"/>
  <c r="B2503" i="40"/>
  <c r="B2503" i="39" s="1"/>
  <c r="B2504" i="40"/>
  <c r="B2504" i="39" s="1"/>
  <c r="B2505" i="40"/>
  <c r="B2505" i="39" s="1"/>
  <c r="B2506" i="40"/>
  <c r="B2507" i="40"/>
  <c r="B2507" i="39" s="1"/>
  <c r="B2508" i="40"/>
  <c r="B2508" i="39" s="1"/>
  <c r="B2509" i="40"/>
  <c r="B2510" i="40"/>
  <c r="B2511" i="40"/>
  <c r="B2511" i="39" s="1"/>
  <c r="B2512" i="40"/>
  <c r="B2513" i="40"/>
  <c r="B2513" i="39" s="1"/>
  <c r="B2514" i="40"/>
  <c r="B2514" i="39" s="1"/>
  <c r="B2515" i="40"/>
  <c r="B2516" i="40"/>
  <c r="B2516" i="39" s="1"/>
  <c r="B2517" i="40"/>
  <c r="B2517" i="39" s="1"/>
  <c r="B2518" i="40"/>
  <c r="B2518" i="39" s="1"/>
  <c r="B2519" i="40"/>
  <c r="B2519" i="39" s="1"/>
  <c r="B2520" i="40"/>
  <c r="B2520" i="39" s="1"/>
  <c r="B2521" i="40"/>
  <c r="B2521" i="39" s="1"/>
  <c r="B2522" i="40"/>
  <c r="B2522" i="39" s="1"/>
  <c r="B2523" i="40"/>
  <c r="B2523" i="39" s="1"/>
  <c r="B2524" i="40"/>
  <c r="B2524" i="39" s="1"/>
  <c r="B2525" i="40"/>
  <c r="B2525" i="39" s="1"/>
  <c r="B2526" i="40"/>
  <c r="B2527" i="40"/>
  <c r="B2527" i="39" s="1"/>
  <c r="B2528" i="40"/>
  <c r="B2528" i="39" s="1"/>
  <c r="B2529" i="40"/>
  <c r="B2530" i="40"/>
  <c r="B2531" i="40"/>
  <c r="B2531" i="39" s="1"/>
  <c r="B2532" i="40"/>
  <c r="B2533" i="40"/>
  <c r="B2533" i="39" s="1"/>
  <c r="B2534" i="40"/>
  <c r="B2534" i="39" s="1"/>
  <c r="B2535" i="40"/>
  <c r="B2536" i="40"/>
  <c r="B2536" i="39" s="1"/>
  <c r="B2537" i="40"/>
  <c r="B2537" i="39" s="1"/>
  <c r="B2538" i="40"/>
  <c r="B2538" i="39" s="1"/>
  <c r="B2539" i="40"/>
  <c r="B2539" i="39" s="1"/>
  <c r="B2540" i="40"/>
  <c r="B2540" i="39" s="1"/>
  <c r="B2541" i="40"/>
  <c r="B2541" i="39" s="1"/>
  <c r="B2542" i="40"/>
  <c r="B2542" i="39" s="1"/>
  <c r="B2543" i="40"/>
  <c r="B2543" i="39" s="1"/>
  <c r="B2544" i="40"/>
  <c r="B2544" i="39" s="1"/>
  <c r="B2545" i="40"/>
  <c r="B2545" i="39" s="1"/>
  <c r="B2546" i="40"/>
  <c r="B2547" i="40"/>
  <c r="B2547" i="39" s="1"/>
  <c r="B2548" i="40"/>
  <c r="B2548" i="39" s="1"/>
  <c r="B2549" i="40"/>
  <c r="B2550" i="40"/>
  <c r="B2551" i="40"/>
  <c r="B2551" i="39" s="1"/>
  <c r="B2552" i="40"/>
  <c r="B2553" i="40"/>
  <c r="B2553" i="39" s="1"/>
  <c r="B2554" i="40"/>
  <c r="B2554" i="39" s="1"/>
  <c r="B2555" i="40"/>
  <c r="B2556" i="40"/>
  <c r="B2556" i="39" s="1"/>
  <c r="B2557" i="40"/>
  <c r="B2557" i="39" s="1"/>
  <c r="B2558" i="40"/>
  <c r="B2558" i="39" s="1"/>
  <c r="B2559" i="40"/>
  <c r="B2559" i="39" s="1"/>
  <c r="B2560" i="40"/>
  <c r="B2560" i="39" s="1"/>
  <c r="B2561" i="40"/>
  <c r="B2561" i="39" s="1"/>
  <c r="B2562" i="40"/>
  <c r="B2562" i="39" s="1"/>
  <c r="B2563" i="40"/>
  <c r="B2563" i="39" s="1"/>
  <c r="B2564" i="40"/>
  <c r="B2564" i="39" s="1"/>
  <c r="B2565" i="40"/>
  <c r="B2565" i="39" s="1"/>
  <c r="B2566" i="40"/>
  <c r="B2567" i="40"/>
  <c r="B2567" i="39" s="1"/>
  <c r="B2568" i="40"/>
  <c r="B2568" i="39" s="1"/>
  <c r="B2569" i="40"/>
  <c r="B2570" i="40"/>
  <c r="B2571" i="40"/>
  <c r="B2571" i="39" s="1"/>
  <c r="B2572" i="40"/>
  <c r="B2573" i="40"/>
  <c r="B2573" i="39" s="1"/>
  <c r="B2574" i="40"/>
  <c r="B2574" i="39" s="1"/>
  <c r="B2575" i="40"/>
  <c r="B2576" i="40"/>
  <c r="B2576" i="39" s="1"/>
  <c r="B2577" i="40"/>
  <c r="B2577" i="39" s="1"/>
  <c r="B2578" i="40"/>
  <c r="B2578" i="39" s="1"/>
  <c r="B2579" i="40"/>
  <c r="B2579" i="39" s="1"/>
  <c r="B2580" i="40"/>
  <c r="B2580" i="39" s="1"/>
  <c r="B2581" i="40"/>
  <c r="B2581" i="39" s="1"/>
  <c r="B2582" i="40"/>
  <c r="B2582" i="39" s="1"/>
  <c r="B2583" i="40"/>
  <c r="B2583" i="39" s="1"/>
  <c r="B2584" i="40"/>
  <c r="B2584" i="39" s="1"/>
  <c r="B2585" i="40"/>
  <c r="B2585" i="39" s="1"/>
  <c r="B2586" i="40"/>
  <c r="B2587" i="40"/>
  <c r="B2587" i="39" s="1"/>
  <c r="B2588" i="40"/>
  <c r="B2588" i="39" s="1"/>
  <c r="B2589" i="40"/>
  <c r="B2590" i="40"/>
  <c r="B2591" i="40"/>
  <c r="B2591" i="39" s="1"/>
  <c r="B2592" i="40"/>
  <c r="B2593" i="40"/>
  <c r="B2593" i="39" s="1"/>
  <c r="B2594" i="40"/>
  <c r="B2594" i="39" s="1"/>
  <c r="B2595" i="40"/>
  <c r="B2596" i="40"/>
  <c r="B2596" i="39" s="1"/>
  <c r="B2597" i="40"/>
  <c r="B2597" i="39" s="1"/>
  <c r="B2598" i="40"/>
  <c r="B2598" i="39" s="1"/>
  <c r="B2599" i="40"/>
  <c r="B2599" i="39" s="1"/>
  <c r="B2600" i="40"/>
  <c r="B2600" i="39" s="1"/>
  <c r="B2601" i="40"/>
  <c r="B2601" i="39" s="1"/>
  <c r="B2602" i="40"/>
  <c r="B2602" i="39" s="1"/>
  <c r="B2603" i="40"/>
  <c r="B2603" i="39" s="1"/>
  <c r="B2604" i="40"/>
  <c r="B2604" i="39" s="1"/>
  <c r="B2605" i="40"/>
  <c r="B2605" i="39" s="1"/>
  <c r="B2606" i="40"/>
  <c r="B2607" i="40"/>
  <c r="B2607" i="39" s="1"/>
  <c r="B2608" i="40"/>
  <c r="B2608" i="39" s="1"/>
  <c r="B2609" i="40"/>
  <c r="B2609" i="39" s="1"/>
  <c r="B2610" i="40"/>
  <c r="B2610" i="39" s="1"/>
  <c r="B2611" i="40"/>
  <c r="B2611" i="39" s="1"/>
  <c r="B2612" i="40"/>
  <c r="B2613" i="40"/>
  <c r="B2613" i="39" s="1"/>
  <c r="B2614" i="40"/>
  <c r="B2614" i="39" s="1"/>
  <c r="B2615" i="40"/>
  <c r="B2615" i="39" s="1"/>
  <c r="B2616" i="40"/>
  <c r="B2616" i="39" s="1"/>
  <c r="B2617" i="40"/>
  <c r="B2617" i="39" s="1"/>
  <c r="B2618" i="40"/>
  <c r="B2618" i="39" s="1"/>
  <c r="B2619" i="40"/>
  <c r="B2619" i="39" s="1"/>
  <c r="B2620" i="40"/>
  <c r="B2620" i="39" s="1"/>
  <c r="B2621" i="40"/>
  <c r="B2621" i="39" s="1"/>
  <c r="B2622" i="40"/>
  <c r="B2622" i="39" s="1"/>
  <c r="B2623" i="40"/>
  <c r="B2623" i="39" s="1"/>
  <c r="B2624" i="40"/>
  <c r="B2624" i="39" s="1"/>
  <c r="B2625" i="40"/>
  <c r="B2625" i="39" s="1"/>
  <c r="B2626" i="40"/>
  <c r="B2627" i="40"/>
  <c r="B2627" i="39" s="1"/>
  <c r="B2628" i="40"/>
  <c r="B2628" i="39" s="1"/>
  <c r="B2629" i="40"/>
  <c r="B2629" i="39" s="1"/>
  <c r="B2630" i="40"/>
  <c r="B2630" i="39" s="1"/>
  <c r="B2631" i="40"/>
  <c r="B2631" i="39" s="1"/>
  <c r="B2632" i="40"/>
  <c r="B2633" i="40"/>
  <c r="B2633" i="39" s="1"/>
  <c r="B2634" i="40"/>
  <c r="B2634" i="39" s="1"/>
  <c r="B2635" i="40"/>
  <c r="B2635" i="39" s="1"/>
  <c r="B2636" i="40"/>
  <c r="B2636" i="39" s="1"/>
  <c r="B2637" i="40"/>
  <c r="B2637" i="39" s="1"/>
  <c r="B2638" i="40"/>
  <c r="B2638" i="39" s="1"/>
  <c r="B2639" i="40"/>
  <c r="B2639" i="39" s="1"/>
  <c r="B2640" i="40"/>
  <c r="B2640" i="39" s="1"/>
  <c r="B2641" i="40"/>
  <c r="B2641" i="39" s="1"/>
  <c r="B2642" i="40"/>
  <c r="B2642" i="39" s="1"/>
  <c r="B2643" i="40"/>
  <c r="B2643" i="39" s="1"/>
  <c r="B2644" i="40"/>
  <c r="B2644" i="39" s="1"/>
  <c r="B2645" i="40"/>
  <c r="B2645" i="39" s="1"/>
  <c r="B2646" i="40"/>
  <c r="B2647" i="40"/>
  <c r="B2647" i="39" s="1"/>
  <c r="B2648" i="40"/>
  <c r="B2648" i="39" s="1"/>
  <c r="B2649" i="40"/>
  <c r="B2649" i="39" s="1"/>
  <c r="B2650" i="40"/>
  <c r="B2650" i="39" s="1"/>
  <c r="B2651" i="40"/>
  <c r="B2651" i="39" s="1"/>
  <c r="B2652" i="40"/>
  <c r="B2653" i="40"/>
  <c r="B2653" i="39" s="1"/>
  <c r="B2654" i="40"/>
  <c r="B2654" i="39" s="1"/>
  <c r="B2655" i="40"/>
  <c r="B2655" i="39" s="1"/>
  <c r="B2656" i="40"/>
  <c r="B2656" i="39" s="1"/>
  <c r="B2657" i="40"/>
  <c r="B2657" i="39" s="1"/>
  <c r="B2658" i="40"/>
  <c r="B2658" i="39" s="1"/>
  <c r="B2659" i="40"/>
  <c r="B2659" i="39" s="1"/>
  <c r="B2660" i="40"/>
  <c r="B2660" i="39" s="1"/>
  <c r="B2661" i="40"/>
  <c r="B2661" i="39" s="1"/>
  <c r="B2662" i="40"/>
  <c r="B2662" i="39" s="1"/>
  <c r="B2663" i="40"/>
  <c r="B2663" i="39" s="1"/>
  <c r="B2664" i="40"/>
  <c r="B2664" i="39" s="1"/>
  <c r="B2665" i="40"/>
  <c r="B2665" i="39" s="1"/>
  <c r="B2666" i="40"/>
  <c r="B2667" i="40"/>
  <c r="B2667" i="39" s="1"/>
  <c r="B2668" i="40"/>
  <c r="B2668" i="39" s="1"/>
  <c r="B2669" i="40"/>
  <c r="B2669" i="39" s="1"/>
  <c r="B2670" i="40"/>
  <c r="B2670" i="39" s="1"/>
  <c r="B2671" i="40"/>
  <c r="B2671" i="39" s="1"/>
  <c r="B2672" i="40"/>
  <c r="B2673" i="40"/>
  <c r="B2673" i="39" s="1"/>
  <c r="B2674" i="40"/>
  <c r="B2674" i="39" s="1"/>
  <c r="B2675" i="40"/>
  <c r="B2675" i="39" s="1"/>
  <c r="B2676" i="40"/>
  <c r="B2676" i="39" s="1"/>
  <c r="B2677" i="40"/>
  <c r="B2677" i="39" s="1"/>
  <c r="B2678" i="40"/>
  <c r="B2678" i="39" s="1"/>
  <c r="B2679" i="40"/>
  <c r="B2679" i="39" s="1"/>
  <c r="B2680" i="40"/>
  <c r="B2680" i="39" s="1"/>
  <c r="B2681" i="40"/>
  <c r="B2681" i="39" s="1"/>
  <c r="B2682" i="40"/>
  <c r="B2682" i="39" s="1"/>
  <c r="B2683" i="40"/>
  <c r="B2683" i="39" s="1"/>
  <c r="B2684" i="40"/>
  <c r="B2684" i="39" s="1"/>
  <c r="B2685" i="40"/>
  <c r="B2685" i="39" s="1"/>
  <c r="B2686" i="40"/>
  <c r="B2687" i="40"/>
  <c r="B2687" i="39" s="1"/>
  <c r="B2688" i="40"/>
  <c r="B2688" i="39" s="1"/>
  <c r="B2689" i="40"/>
  <c r="B2689" i="39" s="1"/>
  <c r="B2690" i="40"/>
  <c r="B2690" i="39" s="1"/>
  <c r="B2691" i="40"/>
  <c r="B2691" i="39" s="1"/>
  <c r="B2692" i="40"/>
  <c r="B2693" i="40"/>
  <c r="B2693" i="39" s="1"/>
  <c r="B2694" i="40"/>
  <c r="B2694" i="39" s="1"/>
  <c r="B2695" i="40"/>
  <c r="B2695" i="39" s="1"/>
  <c r="B2696" i="40"/>
  <c r="B2696" i="39" s="1"/>
  <c r="B2697" i="40"/>
  <c r="B2697" i="39" s="1"/>
  <c r="B2698" i="40"/>
  <c r="B2698" i="39" s="1"/>
  <c r="B2699" i="40"/>
  <c r="B2699" i="39" s="1"/>
  <c r="B2700" i="40"/>
  <c r="B2700" i="39" s="1"/>
  <c r="B2701" i="40"/>
  <c r="B2701" i="39" s="1"/>
  <c r="B2702" i="40"/>
  <c r="B2702" i="39" s="1"/>
  <c r="B2703" i="40"/>
  <c r="B2703" i="39" s="1"/>
  <c r="B2704" i="40"/>
  <c r="B2704" i="39" s="1"/>
  <c r="B2705" i="40"/>
  <c r="B2705" i="39" s="1"/>
  <c r="B2706" i="40"/>
  <c r="B2707" i="40"/>
  <c r="B2707" i="39" s="1"/>
  <c r="B2708" i="40"/>
  <c r="B2708" i="39" s="1"/>
  <c r="B2709" i="40"/>
  <c r="B2709" i="39" s="1"/>
  <c r="B2710" i="40"/>
  <c r="B2710" i="39" s="1"/>
  <c r="B2711" i="40"/>
  <c r="B2711" i="39" s="1"/>
  <c r="B2712" i="40"/>
  <c r="B2713" i="40"/>
  <c r="B2713" i="39" s="1"/>
  <c r="B2714" i="40"/>
  <c r="B2714" i="39" s="1"/>
  <c r="B2715" i="40"/>
  <c r="B2715" i="39" s="1"/>
  <c r="B2716" i="40"/>
  <c r="B2716" i="39" s="1"/>
  <c r="B2717" i="40"/>
  <c r="B2717" i="39" s="1"/>
  <c r="B2718" i="40"/>
  <c r="B2718" i="39" s="1"/>
  <c r="B2719" i="40"/>
  <c r="B2719" i="39" s="1"/>
  <c r="B2720" i="40"/>
  <c r="B2720" i="39" s="1"/>
  <c r="B2721" i="40"/>
  <c r="B2721" i="39" s="1"/>
  <c r="B2722" i="40"/>
  <c r="B2722" i="39" s="1"/>
  <c r="B2723" i="40"/>
  <c r="B2723" i="39" s="1"/>
  <c r="B2724" i="40"/>
  <c r="B2724" i="39" s="1"/>
  <c r="B2725" i="40"/>
  <c r="B2725" i="39" s="1"/>
  <c r="B2726" i="40"/>
  <c r="B2727" i="40"/>
  <c r="B2727" i="39" s="1"/>
  <c r="B2728" i="40"/>
  <c r="B2728" i="39" s="1"/>
  <c r="B2729" i="40"/>
  <c r="B2729" i="39" s="1"/>
  <c r="B2730" i="40"/>
  <c r="B2730" i="39" s="1"/>
  <c r="B2731" i="40"/>
  <c r="B2731" i="39" s="1"/>
  <c r="B2732" i="40"/>
  <c r="B2733" i="40"/>
  <c r="B2733" i="39" s="1"/>
  <c r="B2734" i="40"/>
  <c r="B2734" i="39" s="1"/>
  <c r="B2735" i="40"/>
  <c r="B2735" i="39" s="1"/>
  <c r="B2736" i="40"/>
  <c r="B2736" i="39" s="1"/>
  <c r="B2737" i="40"/>
  <c r="B2737" i="39" s="1"/>
  <c r="B2738" i="40"/>
  <c r="B2738" i="39" s="1"/>
  <c r="B2739" i="40"/>
  <c r="B2739" i="39" s="1"/>
  <c r="B2740" i="40"/>
  <c r="B2740" i="39" s="1"/>
  <c r="B2741" i="40"/>
  <c r="B2741" i="39" s="1"/>
  <c r="B2742" i="40"/>
  <c r="B2742" i="39" s="1"/>
  <c r="B2743" i="40"/>
  <c r="B2743" i="39" s="1"/>
  <c r="B2744" i="40"/>
  <c r="B2744" i="39" s="1"/>
  <c r="B2745" i="40"/>
  <c r="B2745" i="39" s="1"/>
  <c r="B2746" i="40"/>
  <c r="B2747" i="40"/>
  <c r="B2747" i="39" s="1"/>
  <c r="B2748" i="40"/>
  <c r="B2748" i="39" s="1"/>
  <c r="B2749" i="40"/>
  <c r="B2749" i="39" s="1"/>
  <c r="B2750" i="40"/>
  <c r="B2750" i="39" s="1"/>
  <c r="B2751" i="40"/>
  <c r="B2751" i="39" s="1"/>
  <c r="B2752" i="40"/>
  <c r="B2753" i="40"/>
  <c r="B2753" i="39" s="1"/>
  <c r="B2754" i="40"/>
  <c r="B2754" i="39" s="1"/>
  <c r="B2755" i="40"/>
  <c r="B2755" i="39" s="1"/>
  <c r="B2756" i="40"/>
  <c r="B2756" i="39" s="1"/>
  <c r="B2757" i="40"/>
  <c r="B2757" i="39" s="1"/>
  <c r="B2758" i="40"/>
  <c r="B2758" i="39" s="1"/>
  <c r="B2759" i="40"/>
  <c r="B2759" i="39" s="1"/>
  <c r="B2760" i="40"/>
  <c r="B2760" i="39" s="1"/>
  <c r="B2761" i="40"/>
  <c r="B2761" i="39" s="1"/>
  <c r="B2762" i="40"/>
  <c r="B2762" i="39" s="1"/>
  <c r="B2763" i="40"/>
  <c r="B2763" i="39" s="1"/>
  <c r="B2764" i="40"/>
  <c r="B2764" i="39" s="1"/>
  <c r="B2765" i="40"/>
  <c r="B2765" i="39" s="1"/>
  <c r="B2766" i="40"/>
  <c r="B2767" i="40"/>
  <c r="B2767" i="39" s="1"/>
  <c r="B2768" i="40"/>
  <c r="B2768" i="39" s="1"/>
  <c r="B2769" i="40"/>
  <c r="B2769" i="39" s="1"/>
  <c r="B2770" i="40"/>
  <c r="B2770" i="39" s="1"/>
  <c r="B2771" i="40"/>
  <c r="B2771" i="39" s="1"/>
  <c r="B2772" i="40"/>
  <c r="B2773" i="40"/>
  <c r="B2773" i="39" s="1"/>
  <c r="B2774" i="40"/>
  <c r="B2774" i="39" s="1"/>
  <c r="B2775" i="40"/>
  <c r="B2775" i="39" s="1"/>
  <c r="B2776" i="40"/>
  <c r="B2776" i="39" s="1"/>
  <c r="B2777" i="40"/>
  <c r="B2777" i="39" s="1"/>
  <c r="B2778" i="40"/>
  <c r="B2778" i="39" s="1"/>
  <c r="B2779" i="40"/>
  <c r="B2779" i="39" s="1"/>
  <c r="B2780" i="40"/>
  <c r="B2780" i="39" s="1"/>
  <c r="B2781" i="40"/>
  <c r="B2781" i="39" s="1"/>
  <c r="B2782" i="40"/>
  <c r="B2782" i="39" s="1"/>
  <c r="B2783" i="40"/>
  <c r="B2783" i="39" s="1"/>
  <c r="B2784" i="40"/>
  <c r="B2784" i="39" s="1"/>
  <c r="B2785" i="40"/>
  <c r="B2785" i="39" s="1"/>
  <c r="B2786" i="40"/>
  <c r="B2787" i="40"/>
  <c r="B2787" i="39" s="1"/>
  <c r="B2788" i="40"/>
  <c r="B2788" i="39" s="1"/>
  <c r="B2789" i="40"/>
  <c r="B2789" i="39" s="1"/>
  <c r="B2790" i="40"/>
  <c r="B2790" i="39" s="1"/>
  <c r="B2791" i="40"/>
  <c r="B2791" i="39" s="1"/>
  <c r="B2792" i="40"/>
  <c r="B2792" i="39" s="1"/>
  <c r="B2793" i="40"/>
  <c r="B2793" i="39" s="1"/>
  <c r="B2794" i="40"/>
  <c r="B2794" i="39" s="1"/>
  <c r="B2795" i="40"/>
  <c r="B2795" i="39" s="1"/>
  <c r="B2796" i="40"/>
  <c r="B2796" i="39" s="1"/>
  <c r="B2797" i="40"/>
  <c r="B2797" i="39" s="1"/>
  <c r="B2798" i="40"/>
  <c r="B2798" i="39" s="1"/>
  <c r="B2799" i="40"/>
  <c r="B2799" i="39" s="1"/>
  <c r="B2800" i="40"/>
  <c r="B2800" i="39" s="1"/>
  <c r="B2801" i="40"/>
  <c r="B2801" i="39" s="1"/>
  <c r="B2802" i="40"/>
  <c r="B2802" i="39" s="1"/>
  <c r="B2803" i="40"/>
  <c r="B2803" i="39" s="1"/>
  <c r="B2804" i="40"/>
  <c r="B2804" i="39" s="1"/>
  <c r="B2805" i="40"/>
  <c r="B2805" i="39" s="1"/>
  <c r="B2806" i="40"/>
  <c r="B2806" i="39" s="1"/>
  <c r="B2807" i="40"/>
  <c r="B2807" i="39" s="1"/>
  <c r="B2808" i="40"/>
  <c r="B2808" i="39" s="1"/>
  <c r="B2809" i="40"/>
  <c r="B2809" i="39" s="1"/>
  <c r="B2810" i="40"/>
  <c r="B2810" i="39" s="1"/>
  <c r="B2811" i="40"/>
  <c r="B2811" i="39" s="1"/>
  <c r="B2812" i="40"/>
  <c r="B2812" i="39" s="1"/>
  <c r="B2813" i="40"/>
  <c r="B2813" i="39" s="1"/>
  <c r="B2814" i="40"/>
  <c r="B2814" i="39" s="1"/>
  <c r="B2815" i="40"/>
  <c r="B2815" i="39" s="1"/>
  <c r="B2816" i="40"/>
  <c r="B2816" i="39" s="1"/>
  <c r="B2817" i="40"/>
  <c r="B2817" i="39" s="1"/>
  <c r="B2818" i="40"/>
  <c r="B2818" i="39" s="1"/>
  <c r="B2819" i="40"/>
  <c r="B2819" i="39" s="1"/>
  <c r="B2820" i="40"/>
  <c r="B2820" i="39" s="1"/>
  <c r="B2821" i="40"/>
  <c r="B2821" i="39" s="1"/>
  <c r="B2822" i="40"/>
  <c r="B2822" i="39" s="1"/>
  <c r="B2823" i="40"/>
  <c r="B2823" i="39" s="1"/>
  <c r="B2824" i="40"/>
  <c r="B2824" i="39" s="1"/>
  <c r="B2825" i="40"/>
  <c r="B2825" i="39" s="1"/>
  <c r="B2826" i="40"/>
  <c r="B2826" i="39" s="1"/>
  <c r="B2827" i="40"/>
  <c r="B2827" i="39" s="1"/>
  <c r="B2828" i="40"/>
  <c r="B2828" i="39" s="1"/>
  <c r="B2829" i="40"/>
  <c r="B2829" i="39" s="1"/>
  <c r="B2830" i="40"/>
  <c r="B2830" i="39" s="1"/>
  <c r="B2831" i="40"/>
  <c r="B2831" i="39" s="1"/>
  <c r="B2832" i="40"/>
  <c r="B2832" i="39" s="1"/>
  <c r="B2833" i="40"/>
  <c r="B2833" i="39" s="1"/>
  <c r="B2834" i="40"/>
  <c r="B2834" i="39" s="1"/>
  <c r="B2835" i="40"/>
  <c r="B2835" i="39" s="1"/>
  <c r="B2836" i="40"/>
  <c r="B2836" i="39" s="1"/>
  <c r="B2837" i="40"/>
  <c r="B2837" i="39" s="1"/>
  <c r="B2838" i="40"/>
  <c r="B2838" i="39" s="1"/>
  <c r="B2839" i="40"/>
  <c r="B2839" i="39" s="1"/>
  <c r="B2840" i="40"/>
  <c r="B2840" i="39" s="1"/>
  <c r="B2841" i="40"/>
  <c r="B2841" i="39" s="1"/>
  <c r="B2842" i="40"/>
  <c r="B2842" i="39" s="1"/>
  <c r="B2843" i="40"/>
  <c r="B2843" i="39" s="1"/>
  <c r="B2844" i="40"/>
  <c r="B2844" i="39" s="1"/>
  <c r="B2845" i="40"/>
  <c r="B2845" i="39" s="1"/>
  <c r="B2846" i="40"/>
  <c r="B2846" i="39" s="1"/>
  <c r="B2847" i="40"/>
  <c r="B2847" i="39" s="1"/>
  <c r="B2848" i="40"/>
  <c r="B2848" i="39" s="1"/>
  <c r="B2849" i="40"/>
  <c r="B2849" i="39" s="1"/>
  <c r="B2850" i="40"/>
  <c r="B2850" i="39" s="1"/>
  <c r="B2851" i="40"/>
  <c r="B2851" i="39" s="1"/>
  <c r="B2852" i="40"/>
  <c r="B2852" i="39" s="1"/>
  <c r="B2853" i="40"/>
  <c r="B2853" i="39" s="1"/>
  <c r="B2854" i="40"/>
  <c r="B2854" i="39" s="1"/>
  <c r="B2855" i="40"/>
  <c r="B2855" i="39" s="1"/>
  <c r="B2856" i="40"/>
  <c r="B2856" i="39" s="1"/>
  <c r="B2857" i="40"/>
  <c r="B2857" i="39" s="1"/>
  <c r="B2858" i="40"/>
  <c r="B2858" i="39" s="1"/>
  <c r="B2859" i="40"/>
  <c r="B2859" i="39" s="1"/>
  <c r="B2860" i="40"/>
  <c r="B2860" i="39" s="1"/>
  <c r="B2861" i="40"/>
  <c r="B2861" i="39" s="1"/>
  <c r="B2862" i="40"/>
  <c r="B2862" i="39" s="1"/>
  <c r="B2863" i="40"/>
  <c r="B2863" i="39" s="1"/>
  <c r="B2864" i="40"/>
  <c r="B2864" i="39" s="1"/>
  <c r="B2865" i="40"/>
  <c r="B2865" i="39" s="1"/>
  <c r="B2866" i="40"/>
  <c r="B2866" i="39" s="1"/>
  <c r="B2867" i="40"/>
  <c r="B2867" i="39" s="1"/>
  <c r="B2868" i="40"/>
  <c r="B2868" i="39" s="1"/>
  <c r="B2869" i="40"/>
  <c r="B2869" i="39" s="1"/>
  <c r="B2870" i="40"/>
  <c r="B2870" i="39" s="1"/>
  <c r="B2871" i="40"/>
  <c r="B2871" i="39" s="1"/>
  <c r="B2872" i="40"/>
  <c r="B2872" i="39" s="1"/>
  <c r="B2873" i="40"/>
  <c r="B2873" i="39" s="1"/>
  <c r="B2874" i="40"/>
  <c r="B2874" i="39" s="1"/>
  <c r="B2875" i="40"/>
  <c r="B2875" i="39" s="1"/>
  <c r="B2876" i="40"/>
  <c r="B2876" i="39" s="1"/>
  <c r="B2877" i="40"/>
  <c r="B2877" i="39" s="1"/>
  <c r="B2878" i="40"/>
  <c r="B2878" i="39" s="1"/>
  <c r="B2879" i="40"/>
  <c r="B2879" i="39" s="1"/>
  <c r="B2880" i="40"/>
  <c r="B2880" i="39" s="1"/>
  <c r="B2881" i="40"/>
  <c r="B2881" i="39" s="1"/>
  <c r="B2882" i="40"/>
  <c r="B2882" i="39" s="1"/>
  <c r="B2883" i="40"/>
  <c r="B2883" i="39" s="1"/>
  <c r="B2884" i="40"/>
  <c r="B2884" i="39" s="1"/>
  <c r="B2885" i="40"/>
  <c r="B2885" i="39" s="1"/>
  <c r="B2886" i="40"/>
  <c r="B2886" i="39" s="1"/>
  <c r="B2887" i="40"/>
  <c r="B2887" i="39" s="1"/>
  <c r="B2888" i="40"/>
  <c r="B2888" i="39" s="1"/>
  <c r="B2889" i="40"/>
  <c r="B2889" i="39" s="1"/>
  <c r="B2890" i="40"/>
  <c r="B2890" i="39" s="1"/>
  <c r="B2891" i="40"/>
  <c r="B2891" i="39" s="1"/>
  <c r="B2892" i="40"/>
  <c r="B2892" i="39" s="1"/>
  <c r="B2893" i="40"/>
  <c r="B2893" i="39" s="1"/>
  <c r="B2894" i="40"/>
  <c r="B2894" i="39" s="1"/>
  <c r="B2895" i="40"/>
  <c r="B2895" i="39" s="1"/>
  <c r="B2896" i="40"/>
  <c r="B2896" i="39" s="1"/>
  <c r="B2897" i="40"/>
  <c r="B2897" i="39" s="1"/>
  <c r="B2898" i="40"/>
  <c r="B2898" i="39" s="1"/>
  <c r="B2899" i="40"/>
  <c r="B2899" i="39" s="1"/>
  <c r="B2900" i="40"/>
  <c r="B2900" i="39" s="1"/>
  <c r="B2901" i="40"/>
  <c r="B2901" i="39" s="1"/>
  <c r="B2902" i="40"/>
  <c r="B2902" i="39" s="1"/>
  <c r="B2903" i="40"/>
  <c r="B2903" i="39" s="1"/>
  <c r="B2904" i="40"/>
  <c r="B2904" i="39" s="1"/>
  <c r="B2905" i="40"/>
  <c r="B2905" i="39" s="1"/>
  <c r="B2906" i="40"/>
  <c r="B2906" i="39" s="1"/>
  <c r="B2907" i="40"/>
  <c r="B2908" i="40"/>
  <c r="B2908" i="39" s="1"/>
  <c r="B2909" i="40"/>
  <c r="B2909" i="39" s="1"/>
  <c r="B2910" i="40"/>
  <c r="B2910" i="39" s="1"/>
  <c r="B2911" i="40"/>
  <c r="B2911" i="39" s="1"/>
  <c r="B2912" i="40"/>
  <c r="B2912" i="39" s="1"/>
  <c r="B2913" i="40"/>
  <c r="B2914" i="40"/>
  <c r="B2914" i="39" s="1"/>
  <c r="B2915" i="40"/>
  <c r="B2915" i="39" s="1"/>
  <c r="B2916" i="40"/>
  <c r="B2916" i="39" s="1"/>
  <c r="B2917" i="40"/>
  <c r="B2917" i="39" s="1"/>
  <c r="B2918" i="40"/>
  <c r="B2918" i="39" s="1"/>
  <c r="B2919" i="40"/>
  <c r="B2919" i="39" s="1"/>
  <c r="B2920" i="40"/>
  <c r="B2920" i="39" s="1"/>
  <c r="B2921" i="40"/>
  <c r="B2921" i="39" s="1"/>
  <c r="B2922" i="40"/>
  <c r="B2922" i="39" s="1"/>
  <c r="B2923" i="40"/>
  <c r="B2923" i="39" s="1"/>
  <c r="B2924" i="40"/>
  <c r="B2924" i="39" s="1"/>
  <c r="B2925" i="40"/>
  <c r="B2925" i="39" s="1"/>
  <c r="B2926" i="40"/>
  <c r="B2926" i="39" s="1"/>
  <c r="B2927" i="40"/>
  <c r="B2928" i="40"/>
  <c r="B2928" i="39" s="1"/>
  <c r="B2929" i="40"/>
  <c r="B2929" i="39" s="1"/>
  <c r="B2930" i="40"/>
  <c r="B2930" i="39" s="1"/>
  <c r="B2931" i="40"/>
  <c r="B2931" i="39" s="1"/>
  <c r="B2932" i="40"/>
  <c r="B2932" i="39" s="1"/>
  <c r="B2933" i="40"/>
  <c r="B2934" i="40"/>
  <c r="B2934" i="39" s="1"/>
  <c r="B2935" i="40"/>
  <c r="B2935" i="39" s="1"/>
  <c r="B2936" i="40"/>
  <c r="B2936" i="39" s="1"/>
  <c r="B2937" i="40"/>
  <c r="B2937" i="39" s="1"/>
  <c r="B2938" i="40"/>
  <c r="B2938" i="39" s="1"/>
  <c r="B2939" i="40"/>
  <c r="B2939" i="39" s="1"/>
  <c r="B2940" i="40"/>
  <c r="B2940" i="39" s="1"/>
  <c r="B2941" i="40"/>
  <c r="B2941" i="39" s="1"/>
  <c r="B2942" i="40"/>
  <c r="B2942" i="39" s="1"/>
  <c r="B2943" i="40"/>
  <c r="B2943" i="39" s="1"/>
  <c r="B2944" i="40"/>
  <c r="B2944" i="39" s="1"/>
  <c r="B2945" i="40"/>
  <c r="B2945" i="39" s="1"/>
  <c r="B2946" i="40"/>
  <c r="B2946" i="39" s="1"/>
  <c r="B2947" i="40"/>
  <c r="B2948" i="40"/>
  <c r="B2948" i="39" s="1"/>
  <c r="B2949" i="40"/>
  <c r="B2949" i="39" s="1"/>
  <c r="B2950" i="40"/>
  <c r="B2950" i="39" s="1"/>
  <c r="B2951" i="40"/>
  <c r="B2951" i="39" s="1"/>
  <c r="B2952" i="40"/>
  <c r="B2952" i="39" s="1"/>
  <c r="B2953" i="40"/>
  <c r="B2954" i="40"/>
  <c r="B2954" i="39" s="1"/>
  <c r="B2955" i="40"/>
  <c r="B2955" i="39" s="1"/>
  <c r="B2956" i="40"/>
  <c r="B2956" i="39" s="1"/>
  <c r="B2957" i="40"/>
  <c r="B2957" i="39" s="1"/>
  <c r="B2958" i="40"/>
  <c r="B2958" i="39" s="1"/>
  <c r="B2959" i="40"/>
  <c r="B2959" i="39" s="1"/>
  <c r="B2960" i="40"/>
  <c r="B2960" i="39" s="1"/>
  <c r="B2961" i="40"/>
  <c r="B2961" i="39" s="1"/>
  <c r="B2962" i="40"/>
  <c r="B2962" i="39" s="1"/>
  <c r="B2963" i="40"/>
  <c r="B2963" i="39" s="1"/>
  <c r="B2964" i="40"/>
  <c r="B2964" i="39" s="1"/>
  <c r="B2965" i="40"/>
  <c r="B2965" i="39" s="1"/>
  <c r="B2966" i="40"/>
  <c r="B2966" i="39" s="1"/>
  <c r="B2967" i="40"/>
  <c r="B2967" i="39" s="1"/>
  <c r="B2968" i="40"/>
  <c r="B2968" i="39" s="1"/>
  <c r="B2969" i="40"/>
  <c r="B2969" i="39" s="1"/>
  <c r="B2970" i="40"/>
  <c r="B2970" i="39" s="1"/>
  <c r="B2971" i="40"/>
  <c r="B2971" i="39" s="1"/>
  <c r="B2972" i="40"/>
  <c r="B2972" i="39" s="1"/>
  <c r="B2973" i="40"/>
  <c r="B2973" i="39" s="1"/>
  <c r="B2974" i="40"/>
  <c r="B2974" i="39" s="1"/>
  <c r="B2975" i="40"/>
  <c r="B2975" i="39" s="1"/>
  <c r="B2976" i="40"/>
  <c r="B2976" i="39" s="1"/>
  <c r="B2977" i="40"/>
  <c r="B2977" i="39" s="1"/>
  <c r="B2978" i="40"/>
  <c r="B2978" i="39" s="1"/>
  <c r="B2979" i="40"/>
  <c r="B2979" i="39" s="1"/>
  <c r="B2980" i="40"/>
  <c r="B2980" i="39" s="1"/>
  <c r="B2981" i="40"/>
  <c r="B2981" i="39" s="1"/>
  <c r="B2982" i="40"/>
  <c r="B2982" i="39" s="1"/>
  <c r="B2983" i="40"/>
  <c r="B2983" i="39" s="1"/>
  <c r="B4" i="40"/>
  <c r="K4" i="40"/>
  <c r="J13" i="71" l="1"/>
  <c r="E46" i="7"/>
  <c r="O13" i="71" s="1"/>
  <c r="C15" i="22"/>
  <c r="E51" i="7"/>
  <c r="L12" i="67" s="1"/>
  <c r="C51" i="7"/>
  <c r="G12" i="67"/>
  <c r="B4" i="39"/>
  <c r="C108" i="14"/>
  <c r="I48" i="14"/>
  <c r="C48" i="14"/>
  <c r="I108" i="14"/>
  <c r="I68" i="14"/>
  <c r="C88" i="14"/>
  <c r="C68" i="14"/>
  <c r="I228" i="14"/>
  <c r="I88" i="14"/>
  <c r="C228" i="14"/>
  <c r="I208" i="14"/>
  <c r="C208" i="14"/>
  <c r="I188" i="14"/>
  <c r="C188" i="14"/>
  <c r="I168" i="14"/>
  <c r="C148" i="14"/>
  <c r="C154" i="14" s="1"/>
  <c r="I148" i="14"/>
  <c r="C168" i="14"/>
  <c r="I128" i="14"/>
  <c r="C128" i="14"/>
  <c r="G29" i="43"/>
  <c r="D30" i="43"/>
  <c r="D29" i="43"/>
  <c r="I29" i="43" s="1"/>
  <c r="G30" i="43"/>
  <c r="D31" i="43"/>
  <c r="I31" i="43" s="1"/>
  <c r="G31" i="43"/>
  <c r="D32" i="43"/>
  <c r="G32" i="43"/>
  <c r="D28" i="43"/>
  <c r="E28" i="43"/>
  <c r="G28" i="43"/>
  <c r="C29" i="43"/>
  <c r="F29" i="43"/>
  <c r="K29" i="43" s="1"/>
  <c r="C30" i="43"/>
  <c r="E29" i="43"/>
  <c r="J29" i="43" s="1"/>
  <c r="E32" i="43"/>
  <c r="J32" i="43" s="1"/>
  <c r="F30" i="43"/>
  <c r="C31" i="43"/>
  <c r="H31" i="43" s="1"/>
  <c r="F28" i="43"/>
  <c r="E31" i="43"/>
  <c r="J31" i="43" s="1"/>
  <c r="F31" i="43"/>
  <c r="K31" i="43" s="1"/>
  <c r="C32" i="43"/>
  <c r="H32" i="43" s="1"/>
  <c r="E30" i="43"/>
  <c r="J30" i="43" s="1"/>
  <c r="F32" i="43"/>
  <c r="K32" i="43" s="1"/>
  <c r="C28" i="43"/>
  <c r="C27" i="43"/>
  <c r="E27" i="43"/>
  <c r="F27" i="43"/>
  <c r="G27" i="43"/>
  <c r="D27" i="43"/>
  <c r="C16" i="22"/>
  <c r="C14" i="21"/>
  <c r="C15" i="21"/>
  <c r="C1914" i="39"/>
  <c r="C2641" i="44"/>
  <c r="C1913" i="39"/>
  <c r="C2640" i="44"/>
  <c r="B1880" i="39"/>
  <c r="B1670" i="44"/>
  <c r="B1860" i="39"/>
  <c r="B1650" i="44"/>
  <c r="B1840" i="39"/>
  <c r="B1630" i="44"/>
  <c r="B1820" i="39"/>
  <c r="B1610" i="44"/>
  <c r="B1800" i="39"/>
  <c r="B1590" i="44"/>
  <c r="B1780" i="39"/>
  <c r="B1570" i="44"/>
  <c r="B1760" i="39"/>
  <c r="B1550" i="44"/>
  <c r="B1740" i="39"/>
  <c r="B1530" i="44"/>
  <c r="B1720" i="39"/>
  <c r="B1510" i="44"/>
  <c r="B1480" i="39"/>
  <c r="B1480" i="44"/>
  <c r="B1460" i="39"/>
  <c r="B1460" i="44"/>
  <c r="B1440" i="39"/>
  <c r="B1440" i="44"/>
  <c r="B1420" i="39"/>
  <c r="B1420" i="44"/>
  <c r="B1400" i="39"/>
  <c r="B1400" i="44"/>
  <c r="B1380" i="39"/>
  <c r="B1380" i="44"/>
  <c r="B1360" i="39"/>
  <c r="B1360" i="44"/>
  <c r="B1340" i="39"/>
  <c r="B1340" i="44"/>
  <c r="B1320" i="39"/>
  <c r="B1320" i="44"/>
  <c r="B1300" i="39"/>
  <c r="B1300" i="44"/>
  <c r="B1280" i="39"/>
  <c r="B1280" i="44"/>
  <c r="B1260" i="39"/>
  <c r="B1260" i="44"/>
  <c r="B1240" i="39"/>
  <c r="B1240" i="44"/>
  <c r="B1220" i="39"/>
  <c r="B1220" i="44"/>
  <c r="B1200" i="39"/>
  <c r="B1200" i="44"/>
  <c r="B1180" i="39"/>
  <c r="B1180" i="44"/>
  <c r="B1160" i="39"/>
  <c r="B1160" i="44"/>
  <c r="B1140" i="39"/>
  <c r="B1140" i="44"/>
  <c r="B1120" i="39"/>
  <c r="B1120" i="44"/>
  <c r="B1100" i="39"/>
  <c r="B1100" i="44"/>
  <c r="B1080" i="39"/>
  <c r="B1080" i="44"/>
  <c r="B1060" i="39"/>
  <c r="B1060" i="44"/>
  <c r="B1040" i="39"/>
  <c r="B1040" i="44"/>
  <c r="B1020" i="39"/>
  <c r="B1020" i="44"/>
  <c r="B1000" i="39"/>
  <c r="B1000" i="44"/>
  <c r="B980" i="39"/>
  <c r="B980" i="44"/>
  <c r="B960" i="39"/>
  <c r="B960" i="44"/>
  <c r="B940" i="39"/>
  <c r="B940" i="44"/>
  <c r="B920" i="39"/>
  <c r="B920" i="44"/>
  <c r="B900" i="39"/>
  <c r="B900" i="44"/>
  <c r="B880" i="39"/>
  <c r="B880" i="44"/>
  <c r="B860" i="39"/>
  <c r="B860" i="44"/>
  <c r="B840" i="39"/>
  <c r="B840" i="44"/>
  <c r="B820" i="39"/>
  <c r="B820" i="44"/>
  <c r="B800" i="39"/>
  <c r="B800" i="44"/>
  <c r="B780" i="39"/>
  <c r="B780" i="44"/>
  <c r="B760" i="39"/>
  <c r="B760" i="44"/>
  <c r="B740" i="39"/>
  <c r="B740" i="44"/>
  <c r="B720" i="39"/>
  <c r="B720" i="44"/>
  <c r="B700" i="39"/>
  <c r="B700" i="44"/>
  <c r="B680" i="39"/>
  <c r="B680" i="44"/>
  <c r="B660" i="39"/>
  <c r="B660" i="44"/>
  <c r="B640" i="39"/>
  <c r="B640" i="44"/>
  <c r="B620" i="39"/>
  <c r="B620" i="44"/>
  <c r="B600" i="39"/>
  <c r="B600" i="44"/>
  <c r="B580" i="39"/>
  <c r="B580" i="44"/>
  <c r="B560" i="39"/>
  <c r="B560" i="44"/>
  <c r="B540" i="39"/>
  <c r="B540" i="44"/>
  <c r="B520" i="39"/>
  <c r="B520" i="44"/>
  <c r="B500" i="39"/>
  <c r="B500" i="44"/>
  <c r="B480" i="39"/>
  <c r="B480" i="44"/>
  <c r="B460" i="39"/>
  <c r="B460" i="44"/>
  <c r="B440" i="39"/>
  <c r="B440" i="44"/>
  <c r="B420" i="39"/>
  <c r="B420" i="44"/>
  <c r="B400" i="39"/>
  <c r="B400" i="44"/>
  <c r="B380" i="39"/>
  <c r="B380" i="44"/>
  <c r="B360" i="39"/>
  <c r="B360" i="44"/>
  <c r="B340" i="39"/>
  <c r="B340" i="44"/>
  <c r="B320" i="39"/>
  <c r="B320" i="44"/>
  <c r="B300" i="39"/>
  <c r="B300" i="44"/>
  <c r="B280" i="39"/>
  <c r="B280" i="44"/>
  <c r="B260" i="39"/>
  <c r="B260" i="44"/>
  <c r="B240" i="39"/>
  <c r="B240" i="44"/>
  <c r="B220" i="39"/>
  <c r="B220" i="44"/>
  <c r="B200" i="39"/>
  <c r="B200" i="44"/>
  <c r="B180" i="39"/>
  <c r="B180" i="44"/>
  <c r="B160" i="39"/>
  <c r="B160" i="44"/>
  <c r="B140" i="39"/>
  <c r="B140" i="44"/>
  <c r="B120" i="39"/>
  <c r="B120" i="44"/>
  <c r="B100" i="39"/>
  <c r="B100" i="44"/>
  <c r="B80" i="39"/>
  <c r="B80" i="44"/>
  <c r="B60" i="39"/>
  <c r="B60" i="44"/>
  <c r="B40" i="39"/>
  <c r="B40" i="44"/>
  <c r="B20" i="39"/>
  <c r="B20" i="44"/>
  <c r="C2960" i="39"/>
  <c r="C2833" i="44"/>
  <c r="C2940" i="39"/>
  <c r="C2813" i="44"/>
  <c r="C2920" i="39"/>
  <c r="C2793" i="44"/>
  <c r="C2780" i="39"/>
  <c r="C2414" i="44"/>
  <c r="C2760" i="39"/>
  <c r="C2394" i="44"/>
  <c r="C2740" i="39"/>
  <c r="C2374" i="44"/>
  <c r="C2720" i="39"/>
  <c r="C2354" i="44"/>
  <c r="C2700" i="39"/>
  <c r="C2334" i="44"/>
  <c r="C2680" i="39"/>
  <c r="C2314" i="44"/>
  <c r="C2660" i="39"/>
  <c r="C2294" i="44"/>
  <c r="C2640" i="39"/>
  <c r="C2274" i="44"/>
  <c r="C2620" i="39"/>
  <c r="C2254" i="44"/>
  <c r="C2600" i="39"/>
  <c r="C2234" i="44"/>
  <c r="C2580" i="39"/>
  <c r="C2214" i="44"/>
  <c r="C2560" i="39"/>
  <c r="C2194" i="44"/>
  <c r="C2540" i="39"/>
  <c r="C2174" i="44"/>
  <c r="C2520" i="39"/>
  <c r="C2154" i="44"/>
  <c r="C2500" i="39"/>
  <c r="C2134" i="44"/>
  <c r="C2480" i="39"/>
  <c r="C2114" i="44"/>
  <c r="C2460" i="39"/>
  <c r="C2094" i="44"/>
  <c r="C2440" i="39"/>
  <c r="C2074" i="44"/>
  <c r="C2420" i="39"/>
  <c r="C2054" i="44"/>
  <c r="C2400" i="39"/>
  <c r="C2034" i="44"/>
  <c r="C2380" i="39"/>
  <c r="C2014" i="44"/>
  <c r="C2360" i="39"/>
  <c r="C1994" i="44"/>
  <c r="C2340" i="39"/>
  <c r="C1974" i="44"/>
  <c r="C2320" i="39"/>
  <c r="C1954" i="44"/>
  <c r="C2300" i="39"/>
  <c r="C1934" i="44"/>
  <c r="C2280" i="39"/>
  <c r="C1914" i="44"/>
  <c r="C2260" i="39"/>
  <c r="C1894" i="44"/>
  <c r="C2240" i="39"/>
  <c r="C1874" i="44"/>
  <c r="C2220" i="39"/>
  <c r="C1854" i="44"/>
  <c r="C2200" i="39"/>
  <c r="C1834" i="44"/>
  <c r="C2180" i="39"/>
  <c r="C1814" i="44"/>
  <c r="C2160" i="39"/>
  <c r="C1794" i="44"/>
  <c r="C2140" i="39"/>
  <c r="C1774" i="44"/>
  <c r="C2120" i="39"/>
  <c r="C1754" i="44"/>
  <c r="C2100" i="39"/>
  <c r="C1734" i="44"/>
  <c r="C2080" i="39"/>
  <c r="C1714" i="44"/>
  <c r="C2060" i="39"/>
  <c r="C1694" i="44"/>
  <c r="C2040" i="39"/>
  <c r="F22" i="63" s="1"/>
  <c r="C2767" i="44"/>
  <c r="C2020" i="39"/>
  <c r="C2747" i="44"/>
  <c r="C2000" i="39"/>
  <c r="C2727" i="44"/>
  <c r="C1980" i="39"/>
  <c r="F6" i="64" s="1"/>
  <c r="C2707" i="44"/>
  <c r="C1960" i="39"/>
  <c r="C2687" i="44"/>
  <c r="C1940" i="39"/>
  <c r="C2667" i="44"/>
  <c r="C1920" i="39"/>
  <c r="F15" i="61" s="1"/>
  <c r="C2647" i="44"/>
  <c r="C1900" i="39"/>
  <c r="C2627" i="44"/>
  <c r="C1880" i="39"/>
  <c r="C1670" i="44"/>
  <c r="C1860" i="39"/>
  <c r="C1650" i="44"/>
  <c r="C1840" i="39"/>
  <c r="C1630" i="44"/>
  <c r="C1820" i="39"/>
  <c r="C1610" i="44"/>
  <c r="C1800" i="39"/>
  <c r="C1590" i="44"/>
  <c r="C1780" i="39"/>
  <c r="C1570" i="44"/>
  <c r="C1760" i="39"/>
  <c r="C1550" i="44"/>
  <c r="C1740" i="39"/>
  <c r="C1530" i="44"/>
  <c r="C1720" i="39"/>
  <c r="C1510" i="44"/>
  <c r="C1680" i="39"/>
  <c r="C2610" i="44"/>
  <c r="C1660" i="39"/>
  <c r="F29" i="64" s="1"/>
  <c r="C2590" i="44"/>
  <c r="C1640" i="39"/>
  <c r="C2570" i="44"/>
  <c r="C1620" i="39"/>
  <c r="F16" i="60" s="1"/>
  <c r="C2550" i="44"/>
  <c r="C1600" i="39"/>
  <c r="C2530" i="44"/>
  <c r="C1580" i="39"/>
  <c r="C2510" i="44"/>
  <c r="C1560" i="39"/>
  <c r="F15" i="60" s="1"/>
  <c r="C2490" i="44"/>
  <c r="C1540" i="39"/>
  <c r="C2470" i="44"/>
  <c r="C1520" i="39"/>
  <c r="F14" i="60" s="1"/>
  <c r="C2450" i="44"/>
  <c r="C1500" i="39"/>
  <c r="C2430" i="44"/>
  <c r="C1480" i="39"/>
  <c r="C1480" i="44"/>
  <c r="C1460" i="39"/>
  <c r="C1460" i="44"/>
  <c r="C1440" i="39"/>
  <c r="C1440" i="44"/>
  <c r="C1420" i="39"/>
  <c r="C1420" i="44"/>
  <c r="C1400" i="39"/>
  <c r="C1400" i="44"/>
  <c r="C1380" i="39"/>
  <c r="C1380" i="44"/>
  <c r="C1360" i="39"/>
  <c r="C1360" i="44"/>
  <c r="C1340" i="39"/>
  <c r="C1340" i="44"/>
  <c r="C1320" i="39"/>
  <c r="C1320" i="44"/>
  <c r="C1300" i="39"/>
  <c r="C1300" i="44"/>
  <c r="C1280" i="39"/>
  <c r="C1280" i="44"/>
  <c r="C1260" i="39"/>
  <c r="C1260" i="44"/>
  <c r="C1240" i="39"/>
  <c r="C1240" i="44"/>
  <c r="C1220" i="39"/>
  <c r="C1220" i="44"/>
  <c r="C1200" i="39"/>
  <c r="C1200" i="44"/>
  <c r="C1180" i="39"/>
  <c r="C1180" i="44"/>
  <c r="C1160" i="39"/>
  <c r="C1160" i="44"/>
  <c r="C1140" i="39"/>
  <c r="C1140" i="44"/>
  <c r="C1120" i="39"/>
  <c r="C1120" i="44"/>
  <c r="C1100" i="39"/>
  <c r="C1100" i="44"/>
  <c r="C1080" i="39"/>
  <c r="C1080" i="44"/>
  <c r="C1060" i="39"/>
  <c r="C1060" i="44"/>
  <c r="C1040" i="39"/>
  <c r="C1040" i="44"/>
  <c r="C1020" i="39"/>
  <c r="C1020" i="44"/>
  <c r="C1000" i="39"/>
  <c r="C1000" i="44"/>
  <c r="C980" i="39"/>
  <c r="C980" i="44"/>
  <c r="C960" i="39"/>
  <c r="C960" i="44"/>
  <c r="C940" i="39"/>
  <c r="C940" i="44"/>
  <c r="C920" i="39"/>
  <c r="C920" i="44"/>
  <c r="C900" i="39"/>
  <c r="C900" i="44"/>
  <c r="C880" i="39"/>
  <c r="C880" i="44"/>
  <c r="C860" i="39"/>
  <c r="C860" i="44"/>
  <c r="C840" i="39"/>
  <c r="C840" i="44"/>
  <c r="C820" i="39"/>
  <c r="C820" i="44"/>
  <c r="C800" i="39"/>
  <c r="C800" i="44"/>
  <c r="C780" i="39"/>
  <c r="C780" i="44"/>
  <c r="C760" i="39"/>
  <c r="C760" i="44"/>
  <c r="C740" i="39"/>
  <c r="C740" i="44"/>
  <c r="C720" i="39"/>
  <c r="C720" i="44"/>
  <c r="C700" i="39"/>
  <c r="C700" i="44"/>
  <c r="C680" i="39"/>
  <c r="C680" i="44"/>
  <c r="C660" i="39"/>
  <c r="C660" i="44"/>
  <c r="C640" i="39"/>
  <c r="C640" i="44"/>
  <c r="C620" i="39"/>
  <c r="C620" i="44"/>
  <c r="C600" i="39"/>
  <c r="C600" i="44"/>
  <c r="C580" i="39"/>
  <c r="C580" i="44"/>
  <c r="C560" i="39"/>
  <c r="C560" i="44"/>
  <c r="C540" i="39"/>
  <c r="C540" i="44"/>
  <c r="C520" i="39"/>
  <c r="C520" i="44"/>
  <c r="C500" i="39"/>
  <c r="F16" i="63" s="1"/>
  <c r="C500" i="44"/>
  <c r="C480" i="39"/>
  <c r="C480" i="44"/>
  <c r="C460" i="39"/>
  <c r="C460" i="44"/>
  <c r="C440" i="39"/>
  <c r="F9" i="63" s="1"/>
  <c r="C440" i="44"/>
  <c r="C420" i="39"/>
  <c r="C420" i="44"/>
  <c r="C400" i="39"/>
  <c r="C400" i="44"/>
  <c r="C380" i="39"/>
  <c r="C380" i="44"/>
  <c r="C360" i="39"/>
  <c r="C360" i="44"/>
  <c r="C340" i="39"/>
  <c r="C340" i="44"/>
  <c r="C320" i="39"/>
  <c r="C320" i="44"/>
  <c r="C300" i="39"/>
  <c r="C300" i="44"/>
  <c r="C280" i="39"/>
  <c r="C280" i="44"/>
  <c r="C260" i="39"/>
  <c r="C260" i="44"/>
  <c r="C240" i="39"/>
  <c r="C240" i="44"/>
  <c r="C220" i="39"/>
  <c r="C220" i="44"/>
  <c r="C200" i="39"/>
  <c r="C200" i="44"/>
  <c r="C180" i="39"/>
  <c r="C180" i="44"/>
  <c r="C160" i="39"/>
  <c r="C160" i="44"/>
  <c r="C140" i="39"/>
  <c r="C140" i="44"/>
  <c r="C120" i="39"/>
  <c r="C120" i="44"/>
  <c r="C100" i="39"/>
  <c r="C100" i="44"/>
  <c r="C80" i="39"/>
  <c r="C80" i="44"/>
  <c r="C60" i="39"/>
  <c r="C60" i="44"/>
  <c r="C40" i="39"/>
  <c r="C40" i="44"/>
  <c r="C20" i="39"/>
  <c r="C20" i="44"/>
  <c r="B2833" i="44"/>
  <c r="B2811" i="44"/>
  <c r="B2789" i="44"/>
  <c r="B2767" i="44"/>
  <c r="B2744" i="44"/>
  <c r="B2722" i="44"/>
  <c r="B2699" i="44"/>
  <c r="B2677" i="44"/>
  <c r="B2655" i="44"/>
  <c r="B2633" i="44"/>
  <c r="B2611" i="44"/>
  <c r="B2589" i="44"/>
  <c r="B2567" i="44"/>
  <c r="B2544" i="44"/>
  <c r="B2522" i="44"/>
  <c r="B2499" i="44"/>
  <c r="B2477" i="44"/>
  <c r="B2455" i="44"/>
  <c r="B2433" i="44"/>
  <c r="B2411" i="44"/>
  <c r="B2389" i="44"/>
  <c r="B2367" i="44"/>
  <c r="B2344" i="44"/>
  <c r="B2322" i="44"/>
  <c r="B2299" i="44"/>
  <c r="B2277" i="44"/>
  <c r="B2255" i="44"/>
  <c r="B2233" i="44"/>
  <c r="B2207" i="44"/>
  <c r="B2178" i="44"/>
  <c r="B2153" i="44"/>
  <c r="B2127" i="44"/>
  <c r="B2098" i="44"/>
  <c r="B2073" i="44"/>
  <c r="B2047" i="44"/>
  <c r="B2016" i="44"/>
  <c r="B1987" i="44"/>
  <c r="B1955" i="44"/>
  <c r="B1916" i="44"/>
  <c r="B1872" i="44"/>
  <c r="B1816" i="44"/>
  <c r="B1772" i="44"/>
  <c r="B1714" i="44"/>
  <c r="B1598" i="44"/>
  <c r="B2039" i="39"/>
  <c r="B2766" i="44"/>
  <c r="B2019" i="39"/>
  <c r="B2746" i="44"/>
  <c r="B1999" i="39"/>
  <c r="B2726" i="44"/>
  <c r="B1979" i="39"/>
  <c r="B2706" i="44"/>
  <c r="B1959" i="39"/>
  <c r="B2686" i="44"/>
  <c r="B1939" i="39"/>
  <c r="B2666" i="44"/>
  <c r="B1919" i="39"/>
  <c r="B2646" i="44"/>
  <c r="B1899" i="39"/>
  <c r="B2626" i="44"/>
  <c r="B1879" i="39"/>
  <c r="B1669" i="44"/>
  <c r="B1859" i="39"/>
  <c r="B1649" i="44"/>
  <c r="B1839" i="39"/>
  <c r="B1629" i="44"/>
  <c r="B1819" i="39"/>
  <c r="B1609" i="44"/>
  <c r="B1799" i="39"/>
  <c r="B1589" i="44"/>
  <c r="B1779" i="39"/>
  <c r="B1569" i="44"/>
  <c r="B1759" i="39"/>
  <c r="B1549" i="44"/>
  <c r="B1739" i="39"/>
  <c r="B1529" i="44"/>
  <c r="B1719" i="39"/>
  <c r="B1509" i="44"/>
  <c r="B1479" i="39"/>
  <c r="B1479" i="44"/>
  <c r="B1459" i="39"/>
  <c r="B1459" i="44"/>
  <c r="B1439" i="39"/>
  <c r="B1439" i="44"/>
  <c r="B1419" i="39"/>
  <c r="B1419" i="44"/>
  <c r="B1399" i="39"/>
  <c r="B1399" i="44"/>
  <c r="B1379" i="39"/>
  <c r="B1379" i="44"/>
  <c r="B1359" i="39"/>
  <c r="B1359" i="44"/>
  <c r="B1339" i="39"/>
  <c r="B1339" i="44"/>
  <c r="B1319" i="39"/>
  <c r="B1319" i="44"/>
  <c r="B1299" i="39"/>
  <c r="B1299" i="44"/>
  <c r="B1279" i="39"/>
  <c r="B1279" i="44"/>
  <c r="B1259" i="39"/>
  <c r="B1259" i="44"/>
  <c r="B1239" i="39"/>
  <c r="B1239" i="44"/>
  <c r="B1219" i="39"/>
  <c r="B1219" i="44"/>
  <c r="B1199" i="39"/>
  <c r="B1199" i="44"/>
  <c r="B1179" i="39"/>
  <c r="B1179" i="44"/>
  <c r="B1159" i="39"/>
  <c r="B1159" i="44"/>
  <c r="B1139" i="39"/>
  <c r="B1139" i="44"/>
  <c r="B1119" i="39"/>
  <c r="B1119" i="44"/>
  <c r="B1099" i="39"/>
  <c r="B1099" i="44"/>
  <c r="B1079" i="39"/>
  <c r="B1079" i="44"/>
  <c r="B1059" i="39"/>
  <c r="B1059" i="44"/>
  <c r="B1039" i="39"/>
  <c r="B1039" i="44"/>
  <c r="B1019" i="39"/>
  <c r="B1019" i="44"/>
  <c r="B999" i="39"/>
  <c r="B999" i="44"/>
  <c r="B979" i="39"/>
  <c r="B979" i="44"/>
  <c r="B959" i="39"/>
  <c r="B959" i="44"/>
  <c r="B939" i="39"/>
  <c r="B939" i="44"/>
  <c r="B919" i="39"/>
  <c r="B919" i="44"/>
  <c r="B899" i="39"/>
  <c r="B899" i="44"/>
  <c r="B879" i="39"/>
  <c r="B879" i="44"/>
  <c r="B859" i="39"/>
  <c r="B859" i="44"/>
  <c r="B839" i="39"/>
  <c r="B839" i="44"/>
  <c r="B819" i="39"/>
  <c r="B819" i="44"/>
  <c r="B799" i="39"/>
  <c r="B799" i="44"/>
  <c r="B779" i="39"/>
  <c r="B779" i="44"/>
  <c r="B759" i="39"/>
  <c r="B759" i="44"/>
  <c r="B739" i="39"/>
  <c r="B739" i="44"/>
  <c r="B719" i="39"/>
  <c r="B719" i="44"/>
  <c r="B699" i="39"/>
  <c r="B699" i="44"/>
  <c r="B679" i="39"/>
  <c r="B679" i="44"/>
  <c r="B659" i="39"/>
  <c r="B659" i="44"/>
  <c r="B639" i="39"/>
  <c r="B639" i="44"/>
  <c r="B619" i="39"/>
  <c r="B619" i="44"/>
  <c r="B599" i="39"/>
  <c r="B599" i="44"/>
  <c r="B579" i="39"/>
  <c r="B579" i="44"/>
  <c r="B559" i="39"/>
  <c r="B559" i="44"/>
  <c r="B539" i="39"/>
  <c r="B539" i="44"/>
  <c r="B519" i="39"/>
  <c r="B519" i="44"/>
  <c r="B499" i="39"/>
  <c r="B499" i="44"/>
  <c r="B479" i="39"/>
  <c r="B479" i="44"/>
  <c r="B459" i="39"/>
  <c r="B459" i="44"/>
  <c r="B439" i="39"/>
  <c r="B439" i="44"/>
  <c r="B419" i="39"/>
  <c r="B419" i="44"/>
  <c r="B399" i="39"/>
  <c r="B399" i="44"/>
  <c r="B379" i="39"/>
  <c r="B379" i="44"/>
  <c r="B359" i="39"/>
  <c r="B359" i="44"/>
  <c r="B339" i="39"/>
  <c r="B339" i="44"/>
  <c r="B319" i="39"/>
  <c r="B319" i="44"/>
  <c r="B299" i="39"/>
  <c r="B299" i="44"/>
  <c r="B279" i="39"/>
  <c r="B279" i="44"/>
  <c r="B259" i="39"/>
  <c r="B259" i="44"/>
  <c r="B239" i="39"/>
  <c r="B239" i="44"/>
  <c r="B219" i="39"/>
  <c r="B219" i="44"/>
  <c r="B199" i="39"/>
  <c r="B199" i="44"/>
  <c r="B179" i="39"/>
  <c r="B179" i="44"/>
  <c r="B159" i="39"/>
  <c r="B159" i="44"/>
  <c r="B139" i="39"/>
  <c r="B139" i="44"/>
  <c r="B119" i="39"/>
  <c r="B119" i="44"/>
  <c r="B99" i="39"/>
  <c r="B99" i="44"/>
  <c r="B79" i="39"/>
  <c r="B79" i="44"/>
  <c r="B59" i="39"/>
  <c r="B59" i="44"/>
  <c r="B39" i="39"/>
  <c r="B39" i="44"/>
  <c r="B19" i="39"/>
  <c r="B19" i="44"/>
  <c r="C2959" i="39"/>
  <c r="C2832" i="44"/>
  <c r="C2939" i="39"/>
  <c r="C2812" i="44"/>
  <c r="C2919" i="39"/>
  <c r="C2792" i="44"/>
  <c r="C2779" i="39"/>
  <c r="C2413" i="44"/>
  <c r="C2759" i="39"/>
  <c r="C2393" i="44"/>
  <c r="C2739" i="39"/>
  <c r="C2373" i="44"/>
  <c r="C2719" i="39"/>
  <c r="C2353" i="44"/>
  <c r="C2699" i="39"/>
  <c r="C2333" i="44"/>
  <c r="C2679" i="39"/>
  <c r="C2313" i="44"/>
  <c r="C2659" i="39"/>
  <c r="C2293" i="44"/>
  <c r="C2639" i="39"/>
  <c r="C2273" i="44"/>
  <c r="C2619" i="39"/>
  <c r="C2253" i="44"/>
  <c r="C2599" i="39"/>
  <c r="C2233" i="44"/>
  <c r="C2579" i="39"/>
  <c r="C2213" i="44"/>
  <c r="C2559" i="39"/>
  <c r="C2193" i="44"/>
  <c r="C2539" i="39"/>
  <c r="C2173" i="44"/>
  <c r="C2519" i="39"/>
  <c r="C2153" i="44"/>
  <c r="C2499" i="39"/>
  <c r="C2133" i="44"/>
  <c r="C2479" i="39"/>
  <c r="C2113" i="44"/>
  <c r="C2459" i="39"/>
  <c r="C2093" i="44"/>
  <c r="C2439" i="39"/>
  <c r="C2073" i="44"/>
  <c r="C2419" i="39"/>
  <c r="C2053" i="44"/>
  <c r="C2399" i="39"/>
  <c r="C2033" i="44"/>
  <c r="C2379" i="39"/>
  <c r="C2013" i="44"/>
  <c r="C2359" i="39"/>
  <c r="C1993" i="44"/>
  <c r="C2339" i="39"/>
  <c r="C1973" i="44"/>
  <c r="C2319" i="39"/>
  <c r="C1953" i="44"/>
  <c r="C2299" i="39"/>
  <c r="C1933" i="44"/>
  <c r="C2279" i="39"/>
  <c r="C1913" i="44"/>
  <c r="C2259" i="39"/>
  <c r="C1893" i="44"/>
  <c r="C2239" i="39"/>
  <c r="C1873" i="44"/>
  <c r="C2219" i="39"/>
  <c r="C1853" i="44"/>
  <c r="C2199" i="39"/>
  <c r="C1833" i="44"/>
  <c r="C2179" i="39"/>
  <c r="C1813" i="44"/>
  <c r="C2159" i="39"/>
  <c r="C1793" i="44"/>
  <c r="C2139" i="39"/>
  <c r="C1773" i="44"/>
  <c r="C2119" i="39"/>
  <c r="C1753" i="44"/>
  <c r="C2099" i="39"/>
  <c r="C1733" i="44"/>
  <c r="C2079" i="39"/>
  <c r="C1713" i="44"/>
  <c r="C2059" i="39"/>
  <c r="C1693" i="44"/>
  <c r="C2039" i="39"/>
  <c r="F21" i="63" s="1"/>
  <c r="C2766" i="44"/>
  <c r="C2019" i="39"/>
  <c r="F18" i="64" s="1"/>
  <c r="C2746" i="44"/>
  <c r="C1999" i="39"/>
  <c r="C2726" i="44"/>
  <c r="C1979" i="39"/>
  <c r="F7" i="64" s="1"/>
  <c r="C2706" i="44"/>
  <c r="C1959" i="39"/>
  <c r="C2686" i="44"/>
  <c r="C1939" i="39"/>
  <c r="C2666" i="44"/>
  <c r="C1919" i="39"/>
  <c r="C2646" i="44"/>
  <c r="C1899" i="39"/>
  <c r="C2626" i="44"/>
  <c r="C1879" i="39"/>
  <c r="C1669" i="44"/>
  <c r="C1859" i="39"/>
  <c r="C1649" i="44"/>
  <c r="C1839" i="39"/>
  <c r="C1629" i="44"/>
  <c r="C1819" i="39"/>
  <c r="C1609" i="44"/>
  <c r="C1799" i="39"/>
  <c r="C1589" i="44"/>
  <c r="C1779" i="39"/>
  <c r="C1569" i="44"/>
  <c r="C1759" i="39"/>
  <c r="C1549" i="44"/>
  <c r="C1739" i="39"/>
  <c r="C1529" i="44"/>
  <c r="C1719" i="39"/>
  <c r="C1509" i="44"/>
  <c r="C1679" i="39"/>
  <c r="C2609" i="44"/>
  <c r="C1659" i="39"/>
  <c r="F29" i="61" s="1"/>
  <c r="C2589" i="44"/>
  <c r="C1639" i="39"/>
  <c r="C2569" i="44"/>
  <c r="C1619" i="39"/>
  <c r="F18" i="60" s="1"/>
  <c r="C2549" i="44"/>
  <c r="C1599" i="39"/>
  <c r="C2529" i="44"/>
  <c r="C1579" i="39"/>
  <c r="C2509" i="44"/>
  <c r="C1559" i="39"/>
  <c r="F28" i="60" s="1"/>
  <c r="C2489" i="44"/>
  <c r="C1539" i="39"/>
  <c r="C2469" i="44"/>
  <c r="C1519" i="39"/>
  <c r="F27" i="60" s="1"/>
  <c r="C2449" i="44"/>
  <c r="C1499" i="39"/>
  <c r="C2429" i="44"/>
  <c r="C1479" i="39"/>
  <c r="C1479" i="44"/>
  <c r="C1459" i="39"/>
  <c r="C1459" i="44"/>
  <c r="C1439" i="39"/>
  <c r="C1439" i="44"/>
  <c r="C1419" i="39"/>
  <c r="C1419" i="44"/>
  <c r="C1399" i="39"/>
  <c r="C1399" i="44"/>
  <c r="C1379" i="39"/>
  <c r="C1379" i="44"/>
  <c r="C1359" i="39"/>
  <c r="C1359" i="44"/>
  <c r="C1339" i="39"/>
  <c r="C1339" i="44"/>
  <c r="C1319" i="39"/>
  <c r="C1319" i="44"/>
  <c r="C1299" i="39"/>
  <c r="C1299" i="44"/>
  <c r="C1279" i="39"/>
  <c r="C1279" i="44"/>
  <c r="C1259" i="39"/>
  <c r="C1259" i="44"/>
  <c r="C1239" i="39"/>
  <c r="C1239" i="44"/>
  <c r="C1219" i="39"/>
  <c r="C1219" i="44"/>
  <c r="C1199" i="39"/>
  <c r="C1199" i="44"/>
  <c r="C1179" i="39"/>
  <c r="C1179" i="44"/>
  <c r="C1159" i="39"/>
  <c r="C1159" i="44"/>
  <c r="C1139" i="39"/>
  <c r="C1139" i="44"/>
  <c r="C1119" i="39"/>
  <c r="C1119" i="44"/>
  <c r="C1099" i="39"/>
  <c r="C1099" i="44"/>
  <c r="C1079" i="39"/>
  <c r="C1079" i="44"/>
  <c r="C1059" i="39"/>
  <c r="C1059" i="44"/>
  <c r="C1039" i="39"/>
  <c r="C1039" i="44"/>
  <c r="C1019" i="39"/>
  <c r="C1019" i="44"/>
  <c r="C999" i="39"/>
  <c r="C999" i="44"/>
  <c r="C979" i="39"/>
  <c r="C979" i="44"/>
  <c r="C959" i="39"/>
  <c r="C959" i="44"/>
  <c r="C939" i="39"/>
  <c r="C939" i="44"/>
  <c r="C919" i="39"/>
  <c r="C919" i="44"/>
  <c r="C899" i="39"/>
  <c r="C899" i="44"/>
  <c r="C879" i="39"/>
  <c r="C879" i="44"/>
  <c r="C859" i="39"/>
  <c r="C859" i="44"/>
  <c r="C839" i="39"/>
  <c r="C839" i="44"/>
  <c r="C819" i="39"/>
  <c r="C819" i="44"/>
  <c r="C799" i="39"/>
  <c r="C799" i="44"/>
  <c r="C779" i="39"/>
  <c r="C779" i="44"/>
  <c r="C759" i="39"/>
  <c r="C759" i="44"/>
  <c r="C739" i="39"/>
  <c r="C739" i="44"/>
  <c r="C719" i="39"/>
  <c r="C719" i="44"/>
  <c r="C699" i="39"/>
  <c r="C699" i="44"/>
  <c r="C679" i="39"/>
  <c r="C679" i="44"/>
  <c r="C659" i="39"/>
  <c r="C659" i="44"/>
  <c r="C639" i="39"/>
  <c r="C639" i="44"/>
  <c r="C619" i="39"/>
  <c r="C619" i="44"/>
  <c r="C599" i="39"/>
  <c r="C599" i="44"/>
  <c r="C579" i="39"/>
  <c r="C579" i="44"/>
  <c r="C559" i="39"/>
  <c r="C559" i="44"/>
  <c r="C539" i="39"/>
  <c r="C539" i="44"/>
  <c r="C519" i="39"/>
  <c r="C519" i="44"/>
  <c r="C499" i="39"/>
  <c r="C499" i="44"/>
  <c r="C479" i="39"/>
  <c r="C479" i="44"/>
  <c r="C459" i="39"/>
  <c r="C459" i="44"/>
  <c r="C439" i="39"/>
  <c r="F8" i="63" s="1"/>
  <c r="C439" i="44"/>
  <c r="C419" i="39"/>
  <c r="C419" i="44"/>
  <c r="C399" i="39"/>
  <c r="C399" i="44"/>
  <c r="C379" i="39"/>
  <c r="C379" i="44"/>
  <c r="C359" i="39"/>
  <c r="C359" i="44"/>
  <c r="C339" i="39"/>
  <c r="C339" i="44"/>
  <c r="C319" i="39"/>
  <c r="C319" i="44"/>
  <c r="C299" i="39"/>
  <c r="C299" i="44"/>
  <c r="C279" i="39"/>
  <c r="C279" i="44"/>
  <c r="C259" i="39"/>
  <c r="C259" i="44"/>
  <c r="C239" i="39"/>
  <c r="C239" i="44"/>
  <c r="C219" i="39"/>
  <c r="C219" i="44"/>
  <c r="C199" i="39"/>
  <c r="C199" i="44"/>
  <c r="C179" i="39"/>
  <c r="C179" i="44"/>
  <c r="C159" i="39"/>
  <c r="C159" i="44"/>
  <c r="C139" i="39"/>
  <c r="C139" i="44"/>
  <c r="C119" i="39"/>
  <c r="C119" i="44"/>
  <c r="C99" i="39"/>
  <c r="C99" i="44"/>
  <c r="C79" i="39"/>
  <c r="C79" i="44"/>
  <c r="C59" i="39"/>
  <c r="C59" i="44"/>
  <c r="C39" i="39"/>
  <c r="C39" i="44"/>
  <c r="C19" i="39"/>
  <c r="C19" i="44"/>
  <c r="B2832" i="44"/>
  <c r="B2810" i="44"/>
  <c r="B2788" i="44"/>
  <c r="B2765" i="44"/>
  <c r="B2743" i="44"/>
  <c r="B2721" i="44"/>
  <c r="B2698" i="44"/>
  <c r="B2676" i="44"/>
  <c r="B2654" i="44"/>
  <c r="B2632" i="44"/>
  <c r="B2610" i="44"/>
  <c r="B2588" i="44"/>
  <c r="B2565" i="44"/>
  <c r="B2543" i="44"/>
  <c r="B2521" i="44"/>
  <c r="B2498" i="44"/>
  <c r="B2476" i="44"/>
  <c r="B2454" i="44"/>
  <c r="B2432" i="44"/>
  <c r="B2410" i="44"/>
  <c r="B2388" i="44"/>
  <c r="B2365" i="44"/>
  <c r="B2343" i="44"/>
  <c r="B2321" i="44"/>
  <c r="B2298" i="44"/>
  <c r="B2276" i="44"/>
  <c r="B2254" i="44"/>
  <c r="B2232" i="44"/>
  <c r="B2205" i="44"/>
  <c r="B2177" i="44"/>
  <c r="B2152" i="44"/>
  <c r="B2125" i="44"/>
  <c r="B2097" i="44"/>
  <c r="B2072" i="44"/>
  <c r="B2045" i="44"/>
  <c r="B2015" i="44"/>
  <c r="B1982" i="44"/>
  <c r="B1954" i="44"/>
  <c r="B1915" i="44"/>
  <c r="B1859" i="44"/>
  <c r="B1815" i="44"/>
  <c r="B1759" i="44"/>
  <c r="B1713" i="44"/>
  <c r="B1594" i="44"/>
  <c r="B1478" i="39"/>
  <c r="B1478" i="44"/>
  <c r="B1438" i="39"/>
  <c r="B1438" i="44"/>
  <c r="B1398" i="39"/>
  <c r="B1398" i="44"/>
  <c r="B1338" i="39"/>
  <c r="B1338" i="44"/>
  <c r="B1298" i="39"/>
  <c r="B1298" i="44"/>
  <c r="B1258" i="39"/>
  <c r="B1258" i="44"/>
  <c r="B1218" i="39"/>
  <c r="B1218" i="44"/>
  <c r="B1178" i="39"/>
  <c r="B1178" i="44"/>
  <c r="B1138" i="39"/>
  <c r="B1138" i="44"/>
  <c r="B1098" i="39"/>
  <c r="B1098" i="44"/>
  <c r="B1058" i="39"/>
  <c r="B1058" i="44"/>
  <c r="B1018" i="39"/>
  <c r="B1018" i="44"/>
  <c r="B978" i="39"/>
  <c r="B978" i="44"/>
  <c r="B938" i="39"/>
  <c r="B938" i="44"/>
  <c r="B898" i="39"/>
  <c r="B898" i="44"/>
  <c r="B858" i="39"/>
  <c r="B858" i="44"/>
  <c r="B818" i="39"/>
  <c r="B818" i="44"/>
  <c r="B778" i="39"/>
  <c r="B778" i="44"/>
  <c r="B718" i="39"/>
  <c r="B718" i="44"/>
  <c r="B678" i="39"/>
  <c r="B678" i="44"/>
  <c r="B638" i="39"/>
  <c r="B638" i="44"/>
  <c r="B598" i="39"/>
  <c r="B598" i="44"/>
  <c r="B578" i="39"/>
  <c r="B578" i="44"/>
  <c r="B538" i="39"/>
  <c r="B538" i="44"/>
  <c r="B498" i="39"/>
  <c r="B498" i="44"/>
  <c r="B458" i="39"/>
  <c r="B458" i="44"/>
  <c r="B418" i="39"/>
  <c r="B418" i="44"/>
  <c r="B378" i="39"/>
  <c r="B378" i="44"/>
  <c r="B338" i="39"/>
  <c r="B338" i="44"/>
  <c r="B298" i="39"/>
  <c r="B298" i="44"/>
  <c r="B278" i="39"/>
  <c r="B278" i="44"/>
  <c r="B238" i="39"/>
  <c r="B238" i="44"/>
  <c r="B198" i="39"/>
  <c r="B198" i="44"/>
  <c r="B178" i="39"/>
  <c r="B178" i="44"/>
  <c r="B138" i="39"/>
  <c r="B138" i="44"/>
  <c r="B118" i="39"/>
  <c r="B118" i="44"/>
  <c r="B98" i="39"/>
  <c r="B98" i="44"/>
  <c r="B78" i="39"/>
  <c r="B78" i="44"/>
  <c r="B38" i="39"/>
  <c r="B38" i="44"/>
  <c r="B18" i="39"/>
  <c r="B18" i="44"/>
  <c r="C2958" i="39"/>
  <c r="C2831" i="44"/>
  <c r="C2918" i="39"/>
  <c r="C2791" i="44"/>
  <c r="C1678" i="39"/>
  <c r="C2608" i="44"/>
  <c r="C1658" i="39"/>
  <c r="C2588" i="44"/>
  <c r="C1638" i="39"/>
  <c r="C2568" i="44"/>
  <c r="C1618" i="39"/>
  <c r="F30" i="60" s="1"/>
  <c r="C2548" i="44"/>
  <c r="C1598" i="39"/>
  <c r="C2528" i="44"/>
  <c r="C1578" i="39"/>
  <c r="C2508" i="44"/>
  <c r="C1558" i="39"/>
  <c r="F29" i="60" s="1"/>
  <c r="C2488" i="44"/>
  <c r="C1538" i="39"/>
  <c r="C2468" i="44"/>
  <c r="C1518" i="39"/>
  <c r="F12" i="60" s="1"/>
  <c r="C2448" i="44"/>
  <c r="C1498" i="39"/>
  <c r="C2428" i="44"/>
  <c r="C1478" i="39"/>
  <c r="C1478" i="44"/>
  <c r="C1458" i="39"/>
  <c r="C1458" i="44"/>
  <c r="C1438" i="39"/>
  <c r="C1438" i="44"/>
  <c r="C1418" i="39"/>
  <c r="C1418" i="44"/>
  <c r="C1398" i="39"/>
  <c r="C1398" i="44"/>
  <c r="C1378" i="39"/>
  <c r="C1378" i="44"/>
  <c r="C1358" i="39"/>
  <c r="C1358" i="44"/>
  <c r="C1338" i="39"/>
  <c r="C1338" i="44"/>
  <c r="C1318" i="39"/>
  <c r="C1318" i="44"/>
  <c r="C1298" i="39"/>
  <c r="C1298" i="44"/>
  <c r="C1278" i="39"/>
  <c r="C1278" i="44"/>
  <c r="C1258" i="39"/>
  <c r="C1258" i="44"/>
  <c r="C1238" i="39"/>
  <c r="C1238" i="44"/>
  <c r="C1218" i="39"/>
  <c r="C1218" i="44"/>
  <c r="C1198" i="39"/>
  <c r="C1198" i="44"/>
  <c r="C1178" i="39"/>
  <c r="C1178" i="44"/>
  <c r="C1158" i="39"/>
  <c r="C1158" i="44"/>
  <c r="C1138" i="39"/>
  <c r="C1138" i="44"/>
  <c r="C1118" i="39"/>
  <c r="C1118" i="44"/>
  <c r="C1098" i="39"/>
  <c r="C1098" i="44"/>
  <c r="C1078" i="39"/>
  <c r="C1078" i="44"/>
  <c r="C1058" i="39"/>
  <c r="C1058" i="44"/>
  <c r="C1038" i="39"/>
  <c r="C1038" i="44"/>
  <c r="C1018" i="39"/>
  <c r="C1018" i="44"/>
  <c r="C998" i="39"/>
  <c r="C998" i="44"/>
  <c r="C978" i="39"/>
  <c r="C978" i="44"/>
  <c r="C958" i="39"/>
  <c r="C958" i="44"/>
  <c r="C938" i="39"/>
  <c r="C938" i="44"/>
  <c r="C918" i="39"/>
  <c r="C918" i="44"/>
  <c r="C898" i="39"/>
  <c r="C898" i="44"/>
  <c r="C878" i="39"/>
  <c r="C878" i="44"/>
  <c r="C858" i="39"/>
  <c r="C858" i="44"/>
  <c r="C838" i="39"/>
  <c r="C838" i="44"/>
  <c r="C818" i="39"/>
  <c r="C818" i="44"/>
  <c r="C798" i="39"/>
  <c r="C798" i="44"/>
  <c r="C778" i="39"/>
  <c r="C778" i="44"/>
  <c r="C758" i="39"/>
  <c r="C758" i="44"/>
  <c r="C738" i="39"/>
  <c r="C738" i="44"/>
  <c r="C718" i="39"/>
  <c r="C718" i="44"/>
  <c r="C698" i="39"/>
  <c r="C698" i="44"/>
  <c r="C678" i="39"/>
  <c r="C678" i="44"/>
  <c r="C658" i="39"/>
  <c r="C658" i="44"/>
  <c r="C638" i="39"/>
  <c r="C638" i="44"/>
  <c r="C618" i="39"/>
  <c r="C618" i="44"/>
  <c r="C598" i="39"/>
  <c r="C598" i="44"/>
  <c r="C578" i="39"/>
  <c r="C578" i="44"/>
  <c r="C558" i="39"/>
  <c r="C558" i="44"/>
  <c r="C538" i="39"/>
  <c r="C538" i="44"/>
  <c r="C518" i="39"/>
  <c r="C518" i="44"/>
  <c r="C498" i="39"/>
  <c r="C498" i="44"/>
  <c r="C478" i="39"/>
  <c r="C478" i="44"/>
  <c r="C458" i="39"/>
  <c r="C458" i="44"/>
  <c r="C438" i="39"/>
  <c r="F7" i="63" s="1"/>
  <c r="C438" i="44"/>
  <c r="C418" i="39"/>
  <c r="C418" i="44"/>
  <c r="C398" i="39"/>
  <c r="C398" i="44"/>
  <c r="C378" i="39"/>
  <c r="C378" i="44"/>
  <c r="C358" i="39"/>
  <c r="C358" i="44"/>
  <c r="C338" i="39"/>
  <c r="C338" i="44"/>
  <c r="C318" i="39"/>
  <c r="C318" i="44"/>
  <c r="C298" i="39"/>
  <c r="C298" i="44"/>
  <c r="C278" i="39"/>
  <c r="C278" i="44"/>
  <c r="C258" i="39"/>
  <c r="C258" i="44"/>
  <c r="C238" i="39"/>
  <c r="C238" i="44"/>
  <c r="C218" i="39"/>
  <c r="C218" i="44"/>
  <c r="C198" i="39"/>
  <c r="C198" i="44"/>
  <c r="C178" i="39"/>
  <c r="C178" i="44"/>
  <c r="C158" i="39"/>
  <c r="C158" i="44"/>
  <c r="C138" i="39"/>
  <c r="C138" i="44"/>
  <c r="C118" i="39"/>
  <c r="C118" i="44"/>
  <c r="C98" i="39"/>
  <c r="C98" i="44"/>
  <c r="C78" i="39"/>
  <c r="C78" i="44"/>
  <c r="C58" i="39"/>
  <c r="C58" i="44"/>
  <c r="C38" i="39"/>
  <c r="C38" i="44"/>
  <c r="C18" i="39"/>
  <c r="C18" i="44"/>
  <c r="B2831" i="44"/>
  <c r="B2809" i="44"/>
  <c r="B2787" i="44"/>
  <c r="B2764" i="44"/>
  <c r="B2742" i="44"/>
  <c r="B2719" i="44"/>
  <c r="B2697" i="44"/>
  <c r="B2675" i="44"/>
  <c r="B2653" i="44"/>
  <c r="B2631" i="44"/>
  <c r="B2609" i="44"/>
  <c r="B2587" i="44"/>
  <c r="B2564" i="44"/>
  <c r="B2542" i="44"/>
  <c r="B2519" i="44"/>
  <c r="B2497" i="44"/>
  <c r="B2475" i="44"/>
  <c r="B2453" i="44"/>
  <c r="B2431" i="44"/>
  <c r="B2409" i="44"/>
  <c r="B2387" i="44"/>
  <c r="B2364" i="44"/>
  <c r="B2342" i="44"/>
  <c r="B2319" i="44"/>
  <c r="B2297" i="44"/>
  <c r="B2275" i="44"/>
  <c r="B2253" i="44"/>
  <c r="B2231" i="44"/>
  <c r="B2202" i="44"/>
  <c r="B2176" i="44"/>
  <c r="B2151" i="44"/>
  <c r="B2122" i="44"/>
  <c r="B2096" i="44"/>
  <c r="B2071" i="44"/>
  <c r="B2042" i="44"/>
  <c r="B2014" i="44"/>
  <c r="B1981" i="44"/>
  <c r="B1953" i="44"/>
  <c r="B1914" i="44"/>
  <c r="B1858" i="44"/>
  <c r="B1814" i="44"/>
  <c r="B1758" i="44"/>
  <c r="B1712" i="44"/>
  <c r="B1578" i="44"/>
  <c r="B2058" i="39"/>
  <c r="B1692" i="44"/>
  <c r="B1878" i="39"/>
  <c r="B1668" i="44"/>
  <c r="B1858" i="39"/>
  <c r="B1648" i="44"/>
  <c r="B1838" i="39"/>
  <c r="B1628" i="44"/>
  <c r="B1818" i="39"/>
  <c r="B1608" i="44"/>
  <c r="B1798" i="39"/>
  <c r="B1588" i="44"/>
  <c r="B1778" i="39"/>
  <c r="B1568" i="44"/>
  <c r="B1758" i="39"/>
  <c r="B1548" i="44"/>
  <c r="B1738" i="39"/>
  <c r="B1528" i="44"/>
  <c r="B1718" i="39"/>
  <c r="B1508" i="44"/>
  <c r="B1458" i="39"/>
  <c r="B1458" i="44"/>
  <c r="B1418" i="39"/>
  <c r="B1418" i="44"/>
  <c r="B1378" i="39"/>
  <c r="B1378" i="44"/>
  <c r="B1358" i="39"/>
  <c r="B1358" i="44"/>
  <c r="B1318" i="39"/>
  <c r="B1318" i="44"/>
  <c r="B1278" i="39"/>
  <c r="B1278" i="44"/>
  <c r="B1238" i="39"/>
  <c r="B1238" i="44"/>
  <c r="B1198" i="39"/>
  <c r="B1198" i="44"/>
  <c r="B1158" i="39"/>
  <c r="B1158" i="44"/>
  <c r="B1118" i="39"/>
  <c r="B1118" i="44"/>
  <c r="B1078" i="39"/>
  <c r="B1078" i="44"/>
  <c r="B1038" i="39"/>
  <c r="B1038" i="44"/>
  <c r="B998" i="39"/>
  <c r="B998" i="44"/>
  <c r="B958" i="39"/>
  <c r="B958" i="44"/>
  <c r="B918" i="39"/>
  <c r="B918" i="44"/>
  <c r="B878" i="39"/>
  <c r="B878" i="44"/>
  <c r="B838" i="39"/>
  <c r="B838" i="44"/>
  <c r="B798" i="39"/>
  <c r="B798" i="44"/>
  <c r="B758" i="39"/>
  <c r="B758" i="44"/>
  <c r="B738" i="39"/>
  <c r="B738" i="44"/>
  <c r="B698" i="39"/>
  <c r="B698" i="44"/>
  <c r="B658" i="39"/>
  <c r="B658" i="44"/>
  <c r="B618" i="39"/>
  <c r="B618" i="44"/>
  <c r="B558" i="39"/>
  <c r="B558" i="44"/>
  <c r="B518" i="39"/>
  <c r="B518" i="44"/>
  <c r="B478" i="39"/>
  <c r="B478" i="44"/>
  <c r="B438" i="39"/>
  <c r="B438" i="44"/>
  <c r="B398" i="39"/>
  <c r="B398" i="44"/>
  <c r="B358" i="39"/>
  <c r="B358" i="44"/>
  <c r="B318" i="39"/>
  <c r="B318" i="44"/>
  <c r="B258" i="39"/>
  <c r="B258" i="44"/>
  <c r="B218" i="39"/>
  <c r="B218" i="44"/>
  <c r="B158" i="39"/>
  <c r="B158" i="44"/>
  <c r="B58" i="39"/>
  <c r="B58" i="44"/>
  <c r="C2938" i="39"/>
  <c r="C2811" i="44"/>
  <c r="C2778" i="39"/>
  <c r="C2412" i="44"/>
  <c r="C2758" i="39"/>
  <c r="C2392" i="44"/>
  <c r="C2738" i="39"/>
  <c r="C2372" i="44"/>
  <c r="C2718" i="39"/>
  <c r="C2352" i="44"/>
  <c r="C2698" i="39"/>
  <c r="C2332" i="44"/>
  <c r="C2678" i="39"/>
  <c r="C2312" i="44"/>
  <c r="C2658" i="39"/>
  <c r="C2292" i="44"/>
  <c r="C2638" i="39"/>
  <c r="C2272" i="44"/>
  <c r="C2618" i="39"/>
  <c r="C2252" i="44"/>
  <c r="C2598" i="39"/>
  <c r="C2232" i="44"/>
  <c r="C2578" i="39"/>
  <c r="C2212" i="44"/>
  <c r="C2558" i="39"/>
  <c r="C2192" i="44"/>
  <c r="C2538" i="39"/>
  <c r="C2172" i="44"/>
  <c r="C2518" i="39"/>
  <c r="C2152" i="44"/>
  <c r="C2498" i="39"/>
  <c r="C2132" i="44"/>
  <c r="C2478" i="39"/>
  <c r="C2112" i="44"/>
  <c r="C2458" i="39"/>
  <c r="C2092" i="44"/>
  <c r="C2438" i="39"/>
  <c r="C2072" i="44"/>
  <c r="C2418" i="39"/>
  <c r="C2052" i="44"/>
  <c r="C2398" i="39"/>
  <c r="C2032" i="44"/>
  <c r="C2378" i="39"/>
  <c r="C2012" i="44"/>
  <c r="C2358" i="39"/>
  <c r="C1992" i="44"/>
  <c r="C2338" i="39"/>
  <c r="C1972" i="44"/>
  <c r="C2318" i="39"/>
  <c r="C1952" i="44"/>
  <c r="C2298" i="39"/>
  <c r="C1932" i="44"/>
  <c r="C2278" i="39"/>
  <c r="C1912" i="44"/>
  <c r="C2258" i="39"/>
  <c r="C1892" i="44"/>
  <c r="C2238" i="39"/>
  <c r="C1872" i="44"/>
  <c r="C2218" i="39"/>
  <c r="C1852" i="44"/>
  <c r="C2198" i="39"/>
  <c r="C1832" i="44"/>
  <c r="C2178" i="39"/>
  <c r="C1812" i="44"/>
  <c r="C2158" i="39"/>
  <c r="C1792" i="44"/>
  <c r="C2138" i="39"/>
  <c r="C1772" i="44"/>
  <c r="C2118" i="39"/>
  <c r="C1752" i="44"/>
  <c r="C2098" i="39"/>
  <c r="C1732" i="44"/>
  <c r="C2078" i="39"/>
  <c r="C1712" i="44"/>
  <c r="C2058" i="39"/>
  <c r="C1692" i="44"/>
  <c r="C2038" i="39"/>
  <c r="F20" i="63" s="1"/>
  <c r="C2765" i="44"/>
  <c r="C2018" i="39"/>
  <c r="F34" i="64" s="1"/>
  <c r="C2745" i="44"/>
  <c r="C1998" i="39"/>
  <c r="F26" i="62" s="1"/>
  <c r="C2725" i="44"/>
  <c r="C1978" i="39"/>
  <c r="F8" i="64" s="1"/>
  <c r="C2705" i="44"/>
  <c r="C1958" i="39"/>
  <c r="C2685" i="44"/>
  <c r="C1938" i="39"/>
  <c r="C2665" i="44"/>
  <c r="C1918" i="39"/>
  <c r="C2645" i="44"/>
  <c r="C1898" i="39"/>
  <c r="C2625" i="44"/>
  <c r="C1878" i="39"/>
  <c r="C1668" i="44"/>
  <c r="C1858" i="39"/>
  <c r="C1648" i="44"/>
  <c r="C1838" i="39"/>
  <c r="C1628" i="44"/>
  <c r="C1818" i="39"/>
  <c r="C1608" i="44"/>
  <c r="C1798" i="39"/>
  <c r="C1588" i="44"/>
  <c r="C1778" i="39"/>
  <c r="C1568" i="44"/>
  <c r="C1758" i="39"/>
  <c r="C1548" i="44"/>
  <c r="C1738" i="39"/>
  <c r="C1528" i="44"/>
  <c r="C1718" i="39"/>
  <c r="C1508" i="44"/>
  <c r="B2397" i="39"/>
  <c r="B2031" i="44"/>
  <c r="B2377" i="39"/>
  <c r="B2011" i="44"/>
  <c r="B2357" i="39"/>
  <c r="B1991" i="44"/>
  <c r="B2337" i="39"/>
  <c r="B1971" i="44"/>
  <c r="B2317" i="39"/>
  <c r="B1951" i="44"/>
  <c r="B2297" i="39"/>
  <c r="B1931" i="44"/>
  <c r="B2277" i="39"/>
  <c r="B1911" i="44"/>
  <c r="B2257" i="39"/>
  <c r="B1891" i="44"/>
  <c r="B2237" i="39"/>
  <c r="B1871" i="44"/>
  <c r="B2217" i="39"/>
  <c r="B1851" i="44"/>
  <c r="B2197" i="39"/>
  <c r="B1831" i="44"/>
  <c r="B2177" i="39"/>
  <c r="B1811" i="44"/>
  <c r="B2157" i="39"/>
  <c r="B1791" i="44"/>
  <c r="B2137" i="39"/>
  <c r="B1771" i="44"/>
  <c r="B2117" i="39"/>
  <c r="B1751" i="44"/>
  <c r="B2097" i="39"/>
  <c r="B1731" i="44"/>
  <c r="B2077" i="39"/>
  <c r="B1711" i="44"/>
  <c r="B2057" i="39"/>
  <c r="B1691" i="44"/>
  <c r="B1877" i="39"/>
  <c r="B1667" i="44"/>
  <c r="B1857" i="39"/>
  <c r="B1647" i="44"/>
  <c r="B1837" i="39"/>
  <c r="B1627" i="44"/>
  <c r="B1817" i="39"/>
  <c r="B1607" i="44"/>
  <c r="B1797" i="39"/>
  <c r="B1587" i="44"/>
  <c r="B1777" i="39"/>
  <c r="B1567" i="44"/>
  <c r="B1757" i="39"/>
  <c r="B1547" i="44"/>
  <c r="B1737" i="39"/>
  <c r="B1527" i="44"/>
  <c r="B1717" i="39"/>
  <c r="B1507" i="44"/>
  <c r="B1477" i="39"/>
  <c r="B1477" i="44"/>
  <c r="B1457" i="39"/>
  <c r="B1457" i="44"/>
  <c r="B1437" i="39"/>
  <c r="B1437" i="44"/>
  <c r="B1417" i="39"/>
  <c r="B1417" i="44"/>
  <c r="B1397" i="39"/>
  <c r="B1397" i="44"/>
  <c r="B1377" i="39"/>
  <c r="B1377" i="44"/>
  <c r="B1357" i="39"/>
  <c r="B1357" i="44"/>
  <c r="B1337" i="39"/>
  <c r="B1337" i="44"/>
  <c r="B1317" i="39"/>
  <c r="B1317" i="44"/>
  <c r="B1297" i="39"/>
  <c r="B1297" i="44"/>
  <c r="B1277" i="39"/>
  <c r="B1277" i="44"/>
  <c r="B1257" i="39"/>
  <c r="B1257" i="44"/>
  <c r="B1237" i="39"/>
  <c r="B1237" i="44"/>
  <c r="B1217" i="39"/>
  <c r="B1217" i="44"/>
  <c r="B1197" i="39"/>
  <c r="B1197" i="44"/>
  <c r="B1177" i="39"/>
  <c r="B1177" i="44"/>
  <c r="B1157" i="39"/>
  <c r="B1157" i="44"/>
  <c r="B1137" i="39"/>
  <c r="B1137" i="44"/>
  <c r="B1117" i="39"/>
  <c r="B1117" i="44"/>
  <c r="B1097" i="39"/>
  <c r="B1097" i="44"/>
  <c r="B1077" i="39"/>
  <c r="B1077" i="44"/>
  <c r="B1057" i="39"/>
  <c r="B1057" i="44"/>
  <c r="B1037" i="39"/>
  <c r="B1037" i="44"/>
  <c r="B1017" i="39"/>
  <c r="B1017" i="44"/>
  <c r="B997" i="39"/>
  <c r="B997" i="44"/>
  <c r="B977" i="39"/>
  <c r="B977" i="44"/>
  <c r="B957" i="39"/>
  <c r="B957" i="44"/>
  <c r="B937" i="39"/>
  <c r="B937" i="44"/>
  <c r="B917" i="39"/>
  <c r="B917" i="44"/>
  <c r="B897" i="39"/>
  <c r="B897" i="44"/>
  <c r="B877" i="39"/>
  <c r="B877" i="44"/>
  <c r="B857" i="39"/>
  <c r="B857" i="44"/>
  <c r="B837" i="39"/>
  <c r="B837" i="44"/>
  <c r="B817" i="39"/>
  <c r="B817" i="44"/>
  <c r="B797" i="39"/>
  <c r="B797" i="44"/>
  <c r="B777" i="39"/>
  <c r="B777" i="44"/>
  <c r="B757" i="39"/>
  <c r="B757" i="44"/>
  <c r="B737" i="39"/>
  <c r="B737" i="44"/>
  <c r="B717" i="39"/>
  <c r="B717" i="44"/>
  <c r="B697" i="39"/>
  <c r="B697" i="44"/>
  <c r="B677" i="39"/>
  <c r="B677" i="44"/>
  <c r="B657" i="39"/>
  <c r="B657" i="44"/>
  <c r="B637" i="39"/>
  <c r="B637" i="44"/>
  <c r="B617" i="39"/>
  <c r="B617" i="44"/>
  <c r="B597" i="39"/>
  <c r="B597" i="44"/>
  <c r="B577" i="39"/>
  <c r="B577" i="44"/>
  <c r="B557" i="39"/>
  <c r="B557" i="44"/>
  <c r="B537" i="39"/>
  <c r="B537" i="44"/>
  <c r="B517" i="39"/>
  <c r="B517" i="44"/>
  <c r="B497" i="39"/>
  <c r="B497" i="44"/>
  <c r="B477" i="39"/>
  <c r="B477" i="44"/>
  <c r="B457" i="39"/>
  <c r="B457" i="44"/>
  <c r="B437" i="39"/>
  <c r="B437" i="44"/>
  <c r="B417" i="39"/>
  <c r="B417" i="44"/>
  <c r="B397" i="39"/>
  <c r="B397" i="44"/>
  <c r="B377" i="39"/>
  <c r="B377" i="44"/>
  <c r="B357" i="39"/>
  <c r="B357" i="44"/>
  <c r="B337" i="39"/>
  <c r="B337" i="44"/>
  <c r="B317" i="39"/>
  <c r="B317" i="44"/>
  <c r="B297" i="39"/>
  <c r="B297" i="44"/>
  <c r="B277" i="39"/>
  <c r="B277" i="44"/>
  <c r="B257" i="39"/>
  <c r="B257" i="44"/>
  <c r="B237" i="39"/>
  <c r="B237" i="44"/>
  <c r="B217" i="39"/>
  <c r="B217" i="44"/>
  <c r="B197" i="39"/>
  <c r="B197" i="44"/>
  <c r="B177" i="39"/>
  <c r="B177" i="44"/>
  <c r="B157" i="39"/>
  <c r="B157" i="44"/>
  <c r="B137" i="39"/>
  <c r="B137" i="44"/>
  <c r="B117" i="39"/>
  <c r="B117" i="44"/>
  <c r="B97" i="39"/>
  <c r="B97" i="44"/>
  <c r="B77" i="39"/>
  <c r="B77" i="44"/>
  <c r="B57" i="39"/>
  <c r="B57" i="44"/>
  <c r="B37" i="39"/>
  <c r="B37" i="44"/>
  <c r="B17" i="39"/>
  <c r="B17" i="44"/>
  <c r="C2957" i="39"/>
  <c r="C2830" i="44"/>
  <c r="C2937" i="39"/>
  <c r="C2810" i="44"/>
  <c r="C2917" i="39"/>
  <c r="C2790" i="44"/>
  <c r="C2777" i="39"/>
  <c r="C2411" i="44"/>
  <c r="C2757" i="39"/>
  <c r="C2391" i="44"/>
  <c r="C2737" i="39"/>
  <c r="C2371" i="44"/>
  <c r="C2717" i="39"/>
  <c r="C2351" i="44"/>
  <c r="C2697" i="39"/>
  <c r="C2331" i="44"/>
  <c r="C2677" i="39"/>
  <c r="C2311" i="44"/>
  <c r="C2657" i="39"/>
  <c r="C2291" i="44"/>
  <c r="C2637" i="39"/>
  <c r="C2271" i="44"/>
  <c r="C2617" i="39"/>
  <c r="C2251" i="44"/>
  <c r="C2597" i="39"/>
  <c r="C2231" i="44"/>
  <c r="C2577" i="39"/>
  <c r="C2211" i="44"/>
  <c r="C2557" i="39"/>
  <c r="C2191" i="44"/>
  <c r="C2537" i="39"/>
  <c r="C2171" i="44"/>
  <c r="C2517" i="39"/>
  <c r="C2151" i="44"/>
  <c r="C2497" i="39"/>
  <c r="C2131" i="44"/>
  <c r="C2477" i="39"/>
  <c r="C2111" i="44"/>
  <c r="C2457" i="39"/>
  <c r="C2091" i="44"/>
  <c r="C2437" i="39"/>
  <c r="C2071" i="44"/>
  <c r="C2417" i="39"/>
  <c r="C2051" i="44"/>
  <c r="C2397" i="39"/>
  <c r="C2031" i="44"/>
  <c r="C2377" i="39"/>
  <c r="C2011" i="44"/>
  <c r="C2357" i="39"/>
  <c r="C1991" i="44"/>
  <c r="C2337" i="39"/>
  <c r="C1971" i="44"/>
  <c r="C2317" i="39"/>
  <c r="C1951" i="44"/>
  <c r="C2297" i="39"/>
  <c r="C1931" i="44"/>
  <c r="C2277" i="39"/>
  <c r="C1911" i="44"/>
  <c r="C2257" i="39"/>
  <c r="C1891" i="44"/>
  <c r="C2237" i="39"/>
  <c r="C1871" i="44"/>
  <c r="C2217" i="39"/>
  <c r="C1851" i="44"/>
  <c r="C2197" i="39"/>
  <c r="C1831" i="44"/>
  <c r="C2177" i="39"/>
  <c r="C1811" i="44"/>
  <c r="C2157" i="39"/>
  <c r="C1791" i="44"/>
  <c r="C2137" i="39"/>
  <c r="C1771" i="44"/>
  <c r="C2117" i="39"/>
  <c r="C1751" i="44"/>
  <c r="C2097" i="39"/>
  <c r="C1731" i="44"/>
  <c r="C2077" i="39"/>
  <c r="C1711" i="44"/>
  <c r="C2057" i="39"/>
  <c r="C1691" i="44"/>
  <c r="C2037" i="39"/>
  <c r="F19" i="63" s="1"/>
  <c r="C2764" i="44"/>
  <c r="C2017" i="39"/>
  <c r="C2744" i="44"/>
  <c r="C1997" i="39"/>
  <c r="F10" i="60" s="1"/>
  <c r="C2724" i="44"/>
  <c r="C1977" i="39"/>
  <c r="C2704" i="44"/>
  <c r="C1957" i="39"/>
  <c r="C2684" i="44"/>
  <c r="C1937" i="39"/>
  <c r="C2664" i="44"/>
  <c r="C1917" i="39"/>
  <c r="F16" i="61" s="1"/>
  <c r="C2644" i="44"/>
  <c r="C1897" i="39"/>
  <c r="C2624" i="44"/>
  <c r="C1877" i="39"/>
  <c r="C1667" i="44"/>
  <c r="C1857" i="39"/>
  <c r="C1647" i="44"/>
  <c r="C1837" i="39"/>
  <c r="C1627" i="44"/>
  <c r="C1817" i="39"/>
  <c r="C1607" i="44"/>
  <c r="C1797" i="39"/>
  <c r="C1587" i="44"/>
  <c r="C1777" i="39"/>
  <c r="C1567" i="44"/>
  <c r="C1757" i="39"/>
  <c r="C1547" i="44"/>
  <c r="C1737" i="39"/>
  <c r="C1527" i="44"/>
  <c r="C1717" i="39"/>
  <c r="C1507" i="44"/>
  <c r="C1677" i="39"/>
  <c r="C2607" i="44"/>
  <c r="C1657" i="39"/>
  <c r="C2587" i="44"/>
  <c r="C1637" i="39"/>
  <c r="F29" i="65" s="1"/>
  <c r="C2567" i="44"/>
  <c r="C1617" i="39"/>
  <c r="F9" i="64" s="1"/>
  <c r="C2547" i="44"/>
  <c r="C1597" i="39"/>
  <c r="C2527" i="44"/>
  <c r="C1577" i="39"/>
  <c r="F28" i="65" s="1"/>
  <c r="C2507" i="44"/>
  <c r="C1557" i="39"/>
  <c r="C2487" i="44"/>
  <c r="C1537" i="39"/>
  <c r="C2467" i="44"/>
  <c r="C1517" i="39"/>
  <c r="C2447" i="44"/>
  <c r="C1497" i="39"/>
  <c r="C2427" i="44"/>
  <c r="C1477" i="39"/>
  <c r="C1477" i="44"/>
  <c r="C1457" i="39"/>
  <c r="C1457" i="44"/>
  <c r="C1437" i="39"/>
  <c r="C1437" i="44"/>
  <c r="C1417" i="39"/>
  <c r="C1417" i="44"/>
  <c r="C1397" i="39"/>
  <c r="C1397" i="44"/>
  <c r="C1377" i="39"/>
  <c r="C1377" i="44"/>
  <c r="C1357" i="39"/>
  <c r="C1357" i="44"/>
  <c r="C1337" i="39"/>
  <c r="C1337" i="44"/>
  <c r="C1317" i="39"/>
  <c r="C1317" i="44"/>
  <c r="C1297" i="39"/>
  <c r="C1297" i="44"/>
  <c r="C1277" i="39"/>
  <c r="C1277" i="44"/>
  <c r="C1257" i="39"/>
  <c r="C1257" i="44"/>
  <c r="C1237" i="39"/>
  <c r="C1237" i="44"/>
  <c r="C1217" i="39"/>
  <c r="C1217" i="44"/>
  <c r="C1197" i="39"/>
  <c r="C1197" i="44"/>
  <c r="C1177" i="39"/>
  <c r="C1177" i="44"/>
  <c r="C1157" i="39"/>
  <c r="C1157" i="44"/>
  <c r="C1137" i="39"/>
  <c r="C1137" i="44"/>
  <c r="C1117" i="39"/>
  <c r="C1117" i="44"/>
  <c r="C1097" i="39"/>
  <c r="C1097" i="44"/>
  <c r="C1077" i="39"/>
  <c r="C1077" i="44"/>
  <c r="C1057" i="39"/>
  <c r="C1057" i="44"/>
  <c r="C1037" i="39"/>
  <c r="C1037" i="44"/>
  <c r="C1017" i="39"/>
  <c r="C1017" i="44"/>
  <c r="C997" i="39"/>
  <c r="C997" i="44"/>
  <c r="C977" i="39"/>
  <c r="C977" i="44"/>
  <c r="C957" i="39"/>
  <c r="C957" i="44"/>
  <c r="C937" i="39"/>
  <c r="C937" i="44"/>
  <c r="C917" i="39"/>
  <c r="C917" i="44"/>
  <c r="C897" i="39"/>
  <c r="C897" i="44"/>
  <c r="C877" i="39"/>
  <c r="C877" i="44"/>
  <c r="C857" i="39"/>
  <c r="C857" i="44"/>
  <c r="C837" i="39"/>
  <c r="C837" i="44"/>
  <c r="C817" i="39"/>
  <c r="C817" i="44"/>
  <c r="C797" i="39"/>
  <c r="C797" i="44"/>
  <c r="C777" i="39"/>
  <c r="C777" i="44"/>
  <c r="C757" i="39"/>
  <c r="C757" i="44"/>
  <c r="C737" i="39"/>
  <c r="C737" i="44"/>
  <c r="C717" i="39"/>
  <c r="C717" i="44"/>
  <c r="C697" i="39"/>
  <c r="C697" i="44"/>
  <c r="C677" i="39"/>
  <c r="C677" i="44"/>
  <c r="C657" i="39"/>
  <c r="C657" i="44"/>
  <c r="C637" i="39"/>
  <c r="C637" i="44"/>
  <c r="C617" i="39"/>
  <c r="C617" i="44"/>
  <c r="C597" i="39"/>
  <c r="C597" i="44"/>
  <c r="C577" i="39"/>
  <c r="C577" i="44"/>
  <c r="C557" i="39"/>
  <c r="C557" i="44"/>
  <c r="C537" i="39"/>
  <c r="C537" i="44"/>
  <c r="C517" i="39"/>
  <c r="C517" i="44"/>
  <c r="C497" i="39"/>
  <c r="C497" i="44"/>
  <c r="C477" i="39"/>
  <c r="C477" i="44"/>
  <c r="C457" i="39"/>
  <c r="C457" i="44"/>
  <c r="C437" i="39"/>
  <c r="F6" i="63" s="1"/>
  <c r="C437" i="44"/>
  <c r="C417" i="39"/>
  <c r="C417" i="44"/>
  <c r="C397" i="39"/>
  <c r="C397" i="44"/>
  <c r="C377" i="39"/>
  <c r="C377" i="44"/>
  <c r="C357" i="39"/>
  <c r="C357" i="44"/>
  <c r="C337" i="39"/>
  <c r="C337" i="44"/>
  <c r="C317" i="39"/>
  <c r="C317" i="44"/>
  <c r="C297" i="39"/>
  <c r="C297" i="44"/>
  <c r="C277" i="39"/>
  <c r="C277" i="44"/>
  <c r="C257" i="39"/>
  <c r="C257" i="44"/>
  <c r="C237" i="39"/>
  <c r="C237" i="44"/>
  <c r="C217" i="39"/>
  <c r="C217" i="44"/>
  <c r="C197" i="39"/>
  <c r="C197" i="44"/>
  <c r="C177" i="39"/>
  <c r="C177" i="44"/>
  <c r="C157" i="39"/>
  <c r="C157" i="44"/>
  <c r="C137" i="39"/>
  <c r="C137" i="44"/>
  <c r="C117" i="39"/>
  <c r="C117" i="44"/>
  <c r="C97" i="39"/>
  <c r="C97" i="44"/>
  <c r="C77" i="39"/>
  <c r="C77" i="44"/>
  <c r="C57" i="39"/>
  <c r="C57" i="44"/>
  <c r="C37" i="39"/>
  <c r="C37" i="44"/>
  <c r="C17" i="39"/>
  <c r="C17" i="44"/>
  <c r="B2830" i="44"/>
  <c r="B2808" i="44"/>
  <c r="B2785" i="44"/>
  <c r="B2763" i="44"/>
  <c r="B2741" i="44"/>
  <c r="B2718" i="44"/>
  <c r="B2696" i="44"/>
  <c r="B2674" i="44"/>
  <c r="B2652" i="44"/>
  <c r="B2630" i="44"/>
  <c r="B2608" i="44"/>
  <c r="B2585" i="44"/>
  <c r="B2563" i="44"/>
  <c r="B2541" i="44"/>
  <c r="B2518" i="44"/>
  <c r="B2496" i="44"/>
  <c r="B2474" i="44"/>
  <c r="B2452" i="44"/>
  <c r="B2430" i="44"/>
  <c r="B2408" i="44"/>
  <c r="B2385" i="44"/>
  <c r="B2363" i="44"/>
  <c r="B2341" i="44"/>
  <c r="B2318" i="44"/>
  <c r="B2296" i="44"/>
  <c r="B2274" i="44"/>
  <c r="B2252" i="44"/>
  <c r="B2230" i="44"/>
  <c r="B2201" i="44"/>
  <c r="B2175" i="44"/>
  <c r="B2150" i="44"/>
  <c r="B2121" i="44"/>
  <c r="B2095" i="44"/>
  <c r="B2070" i="44"/>
  <c r="B2041" i="44"/>
  <c r="B2013" i="44"/>
  <c r="B1979" i="44"/>
  <c r="B1952" i="44"/>
  <c r="B1913" i="44"/>
  <c r="B1857" i="44"/>
  <c r="B1813" i="44"/>
  <c r="B1757" i="44"/>
  <c r="B1699" i="44"/>
  <c r="B1574" i="44"/>
  <c r="B2296" i="39"/>
  <c r="B1930" i="44"/>
  <c r="B2276" i="39"/>
  <c r="B1910" i="44"/>
  <c r="B2256" i="39"/>
  <c r="B1890" i="44"/>
  <c r="B2236" i="39"/>
  <c r="B1870" i="44"/>
  <c r="B2216" i="39"/>
  <c r="B1850" i="44"/>
  <c r="B2196" i="39"/>
  <c r="B1830" i="44"/>
  <c r="B2176" i="39"/>
  <c r="B1810" i="44"/>
  <c r="B2156" i="39"/>
  <c r="B1790" i="44"/>
  <c r="B2136" i="39"/>
  <c r="B1770" i="44"/>
  <c r="B2116" i="39"/>
  <c r="B1750" i="44"/>
  <c r="B2096" i="39"/>
  <c r="B1730" i="44"/>
  <c r="B2076" i="39"/>
  <c r="B1710" i="44"/>
  <c r="B2056" i="39"/>
  <c r="B1690" i="44"/>
  <c r="B1876" i="39"/>
  <c r="B1666" i="44"/>
  <c r="B1856" i="39"/>
  <c r="B1646" i="44"/>
  <c r="B1836" i="39"/>
  <c r="B1626" i="44"/>
  <c r="B1816" i="39"/>
  <c r="B1606" i="44"/>
  <c r="B1796" i="39"/>
  <c r="B1586" i="44"/>
  <c r="B1776" i="39"/>
  <c r="B1566" i="44"/>
  <c r="B1756" i="39"/>
  <c r="B1546" i="44"/>
  <c r="B1736" i="39"/>
  <c r="B1526" i="44"/>
  <c r="B1716" i="39"/>
  <c r="B1506" i="44"/>
  <c r="B1676" i="39"/>
  <c r="B2606" i="44"/>
  <c r="B1656" i="39"/>
  <c r="B2586" i="44"/>
  <c r="B1636" i="39"/>
  <c r="B2566" i="44"/>
  <c r="B1616" i="39"/>
  <c r="B2546" i="44"/>
  <c r="B1596" i="39"/>
  <c r="B2526" i="44"/>
  <c r="B1576" i="39"/>
  <c r="B2506" i="44"/>
  <c r="B1556" i="39"/>
  <c r="B2486" i="44"/>
  <c r="B1536" i="39"/>
  <c r="B2466" i="44"/>
  <c r="B1516" i="39"/>
  <c r="B2446" i="44"/>
  <c r="B1496" i="39"/>
  <c r="B2426" i="44"/>
  <c r="B1476" i="39"/>
  <c r="B1476" i="44"/>
  <c r="B1456" i="39"/>
  <c r="B1456" i="44"/>
  <c r="B1436" i="39"/>
  <c r="B1436" i="44"/>
  <c r="B1416" i="39"/>
  <c r="B1416" i="44"/>
  <c r="B1396" i="39"/>
  <c r="B1396" i="44"/>
  <c r="B1376" i="39"/>
  <c r="B1376" i="44"/>
  <c r="B1356" i="39"/>
  <c r="B1356" i="44"/>
  <c r="B1336" i="39"/>
  <c r="B1336" i="44"/>
  <c r="B1316" i="39"/>
  <c r="B1316" i="44"/>
  <c r="B1296" i="39"/>
  <c r="B1296" i="44"/>
  <c r="B1276" i="39"/>
  <c r="B1276" i="44"/>
  <c r="B1256" i="39"/>
  <c r="B1256" i="44"/>
  <c r="B1236" i="39"/>
  <c r="B1236" i="44"/>
  <c r="B1216" i="39"/>
  <c r="B1216" i="44"/>
  <c r="B1196" i="39"/>
  <c r="B1196" i="44"/>
  <c r="B1176" i="39"/>
  <c r="B1176" i="44"/>
  <c r="B1156" i="39"/>
  <c r="B1156" i="44"/>
  <c r="B1136" i="39"/>
  <c r="B1136" i="44"/>
  <c r="B1116" i="39"/>
  <c r="B1116" i="44"/>
  <c r="B1096" i="39"/>
  <c r="B1096" i="44"/>
  <c r="B1076" i="39"/>
  <c r="B1076" i="44"/>
  <c r="B1056" i="39"/>
  <c r="B1056" i="44"/>
  <c r="B1036" i="39"/>
  <c r="B1036" i="44"/>
  <c r="B1016" i="39"/>
  <c r="B1016" i="44"/>
  <c r="B996" i="39"/>
  <c r="B996" i="44"/>
  <c r="B976" i="39"/>
  <c r="B976" i="44"/>
  <c r="B956" i="39"/>
  <c r="B956" i="44"/>
  <c r="B936" i="39"/>
  <c r="B936" i="44"/>
  <c r="B916" i="39"/>
  <c r="B916" i="44"/>
  <c r="B896" i="39"/>
  <c r="B896" i="44"/>
  <c r="B876" i="39"/>
  <c r="B876" i="44"/>
  <c r="B856" i="39"/>
  <c r="B856" i="44"/>
  <c r="B836" i="39"/>
  <c r="B836" i="44"/>
  <c r="B816" i="39"/>
  <c r="B816" i="44"/>
  <c r="B796" i="39"/>
  <c r="B796" i="44"/>
  <c r="B776" i="39"/>
  <c r="B776" i="44"/>
  <c r="B756" i="39"/>
  <c r="B756" i="44"/>
  <c r="B736" i="39"/>
  <c r="B736" i="44"/>
  <c r="B716" i="39"/>
  <c r="B716" i="44"/>
  <c r="B696" i="39"/>
  <c r="B696" i="44"/>
  <c r="B676" i="39"/>
  <c r="B676" i="44"/>
  <c r="B656" i="39"/>
  <c r="B656" i="44"/>
  <c r="B636" i="39"/>
  <c r="B636" i="44"/>
  <c r="B616" i="39"/>
  <c r="B616" i="44"/>
  <c r="B596" i="39"/>
  <c r="B596" i="44"/>
  <c r="B576" i="39"/>
  <c r="B576" i="44"/>
  <c r="B556" i="39"/>
  <c r="B556" i="44"/>
  <c r="B536" i="39"/>
  <c r="B536" i="44"/>
  <c r="B516" i="39"/>
  <c r="B516" i="44"/>
  <c r="B496" i="39"/>
  <c r="B496" i="44"/>
  <c r="B476" i="39"/>
  <c r="B476" i="44"/>
  <c r="B456" i="39"/>
  <c r="B456" i="44"/>
  <c r="B436" i="39"/>
  <c r="B436" i="44"/>
  <c r="B416" i="39"/>
  <c r="B416" i="44"/>
  <c r="B396" i="39"/>
  <c r="B396" i="44"/>
  <c r="B376" i="39"/>
  <c r="B376" i="44"/>
  <c r="B356" i="39"/>
  <c r="B356" i="44"/>
  <c r="B336" i="39"/>
  <c r="B336" i="44"/>
  <c r="B316" i="39"/>
  <c r="B316" i="44"/>
  <c r="B296" i="39"/>
  <c r="B296" i="44"/>
  <c r="B276" i="39"/>
  <c r="B276" i="44"/>
  <c r="B256" i="39"/>
  <c r="B256" i="44"/>
  <c r="B236" i="39"/>
  <c r="B236" i="44"/>
  <c r="B216" i="39"/>
  <c r="B216" i="44"/>
  <c r="B196" i="39"/>
  <c r="B196" i="44"/>
  <c r="B176" i="39"/>
  <c r="B176" i="44"/>
  <c r="B156" i="39"/>
  <c r="B156" i="44"/>
  <c r="B136" i="39"/>
  <c r="B136" i="44"/>
  <c r="B116" i="39"/>
  <c r="B116" i="44"/>
  <c r="B96" i="39"/>
  <c r="B96" i="44"/>
  <c r="B76" i="39"/>
  <c r="B76" i="44"/>
  <c r="B56" i="39"/>
  <c r="B56" i="44"/>
  <c r="B36" i="39"/>
  <c r="B36" i="44"/>
  <c r="B16" i="39"/>
  <c r="B16" i="44"/>
  <c r="C2956" i="39"/>
  <c r="C2829" i="44"/>
  <c r="C2936" i="39"/>
  <c r="C2809" i="44"/>
  <c r="C2916" i="39"/>
  <c r="C2789" i="44"/>
  <c r="C2776" i="39"/>
  <c r="C2410" i="44"/>
  <c r="C2756" i="39"/>
  <c r="C2390" i="44"/>
  <c r="C2736" i="39"/>
  <c r="C2370" i="44"/>
  <c r="C2716" i="39"/>
  <c r="C2350" i="44"/>
  <c r="C2696" i="39"/>
  <c r="C2330" i="44"/>
  <c r="C2676" i="39"/>
  <c r="C2310" i="44"/>
  <c r="C2656" i="39"/>
  <c r="C2290" i="44"/>
  <c r="C2636" i="39"/>
  <c r="C2270" i="44"/>
  <c r="C2616" i="39"/>
  <c r="C2250" i="44"/>
  <c r="C2596" i="39"/>
  <c r="C2230" i="44"/>
  <c r="C2576" i="39"/>
  <c r="C2210" i="44"/>
  <c r="C2556" i="39"/>
  <c r="C2190" i="44"/>
  <c r="C2536" i="39"/>
  <c r="C2170" i="44"/>
  <c r="C2516" i="39"/>
  <c r="C2150" i="44"/>
  <c r="C2496" i="39"/>
  <c r="C2130" i="44"/>
  <c r="C2476" i="39"/>
  <c r="C2110" i="44"/>
  <c r="C2456" i="39"/>
  <c r="C2090" i="44"/>
  <c r="C2436" i="39"/>
  <c r="C2070" i="44"/>
  <c r="C2416" i="39"/>
  <c r="C2050" i="44"/>
  <c r="C2396" i="39"/>
  <c r="C2030" i="44"/>
  <c r="C2376" i="39"/>
  <c r="C2010" i="44"/>
  <c r="C2356" i="39"/>
  <c r="C1990" i="44"/>
  <c r="C2336" i="39"/>
  <c r="C1970" i="44"/>
  <c r="C2316" i="39"/>
  <c r="C1950" i="44"/>
  <c r="C2296" i="39"/>
  <c r="C1930" i="44"/>
  <c r="C2276" i="39"/>
  <c r="C1910" i="44"/>
  <c r="C2256" i="39"/>
  <c r="C1890" i="44"/>
  <c r="C2236" i="39"/>
  <c r="C1870" i="44"/>
  <c r="C2216" i="39"/>
  <c r="C1850" i="44"/>
  <c r="C2196" i="39"/>
  <c r="C1830" i="44"/>
  <c r="C2176" i="39"/>
  <c r="C1810" i="44"/>
  <c r="C2156" i="39"/>
  <c r="C1790" i="44"/>
  <c r="C2136" i="39"/>
  <c r="C1770" i="44"/>
  <c r="C2116" i="39"/>
  <c r="C1750" i="44"/>
  <c r="C2096" i="39"/>
  <c r="C1730" i="44"/>
  <c r="C2076" i="39"/>
  <c r="C1710" i="44"/>
  <c r="C2056" i="39"/>
  <c r="C1690" i="44"/>
  <c r="C2036" i="39"/>
  <c r="C2763" i="44"/>
  <c r="C2016" i="39"/>
  <c r="C2743" i="44"/>
  <c r="C1996" i="39"/>
  <c r="F11" i="60" s="1"/>
  <c r="C2723" i="44"/>
  <c r="C1976" i="39"/>
  <c r="C2703" i="44"/>
  <c r="C1956" i="39"/>
  <c r="C2683" i="44"/>
  <c r="C1936" i="39"/>
  <c r="F25" i="62" s="1"/>
  <c r="C2663" i="44"/>
  <c r="C1916" i="39"/>
  <c r="F17" i="61" s="1"/>
  <c r="C2643" i="44"/>
  <c r="C1896" i="39"/>
  <c r="C2623" i="44"/>
  <c r="C1876" i="39"/>
  <c r="C1666" i="44"/>
  <c r="C1856" i="39"/>
  <c r="C1646" i="44"/>
  <c r="C1836" i="39"/>
  <c r="C1626" i="44"/>
  <c r="C1816" i="39"/>
  <c r="C1606" i="44"/>
  <c r="C1796" i="39"/>
  <c r="C1586" i="44"/>
  <c r="C1776" i="39"/>
  <c r="C1566" i="44"/>
  <c r="C1756" i="39"/>
  <c r="C1546" i="44"/>
  <c r="C1736" i="39"/>
  <c r="C1526" i="44"/>
  <c r="C1716" i="39"/>
  <c r="C1506" i="44"/>
  <c r="C1676" i="39"/>
  <c r="C2606" i="44"/>
  <c r="C1656" i="39"/>
  <c r="C2586" i="44"/>
  <c r="C1636" i="39"/>
  <c r="C2566" i="44"/>
  <c r="C1616" i="39"/>
  <c r="C2546" i="44"/>
  <c r="C1596" i="39"/>
  <c r="C2526" i="44"/>
  <c r="C1576" i="39"/>
  <c r="C2506" i="44"/>
  <c r="C1556" i="39"/>
  <c r="C2486" i="44"/>
  <c r="C1536" i="39"/>
  <c r="C2466" i="44"/>
  <c r="C1516" i="39"/>
  <c r="F36" i="62" s="1"/>
  <c r="C2446" i="44"/>
  <c r="C1496" i="39"/>
  <c r="C2426" i="44"/>
  <c r="C1476" i="39"/>
  <c r="C1476" i="44"/>
  <c r="C1456" i="39"/>
  <c r="C1456" i="44"/>
  <c r="C1436" i="39"/>
  <c r="C1436" i="44"/>
  <c r="C1416" i="39"/>
  <c r="C1416" i="44"/>
  <c r="C1396" i="39"/>
  <c r="C1396" i="44"/>
  <c r="C1376" i="39"/>
  <c r="C1376" i="44"/>
  <c r="C1356" i="39"/>
  <c r="C1356" i="44"/>
  <c r="C1336" i="39"/>
  <c r="C1336" i="44"/>
  <c r="C1316" i="39"/>
  <c r="C1316" i="44"/>
  <c r="C1296" i="39"/>
  <c r="C1296" i="44"/>
  <c r="C1276" i="39"/>
  <c r="C1276" i="44"/>
  <c r="C1256" i="39"/>
  <c r="C1256" i="44"/>
  <c r="C1236" i="39"/>
  <c r="C1236" i="44"/>
  <c r="C1216" i="39"/>
  <c r="C1216" i="44"/>
  <c r="C1196" i="39"/>
  <c r="C1196" i="44"/>
  <c r="C1176" i="39"/>
  <c r="C1176" i="44"/>
  <c r="C1156" i="39"/>
  <c r="C1156" i="44"/>
  <c r="C1136" i="39"/>
  <c r="C1136" i="44"/>
  <c r="C1116" i="39"/>
  <c r="C1116" i="44"/>
  <c r="C1096" i="39"/>
  <c r="C1096" i="44"/>
  <c r="C1076" i="39"/>
  <c r="C1076" i="44"/>
  <c r="C1056" i="39"/>
  <c r="C1056" i="44"/>
  <c r="C1036" i="39"/>
  <c r="C1036" i="44"/>
  <c r="C1016" i="39"/>
  <c r="C1016" i="44"/>
  <c r="C996" i="39"/>
  <c r="C996" i="44"/>
  <c r="C976" i="39"/>
  <c r="C976" i="44"/>
  <c r="C956" i="39"/>
  <c r="C956" i="44"/>
  <c r="C936" i="39"/>
  <c r="C936" i="44"/>
  <c r="C916" i="39"/>
  <c r="C916" i="44"/>
  <c r="C896" i="39"/>
  <c r="C896" i="44"/>
  <c r="C876" i="39"/>
  <c r="C876" i="44"/>
  <c r="C856" i="39"/>
  <c r="C856" i="44"/>
  <c r="C836" i="39"/>
  <c r="C836" i="44"/>
  <c r="C816" i="39"/>
  <c r="C816" i="44"/>
  <c r="C796" i="39"/>
  <c r="C796" i="44"/>
  <c r="C776" i="39"/>
  <c r="C776" i="44"/>
  <c r="C756" i="39"/>
  <c r="C756" i="44"/>
  <c r="C736" i="39"/>
  <c r="C736" i="44"/>
  <c r="C716" i="39"/>
  <c r="C716" i="44"/>
  <c r="C696" i="39"/>
  <c r="C696" i="44"/>
  <c r="C676" i="39"/>
  <c r="C676" i="44"/>
  <c r="C656" i="39"/>
  <c r="C656" i="44"/>
  <c r="C636" i="39"/>
  <c r="C636" i="44"/>
  <c r="C616" i="39"/>
  <c r="C616" i="44"/>
  <c r="C596" i="39"/>
  <c r="C596" i="44"/>
  <c r="C576" i="39"/>
  <c r="C576" i="44"/>
  <c r="C556" i="39"/>
  <c r="C556" i="44"/>
  <c r="C536" i="39"/>
  <c r="C536" i="44"/>
  <c r="C516" i="39"/>
  <c r="C516" i="44"/>
  <c r="C496" i="39"/>
  <c r="C496" i="44"/>
  <c r="C476" i="39"/>
  <c r="C476" i="44"/>
  <c r="C456" i="39"/>
  <c r="C456" i="44"/>
  <c r="C436" i="39"/>
  <c r="F5" i="63" s="1"/>
  <c r="C436" i="44"/>
  <c r="C416" i="39"/>
  <c r="C416" i="44"/>
  <c r="C396" i="39"/>
  <c r="C396" i="44"/>
  <c r="C376" i="39"/>
  <c r="C376" i="44"/>
  <c r="C356" i="39"/>
  <c r="C356" i="44"/>
  <c r="C336" i="39"/>
  <c r="C336" i="44"/>
  <c r="C316" i="39"/>
  <c r="C316" i="44"/>
  <c r="C296" i="39"/>
  <c r="C296" i="44"/>
  <c r="C276" i="39"/>
  <c r="C276" i="44"/>
  <c r="C256" i="39"/>
  <c r="C256" i="44"/>
  <c r="C236" i="39"/>
  <c r="C236" i="44"/>
  <c r="C216" i="39"/>
  <c r="C216" i="44"/>
  <c r="C196" i="39"/>
  <c r="C196" i="44"/>
  <c r="C176" i="39"/>
  <c r="C176" i="44"/>
  <c r="C156" i="39"/>
  <c r="C156" i="44"/>
  <c r="C136" i="39"/>
  <c r="C136" i="44"/>
  <c r="C116" i="39"/>
  <c r="C116" i="44"/>
  <c r="C96" i="39"/>
  <c r="C96" i="44"/>
  <c r="C76" i="39"/>
  <c r="C76" i="44"/>
  <c r="C56" i="39"/>
  <c r="C56" i="44"/>
  <c r="C36" i="39"/>
  <c r="C36" i="44"/>
  <c r="C16" i="39"/>
  <c r="C16" i="44"/>
  <c r="B2829" i="44"/>
  <c r="B2807" i="44"/>
  <c r="B2784" i="44"/>
  <c r="B2762" i="44"/>
  <c r="B2739" i="44"/>
  <c r="B2717" i="44"/>
  <c r="B2695" i="44"/>
  <c r="B2673" i="44"/>
  <c r="B2651" i="44"/>
  <c r="B2629" i="44"/>
  <c r="B2607" i="44"/>
  <c r="B2584" i="44"/>
  <c r="B2562" i="44"/>
  <c r="B2539" i="44"/>
  <c r="B2517" i="44"/>
  <c r="B2495" i="44"/>
  <c r="B2473" i="44"/>
  <c r="B2451" i="44"/>
  <c r="B2429" i="44"/>
  <c r="B2407" i="44"/>
  <c r="B2384" i="44"/>
  <c r="B2362" i="44"/>
  <c r="B2339" i="44"/>
  <c r="B2317" i="44"/>
  <c r="B2295" i="44"/>
  <c r="B2273" i="44"/>
  <c r="B2251" i="44"/>
  <c r="B2228" i="44"/>
  <c r="B2199" i="44"/>
  <c r="B2174" i="44"/>
  <c r="B2148" i="44"/>
  <c r="B2119" i="44"/>
  <c r="B2094" i="44"/>
  <c r="B2068" i="44"/>
  <c r="B2039" i="44"/>
  <c r="B2012" i="44"/>
  <c r="B1978" i="44"/>
  <c r="B1950" i="44"/>
  <c r="B1912" i="44"/>
  <c r="B1856" i="44"/>
  <c r="B1812" i="44"/>
  <c r="B1756" i="44"/>
  <c r="B1698" i="44"/>
  <c r="B1554" i="44"/>
  <c r="B2595" i="39"/>
  <c r="B2229" i="44"/>
  <c r="B2575" i="39"/>
  <c r="B2209" i="44"/>
  <c r="B2555" i="39"/>
  <c r="B2189" i="44"/>
  <c r="B2535" i="39"/>
  <c r="B2169" i="44"/>
  <c r="B2515" i="39"/>
  <c r="B2149" i="44"/>
  <c r="B2495" i="39"/>
  <c r="B2129" i="44"/>
  <c r="B2475" i="39"/>
  <c r="B2109" i="44"/>
  <c r="B2455" i="39"/>
  <c r="B2089" i="44"/>
  <c r="B2435" i="39"/>
  <c r="B2069" i="44"/>
  <c r="B2415" i="39"/>
  <c r="B2049" i="44"/>
  <c r="B2395" i="39"/>
  <c r="B2029" i="44"/>
  <c r="B2375" i="39"/>
  <c r="B2009" i="44"/>
  <c r="B2355" i="39"/>
  <c r="B1989" i="44"/>
  <c r="B2335" i="39"/>
  <c r="B1969" i="44"/>
  <c r="B2315" i="39"/>
  <c r="B1949" i="44"/>
  <c r="B2295" i="39"/>
  <c r="B1929" i="44"/>
  <c r="B2275" i="39"/>
  <c r="B1909" i="44"/>
  <c r="B2255" i="39"/>
  <c r="B1889" i="44"/>
  <c r="B2235" i="39"/>
  <c r="B1869" i="44"/>
  <c r="B2215" i="39"/>
  <c r="B1849" i="44"/>
  <c r="B2195" i="39"/>
  <c r="B1829" i="44"/>
  <c r="B2175" i="39"/>
  <c r="B1809" i="44"/>
  <c r="B2155" i="39"/>
  <c r="B1789" i="44"/>
  <c r="B2135" i="39"/>
  <c r="B1769" i="44"/>
  <c r="B2115" i="39"/>
  <c r="B1749" i="44"/>
  <c r="B2095" i="39"/>
  <c r="B1729" i="44"/>
  <c r="B2075" i="39"/>
  <c r="B1709" i="44"/>
  <c r="B2055" i="39"/>
  <c r="B1689" i="44"/>
  <c r="B1875" i="39"/>
  <c r="B1665" i="44"/>
  <c r="B1855" i="39"/>
  <c r="B1645" i="44"/>
  <c r="B1835" i="39"/>
  <c r="B1625" i="44"/>
  <c r="B1815" i="39"/>
  <c r="B1605" i="44"/>
  <c r="B1795" i="39"/>
  <c r="B1585" i="44"/>
  <c r="B1775" i="39"/>
  <c r="B1565" i="44"/>
  <c r="B1755" i="39"/>
  <c r="B1545" i="44"/>
  <c r="B1735" i="39"/>
  <c r="B1525" i="44"/>
  <c r="B1715" i="39"/>
  <c r="B1505" i="44"/>
  <c r="B1475" i="39"/>
  <c r="B1475" i="44"/>
  <c r="B1455" i="39"/>
  <c r="B1455" i="44"/>
  <c r="B1435" i="39"/>
  <c r="B1435" i="44"/>
  <c r="B1415" i="39"/>
  <c r="B1415" i="44"/>
  <c r="B1395" i="39"/>
  <c r="B1395" i="44"/>
  <c r="B1375" i="39"/>
  <c r="B1375" i="44"/>
  <c r="B1355" i="39"/>
  <c r="B1355" i="44"/>
  <c r="B1335" i="39"/>
  <c r="B1335" i="44"/>
  <c r="B1315" i="39"/>
  <c r="B1315" i="44"/>
  <c r="B1295" i="39"/>
  <c r="B1295" i="44"/>
  <c r="B1275" i="39"/>
  <c r="B1275" i="44"/>
  <c r="B1255" i="39"/>
  <c r="B1255" i="44"/>
  <c r="B1235" i="39"/>
  <c r="B1235" i="44"/>
  <c r="B1215" i="39"/>
  <c r="B1215" i="44"/>
  <c r="B1195" i="39"/>
  <c r="B1195" i="44"/>
  <c r="B1175" i="39"/>
  <c r="B1175" i="44"/>
  <c r="B1155" i="39"/>
  <c r="B1155" i="44"/>
  <c r="B1135" i="39"/>
  <c r="B1135" i="44"/>
  <c r="B1115" i="39"/>
  <c r="B1115" i="44"/>
  <c r="B1095" i="39"/>
  <c r="B1095" i="44"/>
  <c r="B1075" i="39"/>
  <c r="B1075" i="44"/>
  <c r="B1055" i="39"/>
  <c r="B1055" i="44"/>
  <c r="B1035" i="39"/>
  <c r="B1035" i="44"/>
  <c r="B1015" i="39"/>
  <c r="B1015" i="44"/>
  <c r="B995" i="39"/>
  <c r="B995" i="44"/>
  <c r="B975" i="39"/>
  <c r="B975" i="44"/>
  <c r="B955" i="39"/>
  <c r="B955" i="44"/>
  <c r="B935" i="39"/>
  <c r="B935" i="44"/>
  <c r="B915" i="39"/>
  <c r="B915" i="44"/>
  <c r="B895" i="39"/>
  <c r="B895" i="44"/>
  <c r="B875" i="39"/>
  <c r="B875" i="44"/>
  <c r="B855" i="39"/>
  <c r="B855" i="44"/>
  <c r="B835" i="39"/>
  <c r="B835" i="44"/>
  <c r="B815" i="39"/>
  <c r="B815" i="44"/>
  <c r="B795" i="39"/>
  <c r="B795" i="44"/>
  <c r="B775" i="39"/>
  <c r="B775" i="44"/>
  <c r="B755" i="39"/>
  <c r="B755" i="44"/>
  <c r="B735" i="39"/>
  <c r="B735" i="44"/>
  <c r="B715" i="39"/>
  <c r="B715" i="44"/>
  <c r="B695" i="39"/>
  <c r="B695" i="44"/>
  <c r="B675" i="39"/>
  <c r="B675" i="44"/>
  <c r="B655" i="39"/>
  <c r="B655" i="44"/>
  <c r="B635" i="39"/>
  <c r="B635" i="44"/>
  <c r="B615" i="39"/>
  <c r="B615" i="44"/>
  <c r="B595" i="39"/>
  <c r="B595" i="44"/>
  <c r="B575" i="39"/>
  <c r="B575" i="44"/>
  <c r="B555" i="39"/>
  <c r="B555" i="44"/>
  <c r="B535" i="39"/>
  <c r="B535" i="44"/>
  <c r="B515" i="39"/>
  <c r="B515" i="44"/>
  <c r="B495" i="39"/>
  <c r="B495" i="44"/>
  <c r="B475" i="39"/>
  <c r="B475" i="44"/>
  <c r="B455" i="39"/>
  <c r="B455" i="44"/>
  <c r="B435" i="39"/>
  <c r="B435" i="44"/>
  <c r="B415" i="39"/>
  <c r="B415" i="44"/>
  <c r="B395" i="39"/>
  <c r="B395" i="44"/>
  <c r="B375" i="39"/>
  <c r="B375" i="44"/>
  <c r="B355" i="39"/>
  <c r="B355" i="44"/>
  <c r="B335" i="39"/>
  <c r="B335" i="44"/>
  <c r="B315" i="39"/>
  <c r="B315" i="44"/>
  <c r="B295" i="39"/>
  <c r="B295" i="44"/>
  <c r="B275" i="39"/>
  <c r="B275" i="44"/>
  <c r="B255" i="39"/>
  <c r="B255" i="44"/>
  <c r="B235" i="39"/>
  <c r="B235" i="44"/>
  <c r="B215" i="39"/>
  <c r="B215" i="44"/>
  <c r="B195" i="39"/>
  <c r="B195" i="44"/>
  <c r="B175" i="39"/>
  <c r="B175" i="44"/>
  <c r="B155" i="39"/>
  <c r="B155" i="44"/>
  <c r="B135" i="39"/>
  <c r="B135" i="44"/>
  <c r="B115" i="39"/>
  <c r="B115" i="44"/>
  <c r="B95" i="39"/>
  <c r="B95" i="44"/>
  <c r="B75" i="39"/>
  <c r="B75" i="44"/>
  <c r="B55" i="39"/>
  <c r="B55" i="44"/>
  <c r="B35" i="39"/>
  <c r="B35" i="44"/>
  <c r="B15" i="39"/>
  <c r="B15" i="44"/>
  <c r="C2955" i="39"/>
  <c r="C2828" i="44"/>
  <c r="C2935" i="39"/>
  <c r="C2808" i="44"/>
  <c r="C2915" i="39"/>
  <c r="C2788" i="44"/>
  <c r="C2775" i="39"/>
  <c r="C2409" i="44"/>
  <c r="C2755" i="39"/>
  <c r="C2389" i="44"/>
  <c r="C2735" i="39"/>
  <c r="C2369" i="44"/>
  <c r="C2715" i="39"/>
  <c r="C2349" i="44"/>
  <c r="C2695" i="39"/>
  <c r="C2329" i="44"/>
  <c r="C2675" i="39"/>
  <c r="C2309" i="44"/>
  <c r="C2655" i="39"/>
  <c r="C2289" i="44"/>
  <c r="C2635" i="39"/>
  <c r="C2269" i="44"/>
  <c r="C2615" i="39"/>
  <c r="C2249" i="44"/>
  <c r="C2595" i="39"/>
  <c r="C2229" i="44"/>
  <c r="C2575" i="39"/>
  <c r="C2209" i="44"/>
  <c r="C2555" i="39"/>
  <c r="C2189" i="44"/>
  <c r="C2535" i="39"/>
  <c r="C2169" i="44"/>
  <c r="C2515" i="39"/>
  <c r="C2149" i="44"/>
  <c r="C2495" i="39"/>
  <c r="C2129" i="44"/>
  <c r="C2475" i="39"/>
  <c r="C2109" i="44"/>
  <c r="C2455" i="39"/>
  <c r="C2089" i="44"/>
  <c r="C2435" i="39"/>
  <c r="C2069" i="44"/>
  <c r="C2415" i="39"/>
  <c r="C2049" i="44"/>
  <c r="C2395" i="39"/>
  <c r="C2029" i="44"/>
  <c r="C2375" i="39"/>
  <c r="C2009" i="44"/>
  <c r="C2355" i="39"/>
  <c r="C1989" i="44"/>
  <c r="C2335" i="39"/>
  <c r="C1969" i="44"/>
  <c r="C2315" i="39"/>
  <c r="C1949" i="44"/>
  <c r="C2295" i="39"/>
  <c r="C1929" i="44"/>
  <c r="C2275" i="39"/>
  <c r="C1909" i="44"/>
  <c r="C2255" i="39"/>
  <c r="C1889" i="44"/>
  <c r="C2235" i="39"/>
  <c r="C1869" i="44"/>
  <c r="C2215" i="39"/>
  <c r="C1849" i="44"/>
  <c r="C2195" i="39"/>
  <c r="C1829" i="44"/>
  <c r="C2175" i="39"/>
  <c r="C1809" i="44"/>
  <c r="C2155" i="39"/>
  <c r="C1789" i="44"/>
  <c r="C2135" i="39"/>
  <c r="C1769" i="44"/>
  <c r="C2115" i="39"/>
  <c r="C1749" i="44"/>
  <c r="C2095" i="39"/>
  <c r="C1729" i="44"/>
  <c r="C2075" i="39"/>
  <c r="C1709" i="44"/>
  <c r="C2055" i="39"/>
  <c r="C1689" i="44"/>
  <c r="C2035" i="39"/>
  <c r="C2762" i="44"/>
  <c r="C2015" i="39"/>
  <c r="C2742" i="44"/>
  <c r="C1995" i="39"/>
  <c r="C2722" i="44"/>
  <c r="C1975" i="39"/>
  <c r="C2702" i="44"/>
  <c r="C1955" i="39"/>
  <c r="C2682" i="44"/>
  <c r="C1935" i="39"/>
  <c r="F24" i="62" s="1"/>
  <c r="C2662" i="44"/>
  <c r="C1915" i="39"/>
  <c r="C2642" i="44"/>
  <c r="C1895" i="39"/>
  <c r="C2622" i="44"/>
  <c r="C1875" i="39"/>
  <c r="C1665" i="44"/>
  <c r="C1855" i="39"/>
  <c r="C1645" i="44"/>
  <c r="C1835" i="39"/>
  <c r="C1625" i="44"/>
  <c r="C1815" i="39"/>
  <c r="C1605" i="44"/>
  <c r="C1795" i="39"/>
  <c r="C1585" i="44"/>
  <c r="C1775" i="39"/>
  <c r="C1565" i="44"/>
  <c r="C1755" i="39"/>
  <c r="C1545" i="44"/>
  <c r="C1735" i="39"/>
  <c r="C1525" i="44"/>
  <c r="C1715" i="39"/>
  <c r="C1505" i="44"/>
  <c r="C1675" i="39"/>
  <c r="F32" i="64" s="1"/>
  <c r="C2605" i="44"/>
  <c r="C1655" i="39"/>
  <c r="C2585" i="44"/>
  <c r="C1635" i="39"/>
  <c r="C2565" i="44"/>
  <c r="C1615" i="39"/>
  <c r="C2545" i="44"/>
  <c r="C1595" i="39"/>
  <c r="C2525" i="44"/>
  <c r="C1575" i="39"/>
  <c r="C2505" i="44"/>
  <c r="C1555" i="39"/>
  <c r="F31" i="65" s="1"/>
  <c r="C2485" i="44"/>
  <c r="C1535" i="39"/>
  <c r="C2465" i="44"/>
  <c r="C1515" i="39"/>
  <c r="F31" i="62" s="1"/>
  <c r="C2445" i="44"/>
  <c r="C1495" i="39"/>
  <c r="C2425" i="44"/>
  <c r="C1475" i="39"/>
  <c r="C1475" i="44"/>
  <c r="C1455" i="39"/>
  <c r="C1455" i="44"/>
  <c r="C1435" i="39"/>
  <c r="C1435" i="44"/>
  <c r="C1415" i="39"/>
  <c r="C1415" i="44"/>
  <c r="C1395" i="39"/>
  <c r="C1395" i="44"/>
  <c r="C1375" i="39"/>
  <c r="C1375" i="44"/>
  <c r="C1355" i="39"/>
  <c r="C1355" i="44"/>
  <c r="C1335" i="39"/>
  <c r="C1335" i="44"/>
  <c r="C1315" i="39"/>
  <c r="C1315" i="44"/>
  <c r="C1295" i="39"/>
  <c r="C1295" i="44"/>
  <c r="C1275" i="39"/>
  <c r="C1275" i="44"/>
  <c r="C1255" i="39"/>
  <c r="C1255" i="44"/>
  <c r="C1235" i="39"/>
  <c r="C1235" i="44"/>
  <c r="C1215" i="39"/>
  <c r="C1215" i="44"/>
  <c r="C1195" i="39"/>
  <c r="C1195" i="44"/>
  <c r="C1175" i="39"/>
  <c r="C1175" i="44"/>
  <c r="C1155" i="39"/>
  <c r="C1155" i="44"/>
  <c r="C1135" i="39"/>
  <c r="C1135" i="44"/>
  <c r="C1115" i="39"/>
  <c r="C1115" i="44"/>
  <c r="C1095" i="39"/>
  <c r="C1095" i="44"/>
  <c r="C1075" i="39"/>
  <c r="C1075" i="44"/>
  <c r="C1055" i="39"/>
  <c r="C1055" i="44"/>
  <c r="C1035" i="39"/>
  <c r="C1035" i="44"/>
  <c r="C1015" i="39"/>
  <c r="C1015" i="44"/>
  <c r="C995" i="39"/>
  <c r="C995" i="44"/>
  <c r="C975" i="39"/>
  <c r="C975" i="44"/>
  <c r="C955" i="39"/>
  <c r="C955" i="44"/>
  <c r="C935" i="39"/>
  <c r="C935" i="44"/>
  <c r="C915" i="39"/>
  <c r="C915" i="44"/>
  <c r="C895" i="39"/>
  <c r="C895" i="44"/>
  <c r="C875" i="39"/>
  <c r="C875" i="44"/>
  <c r="C855" i="39"/>
  <c r="C855" i="44"/>
  <c r="C835" i="39"/>
  <c r="C835" i="44"/>
  <c r="C815" i="39"/>
  <c r="C815" i="44"/>
  <c r="C795" i="39"/>
  <c r="C795" i="44"/>
  <c r="C775" i="39"/>
  <c r="C775" i="44"/>
  <c r="C755" i="39"/>
  <c r="C755" i="44"/>
  <c r="C735" i="39"/>
  <c r="C735" i="44"/>
  <c r="C715" i="39"/>
  <c r="C715" i="44"/>
  <c r="C695" i="39"/>
  <c r="C695" i="44"/>
  <c r="C675" i="39"/>
  <c r="C675" i="44"/>
  <c r="C655" i="39"/>
  <c r="C655" i="44"/>
  <c r="C635" i="39"/>
  <c r="C635" i="44"/>
  <c r="C615" i="39"/>
  <c r="C615" i="44"/>
  <c r="C595" i="39"/>
  <c r="C595" i="44"/>
  <c r="C575" i="39"/>
  <c r="C575" i="44"/>
  <c r="C555" i="39"/>
  <c r="C555" i="44"/>
  <c r="C535" i="39"/>
  <c r="C535" i="44"/>
  <c r="C515" i="39"/>
  <c r="C515" i="44"/>
  <c r="C495" i="39"/>
  <c r="C495" i="44"/>
  <c r="C475" i="39"/>
  <c r="C475" i="44"/>
  <c r="C455" i="39"/>
  <c r="C455" i="44"/>
  <c r="C435" i="39"/>
  <c r="C435" i="44"/>
  <c r="C415" i="39"/>
  <c r="C415" i="44"/>
  <c r="C395" i="39"/>
  <c r="C395" i="44"/>
  <c r="C375" i="39"/>
  <c r="C375" i="44"/>
  <c r="C355" i="39"/>
  <c r="C355" i="44"/>
  <c r="C335" i="39"/>
  <c r="C335" i="44"/>
  <c r="C315" i="39"/>
  <c r="C315" i="44"/>
  <c r="C295" i="39"/>
  <c r="C295" i="44"/>
  <c r="C275" i="39"/>
  <c r="C275" i="44"/>
  <c r="C255" i="39"/>
  <c r="C255" i="44"/>
  <c r="C235" i="39"/>
  <c r="C235" i="44"/>
  <c r="C215" i="39"/>
  <c r="C215" i="44"/>
  <c r="C195" i="39"/>
  <c r="C195" i="44"/>
  <c r="C175" i="39"/>
  <c r="C175" i="44"/>
  <c r="C155" i="39"/>
  <c r="C155" i="44"/>
  <c r="C135" i="39"/>
  <c r="C135" i="44"/>
  <c r="C115" i="39"/>
  <c r="C115" i="44"/>
  <c r="C95" i="39"/>
  <c r="C95" i="44"/>
  <c r="C75" i="39"/>
  <c r="C75" i="44"/>
  <c r="C55" i="39"/>
  <c r="C55" i="44"/>
  <c r="C35" i="39"/>
  <c r="C35" i="44"/>
  <c r="C15" i="39"/>
  <c r="C15" i="44"/>
  <c r="B2828" i="44"/>
  <c r="B2805" i="44"/>
  <c r="B2783" i="44"/>
  <c r="B2761" i="44"/>
  <c r="B2738" i="44"/>
  <c r="B2716" i="44"/>
  <c r="B2694" i="44"/>
  <c r="B2672" i="44"/>
  <c r="B2650" i="44"/>
  <c r="B2628" i="44"/>
  <c r="B2605" i="44"/>
  <c r="B2583" i="44"/>
  <c r="B2561" i="44"/>
  <c r="B2538" i="44"/>
  <c r="B2516" i="44"/>
  <c r="B2494" i="44"/>
  <c r="B2472" i="44"/>
  <c r="B2450" i="44"/>
  <c r="B2428" i="44"/>
  <c r="B2405" i="44"/>
  <c r="B2383" i="44"/>
  <c r="B2361" i="44"/>
  <c r="B2338" i="44"/>
  <c r="B2316" i="44"/>
  <c r="B2294" i="44"/>
  <c r="B2272" i="44"/>
  <c r="B2250" i="44"/>
  <c r="B2227" i="44"/>
  <c r="B2198" i="44"/>
  <c r="B2173" i="44"/>
  <c r="B2147" i="44"/>
  <c r="B2118" i="44"/>
  <c r="B2093" i="44"/>
  <c r="B2067" i="44"/>
  <c r="B2038" i="44"/>
  <c r="B2010" i="44"/>
  <c r="B1977" i="44"/>
  <c r="B1948" i="44"/>
  <c r="B1899" i="44"/>
  <c r="B1855" i="44"/>
  <c r="B1799" i="44"/>
  <c r="B1755" i="44"/>
  <c r="B1697" i="44"/>
  <c r="B1534" i="44"/>
  <c r="B2294" i="39"/>
  <c r="B1928" i="44"/>
  <c r="B2274" i="39"/>
  <c r="B1908" i="44"/>
  <c r="B2254" i="39"/>
  <c r="B1888" i="44"/>
  <c r="B2234" i="39"/>
  <c r="B1868" i="44"/>
  <c r="B2214" i="39"/>
  <c r="B1848" i="44"/>
  <c r="B2194" i="39"/>
  <c r="B1828" i="44"/>
  <c r="B2174" i="39"/>
  <c r="B1808" i="44"/>
  <c r="B2154" i="39"/>
  <c r="B1788" i="44"/>
  <c r="B2134" i="39"/>
  <c r="B1768" i="44"/>
  <c r="B2114" i="39"/>
  <c r="B1748" i="44"/>
  <c r="B2094" i="39"/>
  <c r="B1728" i="44"/>
  <c r="B2074" i="39"/>
  <c r="B1708" i="44"/>
  <c r="B2054" i="39"/>
  <c r="B1688" i="44"/>
  <c r="B1874" i="39"/>
  <c r="B1664" i="44"/>
  <c r="B1854" i="39"/>
  <c r="B1644" i="44"/>
  <c r="B1834" i="39"/>
  <c r="B1624" i="44"/>
  <c r="B1814" i="39"/>
  <c r="B1604" i="44"/>
  <c r="B1794" i="39"/>
  <c r="B1584" i="44"/>
  <c r="B1774" i="39"/>
  <c r="B1564" i="44"/>
  <c r="B1754" i="39"/>
  <c r="B1544" i="44"/>
  <c r="B1734" i="39"/>
  <c r="B1524" i="44"/>
  <c r="B1714" i="39"/>
  <c r="B1504" i="44"/>
  <c r="B1454" i="39"/>
  <c r="B1454" i="44"/>
  <c r="B1434" i="39"/>
  <c r="B1434" i="44"/>
  <c r="B1414" i="39"/>
  <c r="B1414" i="44"/>
  <c r="B1394" i="39"/>
  <c r="B1394" i="44"/>
  <c r="B1374" i="39"/>
  <c r="B1374" i="44"/>
  <c r="B1354" i="39"/>
  <c r="B1354" i="44"/>
  <c r="B1334" i="39"/>
  <c r="B1334" i="44"/>
  <c r="B1314" i="39"/>
  <c r="B1314" i="44"/>
  <c r="B1294" i="39"/>
  <c r="B1294" i="44"/>
  <c r="B1274" i="39"/>
  <c r="B1274" i="44"/>
  <c r="B1254" i="39"/>
  <c r="B1254" i="44"/>
  <c r="B1234" i="39"/>
  <c r="B1234" i="44"/>
  <c r="B1214" i="39"/>
  <c r="B1214" i="44"/>
  <c r="B1194" i="39"/>
  <c r="B1194" i="44"/>
  <c r="B1174" i="39"/>
  <c r="B1174" i="44"/>
  <c r="B1154" i="39"/>
  <c r="B1154" i="44"/>
  <c r="B1134" i="39"/>
  <c r="B1134" i="44"/>
  <c r="B1114" i="39"/>
  <c r="B1114" i="44"/>
  <c r="B1094" i="39"/>
  <c r="B1094" i="44"/>
  <c r="B1074" i="39"/>
  <c r="B1074" i="44"/>
  <c r="B1054" i="39"/>
  <c r="B1054" i="44"/>
  <c r="B1034" i="39"/>
  <c r="B1034" i="44"/>
  <c r="B1014" i="39"/>
  <c r="B1014" i="44"/>
  <c r="B994" i="39"/>
  <c r="B994" i="44"/>
  <c r="B974" i="39"/>
  <c r="B974" i="44"/>
  <c r="B954" i="39"/>
  <c r="B954" i="44"/>
  <c r="B934" i="39"/>
  <c r="B934" i="44"/>
  <c r="B914" i="39"/>
  <c r="B914" i="44"/>
  <c r="B894" i="39"/>
  <c r="B894" i="44"/>
  <c r="B874" i="39"/>
  <c r="B874" i="44"/>
  <c r="B854" i="39"/>
  <c r="B854" i="44"/>
  <c r="B834" i="39"/>
  <c r="B834" i="44"/>
  <c r="B814" i="39"/>
  <c r="B814" i="44"/>
  <c r="B794" i="39"/>
  <c r="B794" i="44"/>
  <c r="B774" i="39"/>
  <c r="B774" i="44"/>
  <c r="B754" i="39"/>
  <c r="B754" i="44"/>
  <c r="B734" i="39"/>
  <c r="B734" i="44"/>
  <c r="B714" i="39"/>
  <c r="B714" i="44"/>
  <c r="B694" i="39"/>
  <c r="B694" i="44"/>
  <c r="B674" i="39"/>
  <c r="B674" i="44"/>
  <c r="B654" i="39"/>
  <c r="B654" i="44"/>
  <c r="B634" i="39"/>
  <c r="B634" i="44"/>
  <c r="B614" i="39"/>
  <c r="B614" i="44"/>
  <c r="B594" i="39"/>
  <c r="B594" i="44"/>
  <c r="B574" i="39"/>
  <c r="B574" i="44"/>
  <c r="B554" i="39"/>
  <c r="B554" i="44"/>
  <c r="B534" i="39"/>
  <c r="B534" i="44"/>
  <c r="B514" i="39"/>
  <c r="B514" i="44"/>
  <c r="B494" i="39"/>
  <c r="B494" i="44"/>
  <c r="B474" i="39"/>
  <c r="B474" i="44"/>
  <c r="B454" i="39"/>
  <c r="B454" i="44"/>
  <c r="B434" i="39"/>
  <c r="B434" i="44"/>
  <c r="B414" i="39"/>
  <c r="B414" i="44"/>
  <c r="B394" i="39"/>
  <c r="B394" i="44"/>
  <c r="B374" i="39"/>
  <c r="B374" i="44"/>
  <c r="B354" i="39"/>
  <c r="B354" i="44"/>
  <c r="B334" i="39"/>
  <c r="B334" i="44"/>
  <c r="B314" i="39"/>
  <c r="B314" i="44"/>
  <c r="B294" i="39"/>
  <c r="B294" i="44"/>
  <c r="B274" i="39"/>
  <c r="B274" i="44"/>
  <c r="B254" i="39"/>
  <c r="B254" i="44"/>
  <c r="B234" i="39"/>
  <c r="B234" i="44"/>
  <c r="B214" i="39"/>
  <c r="B214" i="44"/>
  <c r="B194" i="39"/>
  <c r="B194" i="44"/>
  <c r="B174" i="39"/>
  <c r="B174" i="44"/>
  <c r="B154" i="39"/>
  <c r="B154" i="44"/>
  <c r="B134" i="39"/>
  <c r="B134" i="44"/>
  <c r="B114" i="39"/>
  <c r="B114" i="44"/>
  <c r="B94" i="39"/>
  <c r="B94" i="44"/>
  <c r="B74" i="39"/>
  <c r="B74" i="44"/>
  <c r="B54" i="39"/>
  <c r="B54" i="44"/>
  <c r="B34" i="39"/>
  <c r="B34" i="44"/>
  <c r="B14" i="39"/>
  <c r="B14" i="44"/>
  <c r="C2954" i="39"/>
  <c r="C2827" i="44"/>
  <c r="C2934" i="39"/>
  <c r="C2807" i="44"/>
  <c r="C2914" i="39"/>
  <c r="C2787" i="44"/>
  <c r="C2774" i="39"/>
  <c r="C2408" i="44"/>
  <c r="C2754" i="39"/>
  <c r="C2388" i="44"/>
  <c r="C2734" i="39"/>
  <c r="C2368" i="44"/>
  <c r="C2714" i="39"/>
  <c r="C2348" i="44"/>
  <c r="C2694" i="39"/>
  <c r="C2328" i="44"/>
  <c r="C2674" i="39"/>
  <c r="C2308" i="44"/>
  <c r="C2654" i="39"/>
  <c r="C2288" i="44"/>
  <c r="C2634" i="39"/>
  <c r="C2268" i="44"/>
  <c r="C2614" i="39"/>
  <c r="C2248" i="44"/>
  <c r="C2594" i="39"/>
  <c r="C2228" i="44"/>
  <c r="C2574" i="39"/>
  <c r="C2208" i="44"/>
  <c r="C2554" i="39"/>
  <c r="C2188" i="44"/>
  <c r="C2534" i="39"/>
  <c r="C2168" i="44"/>
  <c r="C2514" i="39"/>
  <c r="C2148" i="44"/>
  <c r="C2494" i="39"/>
  <c r="C2128" i="44"/>
  <c r="C2474" i="39"/>
  <c r="C2108" i="44"/>
  <c r="C2454" i="39"/>
  <c r="C2088" i="44"/>
  <c r="C2434" i="39"/>
  <c r="C2068" i="44"/>
  <c r="C2414" i="39"/>
  <c r="C2048" i="44"/>
  <c r="C2394" i="39"/>
  <c r="C2028" i="44"/>
  <c r="C2374" i="39"/>
  <c r="C2008" i="44"/>
  <c r="C2354" i="39"/>
  <c r="C1988" i="44"/>
  <c r="C2334" i="39"/>
  <c r="C1968" i="44"/>
  <c r="C2314" i="39"/>
  <c r="C1948" i="44"/>
  <c r="C2294" i="39"/>
  <c r="C1928" i="44"/>
  <c r="C2274" i="39"/>
  <c r="C1908" i="44"/>
  <c r="C2254" i="39"/>
  <c r="C1888" i="44"/>
  <c r="C2234" i="39"/>
  <c r="C1868" i="44"/>
  <c r="C2214" i="39"/>
  <c r="C1848" i="44"/>
  <c r="C2194" i="39"/>
  <c r="C1828" i="44"/>
  <c r="C2174" i="39"/>
  <c r="C1808" i="44"/>
  <c r="C2154" i="39"/>
  <c r="C1788" i="44"/>
  <c r="C2134" i="39"/>
  <c r="C1768" i="44"/>
  <c r="C2114" i="39"/>
  <c r="C1748" i="44"/>
  <c r="C2094" i="39"/>
  <c r="C1728" i="44"/>
  <c r="C2074" i="39"/>
  <c r="C1708" i="44"/>
  <c r="C2054" i="39"/>
  <c r="C1688" i="44"/>
  <c r="C2034" i="39"/>
  <c r="F18" i="63" s="1"/>
  <c r="C2761" i="44"/>
  <c r="C2014" i="39"/>
  <c r="C2741" i="44"/>
  <c r="C1994" i="39"/>
  <c r="C2721" i="44"/>
  <c r="C1974" i="39"/>
  <c r="C2701" i="44"/>
  <c r="C1954" i="39"/>
  <c r="C2681" i="44"/>
  <c r="C1934" i="39"/>
  <c r="C2661" i="44"/>
  <c r="C1894" i="39"/>
  <c r="F6" i="62" s="1"/>
  <c r="C2621" i="44"/>
  <c r="C1874" i="39"/>
  <c r="C1664" i="44"/>
  <c r="C1854" i="39"/>
  <c r="C1644" i="44"/>
  <c r="C1834" i="39"/>
  <c r="C1624" i="44"/>
  <c r="C1814" i="39"/>
  <c r="C1604" i="44"/>
  <c r="C1794" i="39"/>
  <c r="C1584" i="44"/>
  <c r="C1774" i="39"/>
  <c r="C1564" i="44"/>
  <c r="C1754" i="39"/>
  <c r="C1544" i="44"/>
  <c r="C1734" i="39"/>
  <c r="C1524" i="44"/>
  <c r="C1714" i="39"/>
  <c r="C1504" i="44"/>
  <c r="C1674" i="39"/>
  <c r="C2604" i="44"/>
  <c r="C1654" i="39"/>
  <c r="C2584" i="44"/>
  <c r="C1634" i="39"/>
  <c r="F34" i="63" s="1"/>
  <c r="C2564" i="44"/>
  <c r="C1614" i="39"/>
  <c r="C2544" i="44"/>
  <c r="C1594" i="39"/>
  <c r="C2524" i="44"/>
  <c r="C1574" i="39"/>
  <c r="C2504" i="44"/>
  <c r="C1554" i="39"/>
  <c r="F30" i="64" s="1"/>
  <c r="C2484" i="44"/>
  <c r="C1534" i="39"/>
  <c r="C2464" i="44"/>
  <c r="C1514" i="39"/>
  <c r="F21" i="61" s="1"/>
  <c r="C2444" i="44"/>
  <c r="C1494" i="39"/>
  <c r="C2424" i="44"/>
  <c r="C1474" i="39"/>
  <c r="C1474" i="44"/>
  <c r="C1454" i="39"/>
  <c r="C1454" i="44"/>
  <c r="C1434" i="39"/>
  <c r="C1434" i="44"/>
  <c r="C1414" i="39"/>
  <c r="C1414" i="44"/>
  <c r="C1394" i="39"/>
  <c r="C1394" i="44"/>
  <c r="C1374" i="39"/>
  <c r="C1374" i="44"/>
  <c r="C1354" i="39"/>
  <c r="C1354" i="44"/>
  <c r="C1334" i="39"/>
  <c r="C1334" i="44"/>
  <c r="C1314" i="39"/>
  <c r="C1314" i="44"/>
  <c r="C1294" i="39"/>
  <c r="C1294" i="44"/>
  <c r="C1274" i="39"/>
  <c r="C1274" i="44"/>
  <c r="C1254" i="39"/>
  <c r="C1254" i="44"/>
  <c r="C1234" i="39"/>
  <c r="C1234" i="44"/>
  <c r="C1214" i="39"/>
  <c r="C1214" i="44"/>
  <c r="C1194" i="39"/>
  <c r="C1194" i="44"/>
  <c r="C1174" i="39"/>
  <c r="C1174" i="44"/>
  <c r="C1154" i="39"/>
  <c r="C1154" i="44"/>
  <c r="C1134" i="39"/>
  <c r="C1134" i="44"/>
  <c r="C1114" i="39"/>
  <c r="C1114" i="44"/>
  <c r="C1094" i="39"/>
  <c r="C1094" i="44"/>
  <c r="C1074" i="39"/>
  <c r="C1074" i="44"/>
  <c r="C1054" i="39"/>
  <c r="C1054" i="44"/>
  <c r="C1034" i="39"/>
  <c r="C1034" i="44"/>
  <c r="C1014" i="39"/>
  <c r="C1014" i="44"/>
  <c r="C994" i="39"/>
  <c r="C994" i="44"/>
  <c r="C974" i="39"/>
  <c r="C974" i="44"/>
  <c r="C954" i="39"/>
  <c r="C954" i="44"/>
  <c r="C934" i="39"/>
  <c r="C934" i="44"/>
  <c r="C914" i="39"/>
  <c r="C914" i="44"/>
  <c r="C894" i="39"/>
  <c r="C894" i="44"/>
  <c r="C874" i="39"/>
  <c r="C874" i="44"/>
  <c r="C854" i="39"/>
  <c r="C854" i="44"/>
  <c r="C834" i="39"/>
  <c r="C834" i="44"/>
  <c r="C814" i="39"/>
  <c r="C814" i="44"/>
  <c r="C794" i="39"/>
  <c r="C794" i="44"/>
  <c r="C774" i="39"/>
  <c r="C774" i="44"/>
  <c r="C754" i="39"/>
  <c r="C754" i="44"/>
  <c r="C734" i="39"/>
  <c r="C734" i="44"/>
  <c r="C714" i="39"/>
  <c r="C714" i="44"/>
  <c r="C694" i="39"/>
  <c r="C694" i="44"/>
  <c r="C674" i="39"/>
  <c r="C674" i="44"/>
  <c r="C654" i="39"/>
  <c r="C654" i="44"/>
  <c r="C634" i="39"/>
  <c r="C634" i="44"/>
  <c r="C614" i="39"/>
  <c r="C614" i="44"/>
  <c r="C594" i="39"/>
  <c r="C594" i="44"/>
  <c r="C574" i="39"/>
  <c r="C574" i="44"/>
  <c r="C554" i="39"/>
  <c r="C554" i="44"/>
  <c r="C534" i="39"/>
  <c r="C534" i="44"/>
  <c r="C514" i="39"/>
  <c r="C514" i="44"/>
  <c r="C494" i="39"/>
  <c r="C494" i="44"/>
  <c r="C474" i="39"/>
  <c r="C474" i="44"/>
  <c r="C454" i="39"/>
  <c r="C454" i="44"/>
  <c r="C434" i="39"/>
  <c r="C434" i="44"/>
  <c r="C414" i="39"/>
  <c r="C414" i="44"/>
  <c r="C394" i="39"/>
  <c r="C394" i="44"/>
  <c r="C374" i="39"/>
  <c r="C374" i="44"/>
  <c r="C354" i="39"/>
  <c r="C354" i="44"/>
  <c r="C334" i="39"/>
  <c r="C334" i="44"/>
  <c r="C314" i="39"/>
  <c r="C314" i="44"/>
  <c r="C294" i="39"/>
  <c r="C294" i="44"/>
  <c r="C274" i="39"/>
  <c r="C274" i="44"/>
  <c r="C254" i="39"/>
  <c r="C254" i="44"/>
  <c r="C234" i="39"/>
  <c r="C234" i="44"/>
  <c r="C214" i="39"/>
  <c r="C214" i="44"/>
  <c r="C194" i="39"/>
  <c r="C194" i="44"/>
  <c r="C174" i="39"/>
  <c r="C174" i="44"/>
  <c r="C154" i="39"/>
  <c r="C154" i="44"/>
  <c r="C134" i="39"/>
  <c r="C134" i="44"/>
  <c r="C114" i="39"/>
  <c r="C114" i="44"/>
  <c r="C94" i="39"/>
  <c r="C94" i="44"/>
  <c r="C74" i="39"/>
  <c r="C74" i="44"/>
  <c r="C54" i="39"/>
  <c r="C54" i="44"/>
  <c r="C34" i="39"/>
  <c r="C34" i="44"/>
  <c r="C14" i="39"/>
  <c r="C14" i="44"/>
  <c r="B2827" i="44"/>
  <c r="B2804" i="44"/>
  <c r="B2782" i="44"/>
  <c r="B2759" i="44"/>
  <c r="B2737" i="44"/>
  <c r="B2715" i="44"/>
  <c r="B2693" i="44"/>
  <c r="B2671" i="44"/>
  <c r="B2649" i="44"/>
  <c r="B2627" i="44"/>
  <c r="B2604" i="44"/>
  <c r="B2582" i="44"/>
  <c r="B2559" i="44"/>
  <c r="B2537" i="44"/>
  <c r="B2515" i="44"/>
  <c r="B2493" i="44"/>
  <c r="B2471" i="44"/>
  <c r="B2449" i="44"/>
  <c r="B2427" i="44"/>
  <c r="B2404" i="44"/>
  <c r="B2382" i="44"/>
  <c r="B2359" i="44"/>
  <c r="B2337" i="44"/>
  <c r="B2315" i="44"/>
  <c r="B2293" i="44"/>
  <c r="B2271" i="44"/>
  <c r="B2249" i="44"/>
  <c r="B2225" i="44"/>
  <c r="B2197" i="44"/>
  <c r="B2172" i="44"/>
  <c r="B2145" i="44"/>
  <c r="B2117" i="44"/>
  <c r="B2092" i="44"/>
  <c r="B2065" i="44"/>
  <c r="B2037" i="44"/>
  <c r="B2008" i="44"/>
  <c r="B1976" i="44"/>
  <c r="B1947" i="44"/>
  <c r="B1898" i="44"/>
  <c r="B1854" i="44"/>
  <c r="B1798" i="44"/>
  <c r="B1754" i="44"/>
  <c r="B1694" i="44"/>
  <c r="B1514" i="44"/>
  <c r="B2293" i="39"/>
  <c r="B1927" i="44"/>
  <c r="B2273" i="39"/>
  <c r="B1907" i="44"/>
  <c r="B2253" i="39"/>
  <c r="B1887" i="44"/>
  <c r="B2233" i="39"/>
  <c r="B1867" i="44"/>
  <c r="B2213" i="39"/>
  <c r="B1847" i="44"/>
  <c r="B2193" i="39"/>
  <c r="B1827" i="44"/>
  <c r="B2173" i="39"/>
  <c r="B1807" i="44"/>
  <c r="B2153" i="39"/>
  <c r="B1787" i="44"/>
  <c r="B2133" i="39"/>
  <c r="B1767" i="44"/>
  <c r="B2113" i="39"/>
  <c r="B1747" i="44"/>
  <c r="B2093" i="39"/>
  <c r="B1727" i="44"/>
  <c r="B2073" i="39"/>
  <c r="B1707" i="44"/>
  <c r="B2053" i="39"/>
  <c r="B1687" i="44"/>
  <c r="B2033" i="39"/>
  <c r="B2760" i="44"/>
  <c r="B2013" i="39"/>
  <c r="B2740" i="44"/>
  <c r="B1993" i="39"/>
  <c r="B2720" i="44"/>
  <c r="B1973" i="39"/>
  <c r="B2700" i="44"/>
  <c r="B1953" i="39"/>
  <c r="B2680" i="44"/>
  <c r="B1933" i="39"/>
  <c r="B2660" i="44"/>
  <c r="B1913" i="39"/>
  <c r="B2640" i="44"/>
  <c r="B1893" i="39"/>
  <c r="B1683" i="44"/>
  <c r="B1873" i="39"/>
  <c r="B1663" i="44"/>
  <c r="B1853" i="39"/>
  <c r="B1643" i="44"/>
  <c r="B1833" i="39"/>
  <c r="B1623" i="44"/>
  <c r="B1813" i="39"/>
  <c r="B1603" i="44"/>
  <c r="B1793" i="39"/>
  <c r="B1583" i="44"/>
  <c r="B1773" i="39"/>
  <c r="B1563" i="44"/>
  <c r="B1753" i="39"/>
  <c r="B1543" i="44"/>
  <c r="B1733" i="39"/>
  <c r="B1523" i="44"/>
  <c r="B1713" i="39"/>
  <c r="B1503" i="44"/>
  <c r="B1493" i="39"/>
  <c r="B1493" i="44"/>
  <c r="B1473" i="39"/>
  <c r="B1473" i="44"/>
  <c r="B1453" i="39"/>
  <c r="B1453" i="44"/>
  <c r="B1433" i="39"/>
  <c r="B1433" i="44"/>
  <c r="B1413" i="39"/>
  <c r="B1413" i="44"/>
  <c r="B1393" i="39"/>
  <c r="B1393" i="44"/>
  <c r="B1373" i="39"/>
  <c r="B1373" i="44"/>
  <c r="B1353" i="39"/>
  <c r="B1353" i="44"/>
  <c r="B1333" i="39"/>
  <c r="B1333" i="44"/>
  <c r="B1313" i="39"/>
  <c r="B1313" i="44"/>
  <c r="B1293" i="39"/>
  <c r="B1293" i="44"/>
  <c r="B1273" i="39"/>
  <c r="B1273" i="44"/>
  <c r="B1253" i="39"/>
  <c r="B1253" i="44"/>
  <c r="B1233" i="39"/>
  <c r="B1233" i="44"/>
  <c r="B1213" i="39"/>
  <c r="B1213" i="44"/>
  <c r="B1193" i="39"/>
  <c r="B1193" i="44"/>
  <c r="B1173" i="39"/>
  <c r="B1173" i="44"/>
  <c r="B1153" i="39"/>
  <c r="B1153" i="44"/>
  <c r="B1133" i="39"/>
  <c r="B1133" i="44"/>
  <c r="B1113" i="39"/>
  <c r="B1113" i="44"/>
  <c r="B1093" i="39"/>
  <c r="B1093" i="44"/>
  <c r="B1073" i="39"/>
  <c r="B1073" i="44"/>
  <c r="B1053" i="39"/>
  <c r="B1053" i="44"/>
  <c r="B1033" i="39"/>
  <c r="B1033" i="44"/>
  <c r="B1013" i="39"/>
  <c r="B1013" i="44"/>
  <c r="B993" i="39"/>
  <c r="B993" i="44"/>
  <c r="B973" i="39"/>
  <c r="B973" i="44"/>
  <c r="B953" i="39"/>
  <c r="B953" i="44"/>
  <c r="B933" i="39"/>
  <c r="B933" i="44"/>
  <c r="B913" i="39"/>
  <c r="B913" i="44"/>
  <c r="B893" i="39"/>
  <c r="B893" i="44"/>
  <c r="B873" i="39"/>
  <c r="B873" i="44"/>
  <c r="B853" i="39"/>
  <c r="B853" i="44"/>
  <c r="B833" i="39"/>
  <c r="B833" i="44"/>
  <c r="B813" i="39"/>
  <c r="B813" i="44"/>
  <c r="B793" i="39"/>
  <c r="B793" i="44"/>
  <c r="B773" i="39"/>
  <c r="B773" i="44"/>
  <c r="B753" i="39"/>
  <c r="B753" i="44"/>
  <c r="B733" i="39"/>
  <c r="B733" i="44"/>
  <c r="B713" i="39"/>
  <c r="B713" i="44"/>
  <c r="B693" i="39"/>
  <c r="B693" i="44"/>
  <c r="B673" i="39"/>
  <c r="B673" i="44"/>
  <c r="B653" i="39"/>
  <c r="B653" i="44"/>
  <c r="B633" i="39"/>
  <c r="B633" i="44"/>
  <c r="B613" i="39"/>
  <c r="B613" i="44"/>
  <c r="B593" i="39"/>
  <c r="B593" i="44"/>
  <c r="B573" i="39"/>
  <c r="B573" i="44"/>
  <c r="B553" i="39"/>
  <c r="B553" i="44"/>
  <c r="B533" i="39"/>
  <c r="B533" i="44"/>
  <c r="B513" i="39"/>
  <c r="B513" i="44"/>
  <c r="B493" i="39"/>
  <c r="B493" i="44"/>
  <c r="B473" i="39"/>
  <c r="B473" i="44"/>
  <c r="B453" i="39"/>
  <c r="B453" i="44"/>
  <c r="B433" i="39"/>
  <c r="B433" i="44"/>
  <c r="B413" i="39"/>
  <c r="B413" i="44"/>
  <c r="B393" i="39"/>
  <c r="B393" i="44"/>
  <c r="B373" i="39"/>
  <c r="B373" i="44"/>
  <c r="B353" i="39"/>
  <c r="B353" i="44"/>
  <c r="B333" i="39"/>
  <c r="B333" i="44"/>
  <c r="B313" i="39"/>
  <c r="B313" i="44"/>
  <c r="B293" i="39"/>
  <c r="B293" i="44"/>
  <c r="B273" i="39"/>
  <c r="B273" i="44"/>
  <c r="B253" i="39"/>
  <c r="B253" i="44"/>
  <c r="B233" i="39"/>
  <c r="B233" i="44"/>
  <c r="B213" i="39"/>
  <c r="B213" i="44"/>
  <c r="B193" i="39"/>
  <c r="B193" i="44"/>
  <c r="B173" i="39"/>
  <c r="B173" i="44"/>
  <c r="B153" i="39"/>
  <c r="B153" i="44"/>
  <c r="B133" i="39"/>
  <c r="B133" i="44"/>
  <c r="B113" i="39"/>
  <c r="B113" i="44"/>
  <c r="B93" i="39"/>
  <c r="B93" i="44"/>
  <c r="B73" i="39"/>
  <c r="B73" i="44"/>
  <c r="B53" i="39"/>
  <c r="B53" i="44"/>
  <c r="B33" i="39"/>
  <c r="B33" i="44"/>
  <c r="B13" i="39"/>
  <c r="B13" i="44"/>
  <c r="C2953" i="39"/>
  <c r="C2826" i="44"/>
  <c r="C2933" i="39"/>
  <c r="C2806" i="44"/>
  <c r="C2913" i="39"/>
  <c r="C2786" i="44"/>
  <c r="C2773" i="39"/>
  <c r="C2407" i="44"/>
  <c r="C2753" i="39"/>
  <c r="C2387" i="44"/>
  <c r="C2733" i="39"/>
  <c r="C2367" i="44"/>
  <c r="C2713" i="39"/>
  <c r="C2347" i="44"/>
  <c r="C2693" i="39"/>
  <c r="C2327" i="44"/>
  <c r="C2673" i="39"/>
  <c r="C2307" i="44"/>
  <c r="C2653" i="39"/>
  <c r="C2287" i="44"/>
  <c r="C2633" i="39"/>
  <c r="C2267" i="44"/>
  <c r="C2613" i="39"/>
  <c r="C2247" i="44"/>
  <c r="C2593" i="39"/>
  <c r="C2227" i="44"/>
  <c r="C2573" i="39"/>
  <c r="C2207" i="44"/>
  <c r="C2553" i="39"/>
  <c r="C2187" i="44"/>
  <c r="C2533" i="39"/>
  <c r="C2167" i="44"/>
  <c r="C2513" i="39"/>
  <c r="C2147" i="44"/>
  <c r="C2493" i="39"/>
  <c r="C2127" i="44"/>
  <c r="C2473" i="39"/>
  <c r="C2107" i="44"/>
  <c r="C2453" i="39"/>
  <c r="C2087" i="44"/>
  <c r="C2433" i="39"/>
  <c r="C2067" i="44"/>
  <c r="C2413" i="39"/>
  <c r="C2047" i="44"/>
  <c r="C2393" i="39"/>
  <c r="C2027" i="44"/>
  <c r="C2373" i="39"/>
  <c r="C2007" i="44"/>
  <c r="C2353" i="39"/>
  <c r="C1987" i="44"/>
  <c r="C2333" i="39"/>
  <c r="C1967" i="44"/>
  <c r="C2313" i="39"/>
  <c r="C1947" i="44"/>
  <c r="C2293" i="39"/>
  <c r="C1927" i="44"/>
  <c r="C2273" i="39"/>
  <c r="C1907" i="44"/>
  <c r="C2253" i="39"/>
  <c r="C1887" i="44"/>
  <c r="C2233" i="39"/>
  <c r="C1867" i="44"/>
  <c r="C2213" i="39"/>
  <c r="C1847" i="44"/>
  <c r="C2193" i="39"/>
  <c r="C1827" i="44"/>
  <c r="C2173" i="39"/>
  <c r="C1807" i="44"/>
  <c r="C2153" i="39"/>
  <c r="C1787" i="44"/>
  <c r="C2133" i="39"/>
  <c r="C1767" i="44"/>
  <c r="C2113" i="39"/>
  <c r="C1747" i="44"/>
  <c r="C2093" i="39"/>
  <c r="C1727" i="44"/>
  <c r="C2073" i="39"/>
  <c r="C1707" i="44"/>
  <c r="C2053" i="39"/>
  <c r="C1687" i="44"/>
  <c r="C2033" i="39"/>
  <c r="C2760" i="44"/>
  <c r="C2013" i="39"/>
  <c r="F11" i="64" s="1"/>
  <c r="C2740" i="44"/>
  <c r="C1993" i="39"/>
  <c r="C2720" i="44"/>
  <c r="C1973" i="39"/>
  <c r="C2700" i="44"/>
  <c r="C1953" i="39"/>
  <c r="C2680" i="44"/>
  <c r="C1933" i="39"/>
  <c r="C2660" i="44"/>
  <c r="C1893" i="39"/>
  <c r="C1683" i="44"/>
  <c r="C1873" i="39"/>
  <c r="C1663" i="44"/>
  <c r="C1853" i="39"/>
  <c r="C1643" i="44"/>
  <c r="C1833" i="39"/>
  <c r="C1623" i="44"/>
  <c r="C1813" i="39"/>
  <c r="C1603" i="44"/>
  <c r="C1793" i="39"/>
  <c r="C1583" i="44"/>
  <c r="C1773" i="39"/>
  <c r="C1563" i="44"/>
  <c r="C1753" i="39"/>
  <c r="C1543" i="44"/>
  <c r="C1733" i="39"/>
  <c r="C1523" i="44"/>
  <c r="C1713" i="39"/>
  <c r="C1503" i="44"/>
  <c r="C1673" i="39"/>
  <c r="F25" i="64" s="1"/>
  <c r="C2603" i="44"/>
  <c r="C1653" i="39"/>
  <c r="C2583" i="44"/>
  <c r="C1633" i="39"/>
  <c r="F32" i="63" s="1"/>
  <c r="C2563" i="44"/>
  <c r="C1613" i="39"/>
  <c r="C2543" i="44"/>
  <c r="C1593" i="39"/>
  <c r="F24" i="61" s="1"/>
  <c r="C2523" i="44"/>
  <c r="C1573" i="39"/>
  <c r="C2503" i="44"/>
  <c r="C1553" i="39"/>
  <c r="F35" i="64" s="1"/>
  <c r="C2483" i="44"/>
  <c r="C1533" i="39"/>
  <c r="C2463" i="44"/>
  <c r="C1513" i="39"/>
  <c r="C2443" i="44"/>
  <c r="C1493" i="39"/>
  <c r="C1493" i="44"/>
  <c r="C1473" i="39"/>
  <c r="C1473" i="44"/>
  <c r="C1453" i="39"/>
  <c r="C1453" i="44"/>
  <c r="C1433" i="39"/>
  <c r="C1433" i="44"/>
  <c r="C1413" i="39"/>
  <c r="C1413" i="44"/>
  <c r="C1393" i="39"/>
  <c r="C1393" i="44"/>
  <c r="C1373" i="39"/>
  <c r="C1373" i="44"/>
  <c r="C1353" i="39"/>
  <c r="C1353" i="44"/>
  <c r="C1333" i="39"/>
  <c r="C1333" i="44"/>
  <c r="C1313" i="39"/>
  <c r="C1313" i="44"/>
  <c r="C1293" i="39"/>
  <c r="C1293" i="44"/>
  <c r="C1273" i="39"/>
  <c r="C1273" i="44"/>
  <c r="C1253" i="39"/>
  <c r="C1253" i="44"/>
  <c r="C1233" i="39"/>
  <c r="C1233" i="44"/>
  <c r="C1213" i="39"/>
  <c r="C1213" i="44"/>
  <c r="C1193" i="39"/>
  <c r="C1193" i="44"/>
  <c r="C1173" i="39"/>
  <c r="C1173" i="44"/>
  <c r="C1153" i="39"/>
  <c r="C1153" i="44"/>
  <c r="C1133" i="39"/>
  <c r="C1133" i="44"/>
  <c r="C1113" i="39"/>
  <c r="C1113" i="44"/>
  <c r="C1093" i="39"/>
  <c r="C1093" i="44"/>
  <c r="C1073" i="39"/>
  <c r="C1073" i="44"/>
  <c r="C1053" i="39"/>
  <c r="C1053" i="44"/>
  <c r="C1033" i="39"/>
  <c r="C1033" i="44"/>
  <c r="C1013" i="39"/>
  <c r="C1013" i="44"/>
  <c r="C993" i="39"/>
  <c r="C993" i="44"/>
  <c r="C973" i="39"/>
  <c r="C973" i="44"/>
  <c r="C953" i="39"/>
  <c r="C953" i="44"/>
  <c r="C933" i="39"/>
  <c r="C933" i="44"/>
  <c r="C913" i="39"/>
  <c r="C913" i="44"/>
  <c r="C893" i="39"/>
  <c r="C893" i="44"/>
  <c r="C873" i="39"/>
  <c r="C873" i="44"/>
  <c r="C853" i="39"/>
  <c r="C853" i="44"/>
  <c r="C833" i="39"/>
  <c r="C833" i="44"/>
  <c r="C813" i="39"/>
  <c r="C813" i="44"/>
  <c r="C793" i="39"/>
  <c r="C793" i="44"/>
  <c r="C773" i="39"/>
  <c r="C773" i="44"/>
  <c r="C753" i="39"/>
  <c r="C753" i="44"/>
  <c r="C733" i="39"/>
  <c r="C733" i="44"/>
  <c r="C713" i="39"/>
  <c r="C713" i="44"/>
  <c r="C693" i="39"/>
  <c r="C693" i="44"/>
  <c r="C673" i="39"/>
  <c r="C673" i="44"/>
  <c r="C653" i="39"/>
  <c r="C653" i="44"/>
  <c r="C633" i="39"/>
  <c r="C633" i="44"/>
  <c r="C613" i="39"/>
  <c r="C613" i="44"/>
  <c r="C593" i="39"/>
  <c r="C593" i="44"/>
  <c r="C573" i="39"/>
  <c r="C573" i="44"/>
  <c r="C553" i="39"/>
  <c r="C553" i="44"/>
  <c r="C533" i="39"/>
  <c r="C533" i="44"/>
  <c r="C513" i="39"/>
  <c r="C513" i="44"/>
  <c r="C493" i="39"/>
  <c r="C493" i="44"/>
  <c r="C473" i="39"/>
  <c r="C473" i="44"/>
  <c r="C453" i="39"/>
  <c r="C453" i="44"/>
  <c r="C433" i="39"/>
  <c r="C433" i="44"/>
  <c r="C413" i="39"/>
  <c r="C413" i="44"/>
  <c r="C393" i="39"/>
  <c r="C393" i="44"/>
  <c r="C373" i="39"/>
  <c r="C373" i="44"/>
  <c r="C353" i="39"/>
  <c r="C353" i="44"/>
  <c r="C333" i="39"/>
  <c r="C333" i="44"/>
  <c r="C313" i="39"/>
  <c r="C313" i="44"/>
  <c r="C293" i="39"/>
  <c r="C293" i="44"/>
  <c r="C273" i="39"/>
  <c r="C273" i="44"/>
  <c r="C253" i="39"/>
  <c r="C253" i="44"/>
  <c r="C233" i="39"/>
  <c r="C233" i="44"/>
  <c r="C213" i="39"/>
  <c r="C213" i="44"/>
  <c r="C193" i="39"/>
  <c r="C193" i="44"/>
  <c r="C173" i="39"/>
  <c r="C173" i="44"/>
  <c r="C153" i="39"/>
  <c r="C153" i="44"/>
  <c r="C133" i="39"/>
  <c r="C133" i="44"/>
  <c r="C113" i="39"/>
  <c r="C113" i="44"/>
  <c r="C93" i="39"/>
  <c r="C93" i="44"/>
  <c r="C73" i="39"/>
  <c r="C73" i="44"/>
  <c r="C53" i="39"/>
  <c r="C53" i="44"/>
  <c r="B2825" i="44"/>
  <c r="B2803" i="44"/>
  <c r="B2781" i="44"/>
  <c r="B2758" i="44"/>
  <c r="B2736" i="44"/>
  <c r="B2714" i="44"/>
  <c r="B2692" i="44"/>
  <c r="B2670" i="44"/>
  <c r="B2648" i="44"/>
  <c r="B2625" i="44"/>
  <c r="B2603" i="44"/>
  <c r="B2581" i="44"/>
  <c r="B2558" i="44"/>
  <c r="B2536" i="44"/>
  <c r="B2514" i="44"/>
  <c r="B2492" i="44"/>
  <c r="B2470" i="44"/>
  <c r="B2448" i="44"/>
  <c r="B2425" i="44"/>
  <c r="B2403" i="44"/>
  <c r="B2381" i="44"/>
  <c r="B2358" i="44"/>
  <c r="B2336" i="44"/>
  <c r="B2314" i="44"/>
  <c r="B2292" i="44"/>
  <c r="B2270" i="44"/>
  <c r="B2248" i="44"/>
  <c r="B2222" i="44"/>
  <c r="B2196" i="44"/>
  <c r="B2171" i="44"/>
  <c r="B2142" i="44"/>
  <c r="B2116" i="44"/>
  <c r="B2091" i="44"/>
  <c r="B2062" i="44"/>
  <c r="B2036" i="44"/>
  <c r="B2007" i="44"/>
  <c r="B1975" i="44"/>
  <c r="B1942" i="44"/>
  <c r="B1897" i="44"/>
  <c r="B1853" i="44"/>
  <c r="B1797" i="44"/>
  <c r="B1753" i="44"/>
  <c r="B1693" i="44"/>
  <c r="B1494" i="44"/>
  <c r="B2953" i="39"/>
  <c r="B2826" i="44"/>
  <c r="B2913" i="39"/>
  <c r="B2786" i="44"/>
  <c r="B2772" i="39"/>
  <c r="B2406" i="44"/>
  <c r="B2752" i="39"/>
  <c r="B2386" i="44"/>
  <c r="B2732" i="39"/>
  <c r="B2366" i="44"/>
  <c r="B2712" i="39"/>
  <c r="B2346" i="44"/>
  <c r="B2692" i="39"/>
  <c r="B2326" i="44"/>
  <c r="B2672" i="39"/>
  <c r="B2306" i="44"/>
  <c r="B2652" i="39"/>
  <c r="B2286" i="44"/>
  <c r="B2632" i="39"/>
  <c r="B2266" i="44"/>
  <c r="B2612" i="39"/>
  <c r="B2246" i="44"/>
  <c r="B2592" i="39"/>
  <c r="B2226" i="44"/>
  <c r="B2572" i="39"/>
  <c r="B2206" i="44"/>
  <c r="B2552" i="39"/>
  <c r="B2186" i="44"/>
  <c r="B2532" i="39"/>
  <c r="B2166" i="44"/>
  <c r="B2512" i="39"/>
  <c r="B2146" i="44"/>
  <c r="B2492" i="39"/>
  <c r="B2126" i="44"/>
  <c r="B2472" i="39"/>
  <c r="B2106" i="44"/>
  <c r="B2452" i="39"/>
  <c r="B2086" i="44"/>
  <c r="B2432" i="39"/>
  <c r="B2066" i="44"/>
  <c r="B2412" i="39"/>
  <c r="B2046" i="44"/>
  <c r="B2392" i="39"/>
  <c r="B2026" i="44"/>
  <c r="B2372" i="39"/>
  <c r="B2006" i="44"/>
  <c r="B2352" i="39"/>
  <c r="B1986" i="44"/>
  <c r="B2332" i="39"/>
  <c r="B1966" i="44"/>
  <c r="B2312" i="39"/>
  <c r="B1946" i="44"/>
  <c r="B2292" i="39"/>
  <c r="B1926" i="44"/>
  <c r="B2272" i="39"/>
  <c r="B1906" i="44"/>
  <c r="B2252" i="39"/>
  <c r="B1886" i="44"/>
  <c r="B2232" i="39"/>
  <c r="B1866" i="44"/>
  <c r="B2212" i="39"/>
  <c r="B1846" i="44"/>
  <c r="B2192" i="39"/>
  <c r="B1826" i="44"/>
  <c r="B2172" i="39"/>
  <c r="B1806" i="44"/>
  <c r="B2152" i="39"/>
  <c r="B1786" i="44"/>
  <c r="B2132" i="39"/>
  <c r="B1766" i="44"/>
  <c r="B2112" i="39"/>
  <c r="B1746" i="44"/>
  <c r="B2092" i="39"/>
  <c r="B1726" i="44"/>
  <c r="B2072" i="39"/>
  <c r="B1706" i="44"/>
  <c r="B2052" i="39"/>
  <c r="B1686" i="44"/>
  <c r="B1892" i="39"/>
  <c r="B1682" i="44"/>
  <c r="B1872" i="39"/>
  <c r="B1662" i="44"/>
  <c r="B1852" i="39"/>
  <c r="B1642" i="44"/>
  <c r="B1832" i="39"/>
  <c r="B1622" i="44"/>
  <c r="B1812" i="39"/>
  <c r="B1602" i="44"/>
  <c r="B1792" i="39"/>
  <c r="B1582" i="44"/>
  <c r="B1772" i="39"/>
  <c r="B1562" i="44"/>
  <c r="B1752" i="39"/>
  <c r="B1542" i="44"/>
  <c r="B1732" i="39"/>
  <c r="B1522" i="44"/>
  <c r="B1712" i="39"/>
  <c r="B1502" i="44"/>
  <c r="B1492" i="39"/>
  <c r="B1492" i="44"/>
  <c r="B1472" i="39"/>
  <c r="B1472" i="44"/>
  <c r="B1452" i="39"/>
  <c r="B1452" i="44"/>
  <c r="B1432" i="39"/>
  <c r="B1432" i="44"/>
  <c r="B1412" i="39"/>
  <c r="B1412" i="44"/>
  <c r="B1392" i="39"/>
  <c r="B1392" i="44"/>
  <c r="B1372" i="39"/>
  <c r="B1372" i="44"/>
  <c r="B1352" i="39"/>
  <c r="B1352" i="44"/>
  <c r="B1332" i="39"/>
  <c r="B1332" i="44"/>
  <c r="B1312" i="39"/>
  <c r="B1312" i="44"/>
  <c r="B1292" i="39"/>
  <c r="B1292" i="44"/>
  <c r="B1272" i="39"/>
  <c r="B1272" i="44"/>
  <c r="B1252" i="39"/>
  <c r="B1252" i="44"/>
  <c r="B1232" i="39"/>
  <c r="B1232" i="44"/>
  <c r="B1212" i="39"/>
  <c r="B1212" i="44"/>
  <c r="B1192" i="39"/>
  <c r="B1192" i="44"/>
  <c r="B1172" i="39"/>
  <c r="B1172" i="44"/>
  <c r="B1152" i="39"/>
  <c r="B1152" i="44"/>
  <c r="B1132" i="39"/>
  <c r="B1132" i="44"/>
  <c r="B1112" i="39"/>
  <c r="B1112" i="44"/>
  <c r="B1092" i="39"/>
  <c r="B1092" i="44"/>
  <c r="B1072" i="39"/>
  <c r="B1072" i="44"/>
  <c r="B1052" i="39"/>
  <c r="B1052" i="44"/>
  <c r="B1032" i="39"/>
  <c r="B1032" i="44"/>
  <c r="B1012" i="39"/>
  <c r="B1012" i="44"/>
  <c r="B992" i="39"/>
  <c r="B992" i="44"/>
  <c r="B972" i="39"/>
  <c r="B972" i="44"/>
  <c r="B952" i="39"/>
  <c r="B952" i="44"/>
  <c r="B932" i="39"/>
  <c r="B932" i="44"/>
  <c r="B912" i="39"/>
  <c r="B912" i="44"/>
  <c r="B892" i="39"/>
  <c r="B892" i="44"/>
  <c r="B872" i="39"/>
  <c r="B872" i="44"/>
  <c r="B852" i="39"/>
  <c r="B852" i="44"/>
  <c r="B832" i="39"/>
  <c r="B832" i="44"/>
  <c r="B812" i="39"/>
  <c r="B812" i="44"/>
  <c r="B792" i="39"/>
  <c r="B792" i="44"/>
  <c r="B772" i="39"/>
  <c r="B772" i="44"/>
  <c r="B752" i="39"/>
  <c r="B752" i="44"/>
  <c r="B732" i="39"/>
  <c r="B732" i="44"/>
  <c r="B712" i="39"/>
  <c r="B712" i="44"/>
  <c r="B692" i="39"/>
  <c r="B692" i="44"/>
  <c r="B672" i="39"/>
  <c r="B672" i="44"/>
  <c r="B652" i="39"/>
  <c r="B652" i="44"/>
  <c r="B632" i="39"/>
  <c r="B632" i="44"/>
  <c r="B612" i="39"/>
  <c r="B612" i="44"/>
  <c r="B592" i="39"/>
  <c r="B592" i="44"/>
  <c r="B572" i="39"/>
  <c r="B572" i="44"/>
  <c r="B552" i="39"/>
  <c r="B552" i="44"/>
  <c r="B532" i="39"/>
  <c r="B532" i="44"/>
  <c r="B512" i="39"/>
  <c r="B512" i="44"/>
  <c r="B492" i="39"/>
  <c r="B492" i="44"/>
  <c r="B472" i="39"/>
  <c r="B472" i="44"/>
  <c r="B452" i="39"/>
  <c r="B452" i="44"/>
  <c r="B432" i="39"/>
  <c r="B432" i="44"/>
  <c r="B412" i="39"/>
  <c r="B412" i="44"/>
  <c r="B392" i="39"/>
  <c r="B392" i="44"/>
  <c r="B372" i="39"/>
  <c r="B372" i="44"/>
  <c r="B352" i="39"/>
  <c r="B352" i="44"/>
  <c r="B332" i="39"/>
  <c r="B332" i="44"/>
  <c r="B312" i="39"/>
  <c r="B312" i="44"/>
  <c r="B292" i="39"/>
  <c r="B292" i="44"/>
  <c r="B272" i="39"/>
  <c r="B272" i="44"/>
  <c r="B252" i="39"/>
  <c r="B252" i="44"/>
  <c r="B232" i="39"/>
  <c r="B232" i="44"/>
  <c r="B212" i="39"/>
  <c r="B212" i="44"/>
  <c r="B192" i="39"/>
  <c r="B192" i="44"/>
  <c r="B172" i="39"/>
  <c r="B172" i="44"/>
  <c r="B152" i="39"/>
  <c r="B152" i="44"/>
  <c r="B132" i="39"/>
  <c r="B132" i="44"/>
  <c r="B112" i="39"/>
  <c r="B112" i="44"/>
  <c r="B92" i="39"/>
  <c r="B92" i="44"/>
  <c r="B72" i="39"/>
  <c r="B72" i="44"/>
  <c r="B52" i="39"/>
  <c r="B52" i="44"/>
  <c r="B32" i="39"/>
  <c r="B32" i="44"/>
  <c r="B12" i="39"/>
  <c r="B12" i="44"/>
  <c r="C2952" i="39"/>
  <c r="C2825" i="44"/>
  <c r="C2932" i="39"/>
  <c r="C2805" i="44"/>
  <c r="C2912" i="39"/>
  <c r="C2785" i="44"/>
  <c r="C2772" i="39"/>
  <c r="C2406" i="44"/>
  <c r="C2752" i="39"/>
  <c r="C2386" i="44"/>
  <c r="C2732" i="39"/>
  <c r="C2366" i="44"/>
  <c r="C2712" i="39"/>
  <c r="C2346" i="44"/>
  <c r="C2692" i="39"/>
  <c r="C2326" i="44"/>
  <c r="C2672" i="39"/>
  <c r="C2306" i="44"/>
  <c r="C2652" i="39"/>
  <c r="C2286" i="44"/>
  <c r="C2632" i="39"/>
  <c r="C2266" i="44"/>
  <c r="C2612" i="39"/>
  <c r="C2246" i="44"/>
  <c r="C2592" i="39"/>
  <c r="C2226" i="44"/>
  <c r="C2572" i="39"/>
  <c r="C2206" i="44"/>
  <c r="C2552" i="39"/>
  <c r="C2186" i="44"/>
  <c r="C2532" i="39"/>
  <c r="C2166" i="44"/>
  <c r="C2512" i="39"/>
  <c r="C2146" i="44"/>
  <c r="C2492" i="39"/>
  <c r="C2126" i="44"/>
  <c r="C2472" i="39"/>
  <c r="C2106" i="44"/>
  <c r="C2452" i="39"/>
  <c r="C2086" i="44"/>
  <c r="C2432" i="39"/>
  <c r="C2066" i="44"/>
  <c r="C2412" i="39"/>
  <c r="C2046" i="44"/>
  <c r="C2392" i="39"/>
  <c r="C2026" i="44"/>
  <c r="C2372" i="39"/>
  <c r="C2006" i="44"/>
  <c r="C2352" i="39"/>
  <c r="C1986" i="44"/>
  <c r="C2332" i="39"/>
  <c r="C1966" i="44"/>
  <c r="C2312" i="39"/>
  <c r="C1946" i="44"/>
  <c r="C2292" i="39"/>
  <c r="C1926" i="44"/>
  <c r="C2272" i="39"/>
  <c r="C1906" i="44"/>
  <c r="C2252" i="39"/>
  <c r="C1886" i="44"/>
  <c r="C2232" i="39"/>
  <c r="C1866" i="44"/>
  <c r="C2212" i="39"/>
  <c r="C1846" i="44"/>
  <c r="C2192" i="39"/>
  <c r="C1826" i="44"/>
  <c r="C2172" i="39"/>
  <c r="C1806" i="44"/>
  <c r="C2152" i="39"/>
  <c r="C1786" i="44"/>
  <c r="C2132" i="39"/>
  <c r="C1766" i="44"/>
  <c r="C2112" i="39"/>
  <c r="C1746" i="44"/>
  <c r="C2092" i="39"/>
  <c r="C1726" i="44"/>
  <c r="C2072" i="39"/>
  <c r="C1706" i="44"/>
  <c r="C2052" i="39"/>
  <c r="C1686" i="44"/>
  <c r="C2032" i="39"/>
  <c r="C2759" i="44"/>
  <c r="C2012" i="39"/>
  <c r="C2739" i="44"/>
  <c r="C1992" i="39"/>
  <c r="C2719" i="44"/>
  <c r="C1972" i="39"/>
  <c r="C2699" i="44"/>
  <c r="C1952" i="39"/>
  <c r="C2679" i="44"/>
  <c r="C1932" i="39"/>
  <c r="F29" i="62" s="1"/>
  <c r="C2659" i="44"/>
  <c r="C1912" i="39"/>
  <c r="C2639" i="44"/>
  <c r="C1892" i="39"/>
  <c r="C1682" i="44"/>
  <c r="C1872" i="39"/>
  <c r="C1662" i="44"/>
  <c r="C1852" i="39"/>
  <c r="C1642" i="44"/>
  <c r="C1832" i="39"/>
  <c r="C1622" i="44"/>
  <c r="C1812" i="39"/>
  <c r="C1602" i="44"/>
  <c r="C1792" i="39"/>
  <c r="C1582" i="44"/>
  <c r="C1772" i="39"/>
  <c r="C1562" i="44"/>
  <c r="C1752" i="39"/>
  <c r="C1542" i="44"/>
  <c r="C1732" i="39"/>
  <c r="C1522" i="44"/>
  <c r="C1712" i="39"/>
  <c r="C1502" i="44"/>
  <c r="C1672" i="39"/>
  <c r="F24" i="64" s="1"/>
  <c r="C2602" i="44"/>
  <c r="C1652" i="39"/>
  <c r="C2582" i="44"/>
  <c r="C1632" i="39"/>
  <c r="C2562" i="44"/>
  <c r="C1612" i="39"/>
  <c r="C2542" i="44"/>
  <c r="C1592" i="39"/>
  <c r="F20" i="61" s="1"/>
  <c r="C2522" i="44"/>
  <c r="C1572" i="39"/>
  <c r="C2502" i="44"/>
  <c r="C1552" i="39"/>
  <c r="C2482" i="44"/>
  <c r="C1532" i="39"/>
  <c r="C2462" i="44"/>
  <c r="C1512" i="39"/>
  <c r="F22" i="61" s="1"/>
  <c r="C2442" i="44"/>
  <c r="C1492" i="39"/>
  <c r="C1492" i="44"/>
  <c r="C1472" i="39"/>
  <c r="C1472" i="44"/>
  <c r="C1452" i="39"/>
  <c r="C1452" i="44"/>
  <c r="C1432" i="39"/>
  <c r="C1432" i="44"/>
  <c r="C1412" i="39"/>
  <c r="C1412" i="44"/>
  <c r="C1392" i="39"/>
  <c r="C1392" i="44"/>
  <c r="C1372" i="39"/>
  <c r="C1372" i="44"/>
  <c r="C1352" i="39"/>
  <c r="C1352" i="44"/>
  <c r="C1332" i="39"/>
  <c r="C1332" i="44"/>
  <c r="C1312" i="39"/>
  <c r="C1312" i="44"/>
  <c r="C1292" i="39"/>
  <c r="C1292" i="44"/>
  <c r="C1272" i="39"/>
  <c r="C1272" i="44"/>
  <c r="C1252" i="39"/>
  <c r="C1252" i="44"/>
  <c r="C1232" i="39"/>
  <c r="C1232" i="44"/>
  <c r="C1212" i="39"/>
  <c r="C1212" i="44"/>
  <c r="C1192" i="39"/>
  <c r="C1192" i="44"/>
  <c r="C1172" i="39"/>
  <c r="C1172" i="44"/>
  <c r="C1152" i="39"/>
  <c r="C1152" i="44"/>
  <c r="C1132" i="39"/>
  <c r="C1132" i="44"/>
  <c r="C1112" i="39"/>
  <c r="C1112" i="44"/>
  <c r="C1092" i="39"/>
  <c r="C1092" i="44"/>
  <c r="C1072" i="39"/>
  <c r="C1072" i="44"/>
  <c r="C1052" i="39"/>
  <c r="C1052" i="44"/>
  <c r="C1032" i="39"/>
  <c r="C1032" i="44"/>
  <c r="C1012" i="39"/>
  <c r="C1012" i="44"/>
  <c r="C992" i="39"/>
  <c r="C992" i="44"/>
  <c r="C972" i="39"/>
  <c r="C972" i="44"/>
  <c r="C952" i="39"/>
  <c r="C952" i="44"/>
  <c r="C932" i="39"/>
  <c r="C932" i="44"/>
  <c r="C912" i="39"/>
  <c r="C912" i="44"/>
  <c r="C892" i="39"/>
  <c r="C892" i="44"/>
  <c r="C872" i="39"/>
  <c r="C872" i="44"/>
  <c r="C852" i="39"/>
  <c r="C852" i="44"/>
  <c r="C832" i="39"/>
  <c r="C832" i="44"/>
  <c r="C812" i="39"/>
  <c r="C812" i="44"/>
  <c r="C792" i="39"/>
  <c r="C792" i="44"/>
  <c r="C772" i="39"/>
  <c r="C772" i="44"/>
  <c r="C752" i="39"/>
  <c r="C752" i="44"/>
  <c r="C732" i="39"/>
  <c r="C732" i="44"/>
  <c r="C712" i="39"/>
  <c r="C712" i="44"/>
  <c r="C692" i="39"/>
  <c r="C692" i="44"/>
  <c r="C672" i="39"/>
  <c r="C672" i="44"/>
  <c r="C652" i="39"/>
  <c r="C652" i="44"/>
  <c r="C632" i="39"/>
  <c r="C632" i="44"/>
  <c r="C612" i="39"/>
  <c r="C612" i="44"/>
  <c r="C592" i="39"/>
  <c r="C592" i="44"/>
  <c r="C572" i="39"/>
  <c r="C572" i="44"/>
  <c r="C552" i="39"/>
  <c r="C552" i="44"/>
  <c r="C532" i="39"/>
  <c r="C532" i="44"/>
  <c r="C512" i="39"/>
  <c r="C512" i="44"/>
  <c r="C492" i="39"/>
  <c r="C492" i="44"/>
  <c r="C472" i="39"/>
  <c r="C472" i="44"/>
  <c r="C452" i="39"/>
  <c r="C452" i="44"/>
  <c r="C432" i="39"/>
  <c r="F12" i="63" s="1"/>
  <c r="C432" i="44"/>
  <c r="C412" i="39"/>
  <c r="C412" i="44"/>
  <c r="C392" i="39"/>
  <c r="C392" i="44"/>
  <c r="C372" i="39"/>
  <c r="C372" i="44"/>
  <c r="C352" i="39"/>
  <c r="C352" i="44"/>
  <c r="C332" i="39"/>
  <c r="C332" i="44"/>
  <c r="C312" i="39"/>
  <c r="C312" i="44"/>
  <c r="C292" i="39"/>
  <c r="C292" i="44"/>
  <c r="C272" i="39"/>
  <c r="C272" i="44"/>
  <c r="C252" i="39"/>
  <c r="C252" i="44"/>
  <c r="C232" i="39"/>
  <c r="C232" i="44"/>
  <c r="C212" i="39"/>
  <c r="C212" i="44"/>
  <c r="C192" i="39"/>
  <c r="C192" i="44"/>
  <c r="C172" i="39"/>
  <c r="C172" i="44"/>
  <c r="C152" i="39"/>
  <c r="C152" i="44"/>
  <c r="C132" i="39"/>
  <c r="C132" i="44"/>
  <c r="C112" i="39"/>
  <c r="C112" i="44"/>
  <c r="C92" i="39"/>
  <c r="C92" i="44"/>
  <c r="C72" i="39"/>
  <c r="C72" i="44"/>
  <c r="C52" i="39"/>
  <c r="C52" i="44"/>
  <c r="C32" i="39"/>
  <c r="C32" i="44"/>
  <c r="C12" i="39"/>
  <c r="C12" i="44"/>
  <c r="B2824" i="44"/>
  <c r="B2802" i="44"/>
  <c r="B2779" i="44"/>
  <c r="B2757" i="44"/>
  <c r="B2735" i="44"/>
  <c r="B2713" i="44"/>
  <c r="B2691" i="44"/>
  <c r="B2669" i="44"/>
  <c r="B2647" i="44"/>
  <c r="B2624" i="44"/>
  <c r="B2602" i="44"/>
  <c r="B2579" i="44"/>
  <c r="B2557" i="44"/>
  <c r="B2535" i="44"/>
  <c r="B2513" i="44"/>
  <c r="B2491" i="44"/>
  <c r="B2469" i="44"/>
  <c r="B2447" i="44"/>
  <c r="B2424" i="44"/>
  <c r="B2402" i="44"/>
  <c r="B2379" i="44"/>
  <c r="B2357" i="44"/>
  <c r="B2335" i="44"/>
  <c r="B2313" i="44"/>
  <c r="B2291" i="44"/>
  <c r="B2269" i="44"/>
  <c r="B2247" i="44"/>
  <c r="B2221" i="44"/>
  <c r="B2195" i="44"/>
  <c r="B2170" i="44"/>
  <c r="B2141" i="44"/>
  <c r="B2115" i="44"/>
  <c r="B2090" i="44"/>
  <c r="B2061" i="44"/>
  <c r="B2035" i="44"/>
  <c r="B2002" i="44"/>
  <c r="B1974" i="44"/>
  <c r="B1941" i="44"/>
  <c r="B1896" i="44"/>
  <c r="B1852" i="44"/>
  <c r="B1796" i="44"/>
  <c r="B1752" i="44"/>
  <c r="B1678" i="44"/>
  <c r="B1474" i="44"/>
  <c r="B2933" i="39"/>
  <c r="B2806" i="44"/>
  <c r="B2391" i="39"/>
  <c r="B2025" i="44"/>
  <c r="B2371" i="39"/>
  <c r="B2005" i="44"/>
  <c r="B2351" i="39"/>
  <c r="B1985" i="44"/>
  <c r="B2331" i="39"/>
  <c r="B1965" i="44"/>
  <c r="B2311" i="39"/>
  <c r="B1945" i="44"/>
  <c r="B2291" i="39"/>
  <c r="B1925" i="44"/>
  <c r="B2271" i="39"/>
  <c r="B1905" i="44"/>
  <c r="B2251" i="39"/>
  <c r="B1885" i="44"/>
  <c r="B2231" i="39"/>
  <c r="B1865" i="44"/>
  <c r="B2211" i="39"/>
  <c r="B1845" i="44"/>
  <c r="B2191" i="39"/>
  <c r="B1825" i="44"/>
  <c r="B2171" i="39"/>
  <c r="B1805" i="44"/>
  <c r="B2151" i="39"/>
  <c r="B1785" i="44"/>
  <c r="B2131" i="39"/>
  <c r="B1765" i="44"/>
  <c r="B2111" i="39"/>
  <c r="B1745" i="44"/>
  <c r="B2091" i="39"/>
  <c r="B1725" i="44"/>
  <c r="B2071" i="39"/>
  <c r="B1705" i="44"/>
  <c r="B2051" i="39"/>
  <c r="B1685" i="44"/>
  <c r="B1891" i="39"/>
  <c r="B1681" i="44"/>
  <c r="B1871" i="39"/>
  <c r="B1661" i="44"/>
  <c r="B1851" i="39"/>
  <c r="B1641" i="44"/>
  <c r="B1831" i="39"/>
  <c r="B1621" i="44"/>
  <c r="B1811" i="39"/>
  <c r="B1601" i="44"/>
  <c r="B1791" i="39"/>
  <c r="B1581" i="44"/>
  <c r="B1771" i="39"/>
  <c r="B1561" i="44"/>
  <c r="B1751" i="39"/>
  <c r="B1541" i="44"/>
  <c r="B1731" i="39"/>
  <c r="B1521" i="44"/>
  <c r="B1711" i="39"/>
  <c r="B1501" i="44"/>
  <c r="B1491" i="39"/>
  <c r="B1491" i="44"/>
  <c r="B1471" i="39"/>
  <c r="B1471" i="44"/>
  <c r="B1451" i="39"/>
  <c r="B1451" i="44"/>
  <c r="B1431" i="39"/>
  <c r="B1431" i="44"/>
  <c r="B1411" i="39"/>
  <c r="B1411" i="44"/>
  <c r="B1391" i="39"/>
  <c r="B1391" i="44"/>
  <c r="B1371" i="39"/>
  <c r="B1371" i="44"/>
  <c r="B1351" i="39"/>
  <c r="B1351" i="44"/>
  <c r="B1331" i="39"/>
  <c r="B1331" i="44"/>
  <c r="B1311" i="39"/>
  <c r="B1311" i="44"/>
  <c r="B1291" i="39"/>
  <c r="B1291" i="44"/>
  <c r="B1271" i="39"/>
  <c r="B1271" i="44"/>
  <c r="B1251" i="39"/>
  <c r="B1251" i="44"/>
  <c r="B1231" i="39"/>
  <c r="B1231" i="44"/>
  <c r="B1211" i="39"/>
  <c r="B1211" i="44"/>
  <c r="B1191" i="39"/>
  <c r="B1191" i="44"/>
  <c r="B1171" i="39"/>
  <c r="B1171" i="44"/>
  <c r="B1151" i="39"/>
  <c r="B1151" i="44"/>
  <c r="B1131" i="39"/>
  <c r="B1131" i="44"/>
  <c r="B1111" i="39"/>
  <c r="B1111" i="44"/>
  <c r="B1091" i="39"/>
  <c r="B1091" i="44"/>
  <c r="B1071" i="39"/>
  <c r="B1071" i="44"/>
  <c r="B1051" i="39"/>
  <c r="B1051" i="44"/>
  <c r="B1031" i="39"/>
  <c r="B1031" i="44"/>
  <c r="B1011" i="39"/>
  <c r="B1011" i="44"/>
  <c r="B991" i="39"/>
  <c r="B991" i="44"/>
  <c r="B971" i="39"/>
  <c r="B971" i="44"/>
  <c r="B951" i="39"/>
  <c r="B951" i="44"/>
  <c r="B931" i="39"/>
  <c r="B931" i="44"/>
  <c r="B911" i="39"/>
  <c r="B911" i="44"/>
  <c r="B891" i="39"/>
  <c r="B891" i="44"/>
  <c r="B871" i="39"/>
  <c r="B871" i="44"/>
  <c r="B851" i="39"/>
  <c r="B851" i="44"/>
  <c r="B831" i="39"/>
  <c r="B831" i="44"/>
  <c r="B811" i="39"/>
  <c r="B811" i="44"/>
  <c r="B791" i="39"/>
  <c r="B791" i="44"/>
  <c r="B771" i="39"/>
  <c r="B771" i="44"/>
  <c r="B751" i="39"/>
  <c r="B751" i="44"/>
  <c r="B731" i="39"/>
  <c r="B731" i="44"/>
  <c r="B711" i="39"/>
  <c r="B711" i="44"/>
  <c r="B691" i="39"/>
  <c r="B691" i="44"/>
  <c r="B671" i="39"/>
  <c r="B671" i="44"/>
  <c r="B651" i="39"/>
  <c r="B651" i="44"/>
  <c r="B631" i="39"/>
  <c r="B631" i="44"/>
  <c r="B611" i="39"/>
  <c r="B611" i="44"/>
  <c r="B591" i="39"/>
  <c r="B591" i="44"/>
  <c r="B571" i="39"/>
  <c r="B571" i="44"/>
  <c r="B551" i="39"/>
  <c r="B551" i="44"/>
  <c r="B531" i="39"/>
  <c r="B531" i="44"/>
  <c r="B511" i="39"/>
  <c r="B511" i="44"/>
  <c r="B491" i="39"/>
  <c r="B491" i="44"/>
  <c r="B471" i="39"/>
  <c r="B471" i="44"/>
  <c r="B451" i="39"/>
  <c r="B451" i="44"/>
  <c r="B431" i="39"/>
  <c r="B431" i="44"/>
  <c r="B411" i="39"/>
  <c r="B411" i="44"/>
  <c r="B391" i="39"/>
  <c r="B391" i="44"/>
  <c r="B371" i="39"/>
  <c r="B371" i="44"/>
  <c r="B351" i="39"/>
  <c r="B351" i="44"/>
  <c r="B331" i="39"/>
  <c r="B331" i="44"/>
  <c r="B311" i="39"/>
  <c r="B311" i="44"/>
  <c r="B291" i="39"/>
  <c r="B291" i="44"/>
  <c r="B271" i="39"/>
  <c r="B271" i="44"/>
  <c r="B251" i="39"/>
  <c r="B251" i="44"/>
  <c r="B231" i="39"/>
  <c r="B231" i="44"/>
  <c r="B211" i="39"/>
  <c r="B211" i="44"/>
  <c r="B191" i="39"/>
  <c r="B191" i="44"/>
  <c r="B171" i="39"/>
  <c r="B171" i="44"/>
  <c r="B151" i="39"/>
  <c r="B151" i="44"/>
  <c r="B131" i="39"/>
  <c r="B131" i="44"/>
  <c r="B111" i="39"/>
  <c r="B111" i="44"/>
  <c r="B91" i="39"/>
  <c r="B91" i="44"/>
  <c r="B71" i="39"/>
  <c r="B71" i="44"/>
  <c r="B51" i="39"/>
  <c r="B51" i="44"/>
  <c r="B31" i="39"/>
  <c r="B31" i="44"/>
  <c r="B11" i="39"/>
  <c r="B11" i="44"/>
  <c r="C2951" i="39"/>
  <c r="C2824" i="44"/>
  <c r="C2931" i="39"/>
  <c r="C2804" i="44"/>
  <c r="C2911" i="39"/>
  <c r="C2784" i="44"/>
  <c r="C2771" i="39"/>
  <c r="C2405" i="44"/>
  <c r="C2751" i="39"/>
  <c r="C2385" i="44"/>
  <c r="C2731" i="39"/>
  <c r="C2365" i="44"/>
  <c r="C2711" i="39"/>
  <c r="C2345" i="44"/>
  <c r="C2691" i="39"/>
  <c r="C2325" i="44"/>
  <c r="C2671" i="39"/>
  <c r="C2305" i="44"/>
  <c r="C2651" i="39"/>
  <c r="C2285" i="44"/>
  <c r="C2631" i="39"/>
  <c r="C2265" i="44"/>
  <c r="C2611" i="39"/>
  <c r="C2245" i="44"/>
  <c r="C2591" i="39"/>
  <c r="C2225" i="44"/>
  <c r="C2571" i="39"/>
  <c r="C2205" i="44"/>
  <c r="C2551" i="39"/>
  <c r="C2185" i="44"/>
  <c r="C2531" i="39"/>
  <c r="C2165" i="44"/>
  <c r="C2511" i="39"/>
  <c r="C2145" i="44"/>
  <c r="C2491" i="39"/>
  <c r="C2125" i="44"/>
  <c r="C2471" i="39"/>
  <c r="C2105" i="44"/>
  <c r="C2451" i="39"/>
  <c r="C2085" i="44"/>
  <c r="C2431" i="39"/>
  <c r="C2065" i="44"/>
  <c r="C2411" i="39"/>
  <c r="C2045" i="44"/>
  <c r="C2391" i="39"/>
  <c r="C2025" i="44"/>
  <c r="C2371" i="39"/>
  <c r="C2005" i="44"/>
  <c r="C2351" i="39"/>
  <c r="C1985" i="44"/>
  <c r="C2331" i="39"/>
  <c r="C1965" i="44"/>
  <c r="C2311" i="39"/>
  <c r="C1945" i="44"/>
  <c r="C2291" i="39"/>
  <c r="C1925" i="44"/>
  <c r="C2271" i="39"/>
  <c r="C1905" i="44"/>
  <c r="C2251" i="39"/>
  <c r="C1885" i="44"/>
  <c r="C2231" i="39"/>
  <c r="C1865" i="44"/>
  <c r="C2211" i="39"/>
  <c r="C1845" i="44"/>
  <c r="C2191" i="39"/>
  <c r="C1825" i="44"/>
  <c r="C2171" i="39"/>
  <c r="C1805" i="44"/>
  <c r="C2151" i="39"/>
  <c r="C1785" i="44"/>
  <c r="C2131" i="39"/>
  <c r="C1765" i="44"/>
  <c r="C2111" i="39"/>
  <c r="C1745" i="44"/>
  <c r="C2091" i="39"/>
  <c r="C1725" i="44"/>
  <c r="C2071" i="39"/>
  <c r="C1705" i="44"/>
  <c r="C2051" i="39"/>
  <c r="C1685" i="44"/>
  <c r="C2031" i="39"/>
  <c r="C2758" i="44"/>
  <c r="C2011" i="39"/>
  <c r="C2738" i="44"/>
  <c r="C1991" i="39"/>
  <c r="C2718" i="44"/>
  <c r="C1971" i="39"/>
  <c r="C2698" i="44"/>
  <c r="C1951" i="39"/>
  <c r="C2678" i="44"/>
  <c r="C1931" i="39"/>
  <c r="F22" i="62" s="1"/>
  <c r="C2658" i="44"/>
  <c r="C1911" i="39"/>
  <c r="C2638" i="44"/>
  <c r="C1891" i="39"/>
  <c r="C1681" i="44"/>
  <c r="C1871" i="39"/>
  <c r="C1661" i="44"/>
  <c r="C1851" i="39"/>
  <c r="C1641" i="44"/>
  <c r="C1831" i="39"/>
  <c r="C1621" i="44"/>
  <c r="C1811" i="39"/>
  <c r="C1601" i="44"/>
  <c r="C1791" i="39"/>
  <c r="C1581" i="44"/>
  <c r="C1771" i="39"/>
  <c r="C1561" i="44"/>
  <c r="C1751" i="39"/>
  <c r="C1541" i="44"/>
  <c r="C1731" i="39"/>
  <c r="C1521" i="44"/>
  <c r="C1711" i="39"/>
  <c r="C1501" i="44"/>
  <c r="C1671" i="39"/>
  <c r="F21" i="65" s="1"/>
  <c r="C2601" i="44"/>
  <c r="C1651" i="39"/>
  <c r="C2581" i="44"/>
  <c r="C1631" i="39"/>
  <c r="F21" i="64" s="1"/>
  <c r="C2561" i="44"/>
  <c r="C1611" i="39"/>
  <c r="C2541" i="44"/>
  <c r="C1591" i="39"/>
  <c r="C2521" i="44"/>
  <c r="C1571" i="39"/>
  <c r="C2501" i="44"/>
  <c r="C1551" i="39"/>
  <c r="C2481" i="44"/>
  <c r="C1531" i="39"/>
  <c r="C2461" i="44"/>
  <c r="C1511" i="39"/>
  <c r="C2441" i="44"/>
  <c r="C1491" i="39"/>
  <c r="C1491" i="44"/>
  <c r="C1471" i="39"/>
  <c r="C1471" i="44"/>
  <c r="C1451" i="39"/>
  <c r="C1451" i="44"/>
  <c r="C1431" i="39"/>
  <c r="C1431" i="44"/>
  <c r="C1411" i="39"/>
  <c r="C1411" i="44"/>
  <c r="C1391" i="39"/>
  <c r="C1391" i="44"/>
  <c r="C1371" i="39"/>
  <c r="C1371" i="44"/>
  <c r="C1351" i="39"/>
  <c r="C1351" i="44"/>
  <c r="C1331" i="39"/>
  <c r="C1331" i="44"/>
  <c r="C1311" i="39"/>
  <c r="C1311" i="44"/>
  <c r="C1291" i="39"/>
  <c r="C1291" i="44"/>
  <c r="C1271" i="39"/>
  <c r="C1271" i="44"/>
  <c r="C1251" i="39"/>
  <c r="C1251" i="44"/>
  <c r="C1231" i="39"/>
  <c r="C1231" i="44"/>
  <c r="C1211" i="39"/>
  <c r="C1211" i="44"/>
  <c r="C1191" i="39"/>
  <c r="C1191" i="44"/>
  <c r="C1171" i="39"/>
  <c r="C1171" i="44"/>
  <c r="C1151" i="39"/>
  <c r="C1151" i="44"/>
  <c r="C1131" i="39"/>
  <c r="C1131" i="44"/>
  <c r="C1111" i="39"/>
  <c r="C1111" i="44"/>
  <c r="C1091" i="39"/>
  <c r="C1091" i="44"/>
  <c r="C1071" i="39"/>
  <c r="C1071" i="44"/>
  <c r="C1051" i="39"/>
  <c r="C1051" i="44"/>
  <c r="C1031" i="39"/>
  <c r="C1031" i="44"/>
  <c r="C1011" i="39"/>
  <c r="C1011" i="44"/>
  <c r="C991" i="39"/>
  <c r="C991" i="44"/>
  <c r="C971" i="39"/>
  <c r="C971" i="44"/>
  <c r="C951" i="39"/>
  <c r="C951" i="44"/>
  <c r="C931" i="39"/>
  <c r="C931" i="44"/>
  <c r="C911" i="39"/>
  <c r="C911" i="44"/>
  <c r="C891" i="39"/>
  <c r="C891" i="44"/>
  <c r="C871" i="39"/>
  <c r="C871" i="44"/>
  <c r="C851" i="39"/>
  <c r="C851" i="44"/>
  <c r="C831" i="39"/>
  <c r="C831" i="44"/>
  <c r="C811" i="39"/>
  <c r="C811" i="44"/>
  <c r="C791" i="39"/>
  <c r="C791" i="44"/>
  <c r="C771" i="39"/>
  <c r="C771" i="44"/>
  <c r="C751" i="39"/>
  <c r="C751" i="44"/>
  <c r="C731" i="39"/>
  <c r="C731" i="44"/>
  <c r="C711" i="39"/>
  <c r="C711" i="44"/>
  <c r="C691" i="39"/>
  <c r="C691" i="44"/>
  <c r="C671" i="39"/>
  <c r="C671" i="44"/>
  <c r="C651" i="39"/>
  <c r="C651" i="44"/>
  <c r="C631" i="39"/>
  <c r="C631" i="44"/>
  <c r="C611" i="39"/>
  <c r="C611" i="44"/>
  <c r="C591" i="39"/>
  <c r="C591" i="44"/>
  <c r="C571" i="39"/>
  <c r="C571" i="44"/>
  <c r="C551" i="39"/>
  <c r="C551" i="44"/>
  <c r="C531" i="39"/>
  <c r="C531" i="44"/>
  <c r="C511" i="39"/>
  <c r="C511" i="44"/>
  <c r="C491" i="39"/>
  <c r="C491" i="44"/>
  <c r="C471" i="39"/>
  <c r="C471" i="44"/>
  <c r="C451" i="39"/>
  <c r="C451" i="44"/>
  <c r="C431" i="39"/>
  <c r="C431" i="44"/>
  <c r="C411" i="39"/>
  <c r="C411" i="44"/>
  <c r="C391" i="39"/>
  <c r="C391" i="44"/>
  <c r="C371" i="39"/>
  <c r="C371" i="44"/>
  <c r="C351" i="39"/>
  <c r="C351" i="44"/>
  <c r="C331" i="39"/>
  <c r="C331" i="44"/>
  <c r="C311" i="39"/>
  <c r="C311" i="44"/>
  <c r="C291" i="39"/>
  <c r="C291" i="44"/>
  <c r="C271" i="39"/>
  <c r="C271" i="44"/>
  <c r="C251" i="39"/>
  <c r="C251" i="44"/>
  <c r="C231" i="39"/>
  <c r="C231" i="44"/>
  <c r="C211" i="39"/>
  <c r="C211" i="44"/>
  <c r="C191" i="39"/>
  <c r="C191" i="44"/>
  <c r="C171" i="39"/>
  <c r="C171" i="44"/>
  <c r="C151" i="39"/>
  <c r="C151" i="44"/>
  <c r="C131" i="39"/>
  <c r="C131" i="44"/>
  <c r="C111" i="39"/>
  <c r="C111" i="44"/>
  <c r="C91" i="39"/>
  <c r="C91" i="44"/>
  <c r="C71" i="39"/>
  <c r="C71" i="44"/>
  <c r="C51" i="39"/>
  <c r="C51" i="44"/>
  <c r="C31" i="39"/>
  <c r="C31" i="44"/>
  <c r="C11" i="39"/>
  <c r="C11" i="44"/>
  <c r="B2823" i="44"/>
  <c r="B2801" i="44"/>
  <c r="B2778" i="44"/>
  <c r="B2756" i="44"/>
  <c r="B2734" i="44"/>
  <c r="B2712" i="44"/>
  <c r="B2690" i="44"/>
  <c r="B2668" i="44"/>
  <c r="B2645" i="44"/>
  <c r="B2623" i="44"/>
  <c r="B2601" i="44"/>
  <c r="B2578" i="44"/>
  <c r="B2556" i="44"/>
  <c r="B2534" i="44"/>
  <c r="B2512" i="44"/>
  <c r="B2490" i="44"/>
  <c r="B2468" i="44"/>
  <c r="B2445" i="44"/>
  <c r="B2423" i="44"/>
  <c r="B2401" i="44"/>
  <c r="B2378" i="44"/>
  <c r="B2356" i="44"/>
  <c r="B2334" i="44"/>
  <c r="B2312" i="44"/>
  <c r="B2290" i="44"/>
  <c r="B2268" i="44"/>
  <c r="B2245" i="44"/>
  <c r="B2219" i="44"/>
  <c r="B2194" i="44"/>
  <c r="B2168" i="44"/>
  <c r="B2139" i="44"/>
  <c r="B2114" i="44"/>
  <c r="B2088" i="44"/>
  <c r="B2059" i="44"/>
  <c r="B2034" i="44"/>
  <c r="B2001" i="44"/>
  <c r="B1973" i="44"/>
  <c r="B1939" i="44"/>
  <c r="B1895" i="44"/>
  <c r="B1839" i="44"/>
  <c r="B1795" i="44"/>
  <c r="B1739" i="44"/>
  <c r="B1674" i="44"/>
  <c r="B2590" i="39"/>
  <c r="B2224" i="44"/>
  <c r="B2570" i="39"/>
  <c r="B2204" i="44"/>
  <c r="B2550" i="39"/>
  <c r="B2184" i="44"/>
  <c r="B2530" i="39"/>
  <c r="B2164" i="44"/>
  <c r="B2510" i="39"/>
  <c r="B2144" i="44"/>
  <c r="B2490" i="39"/>
  <c r="B2124" i="44"/>
  <c r="B2470" i="39"/>
  <c r="B2104" i="44"/>
  <c r="B2450" i="39"/>
  <c r="B2084" i="44"/>
  <c r="B2430" i="39"/>
  <c r="B2064" i="44"/>
  <c r="B2410" i="39"/>
  <c r="B2044" i="44"/>
  <c r="B2390" i="39"/>
  <c r="B2024" i="44"/>
  <c r="B2370" i="39"/>
  <c r="B2004" i="44"/>
  <c r="B2350" i="39"/>
  <c r="B1984" i="44"/>
  <c r="B2330" i="39"/>
  <c r="B1964" i="44"/>
  <c r="B2310" i="39"/>
  <c r="B1944" i="44"/>
  <c r="B2290" i="39"/>
  <c r="B1924" i="44"/>
  <c r="B2270" i="39"/>
  <c r="B1904" i="44"/>
  <c r="B2250" i="39"/>
  <c r="B1884" i="44"/>
  <c r="B2230" i="39"/>
  <c r="B1864" i="44"/>
  <c r="B2210" i="39"/>
  <c r="B1844" i="44"/>
  <c r="B2190" i="39"/>
  <c r="B1824" i="44"/>
  <c r="B2170" i="39"/>
  <c r="B1804" i="44"/>
  <c r="B2150" i="39"/>
  <c r="B1784" i="44"/>
  <c r="B2130" i="39"/>
  <c r="B1764" i="44"/>
  <c r="B2110" i="39"/>
  <c r="B1744" i="44"/>
  <c r="B2090" i="39"/>
  <c r="B1724" i="44"/>
  <c r="B2070" i="39"/>
  <c r="B1704" i="44"/>
  <c r="B2050" i="39"/>
  <c r="B1684" i="44"/>
  <c r="B1890" i="39"/>
  <c r="B1680" i="44"/>
  <c r="B1870" i="39"/>
  <c r="B1660" i="44"/>
  <c r="B1850" i="39"/>
  <c r="B1640" i="44"/>
  <c r="B1830" i="39"/>
  <c r="B1620" i="44"/>
  <c r="B1810" i="39"/>
  <c r="B1600" i="44"/>
  <c r="B1790" i="39"/>
  <c r="B1580" i="44"/>
  <c r="B1770" i="39"/>
  <c r="B1560" i="44"/>
  <c r="B1750" i="39"/>
  <c r="B1540" i="44"/>
  <c r="B1730" i="39"/>
  <c r="B1520" i="44"/>
  <c r="B1710" i="39"/>
  <c r="B1500" i="44"/>
  <c r="B1690" i="39"/>
  <c r="B2620" i="44"/>
  <c r="B1670" i="39"/>
  <c r="B2600" i="44"/>
  <c r="B1650" i="39"/>
  <c r="B2580" i="44"/>
  <c r="B1630" i="39"/>
  <c r="B2560" i="44"/>
  <c r="B1610" i="39"/>
  <c r="B2540" i="44"/>
  <c r="B1590" i="39"/>
  <c r="B2520" i="44"/>
  <c r="B1570" i="39"/>
  <c r="B2500" i="44"/>
  <c r="B1550" i="39"/>
  <c r="B2480" i="44"/>
  <c r="B1530" i="39"/>
  <c r="B2460" i="44"/>
  <c r="B1510" i="39"/>
  <c r="B2440" i="44"/>
  <c r="B1490" i="39"/>
  <c r="B1490" i="44"/>
  <c r="B1470" i="39"/>
  <c r="B1470" i="44"/>
  <c r="B1450" i="39"/>
  <c r="B1450" i="44"/>
  <c r="B1430" i="39"/>
  <c r="B1430" i="44"/>
  <c r="B1410" i="39"/>
  <c r="B1410" i="44"/>
  <c r="B1390" i="39"/>
  <c r="B1390" i="44"/>
  <c r="B1370" i="39"/>
  <c r="B1370" i="44"/>
  <c r="B1350" i="39"/>
  <c r="B1350" i="44"/>
  <c r="B1330" i="39"/>
  <c r="B1330" i="44"/>
  <c r="B1310" i="39"/>
  <c r="B1310" i="44"/>
  <c r="B1290" i="39"/>
  <c r="B1290" i="44"/>
  <c r="B1270" i="39"/>
  <c r="B1270" i="44"/>
  <c r="B1250" i="39"/>
  <c r="B1250" i="44"/>
  <c r="B1230" i="39"/>
  <c r="B1230" i="44"/>
  <c r="B1210" i="39"/>
  <c r="B1210" i="44"/>
  <c r="B1190" i="39"/>
  <c r="B1190" i="44"/>
  <c r="B1170" i="39"/>
  <c r="B1170" i="44"/>
  <c r="B1150" i="39"/>
  <c r="B1150" i="44"/>
  <c r="B1130" i="39"/>
  <c r="B1130" i="44"/>
  <c r="B1110" i="39"/>
  <c r="B1110" i="44"/>
  <c r="B1090" i="39"/>
  <c r="B1090" i="44"/>
  <c r="B1070" i="39"/>
  <c r="B1070" i="44"/>
  <c r="B1050" i="39"/>
  <c r="B1050" i="44"/>
  <c r="B1030" i="39"/>
  <c r="B1030" i="44"/>
  <c r="B1010" i="39"/>
  <c r="B1010" i="44"/>
  <c r="B990" i="39"/>
  <c r="B990" i="44"/>
  <c r="B970" i="39"/>
  <c r="B970" i="44"/>
  <c r="B950" i="39"/>
  <c r="B950" i="44"/>
  <c r="B930" i="39"/>
  <c r="B930" i="44"/>
  <c r="B910" i="39"/>
  <c r="B910" i="44"/>
  <c r="B890" i="39"/>
  <c r="B890" i="44"/>
  <c r="B870" i="39"/>
  <c r="B870" i="44"/>
  <c r="B850" i="39"/>
  <c r="B850" i="44"/>
  <c r="B830" i="39"/>
  <c r="B830" i="44"/>
  <c r="B810" i="39"/>
  <c r="B810" i="44"/>
  <c r="B790" i="39"/>
  <c r="B790" i="44"/>
  <c r="B770" i="39"/>
  <c r="B770" i="44"/>
  <c r="B750" i="39"/>
  <c r="B750" i="44"/>
  <c r="B730" i="39"/>
  <c r="B730" i="44"/>
  <c r="B710" i="39"/>
  <c r="B710" i="44"/>
  <c r="B690" i="39"/>
  <c r="B690" i="44"/>
  <c r="B670" i="39"/>
  <c r="B670" i="44"/>
  <c r="B650" i="39"/>
  <c r="B650" i="44"/>
  <c r="B630" i="39"/>
  <c r="B630" i="44"/>
  <c r="B610" i="39"/>
  <c r="B610" i="44"/>
  <c r="B590" i="39"/>
  <c r="B590" i="44"/>
  <c r="B570" i="39"/>
  <c r="B570" i="44"/>
  <c r="B550" i="39"/>
  <c r="B550" i="44"/>
  <c r="B530" i="39"/>
  <c r="B530" i="44"/>
  <c r="B510" i="39"/>
  <c r="B510" i="44"/>
  <c r="B490" i="39"/>
  <c r="B490" i="44"/>
  <c r="B470" i="39"/>
  <c r="B470" i="44"/>
  <c r="B450" i="39"/>
  <c r="B450" i="44"/>
  <c r="B430" i="39"/>
  <c r="B430" i="44"/>
  <c r="B410" i="39"/>
  <c r="B410" i="44"/>
  <c r="B390" i="39"/>
  <c r="B390" i="44"/>
  <c r="B370" i="39"/>
  <c r="B370" i="44"/>
  <c r="B350" i="39"/>
  <c r="B350" i="44"/>
  <c r="B330" i="39"/>
  <c r="B330" i="44"/>
  <c r="B310" i="39"/>
  <c r="B310" i="44"/>
  <c r="B290" i="39"/>
  <c r="B290" i="44"/>
  <c r="B270" i="39"/>
  <c r="B270" i="44"/>
  <c r="B250" i="39"/>
  <c r="B250" i="44"/>
  <c r="B230" i="39"/>
  <c r="B230" i="44"/>
  <c r="B210" i="39"/>
  <c r="B210" i="44"/>
  <c r="B190" i="39"/>
  <c r="B190" i="44"/>
  <c r="B170" i="39"/>
  <c r="B170" i="44"/>
  <c r="B150" i="39"/>
  <c r="B150" i="44"/>
  <c r="B130" i="39"/>
  <c r="B130" i="44"/>
  <c r="B110" i="39"/>
  <c r="B110" i="44"/>
  <c r="B90" i="39"/>
  <c r="B90" i="44"/>
  <c r="B70" i="39"/>
  <c r="B70" i="44"/>
  <c r="B50" i="39"/>
  <c r="B50" i="44"/>
  <c r="B30" i="39"/>
  <c r="B30" i="44"/>
  <c r="B10" i="39"/>
  <c r="B10" i="44"/>
  <c r="C2950" i="39"/>
  <c r="C2823" i="44"/>
  <c r="C2930" i="39"/>
  <c r="C2803" i="44"/>
  <c r="C2910" i="39"/>
  <c r="C2783" i="44"/>
  <c r="C2770" i="39"/>
  <c r="C2404" i="44"/>
  <c r="C2750" i="39"/>
  <c r="C2384" i="44"/>
  <c r="C2730" i="39"/>
  <c r="C2364" i="44"/>
  <c r="C2710" i="39"/>
  <c r="C2344" i="44"/>
  <c r="C2690" i="39"/>
  <c r="C2324" i="44"/>
  <c r="C2670" i="39"/>
  <c r="C2304" i="44"/>
  <c r="C2650" i="39"/>
  <c r="C2284" i="44"/>
  <c r="C2630" i="39"/>
  <c r="C2264" i="44"/>
  <c r="C2610" i="39"/>
  <c r="C2244" i="44"/>
  <c r="C2590" i="39"/>
  <c r="C2224" i="44"/>
  <c r="C2570" i="39"/>
  <c r="C2204" i="44"/>
  <c r="C2550" i="39"/>
  <c r="C2184" i="44"/>
  <c r="C2530" i="39"/>
  <c r="C2164" i="44"/>
  <c r="C2510" i="39"/>
  <c r="C2144" i="44"/>
  <c r="C2490" i="39"/>
  <c r="C2124" i="44"/>
  <c r="C2470" i="39"/>
  <c r="C2104" i="44"/>
  <c r="C2450" i="39"/>
  <c r="C2084" i="44"/>
  <c r="C2430" i="39"/>
  <c r="C2064" i="44"/>
  <c r="C2410" i="39"/>
  <c r="C2044" i="44"/>
  <c r="C2390" i="39"/>
  <c r="C2024" i="44"/>
  <c r="C2370" i="39"/>
  <c r="C2004" i="44"/>
  <c r="C2350" i="39"/>
  <c r="C1984" i="44"/>
  <c r="C2330" i="39"/>
  <c r="C1964" i="44"/>
  <c r="C2310" i="39"/>
  <c r="C1944" i="44"/>
  <c r="C2290" i="39"/>
  <c r="C1924" i="44"/>
  <c r="C2270" i="39"/>
  <c r="C1904" i="44"/>
  <c r="C2250" i="39"/>
  <c r="C1884" i="44"/>
  <c r="C2230" i="39"/>
  <c r="C1864" i="44"/>
  <c r="C2210" i="39"/>
  <c r="C1844" i="44"/>
  <c r="C2190" i="39"/>
  <c r="C1824" i="44"/>
  <c r="C2170" i="39"/>
  <c r="C1804" i="44"/>
  <c r="C2150" i="39"/>
  <c r="C1784" i="44"/>
  <c r="C2130" i="39"/>
  <c r="C1764" i="44"/>
  <c r="C2110" i="39"/>
  <c r="C1744" i="44"/>
  <c r="C2090" i="39"/>
  <c r="C1724" i="44"/>
  <c r="C2070" i="39"/>
  <c r="C1704" i="44"/>
  <c r="C2050" i="39"/>
  <c r="C1684" i="44"/>
  <c r="C2030" i="39"/>
  <c r="C2757" i="44"/>
  <c r="C2010" i="39"/>
  <c r="C2737" i="44"/>
  <c r="C1990" i="39"/>
  <c r="C2717" i="44"/>
  <c r="C1970" i="39"/>
  <c r="C2697" i="44"/>
  <c r="C1950" i="39"/>
  <c r="C2677" i="44"/>
  <c r="C1930" i="39"/>
  <c r="F21" i="62" s="1"/>
  <c r="C2657" i="44"/>
  <c r="C1910" i="39"/>
  <c r="C2637" i="44"/>
  <c r="C1890" i="39"/>
  <c r="C1680" i="44"/>
  <c r="C1870" i="39"/>
  <c r="C1660" i="44"/>
  <c r="C1850" i="39"/>
  <c r="C1640" i="44"/>
  <c r="C1830" i="39"/>
  <c r="C1620" i="44"/>
  <c r="C1810" i="39"/>
  <c r="C1600" i="44"/>
  <c r="C1790" i="39"/>
  <c r="C1580" i="44"/>
  <c r="C1770" i="39"/>
  <c r="C1560" i="44"/>
  <c r="C1750" i="39"/>
  <c r="C1540" i="44"/>
  <c r="C1730" i="39"/>
  <c r="C1520" i="44"/>
  <c r="C1710" i="39"/>
  <c r="C1500" i="44"/>
  <c r="C1690" i="39"/>
  <c r="C2620" i="44"/>
  <c r="C1670" i="39"/>
  <c r="F20" i="65" s="1"/>
  <c r="C2600" i="44"/>
  <c r="C1650" i="39"/>
  <c r="C2580" i="44"/>
  <c r="C1630" i="39"/>
  <c r="C2560" i="44"/>
  <c r="C1610" i="39"/>
  <c r="C2540" i="44"/>
  <c r="C1590" i="39"/>
  <c r="C2520" i="44"/>
  <c r="C1570" i="39"/>
  <c r="F26" i="64" s="1"/>
  <c r="C2500" i="44"/>
  <c r="C1550" i="39"/>
  <c r="C2480" i="44"/>
  <c r="C1530" i="39"/>
  <c r="C2460" i="44"/>
  <c r="C1510" i="39"/>
  <c r="C2440" i="44"/>
  <c r="C1490" i="39"/>
  <c r="C1490" i="44"/>
  <c r="C1470" i="39"/>
  <c r="C1470" i="44"/>
  <c r="C1450" i="39"/>
  <c r="C1450" i="44"/>
  <c r="C1430" i="39"/>
  <c r="C1430" i="44"/>
  <c r="C1410" i="39"/>
  <c r="C1410" i="44"/>
  <c r="C1390" i="39"/>
  <c r="C1390" i="44"/>
  <c r="C1370" i="39"/>
  <c r="C1370" i="44"/>
  <c r="C1350" i="39"/>
  <c r="C1350" i="44"/>
  <c r="C1330" i="39"/>
  <c r="C1330" i="44"/>
  <c r="C1310" i="39"/>
  <c r="C1310" i="44"/>
  <c r="C1290" i="39"/>
  <c r="C1290" i="44"/>
  <c r="C1270" i="39"/>
  <c r="C1270" i="44"/>
  <c r="C1250" i="39"/>
  <c r="C1250" i="44"/>
  <c r="C1230" i="39"/>
  <c r="C1230" i="44"/>
  <c r="C1210" i="39"/>
  <c r="C1210" i="44"/>
  <c r="C1190" i="39"/>
  <c r="C1190" i="44"/>
  <c r="C1170" i="39"/>
  <c r="C1170" i="44"/>
  <c r="C1150" i="39"/>
  <c r="C1150" i="44"/>
  <c r="C1130" i="39"/>
  <c r="C1130" i="44"/>
  <c r="C1110" i="39"/>
  <c r="C1110" i="44"/>
  <c r="C1090" i="39"/>
  <c r="C1090" i="44"/>
  <c r="C1070" i="39"/>
  <c r="C1070" i="44"/>
  <c r="C1050" i="39"/>
  <c r="C1050" i="44"/>
  <c r="C1030" i="39"/>
  <c r="C1030" i="44"/>
  <c r="C1010" i="39"/>
  <c r="C1010" i="44"/>
  <c r="C990" i="39"/>
  <c r="C990" i="44"/>
  <c r="C970" i="39"/>
  <c r="C970" i="44"/>
  <c r="C950" i="39"/>
  <c r="C950" i="44"/>
  <c r="C930" i="39"/>
  <c r="C930" i="44"/>
  <c r="C910" i="39"/>
  <c r="C910" i="44"/>
  <c r="C890" i="39"/>
  <c r="C890" i="44"/>
  <c r="C870" i="39"/>
  <c r="C870" i="44"/>
  <c r="C850" i="39"/>
  <c r="C850" i="44"/>
  <c r="C830" i="39"/>
  <c r="C830" i="44"/>
  <c r="C810" i="39"/>
  <c r="C810" i="44"/>
  <c r="C790" i="39"/>
  <c r="C790" i="44"/>
  <c r="C770" i="39"/>
  <c r="C770" i="44"/>
  <c r="C750" i="39"/>
  <c r="C750" i="44"/>
  <c r="C730" i="39"/>
  <c r="C730" i="44"/>
  <c r="C710" i="39"/>
  <c r="C710" i="44"/>
  <c r="C690" i="39"/>
  <c r="C690" i="44"/>
  <c r="C670" i="39"/>
  <c r="C670" i="44"/>
  <c r="C650" i="39"/>
  <c r="C650" i="44"/>
  <c r="C630" i="39"/>
  <c r="C630" i="44"/>
  <c r="C610" i="39"/>
  <c r="C610" i="44"/>
  <c r="C590" i="39"/>
  <c r="C590" i="44"/>
  <c r="C570" i="39"/>
  <c r="C570" i="44"/>
  <c r="C550" i="39"/>
  <c r="C550" i="44"/>
  <c r="C530" i="39"/>
  <c r="C530" i="44"/>
  <c r="C510" i="39"/>
  <c r="C510" i="44"/>
  <c r="C490" i="39"/>
  <c r="C490" i="44"/>
  <c r="C470" i="39"/>
  <c r="C470" i="44"/>
  <c r="C450" i="39"/>
  <c r="C450" i="44"/>
  <c r="C430" i="39"/>
  <c r="F10" i="63" s="1"/>
  <c r="C430" i="44"/>
  <c r="C410" i="39"/>
  <c r="C410" i="44"/>
  <c r="C390" i="39"/>
  <c r="C390" i="44"/>
  <c r="C370" i="39"/>
  <c r="C370" i="44"/>
  <c r="C350" i="39"/>
  <c r="C350" i="44"/>
  <c r="C330" i="39"/>
  <c r="C330" i="44"/>
  <c r="C310" i="39"/>
  <c r="C310" i="44"/>
  <c r="C290" i="39"/>
  <c r="C290" i="44"/>
  <c r="C270" i="39"/>
  <c r="C270" i="44"/>
  <c r="C250" i="39"/>
  <c r="C250" i="44"/>
  <c r="C230" i="39"/>
  <c r="C230" i="44"/>
  <c r="C210" i="39"/>
  <c r="C210" i="44"/>
  <c r="C190" i="39"/>
  <c r="C190" i="44"/>
  <c r="C170" i="39"/>
  <c r="C170" i="44"/>
  <c r="C150" i="39"/>
  <c r="C150" i="44"/>
  <c r="C130" i="39"/>
  <c r="C130" i="44"/>
  <c r="C110" i="39"/>
  <c r="C110" i="44"/>
  <c r="C90" i="39"/>
  <c r="C90" i="44"/>
  <c r="C70" i="39"/>
  <c r="C70" i="44"/>
  <c r="C50" i="39"/>
  <c r="C50" i="44"/>
  <c r="C30" i="39"/>
  <c r="C30" i="44"/>
  <c r="C10" i="39"/>
  <c r="C10" i="44"/>
  <c r="B2822" i="44"/>
  <c r="B2799" i="44"/>
  <c r="B2777" i="44"/>
  <c r="B2755" i="44"/>
  <c r="B2733" i="44"/>
  <c r="B2711" i="44"/>
  <c r="B2689" i="44"/>
  <c r="B2667" i="44"/>
  <c r="B2644" i="44"/>
  <c r="B2622" i="44"/>
  <c r="B2599" i="44"/>
  <c r="B2577" i="44"/>
  <c r="B2555" i="44"/>
  <c r="B2533" i="44"/>
  <c r="B2511" i="44"/>
  <c r="B2489" i="44"/>
  <c r="B2467" i="44"/>
  <c r="B2444" i="44"/>
  <c r="B2422" i="44"/>
  <c r="B2399" i="44"/>
  <c r="B2377" i="44"/>
  <c r="B2355" i="44"/>
  <c r="B2333" i="44"/>
  <c r="B2311" i="44"/>
  <c r="B2289" i="44"/>
  <c r="B2267" i="44"/>
  <c r="B2244" i="44"/>
  <c r="B2218" i="44"/>
  <c r="B2193" i="44"/>
  <c r="B2167" i="44"/>
  <c r="B2138" i="44"/>
  <c r="B2113" i="44"/>
  <c r="B2087" i="44"/>
  <c r="B2058" i="44"/>
  <c r="B2033" i="44"/>
  <c r="B1999" i="44"/>
  <c r="B1972" i="44"/>
  <c r="B1938" i="44"/>
  <c r="B1894" i="44"/>
  <c r="B1838" i="44"/>
  <c r="B1794" i="44"/>
  <c r="B1738" i="44"/>
  <c r="B1673" i="44"/>
  <c r="B2589" i="39"/>
  <c r="B2223" i="44"/>
  <c r="B2569" i="39"/>
  <c r="B2203" i="44"/>
  <c r="B2549" i="39"/>
  <c r="B2183" i="44"/>
  <c r="B2529" i="39"/>
  <c r="B2163" i="44"/>
  <c r="B2509" i="39"/>
  <c r="B2143" i="44"/>
  <c r="B2489" i="39"/>
  <c r="B2123" i="44"/>
  <c r="B2469" i="39"/>
  <c r="B2103" i="44"/>
  <c r="B2449" i="39"/>
  <c r="B2083" i="44"/>
  <c r="B2429" i="39"/>
  <c r="B2063" i="44"/>
  <c r="B2409" i="39"/>
  <c r="B2043" i="44"/>
  <c r="B2389" i="39"/>
  <c r="B2023" i="44"/>
  <c r="B2369" i="39"/>
  <c r="B2003" i="44"/>
  <c r="B2349" i="39"/>
  <c r="B1983" i="44"/>
  <c r="B2329" i="39"/>
  <c r="B1963" i="44"/>
  <c r="B2309" i="39"/>
  <c r="B1943" i="44"/>
  <c r="B2289" i="39"/>
  <c r="B1923" i="44"/>
  <c r="B2269" i="39"/>
  <c r="B1903" i="44"/>
  <c r="B2249" i="39"/>
  <c r="B1883" i="44"/>
  <c r="B2229" i="39"/>
  <c r="B1863" i="44"/>
  <c r="B2209" i="39"/>
  <c r="B1843" i="44"/>
  <c r="B2189" i="39"/>
  <c r="B1823" i="44"/>
  <c r="B2169" i="39"/>
  <c r="B1803" i="44"/>
  <c r="B2149" i="39"/>
  <c r="B1783" i="44"/>
  <c r="B2129" i="39"/>
  <c r="B1763" i="44"/>
  <c r="B2109" i="39"/>
  <c r="B1743" i="44"/>
  <c r="B2089" i="39"/>
  <c r="B1723" i="44"/>
  <c r="B2069" i="39"/>
  <c r="B1703" i="44"/>
  <c r="B1889" i="39"/>
  <c r="B1679" i="44"/>
  <c r="B1869" i="39"/>
  <c r="B1659" i="44"/>
  <c r="B1849" i="39"/>
  <c r="B1639" i="44"/>
  <c r="B1829" i="39"/>
  <c r="B1619" i="44"/>
  <c r="B1809" i="39"/>
  <c r="B1599" i="44"/>
  <c r="B1789" i="39"/>
  <c r="B1579" i="44"/>
  <c r="B1769" i="39"/>
  <c r="B1559" i="44"/>
  <c r="B1749" i="39"/>
  <c r="B1539" i="44"/>
  <c r="B1729" i="39"/>
  <c r="B1519" i="44"/>
  <c r="B1709" i="39"/>
  <c r="B1499" i="44"/>
  <c r="B1489" i="39"/>
  <c r="B1489" i="44"/>
  <c r="B1469" i="39"/>
  <c r="B1469" i="44"/>
  <c r="B1449" i="39"/>
  <c r="B1449" i="44"/>
  <c r="B1429" i="39"/>
  <c r="B1429" i="44"/>
  <c r="B1409" i="39"/>
  <c r="B1409" i="44"/>
  <c r="B1389" i="39"/>
  <c r="B1389" i="44"/>
  <c r="B1369" i="39"/>
  <c r="B1369" i="44"/>
  <c r="B1349" i="39"/>
  <c r="B1349" i="44"/>
  <c r="B1329" i="39"/>
  <c r="B1329" i="44"/>
  <c r="B1309" i="39"/>
  <c r="B1309" i="44"/>
  <c r="B1289" i="39"/>
  <c r="B1289" i="44"/>
  <c r="B1269" i="39"/>
  <c r="B1269" i="44"/>
  <c r="B1249" i="39"/>
  <c r="B1249" i="44"/>
  <c r="B1229" i="39"/>
  <c r="B1229" i="44"/>
  <c r="B1209" i="39"/>
  <c r="B1209" i="44"/>
  <c r="B1189" i="39"/>
  <c r="B1189" i="44"/>
  <c r="B1169" i="39"/>
  <c r="B1169" i="44"/>
  <c r="B1149" i="39"/>
  <c r="B1149" i="44"/>
  <c r="B1129" i="39"/>
  <c r="B1129" i="44"/>
  <c r="B1109" i="39"/>
  <c r="B1109" i="44"/>
  <c r="B1089" i="39"/>
  <c r="B1089" i="44"/>
  <c r="B1069" i="39"/>
  <c r="B1069" i="44"/>
  <c r="B1049" i="39"/>
  <c r="B1049" i="44"/>
  <c r="B1029" i="39"/>
  <c r="B1029" i="44"/>
  <c r="B1009" i="39"/>
  <c r="B1009" i="44"/>
  <c r="B989" i="39"/>
  <c r="B989" i="44"/>
  <c r="B969" i="39"/>
  <c r="B969" i="44"/>
  <c r="B949" i="39"/>
  <c r="B949" i="44"/>
  <c r="B929" i="39"/>
  <c r="B929" i="44"/>
  <c r="B909" i="39"/>
  <c r="B909" i="44"/>
  <c r="B889" i="39"/>
  <c r="B889" i="44"/>
  <c r="B869" i="39"/>
  <c r="B869" i="44"/>
  <c r="B849" i="39"/>
  <c r="B849" i="44"/>
  <c r="B829" i="39"/>
  <c r="B829" i="44"/>
  <c r="B809" i="39"/>
  <c r="B809" i="44"/>
  <c r="B789" i="39"/>
  <c r="B789" i="44"/>
  <c r="B769" i="39"/>
  <c r="B769" i="44"/>
  <c r="B749" i="39"/>
  <c r="B749" i="44"/>
  <c r="B729" i="39"/>
  <c r="B729" i="44"/>
  <c r="B709" i="39"/>
  <c r="B709" i="44"/>
  <c r="B689" i="39"/>
  <c r="B689" i="44"/>
  <c r="B669" i="39"/>
  <c r="B669" i="44"/>
  <c r="B649" i="39"/>
  <c r="B649" i="44"/>
  <c r="B629" i="39"/>
  <c r="B629" i="44"/>
  <c r="B609" i="39"/>
  <c r="B609" i="44"/>
  <c r="B589" i="39"/>
  <c r="B589" i="44"/>
  <c r="B569" i="39"/>
  <c r="B569" i="44"/>
  <c r="B549" i="39"/>
  <c r="B549" i="44"/>
  <c r="B529" i="39"/>
  <c r="B529" i="44"/>
  <c r="B509" i="39"/>
  <c r="B509" i="44"/>
  <c r="B489" i="39"/>
  <c r="B489" i="44"/>
  <c r="B469" i="39"/>
  <c r="B469" i="44"/>
  <c r="B449" i="39"/>
  <c r="B449" i="44"/>
  <c r="B429" i="39"/>
  <c r="B429" i="44"/>
  <c r="B409" i="39"/>
  <c r="B409" i="44"/>
  <c r="B389" i="39"/>
  <c r="B389" i="44"/>
  <c r="B369" i="39"/>
  <c r="B369" i="44"/>
  <c r="B349" i="39"/>
  <c r="B349" i="44"/>
  <c r="B329" i="39"/>
  <c r="B329" i="44"/>
  <c r="B309" i="39"/>
  <c r="B309" i="44"/>
  <c r="B289" i="39"/>
  <c r="B289" i="44"/>
  <c r="B269" i="39"/>
  <c r="B269" i="44"/>
  <c r="B249" i="39"/>
  <c r="B249" i="44"/>
  <c r="B229" i="39"/>
  <c r="B229" i="44"/>
  <c r="B209" i="39"/>
  <c r="B209" i="44"/>
  <c r="B189" i="39"/>
  <c r="B189" i="44"/>
  <c r="B169" i="39"/>
  <c r="B169" i="44"/>
  <c r="B149" i="39"/>
  <c r="B149" i="44"/>
  <c r="B129" i="39"/>
  <c r="B129" i="44"/>
  <c r="B109" i="39"/>
  <c r="B109" i="44"/>
  <c r="B89" i="39"/>
  <c r="B89" i="44"/>
  <c r="B69" i="39"/>
  <c r="B69" i="44"/>
  <c r="B49" i="39"/>
  <c r="B49" i="44"/>
  <c r="B29" i="39"/>
  <c r="B29" i="44"/>
  <c r="B9" i="39"/>
  <c r="B9" i="44"/>
  <c r="C2949" i="39"/>
  <c r="C2822" i="44"/>
  <c r="C2929" i="39"/>
  <c r="C2802" i="44"/>
  <c r="C2909" i="39"/>
  <c r="C2782" i="44"/>
  <c r="C2789" i="39"/>
  <c r="C2423" i="44"/>
  <c r="C2769" i="39"/>
  <c r="C2403" i="44"/>
  <c r="C2749" i="39"/>
  <c r="C2383" i="44"/>
  <c r="C2729" i="39"/>
  <c r="C2363" i="44"/>
  <c r="C2709" i="39"/>
  <c r="C2343" i="44"/>
  <c r="C2689" i="39"/>
  <c r="C2323" i="44"/>
  <c r="C2669" i="39"/>
  <c r="C2303" i="44"/>
  <c r="C2649" i="39"/>
  <c r="C2283" i="44"/>
  <c r="C2629" i="39"/>
  <c r="C2263" i="44"/>
  <c r="C2609" i="39"/>
  <c r="C2243" i="44"/>
  <c r="C2589" i="39"/>
  <c r="C2223" i="44"/>
  <c r="C2569" i="39"/>
  <c r="C2203" i="44"/>
  <c r="C2549" i="39"/>
  <c r="C2183" i="44"/>
  <c r="C2529" i="39"/>
  <c r="C2163" i="44"/>
  <c r="C2509" i="39"/>
  <c r="C2143" i="44"/>
  <c r="C2489" i="39"/>
  <c r="C2123" i="44"/>
  <c r="C2469" i="39"/>
  <c r="C2103" i="44"/>
  <c r="C2449" i="39"/>
  <c r="C2083" i="44"/>
  <c r="C2429" i="39"/>
  <c r="C2063" i="44"/>
  <c r="C2409" i="39"/>
  <c r="C2043" i="44"/>
  <c r="C2389" i="39"/>
  <c r="C2023" i="44"/>
  <c r="C2369" i="39"/>
  <c r="C2003" i="44"/>
  <c r="C2349" i="39"/>
  <c r="C1983" i="44"/>
  <c r="C2329" i="39"/>
  <c r="C1963" i="44"/>
  <c r="C2309" i="39"/>
  <c r="C1943" i="44"/>
  <c r="C2289" i="39"/>
  <c r="C1923" i="44"/>
  <c r="C2269" i="39"/>
  <c r="C1903" i="44"/>
  <c r="C2249" i="39"/>
  <c r="C1883" i="44"/>
  <c r="C2229" i="39"/>
  <c r="C1863" i="44"/>
  <c r="C2209" i="39"/>
  <c r="C1843" i="44"/>
  <c r="C2189" i="39"/>
  <c r="C1823" i="44"/>
  <c r="C2169" i="39"/>
  <c r="C1803" i="44"/>
  <c r="C2149" i="39"/>
  <c r="C1783" i="44"/>
  <c r="C2129" i="39"/>
  <c r="C1763" i="44"/>
  <c r="C2109" i="39"/>
  <c r="C1743" i="44"/>
  <c r="C2089" i="39"/>
  <c r="C1723" i="44"/>
  <c r="C2069" i="39"/>
  <c r="C1703" i="44"/>
  <c r="C2049" i="39"/>
  <c r="C2776" i="44"/>
  <c r="C2029" i="39"/>
  <c r="C2756" i="44"/>
  <c r="C2009" i="39"/>
  <c r="F14" i="65" s="1"/>
  <c r="C2736" i="44"/>
  <c r="C1989" i="39"/>
  <c r="F28" i="64" s="1"/>
  <c r="C2716" i="44"/>
  <c r="C1969" i="39"/>
  <c r="C2696" i="44"/>
  <c r="C1949" i="39"/>
  <c r="C2676" i="44"/>
  <c r="C1929" i="39"/>
  <c r="F9" i="60" s="1"/>
  <c r="C2656" i="44"/>
  <c r="C1909" i="39"/>
  <c r="C2636" i="44"/>
  <c r="C1889" i="39"/>
  <c r="C1679" i="44"/>
  <c r="C1869" i="39"/>
  <c r="C1659" i="44"/>
  <c r="C1849" i="39"/>
  <c r="C1639" i="44"/>
  <c r="C1829" i="39"/>
  <c r="C1619" i="44"/>
  <c r="C1809" i="39"/>
  <c r="C1599" i="44"/>
  <c r="C1789" i="39"/>
  <c r="C1579" i="44"/>
  <c r="C1769" i="39"/>
  <c r="C1559" i="44"/>
  <c r="C1749" i="39"/>
  <c r="C1539" i="44"/>
  <c r="C1729" i="39"/>
  <c r="C1519" i="44"/>
  <c r="C1709" i="39"/>
  <c r="C1499" i="44"/>
  <c r="C1689" i="39"/>
  <c r="C2619" i="44"/>
  <c r="C1669" i="39"/>
  <c r="C2599" i="44"/>
  <c r="C1649" i="39"/>
  <c r="C2579" i="44"/>
  <c r="C1629" i="39"/>
  <c r="F31" i="64" s="1"/>
  <c r="C2559" i="44"/>
  <c r="C1609" i="39"/>
  <c r="C2539" i="44"/>
  <c r="C1589" i="39"/>
  <c r="F25" i="63" s="1"/>
  <c r="C2519" i="44"/>
  <c r="C1569" i="39"/>
  <c r="C2499" i="44"/>
  <c r="C1549" i="39"/>
  <c r="C2479" i="44"/>
  <c r="C1529" i="39"/>
  <c r="C2459" i="44"/>
  <c r="C1509" i="39"/>
  <c r="C2439" i="44"/>
  <c r="C1489" i="39"/>
  <c r="C1489" i="44"/>
  <c r="C1469" i="39"/>
  <c r="C1469" i="44"/>
  <c r="C1449" i="39"/>
  <c r="C1449" i="44"/>
  <c r="C1429" i="39"/>
  <c r="C1429" i="44"/>
  <c r="C1409" i="39"/>
  <c r="C1409" i="44"/>
  <c r="C1389" i="39"/>
  <c r="C1389" i="44"/>
  <c r="C1369" i="39"/>
  <c r="C1369" i="44"/>
  <c r="C1349" i="39"/>
  <c r="C1349" i="44"/>
  <c r="C1329" i="39"/>
  <c r="C1329" i="44"/>
  <c r="C1309" i="39"/>
  <c r="C1309" i="44"/>
  <c r="C1289" i="39"/>
  <c r="C1289" i="44"/>
  <c r="C1269" i="39"/>
  <c r="C1269" i="44"/>
  <c r="C1249" i="39"/>
  <c r="C1249" i="44"/>
  <c r="C1229" i="39"/>
  <c r="C1229" i="44"/>
  <c r="C1209" i="39"/>
  <c r="C1209" i="44"/>
  <c r="C1189" i="39"/>
  <c r="C1189" i="44"/>
  <c r="C1169" i="39"/>
  <c r="C1169" i="44"/>
  <c r="C1149" i="39"/>
  <c r="C1149" i="44"/>
  <c r="C1129" i="39"/>
  <c r="C1129" i="44"/>
  <c r="C1109" i="39"/>
  <c r="C1109" i="44"/>
  <c r="C1089" i="39"/>
  <c r="C1089" i="44"/>
  <c r="C1069" i="39"/>
  <c r="C1069" i="44"/>
  <c r="C1049" i="39"/>
  <c r="C1049" i="44"/>
  <c r="C1029" i="39"/>
  <c r="C1029" i="44"/>
  <c r="C1009" i="39"/>
  <c r="C1009" i="44"/>
  <c r="C989" i="39"/>
  <c r="C989" i="44"/>
  <c r="C969" i="39"/>
  <c r="C969" i="44"/>
  <c r="C949" i="39"/>
  <c r="C949" i="44"/>
  <c r="C929" i="39"/>
  <c r="C929" i="44"/>
  <c r="C909" i="39"/>
  <c r="C909" i="44"/>
  <c r="C889" i="39"/>
  <c r="C889" i="44"/>
  <c r="C869" i="39"/>
  <c r="C869" i="44"/>
  <c r="C849" i="39"/>
  <c r="C849" i="44"/>
  <c r="C829" i="39"/>
  <c r="C829" i="44"/>
  <c r="C809" i="39"/>
  <c r="C809" i="44"/>
  <c r="C789" i="39"/>
  <c r="C789" i="44"/>
  <c r="C769" i="39"/>
  <c r="C769" i="44"/>
  <c r="C749" i="39"/>
  <c r="C749" i="44"/>
  <c r="C729" i="39"/>
  <c r="C729" i="44"/>
  <c r="C709" i="39"/>
  <c r="C709" i="44"/>
  <c r="C689" i="39"/>
  <c r="C689" i="44"/>
  <c r="C669" i="39"/>
  <c r="C669" i="44"/>
  <c r="C649" i="39"/>
  <c r="C649" i="44"/>
  <c r="C629" i="39"/>
  <c r="C629" i="44"/>
  <c r="C609" i="39"/>
  <c r="C609" i="44"/>
  <c r="C589" i="39"/>
  <c r="C589" i="44"/>
  <c r="C569" i="39"/>
  <c r="C569" i="44"/>
  <c r="C549" i="39"/>
  <c r="C549" i="44"/>
  <c r="C529" i="39"/>
  <c r="C529" i="44"/>
  <c r="C509" i="39"/>
  <c r="C509" i="44"/>
  <c r="C489" i="39"/>
  <c r="C489" i="44"/>
  <c r="C469" i="39"/>
  <c r="F15" i="63" s="1"/>
  <c r="C469" i="44"/>
  <c r="C449" i="39"/>
  <c r="C449" i="44"/>
  <c r="C429" i="39"/>
  <c r="C429" i="44"/>
  <c r="C409" i="39"/>
  <c r="C409" i="44"/>
  <c r="C389" i="39"/>
  <c r="C389" i="44"/>
  <c r="C369" i="39"/>
  <c r="C369" i="44"/>
  <c r="C349" i="39"/>
  <c r="C349" i="44"/>
  <c r="C329" i="39"/>
  <c r="C329" i="44"/>
  <c r="C309" i="39"/>
  <c r="C309" i="44"/>
  <c r="C289" i="39"/>
  <c r="C289" i="44"/>
  <c r="C269" i="39"/>
  <c r="C269" i="44"/>
  <c r="C249" i="39"/>
  <c r="C249" i="44"/>
  <c r="C229" i="39"/>
  <c r="C229" i="44"/>
  <c r="C209" i="39"/>
  <c r="C209" i="44"/>
  <c r="C189" i="39"/>
  <c r="C189" i="44"/>
  <c r="C169" i="39"/>
  <c r="C169" i="44"/>
  <c r="C149" i="39"/>
  <c r="C149" i="44"/>
  <c r="C129" i="39"/>
  <c r="C129" i="44"/>
  <c r="C109" i="39"/>
  <c r="C109" i="44"/>
  <c r="C89" i="39"/>
  <c r="C89" i="44"/>
  <c r="C69" i="39"/>
  <c r="C69" i="44"/>
  <c r="C49" i="39"/>
  <c r="C49" i="44"/>
  <c r="C29" i="39"/>
  <c r="C29" i="44"/>
  <c r="C9" i="39"/>
  <c r="C9" i="44"/>
  <c r="B2821" i="44"/>
  <c r="B2798" i="44"/>
  <c r="B2776" i="44"/>
  <c r="B2754" i="44"/>
  <c r="B2732" i="44"/>
  <c r="B2710" i="44"/>
  <c r="B2688" i="44"/>
  <c r="B2665" i="44"/>
  <c r="B2643" i="44"/>
  <c r="B2621" i="44"/>
  <c r="B2598" i="44"/>
  <c r="B2576" i="44"/>
  <c r="B2554" i="44"/>
  <c r="B2532" i="44"/>
  <c r="B2510" i="44"/>
  <c r="B2488" i="44"/>
  <c r="B2465" i="44"/>
  <c r="B2443" i="44"/>
  <c r="B2421" i="44"/>
  <c r="B2398" i="44"/>
  <c r="B2376" i="44"/>
  <c r="B2354" i="44"/>
  <c r="B2332" i="44"/>
  <c r="B2310" i="44"/>
  <c r="B2288" i="44"/>
  <c r="B2265" i="44"/>
  <c r="B2243" i="44"/>
  <c r="B2217" i="44"/>
  <c r="B2192" i="44"/>
  <c r="B2165" i="44"/>
  <c r="B2137" i="44"/>
  <c r="B2112" i="44"/>
  <c r="B2085" i="44"/>
  <c r="B2057" i="44"/>
  <c r="B2032" i="44"/>
  <c r="B1998" i="44"/>
  <c r="B1970" i="44"/>
  <c r="B1937" i="44"/>
  <c r="B1893" i="44"/>
  <c r="B1837" i="44"/>
  <c r="B1793" i="44"/>
  <c r="B1737" i="44"/>
  <c r="B1658" i="44"/>
  <c r="B2268" i="39"/>
  <c r="B1902" i="44"/>
  <c r="B2208" i="39"/>
  <c r="B1842" i="44"/>
  <c r="B2128" i="39"/>
  <c r="B1762" i="44"/>
  <c r="B1768" i="39"/>
  <c r="B1558" i="44"/>
  <c r="B1748" i="39"/>
  <c r="B1538" i="44"/>
  <c r="B1728" i="39"/>
  <c r="B1518" i="44"/>
  <c r="B1708" i="39"/>
  <c r="B1498" i="44"/>
  <c r="B1488" i="39"/>
  <c r="B1488" i="44"/>
  <c r="B1468" i="39"/>
  <c r="B1468" i="44"/>
  <c r="B1448" i="39"/>
  <c r="B1448" i="44"/>
  <c r="B1428" i="39"/>
  <c r="B1428" i="44"/>
  <c r="B1408" i="39"/>
  <c r="B1408" i="44"/>
  <c r="B1388" i="39"/>
  <c r="B1388" i="44"/>
  <c r="B1368" i="39"/>
  <c r="B1368" i="44"/>
  <c r="B1348" i="39"/>
  <c r="B1348" i="44"/>
  <c r="B1328" i="39"/>
  <c r="B1328" i="44"/>
  <c r="B1308" i="39"/>
  <c r="B1308" i="44"/>
  <c r="B1288" i="39"/>
  <c r="B1288" i="44"/>
  <c r="B1268" i="39"/>
  <c r="B1268" i="44"/>
  <c r="B1248" i="39"/>
  <c r="B1248" i="44"/>
  <c r="B1228" i="39"/>
  <c r="B1228" i="44"/>
  <c r="B1208" i="39"/>
  <c r="B1208" i="44"/>
  <c r="B1188" i="39"/>
  <c r="B1188" i="44"/>
  <c r="B1168" i="39"/>
  <c r="B1168" i="44"/>
  <c r="B1148" i="39"/>
  <c r="B1148" i="44"/>
  <c r="B1128" i="39"/>
  <c r="B1128" i="44"/>
  <c r="B1108" i="39"/>
  <c r="B1108" i="44"/>
  <c r="B1088" i="39"/>
  <c r="B1088" i="44"/>
  <c r="B1068" i="39"/>
  <c r="B1068" i="44"/>
  <c r="B1048" i="39"/>
  <c r="B1048" i="44"/>
  <c r="B1028" i="39"/>
  <c r="B1028" i="44"/>
  <c r="B1008" i="39"/>
  <c r="B1008" i="44"/>
  <c r="B988" i="39"/>
  <c r="B988" i="44"/>
  <c r="B968" i="39"/>
  <c r="B968" i="44"/>
  <c r="B948" i="39"/>
  <c r="B948" i="44"/>
  <c r="B928" i="39"/>
  <c r="B928" i="44"/>
  <c r="B908" i="39"/>
  <c r="B908" i="44"/>
  <c r="B888" i="39"/>
  <c r="B888" i="44"/>
  <c r="B868" i="39"/>
  <c r="B868" i="44"/>
  <c r="B848" i="39"/>
  <c r="B848" i="44"/>
  <c r="B828" i="39"/>
  <c r="B828" i="44"/>
  <c r="B808" i="39"/>
  <c r="B808" i="44"/>
  <c r="B788" i="39"/>
  <c r="B788" i="44"/>
  <c r="B768" i="39"/>
  <c r="B768" i="44"/>
  <c r="B748" i="39"/>
  <c r="B748" i="44"/>
  <c r="B728" i="39"/>
  <c r="B728" i="44"/>
  <c r="B708" i="39"/>
  <c r="B708" i="44"/>
  <c r="B688" i="39"/>
  <c r="B688" i="44"/>
  <c r="B668" i="39"/>
  <c r="B668" i="44"/>
  <c r="B648" i="39"/>
  <c r="B648" i="44"/>
  <c r="B628" i="39"/>
  <c r="B628" i="44"/>
  <c r="B608" i="39"/>
  <c r="B608" i="44"/>
  <c r="B588" i="39"/>
  <c r="B588" i="44"/>
  <c r="B568" i="39"/>
  <c r="B568" i="44"/>
  <c r="B548" i="39"/>
  <c r="B548" i="44"/>
  <c r="B528" i="39"/>
  <c r="B528" i="44"/>
  <c r="B508" i="39"/>
  <c r="B508" i="44"/>
  <c r="B488" i="39"/>
  <c r="B488" i="44"/>
  <c r="B468" i="39"/>
  <c r="B468" i="44"/>
  <c r="B448" i="39"/>
  <c r="B448" i="44"/>
  <c r="B428" i="39"/>
  <c r="B428" i="44"/>
  <c r="B408" i="39"/>
  <c r="B408" i="44"/>
  <c r="B388" i="39"/>
  <c r="B388" i="44"/>
  <c r="B368" i="39"/>
  <c r="B368" i="44"/>
  <c r="B348" i="39"/>
  <c r="B348" i="44"/>
  <c r="B328" i="39"/>
  <c r="B328" i="44"/>
  <c r="B308" i="39"/>
  <c r="B308" i="44"/>
  <c r="B288" i="39"/>
  <c r="B288" i="44"/>
  <c r="B268" i="39"/>
  <c r="B268" i="44"/>
  <c r="B248" i="39"/>
  <c r="B248" i="44"/>
  <c r="B228" i="39"/>
  <c r="B228" i="44"/>
  <c r="B208" i="39"/>
  <c r="B208" i="44"/>
  <c r="B188" i="39"/>
  <c r="B188" i="44"/>
  <c r="B168" i="39"/>
  <c r="B168" i="44"/>
  <c r="B148" i="39"/>
  <c r="B148" i="44"/>
  <c r="B128" i="39"/>
  <c r="B128" i="44"/>
  <c r="B108" i="39"/>
  <c r="B108" i="44"/>
  <c r="B88" i="39"/>
  <c r="B88" i="44"/>
  <c r="B68" i="39"/>
  <c r="B68" i="44"/>
  <c r="B48" i="39"/>
  <c r="B48" i="44"/>
  <c r="B28" i="39"/>
  <c r="B28" i="44"/>
  <c r="B8" i="39"/>
  <c r="B8" i="44"/>
  <c r="C2948" i="39"/>
  <c r="C2821" i="44"/>
  <c r="C2928" i="39"/>
  <c r="C2801" i="44"/>
  <c r="C2908" i="39"/>
  <c r="C2781" i="44"/>
  <c r="C2788" i="39"/>
  <c r="C2422" i="44"/>
  <c r="C2768" i="39"/>
  <c r="C2402" i="44"/>
  <c r="C2748" i="39"/>
  <c r="C2382" i="44"/>
  <c r="C2728" i="39"/>
  <c r="C2362" i="44"/>
  <c r="C2708" i="39"/>
  <c r="C2342" i="44"/>
  <c r="C2688" i="39"/>
  <c r="C2322" i="44"/>
  <c r="C2668" i="39"/>
  <c r="C2302" i="44"/>
  <c r="C2648" i="39"/>
  <c r="C2282" i="44"/>
  <c r="C2628" i="39"/>
  <c r="C2262" i="44"/>
  <c r="C2608" i="39"/>
  <c r="C2242" i="44"/>
  <c r="C2588" i="39"/>
  <c r="C2222" i="44"/>
  <c r="C2568" i="39"/>
  <c r="C2202" i="44"/>
  <c r="C2548" i="39"/>
  <c r="C2182" i="44"/>
  <c r="C2528" i="39"/>
  <c r="C2162" i="44"/>
  <c r="C2508" i="39"/>
  <c r="C2142" i="44"/>
  <c r="C2488" i="39"/>
  <c r="C2122" i="44"/>
  <c r="C2468" i="39"/>
  <c r="C2102" i="44"/>
  <c r="C2448" i="39"/>
  <c r="C2082" i="44"/>
  <c r="C2428" i="39"/>
  <c r="C2062" i="44"/>
  <c r="C2408" i="39"/>
  <c r="C2042" i="44"/>
  <c r="C2388" i="39"/>
  <c r="C2022" i="44"/>
  <c r="C2368" i="39"/>
  <c r="C2002" i="44"/>
  <c r="C2348" i="39"/>
  <c r="C1982" i="44"/>
  <c r="C2328" i="39"/>
  <c r="C1962" i="44"/>
  <c r="C2308" i="39"/>
  <c r="C1942" i="44"/>
  <c r="C2288" i="39"/>
  <c r="C1922" i="44"/>
  <c r="C2268" i="39"/>
  <c r="C1902" i="44"/>
  <c r="C2248" i="39"/>
  <c r="C1882" i="44"/>
  <c r="C2228" i="39"/>
  <c r="C1862" i="44"/>
  <c r="C2208" i="39"/>
  <c r="C1842" i="44"/>
  <c r="C2188" i="39"/>
  <c r="C1822" i="44"/>
  <c r="C2168" i="39"/>
  <c r="C1802" i="44"/>
  <c r="C2148" i="39"/>
  <c r="C1782" i="44"/>
  <c r="C2128" i="39"/>
  <c r="C1762" i="44"/>
  <c r="C2108" i="39"/>
  <c r="C1742" i="44"/>
  <c r="C2088" i="39"/>
  <c r="C1722" i="44"/>
  <c r="C2068" i="39"/>
  <c r="C1702" i="44"/>
  <c r="C2048" i="39"/>
  <c r="C2775" i="44"/>
  <c r="C2028" i="39"/>
  <c r="C2755" i="44"/>
  <c r="C2008" i="39"/>
  <c r="F15" i="65" s="1"/>
  <c r="C2735" i="44"/>
  <c r="C1988" i="39"/>
  <c r="C2715" i="44"/>
  <c r="C1968" i="39"/>
  <c r="C2695" i="44"/>
  <c r="C1948" i="39"/>
  <c r="C2675" i="44"/>
  <c r="C1928" i="39"/>
  <c r="F8" i="60" s="1"/>
  <c r="C2655" i="44"/>
  <c r="C1908" i="39"/>
  <c r="C2635" i="44"/>
  <c r="C1888" i="39"/>
  <c r="C1678" i="44"/>
  <c r="C1868" i="39"/>
  <c r="C1658" i="44"/>
  <c r="C1848" i="39"/>
  <c r="C1638" i="44"/>
  <c r="C1828" i="39"/>
  <c r="C1618" i="44"/>
  <c r="C1808" i="39"/>
  <c r="C1598" i="44"/>
  <c r="C1788" i="39"/>
  <c r="C1578" i="44"/>
  <c r="C1768" i="39"/>
  <c r="C1558" i="44"/>
  <c r="C1748" i="39"/>
  <c r="C1538" i="44"/>
  <c r="C1728" i="39"/>
  <c r="C1518" i="44"/>
  <c r="C1708" i="39"/>
  <c r="C1498" i="44"/>
  <c r="C1688" i="39"/>
  <c r="C2618" i="44"/>
  <c r="C1668" i="39"/>
  <c r="F24" i="60" s="1"/>
  <c r="C2598" i="44"/>
  <c r="C1648" i="39"/>
  <c r="C2578" i="44"/>
  <c r="C1628" i="39"/>
  <c r="C2558" i="44"/>
  <c r="C1608" i="39"/>
  <c r="C2538" i="44"/>
  <c r="C1588" i="39"/>
  <c r="C2518" i="44"/>
  <c r="C1568" i="39"/>
  <c r="F33" i="65" s="1"/>
  <c r="C2498" i="44"/>
  <c r="C1548" i="39"/>
  <c r="C2478" i="44"/>
  <c r="C1528" i="39"/>
  <c r="C2458" i="44"/>
  <c r="C1508" i="39"/>
  <c r="C2438" i="44"/>
  <c r="C1488" i="39"/>
  <c r="C1488" i="44"/>
  <c r="C1468" i="44"/>
  <c r="C1468" i="39"/>
  <c r="C1448" i="39"/>
  <c r="C1448" i="44"/>
  <c r="C1428" i="39"/>
  <c r="C1428" i="44"/>
  <c r="C1408" i="39"/>
  <c r="C1408" i="44"/>
  <c r="C1388" i="39"/>
  <c r="C1388" i="44"/>
  <c r="C1368" i="39"/>
  <c r="C1368" i="44"/>
  <c r="C1348" i="39"/>
  <c r="C1348" i="44"/>
  <c r="C1328" i="39"/>
  <c r="C1328" i="44"/>
  <c r="C1308" i="39"/>
  <c r="C1308" i="44"/>
  <c r="C1288" i="39"/>
  <c r="C1288" i="44"/>
  <c r="C1268" i="39"/>
  <c r="C1268" i="44"/>
  <c r="C1248" i="39"/>
  <c r="C1248" i="44"/>
  <c r="C1228" i="39"/>
  <c r="C1228" i="44"/>
  <c r="C1208" i="39"/>
  <c r="C1208" i="44"/>
  <c r="C1188" i="39"/>
  <c r="C1188" i="44"/>
  <c r="C1168" i="39"/>
  <c r="C1168" i="44"/>
  <c r="C1148" i="39"/>
  <c r="C1148" i="44"/>
  <c r="C1128" i="39"/>
  <c r="C1128" i="44"/>
  <c r="C1108" i="39"/>
  <c r="C1108" i="44"/>
  <c r="C1088" i="39"/>
  <c r="C1088" i="44"/>
  <c r="C1068" i="39"/>
  <c r="C1068" i="44"/>
  <c r="C1048" i="39"/>
  <c r="C1048" i="44"/>
  <c r="C1028" i="39"/>
  <c r="C1028" i="44"/>
  <c r="C1008" i="39"/>
  <c r="C1008" i="44"/>
  <c r="C988" i="39"/>
  <c r="C988" i="44"/>
  <c r="C968" i="39"/>
  <c r="C968" i="44"/>
  <c r="C948" i="39"/>
  <c r="C948" i="44"/>
  <c r="C928" i="39"/>
  <c r="C928" i="44"/>
  <c r="C908" i="39"/>
  <c r="C908" i="44"/>
  <c r="C888" i="39"/>
  <c r="C888" i="44"/>
  <c r="C868" i="39"/>
  <c r="C868" i="44"/>
  <c r="C848" i="39"/>
  <c r="C848" i="44"/>
  <c r="C828" i="39"/>
  <c r="C828" i="44"/>
  <c r="C808" i="39"/>
  <c r="C808" i="44"/>
  <c r="C788" i="39"/>
  <c r="C788" i="44"/>
  <c r="C768" i="39"/>
  <c r="C768" i="44"/>
  <c r="C748" i="39"/>
  <c r="C748" i="44"/>
  <c r="C728" i="39"/>
  <c r="C728" i="44"/>
  <c r="C708" i="39"/>
  <c r="C708" i="44"/>
  <c r="C688" i="39"/>
  <c r="C688" i="44"/>
  <c r="C668" i="39"/>
  <c r="C668" i="44"/>
  <c r="C648" i="39"/>
  <c r="C648" i="44"/>
  <c r="C628" i="39"/>
  <c r="C628" i="44"/>
  <c r="C608" i="39"/>
  <c r="C608" i="44"/>
  <c r="C588" i="39"/>
  <c r="C588" i="44"/>
  <c r="C568" i="39"/>
  <c r="C568" i="44"/>
  <c r="C548" i="39"/>
  <c r="C548" i="44"/>
  <c r="C528" i="39"/>
  <c r="C528" i="44"/>
  <c r="C508" i="39"/>
  <c r="C508" i="44"/>
  <c r="C488" i="39"/>
  <c r="C488" i="44"/>
  <c r="C468" i="39"/>
  <c r="F14" i="63" s="1"/>
  <c r="C468" i="44"/>
  <c r="C448" i="39"/>
  <c r="C448" i="44"/>
  <c r="C428" i="39"/>
  <c r="C428" i="44"/>
  <c r="C408" i="39"/>
  <c r="C408" i="44"/>
  <c r="C388" i="39"/>
  <c r="C388" i="44"/>
  <c r="C368" i="39"/>
  <c r="C368" i="44"/>
  <c r="C348" i="39"/>
  <c r="C348" i="44"/>
  <c r="C328" i="39"/>
  <c r="C328" i="44"/>
  <c r="C308" i="39"/>
  <c r="C308" i="44"/>
  <c r="C288" i="39"/>
  <c r="C288" i="44"/>
  <c r="C268" i="39"/>
  <c r="C268" i="44"/>
  <c r="C248" i="39"/>
  <c r="C248" i="44"/>
  <c r="C228" i="39"/>
  <c r="C228" i="44"/>
  <c r="C208" i="39"/>
  <c r="C208" i="44"/>
  <c r="C188" i="39"/>
  <c r="C188" i="44"/>
  <c r="C168" i="39"/>
  <c r="C168" i="44"/>
  <c r="C148" i="39"/>
  <c r="C148" i="44"/>
  <c r="C128" i="39"/>
  <c r="C128" i="44"/>
  <c r="C108" i="39"/>
  <c r="C108" i="44"/>
  <c r="C88" i="39"/>
  <c r="C88" i="44"/>
  <c r="C68" i="39"/>
  <c r="C68" i="44"/>
  <c r="C48" i="39"/>
  <c r="C48" i="44"/>
  <c r="C28" i="39"/>
  <c r="C28" i="44"/>
  <c r="C8" i="39"/>
  <c r="C8" i="44"/>
  <c r="B2819" i="44"/>
  <c r="B2797" i="44"/>
  <c r="B2775" i="44"/>
  <c r="B2753" i="44"/>
  <c r="B2731" i="44"/>
  <c r="B2709" i="44"/>
  <c r="B2687" i="44"/>
  <c r="B2664" i="44"/>
  <c r="B2642" i="44"/>
  <c r="B2619" i="44"/>
  <c r="B2597" i="44"/>
  <c r="B2575" i="44"/>
  <c r="B2553" i="44"/>
  <c r="B2531" i="44"/>
  <c r="B2509" i="44"/>
  <c r="B2487" i="44"/>
  <c r="B2464" i="44"/>
  <c r="B2442" i="44"/>
  <c r="B2419" i="44"/>
  <c r="B2397" i="44"/>
  <c r="B2375" i="44"/>
  <c r="B2353" i="44"/>
  <c r="B2331" i="44"/>
  <c r="B2309" i="44"/>
  <c r="B2287" i="44"/>
  <c r="B2264" i="44"/>
  <c r="B2242" i="44"/>
  <c r="B2216" i="44"/>
  <c r="B2191" i="44"/>
  <c r="B2162" i="44"/>
  <c r="B2136" i="44"/>
  <c r="B2111" i="44"/>
  <c r="B2082" i="44"/>
  <c r="B2056" i="44"/>
  <c r="B2030" i="44"/>
  <c r="B1997" i="44"/>
  <c r="B1968" i="44"/>
  <c r="B1936" i="44"/>
  <c r="B1892" i="44"/>
  <c r="B1836" i="44"/>
  <c r="B1792" i="44"/>
  <c r="B1736" i="44"/>
  <c r="B1654" i="44"/>
  <c r="B2168" i="39"/>
  <c r="B1802" i="44"/>
  <c r="B2947" i="39"/>
  <c r="B2820" i="44"/>
  <c r="B2287" i="39"/>
  <c r="B1921" i="44"/>
  <c r="B2267" i="39"/>
  <c r="B1901" i="44"/>
  <c r="B2247" i="39"/>
  <c r="B1881" i="44"/>
  <c r="B2227" i="39"/>
  <c r="B1861" i="44"/>
  <c r="B2207" i="39"/>
  <c r="B1841" i="44"/>
  <c r="B2187" i="39"/>
  <c r="B1821" i="44"/>
  <c r="B2167" i="39"/>
  <c r="B1801" i="44"/>
  <c r="B2147" i="39"/>
  <c r="B1781" i="44"/>
  <c r="B2127" i="39"/>
  <c r="B1761" i="44"/>
  <c r="B2107" i="39"/>
  <c r="B1741" i="44"/>
  <c r="B2087" i="39"/>
  <c r="B1721" i="44"/>
  <c r="B2067" i="39"/>
  <c r="B1701" i="44"/>
  <c r="B1887" i="39"/>
  <c r="B1677" i="44"/>
  <c r="B1867" i="39"/>
  <c r="B1657" i="44"/>
  <c r="B1847" i="39"/>
  <c r="B1637" i="44"/>
  <c r="B1827" i="39"/>
  <c r="B1617" i="44"/>
  <c r="B1807" i="39"/>
  <c r="B1597" i="44"/>
  <c r="B1787" i="39"/>
  <c r="B1577" i="44"/>
  <c r="B1767" i="39"/>
  <c r="B1557" i="44"/>
  <c r="B1747" i="39"/>
  <c r="B1537" i="44"/>
  <c r="B1727" i="39"/>
  <c r="B1517" i="44"/>
  <c r="B1707" i="39"/>
  <c r="B1497" i="44"/>
  <c r="B1487" i="39"/>
  <c r="B1487" i="44"/>
  <c r="B1467" i="39"/>
  <c r="B1467" i="44"/>
  <c r="B1447" i="39"/>
  <c r="B1447" i="44"/>
  <c r="B1427" i="39"/>
  <c r="B1427" i="44"/>
  <c r="B1407" i="39"/>
  <c r="B1407" i="44"/>
  <c r="B1387" i="39"/>
  <c r="B1387" i="44"/>
  <c r="B1367" i="39"/>
  <c r="B1367" i="44"/>
  <c r="B1347" i="39"/>
  <c r="B1347" i="44"/>
  <c r="B1327" i="39"/>
  <c r="B1327" i="44"/>
  <c r="B1307" i="39"/>
  <c r="B1307" i="44"/>
  <c r="B1287" i="39"/>
  <c r="B1287" i="44"/>
  <c r="B1267" i="39"/>
  <c r="B1267" i="44"/>
  <c r="B1247" i="39"/>
  <c r="B1247" i="44"/>
  <c r="B1227" i="39"/>
  <c r="B1227" i="44"/>
  <c r="B1207" i="39"/>
  <c r="B1207" i="44"/>
  <c r="B1187" i="39"/>
  <c r="B1187" i="44"/>
  <c r="B1167" i="39"/>
  <c r="B1167" i="44"/>
  <c r="B1147" i="39"/>
  <c r="B1147" i="44"/>
  <c r="B1127" i="39"/>
  <c r="B1127" i="44"/>
  <c r="B1107" i="39"/>
  <c r="B1107" i="44"/>
  <c r="B1087" i="39"/>
  <c r="B1087" i="44"/>
  <c r="B1067" i="39"/>
  <c r="B1067" i="44"/>
  <c r="B1047" i="39"/>
  <c r="B1047" i="44"/>
  <c r="B1027" i="39"/>
  <c r="B1027" i="44"/>
  <c r="B1007" i="39"/>
  <c r="B1007" i="44"/>
  <c r="B987" i="39"/>
  <c r="B987" i="44"/>
  <c r="B967" i="39"/>
  <c r="B967" i="44"/>
  <c r="B947" i="39"/>
  <c r="B947" i="44"/>
  <c r="B927" i="39"/>
  <c r="B927" i="44"/>
  <c r="B907" i="39"/>
  <c r="B907" i="44"/>
  <c r="B887" i="39"/>
  <c r="B887" i="44"/>
  <c r="B867" i="39"/>
  <c r="B867" i="44"/>
  <c r="B847" i="39"/>
  <c r="B847" i="44"/>
  <c r="B827" i="39"/>
  <c r="B827" i="44"/>
  <c r="B807" i="39"/>
  <c r="B807" i="44"/>
  <c r="B787" i="39"/>
  <c r="B787" i="44"/>
  <c r="B767" i="39"/>
  <c r="B767" i="44"/>
  <c r="B747" i="39"/>
  <c r="B747" i="44"/>
  <c r="B727" i="39"/>
  <c r="B727" i="44"/>
  <c r="B707" i="39"/>
  <c r="B707" i="44"/>
  <c r="B687" i="39"/>
  <c r="B687" i="44"/>
  <c r="B667" i="39"/>
  <c r="B667" i="44"/>
  <c r="B647" i="39"/>
  <c r="B647" i="44"/>
  <c r="B627" i="39"/>
  <c r="B627" i="44"/>
  <c r="B607" i="39"/>
  <c r="B607" i="44"/>
  <c r="B587" i="39"/>
  <c r="B587" i="44"/>
  <c r="B567" i="39"/>
  <c r="B567" i="44"/>
  <c r="B547" i="39"/>
  <c r="B547" i="44"/>
  <c r="B527" i="39"/>
  <c r="B527" i="44"/>
  <c r="B507" i="39"/>
  <c r="B507" i="44"/>
  <c r="B487" i="39"/>
  <c r="B487" i="44"/>
  <c r="B467" i="39"/>
  <c r="B467" i="44"/>
  <c r="B447" i="39"/>
  <c r="B447" i="44"/>
  <c r="B427" i="39"/>
  <c r="B427" i="44"/>
  <c r="B407" i="39"/>
  <c r="B407" i="44"/>
  <c r="B387" i="39"/>
  <c r="B387" i="44"/>
  <c r="B367" i="39"/>
  <c r="B367" i="44"/>
  <c r="B347" i="39"/>
  <c r="B347" i="44"/>
  <c r="B327" i="39"/>
  <c r="B327" i="44"/>
  <c r="B307" i="39"/>
  <c r="B307" i="44"/>
  <c r="B287" i="39"/>
  <c r="B287" i="44"/>
  <c r="B267" i="39"/>
  <c r="B267" i="44"/>
  <c r="B247" i="39"/>
  <c r="B247" i="44"/>
  <c r="B227" i="39"/>
  <c r="B227" i="44"/>
  <c r="B207" i="39"/>
  <c r="B207" i="44"/>
  <c r="B187" i="39"/>
  <c r="B187" i="44"/>
  <c r="B167" i="39"/>
  <c r="B167" i="44"/>
  <c r="B147" i="39"/>
  <c r="B147" i="44"/>
  <c r="B127" i="39"/>
  <c r="B127" i="44"/>
  <c r="B107" i="39"/>
  <c r="B107" i="44"/>
  <c r="B87" i="39"/>
  <c r="B87" i="44"/>
  <c r="B67" i="39"/>
  <c r="B67" i="44"/>
  <c r="B47" i="39"/>
  <c r="B47" i="44"/>
  <c r="B27" i="39"/>
  <c r="B27" i="44"/>
  <c r="B7" i="39"/>
  <c r="B7" i="44"/>
  <c r="C2947" i="39"/>
  <c r="C2820" i="44"/>
  <c r="C2927" i="39"/>
  <c r="C2800" i="44"/>
  <c r="C2907" i="39"/>
  <c r="C2780" i="44"/>
  <c r="C2787" i="39"/>
  <c r="C2421" i="44"/>
  <c r="C2767" i="39"/>
  <c r="C2401" i="44"/>
  <c r="C2747" i="39"/>
  <c r="C2381" i="44"/>
  <c r="C2727" i="39"/>
  <c r="C2361" i="44"/>
  <c r="C2707" i="39"/>
  <c r="C2341" i="44"/>
  <c r="C2687" i="39"/>
  <c r="C2321" i="44"/>
  <c r="C2667" i="39"/>
  <c r="C2301" i="44"/>
  <c r="C2647" i="39"/>
  <c r="C2281" i="44"/>
  <c r="C2627" i="39"/>
  <c r="C2261" i="44"/>
  <c r="C2607" i="39"/>
  <c r="C2241" i="44"/>
  <c r="C2587" i="39"/>
  <c r="C2221" i="44"/>
  <c r="C2567" i="39"/>
  <c r="C2201" i="44"/>
  <c r="C2547" i="39"/>
  <c r="C2181" i="44"/>
  <c r="C2527" i="39"/>
  <c r="C2161" i="44"/>
  <c r="C2507" i="39"/>
  <c r="C2141" i="44"/>
  <c r="C2487" i="39"/>
  <c r="C2121" i="44"/>
  <c r="C2467" i="39"/>
  <c r="C2101" i="44"/>
  <c r="C2447" i="39"/>
  <c r="C2081" i="44"/>
  <c r="C2427" i="39"/>
  <c r="C2061" i="44"/>
  <c r="C2407" i="39"/>
  <c r="C2041" i="44"/>
  <c r="C2387" i="39"/>
  <c r="C2021" i="44"/>
  <c r="C2367" i="39"/>
  <c r="C2001" i="44"/>
  <c r="C2347" i="39"/>
  <c r="C1981" i="44"/>
  <c r="C2327" i="39"/>
  <c r="C1961" i="44"/>
  <c r="C2307" i="39"/>
  <c r="C1941" i="44"/>
  <c r="C2287" i="39"/>
  <c r="C1921" i="44"/>
  <c r="C2267" i="39"/>
  <c r="C1901" i="44"/>
  <c r="C2247" i="39"/>
  <c r="C1881" i="44"/>
  <c r="C2227" i="39"/>
  <c r="C1861" i="44"/>
  <c r="C2207" i="39"/>
  <c r="C1841" i="44"/>
  <c r="C2187" i="39"/>
  <c r="C1821" i="44"/>
  <c r="C2167" i="39"/>
  <c r="C1801" i="44"/>
  <c r="C2147" i="39"/>
  <c r="C1781" i="44"/>
  <c r="C2127" i="39"/>
  <c r="C1761" i="44"/>
  <c r="C2107" i="39"/>
  <c r="C1741" i="44"/>
  <c r="C2087" i="39"/>
  <c r="C1721" i="44"/>
  <c r="C2067" i="39"/>
  <c r="C1701" i="44"/>
  <c r="C2047" i="39"/>
  <c r="C2774" i="44"/>
  <c r="C2027" i="39"/>
  <c r="C2754" i="44"/>
  <c r="C2007" i="39"/>
  <c r="C2734" i="44"/>
  <c r="C1987" i="39"/>
  <c r="F5" i="64" s="1"/>
  <c r="C2714" i="44"/>
  <c r="C1967" i="39"/>
  <c r="C2694" i="44"/>
  <c r="C1947" i="39"/>
  <c r="C2674" i="44"/>
  <c r="C1927" i="39"/>
  <c r="F7" i="60" s="1"/>
  <c r="C2654" i="44"/>
  <c r="C1907" i="39"/>
  <c r="C2634" i="44"/>
  <c r="C1887" i="39"/>
  <c r="C1677" i="44"/>
  <c r="C1867" i="39"/>
  <c r="C1657" i="44"/>
  <c r="C1847" i="39"/>
  <c r="C1637" i="44"/>
  <c r="C1827" i="39"/>
  <c r="C1617" i="44"/>
  <c r="C1807" i="39"/>
  <c r="C1597" i="44"/>
  <c r="C1787" i="39"/>
  <c r="C1577" i="44"/>
  <c r="C1767" i="39"/>
  <c r="C1557" i="44"/>
  <c r="C1747" i="39"/>
  <c r="C1537" i="44"/>
  <c r="C1727" i="39"/>
  <c r="C1517" i="44"/>
  <c r="C1707" i="39"/>
  <c r="C1497" i="44"/>
  <c r="C1687" i="39"/>
  <c r="F22" i="65" s="1"/>
  <c r="C2617" i="44"/>
  <c r="C1667" i="39"/>
  <c r="C2597" i="44"/>
  <c r="C1647" i="39"/>
  <c r="C2577" i="44"/>
  <c r="C1627" i="39"/>
  <c r="F23" i="64" s="1"/>
  <c r="C2557" i="44"/>
  <c r="C1607" i="39"/>
  <c r="C2537" i="44"/>
  <c r="C1587" i="39"/>
  <c r="C2517" i="44"/>
  <c r="C1567" i="39"/>
  <c r="F26" i="65" s="1"/>
  <c r="C2497" i="44"/>
  <c r="C1547" i="39"/>
  <c r="C2477" i="44"/>
  <c r="C1527" i="39"/>
  <c r="C2457" i="44"/>
  <c r="C1507" i="39"/>
  <c r="C2437" i="44"/>
  <c r="C1487" i="39"/>
  <c r="C1487" i="44"/>
  <c r="C1467" i="39"/>
  <c r="C1467" i="44"/>
  <c r="C1447" i="39"/>
  <c r="C1447" i="44"/>
  <c r="C1427" i="39"/>
  <c r="C1427" i="44"/>
  <c r="C1407" i="39"/>
  <c r="C1407" i="44"/>
  <c r="C1387" i="39"/>
  <c r="C1387" i="44"/>
  <c r="C1367" i="39"/>
  <c r="C1367" i="44"/>
  <c r="C1347" i="39"/>
  <c r="C1347" i="44"/>
  <c r="C1327" i="39"/>
  <c r="C1327" i="44"/>
  <c r="C1307" i="39"/>
  <c r="C1307" i="44"/>
  <c r="C1287" i="39"/>
  <c r="C1287" i="44"/>
  <c r="C1267" i="39"/>
  <c r="C1267" i="44"/>
  <c r="C1247" i="39"/>
  <c r="C1247" i="44"/>
  <c r="C1227" i="39"/>
  <c r="C1227" i="44"/>
  <c r="C1207" i="39"/>
  <c r="C1207" i="44"/>
  <c r="C1187" i="39"/>
  <c r="C1187" i="44"/>
  <c r="C1167" i="39"/>
  <c r="C1167" i="44"/>
  <c r="C1147" i="39"/>
  <c r="C1147" i="44"/>
  <c r="C1127" i="39"/>
  <c r="C1127" i="44"/>
  <c r="C1107" i="39"/>
  <c r="C1107" i="44"/>
  <c r="C1087" i="39"/>
  <c r="C1087" i="44"/>
  <c r="C1067" i="39"/>
  <c r="C1067" i="44"/>
  <c r="C1047" i="39"/>
  <c r="C1047" i="44"/>
  <c r="C1027" i="39"/>
  <c r="C1027" i="44"/>
  <c r="C1007" i="39"/>
  <c r="C1007" i="44"/>
  <c r="C987" i="39"/>
  <c r="C987" i="44"/>
  <c r="C967" i="39"/>
  <c r="C967" i="44"/>
  <c r="C947" i="39"/>
  <c r="C947" i="44"/>
  <c r="C927" i="39"/>
  <c r="C927" i="44"/>
  <c r="C907" i="39"/>
  <c r="C907" i="44"/>
  <c r="C887" i="39"/>
  <c r="C887" i="44"/>
  <c r="C867" i="39"/>
  <c r="C867" i="44"/>
  <c r="C847" i="39"/>
  <c r="C847" i="44"/>
  <c r="C827" i="39"/>
  <c r="C827" i="44"/>
  <c r="C807" i="39"/>
  <c r="C807" i="44"/>
  <c r="C787" i="39"/>
  <c r="C787" i="44"/>
  <c r="C767" i="39"/>
  <c r="C767" i="44"/>
  <c r="C747" i="39"/>
  <c r="C747" i="44"/>
  <c r="C727" i="39"/>
  <c r="C727" i="44"/>
  <c r="C707" i="39"/>
  <c r="C707" i="44"/>
  <c r="C687" i="39"/>
  <c r="C687" i="44"/>
  <c r="C667" i="39"/>
  <c r="C667" i="44"/>
  <c r="C647" i="39"/>
  <c r="C647" i="44"/>
  <c r="C627" i="39"/>
  <c r="C627" i="44"/>
  <c r="C607" i="39"/>
  <c r="C607" i="44"/>
  <c r="C587" i="39"/>
  <c r="C587" i="44"/>
  <c r="C567" i="39"/>
  <c r="C567" i="44"/>
  <c r="C547" i="39"/>
  <c r="C547" i="44"/>
  <c r="C527" i="39"/>
  <c r="C527" i="44"/>
  <c r="C507" i="39"/>
  <c r="C507" i="44"/>
  <c r="C487" i="39"/>
  <c r="C487" i="44"/>
  <c r="C467" i="39"/>
  <c r="C467" i="44"/>
  <c r="C447" i="39"/>
  <c r="C447" i="44"/>
  <c r="C427" i="39"/>
  <c r="C427" i="44"/>
  <c r="C407" i="39"/>
  <c r="C407" i="44"/>
  <c r="C387" i="39"/>
  <c r="C387" i="44"/>
  <c r="C367" i="39"/>
  <c r="C367" i="44"/>
  <c r="C347" i="39"/>
  <c r="C347" i="44"/>
  <c r="C327" i="39"/>
  <c r="C327" i="44"/>
  <c r="C307" i="39"/>
  <c r="C307" i="44"/>
  <c r="C287" i="39"/>
  <c r="C287" i="44"/>
  <c r="C267" i="39"/>
  <c r="C267" i="44"/>
  <c r="C247" i="39"/>
  <c r="C247" i="44"/>
  <c r="C227" i="39"/>
  <c r="C227" i="44"/>
  <c r="C207" i="39"/>
  <c r="C207" i="44"/>
  <c r="C187" i="39"/>
  <c r="C187" i="44"/>
  <c r="C167" i="39"/>
  <c r="C167" i="44"/>
  <c r="C147" i="39"/>
  <c r="C147" i="44"/>
  <c r="C127" i="39"/>
  <c r="C127" i="44"/>
  <c r="C107" i="39"/>
  <c r="C107" i="44"/>
  <c r="C87" i="39"/>
  <c r="C87" i="44"/>
  <c r="C67" i="39"/>
  <c r="C67" i="44"/>
  <c r="C47" i="39"/>
  <c r="C47" i="44"/>
  <c r="B2818" i="44"/>
  <c r="B2796" i="44"/>
  <c r="B2774" i="44"/>
  <c r="B2752" i="44"/>
  <c r="B2730" i="44"/>
  <c r="B2708" i="44"/>
  <c r="B2685" i="44"/>
  <c r="B2663" i="44"/>
  <c r="B2641" i="44"/>
  <c r="B2618" i="44"/>
  <c r="B2596" i="44"/>
  <c r="B2574" i="44"/>
  <c r="B2552" i="44"/>
  <c r="B2530" i="44"/>
  <c r="B2508" i="44"/>
  <c r="B2485" i="44"/>
  <c r="B2463" i="44"/>
  <c r="B2441" i="44"/>
  <c r="B2418" i="44"/>
  <c r="B2396" i="44"/>
  <c r="B2374" i="44"/>
  <c r="B2352" i="44"/>
  <c r="B2330" i="44"/>
  <c r="B2308" i="44"/>
  <c r="B2285" i="44"/>
  <c r="B2263" i="44"/>
  <c r="B2241" i="44"/>
  <c r="B2215" i="44"/>
  <c r="B2190" i="44"/>
  <c r="B2161" i="44"/>
  <c r="B2135" i="44"/>
  <c r="B2110" i="44"/>
  <c r="B2081" i="44"/>
  <c r="B2055" i="44"/>
  <c r="B2028" i="44"/>
  <c r="B1996" i="44"/>
  <c r="B1967" i="44"/>
  <c r="B1935" i="44"/>
  <c r="B1879" i="44"/>
  <c r="B1835" i="44"/>
  <c r="B1779" i="44"/>
  <c r="B1734" i="44"/>
  <c r="B1653" i="44"/>
  <c r="B2288" i="39"/>
  <c r="B1922" i="44"/>
  <c r="B2248" i="39"/>
  <c r="B1882" i="44"/>
  <c r="B2228" i="39"/>
  <c r="B1862" i="44"/>
  <c r="B2188" i="39"/>
  <c r="B1822" i="44"/>
  <c r="B2148" i="39"/>
  <c r="B1782" i="44"/>
  <c r="B2108" i="39"/>
  <c r="B1742" i="44"/>
  <c r="B2088" i="39"/>
  <c r="B1722" i="44"/>
  <c r="B2068" i="39"/>
  <c r="B1702" i="44"/>
  <c r="B2927" i="39"/>
  <c r="B2800" i="44"/>
  <c r="B2907" i="39"/>
  <c r="B2780" i="44"/>
  <c r="B2786" i="39"/>
  <c r="B2420" i="44"/>
  <c r="B2766" i="39"/>
  <c r="B2400" i="44"/>
  <c r="B2746" i="39"/>
  <c r="B2380" i="44"/>
  <c r="B2726" i="39"/>
  <c r="B2360" i="44"/>
  <c r="B2706" i="39"/>
  <c r="B2340" i="44"/>
  <c r="B2686" i="39"/>
  <c r="B2320" i="44"/>
  <c r="B2666" i="39"/>
  <c r="B2300" i="44"/>
  <c r="B2646" i="39"/>
  <c r="B2280" i="44"/>
  <c r="B2626" i="39"/>
  <c r="B2260" i="44"/>
  <c r="B2606" i="39"/>
  <c r="B2240" i="44"/>
  <c r="B2586" i="39"/>
  <c r="B2220" i="44"/>
  <c r="B2566" i="39"/>
  <c r="B2200" i="44"/>
  <c r="B2546" i="39"/>
  <c r="B2180" i="44"/>
  <c r="B2526" i="39"/>
  <c r="B2160" i="44"/>
  <c r="B2506" i="39"/>
  <c r="B2140" i="44"/>
  <c r="B2486" i="39"/>
  <c r="B2120" i="44"/>
  <c r="B2466" i="39"/>
  <c r="B2100" i="44"/>
  <c r="B2446" i="39"/>
  <c r="B2080" i="44"/>
  <c r="B2426" i="39"/>
  <c r="B2060" i="44"/>
  <c r="B2406" i="39"/>
  <c r="B2040" i="44"/>
  <c r="B2386" i="39"/>
  <c r="B2020" i="44"/>
  <c r="B2366" i="39"/>
  <c r="B2000" i="44"/>
  <c r="B2346" i="39"/>
  <c r="B1980" i="44"/>
  <c r="B2326" i="39"/>
  <c r="B1960" i="44"/>
  <c r="B2306" i="39"/>
  <c r="B1940" i="44"/>
  <c r="B2286" i="39"/>
  <c r="B1920" i="44"/>
  <c r="B2266" i="39"/>
  <c r="B1900" i="44"/>
  <c r="B2246" i="39"/>
  <c r="B1880" i="44"/>
  <c r="B2226" i="39"/>
  <c r="B1860" i="44"/>
  <c r="B2206" i="39"/>
  <c r="B1840" i="44"/>
  <c r="B2186" i="39"/>
  <c r="B1820" i="44"/>
  <c r="B2166" i="39"/>
  <c r="B1800" i="44"/>
  <c r="B2146" i="39"/>
  <c r="B1780" i="44"/>
  <c r="B2126" i="39"/>
  <c r="B1760" i="44"/>
  <c r="B2106" i="39"/>
  <c r="B1740" i="44"/>
  <c r="B2086" i="39"/>
  <c r="B1720" i="44"/>
  <c r="B2066" i="39"/>
  <c r="B1700" i="44"/>
  <c r="B1886" i="39"/>
  <c r="B1676" i="44"/>
  <c r="B1866" i="39"/>
  <c r="B1656" i="44"/>
  <c r="B1846" i="39"/>
  <c r="B1636" i="44"/>
  <c r="B1826" i="39"/>
  <c r="B1616" i="44"/>
  <c r="B1806" i="39"/>
  <c r="B1596" i="44"/>
  <c r="B1786" i="39"/>
  <c r="B1576" i="44"/>
  <c r="B1766" i="39"/>
  <c r="B1556" i="44"/>
  <c r="B1746" i="39"/>
  <c r="B1536" i="44"/>
  <c r="B1726" i="39"/>
  <c r="B1516" i="44"/>
  <c r="B1706" i="39"/>
  <c r="B1496" i="44"/>
  <c r="B1486" i="39"/>
  <c r="B1486" i="44"/>
  <c r="B1466" i="39"/>
  <c r="B1466" i="44"/>
  <c r="B1446" i="39"/>
  <c r="B1446" i="44"/>
  <c r="B1426" i="39"/>
  <c r="B1426" i="44"/>
  <c r="B1406" i="39"/>
  <c r="B1406" i="44"/>
  <c r="B1386" i="39"/>
  <c r="B1386" i="44"/>
  <c r="B1366" i="39"/>
  <c r="B1366" i="44"/>
  <c r="B1346" i="39"/>
  <c r="B1346" i="44"/>
  <c r="B1326" i="39"/>
  <c r="B1326" i="44"/>
  <c r="B1306" i="39"/>
  <c r="B1306" i="44"/>
  <c r="B1286" i="39"/>
  <c r="B1286" i="44"/>
  <c r="B1266" i="39"/>
  <c r="B1266" i="44"/>
  <c r="B1246" i="39"/>
  <c r="B1246" i="44"/>
  <c r="B1226" i="39"/>
  <c r="B1226" i="44"/>
  <c r="B1206" i="39"/>
  <c r="B1206" i="44"/>
  <c r="B1186" i="39"/>
  <c r="B1186" i="44"/>
  <c r="B1166" i="39"/>
  <c r="B1166" i="44"/>
  <c r="B1146" i="39"/>
  <c r="B1146" i="44"/>
  <c r="B1126" i="39"/>
  <c r="B1126" i="44"/>
  <c r="B1106" i="39"/>
  <c r="B1106" i="44"/>
  <c r="B1086" i="39"/>
  <c r="B1086" i="44"/>
  <c r="B1066" i="39"/>
  <c r="B1066" i="44"/>
  <c r="B1046" i="39"/>
  <c r="B1046" i="44"/>
  <c r="B1026" i="39"/>
  <c r="B1026" i="44"/>
  <c r="B1006" i="39"/>
  <c r="B1006" i="44"/>
  <c r="B986" i="39"/>
  <c r="B986" i="44"/>
  <c r="B966" i="39"/>
  <c r="B966" i="44"/>
  <c r="B946" i="39"/>
  <c r="B946" i="44"/>
  <c r="B926" i="39"/>
  <c r="B926" i="44"/>
  <c r="B906" i="39"/>
  <c r="B906" i="44"/>
  <c r="B886" i="39"/>
  <c r="B886" i="44"/>
  <c r="B866" i="39"/>
  <c r="B866" i="44"/>
  <c r="B846" i="39"/>
  <c r="B846" i="44"/>
  <c r="B826" i="39"/>
  <c r="B826" i="44"/>
  <c r="B806" i="39"/>
  <c r="B806" i="44"/>
  <c r="B786" i="39"/>
  <c r="B786" i="44"/>
  <c r="B766" i="39"/>
  <c r="B766" i="44"/>
  <c r="B746" i="39"/>
  <c r="B746" i="44"/>
  <c r="B726" i="39"/>
  <c r="B726" i="44"/>
  <c r="B706" i="39"/>
  <c r="B706" i="44"/>
  <c r="B686" i="39"/>
  <c r="B686" i="44"/>
  <c r="B666" i="39"/>
  <c r="B666" i="44"/>
  <c r="B646" i="39"/>
  <c r="B646" i="44"/>
  <c r="B626" i="39"/>
  <c r="B626" i="44"/>
  <c r="B606" i="39"/>
  <c r="B606" i="44"/>
  <c r="B586" i="39"/>
  <c r="B586" i="44"/>
  <c r="B566" i="39"/>
  <c r="B566" i="44"/>
  <c r="B546" i="39"/>
  <c r="B546" i="44"/>
  <c r="B526" i="39"/>
  <c r="B526" i="44"/>
  <c r="B506" i="39"/>
  <c r="B506" i="44"/>
  <c r="B486" i="39"/>
  <c r="B486" i="44"/>
  <c r="B466" i="39"/>
  <c r="B466" i="44"/>
  <c r="B446" i="39"/>
  <c r="B446" i="44"/>
  <c r="B426" i="39"/>
  <c r="B426" i="44"/>
  <c r="B406" i="39"/>
  <c r="B406" i="44"/>
  <c r="B386" i="39"/>
  <c r="B386" i="44"/>
  <c r="B366" i="39"/>
  <c r="B366" i="44"/>
  <c r="B346" i="39"/>
  <c r="B346" i="44"/>
  <c r="B326" i="39"/>
  <c r="B326" i="44"/>
  <c r="B306" i="39"/>
  <c r="B306" i="44"/>
  <c r="B286" i="39"/>
  <c r="B286" i="44"/>
  <c r="B266" i="39"/>
  <c r="B266" i="44"/>
  <c r="B246" i="39"/>
  <c r="B246" i="44"/>
  <c r="B226" i="39"/>
  <c r="B226" i="44"/>
  <c r="B206" i="39"/>
  <c r="B206" i="44"/>
  <c r="B186" i="39"/>
  <c r="B186" i="44"/>
  <c r="B166" i="39"/>
  <c r="B166" i="44"/>
  <c r="B146" i="39"/>
  <c r="B146" i="44"/>
  <c r="B126" i="39"/>
  <c r="B126" i="44"/>
  <c r="B106" i="39"/>
  <c r="B106" i="44"/>
  <c r="B86" i="39"/>
  <c r="B86" i="44"/>
  <c r="B66" i="39"/>
  <c r="B66" i="44"/>
  <c r="B46" i="39"/>
  <c r="B46" i="44"/>
  <c r="B26" i="39"/>
  <c r="B26" i="44"/>
  <c r="B6" i="39"/>
  <c r="B6" i="44"/>
  <c r="C2946" i="39"/>
  <c r="C2819" i="44"/>
  <c r="C2926" i="39"/>
  <c r="C2799" i="44"/>
  <c r="C2906" i="39"/>
  <c r="C2779" i="44"/>
  <c r="C2786" i="39"/>
  <c r="C2420" i="44"/>
  <c r="C2766" i="39"/>
  <c r="C2400" i="44"/>
  <c r="C2746" i="39"/>
  <c r="C2380" i="44"/>
  <c r="C2726" i="39"/>
  <c r="C2360" i="44"/>
  <c r="C2706" i="39"/>
  <c r="C2340" i="44"/>
  <c r="C2686" i="39"/>
  <c r="C2320" i="44"/>
  <c r="C2666" i="39"/>
  <c r="C2300" i="44"/>
  <c r="C2646" i="39"/>
  <c r="C2280" i="44"/>
  <c r="C2626" i="39"/>
  <c r="C2260" i="44"/>
  <c r="C2606" i="39"/>
  <c r="C2240" i="44"/>
  <c r="C2586" i="39"/>
  <c r="C2220" i="44"/>
  <c r="C2566" i="39"/>
  <c r="C2200" i="44"/>
  <c r="C2546" i="39"/>
  <c r="C2180" i="44"/>
  <c r="C2526" i="39"/>
  <c r="C2160" i="44"/>
  <c r="C2506" i="39"/>
  <c r="C2140" i="44"/>
  <c r="C2486" i="39"/>
  <c r="C2120" i="44"/>
  <c r="C2466" i="39"/>
  <c r="C2100" i="44"/>
  <c r="C2446" i="39"/>
  <c r="C2080" i="44"/>
  <c r="C2426" i="39"/>
  <c r="C2060" i="44"/>
  <c r="C2406" i="39"/>
  <c r="C2040" i="44"/>
  <c r="C2386" i="39"/>
  <c r="C2020" i="44"/>
  <c r="C2366" i="39"/>
  <c r="C2000" i="44"/>
  <c r="C2346" i="39"/>
  <c r="C1980" i="44"/>
  <c r="C2326" i="39"/>
  <c r="C1960" i="44"/>
  <c r="C2306" i="39"/>
  <c r="C1940" i="44"/>
  <c r="C2286" i="39"/>
  <c r="C1920" i="44"/>
  <c r="C2266" i="39"/>
  <c r="C1900" i="44"/>
  <c r="C2246" i="39"/>
  <c r="C1880" i="44"/>
  <c r="C2226" i="39"/>
  <c r="C1860" i="44"/>
  <c r="C2206" i="39"/>
  <c r="C1840" i="44"/>
  <c r="C2186" i="39"/>
  <c r="C1820" i="44"/>
  <c r="C2166" i="39"/>
  <c r="C1800" i="44"/>
  <c r="C2146" i="39"/>
  <c r="C1780" i="44"/>
  <c r="C2126" i="39"/>
  <c r="C1760" i="44"/>
  <c r="C2106" i="39"/>
  <c r="C1740" i="44"/>
  <c r="C2086" i="39"/>
  <c r="C1720" i="44"/>
  <c r="C2066" i="39"/>
  <c r="C1700" i="44"/>
  <c r="C2046" i="39"/>
  <c r="C2773" i="44"/>
  <c r="C2026" i="39"/>
  <c r="C2753" i="44"/>
  <c r="C2006" i="39"/>
  <c r="F17" i="65" s="1"/>
  <c r="C2733" i="44"/>
  <c r="C1986" i="39"/>
  <c r="C2713" i="44"/>
  <c r="C1966" i="39"/>
  <c r="C2693" i="44"/>
  <c r="C1946" i="39"/>
  <c r="C2673" i="44"/>
  <c r="C1926" i="39"/>
  <c r="C2653" i="44"/>
  <c r="C1906" i="39"/>
  <c r="C2633" i="44"/>
  <c r="C1886" i="39"/>
  <c r="C1676" i="44"/>
  <c r="C1866" i="39"/>
  <c r="C1656" i="44"/>
  <c r="C1846" i="39"/>
  <c r="C1636" i="44"/>
  <c r="C1826" i="39"/>
  <c r="C1616" i="44"/>
  <c r="C1806" i="39"/>
  <c r="C1596" i="44"/>
  <c r="C1786" i="39"/>
  <c r="C1576" i="44"/>
  <c r="C1766" i="39"/>
  <c r="C1556" i="44"/>
  <c r="C1746" i="39"/>
  <c r="C1536" i="44"/>
  <c r="C1726" i="39"/>
  <c r="C1516" i="44"/>
  <c r="C1706" i="39"/>
  <c r="C1496" i="44"/>
  <c r="C1686" i="39"/>
  <c r="F26" i="63" s="1"/>
  <c r="C2616" i="44"/>
  <c r="C1666" i="39"/>
  <c r="F23" i="60" s="1"/>
  <c r="C2596" i="44"/>
  <c r="C1646" i="39"/>
  <c r="C2576" i="44"/>
  <c r="C1626" i="39"/>
  <c r="C2556" i="44"/>
  <c r="C1606" i="39"/>
  <c r="C2536" i="44"/>
  <c r="C1586" i="39"/>
  <c r="F31" i="63" s="1"/>
  <c r="C2516" i="44"/>
  <c r="C1566" i="39"/>
  <c r="F25" i="65" s="1"/>
  <c r="C2496" i="44"/>
  <c r="C1546" i="39"/>
  <c r="F27" i="64" s="1"/>
  <c r="C2476" i="44"/>
  <c r="C1526" i="39"/>
  <c r="C2456" i="44"/>
  <c r="C1506" i="39"/>
  <c r="C2436" i="44"/>
  <c r="C1486" i="39"/>
  <c r="C1486" i="44"/>
  <c r="C1466" i="39"/>
  <c r="C1466" i="44"/>
  <c r="C1446" i="39"/>
  <c r="C1446" i="44"/>
  <c r="C1426" i="39"/>
  <c r="C1426" i="44"/>
  <c r="C1406" i="39"/>
  <c r="C1406" i="44"/>
  <c r="C1386" i="39"/>
  <c r="C1386" i="44"/>
  <c r="C1366" i="39"/>
  <c r="C1366" i="44"/>
  <c r="C1346" i="39"/>
  <c r="C1346" i="44"/>
  <c r="C1326" i="39"/>
  <c r="C1326" i="44"/>
  <c r="C1306" i="39"/>
  <c r="C1306" i="44"/>
  <c r="C1286" i="39"/>
  <c r="C1286" i="44"/>
  <c r="C1266" i="39"/>
  <c r="C1266" i="44"/>
  <c r="C1246" i="39"/>
  <c r="C1246" i="44"/>
  <c r="C1226" i="39"/>
  <c r="C1226" i="44"/>
  <c r="C1206" i="39"/>
  <c r="C1206" i="44"/>
  <c r="C1186" i="39"/>
  <c r="C1186" i="44"/>
  <c r="C1166" i="39"/>
  <c r="C1166" i="44"/>
  <c r="C1146" i="39"/>
  <c r="C1146" i="44"/>
  <c r="C1126" i="39"/>
  <c r="C1126" i="44"/>
  <c r="C1106" i="39"/>
  <c r="C1106" i="44"/>
  <c r="C1086" i="39"/>
  <c r="C1086" i="44"/>
  <c r="C1066" i="39"/>
  <c r="C1066" i="44"/>
  <c r="C1046" i="39"/>
  <c r="C1046" i="44"/>
  <c r="C1026" i="39"/>
  <c r="C1026" i="44"/>
  <c r="C1006" i="39"/>
  <c r="C1006" i="44"/>
  <c r="C986" i="39"/>
  <c r="C986" i="44"/>
  <c r="C966" i="39"/>
  <c r="C966" i="44"/>
  <c r="C946" i="39"/>
  <c r="C946" i="44"/>
  <c r="C926" i="39"/>
  <c r="C926" i="44"/>
  <c r="C906" i="39"/>
  <c r="C906" i="44"/>
  <c r="C886" i="39"/>
  <c r="C886" i="44"/>
  <c r="C866" i="39"/>
  <c r="C866" i="44"/>
  <c r="C846" i="39"/>
  <c r="C846" i="44"/>
  <c r="C826" i="39"/>
  <c r="C826" i="44"/>
  <c r="C806" i="39"/>
  <c r="C806" i="44"/>
  <c r="C786" i="39"/>
  <c r="C786" i="44"/>
  <c r="C766" i="39"/>
  <c r="C766" i="44"/>
  <c r="C746" i="39"/>
  <c r="C746" i="44"/>
  <c r="C726" i="39"/>
  <c r="C726" i="44"/>
  <c r="C706" i="39"/>
  <c r="C706" i="44"/>
  <c r="C686" i="39"/>
  <c r="C686" i="44"/>
  <c r="C666" i="39"/>
  <c r="C666" i="44"/>
  <c r="C646" i="39"/>
  <c r="C646" i="44"/>
  <c r="C626" i="39"/>
  <c r="C626" i="44"/>
  <c r="C606" i="39"/>
  <c r="C606" i="44"/>
  <c r="C586" i="39"/>
  <c r="C586" i="44"/>
  <c r="C566" i="39"/>
  <c r="C566" i="44"/>
  <c r="C546" i="39"/>
  <c r="C546" i="44"/>
  <c r="C526" i="39"/>
  <c r="C526" i="44"/>
  <c r="C506" i="39"/>
  <c r="C506" i="44"/>
  <c r="C486" i="39"/>
  <c r="C486" i="44"/>
  <c r="C466" i="39"/>
  <c r="C466" i="44"/>
  <c r="C446" i="39"/>
  <c r="C446" i="44"/>
  <c r="C426" i="39"/>
  <c r="C426" i="44"/>
  <c r="C406" i="39"/>
  <c r="C406" i="44"/>
  <c r="C386" i="39"/>
  <c r="C386" i="44"/>
  <c r="C366" i="39"/>
  <c r="C366" i="44"/>
  <c r="C346" i="39"/>
  <c r="C346" i="44"/>
  <c r="C326" i="39"/>
  <c r="C326" i="44"/>
  <c r="C306" i="39"/>
  <c r="C306" i="44"/>
  <c r="C286" i="39"/>
  <c r="C286" i="44"/>
  <c r="C266" i="39"/>
  <c r="C266" i="44"/>
  <c r="C246" i="39"/>
  <c r="C246" i="44"/>
  <c r="C226" i="39"/>
  <c r="C226" i="44"/>
  <c r="C206" i="39"/>
  <c r="C206" i="44"/>
  <c r="C186" i="39"/>
  <c r="C186" i="44"/>
  <c r="C166" i="39"/>
  <c r="C166" i="44"/>
  <c r="C146" i="39"/>
  <c r="C146" i="44"/>
  <c r="C126" i="39"/>
  <c r="C126" i="44"/>
  <c r="C106" i="39"/>
  <c r="C106" i="44"/>
  <c r="C86" i="39"/>
  <c r="C86" i="44"/>
  <c r="C66" i="39"/>
  <c r="C66" i="44"/>
  <c r="C46" i="39"/>
  <c r="C46" i="44"/>
  <c r="C26" i="39"/>
  <c r="C26" i="44"/>
  <c r="C6" i="39"/>
  <c r="C6" i="44"/>
  <c r="B2817" i="44"/>
  <c r="B2795" i="44"/>
  <c r="B2773" i="44"/>
  <c r="B2751" i="44"/>
  <c r="B2729" i="44"/>
  <c r="B2707" i="44"/>
  <c r="B2684" i="44"/>
  <c r="B2662" i="44"/>
  <c r="B2639" i="44"/>
  <c r="B2617" i="44"/>
  <c r="B2595" i="44"/>
  <c r="B2573" i="44"/>
  <c r="B2551" i="44"/>
  <c r="B2529" i="44"/>
  <c r="B2507" i="44"/>
  <c r="B2484" i="44"/>
  <c r="B2462" i="44"/>
  <c r="B2439" i="44"/>
  <c r="B2417" i="44"/>
  <c r="B2395" i="44"/>
  <c r="B2373" i="44"/>
  <c r="B2351" i="44"/>
  <c r="B2329" i="44"/>
  <c r="B2307" i="44"/>
  <c r="B2284" i="44"/>
  <c r="B2262" i="44"/>
  <c r="B2239" i="44"/>
  <c r="B2214" i="44"/>
  <c r="B2188" i="44"/>
  <c r="B2159" i="44"/>
  <c r="B2134" i="44"/>
  <c r="B2108" i="44"/>
  <c r="B2079" i="44"/>
  <c r="B2054" i="44"/>
  <c r="B2027" i="44"/>
  <c r="B1995" i="44"/>
  <c r="B1962" i="44"/>
  <c r="B1934" i="44"/>
  <c r="B1878" i="44"/>
  <c r="B1834" i="44"/>
  <c r="B1778" i="44"/>
  <c r="B1733" i="44"/>
  <c r="B1638" i="44"/>
  <c r="B1885" i="39"/>
  <c r="B1675" i="44"/>
  <c r="B1865" i="39"/>
  <c r="B1655" i="44"/>
  <c r="B1845" i="39"/>
  <c r="B1635" i="44"/>
  <c r="B1825" i="39"/>
  <c r="B1615" i="44"/>
  <c r="B1805" i="39"/>
  <c r="B1595" i="44"/>
  <c r="B1785" i="39"/>
  <c r="B1575" i="44"/>
  <c r="B1765" i="39"/>
  <c r="B1555" i="44"/>
  <c r="B1745" i="39"/>
  <c r="B1535" i="44"/>
  <c r="B1725" i="39"/>
  <c r="B1515" i="44"/>
  <c r="B1705" i="39"/>
  <c r="B1495" i="44"/>
  <c r="B1485" i="39"/>
  <c r="B1485" i="44"/>
  <c r="B1465" i="39"/>
  <c r="B1465" i="44"/>
  <c r="B1445" i="39"/>
  <c r="B1445" i="44"/>
  <c r="B1425" i="39"/>
  <c r="B1425" i="44"/>
  <c r="B1405" i="39"/>
  <c r="B1405" i="44"/>
  <c r="B1385" i="39"/>
  <c r="B1385" i="44"/>
  <c r="B1365" i="39"/>
  <c r="B1365" i="44"/>
  <c r="B1345" i="39"/>
  <c r="B1345" i="44"/>
  <c r="B1325" i="39"/>
  <c r="B1325" i="44"/>
  <c r="B1305" i="39"/>
  <c r="B1305" i="44"/>
  <c r="B1285" i="39"/>
  <c r="B1285" i="44"/>
  <c r="B1265" i="39"/>
  <c r="B1265" i="44"/>
  <c r="B1245" i="39"/>
  <c r="B1245" i="44"/>
  <c r="B1225" i="39"/>
  <c r="B1225" i="44"/>
  <c r="B1205" i="39"/>
  <c r="B1205" i="44"/>
  <c r="B1185" i="39"/>
  <c r="B1185" i="44"/>
  <c r="B1165" i="39"/>
  <c r="B1165" i="44"/>
  <c r="B1145" i="39"/>
  <c r="B1145" i="44"/>
  <c r="B1125" i="39"/>
  <c r="B1125" i="44"/>
  <c r="B1105" i="39"/>
  <c r="B1105" i="44"/>
  <c r="B1085" i="39"/>
  <c r="B1085" i="44"/>
  <c r="B1065" i="39"/>
  <c r="B1065" i="44"/>
  <c r="B1045" i="39"/>
  <c r="B1045" i="44"/>
  <c r="B1025" i="39"/>
  <c r="B1025" i="44"/>
  <c r="B1005" i="39"/>
  <c r="B1005" i="44"/>
  <c r="B985" i="39"/>
  <c r="B985" i="44"/>
  <c r="B965" i="39"/>
  <c r="B965" i="44"/>
  <c r="B945" i="39"/>
  <c r="B945" i="44"/>
  <c r="B925" i="39"/>
  <c r="B925" i="44"/>
  <c r="B905" i="39"/>
  <c r="B905" i="44"/>
  <c r="B885" i="39"/>
  <c r="B885" i="44"/>
  <c r="B865" i="39"/>
  <c r="B865" i="44"/>
  <c r="B845" i="39"/>
  <c r="B845" i="44"/>
  <c r="B825" i="39"/>
  <c r="B825" i="44"/>
  <c r="B805" i="39"/>
  <c r="B805" i="44"/>
  <c r="B785" i="39"/>
  <c r="B785" i="44"/>
  <c r="B765" i="39"/>
  <c r="B765" i="44"/>
  <c r="B745" i="39"/>
  <c r="B745" i="44"/>
  <c r="B725" i="39"/>
  <c r="B725" i="44"/>
  <c r="B705" i="39"/>
  <c r="B705" i="44"/>
  <c r="B685" i="39"/>
  <c r="B685" i="44"/>
  <c r="B665" i="39"/>
  <c r="B665" i="44"/>
  <c r="B645" i="39"/>
  <c r="B645" i="44"/>
  <c r="B625" i="39"/>
  <c r="B625" i="44"/>
  <c r="B605" i="39"/>
  <c r="B605" i="44"/>
  <c r="B585" i="39"/>
  <c r="B585" i="44"/>
  <c r="B565" i="39"/>
  <c r="B565" i="44"/>
  <c r="B545" i="39"/>
  <c r="B545" i="44"/>
  <c r="B525" i="39"/>
  <c r="B525" i="44"/>
  <c r="B505" i="39"/>
  <c r="B505" i="44"/>
  <c r="B485" i="39"/>
  <c r="B485" i="44"/>
  <c r="B465" i="39"/>
  <c r="B465" i="44"/>
  <c r="B445" i="39"/>
  <c r="B445" i="44"/>
  <c r="B425" i="39"/>
  <c r="B425" i="44"/>
  <c r="B405" i="39"/>
  <c r="B405" i="44"/>
  <c r="B385" i="39"/>
  <c r="B385" i="44"/>
  <c r="B365" i="39"/>
  <c r="B365" i="44"/>
  <c r="B345" i="39"/>
  <c r="B345" i="44"/>
  <c r="B325" i="39"/>
  <c r="B325" i="44"/>
  <c r="B305" i="39"/>
  <c r="B305" i="44"/>
  <c r="B285" i="39"/>
  <c r="B285" i="44"/>
  <c r="B265" i="39"/>
  <c r="B265" i="44"/>
  <c r="B245" i="39"/>
  <c r="B245" i="44"/>
  <c r="B225" i="39"/>
  <c r="B225" i="44"/>
  <c r="B205" i="39"/>
  <c r="B205" i="44"/>
  <c r="B185" i="39"/>
  <c r="B185" i="44"/>
  <c r="B165" i="39"/>
  <c r="B165" i="44"/>
  <c r="B145" i="39"/>
  <c r="B145" i="44"/>
  <c r="B125" i="39"/>
  <c r="B125" i="44"/>
  <c r="B105" i="39"/>
  <c r="B105" i="44"/>
  <c r="B85" i="39"/>
  <c r="B85" i="44"/>
  <c r="B65" i="39"/>
  <c r="B65" i="44"/>
  <c r="B45" i="39"/>
  <c r="B45" i="44"/>
  <c r="B25" i="39"/>
  <c r="B25" i="44"/>
  <c r="B5" i="39"/>
  <c r="B5" i="44"/>
  <c r="C2945" i="39"/>
  <c r="C2818" i="44"/>
  <c r="C2925" i="39"/>
  <c r="C2798" i="44"/>
  <c r="C2905" i="39"/>
  <c r="C2778" i="44"/>
  <c r="C2785" i="39"/>
  <c r="C2419" i="44"/>
  <c r="C2765" i="39"/>
  <c r="C2399" i="44"/>
  <c r="C2745" i="39"/>
  <c r="C2379" i="44"/>
  <c r="C2725" i="39"/>
  <c r="C2359" i="44"/>
  <c r="C2705" i="39"/>
  <c r="C2339" i="44"/>
  <c r="C2685" i="39"/>
  <c r="C2319" i="44"/>
  <c r="C2665" i="39"/>
  <c r="C2299" i="44"/>
  <c r="C2645" i="39"/>
  <c r="C2279" i="44"/>
  <c r="C2625" i="39"/>
  <c r="C2259" i="44"/>
  <c r="C2605" i="39"/>
  <c r="C2239" i="44"/>
  <c r="C2585" i="39"/>
  <c r="C2219" i="44"/>
  <c r="C2565" i="39"/>
  <c r="C2199" i="44"/>
  <c r="C2545" i="39"/>
  <c r="C2179" i="44"/>
  <c r="C2525" i="39"/>
  <c r="C2159" i="44"/>
  <c r="C2505" i="39"/>
  <c r="C2139" i="44"/>
  <c r="C2485" i="39"/>
  <c r="C2119" i="44"/>
  <c r="C2465" i="39"/>
  <c r="C2099" i="44"/>
  <c r="C2445" i="39"/>
  <c r="C2079" i="44"/>
  <c r="C2425" i="39"/>
  <c r="C2059" i="44"/>
  <c r="C2405" i="39"/>
  <c r="C2039" i="44"/>
  <c r="C2385" i="39"/>
  <c r="C2019" i="44"/>
  <c r="C2365" i="39"/>
  <c r="C1999" i="44"/>
  <c r="C2345" i="39"/>
  <c r="C1979" i="44"/>
  <c r="C2325" i="39"/>
  <c r="C1959" i="44"/>
  <c r="C2305" i="39"/>
  <c r="C1939" i="44"/>
  <c r="C2285" i="39"/>
  <c r="C1919" i="44"/>
  <c r="C2265" i="39"/>
  <c r="C1899" i="44"/>
  <c r="C2245" i="39"/>
  <c r="C1879" i="44"/>
  <c r="C2225" i="39"/>
  <c r="C1859" i="44"/>
  <c r="C2205" i="39"/>
  <c r="C1839" i="44"/>
  <c r="C2185" i="39"/>
  <c r="C1819" i="44"/>
  <c r="C2165" i="39"/>
  <c r="C1799" i="44"/>
  <c r="C2145" i="39"/>
  <c r="C1779" i="44"/>
  <c r="C2125" i="39"/>
  <c r="C1759" i="44"/>
  <c r="C2105" i="39"/>
  <c r="C1739" i="44"/>
  <c r="C2085" i="39"/>
  <c r="C1719" i="44"/>
  <c r="C2065" i="39"/>
  <c r="C1699" i="44"/>
  <c r="C2045" i="39"/>
  <c r="C2772" i="44"/>
  <c r="C2025" i="39"/>
  <c r="F8" i="65" s="1"/>
  <c r="C2752" i="44"/>
  <c r="C2005" i="39"/>
  <c r="F16" i="65" s="1"/>
  <c r="C2732" i="44"/>
  <c r="C1985" i="39"/>
  <c r="C2712" i="44"/>
  <c r="C1965" i="39"/>
  <c r="C2692" i="44"/>
  <c r="C1945" i="39"/>
  <c r="C2672" i="44"/>
  <c r="C1925" i="39"/>
  <c r="F19" i="62" s="1"/>
  <c r="C2652" i="44"/>
  <c r="C1905" i="39"/>
  <c r="C2632" i="44"/>
  <c r="C1885" i="39"/>
  <c r="C1675" i="44"/>
  <c r="C1865" i="39"/>
  <c r="C1655" i="44"/>
  <c r="C1845" i="39"/>
  <c r="C1635" i="44"/>
  <c r="C1825" i="39"/>
  <c r="C1615" i="44"/>
  <c r="C1805" i="39"/>
  <c r="C1595" i="44"/>
  <c r="C1785" i="39"/>
  <c r="C1575" i="44"/>
  <c r="C1765" i="39"/>
  <c r="C1555" i="44"/>
  <c r="C1745" i="39"/>
  <c r="C1535" i="44"/>
  <c r="C1725" i="39"/>
  <c r="C1515" i="44"/>
  <c r="C1705" i="39"/>
  <c r="C1495" i="44"/>
  <c r="C1685" i="39"/>
  <c r="C2615" i="44"/>
  <c r="C1665" i="39"/>
  <c r="C2595" i="44"/>
  <c r="C1645" i="39"/>
  <c r="C2575" i="44"/>
  <c r="C1625" i="39"/>
  <c r="F6" i="65" s="1"/>
  <c r="C2555" i="44"/>
  <c r="C1605" i="39"/>
  <c r="C2535" i="44"/>
  <c r="C1585" i="39"/>
  <c r="F27" i="63" s="1"/>
  <c r="C2515" i="44"/>
  <c r="C1565" i="39"/>
  <c r="F24" i="65" s="1"/>
  <c r="C2495" i="44"/>
  <c r="C1545" i="39"/>
  <c r="C2475" i="44"/>
  <c r="C1525" i="39"/>
  <c r="C2455" i="44"/>
  <c r="C1505" i="39"/>
  <c r="C2435" i="44"/>
  <c r="C1485" i="39"/>
  <c r="C1485" i="44"/>
  <c r="C1465" i="39"/>
  <c r="C1465" i="44"/>
  <c r="C1445" i="39"/>
  <c r="C1445" i="44"/>
  <c r="C1425" i="39"/>
  <c r="C1425" i="44"/>
  <c r="C1405" i="39"/>
  <c r="C1405" i="44"/>
  <c r="C1385" i="39"/>
  <c r="C1385" i="44"/>
  <c r="C1365" i="39"/>
  <c r="C1365" i="44"/>
  <c r="C1345" i="39"/>
  <c r="C1345" i="44"/>
  <c r="C1325" i="39"/>
  <c r="C1325" i="44"/>
  <c r="C1305" i="39"/>
  <c r="C1305" i="44"/>
  <c r="C1285" i="39"/>
  <c r="C1285" i="44"/>
  <c r="C1265" i="39"/>
  <c r="C1265" i="44"/>
  <c r="C1245" i="39"/>
  <c r="C1245" i="44"/>
  <c r="C1225" i="39"/>
  <c r="C1225" i="44"/>
  <c r="C1205" i="39"/>
  <c r="C1205" i="44"/>
  <c r="C1185" i="39"/>
  <c r="C1185" i="44"/>
  <c r="C1165" i="39"/>
  <c r="C1165" i="44"/>
  <c r="C1145" i="39"/>
  <c r="C1145" i="44"/>
  <c r="C1125" i="39"/>
  <c r="C1125" i="44"/>
  <c r="C1105" i="39"/>
  <c r="C1105" i="44"/>
  <c r="C1085" i="39"/>
  <c r="C1085" i="44"/>
  <c r="C1065" i="39"/>
  <c r="C1065" i="44"/>
  <c r="C1045" i="39"/>
  <c r="C1045" i="44"/>
  <c r="C1025" i="39"/>
  <c r="C1025" i="44"/>
  <c r="C1005" i="39"/>
  <c r="C1005" i="44"/>
  <c r="C985" i="39"/>
  <c r="C985" i="44"/>
  <c r="C965" i="39"/>
  <c r="C965" i="44"/>
  <c r="C945" i="39"/>
  <c r="C945" i="44"/>
  <c r="C925" i="39"/>
  <c r="C925" i="44"/>
  <c r="C905" i="39"/>
  <c r="C905" i="44"/>
  <c r="C885" i="39"/>
  <c r="C885" i="44"/>
  <c r="C865" i="39"/>
  <c r="C865" i="44"/>
  <c r="C845" i="39"/>
  <c r="C845" i="44"/>
  <c r="C825" i="39"/>
  <c r="C825" i="44"/>
  <c r="C805" i="39"/>
  <c r="C805" i="44"/>
  <c r="C785" i="39"/>
  <c r="C785" i="44"/>
  <c r="C765" i="39"/>
  <c r="C765" i="44"/>
  <c r="C745" i="39"/>
  <c r="C745" i="44"/>
  <c r="C725" i="39"/>
  <c r="C725" i="44"/>
  <c r="C705" i="39"/>
  <c r="C705" i="44"/>
  <c r="C685" i="39"/>
  <c r="C685" i="44"/>
  <c r="C665" i="39"/>
  <c r="C665" i="44"/>
  <c r="C645" i="39"/>
  <c r="C645" i="44"/>
  <c r="C625" i="39"/>
  <c r="C625" i="44"/>
  <c r="C605" i="39"/>
  <c r="C605" i="44"/>
  <c r="C585" i="39"/>
  <c r="C585" i="44"/>
  <c r="C565" i="39"/>
  <c r="C565" i="44"/>
  <c r="C545" i="39"/>
  <c r="C545" i="44"/>
  <c r="C525" i="39"/>
  <c r="C525" i="44"/>
  <c r="C505" i="39"/>
  <c r="C505" i="44"/>
  <c r="C485" i="39"/>
  <c r="C485" i="44"/>
  <c r="C465" i="39"/>
  <c r="C465" i="44"/>
  <c r="C445" i="39"/>
  <c r="C445" i="44"/>
  <c r="C425" i="39"/>
  <c r="C425" i="44"/>
  <c r="C405" i="39"/>
  <c r="C405" i="44"/>
  <c r="C385" i="39"/>
  <c r="C385" i="44"/>
  <c r="C365" i="39"/>
  <c r="C365" i="44"/>
  <c r="C345" i="39"/>
  <c r="C345" i="44"/>
  <c r="C325" i="39"/>
  <c r="C325" i="44"/>
  <c r="C305" i="39"/>
  <c r="C305" i="44"/>
  <c r="C285" i="39"/>
  <c r="C285" i="44"/>
  <c r="C265" i="39"/>
  <c r="C265" i="44"/>
  <c r="C245" i="39"/>
  <c r="C245" i="44"/>
  <c r="C225" i="39"/>
  <c r="C225" i="44"/>
  <c r="C205" i="39"/>
  <c r="C205" i="44"/>
  <c r="C185" i="39"/>
  <c r="C185" i="44"/>
  <c r="C165" i="39"/>
  <c r="C165" i="44"/>
  <c r="C145" i="39"/>
  <c r="C145" i="44"/>
  <c r="C125" i="39"/>
  <c r="C125" i="44"/>
  <c r="C105" i="39"/>
  <c r="C105" i="44"/>
  <c r="C85" i="39"/>
  <c r="C85" i="44"/>
  <c r="C65" i="39"/>
  <c r="C65" i="44"/>
  <c r="C45" i="39"/>
  <c r="C45" i="44"/>
  <c r="C25" i="39"/>
  <c r="C25" i="44"/>
  <c r="C5" i="39"/>
  <c r="C5" i="44"/>
  <c r="B2816" i="44"/>
  <c r="B2794" i="44"/>
  <c r="B2772" i="44"/>
  <c r="B2750" i="44"/>
  <c r="B2728" i="44"/>
  <c r="B2705" i="44"/>
  <c r="B2683" i="44"/>
  <c r="B2661" i="44"/>
  <c r="B2638" i="44"/>
  <c r="B2616" i="44"/>
  <c r="B2594" i="44"/>
  <c r="B2572" i="44"/>
  <c r="B2550" i="44"/>
  <c r="B2528" i="44"/>
  <c r="B2505" i="44"/>
  <c r="B2483" i="44"/>
  <c r="B2461" i="44"/>
  <c r="B2438" i="44"/>
  <c r="B2416" i="44"/>
  <c r="B2394" i="44"/>
  <c r="B2372" i="44"/>
  <c r="B2350" i="44"/>
  <c r="B2328" i="44"/>
  <c r="B2305" i="44"/>
  <c r="B2283" i="44"/>
  <c r="B2261" i="44"/>
  <c r="B2238" i="44"/>
  <c r="B2213" i="44"/>
  <c r="B2187" i="44"/>
  <c r="B2158" i="44"/>
  <c r="B2133" i="44"/>
  <c r="B2107" i="44"/>
  <c r="B2078" i="44"/>
  <c r="B2053" i="44"/>
  <c r="B2022" i="44"/>
  <c r="B1994" i="44"/>
  <c r="B1961" i="44"/>
  <c r="B1933" i="44"/>
  <c r="B1877" i="44"/>
  <c r="B1833" i="44"/>
  <c r="B1777" i="44"/>
  <c r="B1732" i="44"/>
  <c r="B1634" i="44"/>
  <c r="B1484" i="39"/>
  <c r="B1484" i="44"/>
  <c r="B1464" i="39"/>
  <c r="B1464" i="44"/>
  <c r="B1444" i="39"/>
  <c r="B1444" i="44"/>
  <c r="B1424" i="39"/>
  <c r="B1424" i="44"/>
  <c r="B1404" i="39"/>
  <c r="B1404" i="44"/>
  <c r="B1384" i="39"/>
  <c r="B1384" i="44"/>
  <c r="B1364" i="39"/>
  <c r="B1364" i="44"/>
  <c r="B1344" i="39"/>
  <c r="B1344" i="44"/>
  <c r="B1324" i="39"/>
  <c r="B1324" i="44"/>
  <c r="B1304" i="39"/>
  <c r="B1304" i="44"/>
  <c r="B1284" i="39"/>
  <c r="B1284" i="44"/>
  <c r="B1264" i="39"/>
  <c r="B1264" i="44"/>
  <c r="B1244" i="39"/>
  <c r="B1244" i="44"/>
  <c r="B1224" i="39"/>
  <c r="B1224" i="44"/>
  <c r="B1204" i="39"/>
  <c r="B1204" i="44"/>
  <c r="B1184" i="39"/>
  <c r="B1184" i="44"/>
  <c r="B1164" i="39"/>
  <c r="B1164" i="44"/>
  <c r="B1144" i="39"/>
  <c r="B1144" i="44"/>
  <c r="B1124" i="39"/>
  <c r="B1124" i="44"/>
  <c r="B1104" i="39"/>
  <c r="B1104" i="44"/>
  <c r="B1084" i="39"/>
  <c r="B1084" i="44"/>
  <c r="B1064" i="39"/>
  <c r="B1064" i="44"/>
  <c r="B1044" i="39"/>
  <c r="B1044" i="44"/>
  <c r="B1024" i="39"/>
  <c r="B1024" i="44"/>
  <c r="B1004" i="39"/>
  <c r="B1004" i="44"/>
  <c r="B984" i="39"/>
  <c r="B984" i="44"/>
  <c r="B964" i="39"/>
  <c r="B964" i="44"/>
  <c r="B944" i="39"/>
  <c r="B944" i="44"/>
  <c r="B924" i="39"/>
  <c r="B924" i="44"/>
  <c r="B904" i="39"/>
  <c r="B904" i="44"/>
  <c r="B884" i="39"/>
  <c r="B884" i="44"/>
  <c r="B864" i="39"/>
  <c r="B864" i="44"/>
  <c r="B844" i="39"/>
  <c r="B844" i="44"/>
  <c r="B824" i="39"/>
  <c r="B824" i="44"/>
  <c r="B804" i="39"/>
  <c r="B804" i="44"/>
  <c r="B784" i="39"/>
  <c r="B784" i="44"/>
  <c r="B764" i="39"/>
  <c r="B764" i="44"/>
  <c r="B744" i="39"/>
  <c r="B744" i="44"/>
  <c r="B724" i="39"/>
  <c r="B724" i="44"/>
  <c r="B704" i="39"/>
  <c r="B704" i="44"/>
  <c r="B684" i="39"/>
  <c r="B684" i="44"/>
  <c r="B664" i="39"/>
  <c r="B664" i="44"/>
  <c r="B644" i="39"/>
  <c r="B644" i="44"/>
  <c r="B624" i="39"/>
  <c r="B624" i="44"/>
  <c r="B604" i="39"/>
  <c r="B604" i="44"/>
  <c r="B584" i="39"/>
  <c r="B584" i="44"/>
  <c r="B564" i="39"/>
  <c r="B564" i="44"/>
  <c r="B544" i="39"/>
  <c r="B544" i="44"/>
  <c r="B524" i="39"/>
  <c r="B524" i="44"/>
  <c r="B504" i="39"/>
  <c r="B504" i="44"/>
  <c r="B484" i="39"/>
  <c r="B484" i="44"/>
  <c r="B464" i="39"/>
  <c r="B464" i="44"/>
  <c r="B444" i="39"/>
  <c r="B444" i="44"/>
  <c r="B424" i="39"/>
  <c r="B424" i="44"/>
  <c r="B404" i="39"/>
  <c r="B404" i="44"/>
  <c r="B384" i="39"/>
  <c r="B384" i="44"/>
  <c r="B364" i="39"/>
  <c r="B364" i="44"/>
  <c r="B344" i="39"/>
  <c r="B344" i="44"/>
  <c r="B324" i="39"/>
  <c r="B324" i="44"/>
  <c r="B304" i="39"/>
  <c r="B304" i="44"/>
  <c r="B284" i="39"/>
  <c r="B284" i="44"/>
  <c r="B264" i="39"/>
  <c r="B264" i="44"/>
  <c r="B244" i="39"/>
  <c r="B244" i="44"/>
  <c r="B224" i="39"/>
  <c r="B224" i="44"/>
  <c r="B204" i="39"/>
  <c r="B204" i="44"/>
  <c r="B184" i="39"/>
  <c r="B184" i="44"/>
  <c r="B164" i="39"/>
  <c r="B164" i="44"/>
  <c r="B144" i="39"/>
  <c r="B144" i="44"/>
  <c r="B124" i="39"/>
  <c r="B124" i="44"/>
  <c r="B104" i="39"/>
  <c r="B104" i="44"/>
  <c r="B84" i="39"/>
  <c r="B84" i="44"/>
  <c r="B64" i="39"/>
  <c r="B64" i="44"/>
  <c r="B44" i="39"/>
  <c r="B44" i="44"/>
  <c r="B24" i="39"/>
  <c r="B24" i="44"/>
  <c r="C4" i="39"/>
  <c r="C4" i="44"/>
  <c r="C2944" i="39"/>
  <c r="C2817" i="44"/>
  <c r="C2924" i="39"/>
  <c r="C2797" i="44"/>
  <c r="C2904" i="39"/>
  <c r="F5" i="60" s="1"/>
  <c r="C2777" i="44"/>
  <c r="C2784" i="39"/>
  <c r="C2418" i="44"/>
  <c r="C2764" i="39"/>
  <c r="C2398" i="44"/>
  <c r="C2744" i="39"/>
  <c r="C2378" i="44"/>
  <c r="C2724" i="39"/>
  <c r="C2358" i="44"/>
  <c r="C2704" i="39"/>
  <c r="C2338" i="44"/>
  <c r="C2684" i="39"/>
  <c r="C2318" i="44"/>
  <c r="C2664" i="39"/>
  <c r="C2298" i="44"/>
  <c r="C2644" i="39"/>
  <c r="C2278" i="44"/>
  <c r="C2624" i="39"/>
  <c r="C2258" i="44"/>
  <c r="C2604" i="39"/>
  <c r="C2238" i="44"/>
  <c r="C2584" i="39"/>
  <c r="C2218" i="44"/>
  <c r="C2564" i="39"/>
  <c r="C2198" i="44"/>
  <c r="C2544" i="39"/>
  <c r="C2178" i="44"/>
  <c r="C2524" i="39"/>
  <c r="C2158" i="44"/>
  <c r="C2504" i="39"/>
  <c r="C2138" i="44"/>
  <c r="C2484" i="39"/>
  <c r="C2118" i="44"/>
  <c r="C2464" i="39"/>
  <c r="C2098" i="44"/>
  <c r="C2444" i="39"/>
  <c r="C2078" i="44"/>
  <c r="C2424" i="39"/>
  <c r="C2058" i="44"/>
  <c r="C2404" i="39"/>
  <c r="C2038" i="44"/>
  <c r="C2384" i="39"/>
  <c r="C2018" i="44"/>
  <c r="C2364" i="39"/>
  <c r="C1998" i="44"/>
  <c r="C2344" i="39"/>
  <c r="C1978" i="44"/>
  <c r="C2324" i="39"/>
  <c r="C1958" i="44"/>
  <c r="C2304" i="39"/>
  <c r="C1938" i="44"/>
  <c r="C2284" i="39"/>
  <c r="C1918" i="44"/>
  <c r="C2264" i="39"/>
  <c r="C1898" i="44"/>
  <c r="C2244" i="39"/>
  <c r="C1878" i="44"/>
  <c r="C2224" i="39"/>
  <c r="C1858" i="44"/>
  <c r="C2204" i="39"/>
  <c r="C1838" i="44"/>
  <c r="C2184" i="39"/>
  <c r="C1818" i="44"/>
  <c r="C2164" i="39"/>
  <c r="C1798" i="44"/>
  <c r="C2144" i="39"/>
  <c r="C1778" i="44"/>
  <c r="C2124" i="39"/>
  <c r="C1758" i="44"/>
  <c r="C2104" i="39"/>
  <c r="C1738" i="44"/>
  <c r="C2084" i="39"/>
  <c r="C1718" i="44"/>
  <c r="C2064" i="39"/>
  <c r="C1698" i="44"/>
  <c r="C2044" i="39"/>
  <c r="F24" i="63" s="1"/>
  <c r="C2771" i="44"/>
  <c r="C2024" i="39"/>
  <c r="F7" i="65" s="1"/>
  <c r="C2751" i="44"/>
  <c r="C2004" i="39"/>
  <c r="F23" i="65" s="1"/>
  <c r="C2731" i="44"/>
  <c r="C1984" i="39"/>
  <c r="C2711" i="44"/>
  <c r="C1964" i="39"/>
  <c r="C2691" i="44"/>
  <c r="C1944" i="39"/>
  <c r="C2671" i="44"/>
  <c r="C1924" i="39"/>
  <c r="F18" i="62" s="1"/>
  <c r="C2651" i="44"/>
  <c r="C1904" i="39"/>
  <c r="C2631" i="44"/>
  <c r="C1884" i="39"/>
  <c r="C1674" i="44"/>
  <c r="C1864" i="39"/>
  <c r="C1654" i="44"/>
  <c r="C1844" i="39"/>
  <c r="C1634" i="44"/>
  <c r="C1824" i="39"/>
  <c r="C1614" i="44"/>
  <c r="C1804" i="39"/>
  <c r="C1594" i="44"/>
  <c r="C1784" i="39"/>
  <c r="C1574" i="44"/>
  <c r="C1764" i="39"/>
  <c r="C1554" i="44"/>
  <c r="C1744" i="39"/>
  <c r="C1534" i="44"/>
  <c r="C1724" i="39"/>
  <c r="C1514" i="44"/>
  <c r="C1704" i="39"/>
  <c r="C1494" i="44"/>
  <c r="C1684" i="39"/>
  <c r="F33" i="63" s="1"/>
  <c r="C2614" i="44"/>
  <c r="C1664" i="39"/>
  <c r="F22" i="60" s="1"/>
  <c r="C2594" i="44"/>
  <c r="C1644" i="39"/>
  <c r="C2574" i="44"/>
  <c r="C1624" i="39"/>
  <c r="C2554" i="44"/>
  <c r="C1604" i="39"/>
  <c r="C2534" i="44"/>
  <c r="C1584" i="39"/>
  <c r="F28" i="63" s="1"/>
  <c r="C2514" i="44"/>
  <c r="C1564" i="39"/>
  <c r="C2494" i="44"/>
  <c r="C1544" i="39"/>
  <c r="C2474" i="44"/>
  <c r="C1524" i="39"/>
  <c r="F27" i="62" s="1"/>
  <c r="C2454" i="44"/>
  <c r="C1504" i="39"/>
  <c r="C2434" i="44"/>
  <c r="C1484" i="39"/>
  <c r="C1484" i="44"/>
  <c r="C1464" i="39"/>
  <c r="C1464" i="44"/>
  <c r="C1444" i="39"/>
  <c r="C1444" i="44"/>
  <c r="C1424" i="39"/>
  <c r="C1424" i="44"/>
  <c r="C1404" i="39"/>
  <c r="C1404" i="44"/>
  <c r="C1384" i="39"/>
  <c r="C1384" i="44"/>
  <c r="C1364" i="39"/>
  <c r="C1364" i="44"/>
  <c r="C1344" i="39"/>
  <c r="C1344" i="44"/>
  <c r="C1324" i="39"/>
  <c r="C1324" i="44"/>
  <c r="C1304" i="39"/>
  <c r="C1304" i="44"/>
  <c r="C1284" i="39"/>
  <c r="C1284" i="44"/>
  <c r="C1264" i="39"/>
  <c r="C1264" i="44"/>
  <c r="C1244" i="39"/>
  <c r="C1244" i="44"/>
  <c r="C1224" i="39"/>
  <c r="C1224" i="44"/>
  <c r="C1204" i="39"/>
  <c r="C1204" i="44"/>
  <c r="C1184" i="39"/>
  <c r="C1184" i="44"/>
  <c r="C1164" i="39"/>
  <c r="C1164" i="44"/>
  <c r="C1144" i="39"/>
  <c r="C1144" i="44"/>
  <c r="C1124" i="39"/>
  <c r="C1124" i="44"/>
  <c r="C1104" i="39"/>
  <c r="C1104" i="44"/>
  <c r="C1084" i="39"/>
  <c r="C1084" i="44"/>
  <c r="C1064" i="39"/>
  <c r="C1064" i="44"/>
  <c r="C1044" i="39"/>
  <c r="C1044" i="44"/>
  <c r="C1024" i="39"/>
  <c r="C1024" i="44"/>
  <c r="C1004" i="39"/>
  <c r="C1004" i="44"/>
  <c r="C984" i="39"/>
  <c r="C984" i="44"/>
  <c r="C964" i="39"/>
  <c r="C964" i="44"/>
  <c r="C944" i="39"/>
  <c r="C944" i="44"/>
  <c r="C924" i="39"/>
  <c r="C924" i="44"/>
  <c r="C904" i="39"/>
  <c r="C904" i="44"/>
  <c r="C884" i="39"/>
  <c r="C884" i="44"/>
  <c r="C864" i="39"/>
  <c r="C864" i="44"/>
  <c r="C844" i="39"/>
  <c r="C844" i="44"/>
  <c r="C824" i="39"/>
  <c r="C824" i="44"/>
  <c r="C804" i="39"/>
  <c r="C804" i="44"/>
  <c r="C784" i="39"/>
  <c r="C784" i="44"/>
  <c r="C764" i="39"/>
  <c r="C764" i="44"/>
  <c r="C744" i="39"/>
  <c r="C744" i="44"/>
  <c r="C724" i="39"/>
  <c r="C724" i="44"/>
  <c r="C704" i="39"/>
  <c r="C704" i="44"/>
  <c r="C684" i="39"/>
  <c r="C684" i="44"/>
  <c r="C664" i="39"/>
  <c r="C664" i="44"/>
  <c r="C644" i="39"/>
  <c r="C644" i="44"/>
  <c r="C624" i="39"/>
  <c r="C624" i="44"/>
  <c r="C604" i="39"/>
  <c r="C604" i="44"/>
  <c r="C584" i="39"/>
  <c r="C584" i="44"/>
  <c r="C564" i="39"/>
  <c r="C564" i="44"/>
  <c r="C544" i="39"/>
  <c r="C544" i="44"/>
  <c r="C524" i="39"/>
  <c r="C524" i="44"/>
  <c r="C504" i="39"/>
  <c r="C504" i="44"/>
  <c r="C484" i="39"/>
  <c r="C484" i="44"/>
  <c r="C464" i="39"/>
  <c r="C464" i="44"/>
  <c r="C444" i="39"/>
  <c r="C444" i="44"/>
  <c r="C424" i="39"/>
  <c r="C424" i="44"/>
  <c r="C404" i="39"/>
  <c r="C404" i="44"/>
  <c r="C384" i="39"/>
  <c r="C384" i="44"/>
  <c r="C364" i="39"/>
  <c r="C364" i="44"/>
  <c r="C344" i="39"/>
  <c r="C344" i="44"/>
  <c r="C324" i="39"/>
  <c r="C324" i="44"/>
  <c r="C304" i="39"/>
  <c r="C304" i="44"/>
  <c r="C284" i="39"/>
  <c r="C284" i="44"/>
  <c r="C264" i="39"/>
  <c r="C264" i="44"/>
  <c r="C244" i="39"/>
  <c r="C244" i="44"/>
  <c r="C224" i="39"/>
  <c r="C224" i="44"/>
  <c r="C204" i="39"/>
  <c r="C204" i="44"/>
  <c r="C184" i="39"/>
  <c r="C184" i="44"/>
  <c r="C164" i="39"/>
  <c r="C164" i="44"/>
  <c r="C144" i="39"/>
  <c r="C144" i="44"/>
  <c r="C124" i="39"/>
  <c r="C124" i="44"/>
  <c r="C104" i="39"/>
  <c r="C104" i="44"/>
  <c r="C84" i="39"/>
  <c r="C84" i="44"/>
  <c r="C64" i="39"/>
  <c r="C64" i="44"/>
  <c r="C44" i="39"/>
  <c r="C44" i="44"/>
  <c r="C24" i="39"/>
  <c r="C24" i="44"/>
  <c r="B2815" i="44"/>
  <c r="B2793" i="44"/>
  <c r="B2771" i="44"/>
  <c r="B2749" i="44"/>
  <c r="B2727" i="44"/>
  <c r="B2704" i="44"/>
  <c r="B2682" i="44"/>
  <c r="B2659" i="44"/>
  <c r="B2637" i="44"/>
  <c r="B2615" i="44"/>
  <c r="B2593" i="44"/>
  <c r="B2571" i="44"/>
  <c r="B2549" i="44"/>
  <c r="B2527" i="44"/>
  <c r="B2504" i="44"/>
  <c r="B2482" i="44"/>
  <c r="B2459" i="44"/>
  <c r="B2437" i="44"/>
  <c r="B2415" i="44"/>
  <c r="B2393" i="44"/>
  <c r="B2371" i="44"/>
  <c r="B2349" i="44"/>
  <c r="B2327" i="44"/>
  <c r="B2304" i="44"/>
  <c r="B2282" i="44"/>
  <c r="B2259" i="44"/>
  <c r="B2237" i="44"/>
  <c r="B2212" i="44"/>
  <c r="B2185" i="44"/>
  <c r="B2157" i="44"/>
  <c r="B2132" i="44"/>
  <c r="B2105" i="44"/>
  <c r="B2077" i="44"/>
  <c r="B2052" i="44"/>
  <c r="B2021" i="44"/>
  <c r="B1993" i="44"/>
  <c r="B1959" i="44"/>
  <c r="B1932" i="44"/>
  <c r="B1876" i="44"/>
  <c r="B1832" i="44"/>
  <c r="B1776" i="44"/>
  <c r="B1719" i="44"/>
  <c r="B1633" i="44"/>
  <c r="B1803" i="39"/>
  <c r="B1593" i="44"/>
  <c r="B1783" i="39"/>
  <c r="B1573" i="44"/>
  <c r="B1763" i="39"/>
  <c r="B1553" i="44"/>
  <c r="B1743" i="39"/>
  <c r="B1533" i="44"/>
  <c r="B1723" i="39"/>
  <c r="B1513" i="44"/>
  <c r="B1483" i="39"/>
  <c r="B1483" i="44"/>
  <c r="B1463" i="39"/>
  <c r="B1463" i="44"/>
  <c r="B1443" i="39"/>
  <c r="B1443" i="44"/>
  <c r="B1423" i="39"/>
  <c r="B1423" i="44"/>
  <c r="B1403" i="39"/>
  <c r="B1403" i="44"/>
  <c r="B1383" i="39"/>
  <c r="B1383" i="44"/>
  <c r="B1363" i="39"/>
  <c r="B1363" i="44"/>
  <c r="B1343" i="39"/>
  <c r="B1343" i="44"/>
  <c r="B1323" i="39"/>
  <c r="B1323" i="44"/>
  <c r="B1303" i="39"/>
  <c r="B1303" i="44"/>
  <c r="B1283" i="39"/>
  <c r="B1283" i="44"/>
  <c r="B1263" i="39"/>
  <c r="B1263" i="44"/>
  <c r="B1243" i="39"/>
  <c r="B1243" i="44"/>
  <c r="B1223" i="39"/>
  <c r="B1223" i="44"/>
  <c r="B1203" i="39"/>
  <c r="B1203" i="44"/>
  <c r="B1183" i="39"/>
  <c r="B1183" i="44"/>
  <c r="B1163" i="39"/>
  <c r="B1163" i="44"/>
  <c r="B1143" i="39"/>
  <c r="B1143" i="44"/>
  <c r="B1123" i="39"/>
  <c r="B1123" i="44"/>
  <c r="B1103" i="39"/>
  <c r="B1103" i="44"/>
  <c r="B1083" i="39"/>
  <c r="B1083" i="44"/>
  <c r="B1063" i="39"/>
  <c r="B1063" i="44"/>
  <c r="B1043" i="39"/>
  <c r="B1043" i="44"/>
  <c r="B1023" i="39"/>
  <c r="B1023" i="44"/>
  <c r="B1003" i="39"/>
  <c r="B1003" i="44"/>
  <c r="B983" i="39"/>
  <c r="B983" i="44"/>
  <c r="B963" i="39"/>
  <c r="B963" i="44"/>
  <c r="B943" i="39"/>
  <c r="B943" i="44"/>
  <c r="B923" i="39"/>
  <c r="B923" i="44"/>
  <c r="B903" i="39"/>
  <c r="B903" i="44"/>
  <c r="B883" i="39"/>
  <c r="B883" i="44"/>
  <c r="B863" i="39"/>
  <c r="B863" i="44"/>
  <c r="B843" i="39"/>
  <c r="B843" i="44"/>
  <c r="B823" i="39"/>
  <c r="B823" i="44"/>
  <c r="B803" i="39"/>
  <c r="B803" i="44"/>
  <c r="B783" i="39"/>
  <c r="B783" i="44"/>
  <c r="B763" i="39"/>
  <c r="B763" i="44"/>
  <c r="B743" i="39"/>
  <c r="B743" i="44"/>
  <c r="B723" i="39"/>
  <c r="B723" i="44"/>
  <c r="B703" i="39"/>
  <c r="B703" i="44"/>
  <c r="B683" i="39"/>
  <c r="B683" i="44"/>
  <c r="B663" i="39"/>
  <c r="B663" i="44"/>
  <c r="B643" i="39"/>
  <c r="B643" i="44"/>
  <c r="B623" i="39"/>
  <c r="B623" i="44"/>
  <c r="B603" i="39"/>
  <c r="B603" i="44"/>
  <c r="B583" i="39"/>
  <c r="B583" i="44"/>
  <c r="B563" i="39"/>
  <c r="B563" i="44"/>
  <c r="B543" i="39"/>
  <c r="B543" i="44"/>
  <c r="B523" i="39"/>
  <c r="B523" i="44"/>
  <c r="B503" i="39"/>
  <c r="B503" i="44"/>
  <c r="B483" i="39"/>
  <c r="B483" i="44"/>
  <c r="B463" i="39"/>
  <c r="B463" i="44"/>
  <c r="B443" i="39"/>
  <c r="B443" i="44"/>
  <c r="B423" i="39"/>
  <c r="B423" i="44"/>
  <c r="B403" i="39"/>
  <c r="B403" i="44"/>
  <c r="B383" i="39"/>
  <c r="B383" i="44"/>
  <c r="B363" i="39"/>
  <c r="B363" i="44"/>
  <c r="B343" i="39"/>
  <c r="B343" i="44"/>
  <c r="B323" i="39"/>
  <c r="B323" i="44"/>
  <c r="B303" i="39"/>
  <c r="B303" i="44"/>
  <c r="B283" i="39"/>
  <c r="B283" i="44"/>
  <c r="B263" i="39"/>
  <c r="B263" i="44"/>
  <c r="B243" i="39"/>
  <c r="B243" i="44"/>
  <c r="B223" i="39"/>
  <c r="B223" i="44"/>
  <c r="B203" i="39"/>
  <c r="B203" i="44"/>
  <c r="B183" i="39"/>
  <c r="B183" i="44"/>
  <c r="B163" i="39"/>
  <c r="B163" i="44"/>
  <c r="B143" i="39"/>
  <c r="B143" i="44"/>
  <c r="B123" i="39"/>
  <c r="B123" i="44"/>
  <c r="B103" i="39"/>
  <c r="B103" i="44"/>
  <c r="B83" i="39"/>
  <c r="B83" i="44"/>
  <c r="B63" i="39"/>
  <c r="B63" i="44"/>
  <c r="B43" i="39"/>
  <c r="B43" i="44"/>
  <c r="B23" i="39"/>
  <c r="B23" i="44"/>
  <c r="C2943" i="39"/>
  <c r="C2816" i="44"/>
  <c r="C2923" i="39"/>
  <c r="C2796" i="44"/>
  <c r="C2783" i="39"/>
  <c r="C2417" i="44"/>
  <c r="C2763" i="39"/>
  <c r="C2397" i="44"/>
  <c r="C2743" i="39"/>
  <c r="C2377" i="44"/>
  <c r="C2723" i="39"/>
  <c r="C2357" i="44"/>
  <c r="C2703" i="39"/>
  <c r="C2337" i="44"/>
  <c r="C2683" i="39"/>
  <c r="C2317" i="44"/>
  <c r="C2663" i="39"/>
  <c r="C2297" i="44"/>
  <c r="C2643" i="39"/>
  <c r="C2277" i="44"/>
  <c r="C2623" i="39"/>
  <c r="C2257" i="44"/>
  <c r="C2603" i="39"/>
  <c r="C2237" i="44"/>
  <c r="C2583" i="39"/>
  <c r="C2217" i="44"/>
  <c r="C2563" i="39"/>
  <c r="C2197" i="44"/>
  <c r="C2543" i="39"/>
  <c r="C2177" i="44"/>
  <c r="C2523" i="39"/>
  <c r="C2157" i="44"/>
  <c r="C2503" i="39"/>
  <c r="C2137" i="44"/>
  <c r="C2483" i="39"/>
  <c r="C2117" i="44"/>
  <c r="C2463" i="39"/>
  <c r="C2097" i="44"/>
  <c r="C2443" i="39"/>
  <c r="C2077" i="44"/>
  <c r="C2423" i="39"/>
  <c r="C2057" i="44"/>
  <c r="C2403" i="39"/>
  <c r="C2037" i="44"/>
  <c r="C2383" i="39"/>
  <c r="C2017" i="44"/>
  <c r="C2363" i="39"/>
  <c r="C1997" i="44"/>
  <c r="C2343" i="39"/>
  <c r="C1977" i="44"/>
  <c r="C2323" i="39"/>
  <c r="C1957" i="44"/>
  <c r="C2303" i="39"/>
  <c r="C1937" i="44"/>
  <c r="C2283" i="39"/>
  <c r="C1917" i="44"/>
  <c r="C2263" i="39"/>
  <c r="C1897" i="44"/>
  <c r="C2243" i="39"/>
  <c r="C1877" i="44"/>
  <c r="C2223" i="39"/>
  <c r="C1857" i="44"/>
  <c r="C2203" i="39"/>
  <c r="C1837" i="44"/>
  <c r="C2183" i="39"/>
  <c r="C1817" i="44"/>
  <c r="C2163" i="39"/>
  <c r="C1797" i="44"/>
  <c r="C2143" i="39"/>
  <c r="C1777" i="44"/>
  <c r="C2123" i="39"/>
  <c r="C1757" i="44"/>
  <c r="C2103" i="39"/>
  <c r="C1737" i="44"/>
  <c r="C2083" i="39"/>
  <c r="C1717" i="44"/>
  <c r="C2063" i="39"/>
  <c r="C1697" i="44"/>
  <c r="C2043" i="39"/>
  <c r="F23" i="63" s="1"/>
  <c r="C2770" i="44"/>
  <c r="C2023" i="39"/>
  <c r="F5" i="65" s="1"/>
  <c r="C2750" i="44"/>
  <c r="C2003" i="39"/>
  <c r="C2730" i="44"/>
  <c r="C1983" i="39"/>
  <c r="C2710" i="44"/>
  <c r="C1963" i="39"/>
  <c r="C2690" i="44"/>
  <c r="C1943" i="39"/>
  <c r="C2670" i="44"/>
  <c r="C1923" i="39"/>
  <c r="F17" i="62" s="1"/>
  <c r="C2650" i="44"/>
  <c r="C1903" i="39"/>
  <c r="F11" i="61" s="1"/>
  <c r="C2630" i="44"/>
  <c r="C1883" i="39"/>
  <c r="C1673" i="44"/>
  <c r="C1863" i="39"/>
  <c r="C1653" i="44"/>
  <c r="C1843" i="39"/>
  <c r="C1633" i="44"/>
  <c r="C1823" i="39"/>
  <c r="C1613" i="44"/>
  <c r="C1803" i="39"/>
  <c r="C1593" i="44"/>
  <c r="C1783" i="39"/>
  <c r="C1573" i="44"/>
  <c r="C1763" i="39"/>
  <c r="C1553" i="44"/>
  <c r="C1743" i="39"/>
  <c r="C1533" i="44"/>
  <c r="C1723" i="39"/>
  <c r="C1513" i="44"/>
  <c r="C1683" i="39"/>
  <c r="C2613" i="44"/>
  <c r="C1663" i="39"/>
  <c r="C2593" i="44"/>
  <c r="C1643" i="39"/>
  <c r="C2573" i="44"/>
  <c r="C1623" i="39"/>
  <c r="C2553" i="44"/>
  <c r="C1603" i="39"/>
  <c r="C2533" i="44"/>
  <c r="C1583" i="39"/>
  <c r="F29" i="63" s="1"/>
  <c r="C2513" i="44"/>
  <c r="C1563" i="39"/>
  <c r="C2493" i="44"/>
  <c r="C1543" i="39"/>
  <c r="C2473" i="44"/>
  <c r="C1523" i="39"/>
  <c r="F28" i="62" s="1"/>
  <c r="C2453" i="44"/>
  <c r="C1503" i="39"/>
  <c r="C2433" i="44"/>
  <c r="C1483" i="39"/>
  <c r="C1483" i="44"/>
  <c r="C1463" i="39"/>
  <c r="C1463" i="44"/>
  <c r="C1443" i="39"/>
  <c r="C1443" i="44"/>
  <c r="C1423" i="39"/>
  <c r="C1423" i="44"/>
  <c r="C1403" i="39"/>
  <c r="C1403" i="44"/>
  <c r="C1383" i="39"/>
  <c r="C1383" i="44"/>
  <c r="C1363" i="39"/>
  <c r="C1363" i="44"/>
  <c r="C1343" i="39"/>
  <c r="C1343" i="44"/>
  <c r="C1323" i="39"/>
  <c r="C1323" i="44"/>
  <c r="C1303" i="39"/>
  <c r="C1303" i="44"/>
  <c r="C1283" i="39"/>
  <c r="C1283" i="44"/>
  <c r="C1263" i="39"/>
  <c r="C1263" i="44"/>
  <c r="C1243" i="39"/>
  <c r="C1243" i="44"/>
  <c r="C1223" i="39"/>
  <c r="C1223" i="44"/>
  <c r="C1203" i="39"/>
  <c r="C1203" i="44"/>
  <c r="C1183" i="39"/>
  <c r="C1183" i="44"/>
  <c r="C1163" i="39"/>
  <c r="C1163" i="44"/>
  <c r="C1143" i="39"/>
  <c r="C1143" i="44"/>
  <c r="C1123" i="39"/>
  <c r="C1123" i="44"/>
  <c r="C1103" i="39"/>
  <c r="C1103" i="44"/>
  <c r="C1083" i="39"/>
  <c r="C1083" i="44"/>
  <c r="C1063" i="39"/>
  <c r="C1063" i="44"/>
  <c r="C1043" i="39"/>
  <c r="C1043" i="44"/>
  <c r="C1023" i="39"/>
  <c r="C1023" i="44"/>
  <c r="C1003" i="39"/>
  <c r="C1003" i="44"/>
  <c r="C983" i="39"/>
  <c r="C983" i="44"/>
  <c r="C963" i="39"/>
  <c r="C963" i="44"/>
  <c r="C943" i="39"/>
  <c r="C943" i="44"/>
  <c r="C923" i="39"/>
  <c r="C923" i="44"/>
  <c r="C903" i="39"/>
  <c r="C903" i="44"/>
  <c r="C883" i="39"/>
  <c r="C883" i="44"/>
  <c r="C863" i="39"/>
  <c r="C863" i="44"/>
  <c r="C843" i="39"/>
  <c r="C843" i="44"/>
  <c r="C823" i="39"/>
  <c r="C823" i="44"/>
  <c r="C803" i="39"/>
  <c r="C803" i="44"/>
  <c r="C783" i="39"/>
  <c r="C783" i="44"/>
  <c r="C763" i="39"/>
  <c r="C763" i="44"/>
  <c r="C743" i="39"/>
  <c r="C743" i="44"/>
  <c r="C723" i="39"/>
  <c r="C723" i="44"/>
  <c r="C703" i="39"/>
  <c r="C703" i="44"/>
  <c r="C683" i="39"/>
  <c r="C683" i="44"/>
  <c r="C663" i="39"/>
  <c r="C663" i="44"/>
  <c r="C643" i="39"/>
  <c r="C643" i="44"/>
  <c r="C623" i="39"/>
  <c r="C623" i="44"/>
  <c r="C603" i="39"/>
  <c r="C603" i="44"/>
  <c r="C583" i="39"/>
  <c r="C583" i="44"/>
  <c r="C563" i="39"/>
  <c r="C563" i="44"/>
  <c r="C543" i="39"/>
  <c r="C543" i="44"/>
  <c r="C523" i="39"/>
  <c r="C523" i="44"/>
  <c r="C503" i="39"/>
  <c r="C503" i="44"/>
  <c r="C483" i="39"/>
  <c r="C483" i="44"/>
  <c r="C463" i="39"/>
  <c r="F13" i="63" s="1"/>
  <c r="C463" i="44"/>
  <c r="C443" i="39"/>
  <c r="C443" i="44"/>
  <c r="C423" i="39"/>
  <c r="C423" i="44"/>
  <c r="C403" i="39"/>
  <c r="C403" i="44"/>
  <c r="C383" i="39"/>
  <c r="C383" i="44"/>
  <c r="C363" i="39"/>
  <c r="C363" i="44"/>
  <c r="C343" i="39"/>
  <c r="C343" i="44"/>
  <c r="C323" i="39"/>
  <c r="C323" i="44"/>
  <c r="C303" i="39"/>
  <c r="C303" i="44"/>
  <c r="C283" i="39"/>
  <c r="C283" i="44"/>
  <c r="C263" i="39"/>
  <c r="C263" i="44"/>
  <c r="C243" i="39"/>
  <c r="C243" i="44"/>
  <c r="C223" i="39"/>
  <c r="C223" i="44"/>
  <c r="C203" i="39"/>
  <c r="C203" i="44"/>
  <c r="C183" i="39"/>
  <c r="C183" i="44"/>
  <c r="C163" i="39"/>
  <c r="C163" i="44"/>
  <c r="C143" i="39"/>
  <c r="C143" i="44"/>
  <c r="C123" i="39"/>
  <c r="C123" i="44"/>
  <c r="C103" i="39"/>
  <c r="C103" i="44"/>
  <c r="C83" i="39"/>
  <c r="C83" i="44"/>
  <c r="C63" i="39"/>
  <c r="C63" i="44"/>
  <c r="C43" i="39"/>
  <c r="C43" i="44"/>
  <c r="C23" i="39"/>
  <c r="C23" i="44"/>
  <c r="B2814" i="44"/>
  <c r="B2792" i="44"/>
  <c r="B2770" i="44"/>
  <c r="B2748" i="44"/>
  <c r="B2725" i="44"/>
  <c r="B2703" i="44"/>
  <c r="B2681" i="44"/>
  <c r="B2658" i="44"/>
  <c r="B2636" i="44"/>
  <c r="B2614" i="44"/>
  <c r="B2592" i="44"/>
  <c r="B2570" i="44"/>
  <c r="B2548" i="44"/>
  <c r="B2525" i="44"/>
  <c r="B2503" i="44"/>
  <c r="B2481" i="44"/>
  <c r="B2458" i="44"/>
  <c r="B2436" i="44"/>
  <c r="B2414" i="44"/>
  <c r="B2392" i="44"/>
  <c r="B2370" i="44"/>
  <c r="B2348" i="44"/>
  <c r="B2325" i="44"/>
  <c r="B2303" i="44"/>
  <c r="B2281" i="44"/>
  <c r="B2258" i="44"/>
  <c r="B2236" i="44"/>
  <c r="B2211" i="44"/>
  <c r="B2182" i="44"/>
  <c r="B2156" i="44"/>
  <c r="B2131" i="44"/>
  <c r="B2102" i="44"/>
  <c r="B2076" i="44"/>
  <c r="B2051" i="44"/>
  <c r="B2019" i="44"/>
  <c r="B1992" i="44"/>
  <c r="B1958" i="44"/>
  <c r="B1919" i="44"/>
  <c r="B1875" i="44"/>
  <c r="B1819" i="44"/>
  <c r="B1775" i="44"/>
  <c r="B1718" i="44"/>
  <c r="B1618" i="44"/>
  <c r="B2062" i="39"/>
  <c r="B1696" i="44"/>
  <c r="B1882" i="39"/>
  <c r="B1672" i="44"/>
  <c r="B1862" i="39"/>
  <c r="B1652" i="44"/>
  <c r="B1842" i="39"/>
  <c r="B1632" i="44"/>
  <c r="B1822" i="39"/>
  <c r="B1612" i="44"/>
  <c r="B1802" i="39"/>
  <c r="B1592" i="44"/>
  <c r="B1782" i="39"/>
  <c r="B1572" i="44"/>
  <c r="B1762" i="39"/>
  <c r="B1552" i="44"/>
  <c r="B1742" i="39"/>
  <c r="B1532" i="44"/>
  <c r="B1722" i="39"/>
  <c r="B1512" i="44"/>
  <c r="B1482" i="39"/>
  <c r="B1482" i="44"/>
  <c r="B1462" i="39"/>
  <c r="B1462" i="44"/>
  <c r="B1442" i="39"/>
  <c r="B1442" i="44"/>
  <c r="B1422" i="39"/>
  <c r="B1422" i="44"/>
  <c r="B1402" i="39"/>
  <c r="B1402" i="44"/>
  <c r="B1382" i="39"/>
  <c r="B1382" i="44"/>
  <c r="B1362" i="39"/>
  <c r="B1362" i="44"/>
  <c r="B1342" i="39"/>
  <c r="B1342" i="44"/>
  <c r="B1322" i="39"/>
  <c r="B1322" i="44"/>
  <c r="B1302" i="39"/>
  <c r="B1302" i="44"/>
  <c r="B1282" i="39"/>
  <c r="B1282" i="44"/>
  <c r="B1262" i="39"/>
  <c r="B1262" i="44"/>
  <c r="B1242" i="39"/>
  <c r="B1242" i="44"/>
  <c r="B1222" i="39"/>
  <c r="B1222" i="44"/>
  <c r="B1202" i="39"/>
  <c r="B1202" i="44"/>
  <c r="B1182" i="39"/>
  <c r="B1182" i="44"/>
  <c r="B1162" i="39"/>
  <c r="B1162" i="44"/>
  <c r="B1142" i="39"/>
  <c r="B1142" i="44"/>
  <c r="B1122" i="39"/>
  <c r="B1122" i="44"/>
  <c r="B1102" i="39"/>
  <c r="B1102" i="44"/>
  <c r="B1082" i="39"/>
  <c r="B1082" i="44"/>
  <c r="B1062" i="39"/>
  <c r="B1062" i="44"/>
  <c r="B1042" i="39"/>
  <c r="B1042" i="44"/>
  <c r="B1022" i="39"/>
  <c r="B1022" i="44"/>
  <c r="B1002" i="39"/>
  <c r="B1002" i="44"/>
  <c r="B982" i="39"/>
  <c r="B982" i="44"/>
  <c r="B962" i="39"/>
  <c r="B962" i="44"/>
  <c r="B942" i="39"/>
  <c r="B942" i="44"/>
  <c r="B922" i="39"/>
  <c r="B922" i="44"/>
  <c r="B902" i="39"/>
  <c r="B902" i="44"/>
  <c r="B882" i="39"/>
  <c r="B882" i="44"/>
  <c r="B862" i="39"/>
  <c r="B862" i="44"/>
  <c r="B842" i="39"/>
  <c r="B842" i="44"/>
  <c r="B822" i="39"/>
  <c r="B822" i="44"/>
  <c r="B802" i="39"/>
  <c r="B802" i="44"/>
  <c r="B782" i="39"/>
  <c r="B782" i="44"/>
  <c r="B762" i="39"/>
  <c r="B762" i="44"/>
  <c r="B742" i="39"/>
  <c r="B742" i="44"/>
  <c r="B722" i="39"/>
  <c r="B722" i="44"/>
  <c r="B702" i="39"/>
  <c r="B702" i="44"/>
  <c r="B682" i="39"/>
  <c r="B682" i="44"/>
  <c r="B662" i="39"/>
  <c r="B662" i="44"/>
  <c r="B642" i="39"/>
  <c r="B642" i="44"/>
  <c r="B622" i="39"/>
  <c r="B622" i="44"/>
  <c r="B602" i="39"/>
  <c r="B602" i="44"/>
  <c r="B582" i="39"/>
  <c r="B582" i="44"/>
  <c r="B562" i="39"/>
  <c r="B562" i="44"/>
  <c r="B542" i="39"/>
  <c r="B542" i="44"/>
  <c r="B522" i="39"/>
  <c r="B522" i="44"/>
  <c r="B502" i="39"/>
  <c r="B502" i="44"/>
  <c r="B482" i="39"/>
  <c r="B482" i="44"/>
  <c r="B462" i="39"/>
  <c r="B462" i="44"/>
  <c r="B442" i="39"/>
  <c r="B442" i="44"/>
  <c r="B422" i="39"/>
  <c r="B422" i="44"/>
  <c r="B402" i="39"/>
  <c r="B402" i="44"/>
  <c r="B382" i="39"/>
  <c r="B382" i="44"/>
  <c r="B362" i="39"/>
  <c r="B362" i="44"/>
  <c r="B342" i="39"/>
  <c r="B342" i="44"/>
  <c r="B322" i="39"/>
  <c r="B322" i="44"/>
  <c r="B302" i="39"/>
  <c r="B302" i="44"/>
  <c r="B282" i="39"/>
  <c r="B282" i="44"/>
  <c r="B262" i="39"/>
  <c r="B262" i="44"/>
  <c r="B242" i="39"/>
  <c r="B242" i="44"/>
  <c r="B222" i="39"/>
  <c r="B222" i="44"/>
  <c r="B202" i="39"/>
  <c r="B202" i="44"/>
  <c r="B182" i="39"/>
  <c r="B182" i="44"/>
  <c r="B162" i="39"/>
  <c r="B162" i="44"/>
  <c r="B142" i="39"/>
  <c r="B142" i="44"/>
  <c r="B122" i="39"/>
  <c r="B122" i="44"/>
  <c r="B102" i="39"/>
  <c r="B102" i="44"/>
  <c r="B82" i="39"/>
  <c r="B82" i="44"/>
  <c r="B62" i="39"/>
  <c r="B62" i="44"/>
  <c r="B42" i="39"/>
  <c r="B42" i="44"/>
  <c r="B22" i="39"/>
  <c r="B22" i="44"/>
  <c r="C2942" i="39"/>
  <c r="C2815" i="44"/>
  <c r="C2922" i="39"/>
  <c r="C2795" i="44"/>
  <c r="C2782" i="39"/>
  <c r="C2416" i="44"/>
  <c r="C2762" i="39"/>
  <c r="C2396" i="44"/>
  <c r="C2742" i="39"/>
  <c r="C2376" i="44"/>
  <c r="C2722" i="39"/>
  <c r="C2356" i="44"/>
  <c r="C2702" i="39"/>
  <c r="C2336" i="44"/>
  <c r="C2682" i="39"/>
  <c r="C2316" i="44"/>
  <c r="C2662" i="39"/>
  <c r="C2296" i="44"/>
  <c r="C2642" i="39"/>
  <c r="C2276" i="44"/>
  <c r="C2622" i="39"/>
  <c r="C2256" i="44"/>
  <c r="C2602" i="39"/>
  <c r="C2236" i="44"/>
  <c r="C2582" i="39"/>
  <c r="C2216" i="44"/>
  <c r="C2562" i="39"/>
  <c r="C2196" i="44"/>
  <c r="C2542" i="39"/>
  <c r="C2176" i="44"/>
  <c r="C2522" i="39"/>
  <c r="C2156" i="44"/>
  <c r="C2502" i="39"/>
  <c r="C2136" i="44"/>
  <c r="C2482" i="39"/>
  <c r="C2116" i="44"/>
  <c r="C2462" i="39"/>
  <c r="C2096" i="44"/>
  <c r="C2442" i="39"/>
  <c r="C2076" i="44"/>
  <c r="C2422" i="39"/>
  <c r="C2056" i="44"/>
  <c r="C2402" i="39"/>
  <c r="C2036" i="44"/>
  <c r="C2382" i="39"/>
  <c r="C2016" i="44"/>
  <c r="C2362" i="39"/>
  <c r="C1996" i="44"/>
  <c r="C2342" i="39"/>
  <c r="C1976" i="44"/>
  <c r="C2322" i="39"/>
  <c r="C1956" i="44"/>
  <c r="C2302" i="39"/>
  <c r="C1936" i="44"/>
  <c r="C2282" i="39"/>
  <c r="C1916" i="44"/>
  <c r="C2262" i="39"/>
  <c r="C1896" i="44"/>
  <c r="C2242" i="39"/>
  <c r="C1876" i="44"/>
  <c r="C2222" i="39"/>
  <c r="C1856" i="44"/>
  <c r="C2202" i="39"/>
  <c r="C1836" i="44"/>
  <c r="C2182" i="39"/>
  <c r="C1816" i="44"/>
  <c r="C2162" i="39"/>
  <c r="C1796" i="44"/>
  <c r="C2142" i="39"/>
  <c r="C1776" i="44"/>
  <c r="C2122" i="39"/>
  <c r="C1756" i="44"/>
  <c r="C2102" i="39"/>
  <c r="C1736" i="44"/>
  <c r="C2082" i="39"/>
  <c r="C1716" i="44"/>
  <c r="C2062" i="39"/>
  <c r="C1696" i="44"/>
  <c r="C2042" i="39"/>
  <c r="C2769" i="44"/>
  <c r="C2022" i="39"/>
  <c r="C2749" i="44"/>
  <c r="C2002" i="39"/>
  <c r="C2729" i="44"/>
  <c r="C1982" i="39"/>
  <c r="C2709" i="44"/>
  <c r="C1962" i="39"/>
  <c r="C2689" i="44"/>
  <c r="C1942" i="39"/>
  <c r="C2669" i="44"/>
  <c r="C1922" i="39"/>
  <c r="C2649" i="44"/>
  <c r="C1902" i="39"/>
  <c r="C2629" i="44"/>
  <c r="C1882" i="39"/>
  <c r="C1672" i="44"/>
  <c r="C1862" i="39"/>
  <c r="C1652" i="44"/>
  <c r="C1842" i="39"/>
  <c r="C1632" i="44"/>
  <c r="C1822" i="39"/>
  <c r="C1612" i="44"/>
  <c r="C1802" i="39"/>
  <c r="C1592" i="44"/>
  <c r="C1782" i="39"/>
  <c r="C1572" i="44"/>
  <c r="C1762" i="39"/>
  <c r="C1552" i="44"/>
  <c r="C1742" i="39"/>
  <c r="C1532" i="44"/>
  <c r="C1722" i="39"/>
  <c r="C1512" i="44"/>
  <c r="C1682" i="39"/>
  <c r="F19" i="64" s="1"/>
  <c r="C2612" i="44"/>
  <c r="C1662" i="39"/>
  <c r="F19" i="60" s="1"/>
  <c r="C2592" i="44"/>
  <c r="C1642" i="39"/>
  <c r="C2572" i="44"/>
  <c r="C1622" i="39"/>
  <c r="F26" i="60" s="1"/>
  <c r="C2552" i="44"/>
  <c r="C1602" i="39"/>
  <c r="C2532" i="44"/>
  <c r="C1582" i="39"/>
  <c r="C2512" i="44"/>
  <c r="C1562" i="39"/>
  <c r="F25" i="60" s="1"/>
  <c r="C2492" i="44"/>
  <c r="C1542" i="39"/>
  <c r="C2472" i="44"/>
  <c r="C1522" i="39"/>
  <c r="F30" i="62" s="1"/>
  <c r="C2452" i="44"/>
  <c r="C1502" i="39"/>
  <c r="C2432" i="44"/>
  <c r="C1482" i="39"/>
  <c r="C1482" i="44"/>
  <c r="C1462" i="39"/>
  <c r="C1462" i="44"/>
  <c r="C1442" i="39"/>
  <c r="C1442" i="44"/>
  <c r="C1422" i="39"/>
  <c r="C1422" i="44"/>
  <c r="C1402" i="39"/>
  <c r="C1402" i="44"/>
  <c r="C1382" i="39"/>
  <c r="C1382" i="44"/>
  <c r="C1362" i="39"/>
  <c r="C1362" i="44"/>
  <c r="C1342" i="39"/>
  <c r="C1342" i="44"/>
  <c r="C1322" i="39"/>
  <c r="C1322" i="44"/>
  <c r="C1302" i="39"/>
  <c r="C1302" i="44"/>
  <c r="C1282" i="39"/>
  <c r="C1282" i="44"/>
  <c r="C1262" i="39"/>
  <c r="C1262" i="44"/>
  <c r="C1242" i="39"/>
  <c r="C1242" i="44"/>
  <c r="C1222" i="39"/>
  <c r="C1222" i="44"/>
  <c r="C1202" i="39"/>
  <c r="C1202" i="44"/>
  <c r="C1182" i="39"/>
  <c r="C1182" i="44"/>
  <c r="C1162" i="39"/>
  <c r="C1162" i="44"/>
  <c r="C1142" i="39"/>
  <c r="C1142" i="44"/>
  <c r="C1122" i="39"/>
  <c r="C1122" i="44"/>
  <c r="C1102" i="39"/>
  <c r="C1102" i="44"/>
  <c r="C1082" i="39"/>
  <c r="C1082" i="44"/>
  <c r="C1062" i="39"/>
  <c r="C1062" i="44"/>
  <c r="C1042" i="39"/>
  <c r="C1042" i="44"/>
  <c r="C1022" i="39"/>
  <c r="C1022" i="44"/>
  <c r="C1002" i="39"/>
  <c r="C1002" i="44"/>
  <c r="C982" i="39"/>
  <c r="C982" i="44"/>
  <c r="C962" i="39"/>
  <c r="C962" i="44"/>
  <c r="C942" i="39"/>
  <c r="C942" i="44"/>
  <c r="C922" i="39"/>
  <c r="C922" i="44"/>
  <c r="C902" i="39"/>
  <c r="C902" i="44"/>
  <c r="C882" i="39"/>
  <c r="C882" i="44"/>
  <c r="C862" i="39"/>
  <c r="C862" i="44"/>
  <c r="C842" i="39"/>
  <c r="C842" i="44"/>
  <c r="C822" i="39"/>
  <c r="C822" i="44"/>
  <c r="C802" i="39"/>
  <c r="C802" i="44"/>
  <c r="C782" i="39"/>
  <c r="C782" i="44"/>
  <c r="C762" i="39"/>
  <c r="C762" i="44"/>
  <c r="C742" i="39"/>
  <c r="C742" i="44"/>
  <c r="C722" i="39"/>
  <c r="C722" i="44"/>
  <c r="C702" i="39"/>
  <c r="C702" i="44"/>
  <c r="C682" i="39"/>
  <c r="C682" i="44"/>
  <c r="C662" i="39"/>
  <c r="C662" i="44"/>
  <c r="C642" i="39"/>
  <c r="C642" i="44"/>
  <c r="C622" i="39"/>
  <c r="C622" i="44"/>
  <c r="C602" i="39"/>
  <c r="C602" i="44"/>
  <c r="C582" i="39"/>
  <c r="C582" i="44"/>
  <c r="C562" i="39"/>
  <c r="C562" i="44"/>
  <c r="C542" i="39"/>
  <c r="C542" i="44"/>
  <c r="C522" i="39"/>
  <c r="F11" i="63" s="1"/>
  <c r="C522" i="44"/>
  <c r="C502" i="39"/>
  <c r="C502" i="44"/>
  <c r="C482" i="39"/>
  <c r="C482" i="44"/>
  <c r="C462" i="39"/>
  <c r="C462" i="44"/>
  <c r="C442" i="39"/>
  <c r="C442" i="44"/>
  <c r="C422" i="39"/>
  <c r="C422" i="44"/>
  <c r="C402" i="39"/>
  <c r="C402" i="44"/>
  <c r="C382" i="39"/>
  <c r="C382" i="44"/>
  <c r="C362" i="39"/>
  <c r="C362" i="44"/>
  <c r="C342" i="39"/>
  <c r="C342" i="44"/>
  <c r="C322" i="39"/>
  <c r="C322" i="44"/>
  <c r="C302" i="39"/>
  <c r="C302" i="44"/>
  <c r="C282" i="39"/>
  <c r="C282" i="44"/>
  <c r="C262" i="39"/>
  <c r="C262" i="44"/>
  <c r="C242" i="39"/>
  <c r="C242" i="44"/>
  <c r="C222" i="39"/>
  <c r="C222" i="44"/>
  <c r="C202" i="39"/>
  <c r="C202" i="44"/>
  <c r="C182" i="39"/>
  <c r="C182" i="44"/>
  <c r="C162" i="39"/>
  <c r="C162" i="44"/>
  <c r="C142" i="39"/>
  <c r="C142" i="44"/>
  <c r="C122" i="39"/>
  <c r="C122" i="44"/>
  <c r="C102" i="39"/>
  <c r="C102" i="44"/>
  <c r="C82" i="39"/>
  <c r="C82" i="44"/>
  <c r="C62" i="39"/>
  <c r="C62" i="44"/>
  <c r="C42" i="39"/>
  <c r="C42" i="44"/>
  <c r="C22" i="39"/>
  <c r="C22" i="44"/>
  <c r="B4" i="44"/>
  <c r="B2813" i="44"/>
  <c r="B2791" i="44"/>
  <c r="B2769" i="44"/>
  <c r="B2747" i="44"/>
  <c r="B2724" i="44"/>
  <c r="B2702" i="44"/>
  <c r="B2679" i="44"/>
  <c r="B2657" i="44"/>
  <c r="B2635" i="44"/>
  <c r="B2613" i="44"/>
  <c r="B2591" i="44"/>
  <c r="B2569" i="44"/>
  <c r="B2547" i="44"/>
  <c r="B2524" i="44"/>
  <c r="B2502" i="44"/>
  <c r="B2479" i="44"/>
  <c r="B2457" i="44"/>
  <c r="B2435" i="44"/>
  <c r="B2413" i="44"/>
  <c r="B2391" i="44"/>
  <c r="B2369" i="44"/>
  <c r="B2347" i="44"/>
  <c r="B2324" i="44"/>
  <c r="B2302" i="44"/>
  <c r="B2279" i="44"/>
  <c r="B2257" i="44"/>
  <c r="B2235" i="44"/>
  <c r="B2210" i="44"/>
  <c r="B2181" i="44"/>
  <c r="B2155" i="44"/>
  <c r="B2130" i="44"/>
  <c r="B2101" i="44"/>
  <c r="B2075" i="44"/>
  <c r="B2050" i="44"/>
  <c r="B2018" i="44"/>
  <c r="B1990" i="44"/>
  <c r="B1957" i="44"/>
  <c r="B1918" i="44"/>
  <c r="B1874" i="44"/>
  <c r="B1818" i="44"/>
  <c r="B1774" i="44"/>
  <c r="B1717" i="44"/>
  <c r="B1614" i="44"/>
  <c r="B2101" i="39"/>
  <c r="B1735" i="44"/>
  <c r="B2081" i="39"/>
  <c r="B1715" i="44"/>
  <c r="B2061" i="39"/>
  <c r="B1695" i="44"/>
  <c r="B1881" i="39"/>
  <c r="B1671" i="44"/>
  <c r="B1861" i="39"/>
  <c r="B1651" i="44"/>
  <c r="B1841" i="39"/>
  <c r="B1631" i="44"/>
  <c r="B1821" i="39"/>
  <c r="B1611" i="44"/>
  <c r="B1801" i="39"/>
  <c r="B1591" i="44"/>
  <c r="B1781" i="39"/>
  <c r="B1571" i="44"/>
  <c r="B1761" i="39"/>
  <c r="B1551" i="44"/>
  <c r="B1741" i="39"/>
  <c r="B1531" i="44"/>
  <c r="B1721" i="39"/>
  <c r="B1511" i="44"/>
  <c r="B1481" i="39"/>
  <c r="B1481" i="44"/>
  <c r="B1461" i="39"/>
  <c r="B1461" i="44"/>
  <c r="B1441" i="39"/>
  <c r="B1441" i="44"/>
  <c r="B1421" i="39"/>
  <c r="B1421" i="44"/>
  <c r="B1401" i="39"/>
  <c r="B1401" i="44"/>
  <c r="B1381" i="39"/>
  <c r="B1381" i="44"/>
  <c r="B1361" i="39"/>
  <c r="B1361" i="44"/>
  <c r="B1341" i="39"/>
  <c r="B1341" i="44"/>
  <c r="B1321" i="39"/>
  <c r="B1321" i="44"/>
  <c r="B1301" i="39"/>
  <c r="B1301" i="44"/>
  <c r="B1281" i="39"/>
  <c r="B1281" i="44"/>
  <c r="B1261" i="39"/>
  <c r="B1261" i="44"/>
  <c r="B1241" i="39"/>
  <c r="B1241" i="44"/>
  <c r="B1221" i="39"/>
  <c r="B1221" i="44"/>
  <c r="B1201" i="39"/>
  <c r="B1201" i="44"/>
  <c r="B1181" i="39"/>
  <c r="B1181" i="44"/>
  <c r="B1161" i="39"/>
  <c r="B1161" i="44"/>
  <c r="B1141" i="39"/>
  <c r="B1141" i="44"/>
  <c r="B1121" i="39"/>
  <c r="B1121" i="44"/>
  <c r="B1101" i="39"/>
  <c r="B1101" i="44"/>
  <c r="B1081" i="39"/>
  <c r="B1081" i="44"/>
  <c r="B1061" i="39"/>
  <c r="B1061" i="44"/>
  <c r="B1041" i="39"/>
  <c r="B1041" i="44"/>
  <c r="B1021" i="39"/>
  <c r="B1021" i="44"/>
  <c r="B1001" i="39"/>
  <c r="B1001" i="44"/>
  <c r="B981" i="39"/>
  <c r="B981" i="44"/>
  <c r="B961" i="39"/>
  <c r="B961" i="44"/>
  <c r="B941" i="39"/>
  <c r="B941" i="44"/>
  <c r="B921" i="39"/>
  <c r="B921" i="44"/>
  <c r="B901" i="39"/>
  <c r="B901" i="44"/>
  <c r="B881" i="39"/>
  <c r="B881" i="44"/>
  <c r="B861" i="39"/>
  <c r="B861" i="44"/>
  <c r="B841" i="39"/>
  <c r="B841" i="44"/>
  <c r="B821" i="39"/>
  <c r="B821" i="44"/>
  <c r="B801" i="39"/>
  <c r="B801" i="44"/>
  <c r="B781" i="39"/>
  <c r="B781" i="44"/>
  <c r="B761" i="39"/>
  <c r="B761" i="44"/>
  <c r="B741" i="39"/>
  <c r="B741" i="44"/>
  <c r="B721" i="39"/>
  <c r="B721" i="44"/>
  <c r="B701" i="39"/>
  <c r="B701" i="44"/>
  <c r="B681" i="39"/>
  <c r="B681" i="44"/>
  <c r="B661" i="39"/>
  <c r="B661" i="44"/>
  <c r="B641" i="39"/>
  <c r="B641" i="44"/>
  <c r="B621" i="39"/>
  <c r="B621" i="44"/>
  <c r="B601" i="39"/>
  <c r="B601" i="44"/>
  <c r="B581" i="39"/>
  <c r="B581" i="44"/>
  <c r="B561" i="39"/>
  <c r="B561" i="44"/>
  <c r="B541" i="39"/>
  <c r="B541" i="44"/>
  <c r="B521" i="39"/>
  <c r="B521" i="44"/>
  <c r="B501" i="39"/>
  <c r="B501" i="44"/>
  <c r="B481" i="39"/>
  <c r="B481" i="44"/>
  <c r="B461" i="39"/>
  <c r="B461" i="44"/>
  <c r="B441" i="39"/>
  <c r="B441" i="44"/>
  <c r="B421" i="39"/>
  <c r="B421" i="44"/>
  <c r="B401" i="39"/>
  <c r="B401" i="44"/>
  <c r="B381" i="39"/>
  <c r="B381" i="44"/>
  <c r="B361" i="39"/>
  <c r="B361" i="44"/>
  <c r="B341" i="39"/>
  <c r="B341" i="44"/>
  <c r="B321" i="39"/>
  <c r="B321" i="44"/>
  <c r="B301" i="39"/>
  <c r="B301" i="44"/>
  <c r="B281" i="39"/>
  <c r="B281" i="44"/>
  <c r="B261" i="39"/>
  <c r="B261" i="44"/>
  <c r="B241" i="39"/>
  <c r="B241" i="44"/>
  <c r="B221" i="39"/>
  <c r="B221" i="44"/>
  <c r="B201" i="39"/>
  <c r="B201" i="44"/>
  <c r="B181" i="39"/>
  <c r="B181" i="44"/>
  <c r="B161" i="39"/>
  <c r="B161" i="44"/>
  <c r="B141" i="39"/>
  <c r="B141" i="44"/>
  <c r="B121" i="39"/>
  <c r="B121" i="44"/>
  <c r="B101" i="39"/>
  <c r="B101" i="44"/>
  <c r="B81" i="39"/>
  <c r="B81" i="44"/>
  <c r="B61" i="39"/>
  <c r="B61" i="44"/>
  <c r="B41" i="39"/>
  <c r="B41" i="44"/>
  <c r="B21" i="39"/>
  <c r="B21" i="44"/>
  <c r="C2961" i="39"/>
  <c r="C2834" i="44"/>
  <c r="C2941" i="39"/>
  <c r="C2814" i="44"/>
  <c r="C2921" i="39"/>
  <c r="C2794" i="44"/>
  <c r="C2781" i="39"/>
  <c r="C2415" i="44"/>
  <c r="C2761" i="39"/>
  <c r="C2395" i="44"/>
  <c r="C2741" i="39"/>
  <c r="C2375" i="44"/>
  <c r="C2721" i="39"/>
  <c r="C2355" i="44"/>
  <c r="C2701" i="39"/>
  <c r="C2335" i="44"/>
  <c r="C2681" i="39"/>
  <c r="C2315" i="44"/>
  <c r="C2661" i="39"/>
  <c r="C2295" i="44"/>
  <c r="C2641" i="39"/>
  <c r="C2275" i="44"/>
  <c r="C2621" i="39"/>
  <c r="C2255" i="44"/>
  <c r="C2601" i="39"/>
  <c r="C2235" i="44"/>
  <c r="C2581" i="39"/>
  <c r="C2215" i="44"/>
  <c r="C2561" i="39"/>
  <c r="C2195" i="44"/>
  <c r="C2541" i="39"/>
  <c r="C2175" i="44"/>
  <c r="C2521" i="39"/>
  <c r="C2155" i="44"/>
  <c r="C2501" i="39"/>
  <c r="C2135" i="44"/>
  <c r="C2481" i="39"/>
  <c r="C2115" i="44"/>
  <c r="C2461" i="39"/>
  <c r="C2095" i="44"/>
  <c r="C2441" i="39"/>
  <c r="C2075" i="44"/>
  <c r="C2421" i="39"/>
  <c r="C2055" i="44"/>
  <c r="C2401" i="39"/>
  <c r="C2035" i="44"/>
  <c r="C2381" i="39"/>
  <c r="C2015" i="44"/>
  <c r="C2361" i="39"/>
  <c r="C1995" i="44"/>
  <c r="C2341" i="39"/>
  <c r="C1975" i="44"/>
  <c r="C2321" i="39"/>
  <c r="C1955" i="44"/>
  <c r="C2301" i="39"/>
  <c r="C1935" i="44"/>
  <c r="C2281" i="39"/>
  <c r="C1915" i="44"/>
  <c r="C2261" i="39"/>
  <c r="C1895" i="44"/>
  <c r="C2241" i="39"/>
  <c r="C1875" i="44"/>
  <c r="C2221" i="39"/>
  <c r="C1855" i="44"/>
  <c r="C2201" i="39"/>
  <c r="C1835" i="44"/>
  <c r="C2181" i="39"/>
  <c r="C1815" i="44"/>
  <c r="C2161" i="39"/>
  <c r="C1795" i="44"/>
  <c r="C2141" i="39"/>
  <c r="C1775" i="44"/>
  <c r="C2121" i="39"/>
  <c r="C1755" i="44"/>
  <c r="C2101" i="39"/>
  <c r="C1735" i="44"/>
  <c r="C2081" i="39"/>
  <c r="C1715" i="44"/>
  <c r="C2061" i="39"/>
  <c r="C1695" i="44"/>
  <c r="C2041" i="39"/>
  <c r="C2768" i="44"/>
  <c r="C2021" i="39"/>
  <c r="C2748" i="44"/>
  <c r="C2001" i="39"/>
  <c r="C2728" i="44"/>
  <c r="C1981" i="39"/>
  <c r="C2708" i="44"/>
  <c r="C1961" i="39"/>
  <c r="C2688" i="44"/>
  <c r="C1941" i="39"/>
  <c r="C2668" i="44"/>
  <c r="C1921" i="39"/>
  <c r="C2648" i="44"/>
  <c r="C1901" i="39"/>
  <c r="C2628" i="44"/>
  <c r="C1881" i="39"/>
  <c r="C1671" i="44"/>
  <c r="C1861" i="39"/>
  <c r="C1651" i="44"/>
  <c r="C1841" i="39"/>
  <c r="C1631" i="44"/>
  <c r="C1821" i="39"/>
  <c r="C1611" i="44"/>
  <c r="C1801" i="39"/>
  <c r="C1591" i="44"/>
  <c r="C1781" i="39"/>
  <c r="C1571" i="44"/>
  <c r="C1761" i="39"/>
  <c r="C1551" i="44"/>
  <c r="C1741" i="39"/>
  <c r="C1531" i="44"/>
  <c r="C1721" i="39"/>
  <c r="C1511" i="44"/>
  <c r="C1681" i="39"/>
  <c r="C2611" i="44"/>
  <c r="C1661" i="39"/>
  <c r="F17" i="60" s="1"/>
  <c r="C2591" i="44"/>
  <c r="C1641" i="39"/>
  <c r="C2571" i="44"/>
  <c r="C1621" i="39"/>
  <c r="F21" i="60" s="1"/>
  <c r="C2551" i="44"/>
  <c r="C1601" i="39"/>
  <c r="F23" i="62" s="1"/>
  <c r="C2531" i="44"/>
  <c r="C1581" i="39"/>
  <c r="F30" i="63" s="1"/>
  <c r="C2511" i="44"/>
  <c r="C1561" i="39"/>
  <c r="F20" i="60" s="1"/>
  <c r="C2491" i="44"/>
  <c r="C1541" i="39"/>
  <c r="C2471" i="44"/>
  <c r="C1521" i="39"/>
  <c r="F13" i="60" s="1"/>
  <c r="C2451" i="44"/>
  <c r="C1501" i="39"/>
  <c r="C2431" i="44"/>
  <c r="C1481" i="39"/>
  <c r="C1481" i="44"/>
  <c r="C1461" i="39"/>
  <c r="C1461" i="44"/>
  <c r="C1441" i="39"/>
  <c r="C1441" i="44"/>
  <c r="C1421" i="39"/>
  <c r="C1421" i="44"/>
  <c r="C1401" i="39"/>
  <c r="C1401" i="44"/>
  <c r="C1381" i="39"/>
  <c r="C1381" i="44"/>
  <c r="C1361" i="39"/>
  <c r="C1361" i="44"/>
  <c r="C1341" i="39"/>
  <c r="C1341" i="44"/>
  <c r="C1321" i="39"/>
  <c r="C1321" i="44"/>
  <c r="C1301" i="39"/>
  <c r="C1301" i="44"/>
  <c r="C1281" i="39"/>
  <c r="C1281" i="44"/>
  <c r="C1261" i="39"/>
  <c r="C1261" i="44"/>
  <c r="C1241" i="39"/>
  <c r="C1241" i="44"/>
  <c r="C1221" i="39"/>
  <c r="C1221" i="44"/>
  <c r="C1201" i="39"/>
  <c r="C1201" i="44"/>
  <c r="C1181" i="39"/>
  <c r="C1181" i="44"/>
  <c r="C1161" i="39"/>
  <c r="C1161" i="44"/>
  <c r="C1141" i="39"/>
  <c r="C1141" i="44"/>
  <c r="C1121" i="39"/>
  <c r="C1121" i="44"/>
  <c r="C1101" i="39"/>
  <c r="C1101" i="44"/>
  <c r="C1081" i="39"/>
  <c r="C1081" i="44"/>
  <c r="C1061" i="39"/>
  <c r="C1061" i="44"/>
  <c r="C1041" i="39"/>
  <c r="C1041" i="44"/>
  <c r="C1021" i="39"/>
  <c r="C1021" i="44"/>
  <c r="C1001" i="39"/>
  <c r="C1001" i="44"/>
  <c r="C981" i="39"/>
  <c r="C981" i="44"/>
  <c r="C961" i="39"/>
  <c r="C961" i="44"/>
  <c r="C941" i="39"/>
  <c r="C941" i="44"/>
  <c r="C921" i="39"/>
  <c r="C921" i="44"/>
  <c r="C901" i="39"/>
  <c r="C901" i="44"/>
  <c r="C881" i="39"/>
  <c r="C881" i="44"/>
  <c r="C861" i="39"/>
  <c r="C861" i="44"/>
  <c r="C841" i="39"/>
  <c r="C841" i="44"/>
  <c r="C821" i="39"/>
  <c r="C821" i="44"/>
  <c r="C801" i="39"/>
  <c r="C801" i="44"/>
  <c r="C781" i="39"/>
  <c r="C781" i="44"/>
  <c r="C761" i="39"/>
  <c r="C761" i="44"/>
  <c r="C741" i="39"/>
  <c r="C741" i="44"/>
  <c r="C721" i="39"/>
  <c r="C721" i="44"/>
  <c r="C701" i="39"/>
  <c r="C701" i="44"/>
  <c r="C681" i="39"/>
  <c r="C681" i="44"/>
  <c r="C661" i="39"/>
  <c r="C661" i="44"/>
  <c r="C641" i="39"/>
  <c r="C641" i="44"/>
  <c r="C621" i="39"/>
  <c r="C621" i="44"/>
  <c r="C601" i="39"/>
  <c r="C601" i="44"/>
  <c r="C581" i="39"/>
  <c r="C581" i="44"/>
  <c r="C561" i="39"/>
  <c r="C561" i="44"/>
  <c r="C541" i="39"/>
  <c r="C541" i="44"/>
  <c r="C521" i="39"/>
  <c r="C521" i="44"/>
  <c r="C501" i="39"/>
  <c r="F17" i="63" s="1"/>
  <c r="C501" i="44"/>
  <c r="C481" i="39"/>
  <c r="C481" i="44"/>
  <c r="C461" i="39"/>
  <c r="C461" i="44"/>
  <c r="C441" i="39"/>
  <c r="C441" i="44"/>
  <c r="C421" i="39"/>
  <c r="C421" i="44"/>
  <c r="C401" i="39"/>
  <c r="C401" i="44"/>
  <c r="C381" i="39"/>
  <c r="C381" i="44"/>
  <c r="C361" i="39"/>
  <c r="C361" i="44"/>
  <c r="C341" i="39"/>
  <c r="C341" i="44"/>
  <c r="C321" i="39"/>
  <c r="C321" i="44"/>
  <c r="C301" i="39"/>
  <c r="C301" i="44"/>
  <c r="C281" i="39"/>
  <c r="C281" i="44"/>
  <c r="C261" i="39"/>
  <c r="C261" i="44"/>
  <c r="C241" i="39"/>
  <c r="C241" i="44"/>
  <c r="C221" i="39"/>
  <c r="C221" i="44"/>
  <c r="C201" i="39"/>
  <c r="C201" i="44"/>
  <c r="C181" i="39"/>
  <c r="C181" i="44"/>
  <c r="C161" i="39"/>
  <c r="C161" i="44"/>
  <c r="C141" i="39"/>
  <c r="C141" i="44"/>
  <c r="C121" i="39"/>
  <c r="C121" i="44"/>
  <c r="C101" i="39"/>
  <c r="C101" i="44"/>
  <c r="C81" i="39"/>
  <c r="C81" i="44"/>
  <c r="C61" i="39"/>
  <c r="C61" i="44"/>
  <c r="C41" i="39"/>
  <c r="C41" i="44"/>
  <c r="C21" i="39"/>
  <c r="C21" i="44"/>
  <c r="B2834" i="44"/>
  <c r="B2812" i="44"/>
  <c r="B2790" i="44"/>
  <c r="B2768" i="44"/>
  <c r="B2745" i="44"/>
  <c r="B2723" i="44"/>
  <c r="B2701" i="44"/>
  <c r="B2678" i="44"/>
  <c r="B2656" i="44"/>
  <c r="B2634" i="44"/>
  <c r="B2612" i="44"/>
  <c r="B2590" i="44"/>
  <c r="B2568" i="44"/>
  <c r="B2545" i="44"/>
  <c r="B2523" i="44"/>
  <c r="B2501" i="44"/>
  <c r="B2478" i="44"/>
  <c r="B2456" i="44"/>
  <c r="B2434" i="44"/>
  <c r="B2412" i="44"/>
  <c r="B2390" i="44"/>
  <c r="B2368" i="44"/>
  <c r="B2345" i="44"/>
  <c r="B2323" i="44"/>
  <c r="B2301" i="44"/>
  <c r="B2278" i="44"/>
  <c r="B2256" i="44"/>
  <c r="B2234" i="44"/>
  <c r="B2208" i="44"/>
  <c r="B2179" i="44"/>
  <c r="B2154" i="44"/>
  <c r="B2128" i="44"/>
  <c r="B2099" i="44"/>
  <c r="B2074" i="44"/>
  <c r="B2048" i="44"/>
  <c r="B2017" i="44"/>
  <c r="B1988" i="44"/>
  <c r="B1956" i="44"/>
  <c r="B1917" i="44"/>
  <c r="B1873" i="44"/>
  <c r="B1817" i="44"/>
  <c r="B1773" i="44"/>
  <c r="B1716" i="44"/>
  <c r="B1613" i="44"/>
  <c r="C33" i="39"/>
  <c r="C33" i="44"/>
  <c r="C13" i="39"/>
  <c r="C13" i="44"/>
  <c r="C27" i="39"/>
  <c r="C27" i="44"/>
  <c r="C7" i="39"/>
  <c r="C7" i="44"/>
  <c r="M11" i="40"/>
  <c r="G51" i="7" l="1"/>
  <c r="C46" i="7"/>
  <c r="C17" i="21"/>
  <c r="C36" i="21" s="1"/>
  <c r="C37" i="21" s="1"/>
  <c r="B43" i="10" s="1"/>
  <c r="H29" i="43"/>
  <c r="I27" i="43"/>
  <c r="J28" i="43"/>
  <c r="I28" i="43"/>
  <c r="H28" i="43"/>
  <c r="I30" i="43"/>
  <c r="C53" i="14"/>
  <c r="C54" i="14" s="1"/>
  <c r="C244" i="14" s="1"/>
  <c r="I173" i="14"/>
  <c r="I174" i="14" s="1"/>
  <c r="C260" i="14" s="1"/>
  <c r="E260" i="14" s="1"/>
  <c r="C173" i="14"/>
  <c r="C174" i="14" s="1"/>
  <c r="C250" i="14" s="1"/>
  <c r="E250" i="14" s="1"/>
  <c r="I153" i="14"/>
  <c r="I154" i="14" s="1"/>
  <c r="C259" i="14" s="1"/>
  <c r="E259" i="14" s="1"/>
  <c r="C153" i="14"/>
  <c r="C249" i="14" s="1"/>
  <c r="E249" i="14" s="1"/>
  <c r="I133" i="14"/>
  <c r="I134" i="14" s="1"/>
  <c r="C258" i="14" s="1"/>
  <c r="E258" i="14" s="1"/>
  <c r="C133" i="14"/>
  <c r="C134" i="14" s="1"/>
  <c r="C248" i="14" s="1"/>
  <c r="E248" i="14" s="1"/>
  <c r="I113" i="14"/>
  <c r="I114" i="14" s="1"/>
  <c r="C257" i="14" s="1"/>
  <c r="E257" i="14" s="1"/>
  <c r="C113" i="14"/>
  <c r="C114" i="14" s="1"/>
  <c r="C247" i="14" s="1"/>
  <c r="E247" i="14" s="1"/>
  <c r="I93" i="14"/>
  <c r="I94" i="14" s="1"/>
  <c r="C93" i="14"/>
  <c r="C94" i="14" s="1"/>
  <c r="C246" i="14" s="1"/>
  <c r="E246" i="14" s="1"/>
  <c r="I73" i="14"/>
  <c r="I74" i="14" s="1"/>
  <c r="C255" i="14" s="1"/>
  <c r="E255" i="14" s="1"/>
  <c r="I193" i="14"/>
  <c r="I194" i="14" s="1"/>
  <c r="C261" i="14" s="1"/>
  <c r="E261" i="14" s="1"/>
  <c r="C193" i="14"/>
  <c r="C194" i="14" s="1"/>
  <c r="C251" i="14" s="1"/>
  <c r="E251" i="14" s="1"/>
  <c r="C73" i="14"/>
  <c r="C74" i="14" s="1"/>
  <c r="I53" i="14"/>
  <c r="I54" i="14" s="1"/>
  <c r="C254" i="14" s="1"/>
  <c r="E254" i="14" s="1"/>
  <c r="D32" i="3"/>
  <c r="E32" i="3" s="1"/>
  <c r="H32" i="3" s="1"/>
  <c r="I32" i="3" s="1"/>
  <c r="I233" i="14"/>
  <c r="I234" i="14" s="1"/>
  <c r="C263" i="14" s="1"/>
  <c r="E263" i="14" s="1"/>
  <c r="C233" i="14"/>
  <c r="C234" i="14" s="1"/>
  <c r="C253" i="14" s="1"/>
  <c r="E253" i="14" s="1"/>
  <c r="I213" i="14"/>
  <c r="I214" i="14" s="1"/>
  <c r="C262" i="14" s="1"/>
  <c r="E262" i="14" s="1"/>
  <c r="C213" i="14"/>
  <c r="C214" i="14" s="1"/>
  <c r="C252" i="14" s="1"/>
  <c r="E252" i="14" s="1"/>
  <c r="D27" i="3"/>
  <c r="C11" i="19"/>
  <c r="C14" i="19" s="1"/>
  <c r="C24" i="19" s="1"/>
  <c r="C26" i="19" s="1"/>
  <c r="C27" i="19" s="1"/>
  <c r="C28" i="19" s="1"/>
  <c r="B39" i="8" s="1"/>
  <c r="B34" i="8" s="1"/>
  <c r="K28" i="43"/>
  <c r="K30" i="43"/>
  <c r="H30" i="43"/>
  <c r="C18" i="22"/>
  <c r="C32" i="22" s="1"/>
  <c r="C33" i="22" s="1"/>
  <c r="H12" i="67"/>
  <c r="M12" i="67"/>
  <c r="J27" i="43"/>
  <c r="H27" i="43"/>
  <c r="I32" i="43"/>
  <c r="K27" i="43"/>
  <c r="C36" i="57"/>
  <c r="F13" i="61"/>
  <c r="F13" i="62"/>
  <c r="F9" i="62"/>
  <c r="F8" i="61"/>
  <c r="F10" i="61"/>
  <c r="F11" i="62"/>
  <c r="F14" i="61"/>
  <c r="F14" i="62"/>
  <c r="F9" i="65"/>
  <c r="F10" i="64"/>
  <c r="F18" i="61"/>
  <c r="F15" i="62"/>
  <c r="F37" i="62"/>
  <c r="F28" i="61"/>
  <c r="F7" i="62"/>
  <c r="F6" i="61"/>
  <c r="F17" i="64"/>
  <c r="F19" i="65"/>
  <c r="F33" i="64"/>
  <c r="F32" i="65"/>
  <c r="F15" i="64"/>
  <c r="F13" i="65"/>
  <c r="F32" i="62"/>
  <c r="F23" i="61"/>
  <c r="F35" i="62"/>
  <c r="F27" i="61"/>
  <c r="F12" i="61"/>
  <c r="F12" i="62"/>
  <c r="F30" i="65"/>
  <c r="F22" i="64"/>
  <c r="F12" i="64"/>
  <c r="F10" i="65"/>
  <c r="F16" i="62"/>
  <c r="F19" i="61"/>
  <c r="F34" i="62"/>
  <c r="F26" i="61"/>
  <c r="F9" i="61"/>
  <c r="F10" i="62"/>
  <c r="F16" i="64"/>
  <c r="F18" i="65"/>
  <c r="F13" i="64"/>
  <c r="F11" i="65"/>
  <c r="F6" i="60"/>
  <c r="F20" i="62"/>
  <c r="F14" i="64"/>
  <c r="F12" i="65"/>
  <c r="F5" i="62"/>
  <c r="F5" i="61"/>
  <c r="F33" i="62"/>
  <c r="F25" i="61"/>
  <c r="F8" i="62"/>
  <c r="F7" i="61"/>
  <c r="F20" i="64"/>
  <c r="F27" i="65"/>
  <c r="C32" i="57"/>
  <c r="C62" i="57"/>
  <c r="E62" i="57" s="1"/>
  <c r="G62" i="57" s="1"/>
  <c r="E27" i="56" s="1"/>
  <c r="C69" i="57"/>
  <c r="E69" i="57" s="1"/>
  <c r="G69" i="57" s="1"/>
  <c r="E34" i="56" s="1"/>
  <c r="D30" i="56"/>
  <c r="D28" i="56"/>
  <c r="C49" i="57"/>
  <c r="E49" i="57" s="1"/>
  <c r="C42" i="57"/>
  <c r="E42" i="57" s="1"/>
  <c r="C35" i="57"/>
  <c r="E35" i="57" s="1"/>
  <c r="C76" i="57"/>
  <c r="E76" i="57" s="1"/>
  <c r="G76" i="57" s="1"/>
  <c r="E41" i="56" s="1"/>
  <c r="C63" i="57"/>
  <c r="E63" i="57" s="1"/>
  <c r="G63" i="57" s="1"/>
  <c r="E28" i="56" s="1"/>
  <c r="C70" i="57"/>
  <c r="E70" i="57" s="1"/>
  <c r="G70" i="57" s="1"/>
  <c r="E35" i="56" s="1"/>
  <c r="C60" i="57"/>
  <c r="E60" i="57" s="1"/>
  <c r="G60" i="57" s="1"/>
  <c r="E25" i="56" s="1"/>
  <c r="D33" i="56"/>
  <c r="D32" i="56"/>
  <c r="D42" i="56"/>
  <c r="C41" i="57"/>
  <c r="E41" i="57" s="1"/>
  <c r="D23" i="56"/>
  <c r="D36" i="56"/>
  <c r="C64" i="57"/>
  <c r="E64" i="57" s="1"/>
  <c r="G64" i="57" s="1"/>
  <c r="E29" i="56" s="1"/>
  <c r="C34" i="57"/>
  <c r="E34" i="57" s="1"/>
  <c r="C77" i="57"/>
  <c r="E77" i="57" s="1"/>
  <c r="G77" i="57" s="1"/>
  <c r="E42" i="56" s="1"/>
  <c r="C40" i="57"/>
  <c r="E40" i="57" s="1"/>
  <c r="C71" i="57"/>
  <c r="E71" i="57" s="1"/>
  <c r="G71" i="57" s="1"/>
  <c r="E36" i="56" s="1"/>
  <c r="C65" i="57"/>
  <c r="E65" i="57" s="1"/>
  <c r="G65" i="57" s="1"/>
  <c r="E30" i="56" s="1"/>
  <c r="D29" i="56"/>
  <c r="D37" i="56"/>
  <c r="D31" i="56"/>
  <c r="D41" i="56"/>
  <c r="C58" i="57"/>
  <c r="E58" i="57" s="1"/>
  <c r="G58" i="57" s="1"/>
  <c r="E23" i="56" s="1"/>
  <c r="C39" i="57"/>
  <c r="E39" i="57" s="1"/>
  <c r="C33" i="57"/>
  <c r="E33" i="57" s="1"/>
  <c r="D27" i="56"/>
  <c r="C66" i="57"/>
  <c r="E66" i="57" s="1"/>
  <c r="G66" i="57" s="1"/>
  <c r="E31" i="56" s="1"/>
  <c r="C72" i="57"/>
  <c r="E72" i="57" s="1"/>
  <c r="G72" i="57" s="1"/>
  <c r="E37" i="56" s="1"/>
  <c r="D38" i="56"/>
  <c r="D26" i="56"/>
  <c r="C73" i="57"/>
  <c r="E73" i="57" s="1"/>
  <c r="G73" i="57" s="1"/>
  <c r="E38" i="56" s="1"/>
  <c r="C50" i="57"/>
  <c r="E50" i="57" s="1"/>
  <c r="C38" i="57"/>
  <c r="E38" i="57" s="1"/>
  <c r="D40" i="56"/>
  <c r="C48" i="57"/>
  <c r="E48" i="57" s="1"/>
  <c r="C67" i="57"/>
  <c r="E67" i="57" s="1"/>
  <c r="G67" i="57" s="1"/>
  <c r="E32" i="56" s="1"/>
  <c r="C51" i="57"/>
  <c r="E51" i="57" s="1"/>
  <c r="D35" i="56"/>
  <c r="C44" i="57"/>
  <c r="E44" i="57" s="1"/>
  <c r="C74" i="57"/>
  <c r="E74" i="57" s="1"/>
  <c r="G74" i="57" s="1"/>
  <c r="E39" i="56" s="1"/>
  <c r="C47" i="57"/>
  <c r="E47" i="57" s="1"/>
  <c r="D25" i="56"/>
  <c r="D34" i="56"/>
  <c r="C61" i="57"/>
  <c r="E61" i="57" s="1"/>
  <c r="G61" i="57" s="1"/>
  <c r="E26" i="56" s="1"/>
  <c r="C37" i="57"/>
  <c r="E37" i="57" s="1"/>
  <c r="D39" i="56"/>
  <c r="C46" i="57"/>
  <c r="E46" i="57" s="1"/>
  <c r="C45" i="57"/>
  <c r="E45" i="57" s="1"/>
  <c r="C68" i="57"/>
  <c r="E68" i="57" s="1"/>
  <c r="G68" i="57" s="1"/>
  <c r="E33" i="56" s="1"/>
  <c r="C75" i="57"/>
  <c r="E75" i="57" s="1"/>
  <c r="G75" i="57" s="1"/>
  <c r="E40" i="56" s="1"/>
  <c r="C59" i="57"/>
  <c r="E59" i="57" s="1"/>
  <c r="G59" i="57" s="1"/>
  <c r="E24" i="56" s="1"/>
  <c r="C43" i="57"/>
  <c r="E43" i="57" s="1"/>
  <c r="E36" i="57"/>
  <c r="D24" i="56"/>
  <c r="D45" i="3"/>
  <c r="E45" i="3" s="1"/>
  <c r="H45" i="3" s="1"/>
  <c r="D22" i="43"/>
  <c r="D40" i="3"/>
  <c r="E40" i="3" s="1"/>
  <c r="H40" i="3" s="1"/>
  <c r="D18" i="43"/>
  <c r="D44" i="3"/>
  <c r="E44" i="3" s="1"/>
  <c r="H44" i="3" s="1"/>
  <c r="D17" i="43"/>
  <c r="D34" i="3"/>
  <c r="E34" i="3" s="1"/>
  <c r="H34" i="3" s="1"/>
  <c r="D46" i="3"/>
  <c r="E46" i="3" s="1"/>
  <c r="H46" i="3" s="1"/>
  <c r="D47" i="3"/>
  <c r="E47" i="3" s="1"/>
  <c r="H47" i="3" s="1"/>
  <c r="D50" i="3"/>
  <c r="E50" i="3" s="1"/>
  <c r="H50" i="3" s="1"/>
  <c r="D19" i="43"/>
  <c r="D49" i="3"/>
  <c r="E49" i="3" s="1"/>
  <c r="H49" i="3" s="1"/>
  <c r="D48" i="3"/>
  <c r="E48" i="3" s="1"/>
  <c r="H48" i="3" s="1"/>
  <c r="D20" i="43"/>
  <c r="D21" i="43"/>
  <c r="D51" i="3"/>
  <c r="E51" i="3" s="1"/>
  <c r="H51" i="3" s="1"/>
  <c r="D33" i="3"/>
  <c r="D36" i="3"/>
  <c r="E36" i="3" s="1"/>
  <c r="H36" i="3" s="1"/>
  <c r="D37" i="3"/>
  <c r="E37" i="3" s="1"/>
  <c r="H37" i="3" s="1"/>
  <c r="D35" i="3"/>
  <c r="E35" i="3" s="1"/>
  <c r="H35" i="3" s="1"/>
  <c r="D39" i="3"/>
  <c r="E39" i="3" s="1"/>
  <c r="H39" i="3" s="1"/>
  <c r="D38" i="3"/>
  <c r="E38" i="3" s="1"/>
  <c r="H38" i="3" s="1"/>
  <c r="D41" i="3"/>
  <c r="E41" i="3" s="1"/>
  <c r="H41" i="3" s="1"/>
  <c r="D42" i="3"/>
  <c r="E42" i="3" s="1"/>
  <c r="H42" i="3" s="1"/>
  <c r="D43" i="3"/>
  <c r="E43" i="3" s="1"/>
  <c r="H43" i="3" s="1"/>
  <c r="Q2983" i="40"/>
  <c r="P2983" i="40"/>
  <c r="O2983" i="40"/>
  <c r="N2983" i="40"/>
  <c r="Q2982" i="40"/>
  <c r="P2982" i="40"/>
  <c r="O2982" i="40"/>
  <c r="N2982" i="40"/>
  <c r="Q2981" i="40"/>
  <c r="P2981" i="40"/>
  <c r="O2981" i="40"/>
  <c r="N2981" i="40"/>
  <c r="Q2980" i="40"/>
  <c r="P2980" i="40"/>
  <c r="O2980" i="40"/>
  <c r="N2980" i="40"/>
  <c r="Q2979" i="40"/>
  <c r="P2979" i="40"/>
  <c r="O2979" i="40"/>
  <c r="N2979" i="40"/>
  <c r="Q2978" i="40"/>
  <c r="P2978" i="40"/>
  <c r="O2978" i="40"/>
  <c r="N2978" i="40"/>
  <c r="Q2977" i="40"/>
  <c r="P2977" i="40"/>
  <c r="O2977" i="40"/>
  <c r="N2977" i="40"/>
  <c r="Q2976" i="40"/>
  <c r="P2976" i="40"/>
  <c r="O2976" i="40"/>
  <c r="N2976" i="40"/>
  <c r="Q2975" i="40"/>
  <c r="P2975" i="40"/>
  <c r="O2975" i="40"/>
  <c r="N2975" i="40"/>
  <c r="Q2974" i="40"/>
  <c r="P2974" i="40"/>
  <c r="O2974" i="40"/>
  <c r="N2974" i="40"/>
  <c r="Q2973" i="40"/>
  <c r="P2973" i="40"/>
  <c r="O2973" i="40"/>
  <c r="N2973" i="40"/>
  <c r="Q2972" i="40"/>
  <c r="P2972" i="40"/>
  <c r="O2972" i="40"/>
  <c r="N2972" i="40"/>
  <c r="Q2971" i="40"/>
  <c r="P2971" i="40"/>
  <c r="O2971" i="40"/>
  <c r="N2971" i="40"/>
  <c r="Q2970" i="40"/>
  <c r="P2970" i="40"/>
  <c r="O2970" i="40"/>
  <c r="N2970" i="40"/>
  <c r="Q2969" i="40"/>
  <c r="P2969" i="40"/>
  <c r="O2969" i="40"/>
  <c r="N2969" i="40"/>
  <c r="Q2968" i="40"/>
  <c r="P2968" i="40"/>
  <c r="O2968" i="40"/>
  <c r="N2968" i="40"/>
  <c r="Q2967" i="40"/>
  <c r="P2967" i="40"/>
  <c r="O2967" i="40"/>
  <c r="N2967" i="40"/>
  <c r="Q2966" i="40"/>
  <c r="P2966" i="40"/>
  <c r="O2966" i="40"/>
  <c r="N2966" i="40"/>
  <c r="Q2965" i="40"/>
  <c r="P2965" i="40"/>
  <c r="O2965" i="40"/>
  <c r="N2965" i="40"/>
  <c r="Q2964" i="40"/>
  <c r="P2964" i="40"/>
  <c r="O2964" i="40"/>
  <c r="N2964" i="40"/>
  <c r="Q2963" i="40"/>
  <c r="P2963" i="40"/>
  <c r="O2963" i="40"/>
  <c r="N2963" i="40"/>
  <c r="Q2962" i="40"/>
  <c r="P2962" i="40"/>
  <c r="O2962" i="40"/>
  <c r="N2962" i="40"/>
  <c r="Q2961" i="40"/>
  <c r="P2961" i="40"/>
  <c r="O2961" i="40"/>
  <c r="N2961" i="40"/>
  <c r="Q2960" i="40"/>
  <c r="P2960" i="40"/>
  <c r="O2960" i="40"/>
  <c r="N2960" i="40"/>
  <c r="Q2959" i="40"/>
  <c r="P2959" i="40"/>
  <c r="O2959" i="40"/>
  <c r="N2959" i="40"/>
  <c r="Q2958" i="40"/>
  <c r="P2958" i="40"/>
  <c r="O2958" i="40"/>
  <c r="N2958" i="40"/>
  <c r="Q2957" i="40"/>
  <c r="P2957" i="40"/>
  <c r="O2957" i="40"/>
  <c r="N2957" i="40"/>
  <c r="Q2956" i="40"/>
  <c r="P2956" i="40"/>
  <c r="O2956" i="40"/>
  <c r="N2956" i="40"/>
  <c r="Q2955" i="40"/>
  <c r="P2955" i="40"/>
  <c r="O2955" i="40"/>
  <c r="N2955" i="40"/>
  <c r="Q2954" i="40"/>
  <c r="P2954" i="40"/>
  <c r="O2954" i="40"/>
  <c r="N2954" i="40"/>
  <c r="Q2953" i="40"/>
  <c r="P2953" i="40"/>
  <c r="O2953" i="40"/>
  <c r="N2953" i="40"/>
  <c r="Q2952" i="40"/>
  <c r="P2952" i="40"/>
  <c r="O2952" i="40"/>
  <c r="N2952" i="40"/>
  <c r="Q2951" i="40"/>
  <c r="P2951" i="40"/>
  <c r="O2951" i="40"/>
  <c r="N2951" i="40"/>
  <c r="Q2950" i="40"/>
  <c r="P2950" i="40"/>
  <c r="O2950" i="40"/>
  <c r="N2950" i="40"/>
  <c r="Q2949" i="40"/>
  <c r="P2949" i="40"/>
  <c r="O2949" i="40"/>
  <c r="N2949" i="40"/>
  <c r="Q2948" i="40"/>
  <c r="P2948" i="40"/>
  <c r="O2948" i="40"/>
  <c r="N2948" i="40"/>
  <c r="Q2947" i="40"/>
  <c r="P2947" i="40"/>
  <c r="O2947" i="40"/>
  <c r="N2947" i="40"/>
  <c r="Q2946" i="40"/>
  <c r="P2946" i="40"/>
  <c r="O2946" i="40"/>
  <c r="N2946" i="40"/>
  <c r="Q2945" i="40"/>
  <c r="P2945" i="40"/>
  <c r="O2945" i="40"/>
  <c r="N2945" i="40"/>
  <c r="Q2944" i="40"/>
  <c r="P2944" i="40"/>
  <c r="O2944" i="40"/>
  <c r="N2944" i="40"/>
  <c r="Q2943" i="40"/>
  <c r="P2943" i="40"/>
  <c r="O2943" i="40"/>
  <c r="N2943" i="40"/>
  <c r="Q2942" i="40"/>
  <c r="P2942" i="40"/>
  <c r="O2942" i="40"/>
  <c r="N2942" i="40"/>
  <c r="Q2941" i="40"/>
  <c r="P2941" i="40"/>
  <c r="O2941" i="40"/>
  <c r="N2941" i="40"/>
  <c r="Q2940" i="40"/>
  <c r="P2940" i="40"/>
  <c r="O2940" i="40"/>
  <c r="N2940" i="40"/>
  <c r="Q2939" i="40"/>
  <c r="P2939" i="40"/>
  <c r="O2939" i="40"/>
  <c r="N2939" i="40"/>
  <c r="Q2938" i="40"/>
  <c r="P2938" i="40"/>
  <c r="O2938" i="40"/>
  <c r="N2938" i="40"/>
  <c r="Q2937" i="40"/>
  <c r="P2937" i="40"/>
  <c r="O2937" i="40"/>
  <c r="N2937" i="40"/>
  <c r="Q2936" i="40"/>
  <c r="P2936" i="40"/>
  <c r="O2936" i="40"/>
  <c r="N2936" i="40"/>
  <c r="Q2935" i="40"/>
  <c r="P2935" i="40"/>
  <c r="O2935" i="40"/>
  <c r="N2935" i="40"/>
  <c r="Q2934" i="40"/>
  <c r="P2934" i="40"/>
  <c r="O2934" i="40"/>
  <c r="N2934" i="40"/>
  <c r="Q2933" i="40"/>
  <c r="P2933" i="40"/>
  <c r="O2933" i="40"/>
  <c r="N2933" i="40"/>
  <c r="Q2932" i="40"/>
  <c r="P2932" i="40"/>
  <c r="O2932" i="40"/>
  <c r="N2932" i="40"/>
  <c r="Q2931" i="40"/>
  <c r="P2931" i="40"/>
  <c r="O2931" i="40"/>
  <c r="N2931" i="40"/>
  <c r="Q2930" i="40"/>
  <c r="P2930" i="40"/>
  <c r="O2930" i="40"/>
  <c r="N2930" i="40"/>
  <c r="Q2929" i="40"/>
  <c r="P2929" i="40"/>
  <c r="O2929" i="40"/>
  <c r="N2929" i="40"/>
  <c r="Q2928" i="40"/>
  <c r="P2928" i="40"/>
  <c r="O2928" i="40"/>
  <c r="N2928" i="40"/>
  <c r="Q2927" i="40"/>
  <c r="P2927" i="40"/>
  <c r="O2927" i="40"/>
  <c r="N2927" i="40"/>
  <c r="Q2926" i="40"/>
  <c r="P2926" i="40"/>
  <c r="O2926" i="40"/>
  <c r="N2926" i="40"/>
  <c r="Q2925" i="40"/>
  <c r="P2925" i="40"/>
  <c r="O2925" i="40"/>
  <c r="N2925" i="40"/>
  <c r="Q2924" i="40"/>
  <c r="P2924" i="40"/>
  <c r="O2924" i="40"/>
  <c r="N2924" i="40"/>
  <c r="Q2923" i="40"/>
  <c r="P2923" i="40"/>
  <c r="O2923" i="40"/>
  <c r="N2923" i="40"/>
  <c r="Q2922" i="40"/>
  <c r="P2922" i="40"/>
  <c r="O2922" i="40"/>
  <c r="N2922" i="40"/>
  <c r="Q2921" i="40"/>
  <c r="P2921" i="40"/>
  <c r="O2921" i="40"/>
  <c r="N2921" i="40"/>
  <c r="Q2920" i="40"/>
  <c r="P2920" i="40"/>
  <c r="O2920" i="40"/>
  <c r="N2920" i="40"/>
  <c r="Q2919" i="40"/>
  <c r="P2919" i="40"/>
  <c r="O2919" i="40"/>
  <c r="N2919" i="40"/>
  <c r="Q2918" i="40"/>
  <c r="P2918" i="40"/>
  <c r="O2918" i="40"/>
  <c r="N2918" i="40"/>
  <c r="Q2917" i="40"/>
  <c r="P2917" i="40"/>
  <c r="O2917" i="40"/>
  <c r="N2917" i="40"/>
  <c r="Q2916" i="40"/>
  <c r="P2916" i="40"/>
  <c r="O2916" i="40"/>
  <c r="N2916" i="40"/>
  <c r="Q2915" i="40"/>
  <c r="P2915" i="40"/>
  <c r="O2915" i="40"/>
  <c r="N2915" i="40"/>
  <c r="Q2914" i="40"/>
  <c r="P2914" i="40"/>
  <c r="O2914" i="40"/>
  <c r="N2914" i="40"/>
  <c r="Q2913" i="40"/>
  <c r="P2913" i="40"/>
  <c r="O2913" i="40"/>
  <c r="N2913" i="40"/>
  <c r="Q2912" i="40"/>
  <c r="P2912" i="40"/>
  <c r="O2912" i="40"/>
  <c r="N2912" i="40"/>
  <c r="Q2911" i="40"/>
  <c r="P2911" i="40"/>
  <c r="O2911" i="40"/>
  <c r="N2911" i="40"/>
  <c r="Q2910" i="40"/>
  <c r="P2910" i="40"/>
  <c r="O2910" i="40"/>
  <c r="N2910" i="40"/>
  <c r="Q2909" i="40"/>
  <c r="P2909" i="40"/>
  <c r="O2909" i="40"/>
  <c r="N2909" i="40"/>
  <c r="Q2908" i="40"/>
  <c r="P2908" i="40"/>
  <c r="O2908" i="40"/>
  <c r="N2908" i="40"/>
  <c r="Q2907" i="40"/>
  <c r="P2907" i="40"/>
  <c r="O2907" i="40"/>
  <c r="N2907" i="40"/>
  <c r="Q2906" i="40"/>
  <c r="P2906" i="40"/>
  <c r="O2906" i="40"/>
  <c r="N2906" i="40"/>
  <c r="Q2905" i="40"/>
  <c r="P2905" i="40"/>
  <c r="O2905" i="40"/>
  <c r="N2905" i="40"/>
  <c r="Q2904" i="40"/>
  <c r="P2904" i="40"/>
  <c r="O2904" i="40"/>
  <c r="N2904" i="40"/>
  <c r="Q2903" i="40"/>
  <c r="P2903" i="40"/>
  <c r="O2903" i="40"/>
  <c r="N2903" i="40"/>
  <c r="Q2902" i="40"/>
  <c r="P2902" i="40"/>
  <c r="O2902" i="40"/>
  <c r="N2902" i="40"/>
  <c r="Q2901" i="40"/>
  <c r="P2901" i="40"/>
  <c r="O2901" i="40"/>
  <c r="N2901" i="40"/>
  <c r="Q2900" i="40"/>
  <c r="P2900" i="40"/>
  <c r="O2900" i="40"/>
  <c r="N2900" i="40"/>
  <c r="Q2899" i="40"/>
  <c r="P2899" i="40"/>
  <c r="O2899" i="40"/>
  <c r="N2899" i="40"/>
  <c r="Q2898" i="40"/>
  <c r="P2898" i="40"/>
  <c r="O2898" i="40"/>
  <c r="N2898" i="40"/>
  <c r="Q2897" i="40"/>
  <c r="P2897" i="40"/>
  <c r="O2897" i="40"/>
  <c r="N2897" i="40"/>
  <c r="Q2896" i="40"/>
  <c r="P2896" i="40"/>
  <c r="O2896" i="40"/>
  <c r="N2896" i="40"/>
  <c r="Q2895" i="40"/>
  <c r="P2895" i="40"/>
  <c r="O2895" i="40"/>
  <c r="N2895" i="40"/>
  <c r="Q2894" i="40"/>
  <c r="P2894" i="40"/>
  <c r="O2894" i="40"/>
  <c r="N2894" i="40"/>
  <c r="Q2893" i="40"/>
  <c r="P2893" i="40"/>
  <c r="O2893" i="40"/>
  <c r="N2893" i="40"/>
  <c r="Q2892" i="40"/>
  <c r="P2892" i="40"/>
  <c r="O2892" i="40"/>
  <c r="N2892" i="40"/>
  <c r="Q2891" i="40"/>
  <c r="P2891" i="40"/>
  <c r="O2891" i="40"/>
  <c r="N2891" i="40"/>
  <c r="Q2890" i="40"/>
  <c r="P2890" i="40"/>
  <c r="O2890" i="40"/>
  <c r="N2890" i="40"/>
  <c r="Q2889" i="40"/>
  <c r="P2889" i="40"/>
  <c r="O2889" i="40"/>
  <c r="N2889" i="40"/>
  <c r="Q2888" i="40"/>
  <c r="P2888" i="40"/>
  <c r="O2888" i="40"/>
  <c r="N2888" i="40"/>
  <c r="Q2887" i="40"/>
  <c r="P2887" i="40"/>
  <c r="O2887" i="40"/>
  <c r="N2887" i="40"/>
  <c r="Q2886" i="40"/>
  <c r="P2886" i="40"/>
  <c r="O2886" i="40"/>
  <c r="N2886" i="40"/>
  <c r="Q2885" i="40"/>
  <c r="P2885" i="40"/>
  <c r="O2885" i="40"/>
  <c r="N2885" i="40"/>
  <c r="Q2884" i="40"/>
  <c r="P2884" i="40"/>
  <c r="O2884" i="40"/>
  <c r="N2884" i="40"/>
  <c r="Q2883" i="40"/>
  <c r="P2883" i="40"/>
  <c r="O2883" i="40"/>
  <c r="N2883" i="40"/>
  <c r="Q2882" i="40"/>
  <c r="P2882" i="40"/>
  <c r="O2882" i="40"/>
  <c r="N2882" i="40"/>
  <c r="Q2881" i="40"/>
  <c r="P2881" i="40"/>
  <c r="O2881" i="40"/>
  <c r="N2881" i="40"/>
  <c r="Q2880" i="40"/>
  <c r="P2880" i="40"/>
  <c r="O2880" i="40"/>
  <c r="N2880" i="40"/>
  <c r="Q2879" i="40"/>
  <c r="P2879" i="40"/>
  <c r="O2879" i="40"/>
  <c r="N2879" i="40"/>
  <c r="Q2878" i="40"/>
  <c r="P2878" i="40"/>
  <c r="O2878" i="40"/>
  <c r="N2878" i="40"/>
  <c r="Q2877" i="40"/>
  <c r="P2877" i="40"/>
  <c r="O2877" i="40"/>
  <c r="N2877" i="40"/>
  <c r="Q2876" i="40"/>
  <c r="P2876" i="40"/>
  <c r="O2876" i="40"/>
  <c r="N2876" i="40"/>
  <c r="Q2875" i="40"/>
  <c r="P2875" i="40"/>
  <c r="O2875" i="40"/>
  <c r="N2875" i="40"/>
  <c r="Q2874" i="40"/>
  <c r="P2874" i="40"/>
  <c r="O2874" i="40"/>
  <c r="N2874" i="40"/>
  <c r="Q2873" i="40"/>
  <c r="P2873" i="40"/>
  <c r="O2873" i="40"/>
  <c r="N2873" i="40"/>
  <c r="Q2872" i="40"/>
  <c r="P2872" i="40"/>
  <c r="O2872" i="40"/>
  <c r="N2872" i="40"/>
  <c r="Q2871" i="40"/>
  <c r="P2871" i="40"/>
  <c r="O2871" i="40"/>
  <c r="N2871" i="40"/>
  <c r="Q2870" i="40"/>
  <c r="P2870" i="40"/>
  <c r="O2870" i="40"/>
  <c r="N2870" i="40"/>
  <c r="Q2869" i="40"/>
  <c r="P2869" i="40"/>
  <c r="O2869" i="40"/>
  <c r="N2869" i="40"/>
  <c r="Q2868" i="40"/>
  <c r="P2868" i="40"/>
  <c r="O2868" i="40"/>
  <c r="N2868" i="40"/>
  <c r="Q2867" i="40"/>
  <c r="P2867" i="40"/>
  <c r="O2867" i="40"/>
  <c r="N2867" i="40"/>
  <c r="Q2866" i="40"/>
  <c r="P2866" i="40"/>
  <c r="O2866" i="40"/>
  <c r="N2866" i="40"/>
  <c r="Q2865" i="40"/>
  <c r="P2865" i="40"/>
  <c r="O2865" i="40"/>
  <c r="N2865" i="40"/>
  <c r="Q2864" i="40"/>
  <c r="P2864" i="40"/>
  <c r="O2864" i="40"/>
  <c r="N2864" i="40"/>
  <c r="Q2863" i="40"/>
  <c r="P2863" i="40"/>
  <c r="O2863" i="40"/>
  <c r="N2863" i="40"/>
  <c r="Q2862" i="40"/>
  <c r="P2862" i="40"/>
  <c r="O2862" i="40"/>
  <c r="N2862" i="40"/>
  <c r="Q2861" i="40"/>
  <c r="P2861" i="40"/>
  <c r="O2861" i="40"/>
  <c r="N2861" i="40"/>
  <c r="Q2860" i="40"/>
  <c r="P2860" i="40"/>
  <c r="O2860" i="40"/>
  <c r="N2860" i="40"/>
  <c r="Q2859" i="40"/>
  <c r="P2859" i="40"/>
  <c r="O2859" i="40"/>
  <c r="N2859" i="40"/>
  <c r="Q2858" i="40"/>
  <c r="P2858" i="40"/>
  <c r="O2858" i="40"/>
  <c r="N2858" i="40"/>
  <c r="Q2857" i="40"/>
  <c r="P2857" i="40"/>
  <c r="O2857" i="40"/>
  <c r="N2857" i="40"/>
  <c r="Q2856" i="40"/>
  <c r="P2856" i="40"/>
  <c r="O2856" i="40"/>
  <c r="N2856" i="40"/>
  <c r="Q2855" i="40"/>
  <c r="P2855" i="40"/>
  <c r="O2855" i="40"/>
  <c r="N2855" i="40"/>
  <c r="Q2854" i="40"/>
  <c r="P2854" i="40"/>
  <c r="O2854" i="40"/>
  <c r="N2854" i="40"/>
  <c r="Q2853" i="40"/>
  <c r="P2853" i="40"/>
  <c r="O2853" i="40"/>
  <c r="N2853" i="40"/>
  <c r="Q2852" i="40"/>
  <c r="P2852" i="40"/>
  <c r="O2852" i="40"/>
  <c r="N2852" i="40"/>
  <c r="Q2851" i="40"/>
  <c r="P2851" i="40"/>
  <c r="O2851" i="40"/>
  <c r="N2851" i="40"/>
  <c r="Q2850" i="40"/>
  <c r="P2850" i="40"/>
  <c r="O2850" i="40"/>
  <c r="N2850" i="40"/>
  <c r="Q2849" i="40"/>
  <c r="P2849" i="40"/>
  <c r="O2849" i="40"/>
  <c r="N2849" i="40"/>
  <c r="Q2848" i="40"/>
  <c r="P2848" i="40"/>
  <c r="O2848" i="40"/>
  <c r="N2848" i="40"/>
  <c r="Q2847" i="40"/>
  <c r="P2847" i="40"/>
  <c r="O2847" i="40"/>
  <c r="N2847" i="40"/>
  <c r="Q2846" i="40"/>
  <c r="P2846" i="40"/>
  <c r="O2846" i="40"/>
  <c r="N2846" i="40"/>
  <c r="Q2845" i="40"/>
  <c r="P2845" i="40"/>
  <c r="O2845" i="40"/>
  <c r="N2845" i="40"/>
  <c r="Q2844" i="40"/>
  <c r="P2844" i="40"/>
  <c r="O2844" i="40"/>
  <c r="N2844" i="40"/>
  <c r="Q2843" i="40"/>
  <c r="P2843" i="40"/>
  <c r="O2843" i="40"/>
  <c r="N2843" i="40"/>
  <c r="Q2842" i="40"/>
  <c r="P2842" i="40"/>
  <c r="O2842" i="40"/>
  <c r="N2842" i="40"/>
  <c r="Q2841" i="40"/>
  <c r="P2841" i="40"/>
  <c r="O2841" i="40"/>
  <c r="N2841" i="40"/>
  <c r="Q2840" i="40"/>
  <c r="P2840" i="40"/>
  <c r="O2840" i="40"/>
  <c r="N2840" i="40"/>
  <c r="Q2839" i="40"/>
  <c r="P2839" i="40"/>
  <c r="O2839" i="40"/>
  <c r="N2839" i="40"/>
  <c r="Q2838" i="40"/>
  <c r="P2838" i="40"/>
  <c r="O2838" i="40"/>
  <c r="N2838" i="40"/>
  <c r="Q2837" i="40"/>
  <c r="P2837" i="40"/>
  <c r="O2837" i="40"/>
  <c r="N2837" i="40"/>
  <c r="Q2836" i="40"/>
  <c r="P2836" i="40"/>
  <c r="O2836" i="40"/>
  <c r="N2836" i="40"/>
  <c r="Q2835" i="40"/>
  <c r="P2835" i="40"/>
  <c r="O2835" i="40"/>
  <c r="N2835" i="40"/>
  <c r="Q2834" i="40"/>
  <c r="P2834" i="40"/>
  <c r="O2834" i="40"/>
  <c r="N2834" i="40"/>
  <c r="Q2833" i="40"/>
  <c r="P2833" i="40"/>
  <c r="O2833" i="40"/>
  <c r="N2833" i="40"/>
  <c r="Q2832" i="40"/>
  <c r="P2832" i="40"/>
  <c r="O2832" i="40"/>
  <c r="N2832" i="40"/>
  <c r="Q2831" i="40"/>
  <c r="P2831" i="40"/>
  <c r="O2831" i="40"/>
  <c r="N2831" i="40"/>
  <c r="Q2830" i="40"/>
  <c r="P2830" i="40"/>
  <c r="O2830" i="40"/>
  <c r="N2830" i="40"/>
  <c r="Q2829" i="40"/>
  <c r="P2829" i="40"/>
  <c r="O2829" i="40"/>
  <c r="N2829" i="40"/>
  <c r="Q2828" i="40"/>
  <c r="P2828" i="40"/>
  <c r="O2828" i="40"/>
  <c r="N2828" i="40"/>
  <c r="Q2827" i="40"/>
  <c r="P2827" i="40"/>
  <c r="O2827" i="40"/>
  <c r="N2827" i="40"/>
  <c r="Q2826" i="40"/>
  <c r="P2826" i="40"/>
  <c r="O2826" i="40"/>
  <c r="N2826" i="40"/>
  <c r="Q2825" i="40"/>
  <c r="P2825" i="40"/>
  <c r="O2825" i="40"/>
  <c r="N2825" i="40"/>
  <c r="Q2824" i="40"/>
  <c r="P2824" i="40"/>
  <c r="O2824" i="40"/>
  <c r="N2824" i="40"/>
  <c r="Q2823" i="40"/>
  <c r="P2823" i="40"/>
  <c r="O2823" i="40"/>
  <c r="N2823" i="40"/>
  <c r="Q2822" i="40"/>
  <c r="P2822" i="40"/>
  <c r="O2822" i="40"/>
  <c r="N2822" i="40"/>
  <c r="Q2821" i="40"/>
  <c r="P2821" i="40"/>
  <c r="O2821" i="40"/>
  <c r="N2821" i="40"/>
  <c r="Q2820" i="40"/>
  <c r="P2820" i="40"/>
  <c r="O2820" i="40"/>
  <c r="N2820" i="40"/>
  <c r="Q2819" i="40"/>
  <c r="P2819" i="40"/>
  <c r="O2819" i="40"/>
  <c r="N2819" i="40"/>
  <c r="Q2818" i="40"/>
  <c r="P2818" i="40"/>
  <c r="O2818" i="40"/>
  <c r="N2818" i="40"/>
  <c r="Q2817" i="40"/>
  <c r="P2817" i="40"/>
  <c r="O2817" i="40"/>
  <c r="N2817" i="40"/>
  <c r="Q2816" i="40"/>
  <c r="P2816" i="40"/>
  <c r="O2816" i="40"/>
  <c r="N2816" i="40"/>
  <c r="Q2815" i="40"/>
  <c r="P2815" i="40"/>
  <c r="O2815" i="40"/>
  <c r="N2815" i="40"/>
  <c r="Q2814" i="40"/>
  <c r="P2814" i="40"/>
  <c r="O2814" i="40"/>
  <c r="N2814" i="40"/>
  <c r="Q2813" i="40"/>
  <c r="P2813" i="40"/>
  <c r="O2813" i="40"/>
  <c r="N2813" i="40"/>
  <c r="Q2812" i="40"/>
  <c r="P2812" i="40"/>
  <c r="O2812" i="40"/>
  <c r="N2812" i="40"/>
  <c r="Q2811" i="40"/>
  <c r="P2811" i="40"/>
  <c r="O2811" i="40"/>
  <c r="N2811" i="40"/>
  <c r="Q2810" i="40"/>
  <c r="P2810" i="40"/>
  <c r="O2810" i="40"/>
  <c r="N2810" i="40"/>
  <c r="Q2809" i="40"/>
  <c r="P2809" i="40"/>
  <c r="O2809" i="40"/>
  <c r="N2809" i="40"/>
  <c r="Q2808" i="40"/>
  <c r="P2808" i="40"/>
  <c r="O2808" i="40"/>
  <c r="N2808" i="40"/>
  <c r="Q2807" i="40"/>
  <c r="P2807" i="40"/>
  <c r="O2807" i="40"/>
  <c r="N2807" i="40"/>
  <c r="Q2806" i="40"/>
  <c r="P2806" i="40"/>
  <c r="O2806" i="40"/>
  <c r="N2806" i="40"/>
  <c r="Q2805" i="40"/>
  <c r="P2805" i="40"/>
  <c r="O2805" i="40"/>
  <c r="N2805" i="40"/>
  <c r="Q2804" i="40"/>
  <c r="P2804" i="40"/>
  <c r="O2804" i="40"/>
  <c r="N2804" i="40"/>
  <c r="Q2803" i="40"/>
  <c r="P2803" i="40"/>
  <c r="O2803" i="40"/>
  <c r="N2803" i="40"/>
  <c r="Q2802" i="40"/>
  <c r="P2802" i="40"/>
  <c r="O2802" i="40"/>
  <c r="N2802" i="40"/>
  <c r="Q2801" i="40"/>
  <c r="P2801" i="40"/>
  <c r="O2801" i="40"/>
  <c r="N2801" i="40"/>
  <c r="Q2800" i="40"/>
  <c r="P2800" i="40"/>
  <c r="O2800" i="40"/>
  <c r="N2800" i="40"/>
  <c r="Q2799" i="40"/>
  <c r="P2799" i="40"/>
  <c r="O2799" i="40"/>
  <c r="N2799" i="40"/>
  <c r="Q2798" i="40"/>
  <c r="P2798" i="40"/>
  <c r="O2798" i="40"/>
  <c r="N2798" i="40"/>
  <c r="Q2797" i="40"/>
  <c r="P2797" i="40"/>
  <c r="O2797" i="40"/>
  <c r="N2797" i="40"/>
  <c r="Q2796" i="40"/>
  <c r="P2796" i="40"/>
  <c r="O2796" i="40"/>
  <c r="N2796" i="40"/>
  <c r="Q2795" i="40"/>
  <c r="P2795" i="40"/>
  <c r="O2795" i="40"/>
  <c r="N2795" i="40"/>
  <c r="Q2794" i="40"/>
  <c r="P2794" i="40"/>
  <c r="O2794" i="40"/>
  <c r="N2794" i="40"/>
  <c r="Q2793" i="40"/>
  <c r="P2793" i="40"/>
  <c r="O2793" i="40"/>
  <c r="N2793" i="40"/>
  <c r="Q2792" i="40"/>
  <c r="P2792" i="40"/>
  <c r="O2792" i="40"/>
  <c r="N2792" i="40"/>
  <c r="Q2791" i="40"/>
  <c r="P2791" i="40"/>
  <c r="O2791" i="40"/>
  <c r="N2791" i="40"/>
  <c r="Q2790" i="40"/>
  <c r="P2790" i="40"/>
  <c r="O2790" i="40"/>
  <c r="N2790" i="40"/>
  <c r="Q2789" i="40"/>
  <c r="P2789" i="40"/>
  <c r="O2789" i="40"/>
  <c r="N2789" i="40"/>
  <c r="Q2788" i="40"/>
  <c r="P2788" i="40"/>
  <c r="O2788" i="40"/>
  <c r="N2788" i="40"/>
  <c r="Q2787" i="40"/>
  <c r="P2787" i="40"/>
  <c r="O2787" i="40"/>
  <c r="N2787" i="40"/>
  <c r="Q2786" i="40"/>
  <c r="P2786" i="40"/>
  <c r="O2786" i="40"/>
  <c r="N2786" i="40"/>
  <c r="Q2785" i="40"/>
  <c r="P2785" i="40"/>
  <c r="O2785" i="40"/>
  <c r="N2785" i="40"/>
  <c r="Q2784" i="40"/>
  <c r="P2784" i="40"/>
  <c r="O2784" i="40"/>
  <c r="N2784" i="40"/>
  <c r="Q2783" i="40"/>
  <c r="P2783" i="40"/>
  <c r="O2783" i="40"/>
  <c r="N2783" i="40"/>
  <c r="Q2782" i="40"/>
  <c r="P2782" i="40"/>
  <c r="O2782" i="40"/>
  <c r="N2782" i="40"/>
  <c r="Q2781" i="40"/>
  <c r="P2781" i="40"/>
  <c r="O2781" i="40"/>
  <c r="N2781" i="40"/>
  <c r="Q2780" i="40"/>
  <c r="P2780" i="40"/>
  <c r="O2780" i="40"/>
  <c r="N2780" i="40"/>
  <c r="Q2779" i="40"/>
  <c r="P2779" i="40"/>
  <c r="O2779" i="40"/>
  <c r="N2779" i="40"/>
  <c r="Q2778" i="40"/>
  <c r="P2778" i="40"/>
  <c r="O2778" i="40"/>
  <c r="N2778" i="40"/>
  <c r="Q2777" i="40"/>
  <c r="P2777" i="40"/>
  <c r="O2777" i="40"/>
  <c r="N2777" i="40"/>
  <c r="Q2776" i="40"/>
  <c r="P2776" i="40"/>
  <c r="O2776" i="40"/>
  <c r="N2776" i="40"/>
  <c r="Q2775" i="40"/>
  <c r="P2775" i="40"/>
  <c r="O2775" i="40"/>
  <c r="N2775" i="40"/>
  <c r="Q2774" i="40"/>
  <c r="P2774" i="40"/>
  <c r="O2774" i="40"/>
  <c r="N2774" i="40"/>
  <c r="Q2773" i="40"/>
  <c r="P2773" i="40"/>
  <c r="O2773" i="40"/>
  <c r="N2773" i="40"/>
  <c r="Q2772" i="40"/>
  <c r="P2772" i="40"/>
  <c r="O2772" i="40"/>
  <c r="N2772" i="40"/>
  <c r="Q2771" i="40"/>
  <c r="P2771" i="40"/>
  <c r="O2771" i="40"/>
  <c r="N2771" i="40"/>
  <c r="Q2770" i="40"/>
  <c r="P2770" i="40"/>
  <c r="O2770" i="40"/>
  <c r="N2770" i="40"/>
  <c r="Q2769" i="40"/>
  <c r="P2769" i="40"/>
  <c r="O2769" i="40"/>
  <c r="N2769" i="40"/>
  <c r="Q2768" i="40"/>
  <c r="P2768" i="40"/>
  <c r="O2768" i="40"/>
  <c r="N2768" i="40"/>
  <c r="Q2767" i="40"/>
  <c r="P2767" i="40"/>
  <c r="O2767" i="40"/>
  <c r="N2767" i="40"/>
  <c r="Q2766" i="40"/>
  <c r="P2766" i="40"/>
  <c r="O2766" i="40"/>
  <c r="N2766" i="40"/>
  <c r="Q2765" i="40"/>
  <c r="P2765" i="40"/>
  <c r="O2765" i="40"/>
  <c r="N2765" i="40"/>
  <c r="Q2764" i="40"/>
  <c r="P2764" i="40"/>
  <c r="O2764" i="40"/>
  <c r="N2764" i="40"/>
  <c r="Q2763" i="40"/>
  <c r="P2763" i="40"/>
  <c r="O2763" i="40"/>
  <c r="N2763" i="40"/>
  <c r="Q2762" i="40"/>
  <c r="P2762" i="40"/>
  <c r="O2762" i="40"/>
  <c r="N2762" i="40"/>
  <c r="Q2761" i="40"/>
  <c r="P2761" i="40"/>
  <c r="O2761" i="40"/>
  <c r="N2761" i="40"/>
  <c r="Q2760" i="40"/>
  <c r="P2760" i="40"/>
  <c r="O2760" i="40"/>
  <c r="N2760" i="40"/>
  <c r="Q2759" i="40"/>
  <c r="P2759" i="40"/>
  <c r="O2759" i="40"/>
  <c r="N2759" i="40"/>
  <c r="Q2758" i="40"/>
  <c r="P2758" i="40"/>
  <c r="O2758" i="40"/>
  <c r="N2758" i="40"/>
  <c r="Q2757" i="40"/>
  <c r="P2757" i="40"/>
  <c r="O2757" i="40"/>
  <c r="N2757" i="40"/>
  <c r="Q2756" i="40"/>
  <c r="P2756" i="40"/>
  <c r="O2756" i="40"/>
  <c r="N2756" i="40"/>
  <c r="Q2755" i="40"/>
  <c r="P2755" i="40"/>
  <c r="O2755" i="40"/>
  <c r="N2755" i="40"/>
  <c r="Q2754" i="40"/>
  <c r="P2754" i="40"/>
  <c r="O2754" i="40"/>
  <c r="N2754" i="40"/>
  <c r="Q2753" i="40"/>
  <c r="P2753" i="40"/>
  <c r="O2753" i="40"/>
  <c r="N2753" i="40"/>
  <c r="Q2752" i="40"/>
  <c r="P2752" i="40"/>
  <c r="O2752" i="40"/>
  <c r="N2752" i="40"/>
  <c r="Q2751" i="40"/>
  <c r="P2751" i="40"/>
  <c r="O2751" i="40"/>
  <c r="N2751" i="40"/>
  <c r="Q2750" i="40"/>
  <c r="P2750" i="40"/>
  <c r="O2750" i="40"/>
  <c r="N2750" i="40"/>
  <c r="Q2749" i="40"/>
  <c r="P2749" i="40"/>
  <c r="O2749" i="40"/>
  <c r="N2749" i="40"/>
  <c r="Q2748" i="40"/>
  <c r="P2748" i="40"/>
  <c r="O2748" i="40"/>
  <c r="N2748" i="40"/>
  <c r="Q2747" i="40"/>
  <c r="P2747" i="40"/>
  <c r="O2747" i="40"/>
  <c r="N2747" i="40"/>
  <c r="Q2746" i="40"/>
  <c r="P2746" i="40"/>
  <c r="O2746" i="40"/>
  <c r="N2746" i="40"/>
  <c r="Q2745" i="40"/>
  <c r="P2745" i="40"/>
  <c r="O2745" i="40"/>
  <c r="N2745" i="40"/>
  <c r="Q2744" i="40"/>
  <c r="P2744" i="40"/>
  <c r="O2744" i="40"/>
  <c r="N2744" i="40"/>
  <c r="Q2743" i="40"/>
  <c r="P2743" i="40"/>
  <c r="O2743" i="40"/>
  <c r="N2743" i="40"/>
  <c r="Q2742" i="40"/>
  <c r="P2742" i="40"/>
  <c r="O2742" i="40"/>
  <c r="N2742" i="40"/>
  <c r="Q2741" i="40"/>
  <c r="P2741" i="40"/>
  <c r="O2741" i="40"/>
  <c r="N2741" i="40"/>
  <c r="Q2740" i="40"/>
  <c r="P2740" i="40"/>
  <c r="O2740" i="40"/>
  <c r="N2740" i="40"/>
  <c r="Q2739" i="40"/>
  <c r="P2739" i="40"/>
  <c r="O2739" i="40"/>
  <c r="N2739" i="40"/>
  <c r="Q2738" i="40"/>
  <c r="P2738" i="40"/>
  <c r="O2738" i="40"/>
  <c r="N2738" i="40"/>
  <c r="Q2737" i="40"/>
  <c r="P2737" i="40"/>
  <c r="O2737" i="40"/>
  <c r="N2737" i="40"/>
  <c r="Q2736" i="40"/>
  <c r="P2736" i="40"/>
  <c r="O2736" i="40"/>
  <c r="N2736" i="40"/>
  <c r="Q2735" i="40"/>
  <c r="P2735" i="40"/>
  <c r="O2735" i="40"/>
  <c r="N2735" i="40"/>
  <c r="Q2734" i="40"/>
  <c r="P2734" i="40"/>
  <c r="O2734" i="40"/>
  <c r="N2734" i="40"/>
  <c r="Q2733" i="40"/>
  <c r="P2733" i="40"/>
  <c r="O2733" i="40"/>
  <c r="N2733" i="40"/>
  <c r="Q2732" i="40"/>
  <c r="P2732" i="40"/>
  <c r="O2732" i="40"/>
  <c r="N2732" i="40"/>
  <c r="Q2731" i="40"/>
  <c r="P2731" i="40"/>
  <c r="O2731" i="40"/>
  <c r="N2731" i="40"/>
  <c r="Q2730" i="40"/>
  <c r="P2730" i="40"/>
  <c r="O2730" i="40"/>
  <c r="N2730" i="40"/>
  <c r="Q2729" i="40"/>
  <c r="P2729" i="40"/>
  <c r="O2729" i="40"/>
  <c r="N2729" i="40"/>
  <c r="Q2728" i="40"/>
  <c r="P2728" i="40"/>
  <c r="O2728" i="40"/>
  <c r="N2728" i="40"/>
  <c r="Q2727" i="40"/>
  <c r="P2727" i="40"/>
  <c r="O2727" i="40"/>
  <c r="N2727" i="40"/>
  <c r="Q2726" i="40"/>
  <c r="P2726" i="40"/>
  <c r="O2726" i="40"/>
  <c r="N2726" i="40"/>
  <c r="Q2725" i="40"/>
  <c r="P2725" i="40"/>
  <c r="O2725" i="40"/>
  <c r="N2725" i="40"/>
  <c r="Q2724" i="40"/>
  <c r="P2724" i="40"/>
  <c r="O2724" i="40"/>
  <c r="N2724" i="40"/>
  <c r="Q2723" i="40"/>
  <c r="P2723" i="40"/>
  <c r="O2723" i="40"/>
  <c r="N2723" i="40"/>
  <c r="Q2722" i="40"/>
  <c r="P2722" i="40"/>
  <c r="O2722" i="40"/>
  <c r="N2722" i="40"/>
  <c r="Q2721" i="40"/>
  <c r="P2721" i="40"/>
  <c r="O2721" i="40"/>
  <c r="N2721" i="40"/>
  <c r="Q2720" i="40"/>
  <c r="P2720" i="40"/>
  <c r="O2720" i="40"/>
  <c r="N2720" i="40"/>
  <c r="Q2719" i="40"/>
  <c r="P2719" i="40"/>
  <c r="O2719" i="40"/>
  <c r="N2719" i="40"/>
  <c r="Q2718" i="40"/>
  <c r="P2718" i="40"/>
  <c r="O2718" i="40"/>
  <c r="N2718" i="40"/>
  <c r="Q2717" i="40"/>
  <c r="P2717" i="40"/>
  <c r="O2717" i="40"/>
  <c r="N2717" i="40"/>
  <c r="Q2716" i="40"/>
  <c r="P2716" i="40"/>
  <c r="O2716" i="40"/>
  <c r="N2716" i="40"/>
  <c r="Q2715" i="40"/>
  <c r="P2715" i="40"/>
  <c r="O2715" i="40"/>
  <c r="N2715" i="40"/>
  <c r="Q2714" i="40"/>
  <c r="P2714" i="40"/>
  <c r="O2714" i="40"/>
  <c r="N2714" i="40"/>
  <c r="Q2713" i="40"/>
  <c r="P2713" i="40"/>
  <c r="O2713" i="40"/>
  <c r="N2713" i="40"/>
  <c r="Q2712" i="40"/>
  <c r="P2712" i="40"/>
  <c r="O2712" i="40"/>
  <c r="N2712" i="40"/>
  <c r="Q2711" i="40"/>
  <c r="P2711" i="40"/>
  <c r="O2711" i="40"/>
  <c r="N2711" i="40"/>
  <c r="Q2710" i="40"/>
  <c r="P2710" i="40"/>
  <c r="O2710" i="40"/>
  <c r="N2710" i="40"/>
  <c r="Q2709" i="40"/>
  <c r="P2709" i="40"/>
  <c r="O2709" i="40"/>
  <c r="N2709" i="40"/>
  <c r="Q2708" i="40"/>
  <c r="P2708" i="40"/>
  <c r="O2708" i="40"/>
  <c r="N2708" i="40"/>
  <c r="Q2707" i="40"/>
  <c r="P2707" i="40"/>
  <c r="O2707" i="40"/>
  <c r="N2707" i="40"/>
  <c r="Q2706" i="40"/>
  <c r="P2706" i="40"/>
  <c r="O2706" i="40"/>
  <c r="N2706" i="40"/>
  <c r="Q2705" i="40"/>
  <c r="P2705" i="40"/>
  <c r="O2705" i="40"/>
  <c r="N2705" i="40"/>
  <c r="Q2704" i="40"/>
  <c r="P2704" i="40"/>
  <c r="O2704" i="40"/>
  <c r="N2704" i="40"/>
  <c r="Q2703" i="40"/>
  <c r="P2703" i="40"/>
  <c r="O2703" i="40"/>
  <c r="N2703" i="40"/>
  <c r="Q2702" i="40"/>
  <c r="P2702" i="40"/>
  <c r="O2702" i="40"/>
  <c r="N2702" i="40"/>
  <c r="Q2701" i="40"/>
  <c r="P2701" i="40"/>
  <c r="O2701" i="40"/>
  <c r="N2701" i="40"/>
  <c r="Q2700" i="40"/>
  <c r="P2700" i="40"/>
  <c r="O2700" i="40"/>
  <c r="N2700" i="40"/>
  <c r="Q2699" i="40"/>
  <c r="P2699" i="40"/>
  <c r="O2699" i="40"/>
  <c r="N2699" i="40"/>
  <c r="Q2698" i="40"/>
  <c r="P2698" i="40"/>
  <c r="O2698" i="40"/>
  <c r="N2698" i="40"/>
  <c r="Q2697" i="40"/>
  <c r="P2697" i="40"/>
  <c r="O2697" i="40"/>
  <c r="N2697" i="40"/>
  <c r="Q2696" i="40"/>
  <c r="P2696" i="40"/>
  <c r="O2696" i="40"/>
  <c r="N2696" i="40"/>
  <c r="Q2695" i="40"/>
  <c r="P2695" i="40"/>
  <c r="O2695" i="40"/>
  <c r="N2695" i="40"/>
  <c r="Q2694" i="40"/>
  <c r="P2694" i="40"/>
  <c r="O2694" i="40"/>
  <c r="N2694" i="40"/>
  <c r="Q2693" i="40"/>
  <c r="P2693" i="40"/>
  <c r="O2693" i="40"/>
  <c r="N2693" i="40"/>
  <c r="Q2692" i="40"/>
  <c r="P2692" i="40"/>
  <c r="O2692" i="40"/>
  <c r="N2692" i="40"/>
  <c r="Q2691" i="40"/>
  <c r="P2691" i="40"/>
  <c r="O2691" i="40"/>
  <c r="N2691" i="40"/>
  <c r="Q2690" i="40"/>
  <c r="P2690" i="40"/>
  <c r="O2690" i="40"/>
  <c r="N2690" i="40"/>
  <c r="Q2689" i="40"/>
  <c r="P2689" i="40"/>
  <c r="O2689" i="40"/>
  <c r="N2689" i="40"/>
  <c r="Q2688" i="40"/>
  <c r="P2688" i="40"/>
  <c r="O2688" i="40"/>
  <c r="N2688" i="40"/>
  <c r="Q2687" i="40"/>
  <c r="P2687" i="40"/>
  <c r="O2687" i="40"/>
  <c r="N2687" i="40"/>
  <c r="Q2686" i="40"/>
  <c r="P2686" i="40"/>
  <c r="O2686" i="40"/>
  <c r="N2686" i="40"/>
  <c r="Q2685" i="40"/>
  <c r="P2685" i="40"/>
  <c r="O2685" i="40"/>
  <c r="N2685" i="40"/>
  <c r="Q2684" i="40"/>
  <c r="P2684" i="40"/>
  <c r="O2684" i="40"/>
  <c r="N2684" i="40"/>
  <c r="Q2683" i="40"/>
  <c r="P2683" i="40"/>
  <c r="O2683" i="40"/>
  <c r="N2683" i="40"/>
  <c r="Q2682" i="40"/>
  <c r="P2682" i="40"/>
  <c r="O2682" i="40"/>
  <c r="N2682" i="40"/>
  <c r="Q2681" i="40"/>
  <c r="P2681" i="40"/>
  <c r="O2681" i="40"/>
  <c r="N2681" i="40"/>
  <c r="Q2680" i="40"/>
  <c r="P2680" i="40"/>
  <c r="O2680" i="40"/>
  <c r="N2680" i="40"/>
  <c r="Q2679" i="40"/>
  <c r="P2679" i="40"/>
  <c r="O2679" i="40"/>
  <c r="N2679" i="40"/>
  <c r="Q2678" i="40"/>
  <c r="P2678" i="40"/>
  <c r="O2678" i="40"/>
  <c r="N2678" i="40"/>
  <c r="Q2677" i="40"/>
  <c r="P2677" i="40"/>
  <c r="O2677" i="40"/>
  <c r="N2677" i="40"/>
  <c r="Q2676" i="40"/>
  <c r="P2676" i="40"/>
  <c r="O2676" i="40"/>
  <c r="N2676" i="40"/>
  <c r="Q2675" i="40"/>
  <c r="P2675" i="40"/>
  <c r="O2675" i="40"/>
  <c r="N2675" i="40"/>
  <c r="Q2674" i="40"/>
  <c r="P2674" i="40"/>
  <c r="O2674" i="40"/>
  <c r="N2674" i="40"/>
  <c r="Q2673" i="40"/>
  <c r="P2673" i="40"/>
  <c r="O2673" i="40"/>
  <c r="N2673" i="40"/>
  <c r="Q2672" i="40"/>
  <c r="P2672" i="40"/>
  <c r="O2672" i="40"/>
  <c r="N2672" i="40"/>
  <c r="Q2671" i="40"/>
  <c r="P2671" i="40"/>
  <c r="O2671" i="40"/>
  <c r="N2671" i="40"/>
  <c r="Q2670" i="40"/>
  <c r="P2670" i="40"/>
  <c r="O2670" i="40"/>
  <c r="N2670" i="40"/>
  <c r="Q2669" i="40"/>
  <c r="P2669" i="40"/>
  <c r="O2669" i="40"/>
  <c r="N2669" i="40"/>
  <c r="Q2668" i="40"/>
  <c r="P2668" i="40"/>
  <c r="O2668" i="40"/>
  <c r="N2668" i="40"/>
  <c r="Q2667" i="40"/>
  <c r="P2667" i="40"/>
  <c r="O2667" i="40"/>
  <c r="N2667" i="40"/>
  <c r="Q2666" i="40"/>
  <c r="P2666" i="40"/>
  <c r="O2666" i="40"/>
  <c r="N2666" i="40"/>
  <c r="Q2665" i="40"/>
  <c r="P2665" i="40"/>
  <c r="O2665" i="40"/>
  <c r="N2665" i="40"/>
  <c r="Q2664" i="40"/>
  <c r="P2664" i="40"/>
  <c r="O2664" i="40"/>
  <c r="N2664" i="40"/>
  <c r="Q2663" i="40"/>
  <c r="P2663" i="40"/>
  <c r="O2663" i="40"/>
  <c r="N2663" i="40"/>
  <c r="Q2662" i="40"/>
  <c r="P2662" i="40"/>
  <c r="O2662" i="40"/>
  <c r="N2662" i="40"/>
  <c r="Q2661" i="40"/>
  <c r="P2661" i="40"/>
  <c r="O2661" i="40"/>
  <c r="N2661" i="40"/>
  <c r="Q2660" i="40"/>
  <c r="P2660" i="40"/>
  <c r="O2660" i="40"/>
  <c r="N2660" i="40"/>
  <c r="Q2659" i="40"/>
  <c r="P2659" i="40"/>
  <c r="O2659" i="40"/>
  <c r="N2659" i="40"/>
  <c r="Q2658" i="40"/>
  <c r="P2658" i="40"/>
  <c r="O2658" i="40"/>
  <c r="N2658" i="40"/>
  <c r="Q2657" i="40"/>
  <c r="P2657" i="40"/>
  <c r="O2657" i="40"/>
  <c r="N2657" i="40"/>
  <c r="Q2656" i="40"/>
  <c r="P2656" i="40"/>
  <c r="O2656" i="40"/>
  <c r="N2656" i="40"/>
  <c r="Q2655" i="40"/>
  <c r="P2655" i="40"/>
  <c r="O2655" i="40"/>
  <c r="N2655" i="40"/>
  <c r="Q2654" i="40"/>
  <c r="P2654" i="40"/>
  <c r="O2654" i="40"/>
  <c r="N2654" i="40"/>
  <c r="Q2653" i="40"/>
  <c r="P2653" i="40"/>
  <c r="O2653" i="40"/>
  <c r="N2653" i="40"/>
  <c r="Q2652" i="40"/>
  <c r="P2652" i="40"/>
  <c r="O2652" i="40"/>
  <c r="N2652" i="40"/>
  <c r="Q2651" i="40"/>
  <c r="P2651" i="40"/>
  <c r="O2651" i="40"/>
  <c r="N2651" i="40"/>
  <c r="Q2650" i="40"/>
  <c r="P2650" i="40"/>
  <c r="O2650" i="40"/>
  <c r="N2650" i="40"/>
  <c r="Q2649" i="40"/>
  <c r="P2649" i="40"/>
  <c r="O2649" i="40"/>
  <c r="N2649" i="40"/>
  <c r="Q2648" i="40"/>
  <c r="P2648" i="40"/>
  <c r="O2648" i="40"/>
  <c r="N2648" i="40"/>
  <c r="Q2647" i="40"/>
  <c r="P2647" i="40"/>
  <c r="O2647" i="40"/>
  <c r="N2647" i="40"/>
  <c r="Q2646" i="40"/>
  <c r="P2646" i="40"/>
  <c r="O2646" i="40"/>
  <c r="N2646" i="40"/>
  <c r="Q2645" i="40"/>
  <c r="P2645" i="40"/>
  <c r="O2645" i="40"/>
  <c r="N2645" i="40"/>
  <c r="Q2644" i="40"/>
  <c r="P2644" i="40"/>
  <c r="O2644" i="40"/>
  <c r="N2644" i="40"/>
  <c r="Q2643" i="40"/>
  <c r="P2643" i="40"/>
  <c r="O2643" i="40"/>
  <c r="N2643" i="40"/>
  <c r="Q2642" i="40"/>
  <c r="P2642" i="40"/>
  <c r="O2642" i="40"/>
  <c r="N2642" i="40"/>
  <c r="Q2641" i="40"/>
  <c r="P2641" i="40"/>
  <c r="O2641" i="40"/>
  <c r="N2641" i="40"/>
  <c r="Q2640" i="40"/>
  <c r="P2640" i="40"/>
  <c r="O2640" i="40"/>
  <c r="N2640" i="40"/>
  <c r="Q2639" i="40"/>
  <c r="P2639" i="40"/>
  <c r="O2639" i="40"/>
  <c r="N2639" i="40"/>
  <c r="Q2638" i="40"/>
  <c r="P2638" i="40"/>
  <c r="O2638" i="40"/>
  <c r="N2638" i="40"/>
  <c r="Q2637" i="40"/>
  <c r="P2637" i="40"/>
  <c r="O2637" i="40"/>
  <c r="N2637" i="40"/>
  <c r="Q2636" i="40"/>
  <c r="P2636" i="40"/>
  <c r="O2636" i="40"/>
  <c r="N2636" i="40"/>
  <c r="Q2635" i="40"/>
  <c r="P2635" i="40"/>
  <c r="O2635" i="40"/>
  <c r="N2635" i="40"/>
  <c r="Q2634" i="40"/>
  <c r="P2634" i="40"/>
  <c r="O2634" i="40"/>
  <c r="N2634" i="40"/>
  <c r="Q2633" i="40"/>
  <c r="P2633" i="40"/>
  <c r="O2633" i="40"/>
  <c r="N2633" i="40"/>
  <c r="Q2632" i="40"/>
  <c r="P2632" i="40"/>
  <c r="O2632" i="40"/>
  <c r="N2632" i="40"/>
  <c r="Q2631" i="40"/>
  <c r="P2631" i="40"/>
  <c r="O2631" i="40"/>
  <c r="N2631" i="40"/>
  <c r="Q2630" i="40"/>
  <c r="P2630" i="40"/>
  <c r="O2630" i="40"/>
  <c r="N2630" i="40"/>
  <c r="Q2629" i="40"/>
  <c r="P2629" i="40"/>
  <c r="O2629" i="40"/>
  <c r="N2629" i="40"/>
  <c r="Q2628" i="40"/>
  <c r="P2628" i="40"/>
  <c r="O2628" i="40"/>
  <c r="N2628" i="40"/>
  <c r="Q2627" i="40"/>
  <c r="P2627" i="40"/>
  <c r="O2627" i="40"/>
  <c r="N2627" i="40"/>
  <c r="Q2626" i="40"/>
  <c r="P2626" i="40"/>
  <c r="O2626" i="40"/>
  <c r="N2626" i="40"/>
  <c r="Q2625" i="40"/>
  <c r="P2625" i="40"/>
  <c r="O2625" i="40"/>
  <c r="N2625" i="40"/>
  <c r="Q2624" i="40"/>
  <c r="P2624" i="40"/>
  <c r="O2624" i="40"/>
  <c r="N2624" i="40"/>
  <c r="Q2623" i="40"/>
  <c r="P2623" i="40"/>
  <c r="O2623" i="40"/>
  <c r="N2623" i="40"/>
  <c r="Q2622" i="40"/>
  <c r="P2622" i="40"/>
  <c r="O2622" i="40"/>
  <c r="N2622" i="40"/>
  <c r="Q2621" i="40"/>
  <c r="P2621" i="40"/>
  <c r="O2621" i="40"/>
  <c r="N2621" i="40"/>
  <c r="Q2620" i="40"/>
  <c r="P2620" i="40"/>
  <c r="O2620" i="40"/>
  <c r="N2620" i="40"/>
  <c r="Q2619" i="40"/>
  <c r="P2619" i="40"/>
  <c r="O2619" i="40"/>
  <c r="N2619" i="40"/>
  <c r="Q2618" i="40"/>
  <c r="P2618" i="40"/>
  <c r="O2618" i="40"/>
  <c r="N2618" i="40"/>
  <c r="Q2617" i="40"/>
  <c r="P2617" i="40"/>
  <c r="O2617" i="40"/>
  <c r="N2617" i="40"/>
  <c r="Q2616" i="40"/>
  <c r="P2616" i="40"/>
  <c r="O2616" i="40"/>
  <c r="N2616" i="40"/>
  <c r="Q2615" i="40"/>
  <c r="P2615" i="40"/>
  <c r="O2615" i="40"/>
  <c r="N2615" i="40"/>
  <c r="Q2614" i="40"/>
  <c r="P2614" i="40"/>
  <c r="O2614" i="40"/>
  <c r="N2614" i="40"/>
  <c r="Q2613" i="40"/>
  <c r="P2613" i="40"/>
  <c r="O2613" i="40"/>
  <c r="N2613" i="40"/>
  <c r="Q2612" i="40"/>
  <c r="P2612" i="40"/>
  <c r="O2612" i="40"/>
  <c r="N2612" i="40"/>
  <c r="Q2611" i="40"/>
  <c r="P2611" i="40"/>
  <c r="O2611" i="40"/>
  <c r="N2611" i="40"/>
  <c r="Q2610" i="40"/>
  <c r="P2610" i="40"/>
  <c r="O2610" i="40"/>
  <c r="N2610" i="40"/>
  <c r="Q2609" i="40"/>
  <c r="P2609" i="40"/>
  <c r="O2609" i="40"/>
  <c r="N2609" i="40"/>
  <c r="Q2608" i="40"/>
  <c r="P2608" i="40"/>
  <c r="O2608" i="40"/>
  <c r="N2608" i="40"/>
  <c r="Q2607" i="40"/>
  <c r="P2607" i="40"/>
  <c r="O2607" i="40"/>
  <c r="N2607" i="40"/>
  <c r="Q2606" i="40"/>
  <c r="P2606" i="40"/>
  <c r="O2606" i="40"/>
  <c r="N2606" i="40"/>
  <c r="Q2605" i="40"/>
  <c r="P2605" i="40"/>
  <c r="O2605" i="40"/>
  <c r="N2605" i="40"/>
  <c r="Q2604" i="40"/>
  <c r="P2604" i="40"/>
  <c r="O2604" i="40"/>
  <c r="N2604" i="40"/>
  <c r="Q2603" i="40"/>
  <c r="P2603" i="40"/>
  <c r="O2603" i="40"/>
  <c r="N2603" i="40"/>
  <c r="Q2602" i="40"/>
  <c r="P2602" i="40"/>
  <c r="O2602" i="40"/>
  <c r="N2602" i="40"/>
  <c r="Q2601" i="40"/>
  <c r="P2601" i="40"/>
  <c r="O2601" i="40"/>
  <c r="N2601" i="40"/>
  <c r="Q2600" i="40"/>
  <c r="P2600" i="40"/>
  <c r="O2600" i="40"/>
  <c r="N2600" i="40"/>
  <c r="Q2599" i="40"/>
  <c r="P2599" i="40"/>
  <c r="O2599" i="40"/>
  <c r="N2599" i="40"/>
  <c r="Q2598" i="40"/>
  <c r="P2598" i="40"/>
  <c r="O2598" i="40"/>
  <c r="N2598" i="40"/>
  <c r="Q2597" i="40"/>
  <c r="P2597" i="40"/>
  <c r="O2597" i="40"/>
  <c r="N2597" i="40"/>
  <c r="Q2596" i="40"/>
  <c r="P2596" i="40"/>
  <c r="O2596" i="40"/>
  <c r="N2596" i="40"/>
  <c r="Q2595" i="40"/>
  <c r="P2595" i="40"/>
  <c r="O2595" i="40"/>
  <c r="N2595" i="40"/>
  <c r="Q2594" i="40"/>
  <c r="P2594" i="40"/>
  <c r="O2594" i="40"/>
  <c r="N2594" i="40"/>
  <c r="Q2593" i="40"/>
  <c r="P2593" i="40"/>
  <c r="O2593" i="40"/>
  <c r="N2593" i="40"/>
  <c r="Q2592" i="40"/>
  <c r="P2592" i="40"/>
  <c r="O2592" i="40"/>
  <c r="N2592" i="40"/>
  <c r="Q2591" i="40"/>
  <c r="P2591" i="40"/>
  <c r="O2591" i="40"/>
  <c r="N2591" i="40"/>
  <c r="Q2590" i="40"/>
  <c r="P2590" i="40"/>
  <c r="O2590" i="40"/>
  <c r="N2590" i="40"/>
  <c r="Q2589" i="40"/>
  <c r="P2589" i="40"/>
  <c r="O2589" i="40"/>
  <c r="N2589" i="40"/>
  <c r="Q2588" i="40"/>
  <c r="P2588" i="40"/>
  <c r="O2588" i="40"/>
  <c r="N2588" i="40"/>
  <c r="Q2587" i="40"/>
  <c r="P2587" i="40"/>
  <c r="O2587" i="40"/>
  <c r="N2587" i="40"/>
  <c r="Q2586" i="40"/>
  <c r="P2586" i="40"/>
  <c r="O2586" i="40"/>
  <c r="N2586" i="40"/>
  <c r="Q2585" i="40"/>
  <c r="P2585" i="40"/>
  <c r="O2585" i="40"/>
  <c r="N2585" i="40"/>
  <c r="Q2584" i="40"/>
  <c r="P2584" i="40"/>
  <c r="O2584" i="40"/>
  <c r="N2584" i="40"/>
  <c r="Q2583" i="40"/>
  <c r="P2583" i="40"/>
  <c r="O2583" i="40"/>
  <c r="N2583" i="40"/>
  <c r="Q2582" i="40"/>
  <c r="P2582" i="40"/>
  <c r="O2582" i="40"/>
  <c r="N2582" i="40"/>
  <c r="Q2581" i="40"/>
  <c r="P2581" i="40"/>
  <c r="O2581" i="40"/>
  <c r="N2581" i="40"/>
  <c r="Q2580" i="40"/>
  <c r="P2580" i="40"/>
  <c r="O2580" i="40"/>
  <c r="N2580" i="40"/>
  <c r="Q2579" i="40"/>
  <c r="P2579" i="40"/>
  <c r="O2579" i="40"/>
  <c r="N2579" i="40"/>
  <c r="Q2578" i="40"/>
  <c r="P2578" i="40"/>
  <c r="O2578" i="40"/>
  <c r="N2578" i="40"/>
  <c r="Q2577" i="40"/>
  <c r="P2577" i="40"/>
  <c r="O2577" i="40"/>
  <c r="N2577" i="40"/>
  <c r="Q2576" i="40"/>
  <c r="P2576" i="40"/>
  <c r="O2576" i="40"/>
  <c r="N2576" i="40"/>
  <c r="Q2575" i="40"/>
  <c r="P2575" i="40"/>
  <c r="O2575" i="40"/>
  <c r="N2575" i="40"/>
  <c r="Q2574" i="40"/>
  <c r="P2574" i="40"/>
  <c r="O2574" i="40"/>
  <c r="N2574" i="40"/>
  <c r="Q2573" i="40"/>
  <c r="P2573" i="40"/>
  <c r="O2573" i="40"/>
  <c r="N2573" i="40"/>
  <c r="Q2572" i="40"/>
  <c r="P2572" i="40"/>
  <c r="O2572" i="40"/>
  <c r="N2572" i="40"/>
  <c r="Q2571" i="40"/>
  <c r="P2571" i="40"/>
  <c r="O2571" i="40"/>
  <c r="N2571" i="40"/>
  <c r="Q2570" i="40"/>
  <c r="P2570" i="40"/>
  <c r="O2570" i="40"/>
  <c r="N2570" i="40"/>
  <c r="Q2569" i="40"/>
  <c r="P2569" i="40"/>
  <c r="O2569" i="40"/>
  <c r="N2569" i="40"/>
  <c r="Q2568" i="40"/>
  <c r="P2568" i="40"/>
  <c r="O2568" i="40"/>
  <c r="N2568" i="40"/>
  <c r="Q2567" i="40"/>
  <c r="P2567" i="40"/>
  <c r="O2567" i="40"/>
  <c r="N2567" i="40"/>
  <c r="Q2566" i="40"/>
  <c r="P2566" i="40"/>
  <c r="O2566" i="40"/>
  <c r="N2566" i="40"/>
  <c r="Q2565" i="40"/>
  <c r="P2565" i="40"/>
  <c r="O2565" i="40"/>
  <c r="N2565" i="40"/>
  <c r="Q2564" i="40"/>
  <c r="P2564" i="40"/>
  <c r="O2564" i="40"/>
  <c r="N2564" i="40"/>
  <c r="Q2563" i="40"/>
  <c r="P2563" i="40"/>
  <c r="O2563" i="40"/>
  <c r="N2563" i="40"/>
  <c r="Q2562" i="40"/>
  <c r="P2562" i="40"/>
  <c r="O2562" i="40"/>
  <c r="N2562" i="40"/>
  <c r="Q2561" i="40"/>
  <c r="P2561" i="40"/>
  <c r="O2561" i="40"/>
  <c r="N2561" i="40"/>
  <c r="Q2560" i="40"/>
  <c r="P2560" i="40"/>
  <c r="O2560" i="40"/>
  <c r="N2560" i="40"/>
  <c r="Q2559" i="40"/>
  <c r="P2559" i="40"/>
  <c r="O2559" i="40"/>
  <c r="N2559" i="40"/>
  <c r="Q2558" i="40"/>
  <c r="P2558" i="40"/>
  <c r="O2558" i="40"/>
  <c r="N2558" i="40"/>
  <c r="Q2557" i="40"/>
  <c r="P2557" i="40"/>
  <c r="O2557" i="40"/>
  <c r="N2557" i="40"/>
  <c r="Q2556" i="40"/>
  <c r="P2556" i="40"/>
  <c r="O2556" i="40"/>
  <c r="N2556" i="40"/>
  <c r="Q2555" i="40"/>
  <c r="P2555" i="40"/>
  <c r="O2555" i="40"/>
  <c r="N2555" i="40"/>
  <c r="Q2554" i="40"/>
  <c r="P2554" i="40"/>
  <c r="O2554" i="40"/>
  <c r="N2554" i="40"/>
  <c r="Q2553" i="40"/>
  <c r="P2553" i="40"/>
  <c r="O2553" i="40"/>
  <c r="N2553" i="40"/>
  <c r="Q2552" i="40"/>
  <c r="P2552" i="40"/>
  <c r="O2552" i="40"/>
  <c r="N2552" i="40"/>
  <c r="Q2551" i="40"/>
  <c r="P2551" i="40"/>
  <c r="O2551" i="40"/>
  <c r="N2551" i="40"/>
  <c r="Q2550" i="40"/>
  <c r="P2550" i="40"/>
  <c r="O2550" i="40"/>
  <c r="N2550" i="40"/>
  <c r="Q2549" i="40"/>
  <c r="P2549" i="40"/>
  <c r="O2549" i="40"/>
  <c r="N2549" i="40"/>
  <c r="Q2548" i="40"/>
  <c r="P2548" i="40"/>
  <c r="O2548" i="40"/>
  <c r="N2548" i="40"/>
  <c r="Q2547" i="40"/>
  <c r="P2547" i="40"/>
  <c r="O2547" i="40"/>
  <c r="N2547" i="40"/>
  <c r="Q2546" i="40"/>
  <c r="P2546" i="40"/>
  <c r="O2546" i="40"/>
  <c r="N2546" i="40"/>
  <c r="Q2545" i="40"/>
  <c r="P2545" i="40"/>
  <c r="O2545" i="40"/>
  <c r="N2545" i="40"/>
  <c r="Q2544" i="40"/>
  <c r="P2544" i="40"/>
  <c r="O2544" i="40"/>
  <c r="N2544" i="40"/>
  <c r="Q2543" i="40"/>
  <c r="P2543" i="40"/>
  <c r="O2543" i="40"/>
  <c r="N2543" i="40"/>
  <c r="Q2542" i="40"/>
  <c r="P2542" i="40"/>
  <c r="O2542" i="40"/>
  <c r="N2542" i="40"/>
  <c r="Q2541" i="40"/>
  <c r="P2541" i="40"/>
  <c r="O2541" i="40"/>
  <c r="N2541" i="40"/>
  <c r="Q2540" i="40"/>
  <c r="P2540" i="40"/>
  <c r="O2540" i="40"/>
  <c r="N2540" i="40"/>
  <c r="Q2539" i="40"/>
  <c r="P2539" i="40"/>
  <c r="O2539" i="40"/>
  <c r="N2539" i="40"/>
  <c r="Q2538" i="40"/>
  <c r="P2538" i="40"/>
  <c r="O2538" i="40"/>
  <c r="N2538" i="40"/>
  <c r="Q2537" i="40"/>
  <c r="P2537" i="40"/>
  <c r="O2537" i="40"/>
  <c r="N2537" i="40"/>
  <c r="Q2536" i="40"/>
  <c r="P2536" i="40"/>
  <c r="O2536" i="40"/>
  <c r="N2536" i="40"/>
  <c r="Q2535" i="40"/>
  <c r="P2535" i="40"/>
  <c r="O2535" i="40"/>
  <c r="N2535" i="40"/>
  <c r="Q2534" i="40"/>
  <c r="P2534" i="40"/>
  <c r="O2534" i="40"/>
  <c r="N2534" i="40"/>
  <c r="Q2533" i="40"/>
  <c r="P2533" i="40"/>
  <c r="O2533" i="40"/>
  <c r="N2533" i="40"/>
  <c r="Q2532" i="40"/>
  <c r="P2532" i="40"/>
  <c r="O2532" i="40"/>
  <c r="N2532" i="40"/>
  <c r="Q2531" i="40"/>
  <c r="P2531" i="40"/>
  <c r="O2531" i="40"/>
  <c r="N2531" i="40"/>
  <c r="Q2530" i="40"/>
  <c r="P2530" i="40"/>
  <c r="O2530" i="40"/>
  <c r="N2530" i="40"/>
  <c r="Q2529" i="40"/>
  <c r="P2529" i="40"/>
  <c r="O2529" i="40"/>
  <c r="N2529" i="40"/>
  <c r="Q2528" i="40"/>
  <c r="P2528" i="40"/>
  <c r="O2528" i="40"/>
  <c r="N2528" i="40"/>
  <c r="Q2527" i="40"/>
  <c r="P2527" i="40"/>
  <c r="O2527" i="40"/>
  <c r="N2527" i="40"/>
  <c r="Q2526" i="40"/>
  <c r="P2526" i="40"/>
  <c r="O2526" i="40"/>
  <c r="N2526" i="40"/>
  <c r="Q2525" i="40"/>
  <c r="P2525" i="40"/>
  <c r="O2525" i="40"/>
  <c r="N2525" i="40"/>
  <c r="Q2524" i="40"/>
  <c r="P2524" i="40"/>
  <c r="O2524" i="40"/>
  <c r="N2524" i="40"/>
  <c r="Q2523" i="40"/>
  <c r="P2523" i="40"/>
  <c r="O2523" i="40"/>
  <c r="N2523" i="40"/>
  <c r="Q2522" i="40"/>
  <c r="P2522" i="40"/>
  <c r="O2522" i="40"/>
  <c r="N2522" i="40"/>
  <c r="Q2521" i="40"/>
  <c r="P2521" i="40"/>
  <c r="O2521" i="40"/>
  <c r="N2521" i="40"/>
  <c r="Q2520" i="40"/>
  <c r="P2520" i="40"/>
  <c r="O2520" i="40"/>
  <c r="N2520" i="40"/>
  <c r="Q2519" i="40"/>
  <c r="P2519" i="40"/>
  <c r="O2519" i="40"/>
  <c r="N2519" i="40"/>
  <c r="Q2518" i="40"/>
  <c r="P2518" i="40"/>
  <c r="O2518" i="40"/>
  <c r="N2518" i="40"/>
  <c r="Q2517" i="40"/>
  <c r="P2517" i="40"/>
  <c r="O2517" i="40"/>
  <c r="N2517" i="40"/>
  <c r="Q2516" i="40"/>
  <c r="P2516" i="40"/>
  <c r="O2516" i="40"/>
  <c r="N2516" i="40"/>
  <c r="Q2515" i="40"/>
  <c r="P2515" i="40"/>
  <c r="O2515" i="40"/>
  <c r="N2515" i="40"/>
  <c r="Q2514" i="40"/>
  <c r="P2514" i="40"/>
  <c r="O2514" i="40"/>
  <c r="N2514" i="40"/>
  <c r="Q2513" i="40"/>
  <c r="P2513" i="40"/>
  <c r="O2513" i="40"/>
  <c r="N2513" i="40"/>
  <c r="Q2512" i="40"/>
  <c r="P2512" i="40"/>
  <c r="O2512" i="40"/>
  <c r="N2512" i="40"/>
  <c r="Q2511" i="40"/>
  <c r="P2511" i="40"/>
  <c r="O2511" i="40"/>
  <c r="N2511" i="40"/>
  <c r="Q2510" i="40"/>
  <c r="P2510" i="40"/>
  <c r="O2510" i="40"/>
  <c r="N2510" i="40"/>
  <c r="Q2509" i="40"/>
  <c r="P2509" i="40"/>
  <c r="O2509" i="40"/>
  <c r="N2509" i="40"/>
  <c r="Q2508" i="40"/>
  <c r="P2508" i="40"/>
  <c r="O2508" i="40"/>
  <c r="N2508" i="40"/>
  <c r="Q2507" i="40"/>
  <c r="P2507" i="40"/>
  <c r="O2507" i="40"/>
  <c r="N2507" i="40"/>
  <c r="Q2506" i="40"/>
  <c r="P2506" i="40"/>
  <c r="O2506" i="40"/>
  <c r="N2506" i="40"/>
  <c r="Q2505" i="40"/>
  <c r="P2505" i="40"/>
  <c r="O2505" i="40"/>
  <c r="N2505" i="40"/>
  <c r="Q2504" i="40"/>
  <c r="P2504" i="40"/>
  <c r="O2504" i="40"/>
  <c r="N2504" i="40"/>
  <c r="Q2503" i="40"/>
  <c r="P2503" i="40"/>
  <c r="O2503" i="40"/>
  <c r="N2503" i="40"/>
  <c r="Q2502" i="40"/>
  <c r="P2502" i="40"/>
  <c r="O2502" i="40"/>
  <c r="N2502" i="40"/>
  <c r="Q2501" i="40"/>
  <c r="P2501" i="40"/>
  <c r="O2501" i="40"/>
  <c r="N2501" i="40"/>
  <c r="Q2500" i="40"/>
  <c r="P2500" i="40"/>
  <c r="O2500" i="40"/>
  <c r="N2500" i="40"/>
  <c r="Q2499" i="40"/>
  <c r="P2499" i="40"/>
  <c r="O2499" i="40"/>
  <c r="N2499" i="40"/>
  <c r="Q2498" i="40"/>
  <c r="P2498" i="40"/>
  <c r="O2498" i="40"/>
  <c r="N2498" i="40"/>
  <c r="Q2497" i="40"/>
  <c r="P2497" i="40"/>
  <c r="O2497" i="40"/>
  <c r="N2497" i="40"/>
  <c r="Q2496" i="40"/>
  <c r="P2496" i="40"/>
  <c r="O2496" i="40"/>
  <c r="N2496" i="40"/>
  <c r="Q2495" i="40"/>
  <c r="P2495" i="40"/>
  <c r="O2495" i="40"/>
  <c r="N2495" i="40"/>
  <c r="Q2494" i="40"/>
  <c r="P2494" i="40"/>
  <c r="O2494" i="40"/>
  <c r="N2494" i="40"/>
  <c r="Q2493" i="40"/>
  <c r="P2493" i="40"/>
  <c r="O2493" i="40"/>
  <c r="N2493" i="40"/>
  <c r="Q2492" i="40"/>
  <c r="P2492" i="40"/>
  <c r="O2492" i="40"/>
  <c r="N2492" i="40"/>
  <c r="Q2491" i="40"/>
  <c r="P2491" i="40"/>
  <c r="O2491" i="40"/>
  <c r="N2491" i="40"/>
  <c r="Q2490" i="40"/>
  <c r="P2490" i="40"/>
  <c r="O2490" i="40"/>
  <c r="N2490" i="40"/>
  <c r="Q2489" i="40"/>
  <c r="P2489" i="40"/>
  <c r="O2489" i="40"/>
  <c r="N2489" i="40"/>
  <c r="Q2488" i="40"/>
  <c r="P2488" i="40"/>
  <c r="O2488" i="40"/>
  <c r="N2488" i="40"/>
  <c r="Q2487" i="40"/>
  <c r="P2487" i="40"/>
  <c r="O2487" i="40"/>
  <c r="N2487" i="40"/>
  <c r="Q2486" i="40"/>
  <c r="P2486" i="40"/>
  <c r="O2486" i="40"/>
  <c r="N2486" i="40"/>
  <c r="Q2485" i="40"/>
  <c r="P2485" i="40"/>
  <c r="O2485" i="40"/>
  <c r="N2485" i="40"/>
  <c r="Q2484" i="40"/>
  <c r="P2484" i="40"/>
  <c r="O2484" i="40"/>
  <c r="N2484" i="40"/>
  <c r="Q2483" i="40"/>
  <c r="P2483" i="40"/>
  <c r="O2483" i="40"/>
  <c r="N2483" i="40"/>
  <c r="Q2482" i="40"/>
  <c r="P2482" i="40"/>
  <c r="O2482" i="40"/>
  <c r="N2482" i="40"/>
  <c r="Q2481" i="40"/>
  <c r="P2481" i="40"/>
  <c r="O2481" i="40"/>
  <c r="N2481" i="40"/>
  <c r="Q2480" i="40"/>
  <c r="P2480" i="40"/>
  <c r="O2480" i="40"/>
  <c r="N2480" i="40"/>
  <c r="Q2479" i="40"/>
  <c r="P2479" i="40"/>
  <c r="O2479" i="40"/>
  <c r="N2479" i="40"/>
  <c r="Q2478" i="40"/>
  <c r="P2478" i="40"/>
  <c r="O2478" i="40"/>
  <c r="N2478" i="40"/>
  <c r="Q2477" i="40"/>
  <c r="P2477" i="40"/>
  <c r="O2477" i="40"/>
  <c r="N2477" i="40"/>
  <c r="Q2476" i="40"/>
  <c r="P2476" i="40"/>
  <c r="O2476" i="40"/>
  <c r="N2476" i="40"/>
  <c r="Q2475" i="40"/>
  <c r="P2475" i="40"/>
  <c r="O2475" i="40"/>
  <c r="N2475" i="40"/>
  <c r="Q2474" i="40"/>
  <c r="P2474" i="40"/>
  <c r="O2474" i="40"/>
  <c r="N2474" i="40"/>
  <c r="Q2473" i="40"/>
  <c r="P2473" i="40"/>
  <c r="O2473" i="40"/>
  <c r="N2473" i="40"/>
  <c r="Q2472" i="40"/>
  <c r="P2472" i="40"/>
  <c r="O2472" i="40"/>
  <c r="N2472" i="40"/>
  <c r="Q2471" i="40"/>
  <c r="P2471" i="40"/>
  <c r="O2471" i="40"/>
  <c r="N2471" i="40"/>
  <c r="Q2470" i="40"/>
  <c r="P2470" i="40"/>
  <c r="O2470" i="40"/>
  <c r="N2470" i="40"/>
  <c r="Q2469" i="40"/>
  <c r="P2469" i="40"/>
  <c r="O2469" i="40"/>
  <c r="N2469" i="40"/>
  <c r="Q2468" i="40"/>
  <c r="P2468" i="40"/>
  <c r="O2468" i="40"/>
  <c r="N2468" i="40"/>
  <c r="Q2467" i="40"/>
  <c r="P2467" i="40"/>
  <c r="O2467" i="40"/>
  <c r="N2467" i="40"/>
  <c r="Q2466" i="40"/>
  <c r="P2466" i="40"/>
  <c r="O2466" i="40"/>
  <c r="N2466" i="40"/>
  <c r="Q2465" i="40"/>
  <c r="P2465" i="40"/>
  <c r="O2465" i="40"/>
  <c r="N2465" i="40"/>
  <c r="Q2464" i="40"/>
  <c r="P2464" i="40"/>
  <c r="O2464" i="40"/>
  <c r="N2464" i="40"/>
  <c r="Q2463" i="40"/>
  <c r="P2463" i="40"/>
  <c r="O2463" i="40"/>
  <c r="N2463" i="40"/>
  <c r="Q2462" i="40"/>
  <c r="P2462" i="40"/>
  <c r="O2462" i="40"/>
  <c r="N2462" i="40"/>
  <c r="Q2461" i="40"/>
  <c r="P2461" i="40"/>
  <c r="O2461" i="40"/>
  <c r="N2461" i="40"/>
  <c r="Q2460" i="40"/>
  <c r="P2460" i="40"/>
  <c r="O2460" i="40"/>
  <c r="N2460" i="40"/>
  <c r="Q2459" i="40"/>
  <c r="P2459" i="40"/>
  <c r="O2459" i="40"/>
  <c r="N2459" i="40"/>
  <c r="Q2458" i="40"/>
  <c r="P2458" i="40"/>
  <c r="O2458" i="40"/>
  <c r="N2458" i="40"/>
  <c r="Q2457" i="40"/>
  <c r="P2457" i="40"/>
  <c r="O2457" i="40"/>
  <c r="N2457" i="40"/>
  <c r="Q2456" i="40"/>
  <c r="P2456" i="40"/>
  <c r="O2456" i="40"/>
  <c r="N2456" i="40"/>
  <c r="Q2455" i="40"/>
  <c r="P2455" i="40"/>
  <c r="O2455" i="40"/>
  <c r="N2455" i="40"/>
  <c r="Q2454" i="40"/>
  <c r="P2454" i="40"/>
  <c r="O2454" i="40"/>
  <c r="N2454" i="40"/>
  <c r="Q2453" i="40"/>
  <c r="P2453" i="40"/>
  <c r="O2453" i="40"/>
  <c r="N2453" i="40"/>
  <c r="Q2452" i="40"/>
  <c r="P2452" i="40"/>
  <c r="O2452" i="40"/>
  <c r="N2452" i="40"/>
  <c r="Q2451" i="40"/>
  <c r="P2451" i="40"/>
  <c r="O2451" i="40"/>
  <c r="N2451" i="40"/>
  <c r="Q2450" i="40"/>
  <c r="P2450" i="40"/>
  <c r="O2450" i="40"/>
  <c r="N2450" i="40"/>
  <c r="Q2449" i="40"/>
  <c r="P2449" i="40"/>
  <c r="O2449" i="40"/>
  <c r="N2449" i="40"/>
  <c r="Q2448" i="40"/>
  <c r="P2448" i="40"/>
  <c r="O2448" i="40"/>
  <c r="N2448" i="40"/>
  <c r="Q2447" i="40"/>
  <c r="P2447" i="40"/>
  <c r="O2447" i="40"/>
  <c r="N2447" i="40"/>
  <c r="Q2446" i="40"/>
  <c r="P2446" i="40"/>
  <c r="O2446" i="40"/>
  <c r="N2446" i="40"/>
  <c r="Q2445" i="40"/>
  <c r="P2445" i="40"/>
  <c r="O2445" i="40"/>
  <c r="N2445" i="40"/>
  <c r="Q2444" i="40"/>
  <c r="P2444" i="40"/>
  <c r="O2444" i="40"/>
  <c r="N2444" i="40"/>
  <c r="Q2443" i="40"/>
  <c r="P2443" i="40"/>
  <c r="O2443" i="40"/>
  <c r="N2443" i="40"/>
  <c r="Q2442" i="40"/>
  <c r="P2442" i="40"/>
  <c r="O2442" i="40"/>
  <c r="N2442" i="40"/>
  <c r="Q2441" i="40"/>
  <c r="P2441" i="40"/>
  <c r="O2441" i="40"/>
  <c r="N2441" i="40"/>
  <c r="Q2440" i="40"/>
  <c r="P2440" i="40"/>
  <c r="O2440" i="40"/>
  <c r="N2440" i="40"/>
  <c r="Q2439" i="40"/>
  <c r="P2439" i="40"/>
  <c r="O2439" i="40"/>
  <c r="N2439" i="40"/>
  <c r="Q2438" i="40"/>
  <c r="P2438" i="40"/>
  <c r="O2438" i="40"/>
  <c r="N2438" i="40"/>
  <c r="Q2437" i="40"/>
  <c r="P2437" i="40"/>
  <c r="O2437" i="40"/>
  <c r="N2437" i="40"/>
  <c r="Q2436" i="40"/>
  <c r="P2436" i="40"/>
  <c r="O2436" i="40"/>
  <c r="N2436" i="40"/>
  <c r="Q2435" i="40"/>
  <c r="P2435" i="40"/>
  <c r="O2435" i="40"/>
  <c r="N2435" i="40"/>
  <c r="Q2434" i="40"/>
  <c r="P2434" i="40"/>
  <c r="O2434" i="40"/>
  <c r="N2434" i="40"/>
  <c r="Q2433" i="40"/>
  <c r="P2433" i="40"/>
  <c r="O2433" i="40"/>
  <c r="N2433" i="40"/>
  <c r="Q2432" i="40"/>
  <c r="P2432" i="40"/>
  <c r="O2432" i="40"/>
  <c r="N2432" i="40"/>
  <c r="Q2431" i="40"/>
  <c r="P2431" i="40"/>
  <c r="O2431" i="40"/>
  <c r="N2431" i="40"/>
  <c r="Q2430" i="40"/>
  <c r="P2430" i="40"/>
  <c r="O2430" i="40"/>
  <c r="N2430" i="40"/>
  <c r="Q2429" i="40"/>
  <c r="P2429" i="40"/>
  <c r="O2429" i="40"/>
  <c r="N2429" i="40"/>
  <c r="Q2428" i="40"/>
  <c r="P2428" i="40"/>
  <c r="O2428" i="40"/>
  <c r="N2428" i="40"/>
  <c r="Q2427" i="40"/>
  <c r="P2427" i="40"/>
  <c r="O2427" i="40"/>
  <c r="N2427" i="40"/>
  <c r="Q2426" i="40"/>
  <c r="P2426" i="40"/>
  <c r="O2426" i="40"/>
  <c r="N2426" i="40"/>
  <c r="Q2425" i="40"/>
  <c r="P2425" i="40"/>
  <c r="O2425" i="40"/>
  <c r="N2425" i="40"/>
  <c r="Q2424" i="40"/>
  <c r="P2424" i="40"/>
  <c r="O2424" i="40"/>
  <c r="N2424" i="40"/>
  <c r="Q2423" i="40"/>
  <c r="P2423" i="40"/>
  <c r="O2423" i="40"/>
  <c r="N2423" i="40"/>
  <c r="Q2422" i="40"/>
  <c r="P2422" i="40"/>
  <c r="O2422" i="40"/>
  <c r="N2422" i="40"/>
  <c r="Q2421" i="40"/>
  <c r="P2421" i="40"/>
  <c r="O2421" i="40"/>
  <c r="N2421" i="40"/>
  <c r="Q2420" i="40"/>
  <c r="P2420" i="40"/>
  <c r="O2420" i="40"/>
  <c r="N2420" i="40"/>
  <c r="Q2419" i="40"/>
  <c r="P2419" i="40"/>
  <c r="O2419" i="40"/>
  <c r="N2419" i="40"/>
  <c r="Q2418" i="40"/>
  <c r="P2418" i="40"/>
  <c r="O2418" i="40"/>
  <c r="N2418" i="40"/>
  <c r="Q2417" i="40"/>
  <c r="P2417" i="40"/>
  <c r="O2417" i="40"/>
  <c r="N2417" i="40"/>
  <c r="Q2416" i="40"/>
  <c r="P2416" i="40"/>
  <c r="O2416" i="40"/>
  <c r="N2416" i="40"/>
  <c r="Q2415" i="40"/>
  <c r="P2415" i="40"/>
  <c r="O2415" i="40"/>
  <c r="N2415" i="40"/>
  <c r="Q2414" i="40"/>
  <c r="P2414" i="40"/>
  <c r="O2414" i="40"/>
  <c r="N2414" i="40"/>
  <c r="Q2413" i="40"/>
  <c r="P2413" i="40"/>
  <c r="O2413" i="40"/>
  <c r="N2413" i="40"/>
  <c r="Q2412" i="40"/>
  <c r="P2412" i="40"/>
  <c r="O2412" i="40"/>
  <c r="N2412" i="40"/>
  <c r="Q2411" i="40"/>
  <c r="P2411" i="40"/>
  <c r="O2411" i="40"/>
  <c r="N2411" i="40"/>
  <c r="Q2410" i="40"/>
  <c r="P2410" i="40"/>
  <c r="O2410" i="40"/>
  <c r="N2410" i="40"/>
  <c r="Q2409" i="40"/>
  <c r="P2409" i="40"/>
  <c r="O2409" i="40"/>
  <c r="N2409" i="40"/>
  <c r="Q2408" i="40"/>
  <c r="P2408" i="40"/>
  <c r="O2408" i="40"/>
  <c r="N2408" i="40"/>
  <c r="Q2407" i="40"/>
  <c r="P2407" i="40"/>
  <c r="O2407" i="40"/>
  <c r="N2407" i="40"/>
  <c r="Q2406" i="40"/>
  <c r="P2406" i="40"/>
  <c r="O2406" i="40"/>
  <c r="N2406" i="40"/>
  <c r="Q2405" i="40"/>
  <c r="P2405" i="40"/>
  <c r="O2405" i="40"/>
  <c r="N2405" i="40"/>
  <c r="Q2404" i="40"/>
  <c r="P2404" i="40"/>
  <c r="O2404" i="40"/>
  <c r="N2404" i="40"/>
  <c r="Q2403" i="40"/>
  <c r="P2403" i="40"/>
  <c r="O2403" i="40"/>
  <c r="N2403" i="40"/>
  <c r="Q2402" i="40"/>
  <c r="P2402" i="40"/>
  <c r="O2402" i="40"/>
  <c r="N2402" i="40"/>
  <c r="Q2401" i="40"/>
  <c r="P2401" i="40"/>
  <c r="O2401" i="40"/>
  <c r="N2401" i="40"/>
  <c r="Q2400" i="40"/>
  <c r="P2400" i="40"/>
  <c r="O2400" i="40"/>
  <c r="N2400" i="40"/>
  <c r="Q2399" i="40"/>
  <c r="P2399" i="40"/>
  <c r="O2399" i="40"/>
  <c r="N2399" i="40"/>
  <c r="Q2398" i="40"/>
  <c r="P2398" i="40"/>
  <c r="O2398" i="40"/>
  <c r="N2398" i="40"/>
  <c r="Q2397" i="40"/>
  <c r="P2397" i="40"/>
  <c r="O2397" i="40"/>
  <c r="N2397" i="40"/>
  <c r="Q2396" i="40"/>
  <c r="P2396" i="40"/>
  <c r="O2396" i="40"/>
  <c r="N2396" i="40"/>
  <c r="Q2395" i="40"/>
  <c r="P2395" i="40"/>
  <c r="O2395" i="40"/>
  <c r="N2395" i="40"/>
  <c r="Q2394" i="40"/>
  <c r="P2394" i="40"/>
  <c r="O2394" i="40"/>
  <c r="N2394" i="40"/>
  <c r="Q2393" i="40"/>
  <c r="P2393" i="40"/>
  <c r="O2393" i="40"/>
  <c r="N2393" i="40"/>
  <c r="Q2392" i="40"/>
  <c r="P2392" i="40"/>
  <c r="O2392" i="40"/>
  <c r="N2392" i="40"/>
  <c r="Q2391" i="40"/>
  <c r="P2391" i="40"/>
  <c r="O2391" i="40"/>
  <c r="N2391" i="40"/>
  <c r="Q2390" i="40"/>
  <c r="P2390" i="40"/>
  <c r="O2390" i="40"/>
  <c r="N2390" i="40"/>
  <c r="Q2389" i="40"/>
  <c r="P2389" i="40"/>
  <c r="O2389" i="40"/>
  <c r="N2389" i="40"/>
  <c r="Q2388" i="40"/>
  <c r="P2388" i="40"/>
  <c r="O2388" i="40"/>
  <c r="N2388" i="40"/>
  <c r="Q2387" i="40"/>
  <c r="P2387" i="40"/>
  <c r="O2387" i="40"/>
  <c r="N2387" i="40"/>
  <c r="Q2386" i="40"/>
  <c r="P2386" i="40"/>
  <c r="O2386" i="40"/>
  <c r="N2386" i="40"/>
  <c r="Q2385" i="40"/>
  <c r="P2385" i="40"/>
  <c r="O2385" i="40"/>
  <c r="N2385" i="40"/>
  <c r="Q2384" i="40"/>
  <c r="P2384" i="40"/>
  <c r="O2384" i="40"/>
  <c r="N2384" i="40"/>
  <c r="Q2383" i="40"/>
  <c r="P2383" i="40"/>
  <c r="O2383" i="40"/>
  <c r="N2383" i="40"/>
  <c r="Q2382" i="40"/>
  <c r="P2382" i="40"/>
  <c r="O2382" i="40"/>
  <c r="N2382" i="40"/>
  <c r="Q2381" i="40"/>
  <c r="P2381" i="40"/>
  <c r="O2381" i="40"/>
  <c r="N2381" i="40"/>
  <c r="Q2380" i="40"/>
  <c r="P2380" i="40"/>
  <c r="O2380" i="40"/>
  <c r="N2380" i="40"/>
  <c r="Q2379" i="40"/>
  <c r="P2379" i="40"/>
  <c r="O2379" i="40"/>
  <c r="N2379" i="40"/>
  <c r="Q2378" i="40"/>
  <c r="P2378" i="40"/>
  <c r="O2378" i="40"/>
  <c r="N2378" i="40"/>
  <c r="Q2377" i="40"/>
  <c r="P2377" i="40"/>
  <c r="O2377" i="40"/>
  <c r="N2377" i="40"/>
  <c r="Q2376" i="40"/>
  <c r="P2376" i="40"/>
  <c r="O2376" i="40"/>
  <c r="N2376" i="40"/>
  <c r="Q2375" i="40"/>
  <c r="P2375" i="40"/>
  <c r="O2375" i="40"/>
  <c r="N2375" i="40"/>
  <c r="Q2374" i="40"/>
  <c r="P2374" i="40"/>
  <c r="O2374" i="40"/>
  <c r="N2374" i="40"/>
  <c r="Q2373" i="40"/>
  <c r="P2373" i="40"/>
  <c r="O2373" i="40"/>
  <c r="N2373" i="40"/>
  <c r="Q2372" i="40"/>
  <c r="P2372" i="40"/>
  <c r="O2372" i="40"/>
  <c r="N2372" i="40"/>
  <c r="Q2371" i="40"/>
  <c r="P2371" i="40"/>
  <c r="O2371" i="40"/>
  <c r="N2371" i="40"/>
  <c r="Q2370" i="40"/>
  <c r="P2370" i="40"/>
  <c r="O2370" i="40"/>
  <c r="N2370" i="40"/>
  <c r="Q2369" i="40"/>
  <c r="P2369" i="40"/>
  <c r="O2369" i="40"/>
  <c r="N2369" i="40"/>
  <c r="Q2368" i="40"/>
  <c r="P2368" i="40"/>
  <c r="O2368" i="40"/>
  <c r="N2368" i="40"/>
  <c r="Q2367" i="40"/>
  <c r="P2367" i="40"/>
  <c r="O2367" i="40"/>
  <c r="N2367" i="40"/>
  <c r="Q2366" i="40"/>
  <c r="P2366" i="40"/>
  <c r="O2366" i="40"/>
  <c r="N2366" i="40"/>
  <c r="Q2365" i="40"/>
  <c r="P2365" i="40"/>
  <c r="O2365" i="40"/>
  <c r="N2365" i="40"/>
  <c r="Q2364" i="40"/>
  <c r="P2364" i="40"/>
  <c r="O2364" i="40"/>
  <c r="N2364" i="40"/>
  <c r="Q2363" i="40"/>
  <c r="P2363" i="40"/>
  <c r="O2363" i="40"/>
  <c r="N2363" i="40"/>
  <c r="Q2362" i="40"/>
  <c r="P2362" i="40"/>
  <c r="O2362" i="40"/>
  <c r="N2362" i="40"/>
  <c r="Q2361" i="40"/>
  <c r="P2361" i="40"/>
  <c r="O2361" i="40"/>
  <c r="N2361" i="40"/>
  <c r="Q2360" i="40"/>
  <c r="P2360" i="40"/>
  <c r="O2360" i="40"/>
  <c r="N2360" i="40"/>
  <c r="Q2359" i="40"/>
  <c r="P2359" i="40"/>
  <c r="O2359" i="40"/>
  <c r="N2359" i="40"/>
  <c r="Q2358" i="40"/>
  <c r="P2358" i="40"/>
  <c r="O2358" i="40"/>
  <c r="N2358" i="40"/>
  <c r="Q2357" i="40"/>
  <c r="P2357" i="40"/>
  <c r="O2357" i="40"/>
  <c r="N2357" i="40"/>
  <c r="Q2356" i="40"/>
  <c r="P2356" i="40"/>
  <c r="O2356" i="40"/>
  <c r="N2356" i="40"/>
  <c r="Q2355" i="40"/>
  <c r="P2355" i="40"/>
  <c r="O2355" i="40"/>
  <c r="N2355" i="40"/>
  <c r="Q2354" i="40"/>
  <c r="P2354" i="40"/>
  <c r="O2354" i="40"/>
  <c r="N2354" i="40"/>
  <c r="Q2353" i="40"/>
  <c r="P2353" i="40"/>
  <c r="O2353" i="40"/>
  <c r="N2353" i="40"/>
  <c r="Q2352" i="40"/>
  <c r="P2352" i="40"/>
  <c r="O2352" i="40"/>
  <c r="N2352" i="40"/>
  <c r="Q2351" i="40"/>
  <c r="P2351" i="40"/>
  <c r="O2351" i="40"/>
  <c r="N2351" i="40"/>
  <c r="Q2350" i="40"/>
  <c r="P2350" i="40"/>
  <c r="O2350" i="40"/>
  <c r="N2350" i="40"/>
  <c r="Q2349" i="40"/>
  <c r="P2349" i="40"/>
  <c r="O2349" i="40"/>
  <c r="N2349" i="40"/>
  <c r="Q2348" i="40"/>
  <c r="P2348" i="40"/>
  <c r="O2348" i="40"/>
  <c r="N2348" i="40"/>
  <c r="Q2347" i="40"/>
  <c r="P2347" i="40"/>
  <c r="O2347" i="40"/>
  <c r="N2347" i="40"/>
  <c r="Q2346" i="40"/>
  <c r="P2346" i="40"/>
  <c r="O2346" i="40"/>
  <c r="N2346" i="40"/>
  <c r="Q2345" i="40"/>
  <c r="P2345" i="40"/>
  <c r="O2345" i="40"/>
  <c r="N2345" i="40"/>
  <c r="Q2344" i="40"/>
  <c r="P2344" i="40"/>
  <c r="O2344" i="40"/>
  <c r="N2344" i="40"/>
  <c r="Q2343" i="40"/>
  <c r="P2343" i="40"/>
  <c r="O2343" i="40"/>
  <c r="N2343" i="40"/>
  <c r="Q2342" i="40"/>
  <c r="P2342" i="40"/>
  <c r="O2342" i="40"/>
  <c r="N2342" i="40"/>
  <c r="Q2341" i="40"/>
  <c r="P2341" i="40"/>
  <c r="O2341" i="40"/>
  <c r="N2341" i="40"/>
  <c r="Q2340" i="40"/>
  <c r="P2340" i="40"/>
  <c r="O2340" i="40"/>
  <c r="N2340" i="40"/>
  <c r="Q2339" i="40"/>
  <c r="P2339" i="40"/>
  <c r="O2339" i="40"/>
  <c r="N2339" i="40"/>
  <c r="Q2338" i="40"/>
  <c r="P2338" i="40"/>
  <c r="O2338" i="40"/>
  <c r="N2338" i="40"/>
  <c r="Q2337" i="40"/>
  <c r="P2337" i="40"/>
  <c r="O2337" i="40"/>
  <c r="N2337" i="40"/>
  <c r="Q2336" i="40"/>
  <c r="P2336" i="40"/>
  <c r="O2336" i="40"/>
  <c r="N2336" i="40"/>
  <c r="Q2335" i="40"/>
  <c r="P2335" i="40"/>
  <c r="O2335" i="40"/>
  <c r="N2335" i="40"/>
  <c r="Q2334" i="40"/>
  <c r="P2334" i="40"/>
  <c r="O2334" i="40"/>
  <c r="N2334" i="40"/>
  <c r="Q2333" i="40"/>
  <c r="P2333" i="40"/>
  <c r="O2333" i="40"/>
  <c r="N2333" i="40"/>
  <c r="Q2332" i="40"/>
  <c r="P2332" i="40"/>
  <c r="O2332" i="40"/>
  <c r="N2332" i="40"/>
  <c r="Q2331" i="40"/>
  <c r="P2331" i="40"/>
  <c r="O2331" i="40"/>
  <c r="N2331" i="40"/>
  <c r="Q2330" i="40"/>
  <c r="P2330" i="40"/>
  <c r="O2330" i="40"/>
  <c r="N2330" i="40"/>
  <c r="Q2329" i="40"/>
  <c r="P2329" i="40"/>
  <c r="O2329" i="40"/>
  <c r="N2329" i="40"/>
  <c r="Q2328" i="40"/>
  <c r="P2328" i="40"/>
  <c r="O2328" i="40"/>
  <c r="N2328" i="40"/>
  <c r="Q2327" i="40"/>
  <c r="P2327" i="40"/>
  <c r="O2327" i="40"/>
  <c r="N2327" i="40"/>
  <c r="Q2326" i="40"/>
  <c r="P2326" i="40"/>
  <c r="O2326" i="40"/>
  <c r="N2326" i="40"/>
  <c r="Q2325" i="40"/>
  <c r="P2325" i="40"/>
  <c r="O2325" i="40"/>
  <c r="N2325" i="40"/>
  <c r="Q2324" i="40"/>
  <c r="P2324" i="40"/>
  <c r="O2324" i="40"/>
  <c r="N2324" i="40"/>
  <c r="Q2323" i="40"/>
  <c r="P2323" i="40"/>
  <c r="O2323" i="40"/>
  <c r="N2323" i="40"/>
  <c r="Q2322" i="40"/>
  <c r="P2322" i="40"/>
  <c r="O2322" i="40"/>
  <c r="N2322" i="40"/>
  <c r="Q2321" i="40"/>
  <c r="P2321" i="40"/>
  <c r="O2321" i="40"/>
  <c r="N2321" i="40"/>
  <c r="Q2320" i="40"/>
  <c r="P2320" i="40"/>
  <c r="O2320" i="40"/>
  <c r="N2320" i="40"/>
  <c r="Q2319" i="40"/>
  <c r="P2319" i="40"/>
  <c r="O2319" i="40"/>
  <c r="N2319" i="40"/>
  <c r="Q2318" i="40"/>
  <c r="P2318" i="40"/>
  <c r="O2318" i="40"/>
  <c r="N2318" i="40"/>
  <c r="Q2317" i="40"/>
  <c r="P2317" i="40"/>
  <c r="O2317" i="40"/>
  <c r="N2317" i="40"/>
  <c r="Q2316" i="40"/>
  <c r="P2316" i="40"/>
  <c r="O2316" i="40"/>
  <c r="N2316" i="40"/>
  <c r="Q2315" i="40"/>
  <c r="P2315" i="40"/>
  <c r="O2315" i="40"/>
  <c r="N2315" i="40"/>
  <c r="Q2314" i="40"/>
  <c r="P2314" i="40"/>
  <c r="O2314" i="40"/>
  <c r="N2314" i="40"/>
  <c r="Q2313" i="40"/>
  <c r="P2313" i="40"/>
  <c r="O2313" i="40"/>
  <c r="N2313" i="40"/>
  <c r="Q2312" i="40"/>
  <c r="P2312" i="40"/>
  <c r="O2312" i="40"/>
  <c r="N2312" i="40"/>
  <c r="Q2311" i="40"/>
  <c r="P2311" i="40"/>
  <c r="O2311" i="40"/>
  <c r="N2311" i="40"/>
  <c r="Q2310" i="40"/>
  <c r="P2310" i="40"/>
  <c r="O2310" i="40"/>
  <c r="N2310" i="40"/>
  <c r="Q2309" i="40"/>
  <c r="P2309" i="40"/>
  <c r="O2309" i="40"/>
  <c r="N2309" i="40"/>
  <c r="Q2308" i="40"/>
  <c r="P2308" i="40"/>
  <c r="O2308" i="40"/>
  <c r="N2308" i="40"/>
  <c r="Q2307" i="40"/>
  <c r="P2307" i="40"/>
  <c r="O2307" i="40"/>
  <c r="N2307" i="40"/>
  <c r="Q2306" i="40"/>
  <c r="P2306" i="40"/>
  <c r="O2306" i="40"/>
  <c r="N2306" i="40"/>
  <c r="Q2305" i="40"/>
  <c r="P2305" i="40"/>
  <c r="O2305" i="40"/>
  <c r="N2305" i="40"/>
  <c r="Q2304" i="40"/>
  <c r="P2304" i="40"/>
  <c r="O2304" i="40"/>
  <c r="N2304" i="40"/>
  <c r="Q2303" i="40"/>
  <c r="P2303" i="40"/>
  <c r="O2303" i="40"/>
  <c r="N2303" i="40"/>
  <c r="Q2302" i="40"/>
  <c r="P2302" i="40"/>
  <c r="O2302" i="40"/>
  <c r="N2302" i="40"/>
  <c r="Q2301" i="40"/>
  <c r="P2301" i="40"/>
  <c r="O2301" i="40"/>
  <c r="N2301" i="40"/>
  <c r="Q2300" i="40"/>
  <c r="P2300" i="40"/>
  <c r="O2300" i="40"/>
  <c r="N2300" i="40"/>
  <c r="Q2299" i="40"/>
  <c r="P2299" i="40"/>
  <c r="O2299" i="40"/>
  <c r="N2299" i="40"/>
  <c r="Q2298" i="40"/>
  <c r="P2298" i="40"/>
  <c r="O2298" i="40"/>
  <c r="N2298" i="40"/>
  <c r="Q2297" i="40"/>
  <c r="P2297" i="40"/>
  <c r="O2297" i="40"/>
  <c r="N2297" i="40"/>
  <c r="Q2296" i="40"/>
  <c r="P2296" i="40"/>
  <c r="O2296" i="40"/>
  <c r="N2296" i="40"/>
  <c r="Q2295" i="40"/>
  <c r="P2295" i="40"/>
  <c r="O2295" i="40"/>
  <c r="N2295" i="40"/>
  <c r="Q2294" i="40"/>
  <c r="P2294" i="40"/>
  <c r="O2294" i="40"/>
  <c r="N2294" i="40"/>
  <c r="Q2293" i="40"/>
  <c r="P2293" i="40"/>
  <c r="O2293" i="40"/>
  <c r="N2293" i="40"/>
  <c r="Q2292" i="40"/>
  <c r="P2292" i="40"/>
  <c r="O2292" i="40"/>
  <c r="N2292" i="40"/>
  <c r="Q2291" i="40"/>
  <c r="P2291" i="40"/>
  <c r="O2291" i="40"/>
  <c r="N2291" i="40"/>
  <c r="Q2290" i="40"/>
  <c r="P2290" i="40"/>
  <c r="O2290" i="40"/>
  <c r="N2290" i="40"/>
  <c r="Q2289" i="40"/>
  <c r="P2289" i="40"/>
  <c r="O2289" i="40"/>
  <c r="N2289" i="40"/>
  <c r="Q2288" i="40"/>
  <c r="P2288" i="40"/>
  <c r="O2288" i="40"/>
  <c r="N2288" i="40"/>
  <c r="Q2287" i="40"/>
  <c r="P2287" i="40"/>
  <c r="O2287" i="40"/>
  <c r="N2287" i="40"/>
  <c r="Q2286" i="40"/>
  <c r="P2286" i="40"/>
  <c r="O2286" i="40"/>
  <c r="N2286" i="40"/>
  <c r="Q2285" i="40"/>
  <c r="P2285" i="40"/>
  <c r="O2285" i="40"/>
  <c r="N2285" i="40"/>
  <c r="Q2284" i="40"/>
  <c r="P2284" i="40"/>
  <c r="O2284" i="40"/>
  <c r="N2284" i="40"/>
  <c r="Q2283" i="40"/>
  <c r="P2283" i="40"/>
  <c r="O2283" i="40"/>
  <c r="N2283" i="40"/>
  <c r="Q2282" i="40"/>
  <c r="P2282" i="40"/>
  <c r="O2282" i="40"/>
  <c r="N2282" i="40"/>
  <c r="Q2281" i="40"/>
  <c r="P2281" i="40"/>
  <c r="O2281" i="40"/>
  <c r="N2281" i="40"/>
  <c r="Q2280" i="40"/>
  <c r="P2280" i="40"/>
  <c r="O2280" i="40"/>
  <c r="N2280" i="40"/>
  <c r="Q2279" i="40"/>
  <c r="P2279" i="40"/>
  <c r="O2279" i="40"/>
  <c r="N2279" i="40"/>
  <c r="Q2278" i="40"/>
  <c r="P2278" i="40"/>
  <c r="O2278" i="40"/>
  <c r="N2278" i="40"/>
  <c r="Q2277" i="40"/>
  <c r="P2277" i="40"/>
  <c r="O2277" i="40"/>
  <c r="N2277" i="40"/>
  <c r="Q2276" i="40"/>
  <c r="P2276" i="40"/>
  <c r="O2276" i="40"/>
  <c r="N2276" i="40"/>
  <c r="Q2275" i="40"/>
  <c r="P2275" i="40"/>
  <c r="O2275" i="40"/>
  <c r="N2275" i="40"/>
  <c r="Q2274" i="40"/>
  <c r="P2274" i="40"/>
  <c r="O2274" i="40"/>
  <c r="N2274" i="40"/>
  <c r="Q2273" i="40"/>
  <c r="P2273" i="40"/>
  <c r="O2273" i="40"/>
  <c r="N2273" i="40"/>
  <c r="Q2272" i="40"/>
  <c r="P2272" i="40"/>
  <c r="O2272" i="40"/>
  <c r="N2272" i="40"/>
  <c r="Q2271" i="40"/>
  <c r="P2271" i="40"/>
  <c r="O2271" i="40"/>
  <c r="N2271" i="40"/>
  <c r="Q2270" i="40"/>
  <c r="P2270" i="40"/>
  <c r="O2270" i="40"/>
  <c r="N2270" i="40"/>
  <c r="Q2269" i="40"/>
  <c r="P2269" i="40"/>
  <c r="O2269" i="40"/>
  <c r="N2269" i="40"/>
  <c r="Q2268" i="40"/>
  <c r="P2268" i="40"/>
  <c r="O2268" i="40"/>
  <c r="N2268" i="40"/>
  <c r="Q2267" i="40"/>
  <c r="P2267" i="40"/>
  <c r="O2267" i="40"/>
  <c r="N2267" i="40"/>
  <c r="Q2266" i="40"/>
  <c r="P2266" i="40"/>
  <c r="O2266" i="40"/>
  <c r="N2266" i="40"/>
  <c r="Q2265" i="40"/>
  <c r="P2265" i="40"/>
  <c r="O2265" i="40"/>
  <c r="N2265" i="40"/>
  <c r="Q2264" i="40"/>
  <c r="P2264" i="40"/>
  <c r="O2264" i="40"/>
  <c r="N2264" i="40"/>
  <c r="Q2263" i="40"/>
  <c r="P2263" i="40"/>
  <c r="O2263" i="40"/>
  <c r="N2263" i="40"/>
  <c r="Q2262" i="40"/>
  <c r="P2262" i="40"/>
  <c r="O2262" i="40"/>
  <c r="N2262" i="40"/>
  <c r="Q2261" i="40"/>
  <c r="P2261" i="40"/>
  <c r="O2261" i="40"/>
  <c r="N2261" i="40"/>
  <c r="Q2260" i="40"/>
  <c r="P2260" i="40"/>
  <c r="O2260" i="40"/>
  <c r="N2260" i="40"/>
  <c r="Q2259" i="40"/>
  <c r="P2259" i="40"/>
  <c r="O2259" i="40"/>
  <c r="N2259" i="40"/>
  <c r="Q2258" i="40"/>
  <c r="P2258" i="40"/>
  <c r="O2258" i="40"/>
  <c r="N2258" i="40"/>
  <c r="Q2257" i="40"/>
  <c r="P2257" i="40"/>
  <c r="O2257" i="40"/>
  <c r="N2257" i="40"/>
  <c r="Q2256" i="40"/>
  <c r="P2256" i="40"/>
  <c r="O2256" i="40"/>
  <c r="N2256" i="40"/>
  <c r="Q2255" i="40"/>
  <c r="P2255" i="40"/>
  <c r="O2255" i="40"/>
  <c r="N2255" i="40"/>
  <c r="Q2254" i="40"/>
  <c r="P2254" i="40"/>
  <c r="O2254" i="40"/>
  <c r="N2254" i="40"/>
  <c r="Q2253" i="40"/>
  <c r="P2253" i="40"/>
  <c r="O2253" i="40"/>
  <c r="N2253" i="40"/>
  <c r="Q2252" i="40"/>
  <c r="P2252" i="40"/>
  <c r="O2252" i="40"/>
  <c r="N2252" i="40"/>
  <c r="Q2251" i="40"/>
  <c r="P2251" i="40"/>
  <c r="O2251" i="40"/>
  <c r="N2251" i="40"/>
  <c r="Q2250" i="40"/>
  <c r="P2250" i="40"/>
  <c r="O2250" i="40"/>
  <c r="N2250" i="40"/>
  <c r="Q2249" i="40"/>
  <c r="P2249" i="40"/>
  <c r="O2249" i="40"/>
  <c r="N2249" i="40"/>
  <c r="Q2248" i="40"/>
  <c r="P2248" i="40"/>
  <c r="O2248" i="40"/>
  <c r="N2248" i="40"/>
  <c r="Q2247" i="40"/>
  <c r="P2247" i="40"/>
  <c r="O2247" i="40"/>
  <c r="N2247" i="40"/>
  <c r="Q2246" i="40"/>
  <c r="P2246" i="40"/>
  <c r="O2246" i="40"/>
  <c r="N2246" i="40"/>
  <c r="Q2245" i="40"/>
  <c r="P2245" i="40"/>
  <c r="O2245" i="40"/>
  <c r="N2245" i="40"/>
  <c r="Q2244" i="40"/>
  <c r="P2244" i="40"/>
  <c r="O2244" i="40"/>
  <c r="N2244" i="40"/>
  <c r="Q2243" i="40"/>
  <c r="P2243" i="40"/>
  <c r="O2243" i="40"/>
  <c r="N2243" i="40"/>
  <c r="Q2242" i="40"/>
  <c r="P2242" i="40"/>
  <c r="O2242" i="40"/>
  <c r="N2242" i="40"/>
  <c r="Q2241" i="40"/>
  <c r="P2241" i="40"/>
  <c r="O2241" i="40"/>
  <c r="N2241" i="40"/>
  <c r="Q2240" i="40"/>
  <c r="P2240" i="40"/>
  <c r="O2240" i="40"/>
  <c r="N2240" i="40"/>
  <c r="Q2239" i="40"/>
  <c r="P2239" i="40"/>
  <c r="O2239" i="40"/>
  <c r="N2239" i="40"/>
  <c r="Q2238" i="40"/>
  <c r="P2238" i="40"/>
  <c r="O2238" i="40"/>
  <c r="N2238" i="40"/>
  <c r="Q2237" i="40"/>
  <c r="P2237" i="40"/>
  <c r="O2237" i="40"/>
  <c r="N2237" i="40"/>
  <c r="Q2236" i="40"/>
  <c r="P2236" i="40"/>
  <c r="O2236" i="40"/>
  <c r="N2236" i="40"/>
  <c r="Q2235" i="40"/>
  <c r="P2235" i="40"/>
  <c r="O2235" i="40"/>
  <c r="N2235" i="40"/>
  <c r="Q2234" i="40"/>
  <c r="P2234" i="40"/>
  <c r="O2234" i="40"/>
  <c r="N2234" i="40"/>
  <c r="Q2233" i="40"/>
  <c r="P2233" i="40"/>
  <c r="O2233" i="40"/>
  <c r="N2233" i="40"/>
  <c r="Q2232" i="40"/>
  <c r="P2232" i="40"/>
  <c r="O2232" i="40"/>
  <c r="N2232" i="40"/>
  <c r="Q2231" i="40"/>
  <c r="P2231" i="40"/>
  <c r="O2231" i="40"/>
  <c r="N2231" i="40"/>
  <c r="Q2230" i="40"/>
  <c r="P2230" i="40"/>
  <c r="O2230" i="40"/>
  <c r="N2230" i="40"/>
  <c r="Q2229" i="40"/>
  <c r="P2229" i="40"/>
  <c r="O2229" i="40"/>
  <c r="N2229" i="40"/>
  <c r="Q2228" i="40"/>
  <c r="P2228" i="40"/>
  <c r="O2228" i="40"/>
  <c r="N2228" i="40"/>
  <c r="Q2227" i="40"/>
  <c r="P2227" i="40"/>
  <c r="O2227" i="40"/>
  <c r="N2227" i="40"/>
  <c r="Q2226" i="40"/>
  <c r="P2226" i="40"/>
  <c r="O2226" i="40"/>
  <c r="N2226" i="40"/>
  <c r="Q2225" i="40"/>
  <c r="P2225" i="40"/>
  <c r="O2225" i="40"/>
  <c r="N2225" i="40"/>
  <c r="Q2224" i="40"/>
  <c r="P2224" i="40"/>
  <c r="O2224" i="40"/>
  <c r="N2224" i="40"/>
  <c r="Q2223" i="40"/>
  <c r="P2223" i="40"/>
  <c r="O2223" i="40"/>
  <c r="N2223" i="40"/>
  <c r="Q2222" i="40"/>
  <c r="P2222" i="40"/>
  <c r="O2222" i="40"/>
  <c r="N2222" i="40"/>
  <c r="Q2221" i="40"/>
  <c r="P2221" i="40"/>
  <c r="O2221" i="40"/>
  <c r="N2221" i="40"/>
  <c r="Q2220" i="40"/>
  <c r="P2220" i="40"/>
  <c r="O2220" i="40"/>
  <c r="N2220" i="40"/>
  <c r="Q2219" i="40"/>
  <c r="P2219" i="40"/>
  <c r="O2219" i="40"/>
  <c r="N2219" i="40"/>
  <c r="Q2218" i="40"/>
  <c r="P2218" i="40"/>
  <c r="O2218" i="40"/>
  <c r="N2218" i="40"/>
  <c r="Q2217" i="40"/>
  <c r="P2217" i="40"/>
  <c r="O2217" i="40"/>
  <c r="N2217" i="40"/>
  <c r="Q2216" i="40"/>
  <c r="P2216" i="40"/>
  <c r="O2216" i="40"/>
  <c r="N2216" i="40"/>
  <c r="Q2215" i="40"/>
  <c r="P2215" i="40"/>
  <c r="O2215" i="40"/>
  <c r="N2215" i="40"/>
  <c r="Q2214" i="40"/>
  <c r="P2214" i="40"/>
  <c r="O2214" i="40"/>
  <c r="N2214" i="40"/>
  <c r="Q2213" i="40"/>
  <c r="P2213" i="40"/>
  <c r="O2213" i="40"/>
  <c r="N2213" i="40"/>
  <c r="Q2212" i="40"/>
  <c r="P2212" i="40"/>
  <c r="O2212" i="40"/>
  <c r="N2212" i="40"/>
  <c r="Q2211" i="40"/>
  <c r="P2211" i="40"/>
  <c r="O2211" i="40"/>
  <c r="N2211" i="40"/>
  <c r="Q2210" i="40"/>
  <c r="P2210" i="40"/>
  <c r="O2210" i="40"/>
  <c r="N2210" i="40"/>
  <c r="Q2209" i="40"/>
  <c r="P2209" i="40"/>
  <c r="O2209" i="40"/>
  <c r="N2209" i="40"/>
  <c r="Q2208" i="40"/>
  <c r="P2208" i="40"/>
  <c r="O2208" i="40"/>
  <c r="N2208" i="40"/>
  <c r="Q2207" i="40"/>
  <c r="P2207" i="40"/>
  <c r="O2207" i="40"/>
  <c r="N2207" i="40"/>
  <c r="Q2206" i="40"/>
  <c r="P2206" i="40"/>
  <c r="O2206" i="40"/>
  <c r="N2206" i="40"/>
  <c r="Q2205" i="40"/>
  <c r="P2205" i="40"/>
  <c r="O2205" i="40"/>
  <c r="N2205" i="40"/>
  <c r="Q2204" i="40"/>
  <c r="P2204" i="40"/>
  <c r="O2204" i="40"/>
  <c r="N2204" i="40"/>
  <c r="Q2203" i="40"/>
  <c r="P2203" i="40"/>
  <c r="O2203" i="40"/>
  <c r="N2203" i="40"/>
  <c r="Q2202" i="40"/>
  <c r="P2202" i="40"/>
  <c r="O2202" i="40"/>
  <c r="N2202" i="40"/>
  <c r="Q2201" i="40"/>
  <c r="P2201" i="40"/>
  <c r="O2201" i="40"/>
  <c r="N2201" i="40"/>
  <c r="Q2200" i="40"/>
  <c r="P2200" i="40"/>
  <c r="O2200" i="40"/>
  <c r="N2200" i="40"/>
  <c r="Q2199" i="40"/>
  <c r="P2199" i="40"/>
  <c r="O2199" i="40"/>
  <c r="N2199" i="40"/>
  <c r="Q2198" i="40"/>
  <c r="P2198" i="40"/>
  <c r="O2198" i="40"/>
  <c r="N2198" i="40"/>
  <c r="Q2197" i="40"/>
  <c r="P2197" i="40"/>
  <c r="O2197" i="40"/>
  <c r="N2197" i="40"/>
  <c r="Q2196" i="40"/>
  <c r="P2196" i="40"/>
  <c r="O2196" i="40"/>
  <c r="N2196" i="40"/>
  <c r="Q2195" i="40"/>
  <c r="P2195" i="40"/>
  <c r="O2195" i="40"/>
  <c r="N2195" i="40"/>
  <c r="Q2194" i="40"/>
  <c r="P2194" i="40"/>
  <c r="O2194" i="40"/>
  <c r="N2194" i="40"/>
  <c r="Q2193" i="40"/>
  <c r="P2193" i="40"/>
  <c r="O2193" i="40"/>
  <c r="N2193" i="40"/>
  <c r="Q2192" i="40"/>
  <c r="P2192" i="40"/>
  <c r="O2192" i="40"/>
  <c r="N2192" i="40"/>
  <c r="Q2191" i="40"/>
  <c r="P2191" i="40"/>
  <c r="O2191" i="40"/>
  <c r="N2191" i="40"/>
  <c r="Q2190" i="40"/>
  <c r="P2190" i="40"/>
  <c r="O2190" i="40"/>
  <c r="N2190" i="40"/>
  <c r="Q2189" i="40"/>
  <c r="P2189" i="40"/>
  <c r="O2189" i="40"/>
  <c r="N2189" i="40"/>
  <c r="Q2188" i="40"/>
  <c r="P2188" i="40"/>
  <c r="O2188" i="40"/>
  <c r="N2188" i="40"/>
  <c r="Q2187" i="40"/>
  <c r="P2187" i="40"/>
  <c r="O2187" i="40"/>
  <c r="N2187" i="40"/>
  <c r="Q2186" i="40"/>
  <c r="P2186" i="40"/>
  <c r="O2186" i="40"/>
  <c r="N2186" i="40"/>
  <c r="Q2185" i="40"/>
  <c r="P2185" i="40"/>
  <c r="O2185" i="40"/>
  <c r="N2185" i="40"/>
  <c r="Q2184" i="40"/>
  <c r="P2184" i="40"/>
  <c r="O2184" i="40"/>
  <c r="N2184" i="40"/>
  <c r="Q2183" i="40"/>
  <c r="P2183" i="40"/>
  <c r="O2183" i="40"/>
  <c r="N2183" i="40"/>
  <c r="Q2182" i="40"/>
  <c r="P2182" i="40"/>
  <c r="O2182" i="40"/>
  <c r="N2182" i="40"/>
  <c r="Q2181" i="40"/>
  <c r="P2181" i="40"/>
  <c r="O2181" i="40"/>
  <c r="N2181" i="40"/>
  <c r="Q2180" i="40"/>
  <c r="P2180" i="40"/>
  <c r="O2180" i="40"/>
  <c r="N2180" i="40"/>
  <c r="Q2179" i="40"/>
  <c r="P2179" i="40"/>
  <c r="O2179" i="40"/>
  <c r="N2179" i="40"/>
  <c r="Q2178" i="40"/>
  <c r="P2178" i="40"/>
  <c r="O2178" i="40"/>
  <c r="N2178" i="40"/>
  <c r="Q2177" i="40"/>
  <c r="P2177" i="40"/>
  <c r="O2177" i="40"/>
  <c r="N2177" i="40"/>
  <c r="Q2176" i="40"/>
  <c r="P2176" i="40"/>
  <c r="O2176" i="40"/>
  <c r="N2176" i="40"/>
  <c r="Q2175" i="40"/>
  <c r="P2175" i="40"/>
  <c r="O2175" i="40"/>
  <c r="N2175" i="40"/>
  <c r="Q2174" i="40"/>
  <c r="P2174" i="40"/>
  <c r="O2174" i="40"/>
  <c r="N2174" i="40"/>
  <c r="Q2173" i="40"/>
  <c r="P2173" i="40"/>
  <c r="O2173" i="40"/>
  <c r="N2173" i="40"/>
  <c r="Q2172" i="40"/>
  <c r="P2172" i="40"/>
  <c r="O2172" i="40"/>
  <c r="N2172" i="40"/>
  <c r="Q2171" i="40"/>
  <c r="P2171" i="40"/>
  <c r="O2171" i="40"/>
  <c r="N2171" i="40"/>
  <c r="Q2170" i="40"/>
  <c r="P2170" i="40"/>
  <c r="O2170" i="40"/>
  <c r="N2170" i="40"/>
  <c r="Q2169" i="40"/>
  <c r="P2169" i="40"/>
  <c r="O2169" i="40"/>
  <c r="N2169" i="40"/>
  <c r="Q2168" i="40"/>
  <c r="P2168" i="40"/>
  <c r="O2168" i="40"/>
  <c r="N2168" i="40"/>
  <c r="Q2167" i="40"/>
  <c r="P2167" i="40"/>
  <c r="O2167" i="40"/>
  <c r="N2167" i="40"/>
  <c r="Q2166" i="40"/>
  <c r="P2166" i="40"/>
  <c r="O2166" i="40"/>
  <c r="N2166" i="40"/>
  <c r="Q2165" i="40"/>
  <c r="P2165" i="40"/>
  <c r="O2165" i="40"/>
  <c r="N2165" i="40"/>
  <c r="Q2164" i="40"/>
  <c r="P2164" i="40"/>
  <c r="O2164" i="40"/>
  <c r="N2164" i="40"/>
  <c r="Q2163" i="40"/>
  <c r="P2163" i="40"/>
  <c r="O2163" i="40"/>
  <c r="N2163" i="40"/>
  <c r="Q2162" i="40"/>
  <c r="P2162" i="40"/>
  <c r="O2162" i="40"/>
  <c r="N2162" i="40"/>
  <c r="Q2161" i="40"/>
  <c r="P2161" i="40"/>
  <c r="O2161" i="40"/>
  <c r="N2161" i="40"/>
  <c r="Q2160" i="40"/>
  <c r="P2160" i="40"/>
  <c r="O2160" i="40"/>
  <c r="N2160" i="40"/>
  <c r="Q2159" i="40"/>
  <c r="P2159" i="40"/>
  <c r="O2159" i="40"/>
  <c r="N2159" i="40"/>
  <c r="Q2158" i="40"/>
  <c r="P2158" i="40"/>
  <c r="O2158" i="40"/>
  <c r="N2158" i="40"/>
  <c r="Q2157" i="40"/>
  <c r="P2157" i="40"/>
  <c r="O2157" i="40"/>
  <c r="N2157" i="40"/>
  <c r="Q2156" i="40"/>
  <c r="P2156" i="40"/>
  <c r="O2156" i="40"/>
  <c r="N2156" i="40"/>
  <c r="Q2155" i="40"/>
  <c r="P2155" i="40"/>
  <c r="O2155" i="40"/>
  <c r="N2155" i="40"/>
  <c r="Q2154" i="40"/>
  <c r="P2154" i="40"/>
  <c r="O2154" i="40"/>
  <c r="N2154" i="40"/>
  <c r="Q2153" i="40"/>
  <c r="P2153" i="40"/>
  <c r="O2153" i="40"/>
  <c r="N2153" i="40"/>
  <c r="Q2152" i="40"/>
  <c r="P2152" i="40"/>
  <c r="O2152" i="40"/>
  <c r="N2152" i="40"/>
  <c r="Q2151" i="40"/>
  <c r="P2151" i="40"/>
  <c r="O2151" i="40"/>
  <c r="N2151" i="40"/>
  <c r="Q2150" i="40"/>
  <c r="P2150" i="40"/>
  <c r="O2150" i="40"/>
  <c r="N2150" i="40"/>
  <c r="Q2149" i="40"/>
  <c r="P2149" i="40"/>
  <c r="O2149" i="40"/>
  <c r="N2149" i="40"/>
  <c r="Q2148" i="40"/>
  <c r="P2148" i="40"/>
  <c r="O2148" i="40"/>
  <c r="N2148" i="40"/>
  <c r="Q2147" i="40"/>
  <c r="P2147" i="40"/>
  <c r="O2147" i="40"/>
  <c r="N2147" i="40"/>
  <c r="Q2146" i="40"/>
  <c r="P2146" i="40"/>
  <c r="O2146" i="40"/>
  <c r="N2146" i="40"/>
  <c r="Q2145" i="40"/>
  <c r="P2145" i="40"/>
  <c r="O2145" i="40"/>
  <c r="N2145" i="40"/>
  <c r="Q2144" i="40"/>
  <c r="P2144" i="40"/>
  <c r="O2144" i="40"/>
  <c r="N2144" i="40"/>
  <c r="Q2143" i="40"/>
  <c r="P2143" i="40"/>
  <c r="O2143" i="40"/>
  <c r="N2143" i="40"/>
  <c r="Q2142" i="40"/>
  <c r="P2142" i="40"/>
  <c r="O2142" i="40"/>
  <c r="N2142" i="40"/>
  <c r="Q2141" i="40"/>
  <c r="P2141" i="40"/>
  <c r="O2141" i="40"/>
  <c r="N2141" i="40"/>
  <c r="Q2140" i="40"/>
  <c r="P2140" i="40"/>
  <c r="O2140" i="40"/>
  <c r="N2140" i="40"/>
  <c r="Q2139" i="40"/>
  <c r="P2139" i="40"/>
  <c r="O2139" i="40"/>
  <c r="N2139" i="40"/>
  <c r="Q2138" i="40"/>
  <c r="P2138" i="40"/>
  <c r="O2138" i="40"/>
  <c r="N2138" i="40"/>
  <c r="Q2137" i="40"/>
  <c r="P2137" i="40"/>
  <c r="O2137" i="40"/>
  <c r="N2137" i="40"/>
  <c r="Q2136" i="40"/>
  <c r="P2136" i="40"/>
  <c r="O2136" i="40"/>
  <c r="N2136" i="40"/>
  <c r="Q2135" i="40"/>
  <c r="P2135" i="40"/>
  <c r="O2135" i="40"/>
  <c r="N2135" i="40"/>
  <c r="Q2134" i="40"/>
  <c r="P2134" i="40"/>
  <c r="O2134" i="40"/>
  <c r="N2134" i="40"/>
  <c r="Q2133" i="40"/>
  <c r="P2133" i="40"/>
  <c r="O2133" i="40"/>
  <c r="N2133" i="40"/>
  <c r="Q2132" i="40"/>
  <c r="P2132" i="40"/>
  <c r="O2132" i="40"/>
  <c r="N2132" i="40"/>
  <c r="Q2131" i="40"/>
  <c r="P2131" i="40"/>
  <c r="O2131" i="40"/>
  <c r="N2131" i="40"/>
  <c r="Q2130" i="40"/>
  <c r="P2130" i="40"/>
  <c r="O2130" i="40"/>
  <c r="N2130" i="40"/>
  <c r="Q2129" i="40"/>
  <c r="P2129" i="40"/>
  <c r="O2129" i="40"/>
  <c r="N2129" i="40"/>
  <c r="Q2128" i="40"/>
  <c r="P2128" i="40"/>
  <c r="O2128" i="40"/>
  <c r="N2128" i="40"/>
  <c r="Q2127" i="40"/>
  <c r="P2127" i="40"/>
  <c r="O2127" i="40"/>
  <c r="N2127" i="40"/>
  <c r="Q2126" i="40"/>
  <c r="P2126" i="40"/>
  <c r="O2126" i="40"/>
  <c r="N2126" i="40"/>
  <c r="Q2125" i="40"/>
  <c r="P2125" i="40"/>
  <c r="O2125" i="40"/>
  <c r="N2125" i="40"/>
  <c r="Q2124" i="40"/>
  <c r="P2124" i="40"/>
  <c r="O2124" i="40"/>
  <c r="N2124" i="40"/>
  <c r="Q2123" i="40"/>
  <c r="P2123" i="40"/>
  <c r="O2123" i="40"/>
  <c r="N2123" i="40"/>
  <c r="Q2122" i="40"/>
  <c r="P2122" i="40"/>
  <c r="O2122" i="40"/>
  <c r="N2122" i="40"/>
  <c r="Q2121" i="40"/>
  <c r="P2121" i="40"/>
  <c r="O2121" i="40"/>
  <c r="N2121" i="40"/>
  <c r="Q2120" i="40"/>
  <c r="P2120" i="40"/>
  <c r="O2120" i="40"/>
  <c r="N2120" i="40"/>
  <c r="Q2119" i="40"/>
  <c r="P2119" i="40"/>
  <c r="O2119" i="40"/>
  <c r="N2119" i="40"/>
  <c r="Q2118" i="40"/>
  <c r="P2118" i="40"/>
  <c r="O2118" i="40"/>
  <c r="N2118" i="40"/>
  <c r="Q2117" i="40"/>
  <c r="P2117" i="40"/>
  <c r="O2117" i="40"/>
  <c r="N2117" i="40"/>
  <c r="Q2116" i="40"/>
  <c r="P2116" i="40"/>
  <c r="O2116" i="40"/>
  <c r="N2116" i="40"/>
  <c r="Q2115" i="40"/>
  <c r="P2115" i="40"/>
  <c r="O2115" i="40"/>
  <c r="N2115" i="40"/>
  <c r="Q2114" i="40"/>
  <c r="P2114" i="40"/>
  <c r="O2114" i="40"/>
  <c r="N2114" i="40"/>
  <c r="Q2113" i="40"/>
  <c r="P2113" i="40"/>
  <c r="O2113" i="40"/>
  <c r="N2113" i="40"/>
  <c r="Q2112" i="40"/>
  <c r="P2112" i="40"/>
  <c r="O2112" i="40"/>
  <c r="N2112" i="40"/>
  <c r="Q2111" i="40"/>
  <c r="P2111" i="40"/>
  <c r="O2111" i="40"/>
  <c r="N2111" i="40"/>
  <c r="Q2110" i="40"/>
  <c r="P2110" i="40"/>
  <c r="O2110" i="40"/>
  <c r="N2110" i="40"/>
  <c r="Q2109" i="40"/>
  <c r="P2109" i="40"/>
  <c r="O2109" i="40"/>
  <c r="N2109" i="40"/>
  <c r="Q2108" i="40"/>
  <c r="P2108" i="40"/>
  <c r="O2108" i="40"/>
  <c r="N2108" i="40"/>
  <c r="Q2107" i="40"/>
  <c r="P2107" i="40"/>
  <c r="O2107" i="40"/>
  <c r="N2107" i="40"/>
  <c r="Q2106" i="40"/>
  <c r="P2106" i="40"/>
  <c r="O2106" i="40"/>
  <c r="N2106" i="40"/>
  <c r="Q2105" i="40"/>
  <c r="P2105" i="40"/>
  <c r="O2105" i="40"/>
  <c r="N2105" i="40"/>
  <c r="Q2104" i="40"/>
  <c r="P2104" i="40"/>
  <c r="O2104" i="40"/>
  <c r="N2104" i="40"/>
  <c r="Q2103" i="40"/>
  <c r="P2103" i="40"/>
  <c r="O2103" i="40"/>
  <c r="N2103" i="40"/>
  <c r="Q2102" i="40"/>
  <c r="P2102" i="40"/>
  <c r="O2102" i="40"/>
  <c r="N2102" i="40"/>
  <c r="Q2101" i="40"/>
  <c r="P2101" i="40"/>
  <c r="O2101" i="40"/>
  <c r="N2101" i="40"/>
  <c r="Q2100" i="40"/>
  <c r="P2100" i="40"/>
  <c r="O2100" i="40"/>
  <c r="N2100" i="40"/>
  <c r="Q2099" i="40"/>
  <c r="P2099" i="40"/>
  <c r="O2099" i="40"/>
  <c r="N2099" i="40"/>
  <c r="Q2098" i="40"/>
  <c r="P2098" i="40"/>
  <c r="O2098" i="40"/>
  <c r="N2098" i="40"/>
  <c r="Q2097" i="40"/>
  <c r="P2097" i="40"/>
  <c r="O2097" i="40"/>
  <c r="N2097" i="40"/>
  <c r="Q2096" i="40"/>
  <c r="P2096" i="40"/>
  <c r="O2096" i="40"/>
  <c r="N2096" i="40"/>
  <c r="Q2095" i="40"/>
  <c r="P2095" i="40"/>
  <c r="O2095" i="40"/>
  <c r="N2095" i="40"/>
  <c r="Q2094" i="40"/>
  <c r="P2094" i="40"/>
  <c r="O2094" i="40"/>
  <c r="N2094" i="40"/>
  <c r="Q2093" i="40"/>
  <c r="P2093" i="40"/>
  <c r="O2093" i="40"/>
  <c r="N2093" i="40"/>
  <c r="Q2092" i="40"/>
  <c r="P2092" i="40"/>
  <c r="O2092" i="40"/>
  <c r="N2092" i="40"/>
  <c r="Q2091" i="40"/>
  <c r="P2091" i="40"/>
  <c r="O2091" i="40"/>
  <c r="N2091" i="40"/>
  <c r="Q2090" i="40"/>
  <c r="P2090" i="40"/>
  <c r="O2090" i="40"/>
  <c r="N2090" i="40"/>
  <c r="Q2089" i="40"/>
  <c r="P2089" i="40"/>
  <c r="O2089" i="40"/>
  <c r="N2089" i="40"/>
  <c r="Q2088" i="40"/>
  <c r="P2088" i="40"/>
  <c r="O2088" i="40"/>
  <c r="N2088" i="40"/>
  <c r="Q2087" i="40"/>
  <c r="P2087" i="40"/>
  <c r="O2087" i="40"/>
  <c r="N2087" i="40"/>
  <c r="Q2086" i="40"/>
  <c r="P2086" i="40"/>
  <c r="O2086" i="40"/>
  <c r="N2086" i="40"/>
  <c r="Q2085" i="40"/>
  <c r="P2085" i="40"/>
  <c r="O2085" i="40"/>
  <c r="N2085" i="40"/>
  <c r="Q2084" i="40"/>
  <c r="P2084" i="40"/>
  <c r="O2084" i="40"/>
  <c r="N2084" i="40"/>
  <c r="Q2083" i="40"/>
  <c r="P2083" i="40"/>
  <c r="O2083" i="40"/>
  <c r="N2083" i="40"/>
  <c r="Q2082" i="40"/>
  <c r="P2082" i="40"/>
  <c r="O2082" i="40"/>
  <c r="N2082" i="40"/>
  <c r="Q2081" i="40"/>
  <c r="P2081" i="40"/>
  <c r="O2081" i="40"/>
  <c r="N2081" i="40"/>
  <c r="Q2080" i="40"/>
  <c r="P2080" i="40"/>
  <c r="O2080" i="40"/>
  <c r="N2080" i="40"/>
  <c r="Q2079" i="40"/>
  <c r="P2079" i="40"/>
  <c r="O2079" i="40"/>
  <c r="N2079" i="40"/>
  <c r="Q2078" i="40"/>
  <c r="P2078" i="40"/>
  <c r="O2078" i="40"/>
  <c r="N2078" i="40"/>
  <c r="Q2077" i="40"/>
  <c r="P2077" i="40"/>
  <c r="O2077" i="40"/>
  <c r="N2077" i="40"/>
  <c r="Q2076" i="40"/>
  <c r="P2076" i="40"/>
  <c r="O2076" i="40"/>
  <c r="N2076" i="40"/>
  <c r="Q2075" i="40"/>
  <c r="P2075" i="40"/>
  <c r="O2075" i="40"/>
  <c r="N2075" i="40"/>
  <c r="Q2074" i="40"/>
  <c r="P2074" i="40"/>
  <c r="O2074" i="40"/>
  <c r="N2074" i="40"/>
  <c r="Q2073" i="40"/>
  <c r="P2073" i="40"/>
  <c r="O2073" i="40"/>
  <c r="N2073" i="40"/>
  <c r="Q2072" i="40"/>
  <c r="P2072" i="40"/>
  <c r="O2072" i="40"/>
  <c r="N2072" i="40"/>
  <c r="Q2071" i="40"/>
  <c r="P2071" i="40"/>
  <c r="O2071" i="40"/>
  <c r="N2071" i="40"/>
  <c r="Q2070" i="40"/>
  <c r="P2070" i="40"/>
  <c r="O2070" i="40"/>
  <c r="N2070" i="40"/>
  <c r="Q2069" i="40"/>
  <c r="P2069" i="40"/>
  <c r="O2069" i="40"/>
  <c r="N2069" i="40"/>
  <c r="Q2068" i="40"/>
  <c r="P2068" i="40"/>
  <c r="O2068" i="40"/>
  <c r="N2068" i="40"/>
  <c r="Q2067" i="40"/>
  <c r="P2067" i="40"/>
  <c r="O2067" i="40"/>
  <c r="N2067" i="40"/>
  <c r="Q2066" i="40"/>
  <c r="P2066" i="40"/>
  <c r="O2066" i="40"/>
  <c r="N2066" i="40"/>
  <c r="Q2065" i="40"/>
  <c r="P2065" i="40"/>
  <c r="O2065" i="40"/>
  <c r="N2065" i="40"/>
  <c r="Q2064" i="40"/>
  <c r="P2064" i="40"/>
  <c r="O2064" i="40"/>
  <c r="N2064" i="40"/>
  <c r="Q2063" i="40"/>
  <c r="P2063" i="40"/>
  <c r="O2063" i="40"/>
  <c r="N2063" i="40"/>
  <c r="Q2062" i="40"/>
  <c r="P2062" i="40"/>
  <c r="O2062" i="40"/>
  <c r="N2062" i="40"/>
  <c r="Q2061" i="40"/>
  <c r="P2061" i="40"/>
  <c r="O2061" i="40"/>
  <c r="N2061" i="40"/>
  <c r="Q2060" i="40"/>
  <c r="P2060" i="40"/>
  <c r="O2060" i="40"/>
  <c r="N2060" i="40"/>
  <c r="Q2059" i="40"/>
  <c r="P2059" i="40"/>
  <c r="O2059" i="40"/>
  <c r="N2059" i="40"/>
  <c r="Q2058" i="40"/>
  <c r="P2058" i="40"/>
  <c r="O2058" i="40"/>
  <c r="N2058" i="40"/>
  <c r="Q2057" i="40"/>
  <c r="P2057" i="40"/>
  <c r="O2057" i="40"/>
  <c r="N2057" i="40"/>
  <c r="Q2056" i="40"/>
  <c r="P2056" i="40"/>
  <c r="O2056" i="40"/>
  <c r="N2056" i="40"/>
  <c r="Q2055" i="40"/>
  <c r="P2055" i="40"/>
  <c r="O2055" i="40"/>
  <c r="N2055" i="40"/>
  <c r="Q2054" i="40"/>
  <c r="P2054" i="40"/>
  <c r="O2054" i="40"/>
  <c r="N2054" i="40"/>
  <c r="Q2053" i="40"/>
  <c r="P2053" i="40"/>
  <c r="O2053" i="40"/>
  <c r="N2053" i="40"/>
  <c r="Q2052" i="40"/>
  <c r="P2052" i="40"/>
  <c r="O2052" i="40"/>
  <c r="N2052" i="40"/>
  <c r="Q2051" i="40"/>
  <c r="P2051" i="40"/>
  <c r="O2051" i="40"/>
  <c r="N2051" i="40"/>
  <c r="Q2050" i="40"/>
  <c r="P2050" i="40"/>
  <c r="O2050" i="40"/>
  <c r="N2050" i="40"/>
  <c r="Q2049" i="40"/>
  <c r="P2049" i="40"/>
  <c r="O2049" i="40"/>
  <c r="N2049" i="40"/>
  <c r="Q2048" i="40"/>
  <c r="P2048" i="40"/>
  <c r="O2048" i="40"/>
  <c r="N2048" i="40"/>
  <c r="Q2047" i="40"/>
  <c r="P2047" i="40"/>
  <c r="O2047" i="40"/>
  <c r="N2047" i="40"/>
  <c r="Q2046" i="40"/>
  <c r="P2046" i="40"/>
  <c r="O2046" i="40"/>
  <c r="N2046" i="40"/>
  <c r="Q2045" i="40"/>
  <c r="P2045" i="40"/>
  <c r="O2045" i="40"/>
  <c r="N2045" i="40"/>
  <c r="Q2044" i="40"/>
  <c r="P2044" i="40"/>
  <c r="O2044" i="40"/>
  <c r="N2044" i="40"/>
  <c r="Q2043" i="40"/>
  <c r="P2043" i="40"/>
  <c r="O2043" i="40"/>
  <c r="N2043" i="40"/>
  <c r="Q2042" i="40"/>
  <c r="P2042" i="40"/>
  <c r="O2042" i="40"/>
  <c r="N2042" i="40"/>
  <c r="Q2041" i="40"/>
  <c r="P2041" i="40"/>
  <c r="O2041" i="40"/>
  <c r="N2041" i="40"/>
  <c r="Q2040" i="40"/>
  <c r="P2040" i="40"/>
  <c r="O2040" i="40"/>
  <c r="N2040" i="40"/>
  <c r="Q2039" i="40"/>
  <c r="P2039" i="40"/>
  <c r="O2039" i="40"/>
  <c r="N2039" i="40"/>
  <c r="Q2038" i="40"/>
  <c r="P2038" i="40"/>
  <c r="O2038" i="40"/>
  <c r="N2038" i="40"/>
  <c r="Q2037" i="40"/>
  <c r="P2037" i="40"/>
  <c r="O2037" i="40"/>
  <c r="N2037" i="40"/>
  <c r="Q2036" i="40"/>
  <c r="P2036" i="40"/>
  <c r="O2036" i="40"/>
  <c r="N2036" i="40"/>
  <c r="Q2035" i="40"/>
  <c r="P2035" i="40"/>
  <c r="O2035" i="40"/>
  <c r="N2035" i="40"/>
  <c r="Q2034" i="40"/>
  <c r="P2034" i="40"/>
  <c r="O2034" i="40"/>
  <c r="N2034" i="40"/>
  <c r="Q2033" i="40"/>
  <c r="P2033" i="40"/>
  <c r="O2033" i="40"/>
  <c r="N2033" i="40"/>
  <c r="Q2032" i="40"/>
  <c r="P2032" i="40"/>
  <c r="O2032" i="40"/>
  <c r="N2032" i="40"/>
  <c r="Q2031" i="40"/>
  <c r="P2031" i="40"/>
  <c r="O2031" i="40"/>
  <c r="N2031" i="40"/>
  <c r="Q2030" i="40"/>
  <c r="P2030" i="40"/>
  <c r="O2030" i="40"/>
  <c r="N2030" i="40"/>
  <c r="Q2029" i="40"/>
  <c r="P2029" i="40"/>
  <c r="O2029" i="40"/>
  <c r="N2029" i="40"/>
  <c r="Q2028" i="40"/>
  <c r="P2028" i="40"/>
  <c r="O2028" i="40"/>
  <c r="N2028" i="40"/>
  <c r="Q2027" i="40"/>
  <c r="P2027" i="40"/>
  <c r="O2027" i="40"/>
  <c r="N2027" i="40"/>
  <c r="Q2026" i="40"/>
  <c r="P2026" i="40"/>
  <c r="O2026" i="40"/>
  <c r="N2026" i="40"/>
  <c r="Q2025" i="40"/>
  <c r="P2025" i="40"/>
  <c r="O2025" i="40"/>
  <c r="N2025" i="40"/>
  <c r="Q2024" i="40"/>
  <c r="P2024" i="40"/>
  <c r="O2024" i="40"/>
  <c r="N2024" i="40"/>
  <c r="Q2023" i="40"/>
  <c r="P2023" i="40"/>
  <c r="O2023" i="40"/>
  <c r="N2023" i="40"/>
  <c r="Q2022" i="40"/>
  <c r="P2022" i="40"/>
  <c r="O2022" i="40"/>
  <c r="N2022" i="40"/>
  <c r="Q2021" i="40"/>
  <c r="P2021" i="40"/>
  <c r="O2021" i="40"/>
  <c r="N2021" i="40"/>
  <c r="Q2020" i="40"/>
  <c r="P2020" i="40"/>
  <c r="O2020" i="40"/>
  <c r="N2020" i="40"/>
  <c r="Q2019" i="40"/>
  <c r="P2019" i="40"/>
  <c r="O2019" i="40"/>
  <c r="N2019" i="40"/>
  <c r="Q2018" i="40"/>
  <c r="P2018" i="40"/>
  <c r="O2018" i="40"/>
  <c r="N2018" i="40"/>
  <c r="Q2017" i="40"/>
  <c r="P2017" i="40"/>
  <c r="O2017" i="40"/>
  <c r="N2017" i="40"/>
  <c r="Q2016" i="40"/>
  <c r="P2016" i="40"/>
  <c r="O2016" i="40"/>
  <c r="N2016" i="40"/>
  <c r="Q2015" i="40"/>
  <c r="P2015" i="40"/>
  <c r="O2015" i="40"/>
  <c r="N2015" i="40"/>
  <c r="Q2014" i="40"/>
  <c r="P2014" i="40"/>
  <c r="O2014" i="40"/>
  <c r="N2014" i="40"/>
  <c r="Q2013" i="40"/>
  <c r="P2013" i="40"/>
  <c r="O2013" i="40"/>
  <c r="N2013" i="40"/>
  <c r="Q2012" i="40"/>
  <c r="P2012" i="40"/>
  <c r="O2012" i="40"/>
  <c r="N2012" i="40"/>
  <c r="Q2011" i="40"/>
  <c r="P2011" i="40"/>
  <c r="O2011" i="40"/>
  <c r="N2011" i="40"/>
  <c r="Q2010" i="40"/>
  <c r="P2010" i="40"/>
  <c r="O2010" i="40"/>
  <c r="N2010" i="40"/>
  <c r="Q2009" i="40"/>
  <c r="P2009" i="40"/>
  <c r="O2009" i="40"/>
  <c r="N2009" i="40"/>
  <c r="Q2008" i="40"/>
  <c r="P2008" i="40"/>
  <c r="O2008" i="40"/>
  <c r="N2008" i="40"/>
  <c r="Q2007" i="40"/>
  <c r="P2007" i="40"/>
  <c r="O2007" i="40"/>
  <c r="N2007" i="40"/>
  <c r="Q2006" i="40"/>
  <c r="P2006" i="40"/>
  <c r="O2006" i="40"/>
  <c r="N2006" i="40"/>
  <c r="Q2005" i="40"/>
  <c r="P2005" i="40"/>
  <c r="O2005" i="40"/>
  <c r="N2005" i="40"/>
  <c r="Q2004" i="40"/>
  <c r="P2004" i="40"/>
  <c r="O2004" i="40"/>
  <c r="N2004" i="40"/>
  <c r="Q2003" i="40"/>
  <c r="P2003" i="40"/>
  <c r="O2003" i="40"/>
  <c r="N2003" i="40"/>
  <c r="Q2002" i="40"/>
  <c r="P2002" i="40"/>
  <c r="O2002" i="40"/>
  <c r="N2002" i="40"/>
  <c r="Q2001" i="40"/>
  <c r="P2001" i="40"/>
  <c r="O2001" i="40"/>
  <c r="N2001" i="40"/>
  <c r="Q2000" i="40"/>
  <c r="P2000" i="40"/>
  <c r="O2000" i="40"/>
  <c r="N2000" i="40"/>
  <c r="Q1999" i="40"/>
  <c r="P1999" i="40"/>
  <c r="O1999" i="40"/>
  <c r="N1999" i="40"/>
  <c r="Q1998" i="40"/>
  <c r="P1998" i="40"/>
  <c r="O1998" i="40"/>
  <c r="N1998" i="40"/>
  <c r="Q1997" i="40"/>
  <c r="P1997" i="40"/>
  <c r="O1997" i="40"/>
  <c r="N1997" i="40"/>
  <c r="Q1996" i="40"/>
  <c r="P1996" i="40"/>
  <c r="O1996" i="40"/>
  <c r="N1996" i="40"/>
  <c r="Q1995" i="40"/>
  <c r="P1995" i="40"/>
  <c r="O1995" i="40"/>
  <c r="N1995" i="40"/>
  <c r="Q1994" i="40"/>
  <c r="P1994" i="40"/>
  <c r="O1994" i="40"/>
  <c r="N1994" i="40"/>
  <c r="Q1993" i="40"/>
  <c r="P1993" i="40"/>
  <c r="O1993" i="40"/>
  <c r="N1993" i="40"/>
  <c r="Q1992" i="40"/>
  <c r="P1992" i="40"/>
  <c r="O1992" i="40"/>
  <c r="N1992" i="40"/>
  <c r="Q1991" i="40"/>
  <c r="P1991" i="40"/>
  <c r="O1991" i="40"/>
  <c r="N1991" i="40"/>
  <c r="Q1990" i="40"/>
  <c r="P1990" i="40"/>
  <c r="O1990" i="40"/>
  <c r="N1990" i="40"/>
  <c r="Q1989" i="40"/>
  <c r="P1989" i="40"/>
  <c r="O1989" i="40"/>
  <c r="N1989" i="40"/>
  <c r="Q1988" i="40"/>
  <c r="P1988" i="40"/>
  <c r="O1988" i="40"/>
  <c r="N1988" i="40"/>
  <c r="Q1987" i="40"/>
  <c r="P1987" i="40"/>
  <c r="O1987" i="40"/>
  <c r="N1987" i="40"/>
  <c r="Q1986" i="40"/>
  <c r="P1986" i="40"/>
  <c r="O1986" i="40"/>
  <c r="N1986" i="40"/>
  <c r="Q1985" i="40"/>
  <c r="P1985" i="40"/>
  <c r="O1985" i="40"/>
  <c r="N1985" i="40"/>
  <c r="Q1984" i="40"/>
  <c r="P1984" i="40"/>
  <c r="O1984" i="40"/>
  <c r="N1984" i="40"/>
  <c r="Q1983" i="40"/>
  <c r="P1983" i="40"/>
  <c r="O1983" i="40"/>
  <c r="N1983" i="40"/>
  <c r="Q1982" i="40"/>
  <c r="P1982" i="40"/>
  <c r="O1982" i="40"/>
  <c r="N1982" i="40"/>
  <c r="Q1981" i="40"/>
  <c r="P1981" i="40"/>
  <c r="O1981" i="40"/>
  <c r="N1981" i="40"/>
  <c r="Q1980" i="40"/>
  <c r="P1980" i="40"/>
  <c r="O1980" i="40"/>
  <c r="N1980" i="40"/>
  <c r="Q1979" i="40"/>
  <c r="P1979" i="40"/>
  <c r="O1979" i="40"/>
  <c r="N1979" i="40"/>
  <c r="Q1978" i="40"/>
  <c r="P1978" i="40"/>
  <c r="O1978" i="40"/>
  <c r="N1978" i="40"/>
  <c r="Q1977" i="40"/>
  <c r="P1977" i="40"/>
  <c r="O1977" i="40"/>
  <c r="N1977" i="40"/>
  <c r="Q1976" i="40"/>
  <c r="P1976" i="40"/>
  <c r="O1976" i="40"/>
  <c r="N1976" i="40"/>
  <c r="Q1975" i="40"/>
  <c r="P1975" i="40"/>
  <c r="O1975" i="40"/>
  <c r="N1975" i="40"/>
  <c r="Q1974" i="40"/>
  <c r="P1974" i="40"/>
  <c r="O1974" i="40"/>
  <c r="N1974" i="40"/>
  <c r="Q1973" i="40"/>
  <c r="P1973" i="40"/>
  <c r="O1973" i="40"/>
  <c r="N1973" i="40"/>
  <c r="Q1972" i="40"/>
  <c r="P1972" i="40"/>
  <c r="O1972" i="40"/>
  <c r="N1972" i="40"/>
  <c r="Q1971" i="40"/>
  <c r="P1971" i="40"/>
  <c r="O1971" i="40"/>
  <c r="N1971" i="40"/>
  <c r="Q1970" i="40"/>
  <c r="P1970" i="40"/>
  <c r="O1970" i="40"/>
  <c r="N1970" i="40"/>
  <c r="Q1969" i="40"/>
  <c r="P1969" i="40"/>
  <c r="O1969" i="40"/>
  <c r="N1969" i="40"/>
  <c r="Q1968" i="40"/>
  <c r="P1968" i="40"/>
  <c r="O1968" i="40"/>
  <c r="N1968" i="40"/>
  <c r="Q1967" i="40"/>
  <c r="P1967" i="40"/>
  <c r="O1967" i="40"/>
  <c r="N1967" i="40"/>
  <c r="Q1966" i="40"/>
  <c r="P1966" i="40"/>
  <c r="O1966" i="40"/>
  <c r="N1966" i="40"/>
  <c r="Q1965" i="40"/>
  <c r="P1965" i="40"/>
  <c r="O1965" i="40"/>
  <c r="N1965" i="40"/>
  <c r="Q1964" i="40"/>
  <c r="P1964" i="40"/>
  <c r="O1964" i="40"/>
  <c r="N1964" i="40"/>
  <c r="Q1963" i="40"/>
  <c r="P1963" i="40"/>
  <c r="O1963" i="40"/>
  <c r="N1963" i="40"/>
  <c r="Q1962" i="40"/>
  <c r="P1962" i="40"/>
  <c r="O1962" i="40"/>
  <c r="N1962" i="40"/>
  <c r="Q1961" i="40"/>
  <c r="P1961" i="40"/>
  <c r="O1961" i="40"/>
  <c r="N1961" i="40"/>
  <c r="Q1960" i="40"/>
  <c r="P1960" i="40"/>
  <c r="O1960" i="40"/>
  <c r="N1960" i="40"/>
  <c r="Q1959" i="40"/>
  <c r="P1959" i="40"/>
  <c r="O1959" i="40"/>
  <c r="N1959" i="40"/>
  <c r="Q1958" i="40"/>
  <c r="P1958" i="40"/>
  <c r="O1958" i="40"/>
  <c r="N1958" i="40"/>
  <c r="Q1957" i="40"/>
  <c r="P1957" i="40"/>
  <c r="O1957" i="40"/>
  <c r="N1957" i="40"/>
  <c r="Q1956" i="40"/>
  <c r="P1956" i="40"/>
  <c r="O1956" i="40"/>
  <c r="N1956" i="40"/>
  <c r="Q1955" i="40"/>
  <c r="P1955" i="40"/>
  <c r="O1955" i="40"/>
  <c r="N1955" i="40"/>
  <c r="Q1954" i="40"/>
  <c r="P1954" i="40"/>
  <c r="O1954" i="40"/>
  <c r="N1954" i="40"/>
  <c r="Q1953" i="40"/>
  <c r="P1953" i="40"/>
  <c r="O1953" i="40"/>
  <c r="N1953" i="40"/>
  <c r="Q1952" i="40"/>
  <c r="P1952" i="40"/>
  <c r="O1952" i="40"/>
  <c r="N1952" i="40"/>
  <c r="Q1951" i="40"/>
  <c r="P1951" i="40"/>
  <c r="O1951" i="40"/>
  <c r="N1951" i="40"/>
  <c r="Q1950" i="40"/>
  <c r="P1950" i="40"/>
  <c r="O1950" i="40"/>
  <c r="N1950" i="40"/>
  <c r="Q1949" i="40"/>
  <c r="P1949" i="40"/>
  <c r="O1949" i="40"/>
  <c r="N1949" i="40"/>
  <c r="Q1948" i="40"/>
  <c r="P1948" i="40"/>
  <c r="O1948" i="40"/>
  <c r="N1948" i="40"/>
  <c r="Q1947" i="40"/>
  <c r="P1947" i="40"/>
  <c r="O1947" i="40"/>
  <c r="N1947" i="40"/>
  <c r="Q1946" i="40"/>
  <c r="P1946" i="40"/>
  <c r="O1946" i="40"/>
  <c r="N1946" i="40"/>
  <c r="Q1945" i="40"/>
  <c r="P1945" i="40"/>
  <c r="O1945" i="40"/>
  <c r="N1945" i="40"/>
  <c r="Q1944" i="40"/>
  <c r="P1944" i="40"/>
  <c r="O1944" i="40"/>
  <c r="N1944" i="40"/>
  <c r="Q1943" i="40"/>
  <c r="P1943" i="40"/>
  <c r="O1943" i="40"/>
  <c r="N1943" i="40"/>
  <c r="Q1942" i="40"/>
  <c r="P1942" i="40"/>
  <c r="O1942" i="40"/>
  <c r="N1942" i="40"/>
  <c r="Q1941" i="40"/>
  <c r="P1941" i="40"/>
  <c r="O1941" i="40"/>
  <c r="N1941" i="40"/>
  <c r="Q1940" i="40"/>
  <c r="P1940" i="40"/>
  <c r="O1940" i="40"/>
  <c r="N1940" i="40"/>
  <c r="Q1939" i="40"/>
  <c r="P1939" i="40"/>
  <c r="O1939" i="40"/>
  <c r="N1939" i="40"/>
  <c r="Q1938" i="40"/>
  <c r="P1938" i="40"/>
  <c r="O1938" i="40"/>
  <c r="N1938" i="40"/>
  <c r="Q1937" i="40"/>
  <c r="P1937" i="40"/>
  <c r="O1937" i="40"/>
  <c r="N1937" i="40"/>
  <c r="Q1936" i="40"/>
  <c r="P1936" i="40"/>
  <c r="O1936" i="40"/>
  <c r="N1936" i="40"/>
  <c r="Q1935" i="40"/>
  <c r="P1935" i="40"/>
  <c r="O1935" i="40"/>
  <c r="N1935" i="40"/>
  <c r="Q1934" i="40"/>
  <c r="P1934" i="40"/>
  <c r="O1934" i="40"/>
  <c r="N1934" i="40"/>
  <c r="Q1933" i="40"/>
  <c r="P1933" i="40"/>
  <c r="O1933" i="40"/>
  <c r="N1933" i="40"/>
  <c r="Q1932" i="40"/>
  <c r="P1932" i="40"/>
  <c r="O1932" i="40"/>
  <c r="N1932" i="40"/>
  <c r="Q1931" i="40"/>
  <c r="P1931" i="40"/>
  <c r="O1931" i="40"/>
  <c r="N1931" i="40"/>
  <c r="Q1930" i="40"/>
  <c r="P1930" i="40"/>
  <c r="O1930" i="40"/>
  <c r="N1930" i="40"/>
  <c r="Q1929" i="40"/>
  <c r="P1929" i="40"/>
  <c r="O1929" i="40"/>
  <c r="N1929" i="40"/>
  <c r="Q1928" i="40"/>
  <c r="P1928" i="40"/>
  <c r="O1928" i="40"/>
  <c r="N1928" i="40"/>
  <c r="Q1927" i="40"/>
  <c r="P1927" i="40"/>
  <c r="O1927" i="40"/>
  <c r="N1927" i="40"/>
  <c r="Q1926" i="40"/>
  <c r="P1926" i="40"/>
  <c r="O1926" i="40"/>
  <c r="N1926" i="40"/>
  <c r="Q1925" i="40"/>
  <c r="P1925" i="40"/>
  <c r="O1925" i="40"/>
  <c r="N1925" i="40"/>
  <c r="Q1924" i="40"/>
  <c r="P1924" i="40"/>
  <c r="O1924" i="40"/>
  <c r="N1924" i="40"/>
  <c r="Q1923" i="40"/>
  <c r="P1923" i="40"/>
  <c r="O1923" i="40"/>
  <c r="N1923" i="40"/>
  <c r="Q1922" i="40"/>
  <c r="P1922" i="40"/>
  <c r="O1922" i="40"/>
  <c r="N1922" i="40"/>
  <c r="Q1921" i="40"/>
  <c r="P1921" i="40"/>
  <c r="O1921" i="40"/>
  <c r="N1921" i="40"/>
  <c r="Q1920" i="40"/>
  <c r="P1920" i="40"/>
  <c r="O1920" i="40"/>
  <c r="N1920" i="40"/>
  <c r="Q1919" i="40"/>
  <c r="P1919" i="40"/>
  <c r="O1919" i="40"/>
  <c r="N1919" i="40"/>
  <c r="Q1918" i="40"/>
  <c r="P1918" i="40"/>
  <c r="O1918" i="40"/>
  <c r="N1918" i="40"/>
  <c r="Q1917" i="40"/>
  <c r="P1917" i="40"/>
  <c r="O1917" i="40"/>
  <c r="N1917" i="40"/>
  <c r="Q1916" i="40"/>
  <c r="P1916" i="40"/>
  <c r="O1916" i="40"/>
  <c r="N1916" i="40"/>
  <c r="Q1915" i="40"/>
  <c r="P1915" i="40"/>
  <c r="O1915" i="40"/>
  <c r="N1915" i="40"/>
  <c r="Q1914" i="40"/>
  <c r="P1914" i="40"/>
  <c r="O1914" i="40"/>
  <c r="N1914" i="40"/>
  <c r="Q1913" i="40"/>
  <c r="P1913" i="40"/>
  <c r="O1913" i="40"/>
  <c r="N1913" i="40"/>
  <c r="Q1912" i="40"/>
  <c r="P1912" i="40"/>
  <c r="O1912" i="40"/>
  <c r="N1912" i="40"/>
  <c r="Q1911" i="40"/>
  <c r="P1911" i="40"/>
  <c r="O1911" i="40"/>
  <c r="N1911" i="40"/>
  <c r="Q1910" i="40"/>
  <c r="P1910" i="40"/>
  <c r="O1910" i="40"/>
  <c r="N1910" i="40"/>
  <c r="Q1909" i="40"/>
  <c r="P1909" i="40"/>
  <c r="O1909" i="40"/>
  <c r="N1909" i="40"/>
  <c r="Q1908" i="40"/>
  <c r="P1908" i="40"/>
  <c r="O1908" i="40"/>
  <c r="N1908" i="40"/>
  <c r="Q1907" i="40"/>
  <c r="P1907" i="40"/>
  <c r="O1907" i="40"/>
  <c r="N1907" i="40"/>
  <c r="Q1906" i="40"/>
  <c r="P1906" i="40"/>
  <c r="O1906" i="40"/>
  <c r="N1906" i="40"/>
  <c r="Q1905" i="40"/>
  <c r="P1905" i="40"/>
  <c r="O1905" i="40"/>
  <c r="N1905" i="40"/>
  <c r="Q1904" i="40"/>
  <c r="P1904" i="40"/>
  <c r="O1904" i="40"/>
  <c r="N1904" i="40"/>
  <c r="Q1903" i="40"/>
  <c r="P1903" i="40"/>
  <c r="O1903" i="40"/>
  <c r="N1903" i="40"/>
  <c r="Q1902" i="40"/>
  <c r="P1902" i="40"/>
  <c r="O1902" i="40"/>
  <c r="N1902" i="40"/>
  <c r="Q1901" i="40"/>
  <c r="P1901" i="40"/>
  <c r="O1901" i="40"/>
  <c r="N1901" i="40"/>
  <c r="Q1900" i="40"/>
  <c r="P1900" i="40"/>
  <c r="O1900" i="40"/>
  <c r="N1900" i="40"/>
  <c r="Q1899" i="40"/>
  <c r="P1899" i="40"/>
  <c r="O1899" i="40"/>
  <c r="N1899" i="40"/>
  <c r="Q1898" i="40"/>
  <c r="P1898" i="40"/>
  <c r="O1898" i="40"/>
  <c r="N1898" i="40"/>
  <c r="Q1897" i="40"/>
  <c r="P1897" i="40"/>
  <c r="O1897" i="40"/>
  <c r="N1897" i="40"/>
  <c r="Q1896" i="40"/>
  <c r="P1896" i="40"/>
  <c r="O1896" i="40"/>
  <c r="N1896" i="40"/>
  <c r="Q1895" i="40"/>
  <c r="P1895" i="40"/>
  <c r="O1895" i="40"/>
  <c r="N1895" i="40"/>
  <c r="Q1894" i="40"/>
  <c r="P1894" i="40"/>
  <c r="O1894" i="40"/>
  <c r="N1894" i="40"/>
  <c r="Q1893" i="40"/>
  <c r="P1893" i="40"/>
  <c r="O1893" i="40"/>
  <c r="N1893" i="40"/>
  <c r="Q1892" i="40"/>
  <c r="P1892" i="40"/>
  <c r="O1892" i="40"/>
  <c r="N1892" i="40"/>
  <c r="Q1891" i="40"/>
  <c r="P1891" i="40"/>
  <c r="O1891" i="40"/>
  <c r="N1891" i="40"/>
  <c r="Q1890" i="40"/>
  <c r="P1890" i="40"/>
  <c r="O1890" i="40"/>
  <c r="N1890" i="40"/>
  <c r="Q1889" i="40"/>
  <c r="P1889" i="40"/>
  <c r="O1889" i="40"/>
  <c r="N1889" i="40"/>
  <c r="Q1888" i="40"/>
  <c r="P1888" i="40"/>
  <c r="O1888" i="40"/>
  <c r="N1888" i="40"/>
  <c r="Q1887" i="40"/>
  <c r="P1887" i="40"/>
  <c r="O1887" i="40"/>
  <c r="N1887" i="40"/>
  <c r="Q1886" i="40"/>
  <c r="P1886" i="40"/>
  <c r="O1886" i="40"/>
  <c r="N1886" i="40"/>
  <c r="Q1885" i="40"/>
  <c r="P1885" i="40"/>
  <c r="O1885" i="40"/>
  <c r="N1885" i="40"/>
  <c r="Q1884" i="40"/>
  <c r="P1884" i="40"/>
  <c r="O1884" i="40"/>
  <c r="N1884" i="40"/>
  <c r="Q1883" i="40"/>
  <c r="P1883" i="40"/>
  <c r="O1883" i="40"/>
  <c r="N1883" i="40"/>
  <c r="Q1882" i="40"/>
  <c r="P1882" i="40"/>
  <c r="O1882" i="40"/>
  <c r="N1882" i="40"/>
  <c r="Q1881" i="40"/>
  <c r="P1881" i="40"/>
  <c r="O1881" i="40"/>
  <c r="N1881" i="40"/>
  <c r="Q1880" i="40"/>
  <c r="P1880" i="40"/>
  <c r="O1880" i="40"/>
  <c r="N1880" i="40"/>
  <c r="Q1879" i="40"/>
  <c r="P1879" i="40"/>
  <c r="O1879" i="40"/>
  <c r="N1879" i="40"/>
  <c r="Q1878" i="40"/>
  <c r="P1878" i="40"/>
  <c r="O1878" i="40"/>
  <c r="N1878" i="40"/>
  <c r="Q1877" i="40"/>
  <c r="P1877" i="40"/>
  <c r="O1877" i="40"/>
  <c r="N1877" i="40"/>
  <c r="Q1876" i="40"/>
  <c r="P1876" i="40"/>
  <c r="O1876" i="40"/>
  <c r="N1876" i="40"/>
  <c r="Q1875" i="40"/>
  <c r="P1875" i="40"/>
  <c r="O1875" i="40"/>
  <c r="N1875" i="40"/>
  <c r="Q1874" i="40"/>
  <c r="P1874" i="40"/>
  <c r="O1874" i="40"/>
  <c r="N1874" i="40"/>
  <c r="Q1873" i="40"/>
  <c r="P1873" i="40"/>
  <c r="O1873" i="40"/>
  <c r="N1873" i="40"/>
  <c r="Q1872" i="40"/>
  <c r="P1872" i="40"/>
  <c r="O1872" i="40"/>
  <c r="N1872" i="40"/>
  <c r="Q1871" i="40"/>
  <c r="P1871" i="40"/>
  <c r="O1871" i="40"/>
  <c r="N1871" i="40"/>
  <c r="Q1870" i="40"/>
  <c r="P1870" i="40"/>
  <c r="O1870" i="40"/>
  <c r="N1870" i="40"/>
  <c r="Q1869" i="40"/>
  <c r="P1869" i="40"/>
  <c r="O1869" i="40"/>
  <c r="N1869" i="40"/>
  <c r="Q1868" i="40"/>
  <c r="P1868" i="40"/>
  <c r="O1868" i="40"/>
  <c r="N1868" i="40"/>
  <c r="Q1867" i="40"/>
  <c r="P1867" i="40"/>
  <c r="O1867" i="40"/>
  <c r="N1867" i="40"/>
  <c r="Q1866" i="40"/>
  <c r="P1866" i="40"/>
  <c r="O1866" i="40"/>
  <c r="N1866" i="40"/>
  <c r="Q1865" i="40"/>
  <c r="P1865" i="40"/>
  <c r="O1865" i="40"/>
  <c r="N1865" i="40"/>
  <c r="Q1864" i="40"/>
  <c r="P1864" i="40"/>
  <c r="O1864" i="40"/>
  <c r="N1864" i="40"/>
  <c r="Q1863" i="40"/>
  <c r="P1863" i="40"/>
  <c r="O1863" i="40"/>
  <c r="N1863" i="40"/>
  <c r="Q1862" i="40"/>
  <c r="P1862" i="40"/>
  <c r="O1862" i="40"/>
  <c r="N1862" i="40"/>
  <c r="Q1861" i="40"/>
  <c r="P1861" i="40"/>
  <c r="O1861" i="40"/>
  <c r="N1861" i="40"/>
  <c r="Q1860" i="40"/>
  <c r="P1860" i="40"/>
  <c r="O1860" i="40"/>
  <c r="N1860" i="40"/>
  <c r="Q1859" i="40"/>
  <c r="P1859" i="40"/>
  <c r="O1859" i="40"/>
  <c r="N1859" i="40"/>
  <c r="Q1858" i="40"/>
  <c r="P1858" i="40"/>
  <c r="O1858" i="40"/>
  <c r="N1858" i="40"/>
  <c r="Q1857" i="40"/>
  <c r="P1857" i="40"/>
  <c r="O1857" i="40"/>
  <c r="N1857" i="40"/>
  <c r="Q1856" i="40"/>
  <c r="P1856" i="40"/>
  <c r="O1856" i="40"/>
  <c r="N1856" i="40"/>
  <c r="Q1855" i="40"/>
  <c r="P1855" i="40"/>
  <c r="O1855" i="40"/>
  <c r="N1855" i="40"/>
  <c r="Q1854" i="40"/>
  <c r="P1854" i="40"/>
  <c r="O1854" i="40"/>
  <c r="N1854" i="40"/>
  <c r="Q1853" i="40"/>
  <c r="P1853" i="40"/>
  <c r="O1853" i="40"/>
  <c r="N1853" i="40"/>
  <c r="Q1852" i="40"/>
  <c r="P1852" i="40"/>
  <c r="O1852" i="40"/>
  <c r="N1852" i="40"/>
  <c r="Q1851" i="40"/>
  <c r="P1851" i="40"/>
  <c r="O1851" i="40"/>
  <c r="N1851" i="40"/>
  <c r="Q1850" i="40"/>
  <c r="P1850" i="40"/>
  <c r="O1850" i="40"/>
  <c r="N1850" i="40"/>
  <c r="Q1849" i="40"/>
  <c r="P1849" i="40"/>
  <c r="O1849" i="40"/>
  <c r="N1849" i="40"/>
  <c r="Q1848" i="40"/>
  <c r="P1848" i="40"/>
  <c r="O1848" i="40"/>
  <c r="N1848" i="40"/>
  <c r="Q1847" i="40"/>
  <c r="P1847" i="40"/>
  <c r="O1847" i="40"/>
  <c r="N1847" i="40"/>
  <c r="Q1846" i="40"/>
  <c r="P1846" i="40"/>
  <c r="O1846" i="40"/>
  <c r="N1846" i="40"/>
  <c r="Q1845" i="40"/>
  <c r="P1845" i="40"/>
  <c r="O1845" i="40"/>
  <c r="N1845" i="40"/>
  <c r="Q1844" i="40"/>
  <c r="P1844" i="40"/>
  <c r="O1844" i="40"/>
  <c r="N1844" i="40"/>
  <c r="Q1843" i="40"/>
  <c r="P1843" i="40"/>
  <c r="O1843" i="40"/>
  <c r="N1843" i="40"/>
  <c r="Q1842" i="40"/>
  <c r="P1842" i="40"/>
  <c r="O1842" i="40"/>
  <c r="N1842" i="40"/>
  <c r="Q1841" i="40"/>
  <c r="P1841" i="40"/>
  <c r="O1841" i="40"/>
  <c r="N1841" i="40"/>
  <c r="Q1840" i="40"/>
  <c r="P1840" i="40"/>
  <c r="O1840" i="40"/>
  <c r="N1840" i="40"/>
  <c r="Q1839" i="40"/>
  <c r="P1839" i="40"/>
  <c r="O1839" i="40"/>
  <c r="N1839" i="40"/>
  <c r="Q1838" i="40"/>
  <c r="P1838" i="40"/>
  <c r="O1838" i="40"/>
  <c r="N1838" i="40"/>
  <c r="Q1837" i="40"/>
  <c r="P1837" i="40"/>
  <c r="O1837" i="40"/>
  <c r="N1837" i="40"/>
  <c r="Q1836" i="40"/>
  <c r="P1836" i="40"/>
  <c r="O1836" i="40"/>
  <c r="N1836" i="40"/>
  <c r="Q1835" i="40"/>
  <c r="P1835" i="40"/>
  <c r="O1835" i="40"/>
  <c r="N1835" i="40"/>
  <c r="Q1834" i="40"/>
  <c r="P1834" i="40"/>
  <c r="O1834" i="40"/>
  <c r="N1834" i="40"/>
  <c r="Q1833" i="40"/>
  <c r="P1833" i="40"/>
  <c r="O1833" i="40"/>
  <c r="N1833" i="40"/>
  <c r="Q1832" i="40"/>
  <c r="P1832" i="40"/>
  <c r="O1832" i="40"/>
  <c r="N1832" i="40"/>
  <c r="Q1831" i="40"/>
  <c r="P1831" i="40"/>
  <c r="O1831" i="40"/>
  <c r="N1831" i="40"/>
  <c r="Q1830" i="40"/>
  <c r="P1830" i="40"/>
  <c r="O1830" i="40"/>
  <c r="N1830" i="40"/>
  <c r="Q1829" i="40"/>
  <c r="P1829" i="40"/>
  <c r="O1829" i="40"/>
  <c r="N1829" i="40"/>
  <c r="Q1828" i="40"/>
  <c r="P1828" i="40"/>
  <c r="O1828" i="40"/>
  <c r="N1828" i="40"/>
  <c r="Q1827" i="40"/>
  <c r="P1827" i="40"/>
  <c r="O1827" i="40"/>
  <c r="N1827" i="40"/>
  <c r="Q1826" i="40"/>
  <c r="P1826" i="40"/>
  <c r="O1826" i="40"/>
  <c r="N1826" i="40"/>
  <c r="Q1825" i="40"/>
  <c r="P1825" i="40"/>
  <c r="O1825" i="40"/>
  <c r="N1825" i="40"/>
  <c r="Q1824" i="40"/>
  <c r="P1824" i="40"/>
  <c r="O1824" i="40"/>
  <c r="N1824" i="40"/>
  <c r="Q1823" i="40"/>
  <c r="P1823" i="40"/>
  <c r="O1823" i="40"/>
  <c r="N1823" i="40"/>
  <c r="Q1822" i="40"/>
  <c r="P1822" i="40"/>
  <c r="O1822" i="40"/>
  <c r="N1822" i="40"/>
  <c r="Q1821" i="40"/>
  <c r="P1821" i="40"/>
  <c r="O1821" i="40"/>
  <c r="N1821" i="40"/>
  <c r="Q1820" i="40"/>
  <c r="P1820" i="40"/>
  <c r="O1820" i="40"/>
  <c r="N1820" i="40"/>
  <c r="Q1819" i="40"/>
  <c r="P1819" i="40"/>
  <c r="O1819" i="40"/>
  <c r="N1819" i="40"/>
  <c r="Q1818" i="40"/>
  <c r="P1818" i="40"/>
  <c r="O1818" i="40"/>
  <c r="N1818" i="40"/>
  <c r="Q1817" i="40"/>
  <c r="P1817" i="40"/>
  <c r="O1817" i="40"/>
  <c r="N1817" i="40"/>
  <c r="Q1816" i="40"/>
  <c r="P1816" i="40"/>
  <c r="O1816" i="40"/>
  <c r="N1816" i="40"/>
  <c r="Q1815" i="40"/>
  <c r="P1815" i="40"/>
  <c r="O1815" i="40"/>
  <c r="N1815" i="40"/>
  <c r="Q1814" i="40"/>
  <c r="P1814" i="40"/>
  <c r="O1814" i="40"/>
  <c r="N1814" i="40"/>
  <c r="Q1813" i="40"/>
  <c r="P1813" i="40"/>
  <c r="O1813" i="40"/>
  <c r="N1813" i="40"/>
  <c r="Q1812" i="40"/>
  <c r="P1812" i="40"/>
  <c r="O1812" i="40"/>
  <c r="N1812" i="40"/>
  <c r="Q1811" i="40"/>
  <c r="P1811" i="40"/>
  <c r="O1811" i="40"/>
  <c r="N1811" i="40"/>
  <c r="Q1810" i="40"/>
  <c r="P1810" i="40"/>
  <c r="O1810" i="40"/>
  <c r="N1810" i="40"/>
  <c r="Q1809" i="40"/>
  <c r="P1809" i="40"/>
  <c r="O1809" i="40"/>
  <c r="N1809" i="40"/>
  <c r="Q1808" i="40"/>
  <c r="P1808" i="40"/>
  <c r="O1808" i="40"/>
  <c r="N1808" i="40"/>
  <c r="Q1807" i="40"/>
  <c r="P1807" i="40"/>
  <c r="O1807" i="40"/>
  <c r="N1807" i="40"/>
  <c r="Q1806" i="40"/>
  <c r="P1806" i="40"/>
  <c r="O1806" i="40"/>
  <c r="N1806" i="40"/>
  <c r="Q1805" i="40"/>
  <c r="P1805" i="40"/>
  <c r="O1805" i="40"/>
  <c r="N1805" i="40"/>
  <c r="Q1804" i="40"/>
  <c r="P1804" i="40"/>
  <c r="O1804" i="40"/>
  <c r="N1804" i="40"/>
  <c r="Q1803" i="40"/>
  <c r="P1803" i="40"/>
  <c r="O1803" i="40"/>
  <c r="N1803" i="40"/>
  <c r="Q1802" i="40"/>
  <c r="P1802" i="40"/>
  <c r="O1802" i="40"/>
  <c r="N1802" i="40"/>
  <c r="Q1801" i="40"/>
  <c r="P1801" i="40"/>
  <c r="O1801" i="40"/>
  <c r="N1801" i="40"/>
  <c r="Q1800" i="40"/>
  <c r="P1800" i="40"/>
  <c r="O1800" i="40"/>
  <c r="N1800" i="40"/>
  <c r="Q1799" i="40"/>
  <c r="P1799" i="40"/>
  <c r="O1799" i="40"/>
  <c r="N1799" i="40"/>
  <c r="Q1798" i="40"/>
  <c r="P1798" i="40"/>
  <c r="O1798" i="40"/>
  <c r="N1798" i="40"/>
  <c r="Q1797" i="40"/>
  <c r="P1797" i="40"/>
  <c r="O1797" i="40"/>
  <c r="N1797" i="40"/>
  <c r="Q1796" i="40"/>
  <c r="P1796" i="40"/>
  <c r="O1796" i="40"/>
  <c r="N1796" i="40"/>
  <c r="Q1795" i="40"/>
  <c r="P1795" i="40"/>
  <c r="O1795" i="40"/>
  <c r="N1795" i="40"/>
  <c r="Q1794" i="40"/>
  <c r="P1794" i="40"/>
  <c r="O1794" i="40"/>
  <c r="N1794" i="40"/>
  <c r="Q1793" i="40"/>
  <c r="P1793" i="40"/>
  <c r="O1793" i="40"/>
  <c r="N1793" i="40"/>
  <c r="Q1792" i="40"/>
  <c r="P1792" i="40"/>
  <c r="O1792" i="40"/>
  <c r="N1792" i="40"/>
  <c r="Q1791" i="40"/>
  <c r="P1791" i="40"/>
  <c r="O1791" i="40"/>
  <c r="N1791" i="40"/>
  <c r="Q1790" i="40"/>
  <c r="P1790" i="40"/>
  <c r="O1790" i="40"/>
  <c r="N1790" i="40"/>
  <c r="Q1789" i="40"/>
  <c r="P1789" i="40"/>
  <c r="O1789" i="40"/>
  <c r="N1789" i="40"/>
  <c r="Q1788" i="40"/>
  <c r="P1788" i="40"/>
  <c r="O1788" i="40"/>
  <c r="N1788" i="40"/>
  <c r="Q1787" i="40"/>
  <c r="P1787" i="40"/>
  <c r="O1787" i="40"/>
  <c r="N1787" i="40"/>
  <c r="Q1786" i="40"/>
  <c r="P1786" i="40"/>
  <c r="O1786" i="40"/>
  <c r="N1786" i="40"/>
  <c r="Q1785" i="40"/>
  <c r="P1785" i="40"/>
  <c r="O1785" i="40"/>
  <c r="N1785" i="40"/>
  <c r="Q1784" i="40"/>
  <c r="P1784" i="40"/>
  <c r="O1784" i="40"/>
  <c r="N1784" i="40"/>
  <c r="Q1783" i="40"/>
  <c r="P1783" i="40"/>
  <c r="O1783" i="40"/>
  <c r="N1783" i="40"/>
  <c r="Q1782" i="40"/>
  <c r="P1782" i="40"/>
  <c r="O1782" i="40"/>
  <c r="N1782" i="40"/>
  <c r="Q1781" i="40"/>
  <c r="P1781" i="40"/>
  <c r="O1781" i="40"/>
  <c r="N1781" i="40"/>
  <c r="Q1780" i="40"/>
  <c r="P1780" i="40"/>
  <c r="O1780" i="40"/>
  <c r="N1780" i="40"/>
  <c r="Q1779" i="40"/>
  <c r="P1779" i="40"/>
  <c r="O1779" i="40"/>
  <c r="N1779" i="40"/>
  <c r="Q1778" i="40"/>
  <c r="P1778" i="40"/>
  <c r="O1778" i="40"/>
  <c r="N1778" i="40"/>
  <c r="Q1777" i="40"/>
  <c r="P1777" i="40"/>
  <c r="O1777" i="40"/>
  <c r="N1777" i="40"/>
  <c r="Q1776" i="40"/>
  <c r="P1776" i="40"/>
  <c r="O1776" i="40"/>
  <c r="N1776" i="40"/>
  <c r="Q1775" i="40"/>
  <c r="P1775" i="40"/>
  <c r="O1775" i="40"/>
  <c r="N1775" i="40"/>
  <c r="Q1774" i="40"/>
  <c r="P1774" i="40"/>
  <c r="O1774" i="40"/>
  <c r="N1774" i="40"/>
  <c r="Q1773" i="40"/>
  <c r="P1773" i="40"/>
  <c r="O1773" i="40"/>
  <c r="N1773" i="40"/>
  <c r="Q1772" i="40"/>
  <c r="P1772" i="40"/>
  <c r="O1772" i="40"/>
  <c r="N1772" i="40"/>
  <c r="Q1771" i="40"/>
  <c r="P1771" i="40"/>
  <c r="O1771" i="40"/>
  <c r="N1771" i="40"/>
  <c r="Q1770" i="40"/>
  <c r="P1770" i="40"/>
  <c r="O1770" i="40"/>
  <c r="N1770" i="40"/>
  <c r="Q1769" i="40"/>
  <c r="P1769" i="40"/>
  <c r="O1769" i="40"/>
  <c r="N1769" i="40"/>
  <c r="Q1768" i="40"/>
  <c r="P1768" i="40"/>
  <c r="O1768" i="40"/>
  <c r="N1768" i="40"/>
  <c r="Q1767" i="40"/>
  <c r="P1767" i="40"/>
  <c r="O1767" i="40"/>
  <c r="N1767" i="40"/>
  <c r="Q1766" i="40"/>
  <c r="P1766" i="40"/>
  <c r="O1766" i="40"/>
  <c r="N1766" i="40"/>
  <c r="Q1765" i="40"/>
  <c r="P1765" i="40"/>
  <c r="O1765" i="40"/>
  <c r="N1765" i="40"/>
  <c r="Q1764" i="40"/>
  <c r="P1764" i="40"/>
  <c r="O1764" i="40"/>
  <c r="N1764" i="40"/>
  <c r="Q1763" i="40"/>
  <c r="P1763" i="40"/>
  <c r="O1763" i="40"/>
  <c r="N1763" i="40"/>
  <c r="Q1762" i="40"/>
  <c r="P1762" i="40"/>
  <c r="O1762" i="40"/>
  <c r="N1762" i="40"/>
  <c r="Q1761" i="40"/>
  <c r="P1761" i="40"/>
  <c r="O1761" i="40"/>
  <c r="N1761" i="40"/>
  <c r="Q1760" i="40"/>
  <c r="P1760" i="40"/>
  <c r="O1760" i="40"/>
  <c r="N1760" i="40"/>
  <c r="Q1759" i="40"/>
  <c r="P1759" i="40"/>
  <c r="O1759" i="40"/>
  <c r="N1759" i="40"/>
  <c r="Q1758" i="40"/>
  <c r="P1758" i="40"/>
  <c r="O1758" i="40"/>
  <c r="N1758" i="40"/>
  <c r="Q1757" i="40"/>
  <c r="P1757" i="40"/>
  <c r="O1757" i="40"/>
  <c r="N1757" i="40"/>
  <c r="Q1756" i="40"/>
  <c r="P1756" i="40"/>
  <c r="O1756" i="40"/>
  <c r="N1756" i="40"/>
  <c r="Q1755" i="40"/>
  <c r="P1755" i="40"/>
  <c r="O1755" i="40"/>
  <c r="N1755" i="40"/>
  <c r="Q1754" i="40"/>
  <c r="P1754" i="40"/>
  <c r="O1754" i="40"/>
  <c r="N1754" i="40"/>
  <c r="Q1753" i="40"/>
  <c r="P1753" i="40"/>
  <c r="O1753" i="40"/>
  <c r="N1753" i="40"/>
  <c r="Q1752" i="40"/>
  <c r="P1752" i="40"/>
  <c r="O1752" i="40"/>
  <c r="N1752" i="40"/>
  <c r="Q1751" i="40"/>
  <c r="P1751" i="40"/>
  <c r="O1751" i="40"/>
  <c r="N1751" i="40"/>
  <c r="Q1750" i="40"/>
  <c r="P1750" i="40"/>
  <c r="O1750" i="40"/>
  <c r="N1750" i="40"/>
  <c r="Q1749" i="40"/>
  <c r="P1749" i="40"/>
  <c r="O1749" i="40"/>
  <c r="N1749" i="40"/>
  <c r="Q1748" i="40"/>
  <c r="P1748" i="40"/>
  <c r="O1748" i="40"/>
  <c r="N1748" i="40"/>
  <c r="Q1747" i="40"/>
  <c r="P1747" i="40"/>
  <c r="O1747" i="40"/>
  <c r="N1747" i="40"/>
  <c r="Q1746" i="40"/>
  <c r="P1746" i="40"/>
  <c r="O1746" i="40"/>
  <c r="N1746" i="40"/>
  <c r="Q1745" i="40"/>
  <c r="P1745" i="40"/>
  <c r="O1745" i="40"/>
  <c r="N1745" i="40"/>
  <c r="Q1744" i="40"/>
  <c r="P1744" i="40"/>
  <c r="O1744" i="40"/>
  <c r="N1744" i="40"/>
  <c r="Q1743" i="40"/>
  <c r="P1743" i="40"/>
  <c r="O1743" i="40"/>
  <c r="N1743" i="40"/>
  <c r="Q1742" i="40"/>
  <c r="P1742" i="40"/>
  <c r="O1742" i="40"/>
  <c r="N1742" i="40"/>
  <c r="Q1741" i="40"/>
  <c r="P1741" i="40"/>
  <c r="O1741" i="40"/>
  <c r="N1741" i="40"/>
  <c r="Q1740" i="40"/>
  <c r="P1740" i="40"/>
  <c r="O1740" i="40"/>
  <c r="N1740" i="40"/>
  <c r="Q1739" i="40"/>
  <c r="P1739" i="40"/>
  <c r="O1739" i="40"/>
  <c r="N1739" i="40"/>
  <c r="Q1738" i="40"/>
  <c r="P1738" i="40"/>
  <c r="O1738" i="40"/>
  <c r="N1738" i="40"/>
  <c r="Q1737" i="40"/>
  <c r="P1737" i="40"/>
  <c r="O1737" i="40"/>
  <c r="N1737" i="40"/>
  <c r="Q1736" i="40"/>
  <c r="P1736" i="40"/>
  <c r="O1736" i="40"/>
  <c r="N1736" i="40"/>
  <c r="Q1735" i="40"/>
  <c r="P1735" i="40"/>
  <c r="O1735" i="40"/>
  <c r="N1735" i="40"/>
  <c r="Q1734" i="40"/>
  <c r="P1734" i="40"/>
  <c r="O1734" i="40"/>
  <c r="N1734" i="40"/>
  <c r="Q1733" i="40"/>
  <c r="P1733" i="40"/>
  <c r="O1733" i="40"/>
  <c r="N1733" i="40"/>
  <c r="Q1732" i="40"/>
  <c r="P1732" i="40"/>
  <c r="O1732" i="40"/>
  <c r="N1732" i="40"/>
  <c r="Q1731" i="40"/>
  <c r="P1731" i="40"/>
  <c r="O1731" i="40"/>
  <c r="N1731" i="40"/>
  <c r="Q1730" i="40"/>
  <c r="P1730" i="40"/>
  <c r="O1730" i="40"/>
  <c r="N1730" i="40"/>
  <c r="Q1729" i="40"/>
  <c r="P1729" i="40"/>
  <c r="O1729" i="40"/>
  <c r="N1729" i="40"/>
  <c r="Q1728" i="40"/>
  <c r="P1728" i="40"/>
  <c r="O1728" i="40"/>
  <c r="N1728" i="40"/>
  <c r="Q1727" i="40"/>
  <c r="P1727" i="40"/>
  <c r="O1727" i="40"/>
  <c r="N1727" i="40"/>
  <c r="Q1726" i="40"/>
  <c r="P1726" i="40"/>
  <c r="O1726" i="40"/>
  <c r="N1726" i="40"/>
  <c r="Q1725" i="40"/>
  <c r="P1725" i="40"/>
  <c r="O1725" i="40"/>
  <c r="N1725" i="40"/>
  <c r="Q1724" i="40"/>
  <c r="P1724" i="40"/>
  <c r="O1724" i="40"/>
  <c r="N1724" i="40"/>
  <c r="Q1723" i="40"/>
  <c r="P1723" i="40"/>
  <c r="O1723" i="40"/>
  <c r="N1723" i="40"/>
  <c r="Q1722" i="40"/>
  <c r="P1722" i="40"/>
  <c r="O1722" i="40"/>
  <c r="N1722" i="40"/>
  <c r="Q1721" i="40"/>
  <c r="P1721" i="40"/>
  <c r="O1721" i="40"/>
  <c r="N1721" i="40"/>
  <c r="Q1720" i="40"/>
  <c r="P1720" i="40"/>
  <c r="O1720" i="40"/>
  <c r="N1720" i="40"/>
  <c r="Q1719" i="40"/>
  <c r="P1719" i="40"/>
  <c r="O1719" i="40"/>
  <c r="N1719" i="40"/>
  <c r="Q1718" i="40"/>
  <c r="P1718" i="40"/>
  <c r="O1718" i="40"/>
  <c r="N1718" i="40"/>
  <c r="Q1717" i="40"/>
  <c r="P1717" i="40"/>
  <c r="O1717" i="40"/>
  <c r="N1717" i="40"/>
  <c r="Q1716" i="40"/>
  <c r="P1716" i="40"/>
  <c r="O1716" i="40"/>
  <c r="N1716" i="40"/>
  <c r="Q1715" i="40"/>
  <c r="P1715" i="40"/>
  <c r="O1715" i="40"/>
  <c r="N1715" i="40"/>
  <c r="Q1714" i="40"/>
  <c r="P1714" i="40"/>
  <c r="O1714" i="40"/>
  <c r="N1714" i="40"/>
  <c r="Q1713" i="40"/>
  <c r="P1713" i="40"/>
  <c r="O1713" i="40"/>
  <c r="N1713" i="40"/>
  <c r="Q1712" i="40"/>
  <c r="P1712" i="40"/>
  <c r="O1712" i="40"/>
  <c r="N1712" i="40"/>
  <c r="Q1711" i="40"/>
  <c r="P1711" i="40"/>
  <c r="O1711" i="40"/>
  <c r="N1711" i="40"/>
  <c r="Q1710" i="40"/>
  <c r="P1710" i="40"/>
  <c r="O1710" i="40"/>
  <c r="N1710" i="40"/>
  <c r="Q1709" i="40"/>
  <c r="P1709" i="40"/>
  <c r="O1709" i="40"/>
  <c r="N1709" i="40"/>
  <c r="Q1708" i="40"/>
  <c r="P1708" i="40"/>
  <c r="O1708" i="40"/>
  <c r="N1708" i="40"/>
  <c r="Q1707" i="40"/>
  <c r="P1707" i="40"/>
  <c r="O1707" i="40"/>
  <c r="N1707" i="40"/>
  <c r="Q1706" i="40"/>
  <c r="P1706" i="40"/>
  <c r="O1706" i="40"/>
  <c r="N1706" i="40"/>
  <c r="Q1705" i="40"/>
  <c r="P1705" i="40"/>
  <c r="O1705" i="40"/>
  <c r="N1705" i="40"/>
  <c r="Q1704" i="40"/>
  <c r="P1704" i="40"/>
  <c r="O1704" i="40"/>
  <c r="N1704" i="40"/>
  <c r="Q1703" i="40"/>
  <c r="P1703" i="40"/>
  <c r="O1703" i="40"/>
  <c r="N1703" i="40"/>
  <c r="Q1702" i="40"/>
  <c r="P1702" i="40"/>
  <c r="O1702" i="40"/>
  <c r="N1702" i="40"/>
  <c r="Q1701" i="40"/>
  <c r="P1701" i="40"/>
  <c r="O1701" i="40"/>
  <c r="N1701" i="40"/>
  <c r="Q1700" i="40"/>
  <c r="P1700" i="40"/>
  <c r="O1700" i="40"/>
  <c r="N1700" i="40"/>
  <c r="Q1699" i="40"/>
  <c r="P1699" i="40"/>
  <c r="O1699" i="40"/>
  <c r="N1699" i="40"/>
  <c r="Q1698" i="40"/>
  <c r="P1698" i="40"/>
  <c r="O1698" i="40"/>
  <c r="N1698" i="40"/>
  <c r="Q1697" i="40"/>
  <c r="P1697" i="40"/>
  <c r="O1697" i="40"/>
  <c r="N1697" i="40"/>
  <c r="Q1696" i="40"/>
  <c r="P1696" i="40"/>
  <c r="O1696" i="40"/>
  <c r="N1696" i="40"/>
  <c r="Q1695" i="40"/>
  <c r="P1695" i="40"/>
  <c r="O1695" i="40"/>
  <c r="N1695" i="40"/>
  <c r="Q1694" i="40"/>
  <c r="P1694" i="40"/>
  <c r="O1694" i="40"/>
  <c r="N1694" i="40"/>
  <c r="Q1693" i="40"/>
  <c r="P1693" i="40"/>
  <c r="O1693" i="40"/>
  <c r="N1693" i="40"/>
  <c r="Q1692" i="40"/>
  <c r="P1692" i="40"/>
  <c r="O1692" i="40"/>
  <c r="N1692" i="40"/>
  <c r="Q1691" i="40"/>
  <c r="P1691" i="40"/>
  <c r="O1691" i="40"/>
  <c r="N1691" i="40"/>
  <c r="Q1690" i="40"/>
  <c r="P1690" i="40"/>
  <c r="O1690" i="40"/>
  <c r="N1690" i="40"/>
  <c r="Q1689" i="40"/>
  <c r="P1689" i="40"/>
  <c r="O1689" i="40"/>
  <c r="N1689" i="40"/>
  <c r="Q1688" i="40"/>
  <c r="P1688" i="40"/>
  <c r="O1688" i="40"/>
  <c r="N1688" i="40"/>
  <c r="Q1687" i="40"/>
  <c r="P1687" i="40"/>
  <c r="O1687" i="40"/>
  <c r="N1687" i="40"/>
  <c r="Q1686" i="40"/>
  <c r="P1686" i="40"/>
  <c r="O1686" i="40"/>
  <c r="N1686" i="40"/>
  <c r="Q1685" i="40"/>
  <c r="P1685" i="40"/>
  <c r="O1685" i="40"/>
  <c r="N1685" i="40"/>
  <c r="Q1684" i="40"/>
  <c r="P1684" i="40"/>
  <c r="O1684" i="40"/>
  <c r="N1684" i="40"/>
  <c r="Q1683" i="40"/>
  <c r="P1683" i="40"/>
  <c r="O1683" i="40"/>
  <c r="N1683" i="40"/>
  <c r="Q1682" i="40"/>
  <c r="P1682" i="40"/>
  <c r="O1682" i="40"/>
  <c r="N1682" i="40"/>
  <c r="Q1681" i="40"/>
  <c r="P1681" i="40"/>
  <c r="O1681" i="40"/>
  <c r="N1681" i="40"/>
  <c r="Q1680" i="40"/>
  <c r="P1680" i="40"/>
  <c r="O1680" i="40"/>
  <c r="N1680" i="40"/>
  <c r="Q1679" i="40"/>
  <c r="P1679" i="40"/>
  <c r="O1679" i="40"/>
  <c r="N1679" i="40"/>
  <c r="Q1678" i="40"/>
  <c r="P1678" i="40"/>
  <c r="O1678" i="40"/>
  <c r="N1678" i="40"/>
  <c r="Q1677" i="40"/>
  <c r="P1677" i="40"/>
  <c r="O1677" i="40"/>
  <c r="N1677" i="40"/>
  <c r="Q1676" i="40"/>
  <c r="P1676" i="40"/>
  <c r="O1676" i="40"/>
  <c r="N1676" i="40"/>
  <c r="Q1675" i="40"/>
  <c r="P1675" i="40"/>
  <c r="O1675" i="40"/>
  <c r="N1675" i="40"/>
  <c r="Q1674" i="40"/>
  <c r="P1674" i="40"/>
  <c r="O1674" i="40"/>
  <c r="N1674" i="40"/>
  <c r="Q1673" i="40"/>
  <c r="P1673" i="40"/>
  <c r="O1673" i="40"/>
  <c r="N1673" i="40"/>
  <c r="Q1672" i="40"/>
  <c r="P1672" i="40"/>
  <c r="O1672" i="40"/>
  <c r="N1672" i="40"/>
  <c r="Q1671" i="40"/>
  <c r="P1671" i="40"/>
  <c r="O1671" i="40"/>
  <c r="N1671" i="40"/>
  <c r="Q1670" i="40"/>
  <c r="P1670" i="40"/>
  <c r="O1670" i="40"/>
  <c r="N1670" i="40"/>
  <c r="Q1669" i="40"/>
  <c r="P1669" i="40"/>
  <c r="O1669" i="40"/>
  <c r="N1669" i="40"/>
  <c r="Q1668" i="40"/>
  <c r="P1668" i="40"/>
  <c r="O1668" i="40"/>
  <c r="N1668" i="40"/>
  <c r="Q1667" i="40"/>
  <c r="P1667" i="40"/>
  <c r="O1667" i="40"/>
  <c r="N1667" i="40"/>
  <c r="Q1666" i="40"/>
  <c r="P1666" i="40"/>
  <c r="O1666" i="40"/>
  <c r="N1666" i="40"/>
  <c r="Q1665" i="40"/>
  <c r="P1665" i="40"/>
  <c r="O1665" i="40"/>
  <c r="N1665" i="40"/>
  <c r="Q1664" i="40"/>
  <c r="P1664" i="40"/>
  <c r="O1664" i="40"/>
  <c r="N1664" i="40"/>
  <c r="Q1663" i="40"/>
  <c r="P1663" i="40"/>
  <c r="O1663" i="40"/>
  <c r="N1663" i="40"/>
  <c r="Q1662" i="40"/>
  <c r="P1662" i="40"/>
  <c r="O1662" i="40"/>
  <c r="N1662" i="40"/>
  <c r="Q1661" i="40"/>
  <c r="P1661" i="40"/>
  <c r="O1661" i="40"/>
  <c r="N1661" i="40"/>
  <c r="Q1660" i="40"/>
  <c r="P1660" i="40"/>
  <c r="O1660" i="40"/>
  <c r="N1660" i="40"/>
  <c r="Q1659" i="40"/>
  <c r="P1659" i="40"/>
  <c r="O1659" i="40"/>
  <c r="N1659" i="40"/>
  <c r="Q1658" i="40"/>
  <c r="P1658" i="40"/>
  <c r="O1658" i="40"/>
  <c r="N1658" i="40"/>
  <c r="Q1657" i="40"/>
  <c r="P1657" i="40"/>
  <c r="O1657" i="40"/>
  <c r="N1657" i="40"/>
  <c r="Q1656" i="40"/>
  <c r="P1656" i="40"/>
  <c r="O1656" i="40"/>
  <c r="N1656" i="40"/>
  <c r="Q1655" i="40"/>
  <c r="P1655" i="40"/>
  <c r="O1655" i="40"/>
  <c r="N1655" i="40"/>
  <c r="Q1654" i="40"/>
  <c r="P1654" i="40"/>
  <c r="O1654" i="40"/>
  <c r="N1654" i="40"/>
  <c r="Q1653" i="40"/>
  <c r="P1653" i="40"/>
  <c r="O1653" i="40"/>
  <c r="N1653" i="40"/>
  <c r="Q1652" i="40"/>
  <c r="P1652" i="40"/>
  <c r="O1652" i="40"/>
  <c r="N1652" i="40"/>
  <c r="Q1651" i="40"/>
  <c r="P1651" i="40"/>
  <c r="O1651" i="40"/>
  <c r="N1651" i="40"/>
  <c r="Q1650" i="40"/>
  <c r="P1650" i="40"/>
  <c r="O1650" i="40"/>
  <c r="N1650" i="40"/>
  <c r="Q1649" i="40"/>
  <c r="P1649" i="40"/>
  <c r="O1649" i="40"/>
  <c r="N1649" i="40"/>
  <c r="Q1648" i="40"/>
  <c r="P1648" i="40"/>
  <c r="O1648" i="40"/>
  <c r="N1648" i="40"/>
  <c r="Q1647" i="40"/>
  <c r="P1647" i="40"/>
  <c r="O1647" i="40"/>
  <c r="N1647" i="40"/>
  <c r="Q1646" i="40"/>
  <c r="P1646" i="40"/>
  <c r="O1646" i="40"/>
  <c r="N1646" i="40"/>
  <c r="Q1645" i="40"/>
  <c r="P1645" i="40"/>
  <c r="O1645" i="40"/>
  <c r="N1645" i="40"/>
  <c r="Q1644" i="40"/>
  <c r="P1644" i="40"/>
  <c r="O1644" i="40"/>
  <c r="N1644" i="40"/>
  <c r="Q1643" i="40"/>
  <c r="P1643" i="40"/>
  <c r="O1643" i="40"/>
  <c r="N1643" i="40"/>
  <c r="Q1642" i="40"/>
  <c r="P1642" i="40"/>
  <c r="O1642" i="40"/>
  <c r="N1642" i="40"/>
  <c r="Q1641" i="40"/>
  <c r="P1641" i="40"/>
  <c r="O1641" i="40"/>
  <c r="N1641" i="40"/>
  <c r="Q1640" i="40"/>
  <c r="P1640" i="40"/>
  <c r="O1640" i="40"/>
  <c r="N1640" i="40"/>
  <c r="Q1639" i="40"/>
  <c r="P1639" i="40"/>
  <c r="O1639" i="40"/>
  <c r="N1639" i="40"/>
  <c r="Q1638" i="40"/>
  <c r="P1638" i="40"/>
  <c r="O1638" i="40"/>
  <c r="N1638" i="40"/>
  <c r="Q1637" i="40"/>
  <c r="P1637" i="40"/>
  <c r="O1637" i="40"/>
  <c r="N1637" i="40"/>
  <c r="Q1636" i="40"/>
  <c r="P1636" i="40"/>
  <c r="O1636" i="40"/>
  <c r="N1636" i="40"/>
  <c r="Q1635" i="40"/>
  <c r="P1635" i="40"/>
  <c r="O1635" i="40"/>
  <c r="N1635" i="40"/>
  <c r="Q1634" i="40"/>
  <c r="P1634" i="40"/>
  <c r="O1634" i="40"/>
  <c r="N1634" i="40"/>
  <c r="Q1633" i="40"/>
  <c r="P1633" i="40"/>
  <c r="O1633" i="40"/>
  <c r="N1633" i="40"/>
  <c r="Q1632" i="40"/>
  <c r="P1632" i="40"/>
  <c r="O1632" i="40"/>
  <c r="N1632" i="40"/>
  <c r="Q1631" i="40"/>
  <c r="P1631" i="40"/>
  <c r="O1631" i="40"/>
  <c r="N1631" i="40"/>
  <c r="Q1630" i="40"/>
  <c r="P1630" i="40"/>
  <c r="O1630" i="40"/>
  <c r="N1630" i="40"/>
  <c r="Q1629" i="40"/>
  <c r="P1629" i="40"/>
  <c r="O1629" i="40"/>
  <c r="N1629" i="40"/>
  <c r="Q1628" i="40"/>
  <c r="P1628" i="40"/>
  <c r="O1628" i="40"/>
  <c r="N1628" i="40"/>
  <c r="Q1627" i="40"/>
  <c r="P1627" i="40"/>
  <c r="O1627" i="40"/>
  <c r="N1627" i="40"/>
  <c r="Q1626" i="40"/>
  <c r="P1626" i="40"/>
  <c r="O1626" i="40"/>
  <c r="N1626" i="40"/>
  <c r="Q1625" i="40"/>
  <c r="P1625" i="40"/>
  <c r="O1625" i="40"/>
  <c r="N1625" i="40"/>
  <c r="Q1624" i="40"/>
  <c r="P1624" i="40"/>
  <c r="O1624" i="40"/>
  <c r="N1624" i="40"/>
  <c r="Q1623" i="40"/>
  <c r="P1623" i="40"/>
  <c r="O1623" i="40"/>
  <c r="N1623" i="40"/>
  <c r="Q1622" i="40"/>
  <c r="P1622" i="40"/>
  <c r="O1622" i="40"/>
  <c r="N1622" i="40"/>
  <c r="Q1621" i="40"/>
  <c r="P1621" i="40"/>
  <c r="O1621" i="40"/>
  <c r="N1621" i="40"/>
  <c r="Q1620" i="40"/>
  <c r="P1620" i="40"/>
  <c r="O1620" i="40"/>
  <c r="N1620" i="40"/>
  <c r="Q1619" i="40"/>
  <c r="P1619" i="40"/>
  <c r="O1619" i="40"/>
  <c r="N1619" i="40"/>
  <c r="Q1618" i="40"/>
  <c r="P1618" i="40"/>
  <c r="O1618" i="40"/>
  <c r="N1618" i="40"/>
  <c r="Q1617" i="40"/>
  <c r="P1617" i="40"/>
  <c r="O1617" i="40"/>
  <c r="N1617" i="40"/>
  <c r="Q1616" i="40"/>
  <c r="P1616" i="40"/>
  <c r="O1616" i="40"/>
  <c r="N1616" i="40"/>
  <c r="Q1615" i="40"/>
  <c r="P1615" i="40"/>
  <c r="O1615" i="40"/>
  <c r="N1615" i="40"/>
  <c r="Q1614" i="40"/>
  <c r="P1614" i="40"/>
  <c r="O1614" i="40"/>
  <c r="N1614" i="40"/>
  <c r="Q1613" i="40"/>
  <c r="P1613" i="40"/>
  <c r="O1613" i="40"/>
  <c r="N1613" i="40"/>
  <c r="Q1612" i="40"/>
  <c r="P1612" i="40"/>
  <c r="O1612" i="40"/>
  <c r="N1612" i="40"/>
  <c r="Q1611" i="40"/>
  <c r="P1611" i="40"/>
  <c r="O1611" i="40"/>
  <c r="N1611" i="40"/>
  <c r="Q1610" i="40"/>
  <c r="P1610" i="40"/>
  <c r="O1610" i="40"/>
  <c r="N1610" i="40"/>
  <c r="Q1609" i="40"/>
  <c r="P1609" i="40"/>
  <c r="O1609" i="40"/>
  <c r="N1609" i="40"/>
  <c r="Q1608" i="40"/>
  <c r="P1608" i="40"/>
  <c r="O1608" i="40"/>
  <c r="N1608" i="40"/>
  <c r="Q1607" i="40"/>
  <c r="P1607" i="40"/>
  <c r="O1607" i="40"/>
  <c r="N1607" i="40"/>
  <c r="Q1606" i="40"/>
  <c r="P1606" i="40"/>
  <c r="O1606" i="40"/>
  <c r="N1606" i="40"/>
  <c r="Q1605" i="40"/>
  <c r="P1605" i="40"/>
  <c r="O1605" i="40"/>
  <c r="N1605" i="40"/>
  <c r="Q1604" i="40"/>
  <c r="P1604" i="40"/>
  <c r="O1604" i="40"/>
  <c r="N1604" i="40"/>
  <c r="Q1603" i="40"/>
  <c r="P1603" i="40"/>
  <c r="O1603" i="40"/>
  <c r="N1603" i="40"/>
  <c r="Q1602" i="40"/>
  <c r="P1602" i="40"/>
  <c r="O1602" i="40"/>
  <c r="N1602" i="40"/>
  <c r="Q1601" i="40"/>
  <c r="P1601" i="40"/>
  <c r="O1601" i="40"/>
  <c r="N1601" i="40"/>
  <c r="Q1600" i="40"/>
  <c r="P1600" i="40"/>
  <c r="O1600" i="40"/>
  <c r="N1600" i="40"/>
  <c r="Q1599" i="40"/>
  <c r="P1599" i="40"/>
  <c r="O1599" i="40"/>
  <c r="N1599" i="40"/>
  <c r="Q1598" i="40"/>
  <c r="P1598" i="40"/>
  <c r="O1598" i="40"/>
  <c r="N1598" i="40"/>
  <c r="Q1597" i="40"/>
  <c r="P1597" i="40"/>
  <c r="O1597" i="40"/>
  <c r="N1597" i="40"/>
  <c r="Q1596" i="40"/>
  <c r="P1596" i="40"/>
  <c r="O1596" i="40"/>
  <c r="N1596" i="40"/>
  <c r="Q1595" i="40"/>
  <c r="P1595" i="40"/>
  <c r="O1595" i="40"/>
  <c r="N1595" i="40"/>
  <c r="Q1594" i="40"/>
  <c r="P1594" i="40"/>
  <c r="O1594" i="40"/>
  <c r="N1594" i="40"/>
  <c r="Q1593" i="40"/>
  <c r="P1593" i="40"/>
  <c r="O1593" i="40"/>
  <c r="N1593" i="40"/>
  <c r="Q1592" i="40"/>
  <c r="P1592" i="40"/>
  <c r="O1592" i="40"/>
  <c r="N1592" i="40"/>
  <c r="Q1591" i="40"/>
  <c r="P1591" i="40"/>
  <c r="O1591" i="40"/>
  <c r="N1591" i="40"/>
  <c r="Q1590" i="40"/>
  <c r="P1590" i="40"/>
  <c r="O1590" i="40"/>
  <c r="N1590" i="40"/>
  <c r="Q1589" i="40"/>
  <c r="P1589" i="40"/>
  <c r="O1589" i="40"/>
  <c r="N1589" i="40"/>
  <c r="Q1588" i="40"/>
  <c r="P1588" i="40"/>
  <c r="O1588" i="40"/>
  <c r="N1588" i="40"/>
  <c r="Q1587" i="40"/>
  <c r="P1587" i="40"/>
  <c r="O1587" i="40"/>
  <c r="N1587" i="40"/>
  <c r="Q1586" i="40"/>
  <c r="P1586" i="40"/>
  <c r="O1586" i="40"/>
  <c r="N1586" i="40"/>
  <c r="Q1585" i="40"/>
  <c r="P1585" i="40"/>
  <c r="O1585" i="40"/>
  <c r="N1585" i="40"/>
  <c r="Q1584" i="40"/>
  <c r="P1584" i="40"/>
  <c r="O1584" i="40"/>
  <c r="N1584" i="40"/>
  <c r="Q1583" i="40"/>
  <c r="P1583" i="40"/>
  <c r="O1583" i="40"/>
  <c r="N1583" i="40"/>
  <c r="Q1582" i="40"/>
  <c r="P1582" i="40"/>
  <c r="O1582" i="40"/>
  <c r="N1582" i="40"/>
  <c r="Q1581" i="40"/>
  <c r="P1581" i="40"/>
  <c r="O1581" i="40"/>
  <c r="N1581" i="40"/>
  <c r="Q1580" i="40"/>
  <c r="P1580" i="40"/>
  <c r="O1580" i="40"/>
  <c r="N1580" i="40"/>
  <c r="Q1579" i="40"/>
  <c r="P1579" i="40"/>
  <c r="O1579" i="40"/>
  <c r="N1579" i="40"/>
  <c r="Q1578" i="40"/>
  <c r="P1578" i="40"/>
  <c r="O1578" i="40"/>
  <c r="N1578" i="40"/>
  <c r="Q1577" i="40"/>
  <c r="P1577" i="40"/>
  <c r="O1577" i="40"/>
  <c r="N1577" i="40"/>
  <c r="Q1576" i="40"/>
  <c r="P1576" i="40"/>
  <c r="O1576" i="40"/>
  <c r="N1576" i="40"/>
  <c r="Q1575" i="40"/>
  <c r="P1575" i="40"/>
  <c r="O1575" i="40"/>
  <c r="N1575" i="40"/>
  <c r="Q1574" i="40"/>
  <c r="P1574" i="40"/>
  <c r="O1574" i="40"/>
  <c r="N1574" i="40"/>
  <c r="Q1573" i="40"/>
  <c r="P1573" i="40"/>
  <c r="O1573" i="40"/>
  <c r="N1573" i="40"/>
  <c r="Q1572" i="40"/>
  <c r="P1572" i="40"/>
  <c r="O1572" i="40"/>
  <c r="N1572" i="40"/>
  <c r="Q1571" i="40"/>
  <c r="P1571" i="40"/>
  <c r="O1571" i="40"/>
  <c r="N1571" i="40"/>
  <c r="Q1570" i="40"/>
  <c r="P1570" i="40"/>
  <c r="O1570" i="40"/>
  <c r="N1570" i="40"/>
  <c r="Q1569" i="40"/>
  <c r="P1569" i="40"/>
  <c r="O1569" i="40"/>
  <c r="N1569" i="40"/>
  <c r="Q1568" i="40"/>
  <c r="P1568" i="40"/>
  <c r="O1568" i="40"/>
  <c r="N1568" i="40"/>
  <c r="Q1567" i="40"/>
  <c r="P1567" i="40"/>
  <c r="O1567" i="40"/>
  <c r="N1567" i="40"/>
  <c r="Q1566" i="40"/>
  <c r="P1566" i="40"/>
  <c r="O1566" i="40"/>
  <c r="N1566" i="40"/>
  <c r="Q1565" i="40"/>
  <c r="P1565" i="40"/>
  <c r="O1565" i="40"/>
  <c r="N1565" i="40"/>
  <c r="Q1564" i="40"/>
  <c r="P1564" i="40"/>
  <c r="O1564" i="40"/>
  <c r="N1564" i="40"/>
  <c r="Q1563" i="40"/>
  <c r="P1563" i="40"/>
  <c r="O1563" i="40"/>
  <c r="N1563" i="40"/>
  <c r="Q1562" i="40"/>
  <c r="P1562" i="40"/>
  <c r="O1562" i="40"/>
  <c r="N1562" i="40"/>
  <c r="Q1561" i="40"/>
  <c r="P1561" i="40"/>
  <c r="O1561" i="40"/>
  <c r="N1561" i="40"/>
  <c r="Q1560" i="40"/>
  <c r="P1560" i="40"/>
  <c r="O1560" i="40"/>
  <c r="N1560" i="40"/>
  <c r="Q1559" i="40"/>
  <c r="P1559" i="40"/>
  <c r="O1559" i="40"/>
  <c r="N1559" i="40"/>
  <c r="Q1558" i="40"/>
  <c r="P1558" i="40"/>
  <c r="O1558" i="40"/>
  <c r="N1558" i="40"/>
  <c r="Q1557" i="40"/>
  <c r="P1557" i="40"/>
  <c r="O1557" i="40"/>
  <c r="N1557" i="40"/>
  <c r="Q1556" i="40"/>
  <c r="P1556" i="40"/>
  <c r="O1556" i="40"/>
  <c r="N1556" i="40"/>
  <c r="Q1555" i="40"/>
  <c r="P1555" i="40"/>
  <c r="O1555" i="40"/>
  <c r="N1555" i="40"/>
  <c r="Q1554" i="40"/>
  <c r="P1554" i="40"/>
  <c r="O1554" i="40"/>
  <c r="N1554" i="40"/>
  <c r="Q1553" i="40"/>
  <c r="P1553" i="40"/>
  <c r="O1553" i="40"/>
  <c r="N1553" i="40"/>
  <c r="Q1552" i="40"/>
  <c r="P1552" i="40"/>
  <c r="O1552" i="40"/>
  <c r="N1552" i="40"/>
  <c r="Q1551" i="40"/>
  <c r="P1551" i="40"/>
  <c r="O1551" i="40"/>
  <c r="N1551" i="40"/>
  <c r="Q1550" i="40"/>
  <c r="P1550" i="40"/>
  <c r="O1550" i="40"/>
  <c r="N1550" i="40"/>
  <c r="Q1549" i="40"/>
  <c r="P1549" i="40"/>
  <c r="O1549" i="40"/>
  <c r="N1549" i="40"/>
  <c r="Q1548" i="40"/>
  <c r="P1548" i="40"/>
  <c r="O1548" i="40"/>
  <c r="N1548" i="40"/>
  <c r="Q1547" i="40"/>
  <c r="P1547" i="40"/>
  <c r="O1547" i="40"/>
  <c r="N1547" i="40"/>
  <c r="Q1546" i="40"/>
  <c r="P1546" i="40"/>
  <c r="O1546" i="40"/>
  <c r="N1546" i="40"/>
  <c r="Q1545" i="40"/>
  <c r="P1545" i="40"/>
  <c r="O1545" i="40"/>
  <c r="N1545" i="40"/>
  <c r="Q1544" i="40"/>
  <c r="P1544" i="40"/>
  <c r="O1544" i="40"/>
  <c r="N1544" i="40"/>
  <c r="Q1543" i="40"/>
  <c r="P1543" i="40"/>
  <c r="O1543" i="40"/>
  <c r="N1543" i="40"/>
  <c r="Q1542" i="40"/>
  <c r="P1542" i="40"/>
  <c r="O1542" i="40"/>
  <c r="N1542" i="40"/>
  <c r="Q1541" i="40"/>
  <c r="P1541" i="40"/>
  <c r="O1541" i="40"/>
  <c r="N1541" i="40"/>
  <c r="Q1540" i="40"/>
  <c r="P1540" i="40"/>
  <c r="O1540" i="40"/>
  <c r="N1540" i="40"/>
  <c r="Q1539" i="40"/>
  <c r="P1539" i="40"/>
  <c r="O1539" i="40"/>
  <c r="N1539" i="40"/>
  <c r="Q1538" i="40"/>
  <c r="P1538" i="40"/>
  <c r="O1538" i="40"/>
  <c r="N1538" i="40"/>
  <c r="Q1537" i="40"/>
  <c r="P1537" i="40"/>
  <c r="O1537" i="40"/>
  <c r="N1537" i="40"/>
  <c r="Q1536" i="40"/>
  <c r="P1536" i="40"/>
  <c r="O1536" i="40"/>
  <c r="N1536" i="40"/>
  <c r="Q1535" i="40"/>
  <c r="P1535" i="40"/>
  <c r="O1535" i="40"/>
  <c r="N1535" i="40"/>
  <c r="Q1534" i="40"/>
  <c r="P1534" i="40"/>
  <c r="O1534" i="40"/>
  <c r="N1534" i="40"/>
  <c r="Q1533" i="40"/>
  <c r="P1533" i="40"/>
  <c r="O1533" i="40"/>
  <c r="N1533" i="40"/>
  <c r="Q1532" i="40"/>
  <c r="P1532" i="40"/>
  <c r="O1532" i="40"/>
  <c r="N1532" i="40"/>
  <c r="Q1531" i="40"/>
  <c r="P1531" i="40"/>
  <c r="O1531" i="40"/>
  <c r="N1531" i="40"/>
  <c r="Q1530" i="40"/>
  <c r="P1530" i="40"/>
  <c r="O1530" i="40"/>
  <c r="N1530" i="40"/>
  <c r="Q1529" i="40"/>
  <c r="P1529" i="40"/>
  <c r="O1529" i="40"/>
  <c r="N1529" i="40"/>
  <c r="Q1528" i="40"/>
  <c r="P1528" i="40"/>
  <c r="O1528" i="40"/>
  <c r="N1528" i="40"/>
  <c r="Q1527" i="40"/>
  <c r="P1527" i="40"/>
  <c r="O1527" i="40"/>
  <c r="N1527" i="40"/>
  <c r="Q1526" i="40"/>
  <c r="P1526" i="40"/>
  <c r="O1526" i="40"/>
  <c r="N1526" i="40"/>
  <c r="Q1525" i="40"/>
  <c r="P1525" i="40"/>
  <c r="O1525" i="40"/>
  <c r="N1525" i="40"/>
  <c r="Q1524" i="40"/>
  <c r="P1524" i="40"/>
  <c r="O1524" i="40"/>
  <c r="N1524" i="40"/>
  <c r="Q1523" i="40"/>
  <c r="P1523" i="40"/>
  <c r="O1523" i="40"/>
  <c r="N1523" i="40"/>
  <c r="Q1522" i="40"/>
  <c r="P1522" i="40"/>
  <c r="O1522" i="40"/>
  <c r="N1522" i="40"/>
  <c r="Q1521" i="40"/>
  <c r="P1521" i="40"/>
  <c r="O1521" i="40"/>
  <c r="N1521" i="40"/>
  <c r="Q1520" i="40"/>
  <c r="P1520" i="40"/>
  <c r="O1520" i="40"/>
  <c r="N1520" i="40"/>
  <c r="Q1519" i="40"/>
  <c r="P1519" i="40"/>
  <c r="O1519" i="40"/>
  <c r="N1519" i="40"/>
  <c r="Q1518" i="40"/>
  <c r="P1518" i="40"/>
  <c r="O1518" i="40"/>
  <c r="N1518" i="40"/>
  <c r="Q1517" i="40"/>
  <c r="P1517" i="40"/>
  <c r="O1517" i="40"/>
  <c r="N1517" i="40"/>
  <c r="Q1516" i="40"/>
  <c r="P1516" i="40"/>
  <c r="O1516" i="40"/>
  <c r="N1516" i="40"/>
  <c r="Q1515" i="40"/>
  <c r="P1515" i="40"/>
  <c r="O1515" i="40"/>
  <c r="N1515" i="40"/>
  <c r="Q1514" i="40"/>
  <c r="P1514" i="40"/>
  <c r="O1514" i="40"/>
  <c r="N1514" i="40"/>
  <c r="Q1513" i="40"/>
  <c r="P1513" i="40"/>
  <c r="O1513" i="40"/>
  <c r="N1513" i="40"/>
  <c r="Q1512" i="40"/>
  <c r="P1512" i="40"/>
  <c r="O1512" i="40"/>
  <c r="N1512" i="40"/>
  <c r="Q1511" i="40"/>
  <c r="P1511" i="40"/>
  <c r="O1511" i="40"/>
  <c r="N1511" i="40"/>
  <c r="Q1510" i="40"/>
  <c r="P1510" i="40"/>
  <c r="O1510" i="40"/>
  <c r="N1510" i="40"/>
  <c r="Q1509" i="40"/>
  <c r="P1509" i="40"/>
  <c r="O1509" i="40"/>
  <c r="N1509" i="40"/>
  <c r="Q1508" i="40"/>
  <c r="P1508" i="40"/>
  <c r="O1508" i="40"/>
  <c r="N1508" i="40"/>
  <c r="Q1507" i="40"/>
  <c r="P1507" i="40"/>
  <c r="O1507" i="40"/>
  <c r="N1507" i="40"/>
  <c r="Q1506" i="40"/>
  <c r="P1506" i="40"/>
  <c r="O1506" i="40"/>
  <c r="N1506" i="40"/>
  <c r="Q1505" i="40"/>
  <c r="P1505" i="40"/>
  <c r="O1505" i="40"/>
  <c r="N1505" i="40"/>
  <c r="Q1504" i="40"/>
  <c r="P1504" i="40"/>
  <c r="O1504" i="40"/>
  <c r="N1504" i="40"/>
  <c r="Q1503" i="40"/>
  <c r="P1503" i="40"/>
  <c r="O1503" i="40"/>
  <c r="N1503" i="40"/>
  <c r="Q1502" i="40"/>
  <c r="P1502" i="40"/>
  <c r="O1502" i="40"/>
  <c r="N1502" i="40"/>
  <c r="Q1501" i="40"/>
  <c r="P1501" i="40"/>
  <c r="O1501" i="40"/>
  <c r="N1501" i="40"/>
  <c r="Q1500" i="40"/>
  <c r="P1500" i="40"/>
  <c r="O1500" i="40"/>
  <c r="N1500" i="40"/>
  <c r="Q1499" i="40"/>
  <c r="P1499" i="40"/>
  <c r="O1499" i="40"/>
  <c r="N1499" i="40"/>
  <c r="Q1498" i="40"/>
  <c r="P1498" i="40"/>
  <c r="O1498" i="40"/>
  <c r="N1498" i="40"/>
  <c r="Q1497" i="40"/>
  <c r="P1497" i="40"/>
  <c r="O1497" i="40"/>
  <c r="N1497" i="40"/>
  <c r="Q1496" i="40"/>
  <c r="P1496" i="40"/>
  <c r="O1496" i="40"/>
  <c r="N1496" i="40"/>
  <c r="Q1495" i="40"/>
  <c r="P1495" i="40"/>
  <c r="O1495" i="40"/>
  <c r="N1495" i="40"/>
  <c r="Q1494" i="40"/>
  <c r="P1494" i="40"/>
  <c r="O1494" i="40"/>
  <c r="N1494" i="40"/>
  <c r="Q1493" i="40"/>
  <c r="P1493" i="40"/>
  <c r="O1493" i="40"/>
  <c r="N1493" i="40"/>
  <c r="Q1492" i="40"/>
  <c r="P1492" i="40"/>
  <c r="O1492" i="40"/>
  <c r="N1492" i="40"/>
  <c r="Q1491" i="40"/>
  <c r="P1491" i="40"/>
  <c r="O1491" i="40"/>
  <c r="N1491" i="40"/>
  <c r="Q1490" i="40"/>
  <c r="P1490" i="40"/>
  <c r="O1490" i="40"/>
  <c r="N1490" i="40"/>
  <c r="Q1489" i="40"/>
  <c r="P1489" i="40"/>
  <c r="O1489" i="40"/>
  <c r="N1489" i="40"/>
  <c r="Q1488" i="40"/>
  <c r="P1488" i="40"/>
  <c r="O1488" i="40"/>
  <c r="N1488" i="40"/>
  <c r="Q1487" i="40"/>
  <c r="P1487" i="40"/>
  <c r="O1487" i="40"/>
  <c r="N1487" i="40"/>
  <c r="Q1486" i="40"/>
  <c r="P1486" i="40"/>
  <c r="O1486" i="40"/>
  <c r="N1486" i="40"/>
  <c r="Q1485" i="40"/>
  <c r="P1485" i="40"/>
  <c r="O1485" i="40"/>
  <c r="N1485" i="40"/>
  <c r="Q1484" i="40"/>
  <c r="P1484" i="40"/>
  <c r="O1484" i="40"/>
  <c r="N1484" i="40"/>
  <c r="Q1483" i="40"/>
  <c r="P1483" i="40"/>
  <c r="O1483" i="40"/>
  <c r="N1483" i="40"/>
  <c r="Q1482" i="40"/>
  <c r="P1482" i="40"/>
  <c r="O1482" i="40"/>
  <c r="N1482" i="40"/>
  <c r="Q1481" i="40"/>
  <c r="P1481" i="40"/>
  <c r="O1481" i="40"/>
  <c r="N1481" i="40"/>
  <c r="Q1480" i="40"/>
  <c r="P1480" i="40"/>
  <c r="O1480" i="40"/>
  <c r="N1480" i="40"/>
  <c r="Q1479" i="40"/>
  <c r="P1479" i="40"/>
  <c r="O1479" i="40"/>
  <c r="N1479" i="40"/>
  <c r="Q1478" i="40"/>
  <c r="P1478" i="40"/>
  <c r="O1478" i="40"/>
  <c r="N1478" i="40"/>
  <c r="Q1477" i="40"/>
  <c r="P1477" i="40"/>
  <c r="O1477" i="40"/>
  <c r="N1477" i="40"/>
  <c r="Q1476" i="40"/>
  <c r="P1476" i="40"/>
  <c r="O1476" i="40"/>
  <c r="N1476" i="40"/>
  <c r="Q1475" i="40"/>
  <c r="P1475" i="40"/>
  <c r="O1475" i="40"/>
  <c r="N1475" i="40"/>
  <c r="Q1474" i="40"/>
  <c r="P1474" i="40"/>
  <c r="O1474" i="40"/>
  <c r="N1474" i="40"/>
  <c r="Q1473" i="40"/>
  <c r="P1473" i="40"/>
  <c r="O1473" i="40"/>
  <c r="N1473" i="40"/>
  <c r="Q1472" i="40"/>
  <c r="P1472" i="40"/>
  <c r="O1472" i="40"/>
  <c r="N1472" i="40"/>
  <c r="Q1471" i="40"/>
  <c r="P1471" i="40"/>
  <c r="O1471" i="40"/>
  <c r="N1471" i="40"/>
  <c r="Q1470" i="40"/>
  <c r="P1470" i="40"/>
  <c r="O1470" i="40"/>
  <c r="N1470" i="40"/>
  <c r="Q1469" i="40"/>
  <c r="P1469" i="40"/>
  <c r="O1469" i="40"/>
  <c r="N1469" i="40"/>
  <c r="Q1468" i="40"/>
  <c r="P1468" i="40"/>
  <c r="O1468" i="40"/>
  <c r="N1468" i="40"/>
  <c r="Q1467" i="40"/>
  <c r="P1467" i="40"/>
  <c r="O1467" i="40"/>
  <c r="N1467" i="40"/>
  <c r="Q1466" i="40"/>
  <c r="P1466" i="40"/>
  <c r="O1466" i="40"/>
  <c r="N1466" i="40"/>
  <c r="Q1465" i="40"/>
  <c r="P1465" i="40"/>
  <c r="O1465" i="40"/>
  <c r="N1465" i="40"/>
  <c r="Q1464" i="40"/>
  <c r="P1464" i="40"/>
  <c r="O1464" i="40"/>
  <c r="N1464" i="40"/>
  <c r="Q1463" i="40"/>
  <c r="P1463" i="40"/>
  <c r="O1463" i="40"/>
  <c r="N1463" i="40"/>
  <c r="Q1462" i="40"/>
  <c r="P1462" i="40"/>
  <c r="O1462" i="40"/>
  <c r="N1462" i="40"/>
  <c r="Q1461" i="40"/>
  <c r="P1461" i="40"/>
  <c r="O1461" i="40"/>
  <c r="N1461" i="40"/>
  <c r="Q1460" i="40"/>
  <c r="P1460" i="40"/>
  <c r="O1460" i="40"/>
  <c r="N1460" i="40"/>
  <c r="Q1459" i="40"/>
  <c r="P1459" i="40"/>
  <c r="O1459" i="40"/>
  <c r="N1459" i="40"/>
  <c r="Q1458" i="40"/>
  <c r="P1458" i="40"/>
  <c r="O1458" i="40"/>
  <c r="N1458" i="40"/>
  <c r="Q1457" i="40"/>
  <c r="P1457" i="40"/>
  <c r="O1457" i="40"/>
  <c r="N1457" i="40"/>
  <c r="Q1456" i="40"/>
  <c r="P1456" i="40"/>
  <c r="O1456" i="40"/>
  <c r="N1456" i="40"/>
  <c r="Q1455" i="40"/>
  <c r="P1455" i="40"/>
  <c r="O1455" i="40"/>
  <c r="N1455" i="40"/>
  <c r="Q1454" i="40"/>
  <c r="P1454" i="40"/>
  <c r="O1454" i="40"/>
  <c r="N1454" i="40"/>
  <c r="Q1453" i="40"/>
  <c r="P1453" i="40"/>
  <c r="O1453" i="40"/>
  <c r="N1453" i="40"/>
  <c r="Q1452" i="40"/>
  <c r="P1452" i="40"/>
  <c r="O1452" i="40"/>
  <c r="N1452" i="40"/>
  <c r="Q1451" i="40"/>
  <c r="P1451" i="40"/>
  <c r="O1451" i="40"/>
  <c r="N1451" i="40"/>
  <c r="Q1450" i="40"/>
  <c r="P1450" i="40"/>
  <c r="O1450" i="40"/>
  <c r="N1450" i="40"/>
  <c r="Q1449" i="40"/>
  <c r="P1449" i="40"/>
  <c r="O1449" i="40"/>
  <c r="N1449" i="40"/>
  <c r="Q1448" i="40"/>
  <c r="P1448" i="40"/>
  <c r="O1448" i="40"/>
  <c r="N1448" i="40"/>
  <c r="Q1447" i="40"/>
  <c r="P1447" i="40"/>
  <c r="O1447" i="40"/>
  <c r="N1447" i="40"/>
  <c r="Q1446" i="40"/>
  <c r="P1446" i="40"/>
  <c r="O1446" i="40"/>
  <c r="N1446" i="40"/>
  <c r="Q1445" i="40"/>
  <c r="P1445" i="40"/>
  <c r="O1445" i="40"/>
  <c r="N1445" i="40"/>
  <c r="Q1444" i="40"/>
  <c r="P1444" i="40"/>
  <c r="O1444" i="40"/>
  <c r="N1444" i="40"/>
  <c r="Q1443" i="40"/>
  <c r="P1443" i="40"/>
  <c r="O1443" i="40"/>
  <c r="N1443" i="40"/>
  <c r="Q1442" i="40"/>
  <c r="P1442" i="40"/>
  <c r="O1442" i="40"/>
  <c r="N1442" i="40"/>
  <c r="Q1441" i="40"/>
  <c r="P1441" i="40"/>
  <c r="O1441" i="40"/>
  <c r="N1441" i="40"/>
  <c r="Q1440" i="40"/>
  <c r="P1440" i="40"/>
  <c r="O1440" i="40"/>
  <c r="N1440" i="40"/>
  <c r="Q1439" i="40"/>
  <c r="P1439" i="40"/>
  <c r="O1439" i="40"/>
  <c r="N1439" i="40"/>
  <c r="Q1438" i="40"/>
  <c r="P1438" i="40"/>
  <c r="O1438" i="40"/>
  <c r="N1438" i="40"/>
  <c r="Q1437" i="40"/>
  <c r="P1437" i="40"/>
  <c r="O1437" i="40"/>
  <c r="N1437" i="40"/>
  <c r="Q1436" i="40"/>
  <c r="P1436" i="40"/>
  <c r="O1436" i="40"/>
  <c r="N1436" i="40"/>
  <c r="Q1435" i="40"/>
  <c r="P1435" i="40"/>
  <c r="O1435" i="40"/>
  <c r="N1435" i="40"/>
  <c r="Q1434" i="40"/>
  <c r="P1434" i="40"/>
  <c r="O1434" i="40"/>
  <c r="N1434" i="40"/>
  <c r="Q1433" i="40"/>
  <c r="P1433" i="40"/>
  <c r="O1433" i="40"/>
  <c r="N1433" i="40"/>
  <c r="Q1432" i="40"/>
  <c r="P1432" i="40"/>
  <c r="O1432" i="40"/>
  <c r="N1432" i="40"/>
  <c r="Q1431" i="40"/>
  <c r="P1431" i="40"/>
  <c r="O1431" i="40"/>
  <c r="N1431" i="40"/>
  <c r="Q1430" i="40"/>
  <c r="P1430" i="40"/>
  <c r="O1430" i="40"/>
  <c r="N1430" i="40"/>
  <c r="Q1429" i="40"/>
  <c r="P1429" i="40"/>
  <c r="O1429" i="40"/>
  <c r="N1429" i="40"/>
  <c r="Q1428" i="40"/>
  <c r="P1428" i="40"/>
  <c r="O1428" i="40"/>
  <c r="N1428" i="40"/>
  <c r="Q1427" i="40"/>
  <c r="P1427" i="40"/>
  <c r="O1427" i="40"/>
  <c r="N1427" i="40"/>
  <c r="Q1426" i="40"/>
  <c r="P1426" i="40"/>
  <c r="O1426" i="40"/>
  <c r="N1426" i="40"/>
  <c r="Q1425" i="40"/>
  <c r="P1425" i="40"/>
  <c r="O1425" i="40"/>
  <c r="N1425" i="40"/>
  <c r="Q1424" i="40"/>
  <c r="P1424" i="40"/>
  <c r="O1424" i="40"/>
  <c r="N1424" i="40"/>
  <c r="Q1423" i="40"/>
  <c r="P1423" i="40"/>
  <c r="O1423" i="40"/>
  <c r="N1423" i="40"/>
  <c r="Q1422" i="40"/>
  <c r="P1422" i="40"/>
  <c r="O1422" i="40"/>
  <c r="N1422" i="40"/>
  <c r="Q1421" i="40"/>
  <c r="P1421" i="40"/>
  <c r="O1421" i="40"/>
  <c r="N1421" i="40"/>
  <c r="Q1420" i="40"/>
  <c r="P1420" i="40"/>
  <c r="O1420" i="40"/>
  <c r="N1420" i="40"/>
  <c r="Q1419" i="40"/>
  <c r="P1419" i="40"/>
  <c r="O1419" i="40"/>
  <c r="N1419" i="40"/>
  <c r="Q1418" i="40"/>
  <c r="P1418" i="40"/>
  <c r="O1418" i="40"/>
  <c r="N1418" i="40"/>
  <c r="Q1417" i="40"/>
  <c r="P1417" i="40"/>
  <c r="O1417" i="40"/>
  <c r="N1417" i="40"/>
  <c r="Q1416" i="40"/>
  <c r="P1416" i="40"/>
  <c r="O1416" i="40"/>
  <c r="N1416" i="40"/>
  <c r="Q1415" i="40"/>
  <c r="P1415" i="40"/>
  <c r="O1415" i="40"/>
  <c r="N1415" i="40"/>
  <c r="Q1414" i="40"/>
  <c r="P1414" i="40"/>
  <c r="O1414" i="40"/>
  <c r="N1414" i="40"/>
  <c r="Q1413" i="40"/>
  <c r="P1413" i="40"/>
  <c r="O1413" i="40"/>
  <c r="N1413" i="40"/>
  <c r="Q1412" i="40"/>
  <c r="P1412" i="40"/>
  <c r="O1412" i="40"/>
  <c r="N1412" i="40"/>
  <c r="Q1411" i="40"/>
  <c r="P1411" i="40"/>
  <c r="O1411" i="40"/>
  <c r="N1411" i="40"/>
  <c r="Q1410" i="40"/>
  <c r="P1410" i="40"/>
  <c r="O1410" i="40"/>
  <c r="N1410" i="40"/>
  <c r="Q1409" i="40"/>
  <c r="P1409" i="40"/>
  <c r="O1409" i="40"/>
  <c r="N1409" i="40"/>
  <c r="Q1408" i="40"/>
  <c r="P1408" i="40"/>
  <c r="O1408" i="40"/>
  <c r="N1408" i="40"/>
  <c r="Q1407" i="40"/>
  <c r="P1407" i="40"/>
  <c r="O1407" i="40"/>
  <c r="N1407" i="40"/>
  <c r="Q1406" i="40"/>
  <c r="P1406" i="40"/>
  <c r="O1406" i="40"/>
  <c r="N1406" i="40"/>
  <c r="Q1405" i="40"/>
  <c r="P1405" i="40"/>
  <c r="O1405" i="40"/>
  <c r="N1405" i="40"/>
  <c r="Q1404" i="40"/>
  <c r="P1404" i="40"/>
  <c r="O1404" i="40"/>
  <c r="N1404" i="40"/>
  <c r="Q1403" i="40"/>
  <c r="P1403" i="40"/>
  <c r="O1403" i="40"/>
  <c r="N1403" i="40"/>
  <c r="Q1402" i="40"/>
  <c r="P1402" i="40"/>
  <c r="O1402" i="40"/>
  <c r="N1402" i="40"/>
  <c r="Q1401" i="40"/>
  <c r="P1401" i="40"/>
  <c r="O1401" i="40"/>
  <c r="N1401" i="40"/>
  <c r="Q1400" i="40"/>
  <c r="P1400" i="40"/>
  <c r="O1400" i="40"/>
  <c r="N1400" i="40"/>
  <c r="Q1399" i="40"/>
  <c r="P1399" i="40"/>
  <c r="O1399" i="40"/>
  <c r="N1399" i="40"/>
  <c r="Q1398" i="40"/>
  <c r="P1398" i="40"/>
  <c r="O1398" i="40"/>
  <c r="N1398" i="40"/>
  <c r="Q1397" i="40"/>
  <c r="P1397" i="40"/>
  <c r="O1397" i="40"/>
  <c r="N1397" i="40"/>
  <c r="Q1396" i="40"/>
  <c r="P1396" i="40"/>
  <c r="O1396" i="40"/>
  <c r="N1396" i="40"/>
  <c r="Q1395" i="40"/>
  <c r="P1395" i="40"/>
  <c r="O1395" i="40"/>
  <c r="N1395" i="40"/>
  <c r="Q1394" i="40"/>
  <c r="P1394" i="40"/>
  <c r="O1394" i="40"/>
  <c r="N1394" i="40"/>
  <c r="Q1393" i="40"/>
  <c r="P1393" i="40"/>
  <c r="O1393" i="40"/>
  <c r="N1393" i="40"/>
  <c r="Q1392" i="40"/>
  <c r="P1392" i="40"/>
  <c r="O1392" i="40"/>
  <c r="N1392" i="40"/>
  <c r="Q1391" i="40"/>
  <c r="P1391" i="40"/>
  <c r="O1391" i="40"/>
  <c r="N1391" i="40"/>
  <c r="Q1390" i="40"/>
  <c r="P1390" i="40"/>
  <c r="O1390" i="40"/>
  <c r="N1390" i="40"/>
  <c r="Q1389" i="40"/>
  <c r="P1389" i="40"/>
  <c r="O1389" i="40"/>
  <c r="N1389" i="40"/>
  <c r="Q1388" i="40"/>
  <c r="P1388" i="40"/>
  <c r="O1388" i="40"/>
  <c r="N1388" i="40"/>
  <c r="Q1387" i="40"/>
  <c r="P1387" i="40"/>
  <c r="O1387" i="40"/>
  <c r="N1387" i="40"/>
  <c r="Q1386" i="40"/>
  <c r="P1386" i="40"/>
  <c r="O1386" i="40"/>
  <c r="N1386" i="40"/>
  <c r="Q1385" i="40"/>
  <c r="P1385" i="40"/>
  <c r="O1385" i="40"/>
  <c r="N1385" i="40"/>
  <c r="Q1384" i="40"/>
  <c r="P1384" i="40"/>
  <c r="O1384" i="40"/>
  <c r="N1384" i="40"/>
  <c r="Q1383" i="40"/>
  <c r="P1383" i="40"/>
  <c r="O1383" i="40"/>
  <c r="N1383" i="40"/>
  <c r="Q1382" i="40"/>
  <c r="P1382" i="40"/>
  <c r="O1382" i="40"/>
  <c r="N1382" i="40"/>
  <c r="Q1381" i="40"/>
  <c r="P1381" i="40"/>
  <c r="O1381" i="40"/>
  <c r="N1381" i="40"/>
  <c r="Q1380" i="40"/>
  <c r="P1380" i="40"/>
  <c r="O1380" i="40"/>
  <c r="N1380" i="40"/>
  <c r="Q1379" i="40"/>
  <c r="P1379" i="40"/>
  <c r="O1379" i="40"/>
  <c r="N1379" i="40"/>
  <c r="Q1378" i="40"/>
  <c r="P1378" i="40"/>
  <c r="O1378" i="40"/>
  <c r="N1378" i="40"/>
  <c r="Q1377" i="40"/>
  <c r="P1377" i="40"/>
  <c r="O1377" i="40"/>
  <c r="N1377" i="40"/>
  <c r="Q1376" i="40"/>
  <c r="P1376" i="40"/>
  <c r="O1376" i="40"/>
  <c r="N1376" i="40"/>
  <c r="Q1375" i="40"/>
  <c r="P1375" i="40"/>
  <c r="O1375" i="40"/>
  <c r="N1375" i="40"/>
  <c r="Q1374" i="40"/>
  <c r="P1374" i="40"/>
  <c r="O1374" i="40"/>
  <c r="N1374" i="40"/>
  <c r="Q1373" i="40"/>
  <c r="P1373" i="40"/>
  <c r="O1373" i="40"/>
  <c r="N1373" i="40"/>
  <c r="Q1372" i="40"/>
  <c r="P1372" i="40"/>
  <c r="O1372" i="40"/>
  <c r="N1372" i="40"/>
  <c r="Q1371" i="40"/>
  <c r="P1371" i="40"/>
  <c r="O1371" i="40"/>
  <c r="N1371" i="40"/>
  <c r="Q1370" i="40"/>
  <c r="P1370" i="40"/>
  <c r="O1370" i="40"/>
  <c r="N1370" i="40"/>
  <c r="Q1369" i="40"/>
  <c r="P1369" i="40"/>
  <c r="O1369" i="40"/>
  <c r="N1369" i="40"/>
  <c r="Q1368" i="40"/>
  <c r="P1368" i="40"/>
  <c r="O1368" i="40"/>
  <c r="N1368" i="40"/>
  <c r="Q1367" i="40"/>
  <c r="P1367" i="40"/>
  <c r="O1367" i="40"/>
  <c r="N1367" i="40"/>
  <c r="Q1366" i="40"/>
  <c r="P1366" i="40"/>
  <c r="O1366" i="40"/>
  <c r="N1366" i="40"/>
  <c r="Q1365" i="40"/>
  <c r="P1365" i="40"/>
  <c r="O1365" i="40"/>
  <c r="N1365" i="40"/>
  <c r="Q1364" i="40"/>
  <c r="P1364" i="40"/>
  <c r="O1364" i="40"/>
  <c r="N1364" i="40"/>
  <c r="Q1363" i="40"/>
  <c r="P1363" i="40"/>
  <c r="O1363" i="40"/>
  <c r="N1363" i="40"/>
  <c r="Q1362" i="40"/>
  <c r="P1362" i="40"/>
  <c r="O1362" i="40"/>
  <c r="N1362" i="40"/>
  <c r="Q1361" i="40"/>
  <c r="P1361" i="40"/>
  <c r="O1361" i="40"/>
  <c r="N1361" i="40"/>
  <c r="Q1360" i="40"/>
  <c r="P1360" i="40"/>
  <c r="O1360" i="40"/>
  <c r="N1360" i="40"/>
  <c r="Q1359" i="40"/>
  <c r="P1359" i="40"/>
  <c r="O1359" i="40"/>
  <c r="N1359" i="40"/>
  <c r="Q1358" i="40"/>
  <c r="P1358" i="40"/>
  <c r="O1358" i="40"/>
  <c r="N1358" i="40"/>
  <c r="Q1357" i="40"/>
  <c r="P1357" i="40"/>
  <c r="O1357" i="40"/>
  <c r="N1357" i="40"/>
  <c r="Q1356" i="40"/>
  <c r="P1356" i="40"/>
  <c r="O1356" i="40"/>
  <c r="N1356" i="40"/>
  <c r="Q1355" i="40"/>
  <c r="P1355" i="40"/>
  <c r="O1355" i="40"/>
  <c r="N1355" i="40"/>
  <c r="Q1354" i="40"/>
  <c r="P1354" i="40"/>
  <c r="O1354" i="40"/>
  <c r="N1354" i="40"/>
  <c r="Q1353" i="40"/>
  <c r="P1353" i="40"/>
  <c r="O1353" i="40"/>
  <c r="N1353" i="40"/>
  <c r="Q1352" i="40"/>
  <c r="P1352" i="40"/>
  <c r="O1352" i="40"/>
  <c r="N1352" i="40"/>
  <c r="Q1351" i="40"/>
  <c r="P1351" i="40"/>
  <c r="O1351" i="40"/>
  <c r="N1351" i="40"/>
  <c r="Q1350" i="40"/>
  <c r="P1350" i="40"/>
  <c r="O1350" i="40"/>
  <c r="N1350" i="40"/>
  <c r="Q1349" i="40"/>
  <c r="P1349" i="40"/>
  <c r="O1349" i="40"/>
  <c r="N1349" i="40"/>
  <c r="Q1348" i="40"/>
  <c r="P1348" i="40"/>
  <c r="O1348" i="40"/>
  <c r="N1348" i="40"/>
  <c r="Q1347" i="40"/>
  <c r="P1347" i="40"/>
  <c r="O1347" i="40"/>
  <c r="N1347" i="40"/>
  <c r="Q1346" i="40"/>
  <c r="P1346" i="40"/>
  <c r="O1346" i="40"/>
  <c r="N1346" i="40"/>
  <c r="Q1345" i="40"/>
  <c r="P1345" i="40"/>
  <c r="O1345" i="40"/>
  <c r="N1345" i="40"/>
  <c r="Q1344" i="40"/>
  <c r="P1344" i="40"/>
  <c r="O1344" i="40"/>
  <c r="N1344" i="40"/>
  <c r="Q1343" i="40"/>
  <c r="P1343" i="40"/>
  <c r="O1343" i="40"/>
  <c r="N1343" i="40"/>
  <c r="Q1342" i="40"/>
  <c r="P1342" i="40"/>
  <c r="O1342" i="40"/>
  <c r="N1342" i="40"/>
  <c r="Q1341" i="40"/>
  <c r="P1341" i="40"/>
  <c r="O1341" i="40"/>
  <c r="N1341" i="40"/>
  <c r="Q1340" i="40"/>
  <c r="P1340" i="40"/>
  <c r="O1340" i="40"/>
  <c r="N1340" i="40"/>
  <c r="Q1339" i="40"/>
  <c r="P1339" i="40"/>
  <c r="O1339" i="40"/>
  <c r="N1339" i="40"/>
  <c r="Q1338" i="40"/>
  <c r="P1338" i="40"/>
  <c r="O1338" i="40"/>
  <c r="N1338" i="40"/>
  <c r="Q1337" i="40"/>
  <c r="P1337" i="40"/>
  <c r="O1337" i="40"/>
  <c r="N1337" i="40"/>
  <c r="Q1336" i="40"/>
  <c r="P1336" i="40"/>
  <c r="O1336" i="40"/>
  <c r="N1336" i="40"/>
  <c r="Q1335" i="40"/>
  <c r="P1335" i="40"/>
  <c r="O1335" i="40"/>
  <c r="N1335" i="40"/>
  <c r="Q1334" i="40"/>
  <c r="P1334" i="40"/>
  <c r="O1334" i="40"/>
  <c r="N1334" i="40"/>
  <c r="Q1333" i="40"/>
  <c r="P1333" i="40"/>
  <c r="O1333" i="40"/>
  <c r="N1333" i="40"/>
  <c r="Q1332" i="40"/>
  <c r="P1332" i="40"/>
  <c r="O1332" i="40"/>
  <c r="N1332" i="40"/>
  <c r="Q1331" i="40"/>
  <c r="P1331" i="40"/>
  <c r="O1331" i="40"/>
  <c r="N1331" i="40"/>
  <c r="Q1330" i="40"/>
  <c r="P1330" i="40"/>
  <c r="O1330" i="40"/>
  <c r="N1330" i="40"/>
  <c r="Q1329" i="40"/>
  <c r="P1329" i="40"/>
  <c r="O1329" i="40"/>
  <c r="N1329" i="40"/>
  <c r="Q1328" i="40"/>
  <c r="P1328" i="40"/>
  <c r="O1328" i="40"/>
  <c r="N1328" i="40"/>
  <c r="Q1327" i="40"/>
  <c r="P1327" i="40"/>
  <c r="O1327" i="40"/>
  <c r="N1327" i="40"/>
  <c r="Q1326" i="40"/>
  <c r="P1326" i="40"/>
  <c r="O1326" i="40"/>
  <c r="N1326" i="40"/>
  <c r="Q1325" i="40"/>
  <c r="P1325" i="40"/>
  <c r="O1325" i="40"/>
  <c r="N1325" i="40"/>
  <c r="Q1324" i="40"/>
  <c r="P1324" i="40"/>
  <c r="O1324" i="40"/>
  <c r="N1324" i="40"/>
  <c r="Q1323" i="40"/>
  <c r="P1323" i="40"/>
  <c r="O1323" i="40"/>
  <c r="N1323" i="40"/>
  <c r="Q1322" i="40"/>
  <c r="P1322" i="40"/>
  <c r="O1322" i="40"/>
  <c r="N1322" i="40"/>
  <c r="Q1321" i="40"/>
  <c r="P1321" i="40"/>
  <c r="O1321" i="40"/>
  <c r="N1321" i="40"/>
  <c r="Q1320" i="40"/>
  <c r="P1320" i="40"/>
  <c r="O1320" i="40"/>
  <c r="N1320" i="40"/>
  <c r="Q1319" i="40"/>
  <c r="P1319" i="40"/>
  <c r="O1319" i="40"/>
  <c r="N1319" i="40"/>
  <c r="Q1318" i="40"/>
  <c r="P1318" i="40"/>
  <c r="O1318" i="40"/>
  <c r="N1318" i="40"/>
  <c r="Q1317" i="40"/>
  <c r="P1317" i="40"/>
  <c r="O1317" i="40"/>
  <c r="N1317" i="40"/>
  <c r="Q1316" i="40"/>
  <c r="P1316" i="40"/>
  <c r="O1316" i="40"/>
  <c r="N1316" i="40"/>
  <c r="Q1315" i="40"/>
  <c r="P1315" i="40"/>
  <c r="O1315" i="40"/>
  <c r="N1315" i="40"/>
  <c r="Q1314" i="40"/>
  <c r="P1314" i="40"/>
  <c r="O1314" i="40"/>
  <c r="N1314" i="40"/>
  <c r="Q1313" i="40"/>
  <c r="P1313" i="40"/>
  <c r="O1313" i="40"/>
  <c r="N1313" i="40"/>
  <c r="Q1312" i="40"/>
  <c r="P1312" i="40"/>
  <c r="O1312" i="40"/>
  <c r="N1312" i="40"/>
  <c r="Q1311" i="40"/>
  <c r="P1311" i="40"/>
  <c r="O1311" i="40"/>
  <c r="N1311" i="40"/>
  <c r="Q1310" i="40"/>
  <c r="P1310" i="40"/>
  <c r="O1310" i="40"/>
  <c r="N1310" i="40"/>
  <c r="Q1309" i="40"/>
  <c r="P1309" i="40"/>
  <c r="O1309" i="40"/>
  <c r="N1309" i="40"/>
  <c r="Q1308" i="40"/>
  <c r="P1308" i="40"/>
  <c r="O1308" i="40"/>
  <c r="N1308" i="40"/>
  <c r="Q1307" i="40"/>
  <c r="P1307" i="40"/>
  <c r="O1307" i="40"/>
  <c r="N1307" i="40"/>
  <c r="Q1306" i="40"/>
  <c r="P1306" i="40"/>
  <c r="O1306" i="40"/>
  <c r="N1306" i="40"/>
  <c r="Q1305" i="40"/>
  <c r="P1305" i="40"/>
  <c r="O1305" i="40"/>
  <c r="N1305" i="40"/>
  <c r="Q1304" i="40"/>
  <c r="P1304" i="40"/>
  <c r="O1304" i="40"/>
  <c r="N1304" i="40"/>
  <c r="Q1303" i="40"/>
  <c r="P1303" i="40"/>
  <c r="O1303" i="40"/>
  <c r="N1303" i="40"/>
  <c r="Q1302" i="40"/>
  <c r="P1302" i="40"/>
  <c r="O1302" i="40"/>
  <c r="N1302" i="40"/>
  <c r="Q1301" i="40"/>
  <c r="P1301" i="40"/>
  <c r="O1301" i="40"/>
  <c r="N1301" i="40"/>
  <c r="Q1300" i="40"/>
  <c r="P1300" i="40"/>
  <c r="O1300" i="40"/>
  <c r="N1300" i="40"/>
  <c r="Q1299" i="40"/>
  <c r="P1299" i="40"/>
  <c r="O1299" i="40"/>
  <c r="N1299" i="40"/>
  <c r="Q1298" i="40"/>
  <c r="P1298" i="40"/>
  <c r="O1298" i="40"/>
  <c r="N1298" i="40"/>
  <c r="Q1297" i="40"/>
  <c r="P1297" i="40"/>
  <c r="O1297" i="40"/>
  <c r="N1297" i="40"/>
  <c r="Q1296" i="40"/>
  <c r="P1296" i="40"/>
  <c r="O1296" i="40"/>
  <c r="N1296" i="40"/>
  <c r="Q1295" i="40"/>
  <c r="P1295" i="40"/>
  <c r="O1295" i="40"/>
  <c r="N1295" i="40"/>
  <c r="Q1294" i="40"/>
  <c r="P1294" i="40"/>
  <c r="O1294" i="40"/>
  <c r="N1294" i="40"/>
  <c r="Q1293" i="40"/>
  <c r="P1293" i="40"/>
  <c r="O1293" i="40"/>
  <c r="N1293" i="40"/>
  <c r="Q1292" i="40"/>
  <c r="P1292" i="40"/>
  <c r="O1292" i="40"/>
  <c r="N1292" i="40"/>
  <c r="Q1291" i="40"/>
  <c r="P1291" i="40"/>
  <c r="O1291" i="40"/>
  <c r="N1291" i="40"/>
  <c r="Q1290" i="40"/>
  <c r="P1290" i="40"/>
  <c r="O1290" i="40"/>
  <c r="N1290" i="40"/>
  <c r="Q1289" i="40"/>
  <c r="P1289" i="40"/>
  <c r="O1289" i="40"/>
  <c r="N1289" i="40"/>
  <c r="Q1288" i="40"/>
  <c r="P1288" i="40"/>
  <c r="O1288" i="40"/>
  <c r="N1288" i="40"/>
  <c r="Q1287" i="40"/>
  <c r="P1287" i="40"/>
  <c r="O1287" i="40"/>
  <c r="N1287" i="40"/>
  <c r="Q1286" i="40"/>
  <c r="P1286" i="40"/>
  <c r="O1286" i="40"/>
  <c r="N1286" i="40"/>
  <c r="Q1285" i="40"/>
  <c r="P1285" i="40"/>
  <c r="O1285" i="40"/>
  <c r="N1285" i="40"/>
  <c r="Q1284" i="40"/>
  <c r="P1284" i="40"/>
  <c r="O1284" i="40"/>
  <c r="N1284" i="40"/>
  <c r="Q1283" i="40"/>
  <c r="P1283" i="40"/>
  <c r="O1283" i="40"/>
  <c r="N1283" i="40"/>
  <c r="Q1282" i="40"/>
  <c r="P1282" i="40"/>
  <c r="O1282" i="40"/>
  <c r="N1282" i="40"/>
  <c r="Q1281" i="40"/>
  <c r="P1281" i="40"/>
  <c r="O1281" i="40"/>
  <c r="N1281" i="40"/>
  <c r="Q1280" i="40"/>
  <c r="P1280" i="40"/>
  <c r="O1280" i="40"/>
  <c r="N1280" i="40"/>
  <c r="Q1279" i="40"/>
  <c r="P1279" i="40"/>
  <c r="O1279" i="40"/>
  <c r="N1279" i="40"/>
  <c r="Q1278" i="40"/>
  <c r="P1278" i="40"/>
  <c r="O1278" i="40"/>
  <c r="N1278" i="40"/>
  <c r="Q1277" i="40"/>
  <c r="P1277" i="40"/>
  <c r="O1277" i="40"/>
  <c r="N1277" i="40"/>
  <c r="Q1276" i="40"/>
  <c r="P1276" i="40"/>
  <c r="O1276" i="40"/>
  <c r="N1276" i="40"/>
  <c r="Q1275" i="40"/>
  <c r="P1275" i="40"/>
  <c r="O1275" i="40"/>
  <c r="N1275" i="40"/>
  <c r="Q1274" i="40"/>
  <c r="P1274" i="40"/>
  <c r="O1274" i="40"/>
  <c r="N1274" i="40"/>
  <c r="Q1273" i="40"/>
  <c r="P1273" i="40"/>
  <c r="O1273" i="40"/>
  <c r="N1273" i="40"/>
  <c r="Q1272" i="40"/>
  <c r="P1272" i="40"/>
  <c r="O1272" i="40"/>
  <c r="N1272" i="40"/>
  <c r="Q1271" i="40"/>
  <c r="P1271" i="40"/>
  <c r="O1271" i="40"/>
  <c r="N1271" i="40"/>
  <c r="Q1270" i="40"/>
  <c r="P1270" i="40"/>
  <c r="O1270" i="40"/>
  <c r="N1270" i="40"/>
  <c r="Q1269" i="40"/>
  <c r="P1269" i="40"/>
  <c r="O1269" i="40"/>
  <c r="N1269" i="40"/>
  <c r="Q1268" i="40"/>
  <c r="P1268" i="40"/>
  <c r="O1268" i="40"/>
  <c r="N1268" i="40"/>
  <c r="Q1267" i="40"/>
  <c r="P1267" i="40"/>
  <c r="O1267" i="40"/>
  <c r="N1267" i="40"/>
  <c r="Q1266" i="40"/>
  <c r="P1266" i="40"/>
  <c r="O1266" i="40"/>
  <c r="N1266" i="40"/>
  <c r="Q1265" i="40"/>
  <c r="P1265" i="40"/>
  <c r="O1265" i="40"/>
  <c r="N1265" i="40"/>
  <c r="Q1264" i="40"/>
  <c r="P1264" i="40"/>
  <c r="O1264" i="40"/>
  <c r="N1264" i="40"/>
  <c r="Q1263" i="40"/>
  <c r="P1263" i="40"/>
  <c r="O1263" i="40"/>
  <c r="N1263" i="40"/>
  <c r="Q1262" i="40"/>
  <c r="P1262" i="40"/>
  <c r="O1262" i="40"/>
  <c r="N1262" i="40"/>
  <c r="Q1261" i="40"/>
  <c r="P1261" i="40"/>
  <c r="O1261" i="40"/>
  <c r="N1261" i="40"/>
  <c r="Q1260" i="40"/>
  <c r="P1260" i="40"/>
  <c r="O1260" i="40"/>
  <c r="N1260" i="40"/>
  <c r="Q1259" i="40"/>
  <c r="P1259" i="40"/>
  <c r="O1259" i="40"/>
  <c r="N1259" i="40"/>
  <c r="Q1258" i="40"/>
  <c r="P1258" i="40"/>
  <c r="O1258" i="40"/>
  <c r="N1258" i="40"/>
  <c r="Q1257" i="40"/>
  <c r="P1257" i="40"/>
  <c r="O1257" i="40"/>
  <c r="N1257" i="40"/>
  <c r="Q1256" i="40"/>
  <c r="P1256" i="40"/>
  <c r="O1256" i="40"/>
  <c r="N1256" i="40"/>
  <c r="Q1255" i="40"/>
  <c r="P1255" i="40"/>
  <c r="O1255" i="40"/>
  <c r="N1255" i="40"/>
  <c r="Q1254" i="40"/>
  <c r="P1254" i="40"/>
  <c r="O1254" i="40"/>
  <c r="N1254" i="40"/>
  <c r="Q1253" i="40"/>
  <c r="P1253" i="40"/>
  <c r="O1253" i="40"/>
  <c r="N1253" i="40"/>
  <c r="Q1252" i="40"/>
  <c r="P1252" i="40"/>
  <c r="O1252" i="40"/>
  <c r="N1252" i="40"/>
  <c r="Q1251" i="40"/>
  <c r="P1251" i="40"/>
  <c r="O1251" i="40"/>
  <c r="N1251" i="40"/>
  <c r="Q1250" i="40"/>
  <c r="P1250" i="40"/>
  <c r="O1250" i="40"/>
  <c r="N1250" i="40"/>
  <c r="Q1249" i="40"/>
  <c r="P1249" i="40"/>
  <c r="O1249" i="40"/>
  <c r="N1249" i="40"/>
  <c r="Q1248" i="40"/>
  <c r="P1248" i="40"/>
  <c r="O1248" i="40"/>
  <c r="N1248" i="40"/>
  <c r="Q1247" i="40"/>
  <c r="P1247" i="40"/>
  <c r="O1247" i="40"/>
  <c r="N1247" i="40"/>
  <c r="Q1246" i="40"/>
  <c r="P1246" i="40"/>
  <c r="O1246" i="40"/>
  <c r="N1246" i="40"/>
  <c r="Q1245" i="40"/>
  <c r="P1245" i="40"/>
  <c r="O1245" i="40"/>
  <c r="N1245" i="40"/>
  <c r="Q1244" i="40"/>
  <c r="P1244" i="40"/>
  <c r="O1244" i="40"/>
  <c r="N1244" i="40"/>
  <c r="Q1243" i="40"/>
  <c r="P1243" i="40"/>
  <c r="O1243" i="40"/>
  <c r="N1243" i="40"/>
  <c r="Q1242" i="40"/>
  <c r="P1242" i="40"/>
  <c r="O1242" i="40"/>
  <c r="N1242" i="40"/>
  <c r="Q1241" i="40"/>
  <c r="P1241" i="40"/>
  <c r="O1241" i="40"/>
  <c r="N1241" i="40"/>
  <c r="Q1240" i="40"/>
  <c r="P1240" i="40"/>
  <c r="O1240" i="40"/>
  <c r="N1240" i="40"/>
  <c r="Q1239" i="40"/>
  <c r="P1239" i="40"/>
  <c r="O1239" i="40"/>
  <c r="N1239" i="40"/>
  <c r="Q1238" i="40"/>
  <c r="P1238" i="40"/>
  <c r="O1238" i="40"/>
  <c r="N1238" i="40"/>
  <c r="Q1237" i="40"/>
  <c r="P1237" i="40"/>
  <c r="O1237" i="40"/>
  <c r="N1237" i="40"/>
  <c r="Q1236" i="40"/>
  <c r="P1236" i="40"/>
  <c r="O1236" i="40"/>
  <c r="N1236" i="40"/>
  <c r="Q1235" i="40"/>
  <c r="P1235" i="40"/>
  <c r="O1235" i="40"/>
  <c r="N1235" i="40"/>
  <c r="Q1234" i="40"/>
  <c r="P1234" i="40"/>
  <c r="O1234" i="40"/>
  <c r="N1234" i="40"/>
  <c r="Q1233" i="40"/>
  <c r="P1233" i="40"/>
  <c r="O1233" i="40"/>
  <c r="N1233" i="40"/>
  <c r="Q1232" i="40"/>
  <c r="P1232" i="40"/>
  <c r="O1232" i="40"/>
  <c r="N1232" i="40"/>
  <c r="Q1231" i="40"/>
  <c r="P1231" i="40"/>
  <c r="O1231" i="40"/>
  <c r="N1231" i="40"/>
  <c r="Q1230" i="40"/>
  <c r="P1230" i="40"/>
  <c r="O1230" i="40"/>
  <c r="N1230" i="40"/>
  <c r="Q1229" i="40"/>
  <c r="P1229" i="40"/>
  <c r="O1229" i="40"/>
  <c r="N1229" i="40"/>
  <c r="Q1228" i="40"/>
  <c r="P1228" i="40"/>
  <c r="O1228" i="40"/>
  <c r="N1228" i="40"/>
  <c r="Q1227" i="40"/>
  <c r="P1227" i="40"/>
  <c r="O1227" i="40"/>
  <c r="N1227" i="40"/>
  <c r="Q1226" i="40"/>
  <c r="P1226" i="40"/>
  <c r="O1226" i="40"/>
  <c r="N1226" i="40"/>
  <c r="Q1225" i="40"/>
  <c r="P1225" i="40"/>
  <c r="O1225" i="40"/>
  <c r="N1225" i="40"/>
  <c r="Q1224" i="40"/>
  <c r="P1224" i="40"/>
  <c r="O1224" i="40"/>
  <c r="N1224" i="40"/>
  <c r="Q1223" i="40"/>
  <c r="P1223" i="40"/>
  <c r="O1223" i="40"/>
  <c r="N1223" i="40"/>
  <c r="Q1222" i="40"/>
  <c r="P1222" i="40"/>
  <c r="O1222" i="40"/>
  <c r="N1222" i="40"/>
  <c r="Q1221" i="40"/>
  <c r="P1221" i="40"/>
  <c r="O1221" i="40"/>
  <c r="N1221" i="40"/>
  <c r="Q1220" i="40"/>
  <c r="P1220" i="40"/>
  <c r="O1220" i="40"/>
  <c r="N1220" i="40"/>
  <c r="Q1219" i="40"/>
  <c r="P1219" i="40"/>
  <c r="O1219" i="40"/>
  <c r="N1219" i="40"/>
  <c r="Q1218" i="40"/>
  <c r="P1218" i="40"/>
  <c r="O1218" i="40"/>
  <c r="N1218" i="40"/>
  <c r="Q1217" i="40"/>
  <c r="P1217" i="40"/>
  <c r="O1217" i="40"/>
  <c r="N1217" i="40"/>
  <c r="Q1216" i="40"/>
  <c r="P1216" i="40"/>
  <c r="O1216" i="40"/>
  <c r="N1216" i="40"/>
  <c r="Q1215" i="40"/>
  <c r="P1215" i="40"/>
  <c r="O1215" i="40"/>
  <c r="N1215" i="40"/>
  <c r="Q1214" i="40"/>
  <c r="P1214" i="40"/>
  <c r="O1214" i="40"/>
  <c r="N1214" i="40"/>
  <c r="Q1213" i="40"/>
  <c r="P1213" i="40"/>
  <c r="O1213" i="40"/>
  <c r="N1213" i="40"/>
  <c r="Q1212" i="40"/>
  <c r="P1212" i="40"/>
  <c r="O1212" i="40"/>
  <c r="N1212" i="40"/>
  <c r="Q1211" i="40"/>
  <c r="P1211" i="40"/>
  <c r="O1211" i="40"/>
  <c r="N1211" i="40"/>
  <c r="Q1210" i="40"/>
  <c r="P1210" i="40"/>
  <c r="O1210" i="40"/>
  <c r="N1210" i="40"/>
  <c r="Q1209" i="40"/>
  <c r="P1209" i="40"/>
  <c r="O1209" i="40"/>
  <c r="N1209" i="40"/>
  <c r="Q1208" i="40"/>
  <c r="P1208" i="40"/>
  <c r="O1208" i="40"/>
  <c r="N1208" i="40"/>
  <c r="Q1207" i="40"/>
  <c r="P1207" i="40"/>
  <c r="O1207" i="40"/>
  <c r="N1207" i="40"/>
  <c r="Q1206" i="40"/>
  <c r="P1206" i="40"/>
  <c r="O1206" i="40"/>
  <c r="N1206" i="40"/>
  <c r="Q1205" i="40"/>
  <c r="P1205" i="40"/>
  <c r="O1205" i="40"/>
  <c r="N1205" i="40"/>
  <c r="Q1204" i="40"/>
  <c r="P1204" i="40"/>
  <c r="O1204" i="40"/>
  <c r="N1204" i="40"/>
  <c r="Q1203" i="40"/>
  <c r="P1203" i="40"/>
  <c r="O1203" i="40"/>
  <c r="N1203" i="40"/>
  <c r="Q1202" i="40"/>
  <c r="P1202" i="40"/>
  <c r="O1202" i="40"/>
  <c r="N1202" i="40"/>
  <c r="Q1201" i="40"/>
  <c r="P1201" i="40"/>
  <c r="O1201" i="40"/>
  <c r="N1201" i="40"/>
  <c r="Q1200" i="40"/>
  <c r="P1200" i="40"/>
  <c r="O1200" i="40"/>
  <c r="N1200" i="40"/>
  <c r="Q1199" i="40"/>
  <c r="P1199" i="40"/>
  <c r="O1199" i="40"/>
  <c r="N1199" i="40"/>
  <c r="Q1198" i="40"/>
  <c r="P1198" i="40"/>
  <c r="O1198" i="40"/>
  <c r="N1198" i="40"/>
  <c r="Q1197" i="40"/>
  <c r="P1197" i="40"/>
  <c r="O1197" i="40"/>
  <c r="N1197" i="40"/>
  <c r="Q1196" i="40"/>
  <c r="P1196" i="40"/>
  <c r="O1196" i="40"/>
  <c r="N1196" i="40"/>
  <c r="Q1195" i="40"/>
  <c r="P1195" i="40"/>
  <c r="O1195" i="40"/>
  <c r="N1195" i="40"/>
  <c r="Q1194" i="40"/>
  <c r="P1194" i="40"/>
  <c r="O1194" i="40"/>
  <c r="N1194" i="40"/>
  <c r="Q1193" i="40"/>
  <c r="P1193" i="40"/>
  <c r="O1193" i="40"/>
  <c r="N1193" i="40"/>
  <c r="Q1192" i="40"/>
  <c r="P1192" i="40"/>
  <c r="O1192" i="40"/>
  <c r="N1192" i="40"/>
  <c r="Q1191" i="40"/>
  <c r="P1191" i="40"/>
  <c r="O1191" i="40"/>
  <c r="N1191" i="40"/>
  <c r="Q1190" i="40"/>
  <c r="P1190" i="40"/>
  <c r="O1190" i="40"/>
  <c r="N1190" i="40"/>
  <c r="Q1189" i="40"/>
  <c r="P1189" i="40"/>
  <c r="O1189" i="40"/>
  <c r="N1189" i="40"/>
  <c r="Q1188" i="40"/>
  <c r="P1188" i="40"/>
  <c r="O1188" i="40"/>
  <c r="N1188" i="40"/>
  <c r="Q1187" i="40"/>
  <c r="P1187" i="40"/>
  <c r="O1187" i="40"/>
  <c r="N1187" i="40"/>
  <c r="Q1186" i="40"/>
  <c r="P1186" i="40"/>
  <c r="O1186" i="40"/>
  <c r="N1186" i="40"/>
  <c r="Q1185" i="40"/>
  <c r="P1185" i="40"/>
  <c r="O1185" i="40"/>
  <c r="N1185" i="40"/>
  <c r="Q1184" i="40"/>
  <c r="P1184" i="40"/>
  <c r="O1184" i="40"/>
  <c r="N1184" i="40"/>
  <c r="Q1183" i="40"/>
  <c r="P1183" i="40"/>
  <c r="O1183" i="40"/>
  <c r="N1183" i="40"/>
  <c r="Q1182" i="40"/>
  <c r="P1182" i="40"/>
  <c r="O1182" i="40"/>
  <c r="N1182" i="40"/>
  <c r="Q1181" i="40"/>
  <c r="P1181" i="40"/>
  <c r="O1181" i="40"/>
  <c r="N1181" i="40"/>
  <c r="Q1180" i="40"/>
  <c r="P1180" i="40"/>
  <c r="O1180" i="40"/>
  <c r="N1180" i="40"/>
  <c r="Q1179" i="40"/>
  <c r="P1179" i="40"/>
  <c r="O1179" i="40"/>
  <c r="N1179" i="40"/>
  <c r="Q1178" i="40"/>
  <c r="P1178" i="40"/>
  <c r="O1178" i="40"/>
  <c r="N1178" i="40"/>
  <c r="Q1177" i="40"/>
  <c r="P1177" i="40"/>
  <c r="O1177" i="40"/>
  <c r="N1177" i="40"/>
  <c r="Q1176" i="40"/>
  <c r="P1176" i="40"/>
  <c r="O1176" i="40"/>
  <c r="N1176" i="40"/>
  <c r="Q1175" i="40"/>
  <c r="P1175" i="40"/>
  <c r="O1175" i="40"/>
  <c r="N1175" i="40"/>
  <c r="Q1174" i="40"/>
  <c r="P1174" i="40"/>
  <c r="O1174" i="40"/>
  <c r="N1174" i="40"/>
  <c r="Q1173" i="40"/>
  <c r="P1173" i="40"/>
  <c r="O1173" i="40"/>
  <c r="N1173" i="40"/>
  <c r="Q1172" i="40"/>
  <c r="P1172" i="40"/>
  <c r="O1172" i="40"/>
  <c r="N1172" i="40"/>
  <c r="Q1171" i="40"/>
  <c r="P1171" i="40"/>
  <c r="O1171" i="40"/>
  <c r="N1171" i="40"/>
  <c r="Q1170" i="40"/>
  <c r="P1170" i="40"/>
  <c r="O1170" i="40"/>
  <c r="N1170" i="40"/>
  <c r="Q1169" i="40"/>
  <c r="P1169" i="40"/>
  <c r="O1169" i="40"/>
  <c r="N1169" i="40"/>
  <c r="Q1168" i="40"/>
  <c r="P1168" i="40"/>
  <c r="O1168" i="40"/>
  <c r="N1168" i="40"/>
  <c r="Q1167" i="40"/>
  <c r="P1167" i="40"/>
  <c r="O1167" i="40"/>
  <c r="N1167" i="40"/>
  <c r="Q1166" i="40"/>
  <c r="P1166" i="40"/>
  <c r="O1166" i="40"/>
  <c r="N1166" i="40"/>
  <c r="Q1165" i="40"/>
  <c r="P1165" i="40"/>
  <c r="O1165" i="40"/>
  <c r="N1165" i="40"/>
  <c r="Q1164" i="40"/>
  <c r="P1164" i="40"/>
  <c r="O1164" i="40"/>
  <c r="N1164" i="40"/>
  <c r="Q1163" i="40"/>
  <c r="P1163" i="40"/>
  <c r="O1163" i="40"/>
  <c r="N1163" i="40"/>
  <c r="Q1162" i="40"/>
  <c r="P1162" i="40"/>
  <c r="O1162" i="40"/>
  <c r="N1162" i="40"/>
  <c r="Q1161" i="40"/>
  <c r="P1161" i="40"/>
  <c r="O1161" i="40"/>
  <c r="N1161" i="40"/>
  <c r="Q1160" i="40"/>
  <c r="P1160" i="40"/>
  <c r="O1160" i="40"/>
  <c r="N1160" i="40"/>
  <c r="Q1159" i="40"/>
  <c r="P1159" i="40"/>
  <c r="O1159" i="40"/>
  <c r="N1159" i="40"/>
  <c r="Q1158" i="40"/>
  <c r="P1158" i="40"/>
  <c r="O1158" i="40"/>
  <c r="N1158" i="40"/>
  <c r="Q1157" i="40"/>
  <c r="P1157" i="40"/>
  <c r="O1157" i="40"/>
  <c r="N1157" i="40"/>
  <c r="Q1156" i="40"/>
  <c r="P1156" i="40"/>
  <c r="O1156" i="40"/>
  <c r="N1156" i="40"/>
  <c r="Q1155" i="40"/>
  <c r="P1155" i="40"/>
  <c r="O1155" i="40"/>
  <c r="N1155" i="40"/>
  <c r="Q1154" i="40"/>
  <c r="P1154" i="40"/>
  <c r="O1154" i="40"/>
  <c r="N1154" i="40"/>
  <c r="Q1153" i="40"/>
  <c r="P1153" i="40"/>
  <c r="O1153" i="40"/>
  <c r="N1153" i="40"/>
  <c r="Q1152" i="40"/>
  <c r="P1152" i="40"/>
  <c r="O1152" i="40"/>
  <c r="N1152" i="40"/>
  <c r="Q1151" i="40"/>
  <c r="P1151" i="40"/>
  <c r="O1151" i="40"/>
  <c r="N1151" i="40"/>
  <c r="Q1150" i="40"/>
  <c r="P1150" i="40"/>
  <c r="O1150" i="40"/>
  <c r="N1150" i="40"/>
  <c r="Q1149" i="40"/>
  <c r="P1149" i="40"/>
  <c r="O1149" i="40"/>
  <c r="N1149" i="40"/>
  <c r="Q1148" i="40"/>
  <c r="P1148" i="40"/>
  <c r="O1148" i="40"/>
  <c r="N1148" i="40"/>
  <c r="Q1147" i="40"/>
  <c r="P1147" i="40"/>
  <c r="O1147" i="40"/>
  <c r="N1147" i="40"/>
  <c r="Q1146" i="40"/>
  <c r="P1146" i="40"/>
  <c r="O1146" i="40"/>
  <c r="N1146" i="40"/>
  <c r="Q1145" i="40"/>
  <c r="P1145" i="40"/>
  <c r="O1145" i="40"/>
  <c r="N1145" i="40"/>
  <c r="Q1144" i="40"/>
  <c r="P1144" i="40"/>
  <c r="O1144" i="40"/>
  <c r="N1144" i="40"/>
  <c r="Q1143" i="40"/>
  <c r="P1143" i="40"/>
  <c r="O1143" i="40"/>
  <c r="N1143" i="40"/>
  <c r="Q1142" i="40"/>
  <c r="P1142" i="40"/>
  <c r="O1142" i="40"/>
  <c r="N1142" i="40"/>
  <c r="Q1141" i="40"/>
  <c r="P1141" i="40"/>
  <c r="O1141" i="40"/>
  <c r="N1141" i="40"/>
  <c r="Q1140" i="40"/>
  <c r="P1140" i="40"/>
  <c r="O1140" i="40"/>
  <c r="N1140" i="40"/>
  <c r="Q1139" i="40"/>
  <c r="P1139" i="40"/>
  <c r="O1139" i="40"/>
  <c r="N1139" i="40"/>
  <c r="Q1138" i="40"/>
  <c r="P1138" i="40"/>
  <c r="O1138" i="40"/>
  <c r="N1138" i="40"/>
  <c r="Q1137" i="40"/>
  <c r="P1137" i="40"/>
  <c r="O1137" i="40"/>
  <c r="N1137" i="40"/>
  <c r="Q1136" i="40"/>
  <c r="P1136" i="40"/>
  <c r="O1136" i="40"/>
  <c r="N1136" i="40"/>
  <c r="Q1135" i="40"/>
  <c r="P1135" i="40"/>
  <c r="O1135" i="40"/>
  <c r="N1135" i="40"/>
  <c r="Q1134" i="40"/>
  <c r="P1134" i="40"/>
  <c r="O1134" i="40"/>
  <c r="N1134" i="40"/>
  <c r="Q1133" i="40"/>
  <c r="P1133" i="40"/>
  <c r="O1133" i="40"/>
  <c r="N1133" i="40"/>
  <c r="Q1132" i="40"/>
  <c r="P1132" i="40"/>
  <c r="O1132" i="40"/>
  <c r="N1132" i="40"/>
  <c r="Q1131" i="40"/>
  <c r="P1131" i="40"/>
  <c r="O1131" i="40"/>
  <c r="N1131" i="40"/>
  <c r="Q1130" i="40"/>
  <c r="P1130" i="40"/>
  <c r="O1130" i="40"/>
  <c r="N1130" i="40"/>
  <c r="Q1129" i="40"/>
  <c r="P1129" i="40"/>
  <c r="O1129" i="40"/>
  <c r="N1129" i="40"/>
  <c r="Q1128" i="40"/>
  <c r="P1128" i="40"/>
  <c r="O1128" i="40"/>
  <c r="N1128" i="40"/>
  <c r="Q1127" i="40"/>
  <c r="P1127" i="40"/>
  <c r="O1127" i="40"/>
  <c r="N1127" i="40"/>
  <c r="Q1126" i="40"/>
  <c r="P1126" i="40"/>
  <c r="O1126" i="40"/>
  <c r="N1126" i="40"/>
  <c r="Q1125" i="40"/>
  <c r="P1125" i="40"/>
  <c r="O1125" i="40"/>
  <c r="N1125" i="40"/>
  <c r="Q1124" i="40"/>
  <c r="P1124" i="40"/>
  <c r="O1124" i="40"/>
  <c r="N1124" i="40"/>
  <c r="Q1123" i="40"/>
  <c r="P1123" i="40"/>
  <c r="O1123" i="40"/>
  <c r="N1123" i="40"/>
  <c r="Q1122" i="40"/>
  <c r="P1122" i="40"/>
  <c r="O1122" i="40"/>
  <c r="N1122" i="40"/>
  <c r="Q1121" i="40"/>
  <c r="P1121" i="40"/>
  <c r="O1121" i="40"/>
  <c r="N1121" i="40"/>
  <c r="Q1120" i="40"/>
  <c r="P1120" i="40"/>
  <c r="O1120" i="40"/>
  <c r="N1120" i="40"/>
  <c r="Q1119" i="40"/>
  <c r="P1119" i="40"/>
  <c r="O1119" i="40"/>
  <c r="N1119" i="40"/>
  <c r="Q1118" i="40"/>
  <c r="P1118" i="40"/>
  <c r="O1118" i="40"/>
  <c r="N1118" i="40"/>
  <c r="Q1117" i="40"/>
  <c r="P1117" i="40"/>
  <c r="O1117" i="40"/>
  <c r="N1117" i="40"/>
  <c r="Q1116" i="40"/>
  <c r="P1116" i="40"/>
  <c r="O1116" i="40"/>
  <c r="N1116" i="40"/>
  <c r="Q1115" i="40"/>
  <c r="P1115" i="40"/>
  <c r="O1115" i="40"/>
  <c r="N1115" i="40"/>
  <c r="Q1114" i="40"/>
  <c r="P1114" i="40"/>
  <c r="O1114" i="40"/>
  <c r="N1114" i="40"/>
  <c r="Q1113" i="40"/>
  <c r="P1113" i="40"/>
  <c r="O1113" i="40"/>
  <c r="N1113" i="40"/>
  <c r="Q1112" i="40"/>
  <c r="P1112" i="40"/>
  <c r="O1112" i="40"/>
  <c r="N1112" i="40"/>
  <c r="Q1111" i="40"/>
  <c r="P1111" i="40"/>
  <c r="O1111" i="40"/>
  <c r="N1111" i="40"/>
  <c r="Q1110" i="40"/>
  <c r="P1110" i="40"/>
  <c r="O1110" i="40"/>
  <c r="N1110" i="40"/>
  <c r="Q1109" i="40"/>
  <c r="P1109" i="40"/>
  <c r="O1109" i="40"/>
  <c r="N1109" i="40"/>
  <c r="Q1108" i="40"/>
  <c r="P1108" i="40"/>
  <c r="O1108" i="40"/>
  <c r="N1108" i="40"/>
  <c r="Q1107" i="40"/>
  <c r="P1107" i="40"/>
  <c r="O1107" i="40"/>
  <c r="N1107" i="40"/>
  <c r="Q1106" i="40"/>
  <c r="P1106" i="40"/>
  <c r="O1106" i="40"/>
  <c r="N1106" i="40"/>
  <c r="Q1105" i="40"/>
  <c r="P1105" i="40"/>
  <c r="O1105" i="40"/>
  <c r="N1105" i="40"/>
  <c r="Q1104" i="40"/>
  <c r="P1104" i="40"/>
  <c r="O1104" i="40"/>
  <c r="N1104" i="40"/>
  <c r="Q1103" i="40"/>
  <c r="P1103" i="40"/>
  <c r="O1103" i="40"/>
  <c r="N1103" i="40"/>
  <c r="Q1102" i="40"/>
  <c r="P1102" i="40"/>
  <c r="O1102" i="40"/>
  <c r="N1102" i="40"/>
  <c r="Q1101" i="40"/>
  <c r="P1101" i="40"/>
  <c r="O1101" i="40"/>
  <c r="N1101" i="40"/>
  <c r="Q1100" i="40"/>
  <c r="P1100" i="40"/>
  <c r="O1100" i="40"/>
  <c r="N1100" i="40"/>
  <c r="Q1099" i="40"/>
  <c r="P1099" i="40"/>
  <c r="O1099" i="40"/>
  <c r="N1099" i="40"/>
  <c r="Q1098" i="40"/>
  <c r="P1098" i="40"/>
  <c r="O1098" i="40"/>
  <c r="N1098" i="40"/>
  <c r="Q1097" i="40"/>
  <c r="P1097" i="40"/>
  <c r="O1097" i="40"/>
  <c r="N1097" i="40"/>
  <c r="Q1096" i="40"/>
  <c r="P1096" i="40"/>
  <c r="O1096" i="40"/>
  <c r="N1096" i="40"/>
  <c r="Q1095" i="40"/>
  <c r="P1095" i="40"/>
  <c r="O1095" i="40"/>
  <c r="N1095" i="40"/>
  <c r="Q1094" i="40"/>
  <c r="P1094" i="40"/>
  <c r="O1094" i="40"/>
  <c r="N1094" i="40"/>
  <c r="Q1093" i="40"/>
  <c r="P1093" i="40"/>
  <c r="O1093" i="40"/>
  <c r="N1093" i="40"/>
  <c r="Q1092" i="40"/>
  <c r="P1092" i="40"/>
  <c r="O1092" i="40"/>
  <c r="N1092" i="40"/>
  <c r="Q1091" i="40"/>
  <c r="P1091" i="40"/>
  <c r="O1091" i="40"/>
  <c r="N1091" i="40"/>
  <c r="Q1090" i="40"/>
  <c r="P1090" i="40"/>
  <c r="O1090" i="40"/>
  <c r="N1090" i="40"/>
  <c r="Q1089" i="40"/>
  <c r="P1089" i="40"/>
  <c r="O1089" i="40"/>
  <c r="N1089" i="40"/>
  <c r="Q1088" i="40"/>
  <c r="P1088" i="40"/>
  <c r="O1088" i="40"/>
  <c r="N1088" i="40"/>
  <c r="Q1087" i="40"/>
  <c r="P1087" i="40"/>
  <c r="O1087" i="40"/>
  <c r="N1087" i="40"/>
  <c r="Q1086" i="40"/>
  <c r="P1086" i="40"/>
  <c r="O1086" i="40"/>
  <c r="N1086" i="40"/>
  <c r="Q1085" i="40"/>
  <c r="P1085" i="40"/>
  <c r="O1085" i="40"/>
  <c r="N1085" i="40"/>
  <c r="Q1084" i="40"/>
  <c r="P1084" i="40"/>
  <c r="O1084" i="40"/>
  <c r="N1084" i="40"/>
  <c r="Q1083" i="40"/>
  <c r="P1083" i="40"/>
  <c r="O1083" i="40"/>
  <c r="N1083" i="40"/>
  <c r="Q1082" i="40"/>
  <c r="P1082" i="40"/>
  <c r="O1082" i="40"/>
  <c r="N1082" i="40"/>
  <c r="Q1081" i="40"/>
  <c r="P1081" i="40"/>
  <c r="O1081" i="40"/>
  <c r="N1081" i="40"/>
  <c r="Q1080" i="40"/>
  <c r="P1080" i="40"/>
  <c r="O1080" i="40"/>
  <c r="N1080" i="40"/>
  <c r="Q1079" i="40"/>
  <c r="P1079" i="40"/>
  <c r="O1079" i="40"/>
  <c r="N1079" i="40"/>
  <c r="Q1078" i="40"/>
  <c r="P1078" i="40"/>
  <c r="O1078" i="40"/>
  <c r="N1078" i="40"/>
  <c r="Q1077" i="40"/>
  <c r="P1077" i="40"/>
  <c r="O1077" i="40"/>
  <c r="N1077" i="40"/>
  <c r="Q1076" i="40"/>
  <c r="P1076" i="40"/>
  <c r="O1076" i="40"/>
  <c r="N1076" i="40"/>
  <c r="Q1075" i="40"/>
  <c r="P1075" i="40"/>
  <c r="O1075" i="40"/>
  <c r="N1075" i="40"/>
  <c r="Q1074" i="40"/>
  <c r="P1074" i="40"/>
  <c r="O1074" i="40"/>
  <c r="N1074" i="40"/>
  <c r="Q1073" i="40"/>
  <c r="P1073" i="40"/>
  <c r="O1073" i="40"/>
  <c r="N1073" i="40"/>
  <c r="Q1072" i="40"/>
  <c r="P1072" i="40"/>
  <c r="O1072" i="40"/>
  <c r="N1072" i="40"/>
  <c r="Q1071" i="40"/>
  <c r="P1071" i="40"/>
  <c r="O1071" i="40"/>
  <c r="N1071" i="40"/>
  <c r="Q1070" i="40"/>
  <c r="P1070" i="40"/>
  <c r="O1070" i="40"/>
  <c r="N1070" i="40"/>
  <c r="Q1069" i="40"/>
  <c r="P1069" i="40"/>
  <c r="O1069" i="40"/>
  <c r="N1069" i="40"/>
  <c r="Q1068" i="40"/>
  <c r="P1068" i="40"/>
  <c r="O1068" i="40"/>
  <c r="N1068" i="40"/>
  <c r="Q1067" i="40"/>
  <c r="P1067" i="40"/>
  <c r="O1067" i="40"/>
  <c r="N1067" i="40"/>
  <c r="Q1066" i="40"/>
  <c r="P1066" i="40"/>
  <c r="O1066" i="40"/>
  <c r="N1066" i="40"/>
  <c r="Q1065" i="40"/>
  <c r="P1065" i="40"/>
  <c r="O1065" i="40"/>
  <c r="N1065" i="40"/>
  <c r="Q1064" i="40"/>
  <c r="P1064" i="40"/>
  <c r="O1064" i="40"/>
  <c r="N1064" i="40"/>
  <c r="Q1063" i="40"/>
  <c r="P1063" i="40"/>
  <c r="O1063" i="40"/>
  <c r="N1063" i="40"/>
  <c r="Q1062" i="40"/>
  <c r="P1062" i="40"/>
  <c r="O1062" i="40"/>
  <c r="N1062" i="40"/>
  <c r="Q1061" i="40"/>
  <c r="P1061" i="40"/>
  <c r="O1061" i="40"/>
  <c r="N1061" i="40"/>
  <c r="Q1060" i="40"/>
  <c r="P1060" i="40"/>
  <c r="O1060" i="40"/>
  <c r="N1060" i="40"/>
  <c r="Q1059" i="40"/>
  <c r="P1059" i="40"/>
  <c r="O1059" i="40"/>
  <c r="N1059" i="40"/>
  <c r="Q1058" i="40"/>
  <c r="P1058" i="40"/>
  <c r="O1058" i="40"/>
  <c r="N1058" i="40"/>
  <c r="Q1057" i="40"/>
  <c r="P1057" i="40"/>
  <c r="O1057" i="40"/>
  <c r="N1057" i="40"/>
  <c r="Q1056" i="40"/>
  <c r="P1056" i="40"/>
  <c r="O1056" i="40"/>
  <c r="N1056" i="40"/>
  <c r="Q1055" i="40"/>
  <c r="P1055" i="40"/>
  <c r="O1055" i="40"/>
  <c r="N1055" i="40"/>
  <c r="Q1054" i="40"/>
  <c r="P1054" i="40"/>
  <c r="O1054" i="40"/>
  <c r="N1054" i="40"/>
  <c r="Q1053" i="40"/>
  <c r="P1053" i="40"/>
  <c r="O1053" i="40"/>
  <c r="N1053" i="40"/>
  <c r="Q1052" i="40"/>
  <c r="P1052" i="40"/>
  <c r="O1052" i="40"/>
  <c r="N1052" i="40"/>
  <c r="Q1051" i="40"/>
  <c r="P1051" i="40"/>
  <c r="O1051" i="40"/>
  <c r="N1051" i="40"/>
  <c r="Q1050" i="40"/>
  <c r="P1050" i="40"/>
  <c r="O1050" i="40"/>
  <c r="N1050" i="40"/>
  <c r="Q1049" i="40"/>
  <c r="P1049" i="40"/>
  <c r="O1049" i="40"/>
  <c r="N1049" i="40"/>
  <c r="Q1048" i="40"/>
  <c r="P1048" i="40"/>
  <c r="O1048" i="40"/>
  <c r="N1048" i="40"/>
  <c r="Q1047" i="40"/>
  <c r="P1047" i="40"/>
  <c r="O1047" i="40"/>
  <c r="N1047" i="40"/>
  <c r="Q1046" i="40"/>
  <c r="P1046" i="40"/>
  <c r="O1046" i="40"/>
  <c r="N1046" i="40"/>
  <c r="Q1045" i="40"/>
  <c r="P1045" i="40"/>
  <c r="O1045" i="40"/>
  <c r="N1045" i="40"/>
  <c r="Q1044" i="40"/>
  <c r="P1044" i="40"/>
  <c r="O1044" i="40"/>
  <c r="N1044" i="40"/>
  <c r="Q1043" i="40"/>
  <c r="P1043" i="40"/>
  <c r="O1043" i="40"/>
  <c r="N1043" i="40"/>
  <c r="Q1042" i="40"/>
  <c r="P1042" i="40"/>
  <c r="O1042" i="40"/>
  <c r="N1042" i="40"/>
  <c r="Q1041" i="40"/>
  <c r="P1041" i="40"/>
  <c r="O1041" i="40"/>
  <c r="N1041" i="40"/>
  <c r="Q1040" i="40"/>
  <c r="P1040" i="40"/>
  <c r="O1040" i="40"/>
  <c r="N1040" i="40"/>
  <c r="Q1039" i="40"/>
  <c r="P1039" i="40"/>
  <c r="O1039" i="40"/>
  <c r="N1039" i="40"/>
  <c r="Q1038" i="40"/>
  <c r="P1038" i="40"/>
  <c r="O1038" i="40"/>
  <c r="N1038" i="40"/>
  <c r="Q1037" i="40"/>
  <c r="P1037" i="40"/>
  <c r="O1037" i="40"/>
  <c r="N1037" i="40"/>
  <c r="Q1036" i="40"/>
  <c r="P1036" i="40"/>
  <c r="O1036" i="40"/>
  <c r="N1036" i="40"/>
  <c r="Q1035" i="40"/>
  <c r="P1035" i="40"/>
  <c r="O1035" i="40"/>
  <c r="N1035" i="40"/>
  <c r="Q1034" i="40"/>
  <c r="P1034" i="40"/>
  <c r="O1034" i="40"/>
  <c r="N1034" i="40"/>
  <c r="Q1033" i="40"/>
  <c r="P1033" i="40"/>
  <c r="O1033" i="40"/>
  <c r="N1033" i="40"/>
  <c r="Q1032" i="40"/>
  <c r="P1032" i="40"/>
  <c r="O1032" i="40"/>
  <c r="N1032" i="40"/>
  <c r="Q1031" i="40"/>
  <c r="P1031" i="40"/>
  <c r="O1031" i="40"/>
  <c r="N1031" i="40"/>
  <c r="Q1030" i="40"/>
  <c r="P1030" i="40"/>
  <c r="O1030" i="40"/>
  <c r="N1030" i="40"/>
  <c r="Q1029" i="40"/>
  <c r="P1029" i="40"/>
  <c r="O1029" i="40"/>
  <c r="N1029" i="40"/>
  <c r="Q1028" i="40"/>
  <c r="P1028" i="40"/>
  <c r="O1028" i="40"/>
  <c r="N1028" i="40"/>
  <c r="Q1027" i="40"/>
  <c r="P1027" i="40"/>
  <c r="O1027" i="40"/>
  <c r="N1027" i="40"/>
  <c r="Q1026" i="40"/>
  <c r="P1026" i="40"/>
  <c r="O1026" i="40"/>
  <c r="N1026" i="40"/>
  <c r="Q1025" i="40"/>
  <c r="P1025" i="40"/>
  <c r="O1025" i="40"/>
  <c r="N1025" i="40"/>
  <c r="Q1024" i="40"/>
  <c r="P1024" i="40"/>
  <c r="O1024" i="40"/>
  <c r="N1024" i="40"/>
  <c r="Q1023" i="40"/>
  <c r="P1023" i="40"/>
  <c r="O1023" i="40"/>
  <c r="N1023" i="40"/>
  <c r="Q1022" i="40"/>
  <c r="P1022" i="40"/>
  <c r="O1022" i="40"/>
  <c r="N1022" i="40"/>
  <c r="Q1021" i="40"/>
  <c r="P1021" i="40"/>
  <c r="O1021" i="40"/>
  <c r="N1021" i="40"/>
  <c r="Q1020" i="40"/>
  <c r="P1020" i="40"/>
  <c r="O1020" i="40"/>
  <c r="N1020" i="40"/>
  <c r="Q1019" i="40"/>
  <c r="P1019" i="40"/>
  <c r="O1019" i="40"/>
  <c r="N1019" i="40"/>
  <c r="Q1018" i="40"/>
  <c r="P1018" i="40"/>
  <c r="O1018" i="40"/>
  <c r="N1018" i="40"/>
  <c r="Q1017" i="40"/>
  <c r="P1017" i="40"/>
  <c r="O1017" i="40"/>
  <c r="N1017" i="40"/>
  <c r="Q1016" i="40"/>
  <c r="P1016" i="40"/>
  <c r="O1016" i="40"/>
  <c r="N1016" i="40"/>
  <c r="Q1015" i="40"/>
  <c r="P1015" i="40"/>
  <c r="O1015" i="40"/>
  <c r="N1015" i="40"/>
  <c r="Q1014" i="40"/>
  <c r="P1014" i="40"/>
  <c r="O1014" i="40"/>
  <c r="N1014" i="40"/>
  <c r="Q1013" i="40"/>
  <c r="P1013" i="40"/>
  <c r="O1013" i="40"/>
  <c r="N1013" i="40"/>
  <c r="Q1012" i="40"/>
  <c r="P1012" i="40"/>
  <c r="O1012" i="40"/>
  <c r="N1012" i="40"/>
  <c r="Q1011" i="40"/>
  <c r="P1011" i="40"/>
  <c r="O1011" i="40"/>
  <c r="N1011" i="40"/>
  <c r="Q1010" i="40"/>
  <c r="P1010" i="40"/>
  <c r="O1010" i="40"/>
  <c r="N1010" i="40"/>
  <c r="Q1009" i="40"/>
  <c r="P1009" i="40"/>
  <c r="O1009" i="40"/>
  <c r="N1009" i="40"/>
  <c r="Q1008" i="40"/>
  <c r="P1008" i="40"/>
  <c r="O1008" i="40"/>
  <c r="N1008" i="40"/>
  <c r="Q1007" i="40"/>
  <c r="P1007" i="40"/>
  <c r="O1007" i="40"/>
  <c r="N1007" i="40"/>
  <c r="Q1006" i="40"/>
  <c r="P1006" i="40"/>
  <c r="O1006" i="40"/>
  <c r="N1006" i="40"/>
  <c r="Q1005" i="40"/>
  <c r="P1005" i="40"/>
  <c r="O1005" i="40"/>
  <c r="N1005" i="40"/>
  <c r="Q1004" i="40"/>
  <c r="P1004" i="40"/>
  <c r="O1004" i="40"/>
  <c r="N1004" i="40"/>
  <c r="Q1003" i="40"/>
  <c r="P1003" i="40"/>
  <c r="O1003" i="40"/>
  <c r="N1003" i="40"/>
  <c r="Q1002" i="40"/>
  <c r="P1002" i="40"/>
  <c r="O1002" i="40"/>
  <c r="N1002" i="40"/>
  <c r="Q1001" i="40"/>
  <c r="P1001" i="40"/>
  <c r="O1001" i="40"/>
  <c r="N1001" i="40"/>
  <c r="Q1000" i="40"/>
  <c r="P1000" i="40"/>
  <c r="O1000" i="40"/>
  <c r="N1000" i="40"/>
  <c r="Q999" i="40"/>
  <c r="P999" i="40"/>
  <c r="O999" i="40"/>
  <c r="N999" i="40"/>
  <c r="Q998" i="40"/>
  <c r="P998" i="40"/>
  <c r="O998" i="40"/>
  <c r="N998" i="40"/>
  <c r="Q997" i="40"/>
  <c r="P997" i="40"/>
  <c r="O997" i="40"/>
  <c r="N997" i="40"/>
  <c r="Q996" i="40"/>
  <c r="P996" i="40"/>
  <c r="O996" i="40"/>
  <c r="N996" i="40"/>
  <c r="Q995" i="40"/>
  <c r="P995" i="40"/>
  <c r="O995" i="40"/>
  <c r="N995" i="40"/>
  <c r="Q994" i="40"/>
  <c r="P994" i="40"/>
  <c r="O994" i="40"/>
  <c r="N994" i="40"/>
  <c r="Q993" i="40"/>
  <c r="P993" i="40"/>
  <c r="O993" i="40"/>
  <c r="N993" i="40"/>
  <c r="Q992" i="40"/>
  <c r="P992" i="40"/>
  <c r="O992" i="40"/>
  <c r="N992" i="40"/>
  <c r="Q991" i="40"/>
  <c r="P991" i="40"/>
  <c r="O991" i="40"/>
  <c r="N991" i="40"/>
  <c r="Q990" i="40"/>
  <c r="P990" i="40"/>
  <c r="O990" i="40"/>
  <c r="N990" i="40"/>
  <c r="Q989" i="40"/>
  <c r="P989" i="40"/>
  <c r="O989" i="40"/>
  <c r="N989" i="40"/>
  <c r="Q988" i="40"/>
  <c r="P988" i="40"/>
  <c r="O988" i="40"/>
  <c r="N988" i="40"/>
  <c r="Q987" i="40"/>
  <c r="P987" i="40"/>
  <c r="O987" i="40"/>
  <c r="N987" i="40"/>
  <c r="Q986" i="40"/>
  <c r="P986" i="40"/>
  <c r="O986" i="40"/>
  <c r="N986" i="40"/>
  <c r="Q985" i="40"/>
  <c r="P985" i="40"/>
  <c r="O985" i="40"/>
  <c r="N985" i="40"/>
  <c r="Q984" i="40"/>
  <c r="P984" i="40"/>
  <c r="O984" i="40"/>
  <c r="N984" i="40"/>
  <c r="Q983" i="40"/>
  <c r="P983" i="40"/>
  <c r="O983" i="40"/>
  <c r="N983" i="40"/>
  <c r="Q982" i="40"/>
  <c r="P982" i="40"/>
  <c r="O982" i="40"/>
  <c r="N982" i="40"/>
  <c r="Q981" i="40"/>
  <c r="P981" i="40"/>
  <c r="O981" i="40"/>
  <c r="N981" i="40"/>
  <c r="Q980" i="40"/>
  <c r="P980" i="40"/>
  <c r="O980" i="40"/>
  <c r="N980" i="40"/>
  <c r="Q979" i="40"/>
  <c r="P979" i="40"/>
  <c r="O979" i="40"/>
  <c r="N979" i="40"/>
  <c r="Q978" i="40"/>
  <c r="P978" i="40"/>
  <c r="O978" i="40"/>
  <c r="N978" i="40"/>
  <c r="Q977" i="40"/>
  <c r="P977" i="40"/>
  <c r="O977" i="40"/>
  <c r="N977" i="40"/>
  <c r="Q976" i="40"/>
  <c r="P976" i="40"/>
  <c r="O976" i="40"/>
  <c r="N976" i="40"/>
  <c r="Q975" i="40"/>
  <c r="P975" i="40"/>
  <c r="O975" i="40"/>
  <c r="N975" i="40"/>
  <c r="Q974" i="40"/>
  <c r="P974" i="40"/>
  <c r="O974" i="40"/>
  <c r="N974" i="40"/>
  <c r="Q973" i="40"/>
  <c r="P973" i="40"/>
  <c r="O973" i="40"/>
  <c r="N973" i="40"/>
  <c r="Q972" i="40"/>
  <c r="P972" i="40"/>
  <c r="O972" i="40"/>
  <c r="N972" i="40"/>
  <c r="Q971" i="40"/>
  <c r="P971" i="40"/>
  <c r="O971" i="40"/>
  <c r="N971" i="40"/>
  <c r="Q970" i="40"/>
  <c r="P970" i="40"/>
  <c r="O970" i="40"/>
  <c r="N970" i="40"/>
  <c r="Q969" i="40"/>
  <c r="P969" i="40"/>
  <c r="O969" i="40"/>
  <c r="N969" i="40"/>
  <c r="Q968" i="40"/>
  <c r="P968" i="40"/>
  <c r="O968" i="40"/>
  <c r="N968" i="40"/>
  <c r="Q967" i="40"/>
  <c r="P967" i="40"/>
  <c r="O967" i="40"/>
  <c r="N967" i="40"/>
  <c r="Q966" i="40"/>
  <c r="P966" i="40"/>
  <c r="O966" i="40"/>
  <c r="N966" i="40"/>
  <c r="Q965" i="40"/>
  <c r="P965" i="40"/>
  <c r="O965" i="40"/>
  <c r="N965" i="40"/>
  <c r="Q964" i="40"/>
  <c r="P964" i="40"/>
  <c r="O964" i="40"/>
  <c r="N964" i="40"/>
  <c r="Q963" i="40"/>
  <c r="P963" i="40"/>
  <c r="O963" i="40"/>
  <c r="N963" i="40"/>
  <c r="Q962" i="40"/>
  <c r="P962" i="40"/>
  <c r="O962" i="40"/>
  <c r="N962" i="40"/>
  <c r="Q961" i="40"/>
  <c r="P961" i="40"/>
  <c r="O961" i="40"/>
  <c r="N961" i="40"/>
  <c r="Q960" i="40"/>
  <c r="P960" i="40"/>
  <c r="O960" i="40"/>
  <c r="N960" i="40"/>
  <c r="Q959" i="40"/>
  <c r="P959" i="40"/>
  <c r="O959" i="40"/>
  <c r="N959" i="40"/>
  <c r="Q958" i="40"/>
  <c r="P958" i="40"/>
  <c r="O958" i="40"/>
  <c r="N958" i="40"/>
  <c r="Q957" i="40"/>
  <c r="P957" i="40"/>
  <c r="O957" i="40"/>
  <c r="N957" i="40"/>
  <c r="Q956" i="40"/>
  <c r="P956" i="40"/>
  <c r="O956" i="40"/>
  <c r="N956" i="40"/>
  <c r="Q955" i="40"/>
  <c r="P955" i="40"/>
  <c r="O955" i="40"/>
  <c r="N955" i="40"/>
  <c r="Q954" i="40"/>
  <c r="P954" i="40"/>
  <c r="O954" i="40"/>
  <c r="N954" i="40"/>
  <c r="Q953" i="40"/>
  <c r="P953" i="40"/>
  <c r="O953" i="40"/>
  <c r="N953" i="40"/>
  <c r="Q952" i="40"/>
  <c r="P952" i="40"/>
  <c r="O952" i="40"/>
  <c r="N952" i="40"/>
  <c r="Q951" i="40"/>
  <c r="P951" i="40"/>
  <c r="O951" i="40"/>
  <c r="N951" i="40"/>
  <c r="Q950" i="40"/>
  <c r="P950" i="40"/>
  <c r="O950" i="40"/>
  <c r="N950" i="40"/>
  <c r="Q949" i="40"/>
  <c r="P949" i="40"/>
  <c r="O949" i="40"/>
  <c r="N949" i="40"/>
  <c r="Q948" i="40"/>
  <c r="P948" i="40"/>
  <c r="O948" i="40"/>
  <c r="N948" i="40"/>
  <c r="Q947" i="40"/>
  <c r="P947" i="40"/>
  <c r="O947" i="40"/>
  <c r="N947" i="40"/>
  <c r="Q946" i="40"/>
  <c r="P946" i="40"/>
  <c r="O946" i="40"/>
  <c r="N946" i="40"/>
  <c r="Q945" i="40"/>
  <c r="P945" i="40"/>
  <c r="O945" i="40"/>
  <c r="N945" i="40"/>
  <c r="Q944" i="40"/>
  <c r="P944" i="40"/>
  <c r="O944" i="40"/>
  <c r="N944" i="40"/>
  <c r="Q943" i="40"/>
  <c r="P943" i="40"/>
  <c r="O943" i="40"/>
  <c r="N943" i="40"/>
  <c r="Q942" i="40"/>
  <c r="P942" i="40"/>
  <c r="O942" i="40"/>
  <c r="N942" i="40"/>
  <c r="Q941" i="40"/>
  <c r="P941" i="40"/>
  <c r="O941" i="40"/>
  <c r="N941" i="40"/>
  <c r="Q940" i="40"/>
  <c r="P940" i="40"/>
  <c r="O940" i="40"/>
  <c r="N940" i="40"/>
  <c r="Q939" i="40"/>
  <c r="P939" i="40"/>
  <c r="O939" i="40"/>
  <c r="N939" i="40"/>
  <c r="Q938" i="40"/>
  <c r="P938" i="40"/>
  <c r="O938" i="40"/>
  <c r="N938" i="40"/>
  <c r="Q937" i="40"/>
  <c r="P937" i="40"/>
  <c r="O937" i="40"/>
  <c r="N937" i="40"/>
  <c r="Q936" i="40"/>
  <c r="P936" i="40"/>
  <c r="O936" i="40"/>
  <c r="N936" i="40"/>
  <c r="Q935" i="40"/>
  <c r="P935" i="40"/>
  <c r="O935" i="40"/>
  <c r="N935" i="40"/>
  <c r="Q934" i="40"/>
  <c r="P934" i="40"/>
  <c r="O934" i="40"/>
  <c r="N934" i="40"/>
  <c r="Q933" i="40"/>
  <c r="P933" i="40"/>
  <c r="O933" i="40"/>
  <c r="N933" i="40"/>
  <c r="Q932" i="40"/>
  <c r="P932" i="40"/>
  <c r="O932" i="40"/>
  <c r="N932" i="40"/>
  <c r="Q931" i="40"/>
  <c r="P931" i="40"/>
  <c r="O931" i="40"/>
  <c r="N931" i="40"/>
  <c r="Q930" i="40"/>
  <c r="P930" i="40"/>
  <c r="O930" i="40"/>
  <c r="N930" i="40"/>
  <c r="Q929" i="40"/>
  <c r="P929" i="40"/>
  <c r="O929" i="40"/>
  <c r="N929" i="40"/>
  <c r="Q928" i="40"/>
  <c r="P928" i="40"/>
  <c r="O928" i="40"/>
  <c r="N928" i="40"/>
  <c r="Q927" i="40"/>
  <c r="P927" i="40"/>
  <c r="O927" i="40"/>
  <c r="N927" i="40"/>
  <c r="Q926" i="40"/>
  <c r="P926" i="40"/>
  <c r="O926" i="40"/>
  <c r="N926" i="40"/>
  <c r="Q925" i="40"/>
  <c r="P925" i="40"/>
  <c r="O925" i="40"/>
  <c r="N925" i="40"/>
  <c r="Q924" i="40"/>
  <c r="P924" i="40"/>
  <c r="O924" i="40"/>
  <c r="N924" i="40"/>
  <c r="Q923" i="40"/>
  <c r="P923" i="40"/>
  <c r="O923" i="40"/>
  <c r="N923" i="40"/>
  <c r="Q922" i="40"/>
  <c r="P922" i="40"/>
  <c r="O922" i="40"/>
  <c r="N922" i="40"/>
  <c r="Q921" i="40"/>
  <c r="P921" i="40"/>
  <c r="O921" i="40"/>
  <c r="N921" i="40"/>
  <c r="Q920" i="40"/>
  <c r="P920" i="40"/>
  <c r="O920" i="40"/>
  <c r="N920" i="40"/>
  <c r="Q919" i="40"/>
  <c r="P919" i="40"/>
  <c r="O919" i="40"/>
  <c r="N919" i="40"/>
  <c r="Q918" i="40"/>
  <c r="P918" i="40"/>
  <c r="O918" i="40"/>
  <c r="N918" i="40"/>
  <c r="Q917" i="40"/>
  <c r="P917" i="40"/>
  <c r="O917" i="40"/>
  <c r="N917" i="40"/>
  <c r="Q916" i="40"/>
  <c r="P916" i="40"/>
  <c r="O916" i="40"/>
  <c r="N916" i="40"/>
  <c r="Q915" i="40"/>
  <c r="P915" i="40"/>
  <c r="O915" i="40"/>
  <c r="N915" i="40"/>
  <c r="Q914" i="40"/>
  <c r="P914" i="40"/>
  <c r="O914" i="40"/>
  <c r="N914" i="40"/>
  <c r="Q913" i="40"/>
  <c r="P913" i="40"/>
  <c r="O913" i="40"/>
  <c r="N913" i="40"/>
  <c r="Q912" i="40"/>
  <c r="P912" i="40"/>
  <c r="O912" i="40"/>
  <c r="N912" i="40"/>
  <c r="Q911" i="40"/>
  <c r="P911" i="40"/>
  <c r="O911" i="40"/>
  <c r="N911" i="40"/>
  <c r="Q910" i="40"/>
  <c r="P910" i="40"/>
  <c r="O910" i="40"/>
  <c r="N910" i="40"/>
  <c r="Q909" i="40"/>
  <c r="P909" i="40"/>
  <c r="O909" i="40"/>
  <c r="N909" i="40"/>
  <c r="Q908" i="40"/>
  <c r="P908" i="40"/>
  <c r="O908" i="40"/>
  <c r="N908" i="40"/>
  <c r="Q907" i="40"/>
  <c r="P907" i="40"/>
  <c r="O907" i="40"/>
  <c r="N907" i="40"/>
  <c r="Q906" i="40"/>
  <c r="P906" i="40"/>
  <c r="O906" i="40"/>
  <c r="N906" i="40"/>
  <c r="Q905" i="40"/>
  <c r="P905" i="40"/>
  <c r="O905" i="40"/>
  <c r="N905" i="40"/>
  <c r="Q904" i="40"/>
  <c r="P904" i="40"/>
  <c r="O904" i="40"/>
  <c r="N904" i="40"/>
  <c r="Q903" i="40"/>
  <c r="P903" i="40"/>
  <c r="O903" i="40"/>
  <c r="N903" i="40"/>
  <c r="Q902" i="40"/>
  <c r="P902" i="40"/>
  <c r="O902" i="40"/>
  <c r="N902" i="40"/>
  <c r="Q901" i="40"/>
  <c r="P901" i="40"/>
  <c r="O901" i="40"/>
  <c r="N901" i="40"/>
  <c r="Q900" i="40"/>
  <c r="P900" i="40"/>
  <c r="O900" i="40"/>
  <c r="N900" i="40"/>
  <c r="Q899" i="40"/>
  <c r="P899" i="40"/>
  <c r="O899" i="40"/>
  <c r="N899" i="40"/>
  <c r="Q898" i="40"/>
  <c r="P898" i="40"/>
  <c r="O898" i="40"/>
  <c r="N898" i="40"/>
  <c r="Q897" i="40"/>
  <c r="P897" i="40"/>
  <c r="O897" i="40"/>
  <c r="N897" i="40"/>
  <c r="Q896" i="40"/>
  <c r="P896" i="40"/>
  <c r="O896" i="40"/>
  <c r="N896" i="40"/>
  <c r="Q895" i="40"/>
  <c r="P895" i="40"/>
  <c r="O895" i="40"/>
  <c r="N895" i="40"/>
  <c r="Q894" i="40"/>
  <c r="P894" i="40"/>
  <c r="O894" i="40"/>
  <c r="N894" i="40"/>
  <c r="Q893" i="40"/>
  <c r="P893" i="40"/>
  <c r="O893" i="40"/>
  <c r="N893" i="40"/>
  <c r="Q892" i="40"/>
  <c r="P892" i="40"/>
  <c r="O892" i="40"/>
  <c r="N892" i="40"/>
  <c r="Q891" i="40"/>
  <c r="P891" i="40"/>
  <c r="O891" i="40"/>
  <c r="N891" i="40"/>
  <c r="Q890" i="40"/>
  <c r="P890" i="40"/>
  <c r="O890" i="40"/>
  <c r="N890" i="40"/>
  <c r="Q889" i="40"/>
  <c r="P889" i="40"/>
  <c r="O889" i="40"/>
  <c r="N889" i="40"/>
  <c r="Q888" i="40"/>
  <c r="P888" i="40"/>
  <c r="O888" i="40"/>
  <c r="N888" i="40"/>
  <c r="Q887" i="40"/>
  <c r="P887" i="40"/>
  <c r="O887" i="40"/>
  <c r="N887" i="40"/>
  <c r="Q886" i="40"/>
  <c r="P886" i="40"/>
  <c r="O886" i="40"/>
  <c r="N886" i="40"/>
  <c r="Q885" i="40"/>
  <c r="P885" i="40"/>
  <c r="O885" i="40"/>
  <c r="N885" i="40"/>
  <c r="Q884" i="40"/>
  <c r="P884" i="40"/>
  <c r="O884" i="40"/>
  <c r="N884" i="40"/>
  <c r="Q883" i="40"/>
  <c r="P883" i="40"/>
  <c r="O883" i="40"/>
  <c r="N883" i="40"/>
  <c r="Q882" i="40"/>
  <c r="P882" i="40"/>
  <c r="O882" i="40"/>
  <c r="N882" i="40"/>
  <c r="Q881" i="40"/>
  <c r="P881" i="40"/>
  <c r="O881" i="40"/>
  <c r="N881" i="40"/>
  <c r="Q880" i="40"/>
  <c r="P880" i="40"/>
  <c r="O880" i="40"/>
  <c r="N880" i="40"/>
  <c r="Q879" i="40"/>
  <c r="P879" i="40"/>
  <c r="O879" i="40"/>
  <c r="N879" i="40"/>
  <c r="Q878" i="40"/>
  <c r="P878" i="40"/>
  <c r="O878" i="40"/>
  <c r="N878" i="40"/>
  <c r="Q877" i="40"/>
  <c r="P877" i="40"/>
  <c r="O877" i="40"/>
  <c r="N877" i="40"/>
  <c r="Q876" i="40"/>
  <c r="P876" i="40"/>
  <c r="O876" i="40"/>
  <c r="N876" i="40"/>
  <c r="Q875" i="40"/>
  <c r="P875" i="40"/>
  <c r="O875" i="40"/>
  <c r="N875" i="40"/>
  <c r="Q874" i="40"/>
  <c r="P874" i="40"/>
  <c r="O874" i="40"/>
  <c r="N874" i="40"/>
  <c r="Q873" i="40"/>
  <c r="P873" i="40"/>
  <c r="O873" i="40"/>
  <c r="N873" i="40"/>
  <c r="Q872" i="40"/>
  <c r="P872" i="40"/>
  <c r="O872" i="40"/>
  <c r="N872" i="40"/>
  <c r="Q871" i="40"/>
  <c r="P871" i="40"/>
  <c r="O871" i="40"/>
  <c r="N871" i="40"/>
  <c r="Q870" i="40"/>
  <c r="P870" i="40"/>
  <c r="O870" i="40"/>
  <c r="N870" i="40"/>
  <c r="Q869" i="40"/>
  <c r="P869" i="40"/>
  <c r="O869" i="40"/>
  <c r="N869" i="40"/>
  <c r="Q868" i="40"/>
  <c r="P868" i="40"/>
  <c r="O868" i="40"/>
  <c r="N868" i="40"/>
  <c r="Q867" i="40"/>
  <c r="P867" i="40"/>
  <c r="O867" i="40"/>
  <c r="N867" i="40"/>
  <c r="Q866" i="40"/>
  <c r="P866" i="40"/>
  <c r="O866" i="40"/>
  <c r="N866" i="40"/>
  <c r="Q865" i="40"/>
  <c r="P865" i="40"/>
  <c r="O865" i="40"/>
  <c r="N865" i="40"/>
  <c r="Q864" i="40"/>
  <c r="P864" i="40"/>
  <c r="O864" i="40"/>
  <c r="N864" i="40"/>
  <c r="Q863" i="40"/>
  <c r="P863" i="40"/>
  <c r="O863" i="40"/>
  <c r="N863" i="40"/>
  <c r="Q862" i="40"/>
  <c r="P862" i="40"/>
  <c r="O862" i="40"/>
  <c r="N862" i="40"/>
  <c r="Q861" i="40"/>
  <c r="P861" i="40"/>
  <c r="O861" i="40"/>
  <c r="N861" i="40"/>
  <c r="Q860" i="40"/>
  <c r="P860" i="40"/>
  <c r="O860" i="40"/>
  <c r="N860" i="40"/>
  <c r="Q859" i="40"/>
  <c r="P859" i="40"/>
  <c r="O859" i="40"/>
  <c r="N859" i="40"/>
  <c r="Q858" i="40"/>
  <c r="P858" i="40"/>
  <c r="O858" i="40"/>
  <c r="N858" i="40"/>
  <c r="Q857" i="40"/>
  <c r="P857" i="40"/>
  <c r="O857" i="40"/>
  <c r="N857" i="40"/>
  <c r="Q856" i="40"/>
  <c r="P856" i="40"/>
  <c r="O856" i="40"/>
  <c r="N856" i="40"/>
  <c r="Q855" i="40"/>
  <c r="P855" i="40"/>
  <c r="O855" i="40"/>
  <c r="N855" i="40"/>
  <c r="Q854" i="40"/>
  <c r="P854" i="40"/>
  <c r="O854" i="40"/>
  <c r="N854" i="40"/>
  <c r="Q853" i="40"/>
  <c r="P853" i="40"/>
  <c r="O853" i="40"/>
  <c r="N853" i="40"/>
  <c r="Q852" i="40"/>
  <c r="P852" i="40"/>
  <c r="O852" i="40"/>
  <c r="N852" i="40"/>
  <c r="Q851" i="40"/>
  <c r="P851" i="40"/>
  <c r="O851" i="40"/>
  <c r="N851" i="40"/>
  <c r="Q850" i="40"/>
  <c r="P850" i="40"/>
  <c r="O850" i="40"/>
  <c r="N850" i="40"/>
  <c r="Q849" i="40"/>
  <c r="P849" i="40"/>
  <c r="O849" i="40"/>
  <c r="N849" i="40"/>
  <c r="Q848" i="40"/>
  <c r="P848" i="40"/>
  <c r="O848" i="40"/>
  <c r="N848" i="40"/>
  <c r="Q847" i="40"/>
  <c r="P847" i="40"/>
  <c r="O847" i="40"/>
  <c r="N847" i="40"/>
  <c r="Q846" i="40"/>
  <c r="P846" i="40"/>
  <c r="O846" i="40"/>
  <c r="N846" i="40"/>
  <c r="Q845" i="40"/>
  <c r="P845" i="40"/>
  <c r="O845" i="40"/>
  <c r="N845" i="40"/>
  <c r="Q844" i="40"/>
  <c r="P844" i="40"/>
  <c r="O844" i="40"/>
  <c r="N844" i="40"/>
  <c r="Q843" i="40"/>
  <c r="P843" i="40"/>
  <c r="O843" i="40"/>
  <c r="N843" i="40"/>
  <c r="Q842" i="40"/>
  <c r="P842" i="40"/>
  <c r="O842" i="40"/>
  <c r="N842" i="40"/>
  <c r="Q841" i="40"/>
  <c r="P841" i="40"/>
  <c r="O841" i="40"/>
  <c r="N841" i="40"/>
  <c r="Q840" i="40"/>
  <c r="P840" i="40"/>
  <c r="O840" i="40"/>
  <c r="N840" i="40"/>
  <c r="Q839" i="40"/>
  <c r="P839" i="40"/>
  <c r="O839" i="40"/>
  <c r="N839" i="40"/>
  <c r="Q838" i="40"/>
  <c r="P838" i="40"/>
  <c r="O838" i="40"/>
  <c r="N838" i="40"/>
  <c r="Q837" i="40"/>
  <c r="P837" i="40"/>
  <c r="O837" i="40"/>
  <c r="N837" i="40"/>
  <c r="Q836" i="40"/>
  <c r="P836" i="40"/>
  <c r="O836" i="40"/>
  <c r="N836" i="40"/>
  <c r="Q835" i="40"/>
  <c r="P835" i="40"/>
  <c r="O835" i="40"/>
  <c r="N835" i="40"/>
  <c r="Q834" i="40"/>
  <c r="P834" i="40"/>
  <c r="O834" i="40"/>
  <c r="N834" i="40"/>
  <c r="Q833" i="40"/>
  <c r="P833" i="40"/>
  <c r="O833" i="40"/>
  <c r="N833" i="40"/>
  <c r="Q832" i="40"/>
  <c r="P832" i="40"/>
  <c r="O832" i="40"/>
  <c r="N832" i="40"/>
  <c r="Q831" i="40"/>
  <c r="P831" i="40"/>
  <c r="O831" i="40"/>
  <c r="N831" i="40"/>
  <c r="Q830" i="40"/>
  <c r="P830" i="40"/>
  <c r="O830" i="40"/>
  <c r="N830" i="40"/>
  <c r="Q829" i="40"/>
  <c r="P829" i="40"/>
  <c r="O829" i="40"/>
  <c r="N829" i="40"/>
  <c r="Q828" i="40"/>
  <c r="P828" i="40"/>
  <c r="O828" i="40"/>
  <c r="N828" i="40"/>
  <c r="Q827" i="40"/>
  <c r="P827" i="40"/>
  <c r="O827" i="40"/>
  <c r="N827" i="40"/>
  <c r="Q826" i="40"/>
  <c r="P826" i="40"/>
  <c r="O826" i="40"/>
  <c r="N826" i="40"/>
  <c r="Q825" i="40"/>
  <c r="P825" i="40"/>
  <c r="O825" i="40"/>
  <c r="N825" i="40"/>
  <c r="Q824" i="40"/>
  <c r="P824" i="40"/>
  <c r="O824" i="40"/>
  <c r="N824" i="40"/>
  <c r="Q823" i="40"/>
  <c r="P823" i="40"/>
  <c r="O823" i="40"/>
  <c r="N823" i="40"/>
  <c r="Q822" i="40"/>
  <c r="P822" i="40"/>
  <c r="O822" i="40"/>
  <c r="N822" i="40"/>
  <c r="Q821" i="40"/>
  <c r="P821" i="40"/>
  <c r="O821" i="40"/>
  <c r="N821" i="40"/>
  <c r="Q820" i="40"/>
  <c r="P820" i="40"/>
  <c r="O820" i="40"/>
  <c r="N820" i="40"/>
  <c r="Q819" i="40"/>
  <c r="P819" i="40"/>
  <c r="O819" i="40"/>
  <c r="N819" i="40"/>
  <c r="Q818" i="40"/>
  <c r="P818" i="40"/>
  <c r="O818" i="40"/>
  <c r="N818" i="40"/>
  <c r="Q817" i="40"/>
  <c r="P817" i="40"/>
  <c r="O817" i="40"/>
  <c r="N817" i="40"/>
  <c r="Q816" i="40"/>
  <c r="P816" i="40"/>
  <c r="O816" i="40"/>
  <c r="N816" i="40"/>
  <c r="Q815" i="40"/>
  <c r="P815" i="40"/>
  <c r="O815" i="40"/>
  <c r="N815" i="40"/>
  <c r="Q814" i="40"/>
  <c r="P814" i="40"/>
  <c r="O814" i="40"/>
  <c r="N814" i="40"/>
  <c r="Q813" i="40"/>
  <c r="P813" i="40"/>
  <c r="O813" i="40"/>
  <c r="N813" i="40"/>
  <c r="Q812" i="40"/>
  <c r="P812" i="40"/>
  <c r="O812" i="40"/>
  <c r="N812" i="40"/>
  <c r="Q811" i="40"/>
  <c r="P811" i="40"/>
  <c r="O811" i="40"/>
  <c r="N811" i="40"/>
  <c r="Q810" i="40"/>
  <c r="P810" i="40"/>
  <c r="O810" i="40"/>
  <c r="N810" i="40"/>
  <c r="Q809" i="40"/>
  <c r="P809" i="40"/>
  <c r="O809" i="40"/>
  <c r="N809" i="40"/>
  <c r="Q808" i="40"/>
  <c r="P808" i="40"/>
  <c r="O808" i="40"/>
  <c r="N808" i="40"/>
  <c r="Q807" i="40"/>
  <c r="P807" i="40"/>
  <c r="O807" i="40"/>
  <c r="N807" i="40"/>
  <c r="Q806" i="40"/>
  <c r="P806" i="40"/>
  <c r="O806" i="40"/>
  <c r="N806" i="40"/>
  <c r="Q805" i="40"/>
  <c r="P805" i="40"/>
  <c r="O805" i="40"/>
  <c r="N805" i="40"/>
  <c r="Q804" i="40"/>
  <c r="P804" i="40"/>
  <c r="O804" i="40"/>
  <c r="N804" i="40"/>
  <c r="Q803" i="40"/>
  <c r="P803" i="40"/>
  <c r="O803" i="40"/>
  <c r="N803" i="40"/>
  <c r="Q802" i="40"/>
  <c r="P802" i="40"/>
  <c r="O802" i="40"/>
  <c r="N802" i="40"/>
  <c r="Q801" i="40"/>
  <c r="P801" i="40"/>
  <c r="O801" i="40"/>
  <c r="N801" i="40"/>
  <c r="Q800" i="40"/>
  <c r="P800" i="40"/>
  <c r="O800" i="40"/>
  <c r="N800" i="40"/>
  <c r="Q799" i="40"/>
  <c r="P799" i="40"/>
  <c r="O799" i="40"/>
  <c r="N799" i="40"/>
  <c r="Q798" i="40"/>
  <c r="P798" i="40"/>
  <c r="O798" i="40"/>
  <c r="N798" i="40"/>
  <c r="Q797" i="40"/>
  <c r="P797" i="40"/>
  <c r="O797" i="40"/>
  <c r="N797" i="40"/>
  <c r="Q796" i="40"/>
  <c r="P796" i="40"/>
  <c r="O796" i="40"/>
  <c r="N796" i="40"/>
  <c r="Q795" i="40"/>
  <c r="P795" i="40"/>
  <c r="O795" i="40"/>
  <c r="N795" i="40"/>
  <c r="Q794" i="40"/>
  <c r="P794" i="40"/>
  <c r="O794" i="40"/>
  <c r="N794" i="40"/>
  <c r="Q793" i="40"/>
  <c r="P793" i="40"/>
  <c r="O793" i="40"/>
  <c r="N793" i="40"/>
  <c r="Q792" i="40"/>
  <c r="P792" i="40"/>
  <c r="O792" i="40"/>
  <c r="N792" i="40"/>
  <c r="Q791" i="40"/>
  <c r="P791" i="40"/>
  <c r="O791" i="40"/>
  <c r="N791" i="40"/>
  <c r="Q790" i="40"/>
  <c r="P790" i="40"/>
  <c r="O790" i="40"/>
  <c r="N790" i="40"/>
  <c r="Q789" i="40"/>
  <c r="P789" i="40"/>
  <c r="O789" i="40"/>
  <c r="N789" i="40"/>
  <c r="Q788" i="40"/>
  <c r="P788" i="40"/>
  <c r="O788" i="40"/>
  <c r="N788" i="40"/>
  <c r="Q787" i="40"/>
  <c r="P787" i="40"/>
  <c r="O787" i="40"/>
  <c r="N787" i="40"/>
  <c r="Q786" i="40"/>
  <c r="P786" i="40"/>
  <c r="O786" i="40"/>
  <c r="N786" i="40"/>
  <c r="Q785" i="40"/>
  <c r="P785" i="40"/>
  <c r="O785" i="40"/>
  <c r="N785" i="40"/>
  <c r="Q784" i="40"/>
  <c r="P784" i="40"/>
  <c r="O784" i="40"/>
  <c r="N784" i="40"/>
  <c r="Q783" i="40"/>
  <c r="P783" i="40"/>
  <c r="O783" i="40"/>
  <c r="N783" i="40"/>
  <c r="Q782" i="40"/>
  <c r="P782" i="40"/>
  <c r="O782" i="40"/>
  <c r="N782" i="40"/>
  <c r="Q781" i="40"/>
  <c r="P781" i="40"/>
  <c r="O781" i="40"/>
  <c r="N781" i="40"/>
  <c r="Q780" i="40"/>
  <c r="P780" i="40"/>
  <c r="O780" i="40"/>
  <c r="N780" i="40"/>
  <c r="Q779" i="40"/>
  <c r="P779" i="40"/>
  <c r="O779" i="40"/>
  <c r="N779" i="40"/>
  <c r="Q778" i="40"/>
  <c r="P778" i="40"/>
  <c r="O778" i="40"/>
  <c r="N778" i="40"/>
  <c r="Q777" i="40"/>
  <c r="P777" i="40"/>
  <c r="O777" i="40"/>
  <c r="N777" i="40"/>
  <c r="Q776" i="40"/>
  <c r="P776" i="40"/>
  <c r="O776" i="40"/>
  <c r="N776" i="40"/>
  <c r="Q775" i="40"/>
  <c r="P775" i="40"/>
  <c r="O775" i="40"/>
  <c r="N775" i="40"/>
  <c r="Q774" i="40"/>
  <c r="P774" i="40"/>
  <c r="O774" i="40"/>
  <c r="N774" i="40"/>
  <c r="Q773" i="40"/>
  <c r="P773" i="40"/>
  <c r="O773" i="40"/>
  <c r="N773" i="40"/>
  <c r="Q772" i="40"/>
  <c r="P772" i="40"/>
  <c r="O772" i="40"/>
  <c r="N772" i="40"/>
  <c r="Q771" i="40"/>
  <c r="P771" i="40"/>
  <c r="O771" i="40"/>
  <c r="N771" i="40"/>
  <c r="Q770" i="40"/>
  <c r="P770" i="40"/>
  <c r="O770" i="40"/>
  <c r="N770" i="40"/>
  <c r="Q769" i="40"/>
  <c r="P769" i="40"/>
  <c r="O769" i="40"/>
  <c r="N769" i="40"/>
  <c r="Q768" i="40"/>
  <c r="P768" i="40"/>
  <c r="O768" i="40"/>
  <c r="N768" i="40"/>
  <c r="Q767" i="40"/>
  <c r="P767" i="40"/>
  <c r="O767" i="40"/>
  <c r="N767" i="40"/>
  <c r="Q766" i="40"/>
  <c r="P766" i="40"/>
  <c r="O766" i="40"/>
  <c r="N766" i="40"/>
  <c r="Q765" i="40"/>
  <c r="P765" i="40"/>
  <c r="O765" i="40"/>
  <c r="N765" i="40"/>
  <c r="Q764" i="40"/>
  <c r="P764" i="40"/>
  <c r="O764" i="40"/>
  <c r="N764" i="40"/>
  <c r="Q763" i="40"/>
  <c r="P763" i="40"/>
  <c r="O763" i="40"/>
  <c r="N763" i="40"/>
  <c r="Q762" i="40"/>
  <c r="P762" i="40"/>
  <c r="O762" i="40"/>
  <c r="N762" i="40"/>
  <c r="Q761" i="40"/>
  <c r="P761" i="40"/>
  <c r="O761" i="40"/>
  <c r="N761" i="40"/>
  <c r="Q760" i="40"/>
  <c r="P760" i="40"/>
  <c r="O760" i="40"/>
  <c r="N760" i="40"/>
  <c r="Q759" i="40"/>
  <c r="P759" i="40"/>
  <c r="O759" i="40"/>
  <c r="N759" i="40"/>
  <c r="Q758" i="40"/>
  <c r="P758" i="40"/>
  <c r="O758" i="40"/>
  <c r="N758" i="40"/>
  <c r="Q757" i="40"/>
  <c r="P757" i="40"/>
  <c r="O757" i="40"/>
  <c r="N757" i="40"/>
  <c r="Q756" i="40"/>
  <c r="P756" i="40"/>
  <c r="O756" i="40"/>
  <c r="N756" i="40"/>
  <c r="Q755" i="40"/>
  <c r="P755" i="40"/>
  <c r="O755" i="40"/>
  <c r="N755" i="40"/>
  <c r="Q754" i="40"/>
  <c r="P754" i="40"/>
  <c r="O754" i="40"/>
  <c r="N754" i="40"/>
  <c r="Q753" i="40"/>
  <c r="P753" i="40"/>
  <c r="O753" i="40"/>
  <c r="N753" i="40"/>
  <c r="Q752" i="40"/>
  <c r="P752" i="40"/>
  <c r="O752" i="40"/>
  <c r="N752" i="40"/>
  <c r="Q751" i="40"/>
  <c r="P751" i="40"/>
  <c r="O751" i="40"/>
  <c r="N751" i="40"/>
  <c r="Q750" i="40"/>
  <c r="P750" i="40"/>
  <c r="O750" i="40"/>
  <c r="N750" i="40"/>
  <c r="Q749" i="40"/>
  <c r="P749" i="40"/>
  <c r="O749" i="40"/>
  <c r="N749" i="40"/>
  <c r="Q748" i="40"/>
  <c r="P748" i="40"/>
  <c r="O748" i="40"/>
  <c r="N748" i="40"/>
  <c r="Q747" i="40"/>
  <c r="P747" i="40"/>
  <c r="O747" i="40"/>
  <c r="N747" i="40"/>
  <c r="Q746" i="40"/>
  <c r="P746" i="40"/>
  <c r="O746" i="40"/>
  <c r="N746" i="40"/>
  <c r="Q745" i="40"/>
  <c r="P745" i="40"/>
  <c r="O745" i="40"/>
  <c r="N745" i="40"/>
  <c r="Q744" i="40"/>
  <c r="P744" i="40"/>
  <c r="O744" i="40"/>
  <c r="N744" i="40"/>
  <c r="Q743" i="40"/>
  <c r="P743" i="40"/>
  <c r="O743" i="40"/>
  <c r="N743" i="40"/>
  <c r="Q742" i="40"/>
  <c r="P742" i="40"/>
  <c r="O742" i="40"/>
  <c r="N742" i="40"/>
  <c r="Q741" i="40"/>
  <c r="P741" i="40"/>
  <c r="O741" i="40"/>
  <c r="N741" i="40"/>
  <c r="Q740" i="40"/>
  <c r="P740" i="40"/>
  <c r="O740" i="40"/>
  <c r="N740" i="40"/>
  <c r="Q739" i="40"/>
  <c r="P739" i="40"/>
  <c r="O739" i="40"/>
  <c r="N739" i="40"/>
  <c r="Q738" i="40"/>
  <c r="P738" i="40"/>
  <c r="O738" i="40"/>
  <c r="N738" i="40"/>
  <c r="Q737" i="40"/>
  <c r="P737" i="40"/>
  <c r="O737" i="40"/>
  <c r="N737" i="40"/>
  <c r="Q736" i="40"/>
  <c r="P736" i="40"/>
  <c r="O736" i="40"/>
  <c r="N736" i="40"/>
  <c r="Q735" i="40"/>
  <c r="P735" i="40"/>
  <c r="O735" i="40"/>
  <c r="N735" i="40"/>
  <c r="Q734" i="40"/>
  <c r="P734" i="40"/>
  <c r="O734" i="40"/>
  <c r="N734" i="40"/>
  <c r="Q733" i="40"/>
  <c r="P733" i="40"/>
  <c r="O733" i="40"/>
  <c r="N733" i="40"/>
  <c r="Q732" i="40"/>
  <c r="P732" i="40"/>
  <c r="O732" i="40"/>
  <c r="N732" i="40"/>
  <c r="Q731" i="40"/>
  <c r="P731" i="40"/>
  <c r="O731" i="40"/>
  <c r="N731" i="40"/>
  <c r="Q730" i="40"/>
  <c r="P730" i="40"/>
  <c r="O730" i="40"/>
  <c r="N730" i="40"/>
  <c r="Q729" i="40"/>
  <c r="P729" i="40"/>
  <c r="O729" i="40"/>
  <c r="N729" i="40"/>
  <c r="Q728" i="40"/>
  <c r="P728" i="40"/>
  <c r="O728" i="40"/>
  <c r="N728" i="40"/>
  <c r="Q727" i="40"/>
  <c r="P727" i="40"/>
  <c r="O727" i="40"/>
  <c r="N727" i="40"/>
  <c r="Q726" i="40"/>
  <c r="P726" i="40"/>
  <c r="O726" i="40"/>
  <c r="N726" i="40"/>
  <c r="Q725" i="40"/>
  <c r="P725" i="40"/>
  <c r="O725" i="40"/>
  <c r="N725" i="40"/>
  <c r="Q724" i="40"/>
  <c r="P724" i="40"/>
  <c r="O724" i="40"/>
  <c r="N724" i="40"/>
  <c r="Q723" i="40"/>
  <c r="P723" i="40"/>
  <c r="O723" i="40"/>
  <c r="N723" i="40"/>
  <c r="Q722" i="40"/>
  <c r="P722" i="40"/>
  <c r="O722" i="40"/>
  <c r="N722" i="40"/>
  <c r="Q721" i="40"/>
  <c r="P721" i="40"/>
  <c r="O721" i="40"/>
  <c r="N721" i="40"/>
  <c r="Q720" i="40"/>
  <c r="P720" i="40"/>
  <c r="O720" i="40"/>
  <c r="N720" i="40"/>
  <c r="Q719" i="40"/>
  <c r="P719" i="40"/>
  <c r="O719" i="40"/>
  <c r="N719" i="40"/>
  <c r="Q718" i="40"/>
  <c r="P718" i="40"/>
  <c r="O718" i="40"/>
  <c r="N718" i="40"/>
  <c r="Q717" i="40"/>
  <c r="P717" i="40"/>
  <c r="O717" i="40"/>
  <c r="N717" i="40"/>
  <c r="Q716" i="40"/>
  <c r="P716" i="40"/>
  <c r="O716" i="40"/>
  <c r="N716" i="40"/>
  <c r="Q715" i="40"/>
  <c r="P715" i="40"/>
  <c r="O715" i="40"/>
  <c r="N715" i="40"/>
  <c r="Q714" i="40"/>
  <c r="P714" i="40"/>
  <c r="O714" i="40"/>
  <c r="N714" i="40"/>
  <c r="Q713" i="40"/>
  <c r="P713" i="40"/>
  <c r="O713" i="40"/>
  <c r="N713" i="40"/>
  <c r="Q712" i="40"/>
  <c r="P712" i="40"/>
  <c r="O712" i="40"/>
  <c r="N712" i="40"/>
  <c r="Q711" i="40"/>
  <c r="P711" i="40"/>
  <c r="O711" i="40"/>
  <c r="N711" i="40"/>
  <c r="Q710" i="40"/>
  <c r="P710" i="40"/>
  <c r="O710" i="40"/>
  <c r="N710" i="40"/>
  <c r="Q709" i="40"/>
  <c r="P709" i="40"/>
  <c r="O709" i="40"/>
  <c r="N709" i="40"/>
  <c r="Q708" i="40"/>
  <c r="P708" i="40"/>
  <c r="O708" i="40"/>
  <c r="N708" i="40"/>
  <c r="Q707" i="40"/>
  <c r="P707" i="40"/>
  <c r="O707" i="40"/>
  <c r="N707" i="40"/>
  <c r="Q706" i="40"/>
  <c r="P706" i="40"/>
  <c r="O706" i="40"/>
  <c r="N706" i="40"/>
  <c r="Q705" i="40"/>
  <c r="P705" i="40"/>
  <c r="O705" i="40"/>
  <c r="N705" i="40"/>
  <c r="Q704" i="40"/>
  <c r="P704" i="40"/>
  <c r="O704" i="40"/>
  <c r="N704" i="40"/>
  <c r="Q703" i="40"/>
  <c r="P703" i="40"/>
  <c r="O703" i="40"/>
  <c r="N703" i="40"/>
  <c r="Q702" i="40"/>
  <c r="P702" i="40"/>
  <c r="O702" i="40"/>
  <c r="N702" i="40"/>
  <c r="Q701" i="40"/>
  <c r="P701" i="40"/>
  <c r="O701" i="40"/>
  <c r="N701" i="40"/>
  <c r="Q700" i="40"/>
  <c r="P700" i="40"/>
  <c r="O700" i="40"/>
  <c r="N700" i="40"/>
  <c r="Q699" i="40"/>
  <c r="P699" i="40"/>
  <c r="O699" i="40"/>
  <c r="N699" i="40"/>
  <c r="Q698" i="40"/>
  <c r="P698" i="40"/>
  <c r="O698" i="40"/>
  <c r="N698" i="40"/>
  <c r="Q697" i="40"/>
  <c r="P697" i="40"/>
  <c r="O697" i="40"/>
  <c r="N697" i="40"/>
  <c r="Q696" i="40"/>
  <c r="P696" i="40"/>
  <c r="O696" i="40"/>
  <c r="N696" i="40"/>
  <c r="Q695" i="40"/>
  <c r="P695" i="40"/>
  <c r="O695" i="40"/>
  <c r="N695" i="40"/>
  <c r="Q694" i="40"/>
  <c r="P694" i="40"/>
  <c r="O694" i="40"/>
  <c r="N694" i="40"/>
  <c r="Q693" i="40"/>
  <c r="P693" i="40"/>
  <c r="O693" i="40"/>
  <c r="N693" i="40"/>
  <c r="Q692" i="40"/>
  <c r="P692" i="40"/>
  <c r="O692" i="40"/>
  <c r="N692" i="40"/>
  <c r="Q691" i="40"/>
  <c r="P691" i="40"/>
  <c r="O691" i="40"/>
  <c r="N691" i="40"/>
  <c r="Q690" i="40"/>
  <c r="P690" i="40"/>
  <c r="O690" i="40"/>
  <c r="N690" i="40"/>
  <c r="Q689" i="40"/>
  <c r="P689" i="40"/>
  <c r="O689" i="40"/>
  <c r="N689" i="40"/>
  <c r="Q688" i="40"/>
  <c r="P688" i="40"/>
  <c r="O688" i="40"/>
  <c r="N688" i="40"/>
  <c r="Q687" i="40"/>
  <c r="P687" i="40"/>
  <c r="O687" i="40"/>
  <c r="N687" i="40"/>
  <c r="Q686" i="40"/>
  <c r="P686" i="40"/>
  <c r="O686" i="40"/>
  <c r="N686" i="40"/>
  <c r="Q685" i="40"/>
  <c r="P685" i="40"/>
  <c r="O685" i="40"/>
  <c r="N685" i="40"/>
  <c r="Q684" i="40"/>
  <c r="P684" i="40"/>
  <c r="O684" i="40"/>
  <c r="N684" i="40"/>
  <c r="Q683" i="40"/>
  <c r="P683" i="40"/>
  <c r="O683" i="40"/>
  <c r="N683" i="40"/>
  <c r="Q682" i="40"/>
  <c r="P682" i="40"/>
  <c r="O682" i="40"/>
  <c r="N682" i="40"/>
  <c r="Q681" i="40"/>
  <c r="P681" i="40"/>
  <c r="O681" i="40"/>
  <c r="N681" i="40"/>
  <c r="Q680" i="40"/>
  <c r="P680" i="40"/>
  <c r="O680" i="40"/>
  <c r="N680" i="40"/>
  <c r="Q679" i="40"/>
  <c r="P679" i="40"/>
  <c r="O679" i="40"/>
  <c r="N679" i="40"/>
  <c r="Q678" i="40"/>
  <c r="P678" i="40"/>
  <c r="O678" i="40"/>
  <c r="N678" i="40"/>
  <c r="Q677" i="40"/>
  <c r="P677" i="40"/>
  <c r="O677" i="40"/>
  <c r="N677" i="40"/>
  <c r="Q676" i="40"/>
  <c r="P676" i="40"/>
  <c r="O676" i="40"/>
  <c r="N676" i="40"/>
  <c r="Q675" i="40"/>
  <c r="P675" i="40"/>
  <c r="O675" i="40"/>
  <c r="N675" i="40"/>
  <c r="Q674" i="40"/>
  <c r="P674" i="40"/>
  <c r="O674" i="40"/>
  <c r="N674" i="40"/>
  <c r="Q673" i="40"/>
  <c r="P673" i="40"/>
  <c r="O673" i="40"/>
  <c r="N673" i="40"/>
  <c r="Q672" i="40"/>
  <c r="P672" i="40"/>
  <c r="O672" i="40"/>
  <c r="N672" i="40"/>
  <c r="Q671" i="40"/>
  <c r="P671" i="40"/>
  <c r="O671" i="40"/>
  <c r="N671" i="40"/>
  <c r="Q670" i="40"/>
  <c r="P670" i="40"/>
  <c r="O670" i="40"/>
  <c r="N670" i="40"/>
  <c r="Q669" i="40"/>
  <c r="P669" i="40"/>
  <c r="O669" i="40"/>
  <c r="N669" i="40"/>
  <c r="Q668" i="40"/>
  <c r="P668" i="40"/>
  <c r="O668" i="40"/>
  <c r="N668" i="40"/>
  <c r="Q667" i="40"/>
  <c r="P667" i="40"/>
  <c r="O667" i="40"/>
  <c r="N667" i="40"/>
  <c r="Q666" i="40"/>
  <c r="P666" i="40"/>
  <c r="O666" i="40"/>
  <c r="N666" i="40"/>
  <c r="Q665" i="40"/>
  <c r="P665" i="40"/>
  <c r="O665" i="40"/>
  <c r="N665" i="40"/>
  <c r="Q664" i="40"/>
  <c r="P664" i="40"/>
  <c r="O664" i="40"/>
  <c r="N664" i="40"/>
  <c r="Q663" i="40"/>
  <c r="P663" i="40"/>
  <c r="O663" i="40"/>
  <c r="N663" i="40"/>
  <c r="Q662" i="40"/>
  <c r="P662" i="40"/>
  <c r="O662" i="40"/>
  <c r="N662" i="40"/>
  <c r="Q661" i="40"/>
  <c r="P661" i="40"/>
  <c r="O661" i="40"/>
  <c r="N661" i="40"/>
  <c r="Q660" i="40"/>
  <c r="P660" i="40"/>
  <c r="O660" i="40"/>
  <c r="N660" i="40"/>
  <c r="Q659" i="40"/>
  <c r="P659" i="40"/>
  <c r="O659" i="40"/>
  <c r="N659" i="40"/>
  <c r="Q658" i="40"/>
  <c r="P658" i="40"/>
  <c r="O658" i="40"/>
  <c r="N658" i="40"/>
  <c r="Q657" i="40"/>
  <c r="P657" i="40"/>
  <c r="O657" i="40"/>
  <c r="N657" i="40"/>
  <c r="Q656" i="40"/>
  <c r="P656" i="40"/>
  <c r="O656" i="40"/>
  <c r="N656" i="40"/>
  <c r="Q655" i="40"/>
  <c r="P655" i="40"/>
  <c r="O655" i="40"/>
  <c r="N655" i="40"/>
  <c r="Q654" i="40"/>
  <c r="P654" i="40"/>
  <c r="O654" i="40"/>
  <c r="N654" i="40"/>
  <c r="Q653" i="40"/>
  <c r="P653" i="40"/>
  <c r="O653" i="40"/>
  <c r="N653" i="40"/>
  <c r="Q652" i="40"/>
  <c r="P652" i="40"/>
  <c r="O652" i="40"/>
  <c r="N652" i="40"/>
  <c r="Q651" i="40"/>
  <c r="P651" i="40"/>
  <c r="O651" i="40"/>
  <c r="N651" i="40"/>
  <c r="Q650" i="40"/>
  <c r="P650" i="40"/>
  <c r="O650" i="40"/>
  <c r="N650" i="40"/>
  <c r="Q649" i="40"/>
  <c r="P649" i="40"/>
  <c r="O649" i="40"/>
  <c r="N649" i="40"/>
  <c r="Q648" i="40"/>
  <c r="P648" i="40"/>
  <c r="O648" i="40"/>
  <c r="N648" i="40"/>
  <c r="Q647" i="40"/>
  <c r="P647" i="40"/>
  <c r="O647" i="40"/>
  <c r="N647" i="40"/>
  <c r="Q646" i="40"/>
  <c r="P646" i="40"/>
  <c r="O646" i="40"/>
  <c r="N646" i="40"/>
  <c r="Q645" i="40"/>
  <c r="P645" i="40"/>
  <c r="O645" i="40"/>
  <c r="N645" i="40"/>
  <c r="Q644" i="40"/>
  <c r="P644" i="40"/>
  <c r="O644" i="40"/>
  <c r="N644" i="40"/>
  <c r="Q643" i="40"/>
  <c r="P643" i="40"/>
  <c r="O643" i="40"/>
  <c r="N643" i="40"/>
  <c r="Q642" i="40"/>
  <c r="P642" i="40"/>
  <c r="O642" i="40"/>
  <c r="N642" i="40"/>
  <c r="Q641" i="40"/>
  <c r="P641" i="40"/>
  <c r="O641" i="40"/>
  <c r="N641" i="40"/>
  <c r="Q640" i="40"/>
  <c r="P640" i="40"/>
  <c r="O640" i="40"/>
  <c r="N640" i="40"/>
  <c r="Q639" i="40"/>
  <c r="P639" i="40"/>
  <c r="O639" i="40"/>
  <c r="N639" i="40"/>
  <c r="Q638" i="40"/>
  <c r="P638" i="40"/>
  <c r="O638" i="40"/>
  <c r="N638" i="40"/>
  <c r="Q637" i="40"/>
  <c r="P637" i="40"/>
  <c r="O637" i="40"/>
  <c r="N637" i="40"/>
  <c r="Q636" i="40"/>
  <c r="P636" i="40"/>
  <c r="O636" i="40"/>
  <c r="N636" i="40"/>
  <c r="Q635" i="40"/>
  <c r="P635" i="40"/>
  <c r="O635" i="40"/>
  <c r="N635" i="40"/>
  <c r="Q634" i="40"/>
  <c r="P634" i="40"/>
  <c r="O634" i="40"/>
  <c r="N634" i="40"/>
  <c r="Q633" i="40"/>
  <c r="P633" i="40"/>
  <c r="O633" i="40"/>
  <c r="N633" i="40"/>
  <c r="Q632" i="40"/>
  <c r="P632" i="40"/>
  <c r="O632" i="40"/>
  <c r="N632" i="40"/>
  <c r="Q631" i="40"/>
  <c r="P631" i="40"/>
  <c r="O631" i="40"/>
  <c r="N631" i="40"/>
  <c r="Q630" i="40"/>
  <c r="P630" i="40"/>
  <c r="O630" i="40"/>
  <c r="N630" i="40"/>
  <c r="Q629" i="40"/>
  <c r="P629" i="40"/>
  <c r="O629" i="40"/>
  <c r="N629" i="40"/>
  <c r="Q628" i="40"/>
  <c r="P628" i="40"/>
  <c r="O628" i="40"/>
  <c r="N628" i="40"/>
  <c r="Q627" i="40"/>
  <c r="P627" i="40"/>
  <c r="O627" i="40"/>
  <c r="N627" i="40"/>
  <c r="Q626" i="40"/>
  <c r="P626" i="40"/>
  <c r="O626" i="40"/>
  <c r="N626" i="40"/>
  <c r="Q625" i="40"/>
  <c r="P625" i="40"/>
  <c r="O625" i="40"/>
  <c r="N625" i="40"/>
  <c r="Q624" i="40"/>
  <c r="P624" i="40"/>
  <c r="O624" i="40"/>
  <c r="N624" i="40"/>
  <c r="Q623" i="40"/>
  <c r="P623" i="40"/>
  <c r="O623" i="40"/>
  <c r="N623" i="40"/>
  <c r="Q622" i="40"/>
  <c r="P622" i="40"/>
  <c r="O622" i="40"/>
  <c r="N622" i="40"/>
  <c r="Q621" i="40"/>
  <c r="P621" i="40"/>
  <c r="O621" i="40"/>
  <c r="N621" i="40"/>
  <c r="Q620" i="40"/>
  <c r="P620" i="40"/>
  <c r="O620" i="40"/>
  <c r="N620" i="40"/>
  <c r="Q619" i="40"/>
  <c r="P619" i="40"/>
  <c r="O619" i="40"/>
  <c r="N619" i="40"/>
  <c r="Q618" i="40"/>
  <c r="P618" i="40"/>
  <c r="O618" i="40"/>
  <c r="N618" i="40"/>
  <c r="Q617" i="40"/>
  <c r="P617" i="40"/>
  <c r="O617" i="40"/>
  <c r="N617" i="40"/>
  <c r="Q616" i="40"/>
  <c r="P616" i="40"/>
  <c r="O616" i="40"/>
  <c r="N616" i="40"/>
  <c r="Q615" i="40"/>
  <c r="P615" i="40"/>
  <c r="O615" i="40"/>
  <c r="N615" i="40"/>
  <c r="Q614" i="40"/>
  <c r="P614" i="40"/>
  <c r="O614" i="40"/>
  <c r="N614" i="40"/>
  <c r="Q613" i="40"/>
  <c r="P613" i="40"/>
  <c r="O613" i="40"/>
  <c r="N613" i="40"/>
  <c r="Q612" i="40"/>
  <c r="P612" i="40"/>
  <c r="O612" i="40"/>
  <c r="N612" i="40"/>
  <c r="Q611" i="40"/>
  <c r="P611" i="40"/>
  <c r="O611" i="40"/>
  <c r="N611" i="40"/>
  <c r="Q610" i="40"/>
  <c r="P610" i="40"/>
  <c r="O610" i="40"/>
  <c r="N610" i="40"/>
  <c r="Q609" i="40"/>
  <c r="P609" i="40"/>
  <c r="O609" i="40"/>
  <c r="N609" i="40"/>
  <c r="Q608" i="40"/>
  <c r="P608" i="40"/>
  <c r="O608" i="40"/>
  <c r="N608" i="40"/>
  <c r="Q607" i="40"/>
  <c r="P607" i="40"/>
  <c r="O607" i="40"/>
  <c r="N607" i="40"/>
  <c r="Q606" i="40"/>
  <c r="P606" i="40"/>
  <c r="O606" i="40"/>
  <c r="N606" i="40"/>
  <c r="Q605" i="40"/>
  <c r="P605" i="40"/>
  <c r="O605" i="40"/>
  <c r="N605" i="40"/>
  <c r="Q604" i="40"/>
  <c r="P604" i="40"/>
  <c r="O604" i="40"/>
  <c r="N604" i="40"/>
  <c r="Q603" i="40"/>
  <c r="P603" i="40"/>
  <c r="O603" i="40"/>
  <c r="N603" i="40"/>
  <c r="Q602" i="40"/>
  <c r="P602" i="40"/>
  <c r="O602" i="40"/>
  <c r="N602" i="40"/>
  <c r="Q601" i="40"/>
  <c r="P601" i="40"/>
  <c r="O601" i="40"/>
  <c r="N601" i="40"/>
  <c r="Q600" i="40"/>
  <c r="P600" i="40"/>
  <c r="O600" i="40"/>
  <c r="N600" i="40"/>
  <c r="Q599" i="40"/>
  <c r="P599" i="40"/>
  <c r="O599" i="40"/>
  <c r="N599" i="40"/>
  <c r="Q598" i="40"/>
  <c r="P598" i="40"/>
  <c r="O598" i="40"/>
  <c r="N598" i="40"/>
  <c r="Q597" i="40"/>
  <c r="P597" i="40"/>
  <c r="O597" i="40"/>
  <c r="N597" i="40"/>
  <c r="Q596" i="40"/>
  <c r="P596" i="40"/>
  <c r="O596" i="40"/>
  <c r="N596" i="40"/>
  <c r="Q595" i="40"/>
  <c r="P595" i="40"/>
  <c r="O595" i="40"/>
  <c r="N595" i="40"/>
  <c r="Q594" i="40"/>
  <c r="P594" i="40"/>
  <c r="O594" i="40"/>
  <c r="N594" i="40"/>
  <c r="Q593" i="40"/>
  <c r="P593" i="40"/>
  <c r="O593" i="40"/>
  <c r="N593" i="40"/>
  <c r="Q592" i="40"/>
  <c r="P592" i="40"/>
  <c r="O592" i="40"/>
  <c r="N592" i="40"/>
  <c r="Q591" i="40"/>
  <c r="P591" i="40"/>
  <c r="O591" i="40"/>
  <c r="N591" i="40"/>
  <c r="Q590" i="40"/>
  <c r="P590" i="40"/>
  <c r="O590" i="40"/>
  <c r="N590" i="40"/>
  <c r="Q589" i="40"/>
  <c r="P589" i="40"/>
  <c r="O589" i="40"/>
  <c r="N589" i="40"/>
  <c r="Q588" i="40"/>
  <c r="P588" i="40"/>
  <c r="O588" i="40"/>
  <c r="N588" i="40"/>
  <c r="Q587" i="40"/>
  <c r="P587" i="40"/>
  <c r="O587" i="40"/>
  <c r="N587" i="40"/>
  <c r="Q586" i="40"/>
  <c r="P586" i="40"/>
  <c r="O586" i="40"/>
  <c r="N586" i="40"/>
  <c r="Q585" i="40"/>
  <c r="P585" i="40"/>
  <c r="O585" i="40"/>
  <c r="N585" i="40"/>
  <c r="Q584" i="40"/>
  <c r="P584" i="40"/>
  <c r="O584" i="40"/>
  <c r="N584" i="40"/>
  <c r="Q583" i="40"/>
  <c r="P583" i="40"/>
  <c r="O583" i="40"/>
  <c r="N583" i="40"/>
  <c r="Q582" i="40"/>
  <c r="P582" i="40"/>
  <c r="O582" i="40"/>
  <c r="N582" i="40"/>
  <c r="Q581" i="40"/>
  <c r="P581" i="40"/>
  <c r="O581" i="40"/>
  <c r="N581" i="40"/>
  <c r="Q580" i="40"/>
  <c r="P580" i="40"/>
  <c r="O580" i="40"/>
  <c r="N580" i="40"/>
  <c r="Q579" i="40"/>
  <c r="P579" i="40"/>
  <c r="O579" i="40"/>
  <c r="N579" i="40"/>
  <c r="Q578" i="40"/>
  <c r="P578" i="40"/>
  <c r="O578" i="40"/>
  <c r="N578" i="40"/>
  <c r="Q577" i="40"/>
  <c r="P577" i="40"/>
  <c r="O577" i="40"/>
  <c r="N577" i="40"/>
  <c r="Q576" i="40"/>
  <c r="P576" i="40"/>
  <c r="O576" i="40"/>
  <c r="N576" i="40"/>
  <c r="Q575" i="40"/>
  <c r="P575" i="40"/>
  <c r="O575" i="40"/>
  <c r="N575" i="40"/>
  <c r="Q574" i="40"/>
  <c r="P574" i="40"/>
  <c r="O574" i="40"/>
  <c r="N574" i="40"/>
  <c r="Q573" i="40"/>
  <c r="P573" i="40"/>
  <c r="O573" i="40"/>
  <c r="N573" i="40"/>
  <c r="Q572" i="40"/>
  <c r="P572" i="40"/>
  <c r="O572" i="40"/>
  <c r="N572" i="40"/>
  <c r="Q571" i="40"/>
  <c r="P571" i="40"/>
  <c r="O571" i="40"/>
  <c r="N571" i="40"/>
  <c r="Q570" i="40"/>
  <c r="P570" i="40"/>
  <c r="O570" i="40"/>
  <c r="N570" i="40"/>
  <c r="Q569" i="40"/>
  <c r="P569" i="40"/>
  <c r="O569" i="40"/>
  <c r="N569" i="40"/>
  <c r="Q568" i="40"/>
  <c r="P568" i="40"/>
  <c r="O568" i="40"/>
  <c r="N568" i="40"/>
  <c r="Q567" i="40"/>
  <c r="P567" i="40"/>
  <c r="O567" i="40"/>
  <c r="N567" i="40"/>
  <c r="Q566" i="40"/>
  <c r="P566" i="40"/>
  <c r="O566" i="40"/>
  <c r="N566" i="40"/>
  <c r="Q565" i="40"/>
  <c r="P565" i="40"/>
  <c r="O565" i="40"/>
  <c r="N565" i="40"/>
  <c r="Q564" i="40"/>
  <c r="P564" i="40"/>
  <c r="O564" i="40"/>
  <c r="N564" i="40"/>
  <c r="Q563" i="40"/>
  <c r="P563" i="40"/>
  <c r="O563" i="40"/>
  <c r="N563" i="40"/>
  <c r="Q562" i="40"/>
  <c r="P562" i="40"/>
  <c r="O562" i="40"/>
  <c r="N562" i="40"/>
  <c r="Q561" i="40"/>
  <c r="P561" i="40"/>
  <c r="O561" i="40"/>
  <c r="N561" i="40"/>
  <c r="Q560" i="40"/>
  <c r="P560" i="40"/>
  <c r="O560" i="40"/>
  <c r="N560" i="40"/>
  <c r="Q559" i="40"/>
  <c r="P559" i="40"/>
  <c r="O559" i="40"/>
  <c r="N559" i="40"/>
  <c r="Q558" i="40"/>
  <c r="P558" i="40"/>
  <c r="O558" i="40"/>
  <c r="N558" i="40"/>
  <c r="Q557" i="40"/>
  <c r="P557" i="40"/>
  <c r="O557" i="40"/>
  <c r="N557" i="40"/>
  <c r="Q556" i="40"/>
  <c r="P556" i="40"/>
  <c r="O556" i="40"/>
  <c r="N556" i="40"/>
  <c r="Q555" i="40"/>
  <c r="P555" i="40"/>
  <c r="O555" i="40"/>
  <c r="N555" i="40"/>
  <c r="Q554" i="40"/>
  <c r="P554" i="40"/>
  <c r="O554" i="40"/>
  <c r="N554" i="40"/>
  <c r="Q553" i="40"/>
  <c r="P553" i="40"/>
  <c r="O553" i="40"/>
  <c r="N553" i="40"/>
  <c r="Q552" i="40"/>
  <c r="P552" i="40"/>
  <c r="O552" i="40"/>
  <c r="N552" i="40"/>
  <c r="Q551" i="40"/>
  <c r="P551" i="40"/>
  <c r="O551" i="40"/>
  <c r="N551" i="40"/>
  <c r="Q550" i="40"/>
  <c r="P550" i="40"/>
  <c r="O550" i="40"/>
  <c r="N550" i="40"/>
  <c r="Q549" i="40"/>
  <c r="P549" i="40"/>
  <c r="O549" i="40"/>
  <c r="N549" i="40"/>
  <c r="Q548" i="40"/>
  <c r="P548" i="40"/>
  <c r="O548" i="40"/>
  <c r="N548" i="40"/>
  <c r="Q547" i="40"/>
  <c r="P547" i="40"/>
  <c r="O547" i="40"/>
  <c r="N547" i="40"/>
  <c r="Q546" i="40"/>
  <c r="P546" i="40"/>
  <c r="O546" i="40"/>
  <c r="N546" i="40"/>
  <c r="Q545" i="40"/>
  <c r="P545" i="40"/>
  <c r="O545" i="40"/>
  <c r="N545" i="40"/>
  <c r="Q544" i="40"/>
  <c r="P544" i="40"/>
  <c r="O544" i="40"/>
  <c r="N544" i="40"/>
  <c r="Q543" i="40"/>
  <c r="P543" i="40"/>
  <c r="O543" i="40"/>
  <c r="N543" i="40"/>
  <c r="Q542" i="40"/>
  <c r="P542" i="40"/>
  <c r="O542" i="40"/>
  <c r="N542" i="40"/>
  <c r="Q541" i="40"/>
  <c r="P541" i="40"/>
  <c r="O541" i="40"/>
  <c r="N541" i="40"/>
  <c r="Q540" i="40"/>
  <c r="P540" i="40"/>
  <c r="O540" i="40"/>
  <c r="N540" i="40"/>
  <c r="Q539" i="40"/>
  <c r="P539" i="40"/>
  <c r="O539" i="40"/>
  <c r="N539" i="40"/>
  <c r="Q538" i="40"/>
  <c r="P538" i="40"/>
  <c r="O538" i="40"/>
  <c r="N538" i="40"/>
  <c r="Q537" i="40"/>
  <c r="P537" i="40"/>
  <c r="O537" i="40"/>
  <c r="N537" i="40"/>
  <c r="Q536" i="40"/>
  <c r="P536" i="40"/>
  <c r="O536" i="40"/>
  <c r="N536" i="40"/>
  <c r="Q535" i="40"/>
  <c r="P535" i="40"/>
  <c r="O535" i="40"/>
  <c r="N535" i="40"/>
  <c r="Q534" i="40"/>
  <c r="P534" i="40"/>
  <c r="O534" i="40"/>
  <c r="N534" i="40"/>
  <c r="Q533" i="40"/>
  <c r="P533" i="40"/>
  <c r="O533" i="40"/>
  <c r="N533" i="40"/>
  <c r="Q532" i="40"/>
  <c r="P532" i="40"/>
  <c r="O532" i="40"/>
  <c r="N532" i="40"/>
  <c r="Q531" i="40"/>
  <c r="P531" i="40"/>
  <c r="O531" i="40"/>
  <c r="N531" i="40"/>
  <c r="Q530" i="40"/>
  <c r="P530" i="40"/>
  <c r="O530" i="40"/>
  <c r="N530" i="40"/>
  <c r="Q529" i="40"/>
  <c r="P529" i="40"/>
  <c r="O529" i="40"/>
  <c r="N529" i="40"/>
  <c r="Q528" i="40"/>
  <c r="P528" i="40"/>
  <c r="O528" i="40"/>
  <c r="N528" i="40"/>
  <c r="Q527" i="40"/>
  <c r="P527" i="40"/>
  <c r="O527" i="40"/>
  <c r="N527" i="40"/>
  <c r="Q526" i="40"/>
  <c r="P526" i="40"/>
  <c r="O526" i="40"/>
  <c r="N526" i="40"/>
  <c r="Q525" i="40"/>
  <c r="P525" i="40"/>
  <c r="O525" i="40"/>
  <c r="N525" i="40"/>
  <c r="Q524" i="40"/>
  <c r="P524" i="40"/>
  <c r="O524" i="40"/>
  <c r="N524" i="40"/>
  <c r="Q523" i="40"/>
  <c r="P523" i="40"/>
  <c r="O523" i="40"/>
  <c r="N523" i="40"/>
  <c r="Q522" i="40"/>
  <c r="P522" i="40"/>
  <c r="O522" i="40"/>
  <c r="N522" i="40"/>
  <c r="Q521" i="40"/>
  <c r="P521" i="40"/>
  <c r="O521" i="40"/>
  <c r="N521" i="40"/>
  <c r="Q520" i="40"/>
  <c r="P520" i="40"/>
  <c r="O520" i="40"/>
  <c r="N520" i="40"/>
  <c r="Q519" i="40"/>
  <c r="P519" i="40"/>
  <c r="O519" i="40"/>
  <c r="N519" i="40"/>
  <c r="Q518" i="40"/>
  <c r="P518" i="40"/>
  <c r="O518" i="40"/>
  <c r="N518" i="40"/>
  <c r="Q517" i="40"/>
  <c r="P517" i="40"/>
  <c r="O517" i="40"/>
  <c r="N517" i="40"/>
  <c r="Q516" i="40"/>
  <c r="P516" i="40"/>
  <c r="O516" i="40"/>
  <c r="N516" i="40"/>
  <c r="Q515" i="40"/>
  <c r="P515" i="40"/>
  <c r="O515" i="40"/>
  <c r="N515" i="40"/>
  <c r="Q514" i="40"/>
  <c r="P514" i="40"/>
  <c r="O514" i="40"/>
  <c r="N514" i="40"/>
  <c r="Q513" i="40"/>
  <c r="P513" i="40"/>
  <c r="O513" i="40"/>
  <c r="N513" i="40"/>
  <c r="Q512" i="40"/>
  <c r="P512" i="40"/>
  <c r="O512" i="40"/>
  <c r="N512" i="40"/>
  <c r="Q511" i="40"/>
  <c r="P511" i="40"/>
  <c r="O511" i="40"/>
  <c r="N511" i="40"/>
  <c r="Q510" i="40"/>
  <c r="P510" i="40"/>
  <c r="O510" i="40"/>
  <c r="N510" i="40"/>
  <c r="Q509" i="40"/>
  <c r="P509" i="40"/>
  <c r="O509" i="40"/>
  <c r="N509" i="40"/>
  <c r="Q508" i="40"/>
  <c r="P508" i="40"/>
  <c r="O508" i="40"/>
  <c r="N508" i="40"/>
  <c r="Q507" i="40"/>
  <c r="P507" i="40"/>
  <c r="O507" i="40"/>
  <c r="N507" i="40"/>
  <c r="Q506" i="40"/>
  <c r="P506" i="40"/>
  <c r="O506" i="40"/>
  <c r="N506" i="40"/>
  <c r="Q505" i="40"/>
  <c r="P505" i="40"/>
  <c r="O505" i="40"/>
  <c r="N505" i="40"/>
  <c r="Q504" i="40"/>
  <c r="P504" i="40"/>
  <c r="O504" i="40"/>
  <c r="N504" i="40"/>
  <c r="Q503" i="40"/>
  <c r="P503" i="40"/>
  <c r="O503" i="40"/>
  <c r="N503" i="40"/>
  <c r="Q502" i="40"/>
  <c r="P502" i="40"/>
  <c r="O502" i="40"/>
  <c r="N502" i="40"/>
  <c r="Q501" i="40"/>
  <c r="P501" i="40"/>
  <c r="O501" i="40"/>
  <c r="N501" i="40"/>
  <c r="Q500" i="40"/>
  <c r="P500" i="40"/>
  <c r="O500" i="40"/>
  <c r="N500" i="40"/>
  <c r="Q499" i="40"/>
  <c r="P499" i="40"/>
  <c r="O499" i="40"/>
  <c r="N499" i="40"/>
  <c r="Q498" i="40"/>
  <c r="P498" i="40"/>
  <c r="O498" i="40"/>
  <c r="N498" i="40"/>
  <c r="Q497" i="40"/>
  <c r="P497" i="40"/>
  <c r="O497" i="40"/>
  <c r="N497" i="40"/>
  <c r="Q496" i="40"/>
  <c r="P496" i="40"/>
  <c r="O496" i="40"/>
  <c r="N496" i="40"/>
  <c r="Q495" i="40"/>
  <c r="P495" i="40"/>
  <c r="O495" i="40"/>
  <c r="N495" i="40"/>
  <c r="Q494" i="40"/>
  <c r="P494" i="40"/>
  <c r="O494" i="40"/>
  <c r="N494" i="40"/>
  <c r="Q493" i="40"/>
  <c r="P493" i="40"/>
  <c r="O493" i="40"/>
  <c r="N493" i="40"/>
  <c r="Q492" i="40"/>
  <c r="P492" i="40"/>
  <c r="O492" i="40"/>
  <c r="N492" i="40"/>
  <c r="Q491" i="40"/>
  <c r="P491" i="40"/>
  <c r="O491" i="40"/>
  <c r="N491" i="40"/>
  <c r="Q490" i="40"/>
  <c r="P490" i="40"/>
  <c r="O490" i="40"/>
  <c r="N490" i="40"/>
  <c r="Q489" i="40"/>
  <c r="P489" i="40"/>
  <c r="O489" i="40"/>
  <c r="N489" i="40"/>
  <c r="Q488" i="40"/>
  <c r="P488" i="40"/>
  <c r="O488" i="40"/>
  <c r="N488" i="40"/>
  <c r="Q487" i="40"/>
  <c r="P487" i="40"/>
  <c r="O487" i="40"/>
  <c r="N487" i="40"/>
  <c r="Q486" i="40"/>
  <c r="P486" i="40"/>
  <c r="O486" i="40"/>
  <c r="N486" i="40"/>
  <c r="Q485" i="40"/>
  <c r="P485" i="40"/>
  <c r="O485" i="40"/>
  <c r="N485" i="40"/>
  <c r="Q484" i="40"/>
  <c r="P484" i="40"/>
  <c r="O484" i="40"/>
  <c r="N484" i="40"/>
  <c r="Q483" i="40"/>
  <c r="P483" i="40"/>
  <c r="O483" i="40"/>
  <c r="N483" i="40"/>
  <c r="Q482" i="40"/>
  <c r="P482" i="40"/>
  <c r="O482" i="40"/>
  <c r="N482" i="40"/>
  <c r="Q481" i="40"/>
  <c r="P481" i="40"/>
  <c r="O481" i="40"/>
  <c r="N481" i="40"/>
  <c r="Q480" i="40"/>
  <c r="P480" i="40"/>
  <c r="O480" i="40"/>
  <c r="N480" i="40"/>
  <c r="Q479" i="40"/>
  <c r="P479" i="40"/>
  <c r="O479" i="40"/>
  <c r="N479" i="40"/>
  <c r="Q478" i="40"/>
  <c r="P478" i="40"/>
  <c r="O478" i="40"/>
  <c r="N478" i="40"/>
  <c r="Q477" i="40"/>
  <c r="P477" i="40"/>
  <c r="O477" i="40"/>
  <c r="N477" i="40"/>
  <c r="Q476" i="40"/>
  <c r="P476" i="40"/>
  <c r="O476" i="40"/>
  <c r="N476" i="40"/>
  <c r="Q475" i="40"/>
  <c r="P475" i="40"/>
  <c r="O475" i="40"/>
  <c r="N475" i="40"/>
  <c r="Q474" i="40"/>
  <c r="P474" i="40"/>
  <c r="O474" i="40"/>
  <c r="N474" i="40"/>
  <c r="Q473" i="40"/>
  <c r="P473" i="40"/>
  <c r="O473" i="40"/>
  <c r="N473" i="40"/>
  <c r="Q472" i="40"/>
  <c r="P472" i="40"/>
  <c r="O472" i="40"/>
  <c r="N472" i="40"/>
  <c r="Q471" i="40"/>
  <c r="P471" i="40"/>
  <c r="O471" i="40"/>
  <c r="N471" i="40"/>
  <c r="Q470" i="40"/>
  <c r="P470" i="40"/>
  <c r="O470" i="40"/>
  <c r="N470" i="40"/>
  <c r="Q469" i="40"/>
  <c r="P469" i="40"/>
  <c r="O469" i="40"/>
  <c r="N469" i="40"/>
  <c r="Q468" i="40"/>
  <c r="P468" i="40"/>
  <c r="O468" i="40"/>
  <c r="N468" i="40"/>
  <c r="Q467" i="40"/>
  <c r="P467" i="40"/>
  <c r="O467" i="40"/>
  <c r="N467" i="40"/>
  <c r="Q466" i="40"/>
  <c r="P466" i="40"/>
  <c r="O466" i="40"/>
  <c r="N466" i="40"/>
  <c r="Q465" i="40"/>
  <c r="P465" i="40"/>
  <c r="O465" i="40"/>
  <c r="N465" i="40"/>
  <c r="Q464" i="40"/>
  <c r="P464" i="40"/>
  <c r="O464" i="40"/>
  <c r="N464" i="40"/>
  <c r="Q463" i="40"/>
  <c r="P463" i="40"/>
  <c r="O463" i="40"/>
  <c r="N463" i="40"/>
  <c r="Q462" i="40"/>
  <c r="P462" i="40"/>
  <c r="O462" i="40"/>
  <c r="N462" i="40"/>
  <c r="Q461" i="40"/>
  <c r="P461" i="40"/>
  <c r="O461" i="40"/>
  <c r="N461" i="40"/>
  <c r="Q460" i="40"/>
  <c r="P460" i="40"/>
  <c r="O460" i="40"/>
  <c r="N460" i="40"/>
  <c r="Q459" i="40"/>
  <c r="P459" i="40"/>
  <c r="O459" i="40"/>
  <c r="N459" i="40"/>
  <c r="Q458" i="40"/>
  <c r="P458" i="40"/>
  <c r="O458" i="40"/>
  <c r="N458" i="40"/>
  <c r="Q457" i="40"/>
  <c r="P457" i="40"/>
  <c r="O457" i="40"/>
  <c r="N457" i="40"/>
  <c r="Q456" i="40"/>
  <c r="P456" i="40"/>
  <c r="O456" i="40"/>
  <c r="N456" i="40"/>
  <c r="Q455" i="40"/>
  <c r="P455" i="40"/>
  <c r="O455" i="40"/>
  <c r="N455" i="40"/>
  <c r="Q454" i="40"/>
  <c r="P454" i="40"/>
  <c r="O454" i="40"/>
  <c r="N454" i="40"/>
  <c r="Q453" i="40"/>
  <c r="P453" i="40"/>
  <c r="O453" i="40"/>
  <c r="N453" i="40"/>
  <c r="Q452" i="40"/>
  <c r="P452" i="40"/>
  <c r="O452" i="40"/>
  <c r="N452" i="40"/>
  <c r="Q451" i="40"/>
  <c r="P451" i="40"/>
  <c r="O451" i="40"/>
  <c r="N451" i="40"/>
  <c r="Q450" i="40"/>
  <c r="P450" i="40"/>
  <c r="O450" i="40"/>
  <c r="N450" i="40"/>
  <c r="Q449" i="40"/>
  <c r="P449" i="40"/>
  <c r="O449" i="40"/>
  <c r="N449" i="40"/>
  <c r="Q448" i="40"/>
  <c r="P448" i="40"/>
  <c r="O448" i="40"/>
  <c r="N448" i="40"/>
  <c r="Q447" i="40"/>
  <c r="P447" i="40"/>
  <c r="O447" i="40"/>
  <c r="N447" i="40"/>
  <c r="Q446" i="40"/>
  <c r="P446" i="40"/>
  <c r="O446" i="40"/>
  <c r="N446" i="40"/>
  <c r="Q445" i="40"/>
  <c r="P445" i="40"/>
  <c r="O445" i="40"/>
  <c r="N445" i="40"/>
  <c r="Q444" i="40"/>
  <c r="P444" i="40"/>
  <c r="O444" i="40"/>
  <c r="N444" i="40"/>
  <c r="Q443" i="40"/>
  <c r="P443" i="40"/>
  <c r="O443" i="40"/>
  <c r="N443" i="40"/>
  <c r="Q442" i="40"/>
  <c r="P442" i="40"/>
  <c r="O442" i="40"/>
  <c r="N442" i="40"/>
  <c r="Q441" i="40"/>
  <c r="P441" i="40"/>
  <c r="O441" i="40"/>
  <c r="N441" i="40"/>
  <c r="Q440" i="40"/>
  <c r="P440" i="40"/>
  <c r="O440" i="40"/>
  <c r="N440" i="40"/>
  <c r="Q439" i="40"/>
  <c r="P439" i="40"/>
  <c r="O439" i="40"/>
  <c r="N439" i="40"/>
  <c r="Q438" i="40"/>
  <c r="P438" i="40"/>
  <c r="O438" i="40"/>
  <c r="N438" i="40"/>
  <c r="Q437" i="40"/>
  <c r="P437" i="40"/>
  <c r="O437" i="40"/>
  <c r="N437" i="40"/>
  <c r="Q436" i="40"/>
  <c r="P436" i="40"/>
  <c r="O436" i="40"/>
  <c r="N436" i="40"/>
  <c r="Q435" i="40"/>
  <c r="P435" i="40"/>
  <c r="O435" i="40"/>
  <c r="N435" i="40"/>
  <c r="Q434" i="40"/>
  <c r="P434" i="40"/>
  <c r="O434" i="40"/>
  <c r="N434" i="40"/>
  <c r="Q433" i="40"/>
  <c r="P433" i="40"/>
  <c r="O433" i="40"/>
  <c r="N433" i="40"/>
  <c r="Q432" i="40"/>
  <c r="P432" i="40"/>
  <c r="O432" i="40"/>
  <c r="N432" i="40"/>
  <c r="Q431" i="40"/>
  <c r="P431" i="40"/>
  <c r="O431" i="40"/>
  <c r="N431" i="40"/>
  <c r="Q430" i="40"/>
  <c r="P430" i="40"/>
  <c r="O430" i="40"/>
  <c r="N430" i="40"/>
  <c r="Q429" i="40"/>
  <c r="P429" i="40"/>
  <c r="O429" i="40"/>
  <c r="N429" i="40"/>
  <c r="Q428" i="40"/>
  <c r="P428" i="40"/>
  <c r="O428" i="40"/>
  <c r="N428" i="40"/>
  <c r="Q427" i="40"/>
  <c r="P427" i="40"/>
  <c r="O427" i="40"/>
  <c r="N427" i="40"/>
  <c r="Q426" i="40"/>
  <c r="P426" i="40"/>
  <c r="O426" i="40"/>
  <c r="N426" i="40"/>
  <c r="Q425" i="40"/>
  <c r="P425" i="40"/>
  <c r="O425" i="40"/>
  <c r="N425" i="40"/>
  <c r="Q424" i="40"/>
  <c r="P424" i="40"/>
  <c r="O424" i="40"/>
  <c r="N424" i="40"/>
  <c r="Q423" i="40"/>
  <c r="P423" i="40"/>
  <c r="O423" i="40"/>
  <c r="N423" i="40"/>
  <c r="Q422" i="40"/>
  <c r="P422" i="40"/>
  <c r="O422" i="40"/>
  <c r="N422" i="40"/>
  <c r="Q421" i="40"/>
  <c r="P421" i="40"/>
  <c r="O421" i="40"/>
  <c r="N421" i="40"/>
  <c r="Q420" i="40"/>
  <c r="P420" i="40"/>
  <c r="O420" i="40"/>
  <c r="N420" i="40"/>
  <c r="Q419" i="40"/>
  <c r="P419" i="40"/>
  <c r="O419" i="40"/>
  <c r="N419" i="40"/>
  <c r="Q418" i="40"/>
  <c r="P418" i="40"/>
  <c r="O418" i="40"/>
  <c r="N418" i="40"/>
  <c r="Q417" i="40"/>
  <c r="P417" i="40"/>
  <c r="O417" i="40"/>
  <c r="N417" i="40"/>
  <c r="Q416" i="40"/>
  <c r="P416" i="40"/>
  <c r="O416" i="40"/>
  <c r="N416" i="40"/>
  <c r="Q415" i="40"/>
  <c r="P415" i="40"/>
  <c r="O415" i="40"/>
  <c r="N415" i="40"/>
  <c r="Q414" i="40"/>
  <c r="P414" i="40"/>
  <c r="O414" i="40"/>
  <c r="N414" i="40"/>
  <c r="Q413" i="40"/>
  <c r="P413" i="40"/>
  <c r="O413" i="40"/>
  <c r="N413" i="40"/>
  <c r="Q412" i="40"/>
  <c r="P412" i="40"/>
  <c r="O412" i="40"/>
  <c r="N412" i="40"/>
  <c r="Q411" i="40"/>
  <c r="P411" i="40"/>
  <c r="O411" i="40"/>
  <c r="N411" i="40"/>
  <c r="Q410" i="40"/>
  <c r="P410" i="40"/>
  <c r="O410" i="40"/>
  <c r="N410" i="40"/>
  <c r="Q409" i="40"/>
  <c r="P409" i="40"/>
  <c r="O409" i="40"/>
  <c r="N409" i="40"/>
  <c r="Q408" i="40"/>
  <c r="P408" i="40"/>
  <c r="O408" i="40"/>
  <c r="N408" i="40"/>
  <c r="Q407" i="40"/>
  <c r="P407" i="40"/>
  <c r="O407" i="40"/>
  <c r="N407" i="40"/>
  <c r="Q406" i="40"/>
  <c r="P406" i="40"/>
  <c r="O406" i="40"/>
  <c r="N406" i="40"/>
  <c r="Q405" i="40"/>
  <c r="P405" i="40"/>
  <c r="O405" i="40"/>
  <c r="N405" i="40"/>
  <c r="Q404" i="40"/>
  <c r="P404" i="40"/>
  <c r="O404" i="40"/>
  <c r="N404" i="40"/>
  <c r="Q403" i="40"/>
  <c r="P403" i="40"/>
  <c r="O403" i="40"/>
  <c r="N403" i="40"/>
  <c r="Q402" i="40"/>
  <c r="P402" i="40"/>
  <c r="O402" i="40"/>
  <c r="N402" i="40"/>
  <c r="Q401" i="40"/>
  <c r="P401" i="40"/>
  <c r="O401" i="40"/>
  <c r="N401" i="40"/>
  <c r="Q400" i="40"/>
  <c r="P400" i="40"/>
  <c r="O400" i="40"/>
  <c r="N400" i="40"/>
  <c r="Q399" i="40"/>
  <c r="P399" i="40"/>
  <c r="O399" i="40"/>
  <c r="N399" i="40"/>
  <c r="Q398" i="40"/>
  <c r="P398" i="40"/>
  <c r="O398" i="40"/>
  <c r="N398" i="40"/>
  <c r="Q397" i="40"/>
  <c r="P397" i="40"/>
  <c r="O397" i="40"/>
  <c r="N397" i="40"/>
  <c r="Q396" i="40"/>
  <c r="P396" i="40"/>
  <c r="O396" i="40"/>
  <c r="N396" i="40"/>
  <c r="Q395" i="40"/>
  <c r="P395" i="40"/>
  <c r="O395" i="40"/>
  <c r="N395" i="40"/>
  <c r="Q394" i="40"/>
  <c r="P394" i="40"/>
  <c r="O394" i="40"/>
  <c r="N394" i="40"/>
  <c r="Q393" i="40"/>
  <c r="P393" i="40"/>
  <c r="O393" i="40"/>
  <c r="N393" i="40"/>
  <c r="Q392" i="40"/>
  <c r="P392" i="40"/>
  <c r="O392" i="40"/>
  <c r="N392" i="40"/>
  <c r="Q391" i="40"/>
  <c r="P391" i="40"/>
  <c r="O391" i="40"/>
  <c r="N391" i="40"/>
  <c r="Q390" i="40"/>
  <c r="P390" i="40"/>
  <c r="O390" i="40"/>
  <c r="N390" i="40"/>
  <c r="Q389" i="40"/>
  <c r="P389" i="40"/>
  <c r="O389" i="40"/>
  <c r="N389" i="40"/>
  <c r="Q388" i="40"/>
  <c r="P388" i="40"/>
  <c r="O388" i="40"/>
  <c r="N388" i="40"/>
  <c r="Q387" i="40"/>
  <c r="P387" i="40"/>
  <c r="O387" i="40"/>
  <c r="N387" i="40"/>
  <c r="Q386" i="40"/>
  <c r="P386" i="40"/>
  <c r="O386" i="40"/>
  <c r="N386" i="40"/>
  <c r="Q385" i="40"/>
  <c r="P385" i="40"/>
  <c r="O385" i="40"/>
  <c r="N385" i="40"/>
  <c r="Q384" i="40"/>
  <c r="P384" i="40"/>
  <c r="O384" i="40"/>
  <c r="N384" i="40"/>
  <c r="Q383" i="40"/>
  <c r="P383" i="40"/>
  <c r="O383" i="40"/>
  <c r="N383" i="40"/>
  <c r="Q382" i="40"/>
  <c r="P382" i="40"/>
  <c r="O382" i="40"/>
  <c r="N382" i="40"/>
  <c r="Q381" i="40"/>
  <c r="P381" i="40"/>
  <c r="O381" i="40"/>
  <c r="N381" i="40"/>
  <c r="Q380" i="40"/>
  <c r="P380" i="40"/>
  <c r="O380" i="40"/>
  <c r="N380" i="40"/>
  <c r="Q379" i="40"/>
  <c r="P379" i="40"/>
  <c r="O379" i="40"/>
  <c r="N379" i="40"/>
  <c r="Q378" i="40"/>
  <c r="P378" i="40"/>
  <c r="O378" i="40"/>
  <c r="N378" i="40"/>
  <c r="Q377" i="40"/>
  <c r="P377" i="40"/>
  <c r="O377" i="40"/>
  <c r="N377" i="40"/>
  <c r="Q376" i="40"/>
  <c r="P376" i="40"/>
  <c r="O376" i="40"/>
  <c r="N376" i="40"/>
  <c r="Q375" i="40"/>
  <c r="P375" i="40"/>
  <c r="O375" i="40"/>
  <c r="N375" i="40"/>
  <c r="Q374" i="40"/>
  <c r="P374" i="40"/>
  <c r="O374" i="40"/>
  <c r="N374" i="40"/>
  <c r="Q373" i="40"/>
  <c r="P373" i="40"/>
  <c r="O373" i="40"/>
  <c r="N373" i="40"/>
  <c r="Q372" i="40"/>
  <c r="P372" i="40"/>
  <c r="O372" i="40"/>
  <c r="N372" i="40"/>
  <c r="Q371" i="40"/>
  <c r="P371" i="40"/>
  <c r="O371" i="40"/>
  <c r="N371" i="40"/>
  <c r="Q370" i="40"/>
  <c r="P370" i="40"/>
  <c r="O370" i="40"/>
  <c r="N370" i="40"/>
  <c r="Q369" i="40"/>
  <c r="P369" i="40"/>
  <c r="O369" i="40"/>
  <c r="N369" i="40"/>
  <c r="Q368" i="40"/>
  <c r="P368" i="40"/>
  <c r="O368" i="40"/>
  <c r="N368" i="40"/>
  <c r="Q367" i="40"/>
  <c r="P367" i="40"/>
  <c r="O367" i="40"/>
  <c r="N367" i="40"/>
  <c r="Q366" i="40"/>
  <c r="P366" i="40"/>
  <c r="O366" i="40"/>
  <c r="N366" i="40"/>
  <c r="Q365" i="40"/>
  <c r="P365" i="40"/>
  <c r="O365" i="40"/>
  <c r="N365" i="40"/>
  <c r="Q364" i="40"/>
  <c r="P364" i="40"/>
  <c r="O364" i="40"/>
  <c r="N364" i="40"/>
  <c r="Q363" i="40"/>
  <c r="P363" i="40"/>
  <c r="O363" i="40"/>
  <c r="N363" i="40"/>
  <c r="Q362" i="40"/>
  <c r="P362" i="40"/>
  <c r="O362" i="40"/>
  <c r="N362" i="40"/>
  <c r="Q361" i="40"/>
  <c r="P361" i="40"/>
  <c r="O361" i="40"/>
  <c r="N361" i="40"/>
  <c r="Q360" i="40"/>
  <c r="P360" i="40"/>
  <c r="O360" i="40"/>
  <c r="N360" i="40"/>
  <c r="Q359" i="40"/>
  <c r="P359" i="40"/>
  <c r="O359" i="40"/>
  <c r="N359" i="40"/>
  <c r="Q358" i="40"/>
  <c r="P358" i="40"/>
  <c r="O358" i="40"/>
  <c r="N358" i="40"/>
  <c r="Q357" i="40"/>
  <c r="P357" i="40"/>
  <c r="O357" i="40"/>
  <c r="N357" i="40"/>
  <c r="Q356" i="40"/>
  <c r="P356" i="40"/>
  <c r="O356" i="40"/>
  <c r="N356" i="40"/>
  <c r="Q355" i="40"/>
  <c r="P355" i="40"/>
  <c r="O355" i="40"/>
  <c r="N355" i="40"/>
  <c r="Q354" i="40"/>
  <c r="P354" i="40"/>
  <c r="O354" i="40"/>
  <c r="N354" i="40"/>
  <c r="Q353" i="40"/>
  <c r="P353" i="40"/>
  <c r="O353" i="40"/>
  <c r="N353" i="40"/>
  <c r="Q352" i="40"/>
  <c r="P352" i="40"/>
  <c r="O352" i="40"/>
  <c r="N352" i="40"/>
  <c r="Q351" i="40"/>
  <c r="P351" i="40"/>
  <c r="O351" i="40"/>
  <c r="N351" i="40"/>
  <c r="Q350" i="40"/>
  <c r="P350" i="40"/>
  <c r="O350" i="40"/>
  <c r="N350" i="40"/>
  <c r="Q349" i="40"/>
  <c r="P349" i="40"/>
  <c r="O349" i="40"/>
  <c r="N349" i="40"/>
  <c r="Q348" i="40"/>
  <c r="P348" i="40"/>
  <c r="O348" i="40"/>
  <c r="N348" i="40"/>
  <c r="Q347" i="40"/>
  <c r="P347" i="40"/>
  <c r="O347" i="40"/>
  <c r="N347" i="40"/>
  <c r="Q346" i="40"/>
  <c r="P346" i="40"/>
  <c r="O346" i="40"/>
  <c r="N346" i="40"/>
  <c r="Q345" i="40"/>
  <c r="P345" i="40"/>
  <c r="O345" i="40"/>
  <c r="N345" i="40"/>
  <c r="Q344" i="40"/>
  <c r="P344" i="40"/>
  <c r="O344" i="40"/>
  <c r="N344" i="40"/>
  <c r="Q343" i="40"/>
  <c r="P343" i="40"/>
  <c r="O343" i="40"/>
  <c r="N343" i="40"/>
  <c r="Q342" i="40"/>
  <c r="P342" i="40"/>
  <c r="O342" i="40"/>
  <c r="N342" i="40"/>
  <c r="Q341" i="40"/>
  <c r="P341" i="40"/>
  <c r="O341" i="40"/>
  <c r="N341" i="40"/>
  <c r="Q340" i="40"/>
  <c r="P340" i="40"/>
  <c r="O340" i="40"/>
  <c r="N340" i="40"/>
  <c r="Q339" i="40"/>
  <c r="P339" i="40"/>
  <c r="O339" i="40"/>
  <c r="N339" i="40"/>
  <c r="Q338" i="40"/>
  <c r="P338" i="40"/>
  <c r="O338" i="40"/>
  <c r="N338" i="40"/>
  <c r="Q337" i="40"/>
  <c r="P337" i="40"/>
  <c r="O337" i="40"/>
  <c r="N337" i="40"/>
  <c r="Q336" i="40"/>
  <c r="P336" i="40"/>
  <c r="O336" i="40"/>
  <c r="N336" i="40"/>
  <c r="Q335" i="40"/>
  <c r="P335" i="40"/>
  <c r="O335" i="40"/>
  <c r="N335" i="40"/>
  <c r="Q334" i="40"/>
  <c r="P334" i="40"/>
  <c r="O334" i="40"/>
  <c r="N334" i="40"/>
  <c r="Q333" i="40"/>
  <c r="P333" i="40"/>
  <c r="O333" i="40"/>
  <c r="N333" i="40"/>
  <c r="Q332" i="40"/>
  <c r="P332" i="40"/>
  <c r="O332" i="40"/>
  <c r="N332" i="40"/>
  <c r="Q331" i="40"/>
  <c r="P331" i="40"/>
  <c r="O331" i="40"/>
  <c r="N331" i="40"/>
  <c r="Q330" i="40"/>
  <c r="P330" i="40"/>
  <c r="O330" i="40"/>
  <c r="N330" i="40"/>
  <c r="Q329" i="40"/>
  <c r="P329" i="40"/>
  <c r="O329" i="40"/>
  <c r="N329" i="40"/>
  <c r="Q328" i="40"/>
  <c r="P328" i="40"/>
  <c r="O328" i="40"/>
  <c r="N328" i="40"/>
  <c r="Q327" i="40"/>
  <c r="P327" i="40"/>
  <c r="O327" i="40"/>
  <c r="N327" i="40"/>
  <c r="Q326" i="40"/>
  <c r="P326" i="40"/>
  <c r="O326" i="40"/>
  <c r="N326" i="40"/>
  <c r="Q325" i="40"/>
  <c r="P325" i="40"/>
  <c r="O325" i="40"/>
  <c r="N325" i="40"/>
  <c r="Q324" i="40"/>
  <c r="P324" i="40"/>
  <c r="O324" i="40"/>
  <c r="N324" i="40"/>
  <c r="Q323" i="40"/>
  <c r="P323" i="40"/>
  <c r="O323" i="40"/>
  <c r="N323" i="40"/>
  <c r="Q322" i="40"/>
  <c r="P322" i="40"/>
  <c r="O322" i="40"/>
  <c r="N322" i="40"/>
  <c r="Q321" i="40"/>
  <c r="P321" i="40"/>
  <c r="O321" i="40"/>
  <c r="N321" i="40"/>
  <c r="Q320" i="40"/>
  <c r="P320" i="40"/>
  <c r="O320" i="40"/>
  <c r="N320" i="40"/>
  <c r="Q319" i="40"/>
  <c r="P319" i="40"/>
  <c r="O319" i="40"/>
  <c r="N319" i="40"/>
  <c r="Q318" i="40"/>
  <c r="P318" i="40"/>
  <c r="O318" i="40"/>
  <c r="N318" i="40"/>
  <c r="Q317" i="40"/>
  <c r="P317" i="40"/>
  <c r="O317" i="40"/>
  <c r="N317" i="40"/>
  <c r="Q316" i="40"/>
  <c r="P316" i="40"/>
  <c r="O316" i="40"/>
  <c r="N316" i="40"/>
  <c r="Q315" i="40"/>
  <c r="P315" i="40"/>
  <c r="O315" i="40"/>
  <c r="N315" i="40"/>
  <c r="Q314" i="40"/>
  <c r="P314" i="40"/>
  <c r="O314" i="40"/>
  <c r="N314" i="40"/>
  <c r="Q313" i="40"/>
  <c r="P313" i="40"/>
  <c r="O313" i="40"/>
  <c r="N313" i="40"/>
  <c r="Q312" i="40"/>
  <c r="P312" i="40"/>
  <c r="O312" i="40"/>
  <c r="N312" i="40"/>
  <c r="Q311" i="40"/>
  <c r="P311" i="40"/>
  <c r="O311" i="40"/>
  <c r="N311" i="40"/>
  <c r="Q310" i="40"/>
  <c r="P310" i="40"/>
  <c r="O310" i="40"/>
  <c r="N310" i="40"/>
  <c r="Q309" i="40"/>
  <c r="P309" i="40"/>
  <c r="O309" i="40"/>
  <c r="N309" i="40"/>
  <c r="Q308" i="40"/>
  <c r="P308" i="40"/>
  <c r="O308" i="40"/>
  <c r="N308" i="40"/>
  <c r="Q307" i="40"/>
  <c r="P307" i="40"/>
  <c r="O307" i="40"/>
  <c r="N307" i="40"/>
  <c r="Q306" i="40"/>
  <c r="P306" i="40"/>
  <c r="O306" i="40"/>
  <c r="N306" i="40"/>
  <c r="Q305" i="40"/>
  <c r="P305" i="40"/>
  <c r="O305" i="40"/>
  <c r="N305" i="40"/>
  <c r="Q304" i="40"/>
  <c r="P304" i="40"/>
  <c r="O304" i="40"/>
  <c r="N304" i="40"/>
  <c r="Q303" i="40"/>
  <c r="P303" i="40"/>
  <c r="O303" i="40"/>
  <c r="N303" i="40"/>
  <c r="Q302" i="40"/>
  <c r="P302" i="40"/>
  <c r="O302" i="40"/>
  <c r="N302" i="40"/>
  <c r="Q301" i="40"/>
  <c r="P301" i="40"/>
  <c r="O301" i="40"/>
  <c r="N301" i="40"/>
  <c r="Q300" i="40"/>
  <c r="P300" i="40"/>
  <c r="O300" i="40"/>
  <c r="N300" i="40"/>
  <c r="Q299" i="40"/>
  <c r="P299" i="40"/>
  <c r="O299" i="40"/>
  <c r="N299" i="40"/>
  <c r="Q298" i="40"/>
  <c r="P298" i="40"/>
  <c r="O298" i="40"/>
  <c r="N298" i="40"/>
  <c r="Q297" i="40"/>
  <c r="P297" i="40"/>
  <c r="O297" i="40"/>
  <c r="N297" i="40"/>
  <c r="Q296" i="40"/>
  <c r="P296" i="40"/>
  <c r="O296" i="40"/>
  <c r="N296" i="40"/>
  <c r="Q295" i="40"/>
  <c r="P295" i="40"/>
  <c r="O295" i="40"/>
  <c r="N295" i="40"/>
  <c r="Q294" i="40"/>
  <c r="P294" i="40"/>
  <c r="O294" i="40"/>
  <c r="N294" i="40"/>
  <c r="Q293" i="40"/>
  <c r="P293" i="40"/>
  <c r="O293" i="40"/>
  <c r="N293" i="40"/>
  <c r="Q292" i="40"/>
  <c r="P292" i="40"/>
  <c r="O292" i="40"/>
  <c r="N292" i="40"/>
  <c r="Q291" i="40"/>
  <c r="P291" i="40"/>
  <c r="O291" i="40"/>
  <c r="N291" i="40"/>
  <c r="Q290" i="40"/>
  <c r="P290" i="40"/>
  <c r="O290" i="40"/>
  <c r="N290" i="40"/>
  <c r="Q289" i="40"/>
  <c r="P289" i="40"/>
  <c r="O289" i="40"/>
  <c r="N289" i="40"/>
  <c r="Q288" i="40"/>
  <c r="P288" i="40"/>
  <c r="O288" i="40"/>
  <c r="N288" i="40"/>
  <c r="Q287" i="40"/>
  <c r="P287" i="40"/>
  <c r="O287" i="40"/>
  <c r="N287" i="40"/>
  <c r="Q286" i="40"/>
  <c r="P286" i="40"/>
  <c r="O286" i="40"/>
  <c r="N286" i="40"/>
  <c r="Q285" i="40"/>
  <c r="P285" i="40"/>
  <c r="O285" i="40"/>
  <c r="N285" i="40"/>
  <c r="Q284" i="40"/>
  <c r="P284" i="40"/>
  <c r="O284" i="40"/>
  <c r="N284" i="40"/>
  <c r="Q283" i="40"/>
  <c r="P283" i="40"/>
  <c r="O283" i="40"/>
  <c r="N283" i="40"/>
  <c r="Q282" i="40"/>
  <c r="P282" i="40"/>
  <c r="O282" i="40"/>
  <c r="N282" i="40"/>
  <c r="Q281" i="40"/>
  <c r="P281" i="40"/>
  <c r="O281" i="40"/>
  <c r="N281" i="40"/>
  <c r="Q280" i="40"/>
  <c r="P280" i="40"/>
  <c r="O280" i="40"/>
  <c r="N280" i="40"/>
  <c r="Q279" i="40"/>
  <c r="P279" i="40"/>
  <c r="O279" i="40"/>
  <c r="N279" i="40"/>
  <c r="Q278" i="40"/>
  <c r="P278" i="40"/>
  <c r="O278" i="40"/>
  <c r="N278" i="40"/>
  <c r="Q277" i="40"/>
  <c r="P277" i="40"/>
  <c r="O277" i="40"/>
  <c r="N277" i="40"/>
  <c r="Q276" i="40"/>
  <c r="P276" i="40"/>
  <c r="O276" i="40"/>
  <c r="N276" i="40"/>
  <c r="Q275" i="40"/>
  <c r="P275" i="40"/>
  <c r="O275" i="40"/>
  <c r="N275" i="40"/>
  <c r="Q274" i="40"/>
  <c r="P274" i="40"/>
  <c r="O274" i="40"/>
  <c r="N274" i="40"/>
  <c r="Q273" i="40"/>
  <c r="P273" i="40"/>
  <c r="O273" i="40"/>
  <c r="N273" i="40"/>
  <c r="Q272" i="40"/>
  <c r="P272" i="40"/>
  <c r="O272" i="40"/>
  <c r="N272" i="40"/>
  <c r="Q271" i="40"/>
  <c r="P271" i="40"/>
  <c r="O271" i="40"/>
  <c r="N271" i="40"/>
  <c r="Q270" i="40"/>
  <c r="P270" i="40"/>
  <c r="O270" i="40"/>
  <c r="N270" i="40"/>
  <c r="Q269" i="40"/>
  <c r="P269" i="40"/>
  <c r="O269" i="40"/>
  <c r="N269" i="40"/>
  <c r="Q268" i="40"/>
  <c r="P268" i="40"/>
  <c r="O268" i="40"/>
  <c r="N268" i="40"/>
  <c r="Q267" i="40"/>
  <c r="P267" i="40"/>
  <c r="O267" i="40"/>
  <c r="N267" i="40"/>
  <c r="Q266" i="40"/>
  <c r="P266" i="40"/>
  <c r="O266" i="40"/>
  <c r="N266" i="40"/>
  <c r="Q265" i="40"/>
  <c r="P265" i="40"/>
  <c r="O265" i="40"/>
  <c r="N265" i="40"/>
  <c r="Q264" i="40"/>
  <c r="P264" i="40"/>
  <c r="O264" i="40"/>
  <c r="N264" i="40"/>
  <c r="Q263" i="40"/>
  <c r="P263" i="40"/>
  <c r="O263" i="40"/>
  <c r="N263" i="40"/>
  <c r="Q262" i="40"/>
  <c r="P262" i="40"/>
  <c r="O262" i="40"/>
  <c r="N262" i="40"/>
  <c r="Q261" i="40"/>
  <c r="P261" i="40"/>
  <c r="O261" i="40"/>
  <c r="N261" i="40"/>
  <c r="Q260" i="40"/>
  <c r="P260" i="40"/>
  <c r="O260" i="40"/>
  <c r="N260" i="40"/>
  <c r="Q259" i="40"/>
  <c r="P259" i="40"/>
  <c r="O259" i="40"/>
  <c r="N259" i="40"/>
  <c r="Q258" i="40"/>
  <c r="P258" i="40"/>
  <c r="O258" i="40"/>
  <c r="N258" i="40"/>
  <c r="Q257" i="40"/>
  <c r="P257" i="40"/>
  <c r="O257" i="40"/>
  <c r="N257" i="40"/>
  <c r="Q256" i="40"/>
  <c r="P256" i="40"/>
  <c r="O256" i="40"/>
  <c r="N256" i="40"/>
  <c r="Q255" i="40"/>
  <c r="P255" i="40"/>
  <c r="O255" i="40"/>
  <c r="N255" i="40"/>
  <c r="Q254" i="40"/>
  <c r="P254" i="40"/>
  <c r="O254" i="40"/>
  <c r="N254" i="40"/>
  <c r="Q253" i="40"/>
  <c r="P253" i="40"/>
  <c r="O253" i="40"/>
  <c r="N253" i="40"/>
  <c r="Q252" i="40"/>
  <c r="P252" i="40"/>
  <c r="O252" i="40"/>
  <c r="N252" i="40"/>
  <c r="Q251" i="40"/>
  <c r="P251" i="40"/>
  <c r="O251" i="40"/>
  <c r="N251" i="40"/>
  <c r="Q250" i="40"/>
  <c r="P250" i="40"/>
  <c r="O250" i="40"/>
  <c r="N250" i="40"/>
  <c r="Q249" i="40"/>
  <c r="P249" i="40"/>
  <c r="O249" i="40"/>
  <c r="N249" i="40"/>
  <c r="Q248" i="40"/>
  <c r="P248" i="40"/>
  <c r="O248" i="40"/>
  <c r="N248" i="40"/>
  <c r="Q247" i="40"/>
  <c r="P247" i="40"/>
  <c r="O247" i="40"/>
  <c r="N247" i="40"/>
  <c r="Q246" i="40"/>
  <c r="P246" i="40"/>
  <c r="O246" i="40"/>
  <c r="N246" i="40"/>
  <c r="Q245" i="40"/>
  <c r="P245" i="40"/>
  <c r="O245" i="40"/>
  <c r="N245" i="40"/>
  <c r="Q244" i="40"/>
  <c r="P244" i="40"/>
  <c r="O244" i="40"/>
  <c r="N244" i="40"/>
  <c r="Q243" i="40"/>
  <c r="P243" i="40"/>
  <c r="O243" i="40"/>
  <c r="N243" i="40"/>
  <c r="Q242" i="40"/>
  <c r="P242" i="40"/>
  <c r="O242" i="40"/>
  <c r="N242" i="40"/>
  <c r="Q241" i="40"/>
  <c r="P241" i="40"/>
  <c r="O241" i="40"/>
  <c r="N241" i="40"/>
  <c r="Q240" i="40"/>
  <c r="P240" i="40"/>
  <c r="O240" i="40"/>
  <c r="N240" i="40"/>
  <c r="Q239" i="40"/>
  <c r="P239" i="40"/>
  <c r="O239" i="40"/>
  <c r="N239" i="40"/>
  <c r="Q238" i="40"/>
  <c r="P238" i="40"/>
  <c r="O238" i="40"/>
  <c r="N238" i="40"/>
  <c r="Q237" i="40"/>
  <c r="P237" i="40"/>
  <c r="O237" i="40"/>
  <c r="N237" i="40"/>
  <c r="Q236" i="40"/>
  <c r="P236" i="40"/>
  <c r="O236" i="40"/>
  <c r="N236" i="40"/>
  <c r="Q235" i="40"/>
  <c r="P235" i="40"/>
  <c r="O235" i="40"/>
  <c r="N235" i="40"/>
  <c r="Q234" i="40"/>
  <c r="P234" i="40"/>
  <c r="O234" i="40"/>
  <c r="N234" i="40"/>
  <c r="Q233" i="40"/>
  <c r="P233" i="40"/>
  <c r="O233" i="40"/>
  <c r="N233" i="40"/>
  <c r="Q232" i="40"/>
  <c r="P232" i="40"/>
  <c r="O232" i="40"/>
  <c r="N232" i="40"/>
  <c r="Q231" i="40"/>
  <c r="P231" i="40"/>
  <c r="O231" i="40"/>
  <c r="N231" i="40"/>
  <c r="Q230" i="40"/>
  <c r="P230" i="40"/>
  <c r="O230" i="40"/>
  <c r="N230" i="40"/>
  <c r="Q229" i="40"/>
  <c r="P229" i="40"/>
  <c r="O229" i="40"/>
  <c r="N229" i="40"/>
  <c r="Q228" i="40"/>
  <c r="P228" i="40"/>
  <c r="O228" i="40"/>
  <c r="N228" i="40"/>
  <c r="Q227" i="40"/>
  <c r="P227" i="40"/>
  <c r="O227" i="40"/>
  <c r="N227" i="40"/>
  <c r="Q226" i="40"/>
  <c r="P226" i="40"/>
  <c r="O226" i="40"/>
  <c r="N226" i="40"/>
  <c r="Q225" i="40"/>
  <c r="P225" i="40"/>
  <c r="O225" i="40"/>
  <c r="N225" i="40"/>
  <c r="Q224" i="40"/>
  <c r="P224" i="40"/>
  <c r="O224" i="40"/>
  <c r="N224" i="40"/>
  <c r="Q223" i="40"/>
  <c r="P223" i="40"/>
  <c r="O223" i="40"/>
  <c r="N223" i="40"/>
  <c r="Q222" i="40"/>
  <c r="P222" i="40"/>
  <c r="O222" i="40"/>
  <c r="N222" i="40"/>
  <c r="Q221" i="40"/>
  <c r="P221" i="40"/>
  <c r="O221" i="40"/>
  <c r="N221" i="40"/>
  <c r="Q220" i="40"/>
  <c r="P220" i="40"/>
  <c r="O220" i="40"/>
  <c r="N220" i="40"/>
  <c r="Q219" i="40"/>
  <c r="P219" i="40"/>
  <c r="O219" i="40"/>
  <c r="N219" i="40"/>
  <c r="Q218" i="40"/>
  <c r="P218" i="40"/>
  <c r="O218" i="40"/>
  <c r="N218" i="40"/>
  <c r="Q217" i="40"/>
  <c r="P217" i="40"/>
  <c r="O217" i="40"/>
  <c r="N217" i="40"/>
  <c r="Q216" i="40"/>
  <c r="P216" i="40"/>
  <c r="O216" i="40"/>
  <c r="N216" i="40"/>
  <c r="Q215" i="40"/>
  <c r="P215" i="40"/>
  <c r="O215" i="40"/>
  <c r="N215" i="40"/>
  <c r="Q214" i="40"/>
  <c r="P214" i="40"/>
  <c r="O214" i="40"/>
  <c r="N214" i="40"/>
  <c r="Q213" i="40"/>
  <c r="P213" i="40"/>
  <c r="O213" i="40"/>
  <c r="N213" i="40"/>
  <c r="Q212" i="40"/>
  <c r="P212" i="40"/>
  <c r="O212" i="40"/>
  <c r="N212" i="40"/>
  <c r="Q211" i="40"/>
  <c r="P211" i="40"/>
  <c r="O211" i="40"/>
  <c r="N211" i="40"/>
  <c r="Q210" i="40"/>
  <c r="P210" i="40"/>
  <c r="O210" i="40"/>
  <c r="N210" i="40"/>
  <c r="Q209" i="40"/>
  <c r="P209" i="40"/>
  <c r="O209" i="40"/>
  <c r="N209" i="40"/>
  <c r="Q208" i="40"/>
  <c r="P208" i="40"/>
  <c r="O208" i="40"/>
  <c r="N208" i="40"/>
  <c r="Q207" i="40"/>
  <c r="P207" i="40"/>
  <c r="O207" i="40"/>
  <c r="N207" i="40"/>
  <c r="Q206" i="40"/>
  <c r="P206" i="40"/>
  <c r="O206" i="40"/>
  <c r="N206" i="40"/>
  <c r="Q205" i="40"/>
  <c r="P205" i="40"/>
  <c r="O205" i="40"/>
  <c r="N205" i="40"/>
  <c r="Q204" i="40"/>
  <c r="P204" i="40"/>
  <c r="O204" i="40"/>
  <c r="N204" i="40"/>
  <c r="Q203" i="40"/>
  <c r="P203" i="40"/>
  <c r="O203" i="40"/>
  <c r="N203" i="40"/>
  <c r="Q202" i="40"/>
  <c r="P202" i="40"/>
  <c r="O202" i="40"/>
  <c r="N202" i="40"/>
  <c r="Q201" i="40"/>
  <c r="P201" i="40"/>
  <c r="O201" i="40"/>
  <c r="N201" i="40"/>
  <c r="Q200" i="40"/>
  <c r="P200" i="40"/>
  <c r="O200" i="40"/>
  <c r="N200" i="40"/>
  <c r="Q199" i="40"/>
  <c r="P199" i="40"/>
  <c r="O199" i="40"/>
  <c r="N199" i="40"/>
  <c r="Q198" i="40"/>
  <c r="P198" i="40"/>
  <c r="O198" i="40"/>
  <c r="N198" i="40"/>
  <c r="Q197" i="40"/>
  <c r="P197" i="40"/>
  <c r="O197" i="40"/>
  <c r="N197" i="40"/>
  <c r="Q196" i="40"/>
  <c r="P196" i="40"/>
  <c r="O196" i="40"/>
  <c r="N196" i="40"/>
  <c r="Q195" i="40"/>
  <c r="P195" i="40"/>
  <c r="O195" i="40"/>
  <c r="N195" i="40"/>
  <c r="Q194" i="40"/>
  <c r="P194" i="40"/>
  <c r="O194" i="40"/>
  <c r="N194" i="40"/>
  <c r="Q193" i="40"/>
  <c r="P193" i="40"/>
  <c r="O193" i="40"/>
  <c r="N193" i="40"/>
  <c r="Q192" i="40"/>
  <c r="P192" i="40"/>
  <c r="O192" i="40"/>
  <c r="N192" i="40"/>
  <c r="Q191" i="40"/>
  <c r="P191" i="40"/>
  <c r="O191" i="40"/>
  <c r="N191" i="40"/>
  <c r="Q190" i="40"/>
  <c r="P190" i="40"/>
  <c r="O190" i="40"/>
  <c r="N190" i="40"/>
  <c r="Q189" i="40"/>
  <c r="P189" i="40"/>
  <c r="O189" i="40"/>
  <c r="N189" i="40"/>
  <c r="Q188" i="40"/>
  <c r="P188" i="40"/>
  <c r="O188" i="40"/>
  <c r="N188" i="40"/>
  <c r="Q187" i="40"/>
  <c r="P187" i="40"/>
  <c r="O187" i="40"/>
  <c r="N187" i="40"/>
  <c r="Q186" i="40"/>
  <c r="P186" i="40"/>
  <c r="O186" i="40"/>
  <c r="N186" i="40"/>
  <c r="Q185" i="40"/>
  <c r="P185" i="40"/>
  <c r="O185" i="40"/>
  <c r="N185" i="40"/>
  <c r="Q184" i="40"/>
  <c r="P184" i="40"/>
  <c r="O184" i="40"/>
  <c r="N184" i="40"/>
  <c r="Q183" i="40"/>
  <c r="P183" i="40"/>
  <c r="O183" i="40"/>
  <c r="N183" i="40"/>
  <c r="Q182" i="40"/>
  <c r="P182" i="40"/>
  <c r="O182" i="40"/>
  <c r="N182" i="40"/>
  <c r="Q181" i="40"/>
  <c r="P181" i="40"/>
  <c r="O181" i="40"/>
  <c r="N181" i="40"/>
  <c r="Q180" i="40"/>
  <c r="P180" i="40"/>
  <c r="O180" i="40"/>
  <c r="N180" i="40"/>
  <c r="Q179" i="40"/>
  <c r="P179" i="40"/>
  <c r="O179" i="40"/>
  <c r="N179" i="40"/>
  <c r="Q178" i="40"/>
  <c r="P178" i="40"/>
  <c r="O178" i="40"/>
  <c r="N178" i="40"/>
  <c r="Q177" i="40"/>
  <c r="P177" i="40"/>
  <c r="O177" i="40"/>
  <c r="N177" i="40"/>
  <c r="Q176" i="40"/>
  <c r="P176" i="40"/>
  <c r="O176" i="40"/>
  <c r="N176" i="40"/>
  <c r="Q175" i="40"/>
  <c r="P175" i="40"/>
  <c r="O175" i="40"/>
  <c r="N175" i="40"/>
  <c r="Q174" i="40"/>
  <c r="P174" i="40"/>
  <c r="O174" i="40"/>
  <c r="N174" i="40"/>
  <c r="Q173" i="40"/>
  <c r="P173" i="40"/>
  <c r="O173" i="40"/>
  <c r="N173" i="40"/>
  <c r="Q172" i="40"/>
  <c r="P172" i="40"/>
  <c r="O172" i="40"/>
  <c r="N172" i="40"/>
  <c r="Q171" i="40"/>
  <c r="P171" i="40"/>
  <c r="O171" i="40"/>
  <c r="N171" i="40"/>
  <c r="Q170" i="40"/>
  <c r="P170" i="40"/>
  <c r="O170" i="40"/>
  <c r="N170" i="40"/>
  <c r="Q169" i="40"/>
  <c r="P169" i="40"/>
  <c r="O169" i="40"/>
  <c r="N169" i="40"/>
  <c r="Q168" i="40"/>
  <c r="P168" i="40"/>
  <c r="O168" i="40"/>
  <c r="N168" i="40"/>
  <c r="Q167" i="40"/>
  <c r="P167" i="40"/>
  <c r="O167" i="40"/>
  <c r="N167" i="40"/>
  <c r="Q166" i="40"/>
  <c r="P166" i="40"/>
  <c r="O166" i="40"/>
  <c r="N166" i="40"/>
  <c r="Q165" i="40"/>
  <c r="P165" i="40"/>
  <c r="O165" i="40"/>
  <c r="N165" i="40"/>
  <c r="Q164" i="40"/>
  <c r="P164" i="40"/>
  <c r="O164" i="40"/>
  <c r="N164" i="40"/>
  <c r="Q163" i="40"/>
  <c r="P163" i="40"/>
  <c r="O163" i="40"/>
  <c r="N163" i="40"/>
  <c r="Q162" i="40"/>
  <c r="P162" i="40"/>
  <c r="O162" i="40"/>
  <c r="N162" i="40"/>
  <c r="Q161" i="40"/>
  <c r="P161" i="40"/>
  <c r="O161" i="40"/>
  <c r="N161" i="40"/>
  <c r="Q160" i="40"/>
  <c r="P160" i="40"/>
  <c r="O160" i="40"/>
  <c r="N160" i="40"/>
  <c r="Q159" i="40"/>
  <c r="P159" i="40"/>
  <c r="O159" i="40"/>
  <c r="N159" i="40"/>
  <c r="Q158" i="40"/>
  <c r="P158" i="40"/>
  <c r="O158" i="40"/>
  <c r="N158" i="40"/>
  <c r="Q157" i="40"/>
  <c r="P157" i="40"/>
  <c r="O157" i="40"/>
  <c r="N157" i="40"/>
  <c r="Q156" i="40"/>
  <c r="P156" i="40"/>
  <c r="O156" i="40"/>
  <c r="N156" i="40"/>
  <c r="Q155" i="40"/>
  <c r="P155" i="40"/>
  <c r="O155" i="40"/>
  <c r="N155" i="40"/>
  <c r="Q154" i="40"/>
  <c r="P154" i="40"/>
  <c r="O154" i="40"/>
  <c r="N154" i="40"/>
  <c r="Q153" i="40"/>
  <c r="P153" i="40"/>
  <c r="O153" i="40"/>
  <c r="N153" i="40"/>
  <c r="Q152" i="40"/>
  <c r="P152" i="40"/>
  <c r="O152" i="40"/>
  <c r="N152" i="40"/>
  <c r="Q151" i="40"/>
  <c r="P151" i="40"/>
  <c r="O151" i="40"/>
  <c r="N151" i="40"/>
  <c r="Q150" i="40"/>
  <c r="P150" i="40"/>
  <c r="O150" i="40"/>
  <c r="N150" i="40"/>
  <c r="Q149" i="40"/>
  <c r="P149" i="40"/>
  <c r="O149" i="40"/>
  <c r="N149" i="40"/>
  <c r="Q148" i="40"/>
  <c r="P148" i="40"/>
  <c r="O148" i="40"/>
  <c r="N148" i="40"/>
  <c r="Q147" i="40"/>
  <c r="P147" i="40"/>
  <c r="O147" i="40"/>
  <c r="N147" i="40"/>
  <c r="Q146" i="40"/>
  <c r="P146" i="40"/>
  <c r="O146" i="40"/>
  <c r="N146" i="40"/>
  <c r="Q145" i="40"/>
  <c r="P145" i="40"/>
  <c r="O145" i="40"/>
  <c r="N145" i="40"/>
  <c r="Q144" i="40"/>
  <c r="P144" i="40"/>
  <c r="O144" i="40"/>
  <c r="N144" i="40"/>
  <c r="Q143" i="40"/>
  <c r="P143" i="40"/>
  <c r="O143" i="40"/>
  <c r="N143" i="40"/>
  <c r="Q142" i="40"/>
  <c r="P142" i="40"/>
  <c r="O142" i="40"/>
  <c r="N142" i="40"/>
  <c r="Q141" i="40"/>
  <c r="P141" i="40"/>
  <c r="O141" i="40"/>
  <c r="N141" i="40"/>
  <c r="Q140" i="40"/>
  <c r="P140" i="40"/>
  <c r="O140" i="40"/>
  <c r="N140" i="40"/>
  <c r="Q139" i="40"/>
  <c r="P139" i="40"/>
  <c r="O139" i="40"/>
  <c r="N139" i="40"/>
  <c r="Q138" i="40"/>
  <c r="P138" i="40"/>
  <c r="O138" i="40"/>
  <c r="N138" i="40"/>
  <c r="Q137" i="40"/>
  <c r="P137" i="40"/>
  <c r="O137" i="40"/>
  <c r="N137" i="40"/>
  <c r="Q136" i="40"/>
  <c r="P136" i="40"/>
  <c r="O136" i="40"/>
  <c r="N136" i="40"/>
  <c r="Q135" i="40"/>
  <c r="P135" i="40"/>
  <c r="O135" i="40"/>
  <c r="N135" i="40"/>
  <c r="Q134" i="40"/>
  <c r="P134" i="40"/>
  <c r="O134" i="40"/>
  <c r="N134" i="40"/>
  <c r="Q133" i="40"/>
  <c r="P133" i="40"/>
  <c r="O133" i="40"/>
  <c r="N133" i="40"/>
  <c r="Q132" i="40"/>
  <c r="P132" i="40"/>
  <c r="O132" i="40"/>
  <c r="N132" i="40"/>
  <c r="Q131" i="40"/>
  <c r="P131" i="40"/>
  <c r="O131" i="40"/>
  <c r="N131" i="40"/>
  <c r="Q130" i="40"/>
  <c r="P130" i="40"/>
  <c r="O130" i="40"/>
  <c r="N130" i="40"/>
  <c r="Q129" i="40"/>
  <c r="P129" i="40"/>
  <c r="O129" i="40"/>
  <c r="N129" i="40"/>
  <c r="Q128" i="40"/>
  <c r="P128" i="40"/>
  <c r="O128" i="40"/>
  <c r="N128" i="40"/>
  <c r="Q127" i="40"/>
  <c r="P127" i="40"/>
  <c r="O127" i="40"/>
  <c r="N127" i="40"/>
  <c r="Q126" i="40"/>
  <c r="P126" i="40"/>
  <c r="O126" i="40"/>
  <c r="N126" i="40"/>
  <c r="Q125" i="40"/>
  <c r="P125" i="40"/>
  <c r="O125" i="40"/>
  <c r="N125" i="40"/>
  <c r="Q124" i="40"/>
  <c r="P124" i="40"/>
  <c r="O124" i="40"/>
  <c r="N124" i="40"/>
  <c r="Q123" i="40"/>
  <c r="P123" i="40"/>
  <c r="O123" i="40"/>
  <c r="N123" i="40"/>
  <c r="Q122" i="40"/>
  <c r="P122" i="40"/>
  <c r="O122" i="40"/>
  <c r="N122" i="40"/>
  <c r="Q121" i="40"/>
  <c r="P121" i="40"/>
  <c r="O121" i="40"/>
  <c r="N121" i="40"/>
  <c r="Q120" i="40"/>
  <c r="P120" i="40"/>
  <c r="O120" i="40"/>
  <c r="N120" i="40"/>
  <c r="Q119" i="40"/>
  <c r="P119" i="40"/>
  <c r="O119" i="40"/>
  <c r="N119" i="40"/>
  <c r="Q118" i="40"/>
  <c r="P118" i="40"/>
  <c r="O118" i="40"/>
  <c r="N118" i="40"/>
  <c r="Q117" i="40"/>
  <c r="P117" i="40"/>
  <c r="O117" i="40"/>
  <c r="N117" i="40"/>
  <c r="Q116" i="40"/>
  <c r="P116" i="40"/>
  <c r="O116" i="40"/>
  <c r="N116" i="40"/>
  <c r="Q115" i="40"/>
  <c r="P115" i="40"/>
  <c r="O115" i="40"/>
  <c r="N115" i="40"/>
  <c r="Q114" i="40"/>
  <c r="P114" i="40"/>
  <c r="O114" i="40"/>
  <c r="N114" i="40"/>
  <c r="Q113" i="40"/>
  <c r="P113" i="40"/>
  <c r="O113" i="40"/>
  <c r="N113" i="40"/>
  <c r="Q112" i="40"/>
  <c r="P112" i="40"/>
  <c r="O112" i="40"/>
  <c r="N112" i="40"/>
  <c r="Q111" i="40"/>
  <c r="P111" i="40"/>
  <c r="O111" i="40"/>
  <c r="N111" i="40"/>
  <c r="Q110" i="40"/>
  <c r="P110" i="40"/>
  <c r="O110" i="40"/>
  <c r="N110" i="40"/>
  <c r="Q109" i="40"/>
  <c r="P109" i="40"/>
  <c r="O109" i="40"/>
  <c r="N109" i="40"/>
  <c r="Q108" i="40"/>
  <c r="P108" i="40"/>
  <c r="O108" i="40"/>
  <c r="N108" i="40"/>
  <c r="Q107" i="40"/>
  <c r="P107" i="40"/>
  <c r="O107" i="40"/>
  <c r="N107" i="40"/>
  <c r="Q106" i="40"/>
  <c r="P106" i="40"/>
  <c r="O106" i="40"/>
  <c r="N106" i="40"/>
  <c r="Q105" i="40"/>
  <c r="P105" i="40"/>
  <c r="O105" i="40"/>
  <c r="N105" i="40"/>
  <c r="Q104" i="40"/>
  <c r="P104" i="40"/>
  <c r="O104" i="40"/>
  <c r="N104" i="40"/>
  <c r="Q103" i="40"/>
  <c r="P103" i="40"/>
  <c r="O103" i="40"/>
  <c r="N103" i="40"/>
  <c r="Q102" i="40"/>
  <c r="P102" i="40"/>
  <c r="O102" i="40"/>
  <c r="N102" i="40"/>
  <c r="Q101" i="40"/>
  <c r="P101" i="40"/>
  <c r="O101" i="40"/>
  <c r="N101" i="40"/>
  <c r="Q100" i="40"/>
  <c r="P100" i="40"/>
  <c r="O100" i="40"/>
  <c r="N100" i="40"/>
  <c r="Q99" i="40"/>
  <c r="P99" i="40"/>
  <c r="O99" i="40"/>
  <c r="N99" i="40"/>
  <c r="Q98" i="40"/>
  <c r="P98" i="40"/>
  <c r="O98" i="40"/>
  <c r="N98" i="40"/>
  <c r="Q97" i="40"/>
  <c r="P97" i="40"/>
  <c r="O97" i="40"/>
  <c r="N97" i="40"/>
  <c r="Q96" i="40"/>
  <c r="P96" i="40"/>
  <c r="O96" i="40"/>
  <c r="N96" i="40"/>
  <c r="Q95" i="40"/>
  <c r="P95" i="40"/>
  <c r="O95" i="40"/>
  <c r="N95" i="40"/>
  <c r="Q94" i="40"/>
  <c r="P94" i="40"/>
  <c r="O94" i="40"/>
  <c r="N94" i="40"/>
  <c r="Q93" i="40"/>
  <c r="P93" i="40"/>
  <c r="O93" i="40"/>
  <c r="N93" i="40"/>
  <c r="Q92" i="40"/>
  <c r="P92" i="40"/>
  <c r="O92" i="40"/>
  <c r="N92" i="40"/>
  <c r="Q91" i="40"/>
  <c r="P91" i="40"/>
  <c r="O91" i="40"/>
  <c r="N91" i="40"/>
  <c r="Q90" i="40"/>
  <c r="P90" i="40"/>
  <c r="O90" i="40"/>
  <c r="N90" i="40"/>
  <c r="Q89" i="40"/>
  <c r="P89" i="40"/>
  <c r="O89" i="40"/>
  <c r="N89" i="40"/>
  <c r="Q88" i="40"/>
  <c r="P88" i="40"/>
  <c r="O88" i="40"/>
  <c r="N88" i="40"/>
  <c r="Q87" i="40"/>
  <c r="P87" i="40"/>
  <c r="O87" i="40"/>
  <c r="N87" i="40"/>
  <c r="Q86" i="40"/>
  <c r="P86" i="40"/>
  <c r="O86" i="40"/>
  <c r="N86" i="40"/>
  <c r="Q85" i="40"/>
  <c r="P85" i="40"/>
  <c r="O85" i="40"/>
  <c r="N85" i="40"/>
  <c r="Q84" i="40"/>
  <c r="P84" i="40"/>
  <c r="O84" i="40"/>
  <c r="N84" i="40"/>
  <c r="Q83" i="40"/>
  <c r="P83" i="40"/>
  <c r="O83" i="40"/>
  <c r="N83" i="40"/>
  <c r="Q82" i="40"/>
  <c r="P82" i="40"/>
  <c r="O82" i="40"/>
  <c r="N82" i="40"/>
  <c r="Q81" i="40"/>
  <c r="P81" i="40"/>
  <c r="O81" i="40"/>
  <c r="N81" i="40"/>
  <c r="Q80" i="40"/>
  <c r="P80" i="40"/>
  <c r="O80" i="40"/>
  <c r="N80" i="40"/>
  <c r="Q79" i="40"/>
  <c r="P79" i="40"/>
  <c r="O79" i="40"/>
  <c r="N79" i="40"/>
  <c r="Q78" i="40"/>
  <c r="P78" i="40"/>
  <c r="O78" i="40"/>
  <c r="N78" i="40"/>
  <c r="Q77" i="40"/>
  <c r="P77" i="40"/>
  <c r="O77" i="40"/>
  <c r="N77" i="40"/>
  <c r="Q76" i="40"/>
  <c r="P76" i="40"/>
  <c r="O76" i="40"/>
  <c r="N76" i="40"/>
  <c r="Q75" i="40"/>
  <c r="P75" i="40"/>
  <c r="O75" i="40"/>
  <c r="N75" i="40"/>
  <c r="Q74" i="40"/>
  <c r="P74" i="40"/>
  <c r="O74" i="40"/>
  <c r="N74" i="40"/>
  <c r="Q73" i="40"/>
  <c r="P73" i="40"/>
  <c r="O73" i="40"/>
  <c r="N73" i="40"/>
  <c r="Q72" i="40"/>
  <c r="P72" i="40"/>
  <c r="O72" i="40"/>
  <c r="N72" i="40"/>
  <c r="Q71" i="40"/>
  <c r="P71" i="40"/>
  <c r="O71" i="40"/>
  <c r="N71" i="40"/>
  <c r="Q70" i="40"/>
  <c r="P70" i="40"/>
  <c r="O70" i="40"/>
  <c r="N70" i="40"/>
  <c r="Q69" i="40"/>
  <c r="P69" i="40"/>
  <c r="O69" i="40"/>
  <c r="N69" i="40"/>
  <c r="Q68" i="40"/>
  <c r="P68" i="40"/>
  <c r="O68" i="40"/>
  <c r="N68" i="40"/>
  <c r="Q67" i="40"/>
  <c r="P67" i="40"/>
  <c r="O67" i="40"/>
  <c r="N67" i="40"/>
  <c r="Q66" i="40"/>
  <c r="P66" i="40"/>
  <c r="O66" i="40"/>
  <c r="N66" i="40"/>
  <c r="Q65" i="40"/>
  <c r="P65" i="40"/>
  <c r="O65" i="40"/>
  <c r="N65" i="40"/>
  <c r="Q64" i="40"/>
  <c r="P64" i="40"/>
  <c r="O64" i="40"/>
  <c r="N64" i="40"/>
  <c r="Q63" i="40"/>
  <c r="P63" i="40"/>
  <c r="O63" i="40"/>
  <c r="N63" i="40"/>
  <c r="Q62" i="40"/>
  <c r="P62" i="40"/>
  <c r="O62" i="40"/>
  <c r="N62" i="40"/>
  <c r="Q61" i="40"/>
  <c r="P61" i="40"/>
  <c r="O61" i="40"/>
  <c r="N61" i="40"/>
  <c r="Q60" i="40"/>
  <c r="P60" i="40"/>
  <c r="O60" i="40"/>
  <c r="N60" i="40"/>
  <c r="Q59" i="40"/>
  <c r="P59" i="40"/>
  <c r="O59" i="40"/>
  <c r="N59" i="40"/>
  <c r="Q58" i="40"/>
  <c r="P58" i="40"/>
  <c r="O58" i="40"/>
  <c r="N58" i="40"/>
  <c r="Q57" i="40"/>
  <c r="P57" i="40"/>
  <c r="O57" i="40"/>
  <c r="N57" i="40"/>
  <c r="Q56" i="40"/>
  <c r="P56" i="40"/>
  <c r="O56" i="40"/>
  <c r="N56" i="40"/>
  <c r="Q55" i="40"/>
  <c r="P55" i="40"/>
  <c r="O55" i="40"/>
  <c r="N55" i="40"/>
  <c r="Q54" i="40"/>
  <c r="P54" i="40"/>
  <c r="O54" i="40"/>
  <c r="N54" i="40"/>
  <c r="Q53" i="40"/>
  <c r="P53" i="40"/>
  <c r="O53" i="40"/>
  <c r="N53" i="40"/>
  <c r="Q52" i="40"/>
  <c r="P52" i="40"/>
  <c r="O52" i="40"/>
  <c r="N52" i="40"/>
  <c r="Q51" i="40"/>
  <c r="P51" i="40"/>
  <c r="O51" i="40"/>
  <c r="N51" i="40"/>
  <c r="Q50" i="40"/>
  <c r="P50" i="40"/>
  <c r="O50" i="40"/>
  <c r="N50" i="40"/>
  <c r="Q49" i="40"/>
  <c r="P49" i="40"/>
  <c r="O49" i="40"/>
  <c r="N49" i="40"/>
  <c r="Q48" i="40"/>
  <c r="P48" i="40"/>
  <c r="O48" i="40"/>
  <c r="N48" i="40"/>
  <c r="Q47" i="40"/>
  <c r="P47" i="40"/>
  <c r="O47" i="40"/>
  <c r="N47" i="40"/>
  <c r="Q46" i="40"/>
  <c r="P46" i="40"/>
  <c r="O46" i="40"/>
  <c r="N46" i="40"/>
  <c r="Q45" i="40"/>
  <c r="P45" i="40"/>
  <c r="O45" i="40"/>
  <c r="N45" i="40"/>
  <c r="Q44" i="40"/>
  <c r="P44" i="40"/>
  <c r="O44" i="40"/>
  <c r="N44" i="40"/>
  <c r="Q43" i="40"/>
  <c r="P43" i="40"/>
  <c r="O43" i="40"/>
  <c r="N43" i="40"/>
  <c r="Q42" i="40"/>
  <c r="P42" i="40"/>
  <c r="O42" i="40"/>
  <c r="N42" i="40"/>
  <c r="Q41" i="40"/>
  <c r="P41" i="40"/>
  <c r="O41" i="40"/>
  <c r="N41" i="40"/>
  <c r="Q40" i="40"/>
  <c r="P40" i="40"/>
  <c r="O40" i="40"/>
  <c r="N40" i="40"/>
  <c r="Q39" i="40"/>
  <c r="P39" i="40"/>
  <c r="O39" i="40"/>
  <c r="N39" i="40"/>
  <c r="Q38" i="40"/>
  <c r="P38" i="40"/>
  <c r="O38" i="40"/>
  <c r="N38" i="40"/>
  <c r="Q37" i="40"/>
  <c r="P37" i="40"/>
  <c r="O37" i="40"/>
  <c r="N37" i="40"/>
  <c r="Q36" i="40"/>
  <c r="P36" i="40"/>
  <c r="O36" i="40"/>
  <c r="N36" i="40"/>
  <c r="Q35" i="40"/>
  <c r="P35" i="40"/>
  <c r="O35" i="40"/>
  <c r="N35" i="40"/>
  <c r="Q34" i="40"/>
  <c r="P34" i="40"/>
  <c r="O34" i="40"/>
  <c r="N34" i="40"/>
  <c r="Q33" i="40"/>
  <c r="P33" i="40"/>
  <c r="O33" i="40"/>
  <c r="N33" i="40"/>
  <c r="Q32" i="40"/>
  <c r="P32" i="40"/>
  <c r="O32" i="40"/>
  <c r="N32" i="40"/>
  <c r="Q31" i="40"/>
  <c r="P31" i="40"/>
  <c r="O31" i="40"/>
  <c r="N31" i="40"/>
  <c r="Q30" i="40"/>
  <c r="P30" i="40"/>
  <c r="O30" i="40"/>
  <c r="N30" i="40"/>
  <c r="Q29" i="40"/>
  <c r="P29" i="40"/>
  <c r="O29" i="40"/>
  <c r="N29" i="40"/>
  <c r="Q28" i="40"/>
  <c r="P28" i="40"/>
  <c r="O28" i="40"/>
  <c r="N28" i="40"/>
  <c r="Q27" i="40"/>
  <c r="P27" i="40"/>
  <c r="O27" i="40"/>
  <c r="N27" i="40"/>
  <c r="Q26" i="40"/>
  <c r="P26" i="40"/>
  <c r="O26" i="40"/>
  <c r="N26" i="40"/>
  <c r="Q25" i="40"/>
  <c r="P25" i="40"/>
  <c r="O25" i="40"/>
  <c r="N25" i="40"/>
  <c r="Q24" i="40"/>
  <c r="P24" i="40"/>
  <c r="O24" i="40"/>
  <c r="N24" i="40"/>
  <c r="Q23" i="40"/>
  <c r="P23" i="40"/>
  <c r="O23" i="40"/>
  <c r="N23" i="40"/>
  <c r="Q22" i="40"/>
  <c r="P22" i="40"/>
  <c r="O22" i="40"/>
  <c r="N22" i="40"/>
  <c r="Q21" i="40"/>
  <c r="P21" i="40"/>
  <c r="O21" i="40"/>
  <c r="N21" i="40"/>
  <c r="Q20" i="40"/>
  <c r="P20" i="40"/>
  <c r="O20" i="40"/>
  <c r="N20" i="40"/>
  <c r="Q19" i="40"/>
  <c r="P19" i="40"/>
  <c r="O19" i="40"/>
  <c r="N19" i="40"/>
  <c r="Q18" i="40"/>
  <c r="P18" i="40"/>
  <c r="O18" i="40"/>
  <c r="N18" i="40"/>
  <c r="Q17" i="40"/>
  <c r="P17" i="40"/>
  <c r="O17" i="40"/>
  <c r="N17" i="40"/>
  <c r="Q16" i="40"/>
  <c r="P16" i="40"/>
  <c r="O16" i="40"/>
  <c r="N16" i="40"/>
  <c r="Q15" i="40"/>
  <c r="P15" i="40"/>
  <c r="O15" i="40"/>
  <c r="N15" i="40"/>
  <c r="Q14" i="40"/>
  <c r="P14" i="40"/>
  <c r="O14" i="40"/>
  <c r="N14" i="40"/>
  <c r="Q13" i="40"/>
  <c r="P13" i="40"/>
  <c r="O13" i="40"/>
  <c r="N13" i="40"/>
  <c r="Q12" i="40"/>
  <c r="P12" i="40"/>
  <c r="O12" i="40"/>
  <c r="N12" i="40"/>
  <c r="Q11" i="40"/>
  <c r="P11" i="40"/>
  <c r="O11" i="40"/>
  <c r="N11" i="40"/>
  <c r="Q10" i="40"/>
  <c r="P10" i="40"/>
  <c r="O10" i="40"/>
  <c r="N10" i="40"/>
  <c r="Q9" i="40"/>
  <c r="P9" i="40"/>
  <c r="O9" i="40"/>
  <c r="N9" i="40"/>
  <c r="Q8" i="40"/>
  <c r="P8" i="40"/>
  <c r="O8" i="40"/>
  <c r="N8" i="40"/>
  <c r="Q7" i="40"/>
  <c r="P7" i="40"/>
  <c r="O7" i="40"/>
  <c r="N7" i="40"/>
  <c r="Q6" i="40"/>
  <c r="P6" i="40"/>
  <c r="O6" i="40"/>
  <c r="N6" i="40"/>
  <c r="Q5" i="40"/>
  <c r="P5" i="40"/>
  <c r="O5" i="40"/>
  <c r="N5" i="40"/>
  <c r="O4" i="40"/>
  <c r="P4" i="40"/>
  <c r="Q4" i="40"/>
  <c r="N4" i="40"/>
  <c r="M5" i="40"/>
  <c r="M6" i="40"/>
  <c r="M7" i="40"/>
  <c r="M8" i="40"/>
  <c r="M9" i="40"/>
  <c r="M10" i="40"/>
  <c r="M12"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1" i="40"/>
  <c r="M72" i="40"/>
  <c r="M73" i="40"/>
  <c r="M74" i="40"/>
  <c r="M75" i="40"/>
  <c r="M76" i="40"/>
  <c r="M77" i="40"/>
  <c r="M78" i="40"/>
  <c r="M79" i="40"/>
  <c r="M80" i="40"/>
  <c r="M81" i="40"/>
  <c r="M82" i="40"/>
  <c r="M83" i="40"/>
  <c r="M84" i="40"/>
  <c r="M85" i="40"/>
  <c r="M86" i="40"/>
  <c r="M87" i="40"/>
  <c r="M88" i="40"/>
  <c r="M89" i="40"/>
  <c r="M90" i="40"/>
  <c r="M91" i="40"/>
  <c r="M92" i="40"/>
  <c r="M93" i="40"/>
  <c r="M94" i="40"/>
  <c r="M95" i="40"/>
  <c r="M96" i="40"/>
  <c r="M97" i="40"/>
  <c r="M98" i="40"/>
  <c r="M99" i="40"/>
  <c r="M100" i="40"/>
  <c r="M101" i="40"/>
  <c r="M102" i="40"/>
  <c r="M103" i="40"/>
  <c r="M104" i="40"/>
  <c r="M105" i="40"/>
  <c r="M106" i="40"/>
  <c r="M107" i="40"/>
  <c r="M108" i="40"/>
  <c r="M109" i="40"/>
  <c r="M110" i="40"/>
  <c r="M111" i="40"/>
  <c r="M112" i="40"/>
  <c r="M113" i="40"/>
  <c r="M114" i="40"/>
  <c r="M115" i="40"/>
  <c r="M116" i="40"/>
  <c r="M117" i="40"/>
  <c r="M118" i="40"/>
  <c r="M119" i="40"/>
  <c r="M120" i="40"/>
  <c r="M121" i="40"/>
  <c r="M122" i="40"/>
  <c r="M123" i="40"/>
  <c r="M124" i="40"/>
  <c r="M125" i="40"/>
  <c r="M126" i="40"/>
  <c r="M127" i="40"/>
  <c r="M128" i="40"/>
  <c r="M129" i="40"/>
  <c r="M130" i="40"/>
  <c r="M131" i="40"/>
  <c r="M132" i="40"/>
  <c r="M133" i="40"/>
  <c r="M134" i="40"/>
  <c r="M135" i="40"/>
  <c r="M136" i="40"/>
  <c r="M137" i="40"/>
  <c r="M138" i="40"/>
  <c r="M139" i="40"/>
  <c r="M140" i="40"/>
  <c r="M141" i="40"/>
  <c r="M142" i="40"/>
  <c r="M143" i="40"/>
  <c r="M144" i="40"/>
  <c r="M145" i="40"/>
  <c r="M146" i="40"/>
  <c r="M147" i="40"/>
  <c r="M148" i="40"/>
  <c r="M149" i="40"/>
  <c r="M150" i="40"/>
  <c r="M151" i="40"/>
  <c r="M152" i="40"/>
  <c r="M153" i="40"/>
  <c r="M154" i="40"/>
  <c r="M155" i="40"/>
  <c r="M156" i="40"/>
  <c r="M157" i="40"/>
  <c r="M158" i="40"/>
  <c r="M159" i="40"/>
  <c r="M160" i="40"/>
  <c r="M161" i="40"/>
  <c r="M162" i="40"/>
  <c r="M163" i="40"/>
  <c r="M164" i="40"/>
  <c r="M165" i="40"/>
  <c r="M166" i="40"/>
  <c r="M167" i="40"/>
  <c r="M168" i="40"/>
  <c r="M169" i="40"/>
  <c r="M170" i="40"/>
  <c r="M171" i="40"/>
  <c r="M172" i="40"/>
  <c r="M173" i="40"/>
  <c r="M174" i="40"/>
  <c r="M175" i="40"/>
  <c r="M176" i="40"/>
  <c r="M177" i="40"/>
  <c r="M178" i="40"/>
  <c r="M179" i="40"/>
  <c r="M180" i="40"/>
  <c r="M181" i="40"/>
  <c r="M182" i="40"/>
  <c r="M183" i="40"/>
  <c r="M184" i="40"/>
  <c r="M185" i="40"/>
  <c r="M186" i="40"/>
  <c r="M187" i="40"/>
  <c r="M188" i="40"/>
  <c r="M189" i="40"/>
  <c r="M190" i="40"/>
  <c r="M191" i="40"/>
  <c r="M192" i="40"/>
  <c r="M193" i="40"/>
  <c r="M194" i="40"/>
  <c r="M195" i="40"/>
  <c r="M196" i="40"/>
  <c r="M197" i="40"/>
  <c r="M198" i="40"/>
  <c r="M199" i="40"/>
  <c r="M200" i="40"/>
  <c r="M201" i="40"/>
  <c r="M202" i="40"/>
  <c r="M203" i="40"/>
  <c r="M204" i="40"/>
  <c r="M205" i="40"/>
  <c r="M206" i="40"/>
  <c r="M207" i="40"/>
  <c r="M208" i="40"/>
  <c r="M209" i="40"/>
  <c r="M210" i="40"/>
  <c r="M211" i="40"/>
  <c r="M212" i="40"/>
  <c r="M213" i="40"/>
  <c r="M214" i="40"/>
  <c r="M215" i="40"/>
  <c r="M216" i="40"/>
  <c r="M217" i="40"/>
  <c r="M218" i="40"/>
  <c r="M219" i="40"/>
  <c r="M220" i="40"/>
  <c r="M221" i="40"/>
  <c r="M222" i="40"/>
  <c r="M223" i="40"/>
  <c r="M224" i="40"/>
  <c r="M225" i="40"/>
  <c r="M226" i="40"/>
  <c r="M227" i="40"/>
  <c r="M228" i="40"/>
  <c r="M229" i="40"/>
  <c r="M230" i="40"/>
  <c r="M231" i="40"/>
  <c r="M232" i="40"/>
  <c r="M233" i="40"/>
  <c r="M234" i="40"/>
  <c r="M235" i="40"/>
  <c r="M236" i="40"/>
  <c r="M237" i="40"/>
  <c r="M238" i="40"/>
  <c r="M239" i="40"/>
  <c r="M240" i="40"/>
  <c r="M241" i="40"/>
  <c r="M242" i="40"/>
  <c r="M243" i="40"/>
  <c r="M244" i="40"/>
  <c r="M245" i="40"/>
  <c r="M246" i="40"/>
  <c r="M247" i="40"/>
  <c r="M248" i="40"/>
  <c r="M249" i="40"/>
  <c r="M250" i="40"/>
  <c r="M251" i="40"/>
  <c r="M252" i="40"/>
  <c r="M253" i="40"/>
  <c r="M254" i="40"/>
  <c r="M255" i="40"/>
  <c r="M256" i="40"/>
  <c r="M257" i="40"/>
  <c r="M258" i="40"/>
  <c r="M259" i="40"/>
  <c r="M260" i="40"/>
  <c r="M261" i="40"/>
  <c r="M262" i="40"/>
  <c r="M263" i="40"/>
  <c r="M264" i="40"/>
  <c r="M265" i="40"/>
  <c r="M266" i="40"/>
  <c r="M267" i="40"/>
  <c r="M268" i="40"/>
  <c r="M269" i="40"/>
  <c r="M270" i="40"/>
  <c r="M271" i="40"/>
  <c r="M272" i="40"/>
  <c r="M273" i="40"/>
  <c r="M274" i="40"/>
  <c r="M275" i="40"/>
  <c r="M276" i="40"/>
  <c r="M277" i="40"/>
  <c r="M278" i="40"/>
  <c r="M279" i="40"/>
  <c r="M280" i="40"/>
  <c r="M281" i="40"/>
  <c r="M282" i="40"/>
  <c r="M283" i="40"/>
  <c r="M284" i="40"/>
  <c r="M285" i="40"/>
  <c r="M286" i="40"/>
  <c r="M287" i="40"/>
  <c r="M288" i="40"/>
  <c r="M289" i="40"/>
  <c r="M290" i="40"/>
  <c r="M291" i="40"/>
  <c r="M292" i="40"/>
  <c r="M293" i="40"/>
  <c r="M294" i="40"/>
  <c r="M295" i="40"/>
  <c r="M296" i="40"/>
  <c r="M297" i="40"/>
  <c r="M298" i="40"/>
  <c r="M299" i="40"/>
  <c r="M300" i="40"/>
  <c r="M301" i="40"/>
  <c r="M302" i="40"/>
  <c r="M303" i="40"/>
  <c r="M304" i="40"/>
  <c r="M305" i="40"/>
  <c r="M306" i="40"/>
  <c r="M307" i="40"/>
  <c r="M308" i="40"/>
  <c r="M309" i="40"/>
  <c r="M310" i="40"/>
  <c r="M311" i="40"/>
  <c r="M312" i="40"/>
  <c r="M313" i="40"/>
  <c r="M314" i="40"/>
  <c r="M315" i="40"/>
  <c r="M316" i="40"/>
  <c r="M317" i="40"/>
  <c r="M318" i="40"/>
  <c r="M319" i="40"/>
  <c r="M320" i="40"/>
  <c r="M321" i="40"/>
  <c r="M322" i="40"/>
  <c r="M323" i="40"/>
  <c r="M324" i="40"/>
  <c r="M325" i="40"/>
  <c r="M326" i="40"/>
  <c r="M327" i="40"/>
  <c r="M328" i="40"/>
  <c r="M329" i="40"/>
  <c r="M330" i="40"/>
  <c r="M331" i="40"/>
  <c r="M332" i="40"/>
  <c r="M333" i="40"/>
  <c r="M334" i="40"/>
  <c r="M335" i="40"/>
  <c r="M336" i="40"/>
  <c r="M337" i="40"/>
  <c r="M338" i="40"/>
  <c r="M339" i="40"/>
  <c r="M340" i="40"/>
  <c r="M341" i="40"/>
  <c r="M342" i="40"/>
  <c r="M343" i="40"/>
  <c r="M344" i="40"/>
  <c r="M345" i="40"/>
  <c r="M346" i="40"/>
  <c r="M347" i="40"/>
  <c r="M348" i="40"/>
  <c r="M349" i="40"/>
  <c r="M350" i="40"/>
  <c r="M351" i="40"/>
  <c r="M352" i="40"/>
  <c r="M353" i="40"/>
  <c r="M354" i="40"/>
  <c r="M355" i="40"/>
  <c r="M356" i="40"/>
  <c r="M357" i="40"/>
  <c r="M358" i="40"/>
  <c r="M359" i="40"/>
  <c r="M360" i="40"/>
  <c r="M361" i="40"/>
  <c r="M362" i="40"/>
  <c r="M363" i="40"/>
  <c r="M364" i="40"/>
  <c r="M365" i="40"/>
  <c r="M366" i="40"/>
  <c r="M367" i="40"/>
  <c r="M368" i="40"/>
  <c r="M369" i="40"/>
  <c r="M370" i="40"/>
  <c r="M371" i="40"/>
  <c r="M372" i="40"/>
  <c r="M373" i="40"/>
  <c r="M374" i="40"/>
  <c r="M375" i="40"/>
  <c r="M376" i="40"/>
  <c r="M377" i="40"/>
  <c r="M378" i="40"/>
  <c r="M379" i="40"/>
  <c r="M380" i="40"/>
  <c r="M381" i="40"/>
  <c r="M382" i="40"/>
  <c r="M383" i="40"/>
  <c r="M384" i="40"/>
  <c r="M385" i="40"/>
  <c r="M386" i="40"/>
  <c r="M387" i="40"/>
  <c r="M388" i="40"/>
  <c r="M389" i="40"/>
  <c r="M390" i="40"/>
  <c r="M391" i="40"/>
  <c r="M392" i="40"/>
  <c r="M393" i="40"/>
  <c r="M394" i="40"/>
  <c r="M395" i="40"/>
  <c r="M396" i="40"/>
  <c r="M397" i="40"/>
  <c r="M398" i="40"/>
  <c r="M399" i="40"/>
  <c r="M400" i="40"/>
  <c r="M401" i="40"/>
  <c r="M402" i="40"/>
  <c r="M403" i="40"/>
  <c r="M404" i="40"/>
  <c r="M405" i="40"/>
  <c r="M406" i="40"/>
  <c r="M407" i="40"/>
  <c r="M408" i="40"/>
  <c r="M409" i="40"/>
  <c r="M410" i="40"/>
  <c r="M411" i="40"/>
  <c r="M412" i="40"/>
  <c r="M413" i="40"/>
  <c r="M414" i="40"/>
  <c r="M415" i="40"/>
  <c r="M416" i="40"/>
  <c r="M417" i="40"/>
  <c r="M418" i="40"/>
  <c r="M419" i="40"/>
  <c r="M420" i="40"/>
  <c r="M421" i="40"/>
  <c r="M422" i="40"/>
  <c r="M423" i="40"/>
  <c r="M424" i="40"/>
  <c r="M425" i="40"/>
  <c r="M426" i="40"/>
  <c r="M427" i="40"/>
  <c r="M428" i="40"/>
  <c r="M429" i="40"/>
  <c r="M430" i="40"/>
  <c r="M431" i="40"/>
  <c r="M432" i="40"/>
  <c r="M433" i="40"/>
  <c r="M434" i="40"/>
  <c r="M435" i="40"/>
  <c r="M436" i="40"/>
  <c r="M437" i="40"/>
  <c r="M438" i="40"/>
  <c r="M439" i="40"/>
  <c r="M440" i="40"/>
  <c r="M441" i="40"/>
  <c r="M442" i="40"/>
  <c r="M443" i="40"/>
  <c r="M444" i="40"/>
  <c r="M445" i="40"/>
  <c r="M446" i="40"/>
  <c r="M447" i="40"/>
  <c r="M448" i="40"/>
  <c r="M449" i="40"/>
  <c r="M450" i="40"/>
  <c r="M451" i="40"/>
  <c r="M452" i="40"/>
  <c r="M453" i="40"/>
  <c r="M454" i="40"/>
  <c r="M455" i="40"/>
  <c r="M456" i="40"/>
  <c r="M457" i="40"/>
  <c r="M458" i="40"/>
  <c r="M459" i="40"/>
  <c r="M460" i="40"/>
  <c r="M461" i="40"/>
  <c r="M462" i="40"/>
  <c r="M463" i="40"/>
  <c r="M464" i="40"/>
  <c r="M465" i="40"/>
  <c r="M466" i="40"/>
  <c r="M467" i="40"/>
  <c r="M468" i="40"/>
  <c r="M469" i="40"/>
  <c r="M470" i="40"/>
  <c r="M471" i="40"/>
  <c r="M472" i="40"/>
  <c r="M473" i="40"/>
  <c r="M474" i="40"/>
  <c r="M475" i="40"/>
  <c r="M476" i="40"/>
  <c r="M477" i="40"/>
  <c r="M478" i="40"/>
  <c r="M479" i="40"/>
  <c r="M480" i="40"/>
  <c r="M481" i="40"/>
  <c r="M482" i="40"/>
  <c r="M483" i="40"/>
  <c r="M484" i="40"/>
  <c r="M485" i="40"/>
  <c r="M486" i="40"/>
  <c r="M487" i="40"/>
  <c r="M488" i="40"/>
  <c r="M489" i="40"/>
  <c r="M490" i="40"/>
  <c r="M491" i="40"/>
  <c r="M492" i="40"/>
  <c r="M493" i="40"/>
  <c r="M494" i="40"/>
  <c r="M495" i="40"/>
  <c r="M496" i="40"/>
  <c r="M497" i="40"/>
  <c r="M498" i="40"/>
  <c r="M499" i="40"/>
  <c r="M500" i="40"/>
  <c r="M501" i="40"/>
  <c r="M502" i="40"/>
  <c r="M503" i="40"/>
  <c r="M504" i="40"/>
  <c r="M505" i="40"/>
  <c r="M506" i="40"/>
  <c r="M507" i="40"/>
  <c r="M508" i="40"/>
  <c r="M509" i="40"/>
  <c r="M510" i="40"/>
  <c r="M511" i="40"/>
  <c r="M512" i="40"/>
  <c r="M513" i="40"/>
  <c r="M514" i="40"/>
  <c r="M515" i="40"/>
  <c r="M516" i="40"/>
  <c r="M517" i="40"/>
  <c r="M518" i="40"/>
  <c r="M519" i="40"/>
  <c r="M520" i="40"/>
  <c r="M521" i="40"/>
  <c r="M522" i="40"/>
  <c r="M523" i="40"/>
  <c r="M524" i="40"/>
  <c r="M525" i="40"/>
  <c r="M526" i="40"/>
  <c r="M527" i="40"/>
  <c r="M528" i="40"/>
  <c r="M529" i="40"/>
  <c r="M530" i="40"/>
  <c r="M531" i="40"/>
  <c r="M532" i="40"/>
  <c r="M533" i="40"/>
  <c r="M534" i="40"/>
  <c r="M535" i="40"/>
  <c r="M536" i="40"/>
  <c r="M537" i="40"/>
  <c r="M538" i="40"/>
  <c r="M539" i="40"/>
  <c r="M540" i="40"/>
  <c r="M541" i="40"/>
  <c r="M542" i="40"/>
  <c r="M543" i="40"/>
  <c r="M544" i="40"/>
  <c r="M545" i="40"/>
  <c r="M546" i="40"/>
  <c r="M547" i="40"/>
  <c r="M548" i="40"/>
  <c r="M549" i="40"/>
  <c r="M550" i="40"/>
  <c r="M551" i="40"/>
  <c r="M552" i="40"/>
  <c r="M553" i="40"/>
  <c r="M554" i="40"/>
  <c r="M555" i="40"/>
  <c r="M556" i="40"/>
  <c r="M557" i="40"/>
  <c r="M558" i="40"/>
  <c r="M559" i="40"/>
  <c r="M560" i="40"/>
  <c r="M561" i="40"/>
  <c r="M562" i="40"/>
  <c r="M563" i="40"/>
  <c r="M564" i="40"/>
  <c r="M565" i="40"/>
  <c r="M566" i="40"/>
  <c r="M567" i="40"/>
  <c r="M568" i="40"/>
  <c r="M569" i="40"/>
  <c r="M570" i="40"/>
  <c r="M571" i="40"/>
  <c r="M572" i="40"/>
  <c r="M573" i="40"/>
  <c r="M574" i="40"/>
  <c r="M575" i="40"/>
  <c r="M576" i="40"/>
  <c r="M577" i="40"/>
  <c r="M578" i="40"/>
  <c r="M579" i="40"/>
  <c r="M580" i="40"/>
  <c r="M581" i="40"/>
  <c r="M582" i="40"/>
  <c r="M583" i="40"/>
  <c r="M584" i="40"/>
  <c r="M585" i="40"/>
  <c r="M586" i="40"/>
  <c r="M587" i="40"/>
  <c r="M588" i="40"/>
  <c r="M589" i="40"/>
  <c r="M590" i="40"/>
  <c r="M591" i="40"/>
  <c r="M592" i="40"/>
  <c r="M593" i="40"/>
  <c r="M594" i="40"/>
  <c r="M595" i="40"/>
  <c r="M596" i="40"/>
  <c r="M597" i="40"/>
  <c r="M598" i="40"/>
  <c r="M599" i="40"/>
  <c r="M600" i="40"/>
  <c r="M601" i="40"/>
  <c r="M602" i="40"/>
  <c r="M603" i="40"/>
  <c r="M604" i="40"/>
  <c r="M605" i="40"/>
  <c r="M606" i="40"/>
  <c r="M607" i="40"/>
  <c r="M608" i="40"/>
  <c r="M609" i="40"/>
  <c r="M610" i="40"/>
  <c r="M611" i="40"/>
  <c r="M612" i="40"/>
  <c r="M613" i="40"/>
  <c r="M614" i="40"/>
  <c r="M615" i="40"/>
  <c r="M616" i="40"/>
  <c r="M617" i="40"/>
  <c r="M618" i="40"/>
  <c r="M619" i="40"/>
  <c r="M620" i="40"/>
  <c r="M621" i="40"/>
  <c r="M622" i="40"/>
  <c r="M623" i="40"/>
  <c r="M624" i="40"/>
  <c r="M625" i="40"/>
  <c r="M626" i="40"/>
  <c r="M627" i="40"/>
  <c r="M628" i="40"/>
  <c r="M629" i="40"/>
  <c r="M630" i="40"/>
  <c r="M631" i="40"/>
  <c r="M632" i="40"/>
  <c r="M633" i="40"/>
  <c r="M634" i="40"/>
  <c r="M635" i="40"/>
  <c r="M636" i="40"/>
  <c r="M637" i="40"/>
  <c r="M638" i="40"/>
  <c r="M639" i="40"/>
  <c r="M640" i="40"/>
  <c r="M641" i="40"/>
  <c r="M642" i="40"/>
  <c r="M643" i="40"/>
  <c r="M644" i="40"/>
  <c r="M645" i="40"/>
  <c r="M646" i="40"/>
  <c r="M647" i="40"/>
  <c r="M648" i="40"/>
  <c r="M649" i="40"/>
  <c r="M650" i="40"/>
  <c r="M651" i="40"/>
  <c r="M652" i="40"/>
  <c r="M653" i="40"/>
  <c r="M654" i="40"/>
  <c r="M655" i="40"/>
  <c r="M656" i="40"/>
  <c r="M657" i="40"/>
  <c r="M658" i="40"/>
  <c r="M659" i="40"/>
  <c r="M660" i="40"/>
  <c r="M661" i="40"/>
  <c r="M662" i="40"/>
  <c r="M663" i="40"/>
  <c r="M664" i="40"/>
  <c r="M665" i="40"/>
  <c r="M666" i="40"/>
  <c r="M667" i="40"/>
  <c r="M668" i="40"/>
  <c r="M669" i="40"/>
  <c r="M670" i="40"/>
  <c r="M671" i="40"/>
  <c r="M672" i="40"/>
  <c r="M673" i="40"/>
  <c r="M674" i="40"/>
  <c r="M675" i="40"/>
  <c r="M676" i="40"/>
  <c r="M677" i="40"/>
  <c r="M678" i="40"/>
  <c r="M679" i="40"/>
  <c r="M680" i="40"/>
  <c r="M681" i="40"/>
  <c r="M682" i="40"/>
  <c r="M683" i="40"/>
  <c r="M684" i="40"/>
  <c r="M685" i="40"/>
  <c r="M686" i="40"/>
  <c r="M687" i="40"/>
  <c r="M688" i="40"/>
  <c r="M689" i="40"/>
  <c r="M690" i="40"/>
  <c r="M691" i="40"/>
  <c r="M692" i="40"/>
  <c r="M693" i="40"/>
  <c r="M694" i="40"/>
  <c r="M695" i="40"/>
  <c r="M696" i="40"/>
  <c r="M697" i="40"/>
  <c r="M698" i="40"/>
  <c r="M699" i="40"/>
  <c r="M700" i="40"/>
  <c r="M701" i="40"/>
  <c r="M702" i="40"/>
  <c r="M703" i="40"/>
  <c r="M704" i="40"/>
  <c r="M705" i="40"/>
  <c r="M706" i="40"/>
  <c r="M707" i="40"/>
  <c r="M708" i="40"/>
  <c r="M709" i="40"/>
  <c r="M710" i="40"/>
  <c r="M711" i="40"/>
  <c r="M712" i="40"/>
  <c r="M713" i="40"/>
  <c r="M714" i="40"/>
  <c r="M715" i="40"/>
  <c r="M716" i="40"/>
  <c r="M717" i="40"/>
  <c r="M718" i="40"/>
  <c r="M719" i="40"/>
  <c r="M720" i="40"/>
  <c r="M721" i="40"/>
  <c r="M722" i="40"/>
  <c r="M723" i="40"/>
  <c r="M724" i="40"/>
  <c r="M725" i="40"/>
  <c r="M726" i="40"/>
  <c r="M727" i="40"/>
  <c r="M728" i="40"/>
  <c r="M729" i="40"/>
  <c r="M730" i="40"/>
  <c r="M731" i="40"/>
  <c r="M732" i="40"/>
  <c r="M733" i="40"/>
  <c r="M734" i="40"/>
  <c r="M735" i="40"/>
  <c r="M736" i="40"/>
  <c r="M737" i="40"/>
  <c r="M738" i="40"/>
  <c r="M739" i="40"/>
  <c r="M740" i="40"/>
  <c r="M741" i="40"/>
  <c r="M742" i="40"/>
  <c r="M743" i="40"/>
  <c r="M744" i="40"/>
  <c r="M745" i="40"/>
  <c r="M746" i="40"/>
  <c r="M747" i="40"/>
  <c r="M748" i="40"/>
  <c r="M749" i="40"/>
  <c r="M750" i="40"/>
  <c r="M751" i="40"/>
  <c r="M752" i="40"/>
  <c r="M753" i="40"/>
  <c r="M754" i="40"/>
  <c r="M755" i="40"/>
  <c r="M756" i="40"/>
  <c r="M757" i="40"/>
  <c r="M758" i="40"/>
  <c r="M759" i="40"/>
  <c r="M760" i="40"/>
  <c r="M761" i="40"/>
  <c r="M762" i="40"/>
  <c r="M763" i="40"/>
  <c r="M764" i="40"/>
  <c r="M765" i="40"/>
  <c r="M766" i="40"/>
  <c r="M767" i="40"/>
  <c r="M768" i="40"/>
  <c r="M769" i="40"/>
  <c r="M770" i="40"/>
  <c r="M771" i="40"/>
  <c r="M772" i="40"/>
  <c r="M773" i="40"/>
  <c r="M774" i="40"/>
  <c r="M775" i="40"/>
  <c r="M776" i="40"/>
  <c r="M777" i="40"/>
  <c r="M778" i="40"/>
  <c r="M779" i="40"/>
  <c r="M780" i="40"/>
  <c r="M781" i="40"/>
  <c r="M782" i="40"/>
  <c r="M783" i="40"/>
  <c r="M784" i="40"/>
  <c r="M785" i="40"/>
  <c r="M786" i="40"/>
  <c r="M787" i="40"/>
  <c r="M788" i="40"/>
  <c r="M789" i="40"/>
  <c r="M790" i="40"/>
  <c r="M791" i="40"/>
  <c r="M792" i="40"/>
  <c r="M793" i="40"/>
  <c r="M794" i="40"/>
  <c r="M795" i="40"/>
  <c r="M796" i="40"/>
  <c r="M797" i="40"/>
  <c r="M798" i="40"/>
  <c r="M799" i="40"/>
  <c r="M800" i="40"/>
  <c r="M801" i="40"/>
  <c r="M802" i="40"/>
  <c r="M803" i="40"/>
  <c r="M804" i="40"/>
  <c r="M805" i="40"/>
  <c r="M806" i="40"/>
  <c r="M807" i="40"/>
  <c r="M808" i="40"/>
  <c r="M809" i="40"/>
  <c r="M810" i="40"/>
  <c r="M811" i="40"/>
  <c r="M812" i="40"/>
  <c r="M813" i="40"/>
  <c r="M814" i="40"/>
  <c r="M815" i="40"/>
  <c r="M816" i="40"/>
  <c r="M817" i="40"/>
  <c r="M818" i="40"/>
  <c r="M819" i="40"/>
  <c r="M820" i="40"/>
  <c r="M821" i="40"/>
  <c r="M822" i="40"/>
  <c r="M823" i="40"/>
  <c r="M824" i="40"/>
  <c r="M825" i="40"/>
  <c r="M826" i="40"/>
  <c r="M827" i="40"/>
  <c r="M828" i="40"/>
  <c r="M829" i="40"/>
  <c r="M830" i="40"/>
  <c r="M831" i="40"/>
  <c r="M832" i="40"/>
  <c r="M833" i="40"/>
  <c r="M834" i="40"/>
  <c r="M835" i="40"/>
  <c r="M836" i="40"/>
  <c r="M837" i="40"/>
  <c r="M838" i="40"/>
  <c r="M839" i="40"/>
  <c r="M840" i="40"/>
  <c r="M841" i="40"/>
  <c r="M842" i="40"/>
  <c r="M843" i="40"/>
  <c r="M844" i="40"/>
  <c r="M845" i="40"/>
  <c r="M846" i="40"/>
  <c r="M847" i="40"/>
  <c r="M848" i="40"/>
  <c r="M849" i="40"/>
  <c r="M850" i="40"/>
  <c r="M851" i="40"/>
  <c r="M852" i="40"/>
  <c r="M853" i="40"/>
  <c r="M854" i="40"/>
  <c r="M855" i="40"/>
  <c r="M856" i="40"/>
  <c r="M857" i="40"/>
  <c r="M858" i="40"/>
  <c r="M859" i="40"/>
  <c r="M860" i="40"/>
  <c r="M861" i="40"/>
  <c r="M862" i="40"/>
  <c r="M863" i="40"/>
  <c r="M864" i="40"/>
  <c r="M865" i="40"/>
  <c r="M866" i="40"/>
  <c r="M867" i="40"/>
  <c r="M868" i="40"/>
  <c r="M869" i="40"/>
  <c r="M870" i="40"/>
  <c r="M871" i="40"/>
  <c r="M872" i="40"/>
  <c r="M873" i="40"/>
  <c r="M874" i="40"/>
  <c r="M875" i="40"/>
  <c r="M876" i="40"/>
  <c r="M877" i="40"/>
  <c r="M878" i="40"/>
  <c r="M879" i="40"/>
  <c r="M880" i="40"/>
  <c r="M881" i="40"/>
  <c r="M882" i="40"/>
  <c r="M883" i="40"/>
  <c r="M884" i="40"/>
  <c r="M885" i="40"/>
  <c r="M886" i="40"/>
  <c r="M887" i="40"/>
  <c r="M888" i="40"/>
  <c r="M889" i="40"/>
  <c r="M890" i="40"/>
  <c r="M891" i="40"/>
  <c r="M892" i="40"/>
  <c r="M893" i="40"/>
  <c r="M894" i="40"/>
  <c r="M895" i="40"/>
  <c r="M896" i="40"/>
  <c r="M897" i="40"/>
  <c r="M898" i="40"/>
  <c r="M899" i="40"/>
  <c r="M900" i="40"/>
  <c r="M901" i="40"/>
  <c r="M902" i="40"/>
  <c r="M903" i="40"/>
  <c r="M904" i="40"/>
  <c r="M905" i="40"/>
  <c r="M906" i="40"/>
  <c r="M907" i="40"/>
  <c r="M908" i="40"/>
  <c r="M909" i="40"/>
  <c r="M910" i="40"/>
  <c r="M911" i="40"/>
  <c r="M912" i="40"/>
  <c r="M913" i="40"/>
  <c r="M914" i="40"/>
  <c r="M915" i="40"/>
  <c r="M916" i="40"/>
  <c r="M917" i="40"/>
  <c r="M918" i="40"/>
  <c r="M919" i="40"/>
  <c r="M920" i="40"/>
  <c r="M921" i="40"/>
  <c r="M922" i="40"/>
  <c r="M923" i="40"/>
  <c r="M924" i="40"/>
  <c r="M925" i="40"/>
  <c r="M926" i="40"/>
  <c r="M927" i="40"/>
  <c r="M928" i="40"/>
  <c r="M929" i="40"/>
  <c r="M930" i="40"/>
  <c r="M931" i="40"/>
  <c r="M932" i="40"/>
  <c r="M933" i="40"/>
  <c r="M934" i="40"/>
  <c r="M935" i="40"/>
  <c r="M936" i="40"/>
  <c r="M937" i="40"/>
  <c r="M938" i="40"/>
  <c r="M939" i="40"/>
  <c r="M940" i="40"/>
  <c r="M941" i="40"/>
  <c r="M942" i="40"/>
  <c r="M943" i="40"/>
  <c r="M944" i="40"/>
  <c r="M945" i="40"/>
  <c r="M946" i="40"/>
  <c r="M947" i="40"/>
  <c r="M948" i="40"/>
  <c r="M949" i="40"/>
  <c r="M950" i="40"/>
  <c r="M951" i="40"/>
  <c r="M952" i="40"/>
  <c r="M953" i="40"/>
  <c r="M954" i="40"/>
  <c r="M955" i="40"/>
  <c r="M956" i="40"/>
  <c r="M957" i="40"/>
  <c r="M958" i="40"/>
  <c r="M959" i="40"/>
  <c r="M960" i="40"/>
  <c r="M961" i="40"/>
  <c r="M962" i="40"/>
  <c r="M963" i="40"/>
  <c r="M964" i="40"/>
  <c r="M965" i="40"/>
  <c r="M966" i="40"/>
  <c r="M967" i="40"/>
  <c r="M968" i="40"/>
  <c r="M969" i="40"/>
  <c r="M970" i="40"/>
  <c r="M971" i="40"/>
  <c r="M972" i="40"/>
  <c r="M973" i="40"/>
  <c r="M974" i="40"/>
  <c r="M975" i="40"/>
  <c r="M976" i="40"/>
  <c r="M977" i="40"/>
  <c r="M978" i="40"/>
  <c r="M979" i="40"/>
  <c r="M980" i="40"/>
  <c r="M981" i="40"/>
  <c r="M982" i="40"/>
  <c r="M983" i="40"/>
  <c r="M984" i="40"/>
  <c r="M985" i="40"/>
  <c r="M986" i="40"/>
  <c r="M987" i="40"/>
  <c r="M988" i="40"/>
  <c r="M989" i="40"/>
  <c r="M990" i="40"/>
  <c r="M991" i="40"/>
  <c r="M992" i="40"/>
  <c r="M993" i="40"/>
  <c r="M994" i="40"/>
  <c r="M995" i="40"/>
  <c r="M996" i="40"/>
  <c r="M997" i="40"/>
  <c r="M998" i="40"/>
  <c r="M999" i="40"/>
  <c r="M1000" i="40"/>
  <c r="M1001" i="40"/>
  <c r="M1002" i="40"/>
  <c r="M1003" i="40"/>
  <c r="M1004" i="40"/>
  <c r="M1005" i="40"/>
  <c r="M1006" i="40"/>
  <c r="M1007" i="40"/>
  <c r="M1008" i="40"/>
  <c r="M1009" i="40"/>
  <c r="M1010" i="40"/>
  <c r="M1011" i="40"/>
  <c r="M1012" i="40"/>
  <c r="M1013" i="40"/>
  <c r="M1014" i="40"/>
  <c r="M1015" i="40"/>
  <c r="M1016" i="40"/>
  <c r="M1017" i="40"/>
  <c r="M1018" i="40"/>
  <c r="M1019" i="40"/>
  <c r="M1020" i="40"/>
  <c r="M1021" i="40"/>
  <c r="M1022" i="40"/>
  <c r="M1023" i="40"/>
  <c r="M1024" i="40"/>
  <c r="M1025" i="40"/>
  <c r="M1026" i="40"/>
  <c r="M1027" i="40"/>
  <c r="M1028" i="40"/>
  <c r="M1029" i="40"/>
  <c r="M1030" i="40"/>
  <c r="M1031" i="40"/>
  <c r="M1032" i="40"/>
  <c r="M1033" i="40"/>
  <c r="M1034" i="40"/>
  <c r="M1035" i="40"/>
  <c r="M1036" i="40"/>
  <c r="M1037" i="40"/>
  <c r="M1038" i="40"/>
  <c r="M1039" i="40"/>
  <c r="M1040" i="40"/>
  <c r="M1041" i="40"/>
  <c r="M1042" i="40"/>
  <c r="M1043" i="40"/>
  <c r="M1044" i="40"/>
  <c r="M1045" i="40"/>
  <c r="M1046" i="40"/>
  <c r="M1047" i="40"/>
  <c r="M1048" i="40"/>
  <c r="M1049" i="40"/>
  <c r="M1050" i="40"/>
  <c r="M1051" i="40"/>
  <c r="M1052" i="40"/>
  <c r="M1053" i="40"/>
  <c r="M1054" i="40"/>
  <c r="M1055" i="40"/>
  <c r="M1056" i="40"/>
  <c r="M1057" i="40"/>
  <c r="M1058" i="40"/>
  <c r="M1059" i="40"/>
  <c r="M1060" i="40"/>
  <c r="M1061" i="40"/>
  <c r="M1062" i="40"/>
  <c r="M1063" i="40"/>
  <c r="M1064" i="40"/>
  <c r="M1065" i="40"/>
  <c r="M1066" i="40"/>
  <c r="M1067" i="40"/>
  <c r="M1068" i="40"/>
  <c r="M1069" i="40"/>
  <c r="M1070" i="40"/>
  <c r="M1071" i="40"/>
  <c r="M1072" i="40"/>
  <c r="M1073" i="40"/>
  <c r="M1074" i="40"/>
  <c r="M1075" i="40"/>
  <c r="M1076" i="40"/>
  <c r="M1077" i="40"/>
  <c r="M1078" i="40"/>
  <c r="M1079" i="40"/>
  <c r="M1080" i="40"/>
  <c r="M1081" i="40"/>
  <c r="M1082" i="40"/>
  <c r="M1083" i="40"/>
  <c r="M1084" i="40"/>
  <c r="M1085" i="40"/>
  <c r="M1086" i="40"/>
  <c r="M1087" i="40"/>
  <c r="M1088" i="40"/>
  <c r="M1089" i="40"/>
  <c r="M1090" i="40"/>
  <c r="M1091" i="40"/>
  <c r="M1092" i="40"/>
  <c r="M1093" i="40"/>
  <c r="M1094" i="40"/>
  <c r="M1095" i="40"/>
  <c r="M1096" i="40"/>
  <c r="M1097" i="40"/>
  <c r="M1098" i="40"/>
  <c r="M1099" i="40"/>
  <c r="M1100" i="40"/>
  <c r="M1101" i="40"/>
  <c r="M1102" i="40"/>
  <c r="M1103" i="40"/>
  <c r="M1104" i="40"/>
  <c r="M1105" i="40"/>
  <c r="M1106" i="40"/>
  <c r="M1107" i="40"/>
  <c r="M1108" i="40"/>
  <c r="M1109" i="40"/>
  <c r="M1110" i="40"/>
  <c r="M1111" i="40"/>
  <c r="M1112" i="40"/>
  <c r="M1113" i="40"/>
  <c r="M1114" i="40"/>
  <c r="M1115" i="40"/>
  <c r="M1116" i="40"/>
  <c r="M1117" i="40"/>
  <c r="M1118" i="40"/>
  <c r="M1119" i="40"/>
  <c r="M1120" i="40"/>
  <c r="M1121" i="40"/>
  <c r="M1122" i="40"/>
  <c r="M1123" i="40"/>
  <c r="M1124" i="40"/>
  <c r="M1125" i="40"/>
  <c r="M1126" i="40"/>
  <c r="M1127" i="40"/>
  <c r="M1128" i="40"/>
  <c r="M1129" i="40"/>
  <c r="M1130" i="40"/>
  <c r="M1131" i="40"/>
  <c r="M1132" i="40"/>
  <c r="M1133" i="40"/>
  <c r="M1134" i="40"/>
  <c r="M1135" i="40"/>
  <c r="M1136" i="40"/>
  <c r="M1137" i="40"/>
  <c r="M1138" i="40"/>
  <c r="M1139" i="40"/>
  <c r="M1140" i="40"/>
  <c r="M1141" i="40"/>
  <c r="M1142" i="40"/>
  <c r="M1143" i="40"/>
  <c r="M1144" i="40"/>
  <c r="M1145" i="40"/>
  <c r="M1146" i="40"/>
  <c r="M1147" i="40"/>
  <c r="M1148" i="40"/>
  <c r="M1149" i="40"/>
  <c r="M1150" i="40"/>
  <c r="M1151" i="40"/>
  <c r="M1152" i="40"/>
  <c r="M1153" i="40"/>
  <c r="M1154" i="40"/>
  <c r="M1155" i="40"/>
  <c r="M1156" i="40"/>
  <c r="M1157" i="40"/>
  <c r="M1158" i="40"/>
  <c r="M1159" i="40"/>
  <c r="M1160" i="40"/>
  <c r="M1161" i="40"/>
  <c r="M1162" i="40"/>
  <c r="M1163" i="40"/>
  <c r="M1164" i="40"/>
  <c r="M1165" i="40"/>
  <c r="M1166" i="40"/>
  <c r="M1167" i="40"/>
  <c r="M1168" i="40"/>
  <c r="M1169" i="40"/>
  <c r="M1170" i="40"/>
  <c r="M1171" i="40"/>
  <c r="M1172" i="40"/>
  <c r="M1173" i="40"/>
  <c r="M1174" i="40"/>
  <c r="M1175" i="40"/>
  <c r="M1176" i="40"/>
  <c r="M1177" i="40"/>
  <c r="M1178" i="40"/>
  <c r="M1179" i="40"/>
  <c r="M1180" i="40"/>
  <c r="M1181" i="40"/>
  <c r="M1182" i="40"/>
  <c r="M1183" i="40"/>
  <c r="M1184" i="40"/>
  <c r="M1185" i="40"/>
  <c r="M1186" i="40"/>
  <c r="M1187" i="40"/>
  <c r="M1188" i="40"/>
  <c r="M1189" i="40"/>
  <c r="M1190" i="40"/>
  <c r="M1191" i="40"/>
  <c r="M1192" i="40"/>
  <c r="M1193" i="40"/>
  <c r="M1194" i="40"/>
  <c r="M1195" i="40"/>
  <c r="M1196" i="40"/>
  <c r="M1197" i="40"/>
  <c r="M1198" i="40"/>
  <c r="M1199" i="40"/>
  <c r="M1200" i="40"/>
  <c r="M1201" i="40"/>
  <c r="M1202" i="40"/>
  <c r="M1203" i="40"/>
  <c r="M1204" i="40"/>
  <c r="M1205" i="40"/>
  <c r="M1206" i="40"/>
  <c r="M1207" i="40"/>
  <c r="M1208" i="40"/>
  <c r="M1209" i="40"/>
  <c r="M1210" i="40"/>
  <c r="M1211" i="40"/>
  <c r="M1212" i="40"/>
  <c r="M1213" i="40"/>
  <c r="M1214" i="40"/>
  <c r="M1215" i="40"/>
  <c r="M1216" i="40"/>
  <c r="M1217" i="40"/>
  <c r="M1218" i="40"/>
  <c r="M1219" i="40"/>
  <c r="M1220" i="40"/>
  <c r="M1221" i="40"/>
  <c r="M1222" i="40"/>
  <c r="M1223" i="40"/>
  <c r="M1224" i="40"/>
  <c r="M1225" i="40"/>
  <c r="M1226" i="40"/>
  <c r="M1227" i="40"/>
  <c r="M1228" i="40"/>
  <c r="M1229" i="40"/>
  <c r="M1230" i="40"/>
  <c r="M1231" i="40"/>
  <c r="M1232" i="40"/>
  <c r="M1233" i="40"/>
  <c r="M1234" i="40"/>
  <c r="M1235" i="40"/>
  <c r="M1236" i="40"/>
  <c r="M1237" i="40"/>
  <c r="M1238" i="40"/>
  <c r="M1239" i="40"/>
  <c r="M1240" i="40"/>
  <c r="M1241" i="40"/>
  <c r="M1242" i="40"/>
  <c r="M1243" i="40"/>
  <c r="M1244" i="40"/>
  <c r="M1245" i="40"/>
  <c r="M1246" i="40"/>
  <c r="M1247" i="40"/>
  <c r="M1248" i="40"/>
  <c r="M1249" i="40"/>
  <c r="M1250" i="40"/>
  <c r="M1251" i="40"/>
  <c r="M1252" i="40"/>
  <c r="M1253" i="40"/>
  <c r="M1254" i="40"/>
  <c r="M1255" i="40"/>
  <c r="M1256" i="40"/>
  <c r="M1257" i="40"/>
  <c r="M1258" i="40"/>
  <c r="M1259" i="40"/>
  <c r="M1260" i="40"/>
  <c r="M1261" i="40"/>
  <c r="M1262" i="40"/>
  <c r="M1263" i="40"/>
  <c r="M1264" i="40"/>
  <c r="M1265" i="40"/>
  <c r="M1266" i="40"/>
  <c r="M1267" i="40"/>
  <c r="M1268" i="40"/>
  <c r="M1269" i="40"/>
  <c r="M1270" i="40"/>
  <c r="M1271" i="40"/>
  <c r="M1272" i="40"/>
  <c r="M1273" i="40"/>
  <c r="M1274" i="40"/>
  <c r="M1275" i="40"/>
  <c r="M1276" i="40"/>
  <c r="M1277" i="40"/>
  <c r="M1278" i="40"/>
  <c r="M1279" i="40"/>
  <c r="M1280" i="40"/>
  <c r="M1281" i="40"/>
  <c r="M1282" i="40"/>
  <c r="M1283" i="40"/>
  <c r="M1284" i="40"/>
  <c r="M1285" i="40"/>
  <c r="M1286" i="40"/>
  <c r="M1287" i="40"/>
  <c r="M1288" i="40"/>
  <c r="M1289" i="40"/>
  <c r="M1290" i="40"/>
  <c r="M1291" i="40"/>
  <c r="M1292" i="40"/>
  <c r="M1293" i="40"/>
  <c r="M1294" i="40"/>
  <c r="M1295" i="40"/>
  <c r="M1296" i="40"/>
  <c r="M1297" i="40"/>
  <c r="M1298" i="40"/>
  <c r="M1299" i="40"/>
  <c r="M1300" i="40"/>
  <c r="M1301" i="40"/>
  <c r="M1302" i="40"/>
  <c r="M1303" i="40"/>
  <c r="M1304" i="40"/>
  <c r="M1305" i="40"/>
  <c r="M1306" i="40"/>
  <c r="M1307" i="40"/>
  <c r="M1308" i="40"/>
  <c r="M1309" i="40"/>
  <c r="M1310" i="40"/>
  <c r="M1311" i="40"/>
  <c r="M1312" i="40"/>
  <c r="M1313" i="40"/>
  <c r="M1314" i="40"/>
  <c r="M1315" i="40"/>
  <c r="M1316" i="40"/>
  <c r="M1317" i="40"/>
  <c r="M1318" i="40"/>
  <c r="M1319" i="40"/>
  <c r="M1320" i="40"/>
  <c r="M1321" i="40"/>
  <c r="M1322" i="40"/>
  <c r="M1323" i="40"/>
  <c r="M1324" i="40"/>
  <c r="M1325" i="40"/>
  <c r="M1326" i="40"/>
  <c r="M1327" i="40"/>
  <c r="M1328" i="40"/>
  <c r="M1329" i="40"/>
  <c r="M1330" i="40"/>
  <c r="M1331" i="40"/>
  <c r="M1332" i="40"/>
  <c r="M1333" i="40"/>
  <c r="M1334" i="40"/>
  <c r="M1335" i="40"/>
  <c r="M1336" i="40"/>
  <c r="M1337" i="40"/>
  <c r="M1338" i="40"/>
  <c r="M1339" i="40"/>
  <c r="M1340" i="40"/>
  <c r="M1341" i="40"/>
  <c r="M1342" i="40"/>
  <c r="M1343" i="40"/>
  <c r="M1344" i="40"/>
  <c r="M1345" i="40"/>
  <c r="M1346" i="40"/>
  <c r="M1347" i="40"/>
  <c r="M1348" i="40"/>
  <c r="M1349" i="40"/>
  <c r="M1350" i="40"/>
  <c r="M1351" i="40"/>
  <c r="M1352" i="40"/>
  <c r="M1353" i="40"/>
  <c r="M1354" i="40"/>
  <c r="M1355" i="40"/>
  <c r="M1356" i="40"/>
  <c r="M1357" i="40"/>
  <c r="M1358" i="40"/>
  <c r="M1359" i="40"/>
  <c r="M1360" i="40"/>
  <c r="M1361" i="40"/>
  <c r="M1362" i="40"/>
  <c r="M1363" i="40"/>
  <c r="M1364" i="40"/>
  <c r="M1365" i="40"/>
  <c r="M1366" i="40"/>
  <c r="M1367" i="40"/>
  <c r="M1368" i="40"/>
  <c r="M1369" i="40"/>
  <c r="M1370" i="40"/>
  <c r="M1371" i="40"/>
  <c r="M1372" i="40"/>
  <c r="M1373" i="40"/>
  <c r="M1374" i="40"/>
  <c r="M1375" i="40"/>
  <c r="M1376" i="40"/>
  <c r="M1377" i="40"/>
  <c r="M1378" i="40"/>
  <c r="M1379" i="40"/>
  <c r="M1380" i="40"/>
  <c r="M1381" i="40"/>
  <c r="M1382" i="40"/>
  <c r="M1383" i="40"/>
  <c r="M1384" i="40"/>
  <c r="M1385" i="40"/>
  <c r="M1386" i="40"/>
  <c r="M1387" i="40"/>
  <c r="M1388" i="40"/>
  <c r="M1389" i="40"/>
  <c r="M1390" i="40"/>
  <c r="M1391" i="40"/>
  <c r="M1392" i="40"/>
  <c r="M1393" i="40"/>
  <c r="M1394" i="40"/>
  <c r="M1395" i="40"/>
  <c r="M1396" i="40"/>
  <c r="M1397" i="40"/>
  <c r="M1398" i="40"/>
  <c r="M1399" i="40"/>
  <c r="M1400" i="40"/>
  <c r="M1401" i="40"/>
  <c r="M1402" i="40"/>
  <c r="M1403" i="40"/>
  <c r="M1404" i="40"/>
  <c r="M1405" i="40"/>
  <c r="M1406" i="40"/>
  <c r="M1407" i="40"/>
  <c r="M1408" i="40"/>
  <c r="M1409" i="40"/>
  <c r="M1410" i="40"/>
  <c r="M1411" i="40"/>
  <c r="M1412" i="40"/>
  <c r="M1413" i="40"/>
  <c r="M1414" i="40"/>
  <c r="M1415" i="40"/>
  <c r="M1416" i="40"/>
  <c r="M1417" i="40"/>
  <c r="M1418" i="40"/>
  <c r="M1419" i="40"/>
  <c r="M1420" i="40"/>
  <c r="M1421" i="40"/>
  <c r="M1422" i="40"/>
  <c r="M1423" i="40"/>
  <c r="M1424" i="40"/>
  <c r="M1425" i="40"/>
  <c r="M1426" i="40"/>
  <c r="M1427" i="40"/>
  <c r="M1428" i="40"/>
  <c r="M1429" i="40"/>
  <c r="M1430" i="40"/>
  <c r="M1431" i="40"/>
  <c r="M1432" i="40"/>
  <c r="M1433" i="40"/>
  <c r="M1434" i="40"/>
  <c r="M1435" i="40"/>
  <c r="M1436" i="40"/>
  <c r="M1437" i="40"/>
  <c r="M1438" i="40"/>
  <c r="M1439" i="40"/>
  <c r="M1440" i="40"/>
  <c r="M1441" i="40"/>
  <c r="M1442" i="40"/>
  <c r="M1443" i="40"/>
  <c r="M1444" i="40"/>
  <c r="M1445" i="40"/>
  <c r="M1446" i="40"/>
  <c r="M1447" i="40"/>
  <c r="M1448" i="40"/>
  <c r="M1449" i="40"/>
  <c r="M1450" i="40"/>
  <c r="M1451" i="40"/>
  <c r="M1452" i="40"/>
  <c r="M1453" i="40"/>
  <c r="M1454" i="40"/>
  <c r="M1455" i="40"/>
  <c r="M1456" i="40"/>
  <c r="M1457" i="40"/>
  <c r="M1458" i="40"/>
  <c r="M1459" i="40"/>
  <c r="M1460" i="40"/>
  <c r="M1461" i="40"/>
  <c r="M1462" i="40"/>
  <c r="M1463" i="40"/>
  <c r="M1464" i="40"/>
  <c r="M1465" i="40"/>
  <c r="M1466" i="40"/>
  <c r="M1467" i="40"/>
  <c r="M1468" i="40"/>
  <c r="M1469" i="40"/>
  <c r="M1470" i="40"/>
  <c r="M1471" i="40"/>
  <c r="M1472" i="40"/>
  <c r="M1473" i="40"/>
  <c r="M1474" i="40"/>
  <c r="M1475" i="40"/>
  <c r="M1476" i="40"/>
  <c r="M1477" i="40"/>
  <c r="M1478" i="40"/>
  <c r="M1479" i="40"/>
  <c r="M1480" i="40"/>
  <c r="M1481" i="40"/>
  <c r="M1482" i="40"/>
  <c r="M1483" i="40"/>
  <c r="M1484" i="40"/>
  <c r="M1485" i="40"/>
  <c r="M1486" i="40"/>
  <c r="M1487" i="40"/>
  <c r="M1488" i="40"/>
  <c r="M1489" i="40"/>
  <c r="M1490" i="40"/>
  <c r="M1491" i="40"/>
  <c r="M1492" i="40"/>
  <c r="M1493" i="40"/>
  <c r="M1494" i="40"/>
  <c r="M1495" i="40"/>
  <c r="M1496" i="40"/>
  <c r="M1497" i="40"/>
  <c r="M1498" i="40"/>
  <c r="M1499" i="40"/>
  <c r="M1500" i="40"/>
  <c r="M1501" i="40"/>
  <c r="M1502" i="40"/>
  <c r="M1503" i="40"/>
  <c r="M1504" i="40"/>
  <c r="M1505" i="40"/>
  <c r="M1506" i="40"/>
  <c r="M1507" i="40"/>
  <c r="M1508" i="40"/>
  <c r="M1509" i="40"/>
  <c r="M1510" i="40"/>
  <c r="M1511" i="40"/>
  <c r="M1512" i="40"/>
  <c r="M1513" i="40"/>
  <c r="M1514" i="40"/>
  <c r="M1515" i="40"/>
  <c r="M1516" i="40"/>
  <c r="M1517" i="40"/>
  <c r="M1518" i="40"/>
  <c r="M1519" i="40"/>
  <c r="M1520" i="40"/>
  <c r="M1521" i="40"/>
  <c r="M1522" i="40"/>
  <c r="M1523" i="40"/>
  <c r="M1524" i="40"/>
  <c r="M1525" i="40"/>
  <c r="M1526" i="40"/>
  <c r="M1527" i="40"/>
  <c r="M1528" i="40"/>
  <c r="M1529" i="40"/>
  <c r="M1530" i="40"/>
  <c r="M1531" i="40"/>
  <c r="M1532" i="40"/>
  <c r="M1533" i="40"/>
  <c r="M1534" i="40"/>
  <c r="M1535" i="40"/>
  <c r="M1536" i="40"/>
  <c r="M1537" i="40"/>
  <c r="M1538" i="40"/>
  <c r="M1539" i="40"/>
  <c r="M1540" i="40"/>
  <c r="M1541" i="40"/>
  <c r="M1542" i="40"/>
  <c r="M1543" i="40"/>
  <c r="M1544" i="40"/>
  <c r="M1545" i="40"/>
  <c r="M1546" i="40"/>
  <c r="M1547" i="40"/>
  <c r="M1548" i="40"/>
  <c r="M1549" i="40"/>
  <c r="M1550" i="40"/>
  <c r="M1551" i="40"/>
  <c r="M1552" i="40"/>
  <c r="M1553" i="40"/>
  <c r="M1554" i="40"/>
  <c r="M1555" i="40"/>
  <c r="M1556" i="40"/>
  <c r="M1557" i="40"/>
  <c r="M1558" i="40"/>
  <c r="M1559" i="40"/>
  <c r="M1560" i="40"/>
  <c r="M1561" i="40"/>
  <c r="M1562" i="40"/>
  <c r="M1563" i="40"/>
  <c r="M1564" i="40"/>
  <c r="M1565" i="40"/>
  <c r="M1566" i="40"/>
  <c r="M1567" i="40"/>
  <c r="M1568" i="40"/>
  <c r="M1569" i="40"/>
  <c r="M1570" i="40"/>
  <c r="M1571" i="40"/>
  <c r="M1572" i="40"/>
  <c r="M1573" i="40"/>
  <c r="M1574" i="40"/>
  <c r="M1575" i="40"/>
  <c r="M1576" i="40"/>
  <c r="M1577" i="40"/>
  <c r="M1578" i="40"/>
  <c r="M1579" i="40"/>
  <c r="M1580" i="40"/>
  <c r="M1581" i="40"/>
  <c r="M1582" i="40"/>
  <c r="M1583" i="40"/>
  <c r="M1584" i="40"/>
  <c r="M1585" i="40"/>
  <c r="M1586" i="40"/>
  <c r="M1587" i="40"/>
  <c r="M1588" i="40"/>
  <c r="M1589" i="40"/>
  <c r="M1590" i="40"/>
  <c r="M1591" i="40"/>
  <c r="M1592" i="40"/>
  <c r="M1593" i="40"/>
  <c r="M1594" i="40"/>
  <c r="M1595" i="40"/>
  <c r="M1596" i="40"/>
  <c r="M1597" i="40"/>
  <c r="M1598" i="40"/>
  <c r="M1599" i="40"/>
  <c r="M1600" i="40"/>
  <c r="M1601" i="40"/>
  <c r="M1602" i="40"/>
  <c r="M1603" i="40"/>
  <c r="M1604" i="40"/>
  <c r="M1605" i="40"/>
  <c r="M1606" i="40"/>
  <c r="M1607" i="40"/>
  <c r="M1608" i="40"/>
  <c r="M1609" i="40"/>
  <c r="M1610" i="40"/>
  <c r="M1611" i="40"/>
  <c r="M1612" i="40"/>
  <c r="M1613" i="40"/>
  <c r="M1614" i="40"/>
  <c r="M1615" i="40"/>
  <c r="M1616" i="40"/>
  <c r="M1617" i="40"/>
  <c r="M1618" i="40"/>
  <c r="M1619" i="40"/>
  <c r="M1620" i="40"/>
  <c r="M1621" i="40"/>
  <c r="M1622" i="40"/>
  <c r="M1623" i="40"/>
  <c r="M1624" i="40"/>
  <c r="M1625" i="40"/>
  <c r="M1626" i="40"/>
  <c r="M1627" i="40"/>
  <c r="M1628" i="40"/>
  <c r="M1629" i="40"/>
  <c r="M1630" i="40"/>
  <c r="M1631" i="40"/>
  <c r="M1632" i="40"/>
  <c r="M1633" i="40"/>
  <c r="M1634" i="40"/>
  <c r="M1635" i="40"/>
  <c r="M1636" i="40"/>
  <c r="M1637" i="40"/>
  <c r="M1638" i="40"/>
  <c r="M1639" i="40"/>
  <c r="M1640" i="40"/>
  <c r="M1641" i="40"/>
  <c r="M1642" i="40"/>
  <c r="M1643" i="40"/>
  <c r="M1644" i="40"/>
  <c r="M1645" i="40"/>
  <c r="M1646" i="40"/>
  <c r="M1647" i="40"/>
  <c r="M1648" i="40"/>
  <c r="M1649" i="40"/>
  <c r="M1650" i="40"/>
  <c r="M1651" i="40"/>
  <c r="M1652" i="40"/>
  <c r="M1653" i="40"/>
  <c r="M1654" i="40"/>
  <c r="M1655" i="40"/>
  <c r="M1656" i="40"/>
  <c r="M1657" i="40"/>
  <c r="M1658" i="40"/>
  <c r="M1659" i="40"/>
  <c r="M1660" i="40"/>
  <c r="M1661" i="40"/>
  <c r="M1662" i="40"/>
  <c r="M1663" i="40"/>
  <c r="M1664" i="40"/>
  <c r="M1665" i="40"/>
  <c r="M1666" i="40"/>
  <c r="M1667" i="40"/>
  <c r="M1668" i="40"/>
  <c r="M1669" i="40"/>
  <c r="M1670" i="40"/>
  <c r="M1671" i="40"/>
  <c r="M1672" i="40"/>
  <c r="M1673" i="40"/>
  <c r="M1674" i="40"/>
  <c r="M1675" i="40"/>
  <c r="M1676" i="40"/>
  <c r="M1677" i="40"/>
  <c r="M1678" i="40"/>
  <c r="M1679" i="40"/>
  <c r="M1680" i="40"/>
  <c r="M1681" i="40"/>
  <c r="M1682" i="40"/>
  <c r="M1683" i="40"/>
  <c r="M1684" i="40"/>
  <c r="M1685" i="40"/>
  <c r="M1686" i="40"/>
  <c r="M1687" i="40"/>
  <c r="M1688" i="40"/>
  <c r="M1689" i="40"/>
  <c r="M1690" i="40"/>
  <c r="M1691" i="40"/>
  <c r="M1692" i="40"/>
  <c r="M1693" i="40"/>
  <c r="M1694" i="40"/>
  <c r="M1695" i="40"/>
  <c r="M1696" i="40"/>
  <c r="M1697" i="40"/>
  <c r="M1698" i="40"/>
  <c r="M1699" i="40"/>
  <c r="M1700" i="40"/>
  <c r="M1701" i="40"/>
  <c r="M1702" i="40"/>
  <c r="M1703" i="40"/>
  <c r="M1704" i="40"/>
  <c r="M1705" i="40"/>
  <c r="M1706" i="40"/>
  <c r="M1707" i="40"/>
  <c r="M1708" i="40"/>
  <c r="M1709" i="40"/>
  <c r="M1710" i="40"/>
  <c r="M1711" i="40"/>
  <c r="M1712" i="40"/>
  <c r="M1713" i="40"/>
  <c r="M1714" i="40"/>
  <c r="M1715" i="40"/>
  <c r="M1716" i="40"/>
  <c r="M1717" i="40"/>
  <c r="M1718" i="40"/>
  <c r="M1719" i="40"/>
  <c r="M1720" i="40"/>
  <c r="M1721" i="40"/>
  <c r="M1722" i="40"/>
  <c r="M1723" i="40"/>
  <c r="M1724" i="40"/>
  <c r="M1725" i="40"/>
  <c r="M1726" i="40"/>
  <c r="M1727" i="40"/>
  <c r="M1728" i="40"/>
  <c r="M1729" i="40"/>
  <c r="M1730" i="40"/>
  <c r="M1731" i="40"/>
  <c r="M1732" i="40"/>
  <c r="M1733" i="40"/>
  <c r="M1734" i="40"/>
  <c r="M1735" i="40"/>
  <c r="M1736" i="40"/>
  <c r="M1737" i="40"/>
  <c r="M1738" i="40"/>
  <c r="M1739" i="40"/>
  <c r="M1740" i="40"/>
  <c r="M1741" i="40"/>
  <c r="M1742" i="40"/>
  <c r="M1743" i="40"/>
  <c r="M1744" i="40"/>
  <c r="M1745" i="40"/>
  <c r="M1746" i="40"/>
  <c r="M1747" i="40"/>
  <c r="M1748" i="40"/>
  <c r="M1749" i="40"/>
  <c r="M1750" i="40"/>
  <c r="M1751" i="40"/>
  <c r="M1752" i="40"/>
  <c r="M1753" i="40"/>
  <c r="M1754" i="40"/>
  <c r="M1755" i="40"/>
  <c r="M1756" i="40"/>
  <c r="M1757" i="40"/>
  <c r="M1758" i="40"/>
  <c r="M1759" i="40"/>
  <c r="M1760" i="40"/>
  <c r="M1761" i="40"/>
  <c r="M1762" i="40"/>
  <c r="M1763" i="40"/>
  <c r="M1764" i="40"/>
  <c r="M1765" i="40"/>
  <c r="M1766" i="40"/>
  <c r="M1767" i="40"/>
  <c r="M1768" i="40"/>
  <c r="M1769" i="40"/>
  <c r="M1770" i="40"/>
  <c r="M1771" i="40"/>
  <c r="M1772" i="40"/>
  <c r="M1773" i="40"/>
  <c r="M1774" i="40"/>
  <c r="M1775" i="40"/>
  <c r="M1776" i="40"/>
  <c r="M1777" i="40"/>
  <c r="M1778" i="40"/>
  <c r="M1779" i="40"/>
  <c r="M1780" i="40"/>
  <c r="M1781" i="40"/>
  <c r="M1782" i="40"/>
  <c r="M1783" i="40"/>
  <c r="M1784" i="40"/>
  <c r="M1785" i="40"/>
  <c r="M1786" i="40"/>
  <c r="M1787" i="40"/>
  <c r="M1788" i="40"/>
  <c r="M1789" i="40"/>
  <c r="M1790" i="40"/>
  <c r="M1791" i="40"/>
  <c r="M1792" i="40"/>
  <c r="M1793" i="40"/>
  <c r="M1794" i="40"/>
  <c r="M1795" i="40"/>
  <c r="M1796" i="40"/>
  <c r="M1797" i="40"/>
  <c r="M1798" i="40"/>
  <c r="M1799" i="40"/>
  <c r="M1800" i="40"/>
  <c r="M1801" i="40"/>
  <c r="M1802" i="40"/>
  <c r="M1803" i="40"/>
  <c r="M1804" i="40"/>
  <c r="M1805" i="40"/>
  <c r="M1806" i="40"/>
  <c r="M1807" i="40"/>
  <c r="M1808" i="40"/>
  <c r="M1809" i="40"/>
  <c r="M1810" i="40"/>
  <c r="M1811" i="40"/>
  <c r="M1812" i="40"/>
  <c r="M1813" i="40"/>
  <c r="M1814" i="40"/>
  <c r="M1815" i="40"/>
  <c r="M1816" i="40"/>
  <c r="M1817" i="40"/>
  <c r="M1818" i="40"/>
  <c r="M1819" i="40"/>
  <c r="M1820" i="40"/>
  <c r="M1821" i="40"/>
  <c r="M1822" i="40"/>
  <c r="M1823" i="40"/>
  <c r="M1824" i="40"/>
  <c r="M1825" i="40"/>
  <c r="M1826" i="40"/>
  <c r="M1827" i="40"/>
  <c r="M1828" i="40"/>
  <c r="M1829" i="40"/>
  <c r="M1830" i="40"/>
  <c r="M1831" i="40"/>
  <c r="M1832" i="40"/>
  <c r="M1833" i="40"/>
  <c r="M1834" i="40"/>
  <c r="M1835" i="40"/>
  <c r="M1836" i="40"/>
  <c r="M1837" i="40"/>
  <c r="M1838" i="40"/>
  <c r="M1839" i="40"/>
  <c r="M1840" i="40"/>
  <c r="M1841" i="40"/>
  <c r="M1842" i="40"/>
  <c r="M1843" i="40"/>
  <c r="M1844" i="40"/>
  <c r="M1845" i="40"/>
  <c r="M1846" i="40"/>
  <c r="M1847" i="40"/>
  <c r="M1848" i="40"/>
  <c r="M1849" i="40"/>
  <c r="M1850" i="40"/>
  <c r="M1851" i="40"/>
  <c r="M1852" i="40"/>
  <c r="M1853" i="40"/>
  <c r="M1854" i="40"/>
  <c r="M1855" i="40"/>
  <c r="M1856" i="40"/>
  <c r="M1857" i="40"/>
  <c r="M1858" i="40"/>
  <c r="M1859" i="40"/>
  <c r="M1860" i="40"/>
  <c r="M1861" i="40"/>
  <c r="M1862" i="40"/>
  <c r="M1863" i="40"/>
  <c r="M1864" i="40"/>
  <c r="M1865" i="40"/>
  <c r="M1866" i="40"/>
  <c r="M1867" i="40"/>
  <c r="M1868" i="40"/>
  <c r="M1869" i="40"/>
  <c r="M1870" i="40"/>
  <c r="M1871" i="40"/>
  <c r="M1872" i="40"/>
  <c r="M1873" i="40"/>
  <c r="M1874" i="40"/>
  <c r="M1875" i="40"/>
  <c r="M1876" i="40"/>
  <c r="M1877" i="40"/>
  <c r="M1878" i="40"/>
  <c r="M1879" i="40"/>
  <c r="M1880" i="40"/>
  <c r="M1881" i="40"/>
  <c r="M1882" i="40"/>
  <c r="M1883" i="40"/>
  <c r="M1884" i="40"/>
  <c r="M1885" i="40"/>
  <c r="M1886" i="40"/>
  <c r="M1887" i="40"/>
  <c r="M1888" i="40"/>
  <c r="M1889" i="40"/>
  <c r="M1890" i="40"/>
  <c r="M1891" i="40"/>
  <c r="M1892" i="40"/>
  <c r="M1893" i="40"/>
  <c r="M1894" i="40"/>
  <c r="M1895" i="40"/>
  <c r="M1896" i="40"/>
  <c r="M1897" i="40"/>
  <c r="M1898" i="40"/>
  <c r="M1899" i="40"/>
  <c r="M1900" i="40"/>
  <c r="M1901" i="40"/>
  <c r="M1902" i="40"/>
  <c r="M1903" i="40"/>
  <c r="M1904" i="40"/>
  <c r="M1905" i="40"/>
  <c r="M1906" i="40"/>
  <c r="M1907" i="40"/>
  <c r="M1908" i="40"/>
  <c r="M1909" i="40"/>
  <c r="M1910" i="40"/>
  <c r="M1911" i="40"/>
  <c r="M1912" i="40"/>
  <c r="M1913" i="40"/>
  <c r="M1914" i="40"/>
  <c r="M1915" i="40"/>
  <c r="M1916" i="40"/>
  <c r="M1917" i="40"/>
  <c r="M1918" i="40"/>
  <c r="M1919" i="40"/>
  <c r="M1920" i="40"/>
  <c r="M1921" i="40"/>
  <c r="M1922" i="40"/>
  <c r="M1923" i="40"/>
  <c r="M1924" i="40"/>
  <c r="M1925" i="40"/>
  <c r="M1926" i="40"/>
  <c r="M1927" i="40"/>
  <c r="M1928" i="40"/>
  <c r="M1929" i="40"/>
  <c r="M1930" i="40"/>
  <c r="M1931" i="40"/>
  <c r="M1932" i="40"/>
  <c r="M1933" i="40"/>
  <c r="M1934" i="40"/>
  <c r="M1935" i="40"/>
  <c r="M1936" i="40"/>
  <c r="M1937" i="40"/>
  <c r="M1938" i="40"/>
  <c r="M1939" i="40"/>
  <c r="M1940" i="40"/>
  <c r="M1941" i="40"/>
  <c r="M1942" i="40"/>
  <c r="M1943" i="40"/>
  <c r="M1944" i="40"/>
  <c r="M1945" i="40"/>
  <c r="M1946" i="40"/>
  <c r="M1947" i="40"/>
  <c r="M1948" i="40"/>
  <c r="M1949" i="40"/>
  <c r="M1950" i="40"/>
  <c r="M1951" i="40"/>
  <c r="M1952" i="40"/>
  <c r="M1953" i="40"/>
  <c r="M1954" i="40"/>
  <c r="M1955" i="40"/>
  <c r="M1956" i="40"/>
  <c r="M1957" i="40"/>
  <c r="M1958" i="40"/>
  <c r="M1959" i="40"/>
  <c r="M1960" i="40"/>
  <c r="M1961" i="40"/>
  <c r="M1962" i="40"/>
  <c r="M1963" i="40"/>
  <c r="M1964" i="40"/>
  <c r="M1965" i="40"/>
  <c r="M1966" i="40"/>
  <c r="M1967" i="40"/>
  <c r="M1968" i="40"/>
  <c r="M1969" i="40"/>
  <c r="M1970" i="40"/>
  <c r="M1971" i="40"/>
  <c r="M1972" i="40"/>
  <c r="M1973" i="40"/>
  <c r="M1974" i="40"/>
  <c r="M1975" i="40"/>
  <c r="M1976" i="40"/>
  <c r="M1977" i="40"/>
  <c r="M1978" i="40"/>
  <c r="M1979" i="40"/>
  <c r="M1980" i="40"/>
  <c r="M1981" i="40"/>
  <c r="M1982" i="40"/>
  <c r="M1983" i="40"/>
  <c r="M1984" i="40"/>
  <c r="M1985" i="40"/>
  <c r="M1986" i="40"/>
  <c r="M1987" i="40"/>
  <c r="M1988" i="40"/>
  <c r="M1989" i="40"/>
  <c r="M1990" i="40"/>
  <c r="M1991" i="40"/>
  <c r="M1992" i="40"/>
  <c r="M1993" i="40"/>
  <c r="M1994" i="40"/>
  <c r="M1995" i="40"/>
  <c r="M1996" i="40"/>
  <c r="M1997" i="40"/>
  <c r="M1998" i="40"/>
  <c r="M1999" i="40"/>
  <c r="M2000" i="40"/>
  <c r="M2001" i="40"/>
  <c r="M2002" i="40"/>
  <c r="M2003" i="40"/>
  <c r="M2004" i="40"/>
  <c r="M2005" i="40"/>
  <c r="M2006" i="40"/>
  <c r="M2007" i="40"/>
  <c r="M2008" i="40"/>
  <c r="M2009" i="40"/>
  <c r="M2010" i="40"/>
  <c r="M2011" i="40"/>
  <c r="M2012" i="40"/>
  <c r="M2013" i="40"/>
  <c r="M2014" i="40"/>
  <c r="M2015" i="40"/>
  <c r="M2016" i="40"/>
  <c r="M2017" i="40"/>
  <c r="M2018" i="40"/>
  <c r="M2019" i="40"/>
  <c r="M2020" i="40"/>
  <c r="M2021" i="40"/>
  <c r="M2022" i="40"/>
  <c r="M2023" i="40"/>
  <c r="M2024" i="40"/>
  <c r="M2025" i="40"/>
  <c r="M2026" i="40"/>
  <c r="M2027" i="40"/>
  <c r="M2028" i="40"/>
  <c r="M2029" i="40"/>
  <c r="M2030" i="40"/>
  <c r="M2031" i="40"/>
  <c r="M2032" i="40"/>
  <c r="M2033" i="40"/>
  <c r="M2034" i="40"/>
  <c r="M2035" i="40"/>
  <c r="M2036" i="40"/>
  <c r="M2037" i="40"/>
  <c r="M2038" i="40"/>
  <c r="M2039" i="40"/>
  <c r="M2040" i="40"/>
  <c r="M2041" i="40"/>
  <c r="M2042" i="40"/>
  <c r="M2043" i="40"/>
  <c r="M2044" i="40"/>
  <c r="M2045" i="40"/>
  <c r="M2046" i="40"/>
  <c r="M2047" i="40"/>
  <c r="M2048" i="40"/>
  <c r="M2049" i="40"/>
  <c r="M2050" i="40"/>
  <c r="M2051" i="40"/>
  <c r="M2052" i="40"/>
  <c r="M2053" i="40"/>
  <c r="M2054" i="40"/>
  <c r="M2055" i="40"/>
  <c r="M2056" i="40"/>
  <c r="M2057" i="40"/>
  <c r="M2058" i="40"/>
  <c r="M2059" i="40"/>
  <c r="M2060" i="40"/>
  <c r="M2061" i="40"/>
  <c r="M2062" i="40"/>
  <c r="M2063" i="40"/>
  <c r="M2064" i="40"/>
  <c r="M2065" i="40"/>
  <c r="M2066" i="40"/>
  <c r="M2067" i="40"/>
  <c r="M2068" i="40"/>
  <c r="M2069" i="40"/>
  <c r="M2070" i="40"/>
  <c r="M2071" i="40"/>
  <c r="M2072" i="40"/>
  <c r="M2073" i="40"/>
  <c r="M2074" i="40"/>
  <c r="M2075" i="40"/>
  <c r="M2076" i="40"/>
  <c r="M2077" i="40"/>
  <c r="M2078" i="40"/>
  <c r="M2079" i="40"/>
  <c r="M2080" i="40"/>
  <c r="M2081" i="40"/>
  <c r="M2082" i="40"/>
  <c r="M2083" i="40"/>
  <c r="M2084" i="40"/>
  <c r="M2085" i="40"/>
  <c r="M2086" i="40"/>
  <c r="M2087" i="40"/>
  <c r="M2088" i="40"/>
  <c r="M2089" i="40"/>
  <c r="M2090" i="40"/>
  <c r="M2091" i="40"/>
  <c r="M2092" i="40"/>
  <c r="M2093" i="40"/>
  <c r="M2094" i="40"/>
  <c r="M2095" i="40"/>
  <c r="M2096" i="40"/>
  <c r="M2097" i="40"/>
  <c r="M2098" i="40"/>
  <c r="M2099" i="40"/>
  <c r="M2100" i="40"/>
  <c r="M2101" i="40"/>
  <c r="M2102" i="40"/>
  <c r="M2103" i="40"/>
  <c r="M2104" i="40"/>
  <c r="M2105" i="40"/>
  <c r="M2106" i="40"/>
  <c r="M2107" i="40"/>
  <c r="M2108" i="40"/>
  <c r="M2109" i="40"/>
  <c r="M2110" i="40"/>
  <c r="M2111" i="40"/>
  <c r="M2112" i="40"/>
  <c r="M2113" i="40"/>
  <c r="M2114" i="40"/>
  <c r="M2115" i="40"/>
  <c r="M2116" i="40"/>
  <c r="M2117" i="40"/>
  <c r="M2118" i="40"/>
  <c r="M2119" i="40"/>
  <c r="M2120" i="40"/>
  <c r="M2121" i="40"/>
  <c r="M2122" i="40"/>
  <c r="M2123" i="40"/>
  <c r="M2124" i="40"/>
  <c r="M2125" i="40"/>
  <c r="M2126" i="40"/>
  <c r="M2127" i="40"/>
  <c r="M2128" i="40"/>
  <c r="M2129" i="40"/>
  <c r="M2130" i="40"/>
  <c r="M2131" i="40"/>
  <c r="M2132" i="40"/>
  <c r="M2133" i="40"/>
  <c r="M2134" i="40"/>
  <c r="M2135" i="40"/>
  <c r="M2136" i="40"/>
  <c r="M2137" i="40"/>
  <c r="M2138" i="40"/>
  <c r="M2139" i="40"/>
  <c r="M2140" i="40"/>
  <c r="M2141" i="40"/>
  <c r="M2142" i="40"/>
  <c r="M2143" i="40"/>
  <c r="M2144" i="40"/>
  <c r="M2145" i="40"/>
  <c r="M2146" i="40"/>
  <c r="M2147" i="40"/>
  <c r="M2148" i="40"/>
  <c r="M2149" i="40"/>
  <c r="M2150" i="40"/>
  <c r="M2151" i="40"/>
  <c r="M2152" i="40"/>
  <c r="M2153" i="40"/>
  <c r="M2154" i="40"/>
  <c r="M2155" i="40"/>
  <c r="M2156" i="40"/>
  <c r="M2157" i="40"/>
  <c r="M2158" i="40"/>
  <c r="M2159" i="40"/>
  <c r="M2160" i="40"/>
  <c r="M2161" i="40"/>
  <c r="M2162" i="40"/>
  <c r="M2163" i="40"/>
  <c r="M2164" i="40"/>
  <c r="M2165" i="40"/>
  <c r="M2166" i="40"/>
  <c r="M2167" i="40"/>
  <c r="M2168" i="40"/>
  <c r="M2169" i="40"/>
  <c r="M2170" i="40"/>
  <c r="M2171" i="40"/>
  <c r="M2172" i="40"/>
  <c r="M2173" i="40"/>
  <c r="M2174" i="40"/>
  <c r="M2175" i="40"/>
  <c r="M2176" i="40"/>
  <c r="M2177" i="40"/>
  <c r="M2178" i="40"/>
  <c r="M2179" i="40"/>
  <c r="M2180" i="40"/>
  <c r="M2181" i="40"/>
  <c r="M2182" i="40"/>
  <c r="M2183" i="40"/>
  <c r="M2184" i="40"/>
  <c r="M2185" i="40"/>
  <c r="M2186" i="40"/>
  <c r="M2187" i="40"/>
  <c r="M2188" i="40"/>
  <c r="M2189" i="40"/>
  <c r="M2190" i="40"/>
  <c r="M2191" i="40"/>
  <c r="M2192" i="40"/>
  <c r="M2193" i="40"/>
  <c r="M2194" i="40"/>
  <c r="M2195" i="40"/>
  <c r="M2196" i="40"/>
  <c r="M2197" i="40"/>
  <c r="M2198" i="40"/>
  <c r="M2199" i="40"/>
  <c r="M2200" i="40"/>
  <c r="M2201" i="40"/>
  <c r="M2202" i="40"/>
  <c r="M2203" i="40"/>
  <c r="M2204" i="40"/>
  <c r="M2205" i="40"/>
  <c r="M2206" i="40"/>
  <c r="M2207" i="40"/>
  <c r="M2208" i="40"/>
  <c r="M2209" i="40"/>
  <c r="M2210" i="40"/>
  <c r="M2211" i="40"/>
  <c r="M2212" i="40"/>
  <c r="M2213" i="40"/>
  <c r="M2214" i="40"/>
  <c r="M2215" i="40"/>
  <c r="M2216" i="40"/>
  <c r="M2217" i="40"/>
  <c r="M2218" i="40"/>
  <c r="M2219" i="40"/>
  <c r="M2220" i="40"/>
  <c r="M2221" i="40"/>
  <c r="M2222" i="40"/>
  <c r="M2223" i="40"/>
  <c r="M2224" i="40"/>
  <c r="M2225" i="40"/>
  <c r="M2226" i="40"/>
  <c r="M2227" i="40"/>
  <c r="M2228" i="40"/>
  <c r="M2229" i="40"/>
  <c r="M2230" i="40"/>
  <c r="M2231" i="40"/>
  <c r="M2232" i="40"/>
  <c r="M2233" i="40"/>
  <c r="M2234" i="40"/>
  <c r="M2235" i="40"/>
  <c r="M2236" i="40"/>
  <c r="M2237" i="40"/>
  <c r="M2238" i="40"/>
  <c r="M2239" i="40"/>
  <c r="M2240" i="40"/>
  <c r="M2241" i="40"/>
  <c r="M2242" i="40"/>
  <c r="M2243" i="40"/>
  <c r="M2244" i="40"/>
  <c r="M2245" i="40"/>
  <c r="M2246" i="40"/>
  <c r="M2247" i="40"/>
  <c r="M2248" i="40"/>
  <c r="M2249" i="40"/>
  <c r="M2250" i="40"/>
  <c r="M2251" i="40"/>
  <c r="M2252" i="40"/>
  <c r="M2253" i="40"/>
  <c r="M2254" i="40"/>
  <c r="M2255" i="40"/>
  <c r="M2256" i="40"/>
  <c r="M2257" i="40"/>
  <c r="M2258" i="40"/>
  <c r="M2259" i="40"/>
  <c r="M2260" i="40"/>
  <c r="M2261" i="40"/>
  <c r="M2262" i="40"/>
  <c r="M2263" i="40"/>
  <c r="M2264" i="40"/>
  <c r="M2265" i="40"/>
  <c r="M2266" i="40"/>
  <c r="M2267" i="40"/>
  <c r="M2268" i="40"/>
  <c r="M2269" i="40"/>
  <c r="M2270" i="40"/>
  <c r="M2271" i="40"/>
  <c r="M2272" i="40"/>
  <c r="M2273" i="40"/>
  <c r="M2274" i="40"/>
  <c r="M2275" i="40"/>
  <c r="M2276" i="40"/>
  <c r="M2277" i="40"/>
  <c r="M2278" i="40"/>
  <c r="M2279" i="40"/>
  <c r="M2280" i="40"/>
  <c r="M2281" i="40"/>
  <c r="M2282" i="40"/>
  <c r="M2283" i="40"/>
  <c r="M2284" i="40"/>
  <c r="M2285" i="40"/>
  <c r="M2286" i="40"/>
  <c r="M2287" i="40"/>
  <c r="M2288" i="40"/>
  <c r="M2289" i="40"/>
  <c r="M2290" i="40"/>
  <c r="M2291" i="40"/>
  <c r="M2292" i="40"/>
  <c r="M2293" i="40"/>
  <c r="M2294" i="40"/>
  <c r="M2295" i="40"/>
  <c r="M2296" i="40"/>
  <c r="M2297" i="40"/>
  <c r="M2298" i="40"/>
  <c r="M2299" i="40"/>
  <c r="M2300" i="40"/>
  <c r="M2301" i="40"/>
  <c r="M2302" i="40"/>
  <c r="M2303" i="40"/>
  <c r="M2304" i="40"/>
  <c r="M2305" i="40"/>
  <c r="M2306" i="40"/>
  <c r="M2307" i="40"/>
  <c r="M2308" i="40"/>
  <c r="M2309" i="40"/>
  <c r="M2310" i="40"/>
  <c r="M2311" i="40"/>
  <c r="M2312" i="40"/>
  <c r="M2313" i="40"/>
  <c r="M2314" i="40"/>
  <c r="M2315" i="40"/>
  <c r="M2316" i="40"/>
  <c r="M2317" i="40"/>
  <c r="M2318" i="40"/>
  <c r="M2319" i="40"/>
  <c r="M2320" i="40"/>
  <c r="M2321" i="40"/>
  <c r="M2322" i="40"/>
  <c r="M2323" i="40"/>
  <c r="M2324" i="40"/>
  <c r="M2325" i="40"/>
  <c r="M2326" i="40"/>
  <c r="M2327" i="40"/>
  <c r="M2328" i="40"/>
  <c r="M2329" i="40"/>
  <c r="M2330" i="40"/>
  <c r="M2331" i="40"/>
  <c r="M2332" i="40"/>
  <c r="M2333" i="40"/>
  <c r="M2334" i="40"/>
  <c r="M2335" i="40"/>
  <c r="M2336" i="40"/>
  <c r="M2337" i="40"/>
  <c r="M2338" i="40"/>
  <c r="M2339" i="40"/>
  <c r="M2340" i="40"/>
  <c r="M2341" i="40"/>
  <c r="M2342" i="40"/>
  <c r="M2343" i="40"/>
  <c r="M2344" i="40"/>
  <c r="M2345" i="40"/>
  <c r="M2346" i="40"/>
  <c r="M2347" i="40"/>
  <c r="M2348" i="40"/>
  <c r="M2349" i="40"/>
  <c r="M2350" i="40"/>
  <c r="M2351" i="40"/>
  <c r="M2352" i="40"/>
  <c r="M2353" i="40"/>
  <c r="M2354" i="40"/>
  <c r="M2355" i="40"/>
  <c r="M2356" i="40"/>
  <c r="M2357" i="40"/>
  <c r="M2358" i="40"/>
  <c r="M2359" i="40"/>
  <c r="M2360" i="40"/>
  <c r="M2361" i="40"/>
  <c r="M2362" i="40"/>
  <c r="M2363" i="40"/>
  <c r="M2364" i="40"/>
  <c r="M2365" i="40"/>
  <c r="M2366" i="40"/>
  <c r="M2367" i="40"/>
  <c r="M2368" i="40"/>
  <c r="M2369" i="40"/>
  <c r="M2370" i="40"/>
  <c r="M2371" i="40"/>
  <c r="M2372" i="40"/>
  <c r="M2373" i="40"/>
  <c r="M2374" i="40"/>
  <c r="M2375" i="40"/>
  <c r="M2376" i="40"/>
  <c r="M2377" i="40"/>
  <c r="M2378" i="40"/>
  <c r="M2379" i="40"/>
  <c r="M2380" i="40"/>
  <c r="M2381" i="40"/>
  <c r="M2382" i="40"/>
  <c r="M2383" i="40"/>
  <c r="M2384" i="40"/>
  <c r="M2385" i="40"/>
  <c r="M2386" i="40"/>
  <c r="M2387" i="40"/>
  <c r="M2388" i="40"/>
  <c r="M2389" i="40"/>
  <c r="M2390" i="40"/>
  <c r="M2391" i="40"/>
  <c r="M2392" i="40"/>
  <c r="M2393" i="40"/>
  <c r="M2394" i="40"/>
  <c r="M2395" i="40"/>
  <c r="M2396" i="40"/>
  <c r="M2397" i="40"/>
  <c r="M2398" i="40"/>
  <c r="M2399" i="40"/>
  <c r="M2400" i="40"/>
  <c r="M2401" i="40"/>
  <c r="M2402" i="40"/>
  <c r="M2403" i="40"/>
  <c r="M2404" i="40"/>
  <c r="M2405" i="40"/>
  <c r="M2406" i="40"/>
  <c r="M2407" i="40"/>
  <c r="M2408" i="40"/>
  <c r="M2409" i="40"/>
  <c r="M2410" i="40"/>
  <c r="M2411" i="40"/>
  <c r="M2412" i="40"/>
  <c r="M2413" i="40"/>
  <c r="M2414" i="40"/>
  <c r="M2415" i="40"/>
  <c r="M2416" i="40"/>
  <c r="M2417" i="40"/>
  <c r="M2418" i="40"/>
  <c r="M2419" i="40"/>
  <c r="M2420" i="40"/>
  <c r="M2421" i="40"/>
  <c r="M2422" i="40"/>
  <c r="M2423" i="40"/>
  <c r="M2424" i="40"/>
  <c r="M2425" i="40"/>
  <c r="M2426" i="40"/>
  <c r="M2427" i="40"/>
  <c r="M2428" i="40"/>
  <c r="M2429" i="40"/>
  <c r="M2430" i="40"/>
  <c r="M2431" i="40"/>
  <c r="M2432" i="40"/>
  <c r="M2433" i="40"/>
  <c r="M2434" i="40"/>
  <c r="M2435" i="40"/>
  <c r="M2436" i="40"/>
  <c r="M2437" i="40"/>
  <c r="M2438" i="40"/>
  <c r="M2439" i="40"/>
  <c r="M2440" i="40"/>
  <c r="M2441" i="40"/>
  <c r="M2442" i="40"/>
  <c r="M2443" i="40"/>
  <c r="M2444" i="40"/>
  <c r="M2445" i="40"/>
  <c r="M2446" i="40"/>
  <c r="M2447" i="40"/>
  <c r="M2448" i="40"/>
  <c r="M2449" i="40"/>
  <c r="M2450" i="40"/>
  <c r="M2451" i="40"/>
  <c r="M2452" i="40"/>
  <c r="M2453" i="40"/>
  <c r="M2454" i="40"/>
  <c r="M2455" i="40"/>
  <c r="M2456" i="40"/>
  <c r="M2457" i="40"/>
  <c r="M2458" i="40"/>
  <c r="M2459" i="40"/>
  <c r="M2460" i="40"/>
  <c r="M2461" i="40"/>
  <c r="M2462" i="40"/>
  <c r="M2463" i="40"/>
  <c r="M2464" i="40"/>
  <c r="M2465" i="40"/>
  <c r="M2466" i="40"/>
  <c r="M2467" i="40"/>
  <c r="M2468" i="40"/>
  <c r="M2469" i="40"/>
  <c r="M2470" i="40"/>
  <c r="M2471" i="40"/>
  <c r="M2472" i="40"/>
  <c r="M2473" i="40"/>
  <c r="M2474" i="40"/>
  <c r="M2475" i="40"/>
  <c r="M2476" i="40"/>
  <c r="M2477" i="40"/>
  <c r="M2478" i="40"/>
  <c r="M2479" i="40"/>
  <c r="M2480" i="40"/>
  <c r="M2481" i="40"/>
  <c r="M2482" i="40"/>
  <c r="M2483" i="40"/>
  <c r="M2484" i="40"/>
  <c r="M2485" i="40"/>
  <c r="M2486" i="40"/>
  <c r="M2487" i="40"/>
  <c r="M2488" i="40"/>
  <c r="M2489" i="40"/>
  <c r="M2490" i="40"/>
  <c r="M2491" i="40"/>
  <c r="M2492" i="40"/>
  <c r="M2493" i="40"/>
  <c r="M2494" i="40"/>
  <c r="M2495" i="40"/>
  <c r="M2496" i="40"/>
  <c r="M2497" i="40"/>
  <c r="M2498" i="40"/>
  <c r="M2499" i="40"/>
  <c r="M2500" i="40"/>
  <c r="M2501" i="40"/>
  <c r="M2502" i="40"/>
  <c r="M2503" i="40"/>
  <c r="M2504" i="40"/>
  <c r="M2505" i="40"/>
  <c r="M2506" i="40"/>
  <c r="M2507" i="40"/>
  <c r="M2508" i="40"/>
  <c r="M2509" i="40"/>
  <c r="M2510" i="40"/>
  <c r="M2511" i="40"/>
  <c r="M2512" i="40"/>
  <c r="M2513" i="40"/>
  <c r="M2514" i="40"/>
  <c r="M2515" i="40"/>
  <c r="M2516" i="40"/>
  <c r="M2517" i="40"/>
  <c r="M2518" i="40"/>
  <c r="M2519" i="40"/>
  <c r="M2520" i="40"/>
  <c r="M2521" i="40"/>
  <c r="M2522" i="40"/>
  <c r="M2523" i="40"/>
  <c r="M2524" i="40"/>
  <c r="M2525" i="40"/>
  <c r="M2526" i="40"/>
  <c r="M2527" i="40"/>
  <c r="M2528" i="40"/>
  <c r="M2529" i="40"/>
  <c r="M2530" i="40"/>
  <c r="M2531" i="40"/>
  <c r="M2532" i="40"/>
  <c r="M2533" i="40"/>
  <c r="M2534" i="40"/>
  <c r="M2535" i="40"/>
  <c r="M2536" i="40"/>
  <c r="M2537" i="40"/>
  <c r="M2538" i="40"/>
  <c r="M2539" i="40"/>
  <c r="M2540" i="40"/>
  <c r="M2541" i="40"/>
  <c r="M2542" i="40"/>
  <c r="M2543" i="40"/>
  <c r="M2544" i="40"/>
  <c r="M2545" i="40"/>
  <c r="M2546" i="40"/>
  <c r="M2547" i="40"/>
  <c r="M2548" i="40"/>
  <c r="M2549" i="40"/>
  <c r="M2550" i="40"/>
  <c r="M2551" i="40"/>
  <c r="M2552" i="40"/>
  <c r="M2553" i="40"/>
  <c r="M2554" i="40"/>
  <c r="M2555" i="40"/>
  <c r="M2556" i="40"/>
  <c r="M2557" i="40"/>
  <c r="M2558" i="40"/>
  <c r="M2559" i="40"/>
  <c r="M2560" i="40"/>
  <c r="M2561" i="40"/>
  <c r="M2562" i="40"/>
  <c r="M2563" i="40"/>
  <c r="M2564" i="40"/>
  <c r="M2565" i="40"/>
  <c r="M2566" i="40"/>
  <c r="M2567" i="40"/>
  <c r="M2568" i="40"/>
  <c r="M2569" i="40"/>
  <c r="M2570" i="40"/>
  <c r="M2571" i="40"/>
  <c r="M2572" i="40"/>
  <c r="M2573" i="40"/>
  <c r="M2574" i="40"/>
  <c r="M2575" i="40"/>
  <c r="M2576" i="40"/>
  <c r="M2577" i="40"/>
  <c r="M2578" i="40"/>
  <c r="M2579" i="40"/>
  <c r="M2580" i="40"/>
  <c r="M2581" i="40"/>
  <c r="M2582" i="40"/>
  <c r="M2583" i="40"/>
  <c r="M2584" i="40"/>
  <c r="M2585" i="40"/>
  <c r="M2586" i="40"/>
  <c r="M2587" i="40"/>
  <c r="M2588" i="40"/>
  <c r="M2589" i="40"/>
  <c r="M2590" i="40"/>
  <c r="M2591" i="40"/>
  <c r="M2592" i="40"/>
  <c r="M2593" i="40"/>
  <c r="M2594" i="40"/>
  <c r="M2595" i="40"/>
  <c r="M2596" i="40"/>
  <c r="M2597" i="40"/>
  <c r="M2598" i="40"/>
  <c r="M2599" i="40"/>
  <c r="M2600" i="40"/>
  <c r="M2601" i="40"/>
  <c r="M2602" i="40"/>
  <c r="M2603" i="40"/>
  <c r="M2604" i="40"/>
  <c r="M2605" i="40"/>
  <c r="M2606" i="40"/>
  <c r="M2607" i="40"/>
  <c r="M2608" i="40"/>
  <c r="M2609" i="40"/>
  <c r="M2610" i="40"/>
  <c r="M2611" i="40"/>
  <c r="M2612" i="40"/>
  <c r="M2613" i="40"/>
  <c r="M2614" i="40"/>
  <c r="M2615" i="40"/>
  <c r="M2616" i="40"/>
  <c r="M2617" i="40"/>
  <c r="M2618" i="40"/>
  <c r="M2619" i="40"/>
  <c r="M2620" i="40"/>
  <c r="M2621" i="40"/>
  <c r="M2622" i="40"/>
  <c r="M2623" i="40"/>
  <c r="M2624" i="40"/>
  <c r="M2625" i="40"/>
  <c r="M2626" i="40"/>
  <c r="M2627" i="40"/>
  <c r="M2628" i="40"/>
  <c r="M2629" i="40"/>
  <c r="M2630" i="40"/>
  <c r="M2631" i="40"/>
  <c r="M2632" i="40"/>
  <c r="M2633" i="40"/>
  <c r="M2634" i="40"/>
  <c r="M2635" i="40"/>
  <c r="M2636" i="40"/>
  <c r="M2637" i="40"/>
  <c r="M2638" i="40"/>
  <c r="M2639" i="40"/>
  <c r="M2640" i="40"/>
  <c r="M2641" i="40"/>
  <c r="M2642" i="40"/>
  <c r="M2643" i="40"/>
  <c r="M2644" i="40"/>
  <c r="M2645" i="40"/>
  <c r="M2646" i="40"/>
  <c r="M2647" i="40"/>
  <c r="M2648" i="40"/>
  <c r="M2649" i="40"/>
  <c r="M2650" i="40"/>
  <c r="M2651" i="40"/>
  <c r="M2652" i="40"/>
  <c r="M2653" i="40"/>
  <c r="M2654" i="40"/>
  <c r="M2655" i="40"/>
  <c r="M2656" i="40"/>
  <c r="M2657" i="40"/>
  <c r="M2658" i="40"/>
  <c r="M2659" i="40"/>
  <c r="M2660" i="40"/>
  <c r="M2661" i="40"/>
  <c r="M2662" i="40"/>
  <c r="M2663" i="40"/>
  <c r="M2664" i="40"/>
  <c r="M2665" i="40"/>
  <c r="M2666" i="40"/>
  <c r="M2667" i="40"/>
  <c r="M2668" i="40"/>
  <c r="M2669" i="40"/>
  <c r="M2670" i="40"/>
  <c r="M2671" i="40"/>
  <c r="M2672" i="40"/>
  <c r="M2673" i="40"/>
  <c r="M2674" i="40"/>
  <c r="M2675" i="40"/>
  <c r="M2676" i="40"/>
  <c r="M2677" i="40"/>
  <c r="M2678" i="40"/>
  <c r="M2679" i="40"/>
  <c r="M2680" i="40"/>
  <c r="M2681" i="40"/>
  <c r="M2682" i="40"/>
  <c r="M2683" i="40"/>
  <c r="M2684" i="40"/>
  <c r="M2685" i="40"/>
  <c r="M2686" i="40"/>
  <c r="M2687" i="40"/>
  <c r="M2688" i="40"/>
  <c r="M2689" i="40"/>
  <c r="M2690" i="40"/>
  <c r="M2691" i="40"/>
  <c r="M2692" i="40"/>
  <c r="M2693" i="40"/>
  <c r="M2694" i="40"/>
  <c r="M2695" i="40"/>
  <c r="M2696" i="40"/>
  <c r="M2697" i="40"/>
  <c r="M2698" i="40"/>
  <c r="M2699" i="40"/>
  <c r="M2700" i="40"/>
  <c r="M2701" i="40"/>
  <c r="M2702" i="40"/>
  <c r="M2703" i="40"/>
  <c r="M2704" i="40"/>
  <c r="M2705" i="40"/>
  <c r="M2706" i="40"/>
  <c r="M2707" i="40"/>
  <c r="M2708" i="40"/>
  <c r="M2709" i="40"/>
  <c r="M2710" i="40"/>
  <c r="M2711" i="40"/>
  <c r="M2712" i="40"/>
  <c r="M2713" i="40"/>
  <c r="M2714" i="40"/>
  <c r="M2715" i="40"/>
  <c r="M2716" i="40"/>
  <c r="M2717" i="40"/>
  <c r="M2718" i="40"/>
  <c r="M2719" i="40"/>
  <c r="M2720" i="40"/>
  <c r="M2721" i="40"/>
  <c r="M2722" i="40"/>
  <c r="M2723" i="40"/>
  <c r="M2724" i="40"/>
  <c r="M2725" i="40"/>
  <c r="M2726" i="40"/>
  <c r="M2727" i="40"/>
  <c r="M2728" i="40"/>
  <c r="M2729" i="40"/>
  <c r="M2730" i="40"/>
  <c r="M2731" i="40"/>
  <c r="M2732" i="40"/>
  <c r="M2733" i="40"/>
  <c r="M2734" i="40"/>
  <c r="M2735" i="40"/>
  <c r="M2736" i="40"/>
  <c r="M2737" i="40"/>
  <c r="M2738" i="40"/>
  <c r="M2739" i="40"/>
  <c r="M2740" i="40"/>
  <c r="M2741" i="40"/>
  <c r="M2742" i="40"/>
  <c r="M2743" i="40"/>
  <c r="M2744" i="40"/>
  <c r="M2745" i="40"/>
  <c r="M2746" i="40"/>
  <c r="M2747" i="40"/>
  <c r="M2748" i="40"/>
  <c r="M2749" i="40"/>
  <c r="M2750" i="40"/>
  <c r="M2751" i="40"/>
  <c r="M2752" i="40"/>
  <c r="M2753" i="40"/>
  <c r="M2754" i="40"/>
  <c r="M2755" i="40"/>
  <c r="M2756" i="40"/>
  <c r="M2757" i="40"/>
  <c r="M2758" i="40"/>
  <c r="M2759" i="40"/>
  <c r="M2760" i="40"/>
  <c r="M2761" i="40"/>
  <c r="M2762" i="40"/>
  <c r="M2763" i="40"/>
  <c r="M2764" i="40"/>
  <c r="M2765" i="40"/>
  <c r="M2766" i="40"/>
  <c r="M2767" i="40"/>
  <c r="M2768" i="40"/>
  <c r="M2769" i="40"/>
  <c r="M2770" i="40"/>
  <c r="M2771" i="40"/>
  <c r="M2772" i="40"/>
  <c r="M2773" i="40"/>
  <c r="M2774" i="40"/>
  <c r="M2775" i="40"/>
  <c r="M2776" i="40"/>
  <c r="M2777" i="40"/>
  <c r="M2778" i="40"/>
  <c r="M2779" i="40"/>
  <c r="M2780" i="40"/>
  <c r="M2781" i="40"/>
  <c r="M2782" i="40"/>
  <c r="M2783" i="40"/>
  <c r="M2784" i="40"/>
  <c r="M2785" i="40"/>
  <c r="M2786" i="40"/>
  <c r="M2787" i="40"/>
  <c r="M2788" i="40"/>
  <c r="M2789" i="40"/>
  <c r="M2790" i="40"/>
  <c r="M2791" i="40"/>
  <c r="M2792" i="40"/>
  <c r="M2793" i="40"/>
  <c r="M2794" i="40"/>
  <c r="M2795" i="40"/>
  <c r="M2796" i="40"/>
  <c r="M2797" i="40"/>
  <c r="M2798" i="40"/>
  <c r="M2799" i="40"/>
  <c r="M2800" i="40"/>
  <c r="M2801" i="40"/>
  <c r="M2802" i="40"/>
  <c r="M2803" i="40"/>
  <c r="M2804" i="40"/>
  <c r="M2805" i="40"/>
  <c r="M2806" i="40"/>
  <c r="M2807" i="40"/>
  <c r="M2808" i="40"/>
  <c r="M2809" i="40"/>
  <c r="M2810" i="40"/>
  <c r="M2811" i="40"/>
  <c r="M2812" i="40"/>
  <c r="M2813" i="40"/>
  <c r="M2814" i="40"/>
  <c r="M2815" i="40"/>
  <c r="M2816" i="40"/>
  <c r="M2817" i="40"/>
  <c r="M2818" i="40"/>
  <c r="M2819" i="40"/>
  <c r="M2820" i="40"/>
  <c r="M2821" i="40"/>
  <c r="M2822" i="40"/>
  <c r="M2823" i="40"/>
  <c r="M2824" i="40"/>
  <c r="M2825" i="40"/>
  <c r="M2826" i="40"/>
  <c r="M2827" i="40"/>
  <c r="M2828" i="40"/>
  <c r="M2829" i="40"/>
  <c r="M2830" i="40"/>
  <c r="M2831" i="40"/>
  <c r="M2832" i="40"/>
  <c r="M2833" i="40"/>
  <c r="M2834" i="40"/>
  <c r="M2835" i="40"/>
  <c r="M2836" i="40"/>
  <c r="M2837" i="40"/>
  <c r="M2838" i="40"/>
  <c r="M2839" i="40"/>
  <c r="M2840" i="40"/>
  <c r="M2841" i="40"/>
  <c r="M2842" i="40"/>
  <c r="M2843" i="40"/>
  <c r="M2844" i="40"/>
  <c r="M2845" i="40"/>
  <c r="M2846" i="40"/>
  <c r="M2847" i="40"/>
  <c r="M2848" i="40"/>
  <c r="M2849" i="40"/>
  <c r="M2850" i="40"/>
  <c r="M2851" i="40"/>
  <c r="M2852" i="40"/>
  <c r="M2853" i="40"/>
  <c r="M2854" i="40"/>
  <c r="M2855" i="40"/>
  <c r="M2856" i="40"/>
  <c r="M2857" i="40"/>
  <c r="M2858" i="40"/>
  <c r="M2859" i="40"/>
  <c r="M2860" i="40"/>
  <c r="M2861" i="40"/>
  <c r="M2862" i="40"/>
  <c r="M2863" i="40"/>
  <c r="M2864" i="40"/>
  <c r="M2865" i="40"/>
  <c r="M2866" i="40"/>
  <c r="M2867" i="40"/>
  <c r="M2868" i="40"/>
  <c r="M2869" i="40"/>
  <c r="M2870" i="40"/>
  <c r="M2871" i="40"/>
  <c r="M2872" i="40"/>
  <c r="M2873" i="40"/>
  <c r="M2874" i="40"/>
  <c r="M2875" i="40"/>
  <c r="M2876" i="40"/>
  <c r="M2877" i="40"/>
  <c r="M2878" i="40"/>
  <c r="M2879" i="40"/>
  <c r="M2880" i="40"/>
  <c r="M2881" i="40"/>
  <c r="M2882" i="40"/>
  <c r="M2883" i="40"/>
  <c r="M2884" i="40"/>
  <c r="M2885" i="40"/>
  <c r="M2886" i="40"/>
  <c r="M2887" i="40"/>
  <c r="M2888" i="40"/>
  <c r="M2889" i="40"/>
  <c r="M2890" i="40"/>
  <c r="M2891" i="40"/>
  <c r="M2892" i="40"/>
  <c r="M2893" i="40"/>
  <c r="M2894" i="40"/>
  <c r="M2895" i="40"/>
  <c r="M2896" i="40"/>
  <c r="M2897" i="40"/>
  <c r="M2898" i="40"/>
  <c r="M2899" i="40"/>
  <c r="M2900" i="40"/>
  <c r="M2901" i="40"/>
  <c r="M2902" i="40"/>
  <c r="M2903" i="40"/>
  <c r="M2904" i="40"/>
  <c r="M2905" i="40"/>
  <c r="M2906" i="40"/>
  <c r="M2907" i="40"/>
  <c r="M2908" i="40"/>
  <c r="M2909" i="40"/>
  <c r="M2910" i="40"/>
  <c r="M2911" i="40"/>
  <c r="M2912" i="40"/>
  <c r="M2913" i="40"/>
  <c r="M2914" i="40"/>
  <c r="M2915" i="40"/>
  <c r="M2916" i="40"/>
  <c r="M2917" i="40"/>
  <c r="M2918" i="40"/>
  <c r="M2919" i="40"/>
  <c r="M2920" i="40"/>
  <c r="M2921" i="40"/>
  <c r="M2922" i="40"/>
  <c r="M2923" i="40"/>
  <c r="M2924" i="40"/>
  <c r="M2925" i="40"/>
  <c r="M2926" i="40"/>
  <c r="M2927" i="40"/>
  <c r="M2928" i="40"/>
  <c r="M2929" i="40"/>
  <c r="M2930" i="40"/>
  <c r="M2931" i="40"/>
  <c r="M2932" i="40"/>
  <c r="M2933" i="40"/>
  <c r="M2934" i="40"/>
  <c r="M2935" i="40"/>
  <c r="M2936" i="40"/>
  <c r="M2937" i="40"/>
  <c r="M2938" i="40"/>
  <c r="M2939" i="40"/>
  <c r="M2940" i="40"/>
  <c r="M2941" i="40"/>
  <c r="M2942" i="40"/>
  <c r="M2943" i="40"/>
  <c r="M2944" i="40"/>
  <c r="M2945" i="40"/>
  <c r="M2946" i="40"/>
  <c r="M2947" i="40"/>
  <c r="M2948" i="40"/>
  <c r="M2949" i="40"/>
  <c r="M2950" i="40"/>
  <c r="M2951" i="40"/>
  <c r="M2952" i="40"/>
  <c r="M2953" i="40"/>
  <c r="M2954" i="40"/>
  <c r="M2955" i="40"/>
  <c r="M2956" i="40"/>
  <c r="M2957" i="40"/>
  <c r="M2958" i="40"/>
  <c r="M2959" i="40"/>
  <c r="M2960" i="40"/>
  <c r="M2961" i="40"/>
  <c r="M2962" i="40"/>
  <c r="M2963" i="40"/>
  <c r="M2964" i="40"/>
  <c r="M2965" i="40"/>
  <c r="M2966" i="40"/>
  <c r="M2967" i="40"/>
  <c r="M2968" i="40"/>
  <c r="M2969" i="40"/>
  <c r="M2970" i="40"/>
  <c r="M2971" i="40"/>
  <c r="M2972" i="40"/>
  <c r="M2973" i="40"/>
  <c r="M2974" i="40"/>
  <c r="M2975" i="40"/>
  <c r="M2976" i="40"/>
  <c r="M2977" i="40"/>
  <c r="M2978" i="40"/>
  <c r="M2979" i="40"/>
  <c r="M2980" i="40"/>
  <c r="M2981" i="40"/>
  <c r="M2982" i="40"/>
  <c r="M2983" i="40"/>
  <c r="M4" i="40"/>
  <c r="L5" i="40"/>
  <c r="L6" i="40"/>
  <c r="L7" i="40"/>
  <c r="L8" i="40"/>
  <c r="L9" i="40"/>
  <c r="L10" i="40"/>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L61" i="40"/>
  <c r="L62" i="40"/>
  <c r="L63" i="40"/>
  <c r="L64" i="40"/>
  <c r="L65" i="40"/>
  <c r="L66" i="40"/>
  <c r="L67" i="40"/>
  <c r="L68" i="40"/>
  <c r="L69" i="40"/>
  <c r="L70" i="40"/>
  <c r="L71" i="40"/>
  <c r="L72" i="40"/>
  <c r="L73" i="40"/>
  <c r="L74" i="40"/>
  <c r="L75" i="40"/>
  <c r="L76" i="40"/>
  <c r="L77" i="40"/>
  <c r="L78" i="40"/>
  <c r="L79" i="40"/>
  <c r="L80" i="40"/>
  <c r="L81" i="40"/>
  <c r="L82" i="40"/>
  <c r="L83" i="40"/>
  <c r="L84" i="40"/>
  <c r="L85" i="40"/>
  <c r="L86" i="40"/>
  <c r="L87" i="40"/>
  <c r="L88"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L117" i="40"/>
  <c r="L118" i="40"/>
  <c r="L119" i="40"/>
  <c r="L120" i="40"/>
  <c r="L121" i="40"/>
  <c r="L122" i="40"/>
  <c r="L123" i="40"/>
  <c r="L124" i="40"/>
  <c r="L125" i="40"/>
  <c r="L126" i="40"/>
  <c r="L127" i="40"/>
  <c r="L128" i="40"/>
  <c r="L129" i="40"/>
  <c r="L130" i="40"/>
  <c r="L131" i="40"/>
  <c r="L132" i="40"/>
  <c r="L133" i="40"/>
  <c r="L134" i="40"/>
  <c r="L135" i="40"/>
  <c r="L136" i="40"/>
  <c r="L137" i="40"/>
  <c r="L138" i="40"/>
  <c r="L139" i="40"/>
  <c r="L140" i="40"/>
  <c r="L141" i="40"/>
  <c r="L142" i="40"/>
  <c r="L143" i="40"/>
  <c r="L144" i="40"/>
  <c r="L145" i="40"/>
  <c r="L146" i="40"/>
  <c r="L147" i="40"/>
  <c r="L148" i="40"/>
  <c r="L149" i="40"/>
  <c r="L150" i="40"/>
  <c r="L151" i="40"/>
  <c r="L152" i="40"/>
  <c r="L153" i="40"/>
  <c r="L154" i="40"/>
  <c r="L155" i="40"/>
  <c r="L156" i="40"/>
  <c r="L157" i="40"/>
  <c r="L158" i="40"/>
  <c r="L159" i="40"/>
  <c r="L160" i="40"/>
  <c r="L161" i="40"/>
  <c r="L162" i="40"/>
  <c r="L163" i="40"/>
  <c r="L164" i="40"/>
  <c r="L165" i="40"/>
  <c r="L166" i="40"/>
  <c r="L167" i="40"/>
  <c r="L168" i="40"/>
  <c r="L169" i="40"/>
  <c r="L170" i="40"/>
  <c r="L171" i="40"/>
  <c r="L172" i="40"/>
  <c r="L173" i="40"/>
  <c r="L174" i="40"/>
  <c r="L175" i="40"/>
  <c r="L176" i="40"/>
  <c r="L177" i="40"/>
  <c r="L178" i="40"/>
  <c r="L179" i="40"/>
  <c r="L180" i="40"/>
  <c r="L181" i="40"/>
  <c r="L182" i="40"/>
  <c r="L183" i="40"/>
  <c r="L184" i="40"/>
  <c r="L185" i="40"/>
  <c r="L186" i="40"/>
  <c r="L187" i="40"/>
  <c r="L188" i="40"/>
  <c r="L189" i="40"/>
  <c r="L190" i="40"/>
  <c r="L191" i="40"/>
  <c r="L192" i="40"/>
  <c r="L193" i="40"/>
  <c r="L194" i="40"/>
  <c r="L195" i="40"/>
  <c r="L196" i="40"/>
  <c r="L197" i="40"/>
  <c r="L198" i="40"/>
  <c r="L199" i="40"/>
  <c r="L200" i="40"/>
  <c r="L201" i="40"/>
  <c r="L202" i="40"/>
  <c r="L203" i="40"/>
  <c r="L204" i="40"/>
  <c r="L205" i="40"/>
  <c r="L206" i="40"/>
  <c r="L207" i="40"/>
  <c r="L208" i="40"/>
  <c r="L209" i="40"/>
  <c r="L210" i="40"/>
  <c r="L211" i="40"/>
  <c r="L212" i="40"/>
  <c r="L213" i="40"/>
  <c r="L214" i="40"/>
  <c r="L215" i="40"/>
  <c r="L216" i="40"/>
  <c r="L217" i="40"/>
  <c r="L218" i="40"/>
  <c r="L219" i="40"/>
  <c r="L220" i="40"/>
  <c r="L221" i="40"/>
  <c r="L222" i="40"/>
  <c r="L223" i="40"/>
  <c r="L224" i="40"/>
  <c r="L225" i="40"/>
  <c r="L226" i="40"/>
  <c r="L227" i="40"/>
  <c r="L228" i="40"/>
  <c r="L229" i="40"/>
  <c r="L230" i="40"/>
  <c r="L231" i="40"/>
  <c r="L232" i="40"/>
  <c r="L233" i="40"/>
  <c r="L234" i="40"/>
  <c r="L235" i="40"/>
  <c r="L236" i="40"/>
  <c r="L237" i="40"/>
  <c r="L238" i="40"/>
  <c r="L239" i="40"/>
  <c r="L240" i="40"/>
  <c r="L241" i="40"/>
  <c r="L242" i="40"/>
  <c r="L243" i="40"/>
  <c r="L244" i="40"/>
  <c r="L245" i="40"/>
  <c r="L246" i="40"/>
  <c r="L247" i="40"/>
  <c r="L248" i="40"/>
  <c r="L249" i="40"/>
  <c r="L250" i="40"/>
  <c r="L251" i="40"/>
  <c r="L252" i="40"/>
  <c r="L253" i="40"/>
  <c r="L254" i="40"/>
  <c r="L255" i="40"/>
  <c r="L256" i="40"/>
  <c r="L257" i="40"/>
  <c r="L258" i="40"/>
  <c r="L259" i="40"/>
  <c r="L260" i="40"/>
  <c r="L261" i="40"/>
  <c r="L262" i="40"/>
  <c r="L263" i="40"/>
  <c r="L264" i="40"/>
  <c r="L265" i="40"/>
  <c r="L266" i="40"/>
  <c r="L267" i="40"/>
  <c r="L268" i="40"/>
  <c r="L269" i="40"/>
  <c r="L270" i="40"/>
  <c r="L271" i="40"/>
  <c r="L272" i="40"/>
  <c r="L273" i="40"/>
  <c r="L274" i="40"/>
  <c r="L275" i="40"/>
  <c r="L276" i="40"/>
  <c r="L277" i="40"/>
  <c r="L278" i="40"/>
  <c r="L279" i="40"/>
  <c r="L280" i="40"/>
  <c r="L281" i="40"/>
  <c r="L282" i="40"/>
  <c r="L283" i="40"/>
  <c r="L284" i="40"/>
  <c r="L285" i="40"/>
  <c r="L286" i="40"/>
  <c r="L287" i="40"/>
  <c r="L288" i="40"/>
  <c r="L289" i="40"/>
  <c r="L290" i="40"/>
  <c r="L291" i="40"/>
  <c r="L292" i="40"/>
  <c r="L293" i="40"/>
  <c r="L294" i="40"/>
  <c r="L295" i="40"/>
  <c r="L296" i="40"/>
  <c r="L297" i="40"/>
  <c r="L298" i="40"/>
  <c r="L299" i="40"/>
  <c r="L300" i="40"/>
  <c r="L301" i="40"/>
  <c r="L302" i="40"/>
  <c r="L303" i="40"/>
  <c r="L304" i="40"/>
  <c r="L305" i="40"/>
  <c r="L306" i="40"/>
  <c r="L307" i="40"/>
  <c r="L308" i="40"/>
  <c r="L309" i="40"/>
  <c r="L310" i="40"/>
  <c r="L311" i="40"/>
  <c r="L312" i="40"/>
  <c r="L313" i="40"/>
  <c r="L314" i="40"/>
  <c r="L315" i="40"/>
  <c r="L316" i="40"/>
  <c r="L317" i="40"/>
  <c r="L318" i="40"/>
  <c r="L319" i="40"/>
  <c r="L320" i="40"/>
  <c r="L321" i="40"/>
  <c r="L322" i="40"/>
  <c r="L323" i="40"/>
  <c r="L324" i="40"/>
  <c r="L325" i="40"/>
  <c r="L326" i="40"/>
  <c r="L327" i="40"/>
  <c r="L328" i="40"/>
  <c r="L329" i="40"/>
  <c r="L330" i="40"/>
  <c r="L331" i="40"/>
  <c r="L332" i="40"/>
  <c r="L333" i="40"/>
  <c r="L334" i="40"/>
  <c r="L335" i="40"/>
  <c r="L336" i="40"/>
  <c r="L337" i="40"/>
  <c r="L338" i="40"/>
  <c r="L339" i="40"/>
  <c r="L340" i="40"/>
  <c r="L341" i="40"/>
  <c r="L342" i="40"/>
  <c r="L343" i="40"/>
  <c r="L344" i="40"/>
  <c r="L345" i="40"/>
  <c r="L346" i="40"/>
  <c r="L347" i="40"/>
  <c r="L348" i="40"/>
  <c r="L349" i="40"/>
  <c r="L350" i="40"/>
  <c r="L351" i="40"/>
  <c r="L352" i="40"/>
  <c r="L353" i="40"/>
  <c r="L354" i="40"/>
  <c r="L355" i="40"/>
  <c r="L356" i="40"/>
  <c r="L357" i="40"/>
  <c r="L358" i="40"/>
  <c r="L359" i="40"/>
  <c r="L360" i="40"/>
  <c r="L361" i="40"/>
  <c r="L362" i="40"/>
  <c r="L363" i="40"/>
  <c r="L364" i="40"/>
  <c r="L365" i="40"/>
  <c r="L366" i="40"/>
  <c r="L367" i="40"/>
  <c r="L368" i="40"/>
  <c r="L369" i="40"/>
  <c r="L370" i="40"/>
  <c r="L371" i="40"/>
  <c r="L372" i="40"/>
  <c r="L373" i="40"/>
  <c r="L374" i="40"/>
  <c r="L375" i="40"/>
  <c r="L376" i="40"/>
  <c r="L377" i="40"/>
  <c r="L378" i="40"/>
  <c r="L379" i="40"/>
  <c r="L380" i="40"/>
  <c r="L381" i="40"/>
  <c r="L382" i="40"/>
  <c r="L383" i="40"/>
  <c r="L384" i="40"/>
  <c r="L385" i="40"/>
  <c r="L386" i="40"/>
  <c r="L387" i="40"/>
  <c r="L388" i="40"/>
  <c r="L389" i="40"/>
  <c r="L390" i="40"/>
  <c r="L391" i="40"/>
  <c r="L392" i="40"/>
  <c r="L393" i="40"/>
  <c r="L394" i="40"/>
  <c r="L395" i="40"/>
  <c r="L396" i="40"/>
  <c r="L397" i="40"/>
  <c r="L398" i="40"/>
  <c r="L399" i="40"/>
  <c r="L400" i="40"/>
  <c r="L401" i="40"/>
  <c r="L402" i="40"/>
  <c r="L403" i="40"/>
  <c r="L404" i="40"/>
  <c r="L405" i="40"/>
  <c r="L406" i="40"/>
  <c r="L407" i="40"/>
  <c r="L408" i="40"/>
  <c r="L409" i="40"/>
  <c r="L410" i="40"/>
  <c r="L411" i="40"/>
  <c r="L412" i="40"/>
  <c r="L413" i="40"/>
  <c r="L414" i="40"/>
  <c r="L415" i="40"/>
  <c r="L416" i="40"/>
  <c r="L417" i="40"/>
  <c r="L418" i="40"/>
  <c r="L419" i="40"/>
  <c r="L420" i="40"/>
  <c r="L421" i="40"/>
  <c r="L422" i="40"/>
  <c r="L423" i="40"/>
  <c r="L424" i="40"/>
  <c r="L425" i="40"/>
  <c r="L426" i="40"/>
  <c r="L427" i="40"/>
  <c r="L428" i="40"/>
  <c r="L429" i="40"/>
  <c r="L430" i="40"/>
  <c r="L431" i="40"/>
  <c r="L432" i="40"/>
  <c r="L433" i="40"/>
  <c r="L434" i="40"/>
  <c r="L435" i="40"/>
  <c r="L436" i="40"/>
  <c r="L437" i="40"/>
  <c r="L438" i="40"/>
  <c r="L439" i="40"/>
  <c r="L440" i="40"/>
  <c r="L441" i="40"/>
  <c r="L442" i="40"/>
  <c r="L443" i="40"/>
  <c r="L444" i="40"/>
  <c r="L445" i="40"/>
  <c r="L446" i="40"/>
  <c r="L447" i="40"/>
  <c r="L448" i="40"/>
  <c r="L449" i="40"/>
  <c r="L450" i="40"/>
  <c r="L451" i="40"/>
  <c r="L452" i="40"/>
  <c r="L453" i="40"/>
  <c r="L454" i="40"/>
  <c r="L455" i="40"/>
  <c r="L456" i="40"/>
  <c r="L457" i="40"/>
  <c r="L458" i="40"/>
  <c r="L459" i="40"/>
  <c r="L460" i="40"/>
  <c r="L461" i="40"/>
  <c r="L462" i="40"/>
  <c r="L463" i="40"/>
  <c r="L464" i="40"/>
  <c r="L465" i="40"/>
  <c r="L466" i="40"/>
  <c r="L467" i="40"/>
  <c r="L468" i="40"/>
  <c r="L469" i="40"/>
  <c r="L470" i="40"/>
  <c r="L471" i="40"/>
  <c r="L472" i="40"/>
  <c r="L473" i="40"/>
  <c r="L474" i="40"/>
  <c r="L475" i="40"/>
  <c r="L476" i="40"/>
  <c r="L477" i="40"/>
  <c r="L478" i="40"/>
  <c r="L479" i="40"/>
  <c r="L480" i="40"/>
  <c r="L481" i="40"/>
  <c r="L482" i="40"/>
  <c r="L483" i="40"/>
  <c r="L484" i="40"/>
  <c r="L485" i="40"/>
  <c r="L486" i="40"/>
  <c r="L487" i="40"/>
  <c r="L488" i="40"/>
  <c r="L489" i="40"/>
  <c r="L490" i="40"/>
  <c r="L491" i="40"/>
  <c r="L492" i="40"/>
  <c r="L493" i="40"/>
  <c r="L494" i="40"/>
  <c r="L495" i="40"/>
  <c r="L496" i="40"/>
  <c r="L497" i="40"/>
  <c r="L498" i="40"/>
  <c r="L499" i="40"/>
  <c r="L500" i="40"/>
  <c r="L501" i="40"/>
  <c r="L502" i="40"/>
  <c r="L503" i="40"/>
  <c r="L504" i="40"/>
  <c r="L505" i="40"/>
  <c r="L506" i="40"/>
  <c r="L507" i="40"/>
  <c r="L508" i="40"/>
  <c r="L509" i="40"/>
  <c r="L510" i="40"/>
  <c r="L511" i="40"/>
  <c r="L512" i="40"/>
  <c r="L513" i="40"/>
  <c r="L514" i="40"/>
  <c r="L515" i="40"/>
  <c r="L516" i="40"/>
  <c r="L517" i="40"/>
  <c r="L518" i="40"/>
  <c r="L519" i="40"/>
  <c r="L520" i="40"/>
  <c r="L521" i="40"/>
  <c r="L522" i="40"/>
  <c r="L523" i="40"/>
  <c r="L524" i="40"/>
  <c r="L525" i="40"/>
  <c r="L526" i="40"/>
  <c r="L527" i="40"/>
  <c r="L528" i="40"/>
  <c r="L529" i="40"/>
  <c r="L530" i="40"/>
  <c r="L531" i="40"/>
  <c r="L532" i="40"/>
  <c r="L533" i="40"/>
  <c r="L534" i="40"/>
  <c r="L535" i="40"/>
  <c r="L536" i="40"/>
  <c r="L537" i="40"/>
  <c r="L538" i="40"/>
  <c r="L539" i="40"/>
  <c r="L540" i="40"/>
  <c r="L541" i="40"/>
  <c r="L542" i="40"/>
  <c r="L543" i="40"/>
  <c r="L544" i="40"/>
  <c r="L545" i="40"/>
  <c r="L546" i="40"/>
  <c r="L547" i="40"/>
  <c r="L548" i="40"/>
  <c r="L549" i="40"/>
  <c r="L550" i="40"/>
  <c r="L551" i="40"/>
  <c r="L552" i="40"/>
  <c r="L553" i="40"/>
  <c r="L554" i="40"/>
  <c r="L555" i="40"/>
  <c r="L556" i="40"/>
  <c r="L557" i="40"/>
  <c r="L558" i="40"/>
  <c r="L559" i="40"/>
  <c r="L560" i="40"/>
  <c r="L561" i="40"/>
  <c r="L562" i="40"/>
  <c r="L563" i="40"/>
  <c r="L564" i="40"/>
  <c r="L565" i="40"/>
  <c r="L566" i="40"/>
  <c r="L567" i="40"/>
  <c r="L568" i="40"/>
  <c r="L569" i="40"/>
  <c r="L570" i="40"/>
  <c r="L571" i="40"/>
  <c r="L572" i="40"/>
  <c r="L573" i="40"/>
  <c r="L574" i="40"/>
  <c r="L575" i="40"/>
  <c r="L576" i="40"/>
  <c r="L577" i="40"/>
  <c r="L578" i="40"/>
  <c r="L579" i="40"/>
  <c r="L580" i="40"/>
  <c r="L581" i="40"/>
  <c r="L582" i="40"/>
  <c r="L583" i="40"/>
  <c r="L584" i="40"/>
  <c r="L585" i="40"/>
  <c r="L586" i="40"/>
  <c r="L587" i="40"/>
  <c r="L588" i="40"/>
  <c r="L589" i="40"/>
  <c r="L590" i="40"/>
  <c r="L591" i="40"/>
  <c r="L592" i="40"/>
  <c r="L593" i="40"/>
  <c r="L594" i="40"/>
  <c r="L595" i="40"/>
  <c r="L596" i="40"/>
  <c r="L597" i="40"/>
  <c r="L598" i="40"/>
  <c r="L599" i="40"/>
  <c r="L600" i="40"/>
  <c r="L601" i="40"/>
  <c r="L602" i="40"/>
  <c r="L603" i="40"/>
  <c r="L604" i="40"/>
  <c r="L605" i="40"/>
  <c r="L606" i="40"/>
  <c r="L607" i="40"/>
  <c r="L608" i="40"/>
  <c r="L609" i="40"/>
  <c r="L610" i="40"/>
  <c r="L611" i="40"/>
  <c r="L612" i="40"/>
  <c r="L613" i="40"/>
  <c r="L614" i="40"/>
  <c r="L615" i="40"/>
  <c r="L616" i="40"/>
  <c r="L617" i="40"/>
  <c r="L618" i="40"/>
  <c r="L619" i="40"/>
  <c r="L620" i="40"/>
  <c r="L621" i="40"/>
  <c r="L622" i="40"/>
  <c r="L623" i="40"/>
  <c r="L624" i="40"/>
  <c r="L625" i="40"/>
  <c r="L626" i="40"/>
  <c r="L627" i="40"/>
  <c r="L628" i="40"/>
  <c r="L629" i="40"/>
  <c r="L630" i="40"/>
  <c r="L631" i="40"/>
  <c r="L632" i="40"/>
  <c r="L633" i="40"/>
  <c r="L634" i="40"/>
  <c r="L635" i="40"/>
  <c r="L636" i="40"/>
  <c r="L637" i="40"/>
  <c r="L638" i="40"/>
  <c r="L639" i="40"/>
  <c r="L640" i="40"/>
  <c r="L641" i="40"/>
  <c r="L642" i="40"/>
  <c r="L643" i="40"/>
  <c r="L644" i="40"/>
  <c r="L645" i="40"/>
  <c r="L646" i="40"/>
  <c r="L647" i="40"/>
  <c r="L648" i="40"/>
  <c r="L649" i="40"/>
  <c r="L650" i="40"/>
  <c r="L651" i="40"/>
  <c r="L652" i="40"/>
  <c r="L653" i="40"/>
  <c r="L654" i="40"/>
  <c r="L655" i="40"/>
  <c r="L656" i="40"/>
  <c r="L657" i="40"/>
  <c r="L658" i="40"/>
  <c r="L659" i="40"/>
  <c r="L660" i="40"/>
  <c r="L661" i="40"/>
  <c r="L662" i="40"/>
  <c r="L663" i="40"/>
  <c r="L664" i="40"/>
  <c r="L665" i="40"/>
  <c r="L666" i="40"/>
  <c r="L667" i="40"/>
  <c r="L668" i="40"/>
  <c r="L669" i="40"/>
  <c r="L670" i="40"/>
  <c r="L671" i="40"/>
  <c r="L672" i="40"/>
  <c r="L673" i="40"/>
  <c r="L674" i="40"/>
  <c r="L675" i="40"/>
  <c r="L676" i="40"/>
  <c r="L677" i="40"/>
  <c r="L678" i="40"/>
  <c r="L679" i="40"/>
  <c r="L680" i="40"/>
  <c r="L681" i="40"/>
  <c r="L682" i="40"/>
  <c r="L683" i="40"/>
  <c r="L684" i="40"/>
  <c r="L685" i="40"/>
  <c r="L686" i="40"/>
  <c r="L687" i="40"/>
  <c r="L688" i="40"/>
  <c r="L689" i="40"/>
  <c r="L690" i="40"/>
  <c r="L691" i="40"/>
  <c r="L692" i="40"/>
  <c r="L693" i="40"/>
  <c r="L694" i="40"/>
  <c r="L695" i="40"/>
  <c r="L696" i="40"/>
  <c r="L697" i="40"/>
  <c r="L698" i="40"/>
  <c r="L699" i="40"/>
  <c r="L700" i="40"/>
  <c r="L701" i="40"/>
  <c r="L702" i="40"/>
  <c r="L703" i="40"/>
  <c r="L704" i="40"/>
  <c r="L705" i="40"/>
  <c r="L706" i="40"/>
  <c r="L707" i="40"/>
  <c r="L708" i="40"/>
  <c r="L709" i="40"/>
  <c r="L710" i="40"/>
  <c r="L711" i="40"/>
  <c r="L712" i="40"/>
  <c r="L713" i="40"/>
  <c r="L714" i="40"/>
  <c r="L715" i="40"/>
  <c r="L716" i="40"/>
  <c r="L717" i="40"/>
  <c r="L718" i="40"/>
  <c r="L719" i="40"/>
  <c r="L720" i="40"/>
  <c r="L721" i="40"/>
  <c r="L722" i="40"/>
  <c r="L723" i="40"/>
  <c r="L724" i="40"/>
  <c r="L725" i="40"/>
  <c r="L726" i="40"/>
  <c r="L727" i="40"/>
  <c r="L728" i="40"/>
  <c r="L729" i="40"/>
  <c r="L730" i="40"/>
  <c r="L731" i="40"/>
  <c r="L732" i="40"/>
  <c r="L733" i="40"/>
  <c r="L734" i="40"/>
  <c r="L735" i="40"/>
  <c r="L736" i="40"/>
  <c r="L737" i="40"/>
  <c r="L738" i="40"/>
  <c r="L739" i="40"/>
  <c r="L740" i="40"/>
  <c r="L741" i="40"/>
  <c r="L742" i="40"/>
  <c r="L743" i="40"/>
  <c r="L744" i="40"/>
  <c r="L745" i="40"/>
  <c r="L746" i="40"/>
  <c r="L747" i="40"/>
  <c r="L748" i="40"/>
  <c r="L749" i="40"/>
  <c r="L750" i="40"/>
  <c r="L751" i="40"/>
  <c r="L752" i="40"/>
  <c r="L753" i="40"/>
  <c r="L754" i="40"/>
  <c r="L755" i="40"/>
  <c r="L756" i="40"/>
  <c r="L757" i="40"/>
  <c r="L758" i="40"/>
  <c r="L759" i="40"/>
  <c r="L760" i="40"/>
  <c r="L761" i="40"/>
  <c r="L762" i="40"/>
  <c r="L763" i="40"/>
  <c r="L764" i="40"/>
  <c r="L765" i="40"/>
  <c r="L766" i="40"/>
  <c r="L767" i="40"/>
  <c r="L768" i="40"/>
  <c r="L769" i="40"/>
  <c r="L770" i="40"/>
  <c r="L771" i="40"/>
  <c r="L772" i="40"/>
  <c r="L773" i="40"/>
  <c r="L774" i="40"/>
  <c r="L775" i="40"/>
  <c r="L776" i="40"/>
  <c r="L777" i="40"/>
  <c r="L778" i="40"/>
  <c r="L779" i="40"/>
  <c r="L780" i="40"/>
  <c r="L781" i="40"/>
  <c r="L782" i="40"/>
  <c r="L783" i="40"/>
  <c r="L784" i="40"/>
  <c r="L785" i="40"/>
  <c r="L786" i="40"/>
  <c r="L787" i="40"/>
  <c r="L788" i="40"/>
  <c r="L789" i="40"/>
  <c r="L790" i="40"/>
  <c r="L791" i="40"/>
  <c r="L792" i="40"/>
  <c r="L793" i="40"/>
  <c r="L794" i="40"/>
  <c r="L795" i="40"/>
  <c r="L796" i="40"/>
  <c r="L797" i="40"/>
  <c r="L798" i="40"/>
  <c r="L799" i="40"/>
  <c r="L800" i="40"/>
  <c r="L801" i="40"/>
  <c r="L802" i="40"/>
  <c r="L803" i="40"/>
  <c r="L804" i="40"/>
  <c r="L805" i="40"/>
  <c r="L806" i="40"/>
  <c r="L807" i="40"/>
  <c r="L808" i="40"/>
  <c r="L809" i="40"/>
  <c r="L810" i="40"/>
  <c r="L811" i="40"/>
  <c r="L812" i="40"/>
  <c r="L813" i="40"/>
  <c r="L814" i="40"/>
  <c r="L815" i="40"/>
  <c r="L816" i="40"/>
  <c r="L817" i="40"/>
  <c r="L818" i="40"/>
  <c r="L819" i="40"/>
  <c r="L820" i="40"/>
  <c r="L821" i="40"/>
  <c r="L822" i="40"/>
  <c r="L823" i="40"/>
  <c r="L824" i="40"/>
  <c r="L825" i="40"/>
  <c r="L826" i="40"/>
  <c r="L827" i="40"/>
  <c r="L828" i="40"/>
  <c r="L829" i="40"/>
  <c r="L830" i="40"/>
  <c r="L831" i="40"/>
  <c r="L832" i="40"/>
  <c r="L833" i="40"/>
  <c r="L834" i="40"/>
  <c r="L835" i="40"/>
  <c r="L836" i="40"/>
  <c r="L837" i="40"/>
  <c r="L838" i="40"/>
  <c r="L839" i="40"/>
  <c r="L840" i="40"/>
  <c r="L841" i="40"/>
  <c r="L842" i="40"/>
  <c r="L843" i="40"/>
  <c r="L844" i="40"/>
  <c r="L845" i="40"/>
  <c r="L846" i="40"/>
  <c r="L847" i="40"/>
  <c r="L848" i="40"/>
  <c r="L849" i="40"/>
  <c r="L850" i="40"/>
  <c r="L851" i="40"/>
  <c r="L852" i="40"/>
  <c r="L853" i="40"/>
  <c r="L854" i="40"/>
  <c r="L855" i="40"/>
  <c r="L856" i="40"/>
  <c r="L857" i="40"/>
  <c r="L858" i="40"/>
  <c r="L859" i="40"/>
  <c r="L860" i="40"/>
  <c r="L861" i="40"/>
  <c r="L862" i="40"/>
  <c r="L863" i="40"/>
  <c r="L864" i="40"/>
  <c r="L865" i="40"/>
  <c r="L866" i="40"/>
  <c r="L867" i="40"/>
  <c r="L868" i="40"/>
  <c r="L869" i="40"/>
  <c r="L870" i="40"/>
  <c r="L871" i="40"/>
  <c r="L872" i="40"/>
  <c r="L873" i="40"/>
  <c r="L874" i="40"/>
  <c r="L875" i="40"/>
  <c r="L876" i="40"/>
  <c r="L877" i="40"/>
  <c r="L878" i="40"/>
  <c r="L879" i="40"/>
  <c r="L880" i="40"/>
  <c r="L881" i="40"/>
  <c r="L882" i="40"/>
  <c r="L883" i="40"/>
  <c r="L884" i="40"/>
  <c r="L885" i="40"/>
  <c r="L886" i="40"/>
  <c r="L887" i="40"/>
  <c r="L888" i="40"/>
  <c r="L889" i="40"/>
  <c r="L890" i="40"/>
  <c r="L891" i="40"/>
  <c r="L892" i="40"/>
  <c r="L893" i="40"/>
  <c r="L894" i="40"/>
  <c r="L895" i="40"/>
  <c r="L896" i="40"/>
  <c r="L897" i="40"/>
  <c r="L898" i="40"/>
  <c r="L899" i="40"/>
  <c r="L900" i="40"/>
  <c r="L901" i="40"/>
  <c r="L902" i="40"/>
  <c r="L903" i="40"/>
  <c r="L904" i="40"/>
  <c r="L905" i="40"/>
  <c r="L906" i="40"/>
  <c r="L907" i="40"/>
  <c r="L908" i="40"/>
  <c r="L909" i="40"/>
  <c r="L910" i="40"/>
  <c r="L911" i="40"/>
  <c r="L912" i="40"/>
  <c r="L913" i="40"/>
  <c r="L914" i="40"/>
  <c r="L915" i="40"/>
  <c r="L916" i="40"/>
  <c r="L917" i="40"/>
  <c r="L918" i="40"/>
  <c r="L919" i="40"/>
  <c r="L920" i="40"/>
  <c r="L921" i="40"/>
  <c r="L922" i="40"/>
  <c r="L923" i="40"/>
  <c r="L924" i="40"/>
  <c r="L925" i="40"/>
  <c r="L926" i="40"/>
  <c r="L927" i="40"/>
  <c r="L928" i="40"/>
  <c r="L929" i="40"/>
  <c r="L930" i="40"/>
  <c r="L931" i="40"/>
  <c r="L932" i="40"/>
  <c r="L933" i="40"/>
  <c r="L934" i="40"/>
  <c r="L935" i="40"/>
  <c r="L936" i="40"/>
  <c r="L937" i="40"/>
  <c r="L938" i="40"/>
  <c r="L939" i="40"/>
  <c r="L940" i="40"/>
  <c r="L941" i="40"/>
  <c r="L942" i="40"/>
  <c r="L943" i="40"/>
  <c r="L944" i="40"/>
  <c r="L945" i="40"/>
  <c r="L946" i="40"/>
  <c r="L947" i="40"/>
  <c r="L948" i="40"/>
  <c r="L949" i="40"/>
  <c r="L950" i="40"/>
  <c r="L951" i="40"/>
  <c r="L952" i="40"/>
  <c r="L953" i="40"/>
  <c r="L954" i="40"/>
  <c r="L955" i="40"/>
  <c r="L956" i="40"/>
  <c r="L957" i="40"/>
  <c r="L958" i="40"/>
  <c r="L959" i="40"/>
  <c r="L960" i="40"/>
  <c r="L961" i="40"/>
  <c r="L962" i="40"/>
  <c r="L963" i="40"/>
  <c r="L964" i="40"/>
  <c r="L965" i="40"/>
  <c r="L966" i="40"/>
  <c r="L967" i="40"/>
  <c r="L968" i="40"/>
  <c r="L969" i="40"/>
  <c r="L970" i="40"/>
  <c r="L971" i="40"/>
  <c r="L972" i="40"/>
  <c r="L973" i="40"/>
  <c r="L974" i="40"/>
  <c r="L975" i="40"/>
  <c r="L976" i="40"/>
  <c r="L977" i="40"/>
  <c r="L978" i="40"/>
  <c r="L979" i="40"/>
  <c r="L980" i="40"/>
  <c r="L981" i="40"/>
  <c r="L982" i="40"/>
  <c r="L983" i="40"/>
  <c r="L984" i="40"/>
  <c r="L985" i="40"/>
  <c r="L986" i="40"/>
  <c r="L987" i="40"/>
  <c r="L988" i="40"/>
  <c r="L989" i="40"/>
  <c r="L990" i="40"/>
  <c r="L991" i="40"/>
  <c r="L992" i="40"/>
  <c r="L993" i="40"/>
  <c r="L994" i="40"/>
  <c r="L995" i="40"/>
  <c r="L996" i="40"/>
  <c r="L997" i="40"/>
  <c r="L998" i="40"/>
  <c r="L999" i="40"/>
  <c r="L1000" i="40"/>
  <c r="L1001" i="40"/>
  <c r="L1002" i="40"/>
  <c r="L1003" i="40"/>
  <c r="L1004" i="40"/>
  <c r="L1005" i="40"/>
  <c r="L1006" i="40"/>
  <c r="L1007" i="40"/>
  <c r="L1008" i="40"/>
  <c r="L1009" i="40"/>
  <c r="L1010" i="40"/>
  <c r="L1011" i="40"/>
  <c r="L1012" i="40"/>
  <c r="L1013" i="40"/>
  <c r="L1014" i="40"/>
  <c r="L1015" i="40"/>
  <c r="L1016" i="40"/>
  <c r="L1017" i="40"/>
  <c r="L1018" i="40"/>
  <c r="L1019" i="40"/>
  <c r="L1020" i="40"/>
  <c r="L1021" i="40"/>
  <c r="L1022" i="40"/>
  <c r="L1023" i="40"/>
  <c r="L1024" i="40"/>
  <c r="L1025" i="40"/>
  <c r="L1026" i="40"/>
  <c r="L1027" i="40"/>
  <c r="L1028" i="40"/>
  <c r="L1029" i="40"/>
  <c r="L1030" i="40"/>
  <c r="L1031" i="40"/>
  <c r="L1032" i="40"/>
  <c r="L1033" i="40"/>
  <c r="L1034" i="40"/>
  <c r="L1035" i="40"/>
  <c r="L1036" i="40"/>
  <c r="L1037" i="40"/>
  <c r="L1038" i="40"/>
  <c r="L1039" i="40"/>
  <c r="L1040" i="40"/>
  <c r="L1041" i="40"/>
  <c r="L1042" i="40"/>
  <c r="L1043" i="40"/>
  <c r="L1044" i="40"/>
  <c r="L1045" i="40"/>
  <c r="L1046" i="40"/>
  <c r="L1047" i="40"/>
  <c r="L1048" i="40"/>
  <c r="L1049" i="40"/>
  <c r="L1050" i="40"/>
  <c r="L1051" i="40"/>
  <c r="L1052" i="40"/>
  <c r="L1053" i="40"/>
  <c r="L1054" i="40"/>
  <c r="L1055" i="40"/>
  <c r="L1056" i="40"/>
  <c r="L1057" i="40"/>
  <c r="L1058" i="40"/>
  <c r="L1059" i="40"/>
  <c r="L1060" i="40"/>
  <c r="L1061" i="40"/>
  <c r="L1062" i="40"/>
  <c r="L1063" i="40"/>
  <c r="L1064" i="40"/>
  <c r="L1065" i="40"/>
  <c r="L1066" i="40"/>
  <c r="L1067" i="40"/>
  <c r="L1068" i="40"/>
  <c r="L1069" i="40"/>
  <c r="L1070" i="40"/>
  <c r="L1071" i="40"/>
  <c r="L1072" i="40"/>
  <c r="L1073" i="40"/>
  <c r="L1074" i="40"/>
  <c r="L1075" i="40"/>
  <c r="L1076" i="40"/>
  <c r="L1077" i="40"/>
  <c r="L1078" i="40"/>
  <c r="L1079" i="40"/>
  <c r="L1080" i="40"/>
  <c r="L1081" i="40"/>
  <c r="L1082" i="40"/>
  <c r="L1083" i="40"/>
  <c r="L1084" i="40"/>
  <c r="L1085" i="40"/>
  <c r="L1086" i="40"/>
  <c r="L1087" i="40"/>
  <c r="L1088" i="40"/>
  <c r="L1089" i="40"/>
  <c r="L1090" i="40"/>
  <c r="L1091" i="40"/>
  <c r="L1092" i="40"/>
  <c r="L1093" i="40"/>
  <c r="L1094" i="40"/>
  <c r="L1095" i="40"/>
  <c r="L1096" i="40"/>
  <c r="L1097" i="40"/>
  <c r="L1098" i="40"/>
  <c r="L1099" i="40"/>
  <c r="L1100" i="40"/>
  <c r="L1101" i="40"/>
  <c r="L1102" i="40"/>
  <c r="L1103" i="40"/>
  <c r="L1104" i="40"/>
  <c r="L1105" i="40"/>
  <c r="L1106" i="40"/>
  <c r="L1107" i="40"/>
  <c r="L1108" i="40"/>
  <c r="L1109" i="40"/>
  <c r="L1110" i="40"/>
  <c r="L1111" i="40"/>
  <c r="L1112" i="40"/>
  <c r="L1113" i="40"/>
  <c r="L1114" i="40"/>
  <c r="L1115" i="40"/>
  <c r="L1116" i="40"/>
  <c r="L1117" i="40"/>
  <c r="L1118" i="40"/>
  <c r="L1119" i="40"/>
  <c r="L1120" i="40"/>
  <c r="L1121" i="40"/>
  <c r="L1122" i="40"/>
  <c r="L1123" i="40"/>
  <c r="L1124" i="40"/>
  <c r="L1125" i="40"/>
  <c r="L1126" i="40"/>
  <c r="L1127" i="40"/>
  <c r="L1128" i="40"/>
  <c r="L1129" i="40"/>
  <c r="L1130" i="40"/>
  <c r="L1131" i="40"/>
  <c r="L1132" i="40"/>
  <c r="L1133" i="40"/>
  <c r="L1134" i="40"/>
  <c r="L1135" i="40"/>
  <c r="L1136" i="40"/>
  <c r="L1137" i="40"/>
  <c r="L1138" i="40"/>
  <c r="L1139" i="40"/>
  <c r="L1140" i="40"/>
  <c r="L1141" i="40"/>
  <c r="L1142" i="40"/>
  <c r="L1143" i="40"/>
  <c r="L1144" i="40"/>
  <c r="L1145" i="40"/>
  <c r="L1146" i="40"/>
  <c r="L1147" i="40"/>
  <c r="L1148" i="40"/>
  <c r="L1149" i="40"/>
  <c r="L1150" i="40"/>
  <c r="L1151" i="40"/>
  <c r="L1152" i="40"/>
  <c r="L1153" i="40"/>
  <c r="L1154" i="40"/>
  <c r="L1155" i="40"/>
  <c r="L1156" i="40"/>
  <c r="L1157" i="40"/>
  <c r="L1158" i="40"/>
  <c r="L1159" i="40"/>
  <c r="L1160" i="40"/>
  <c r="L1161" i="40"/>
  <c r="L1162" i="40"/>
  <c r="L1163" i="40"/>
  <c r="L1164" i="40"/>
  <c r="L1165" i="40"/>
  <c r="L1166" i="40"/>
  <c r="L1167" i="40"/>
  <c r="L1168" i="40"/>
  <c r="L1169" i="40"/>
  <c r="L1170" i="40"/>
  <c r="L1171" i="40"/>
  <c r="L1172" i="40"/>
  <c r="L1173" i="40"/>
  <c r="L1174" i="40"/>
  <c r="L1175" i="40"/>
  <c r="L1176" i="40"/>
  <c r="L1177" i="40"/>
  <c r="L1178" i="40"/>
  <c r="L1179" i="40"/>
  <c r="L1180" i="40"/>
  <c r="L1181" i="40"/>
  <c r="L1182" i="40"/>
  <c r="L1183" i="40"/>
  <c r="L1184" i="40"/>
  <c r="L1185" i="40"/>
  <c r="L1186" i="40"/>
  <c r="L1187" i="40"/>
  <c r="L1188" i="40"/>
  <c r="L1189" i="40"/>
  <c r="L1190" i="40"/>
  <c r="L1191" i="40"/>
  <c r="L1192" i="40"/>
  <c r="L1193" i="40"/>
  <c r="L1194" i="40"/>
  <c r="L1195" i="40"/>
  <c r="L1196" i="40"/>
  <c r="L1197" i="40"/>
  <c r="L1198" i="40"/>
  <c r="L1199" i="40"/>
  <c r="L1200" i="40"/>
  <c r="L1201" i="40"/>
  <c r="L1202" i="40"/>
  <c r="L1203" i="40"/>
  <c r="L1204" i="40"/>
  <c r="L1205" i="40"/>
  <c r="L1206" i="40"/>
  <c r="L1207" i="40"/>
  <c r="L1208" i="40"/>
  <c r="L1209" i="40"/>
  <c r="L1210" i="40"/>
  <c r="L1211" i="40"/>
  <c r="L1212" i="40"/>
  <c r="L1213" i="40"/>
  <c r="L1214" i="40"/>
  <c r="L1215" i="40"/>
  <c r="L1216" i="40"/>
  <c r="L1217" i="40"/>
  <c r="L1218" i="40"/>
  <c r="L1219" i="40"/>
  <c r="L1220" i="40"/>
  <c r="L1221" i="40"/>
  <c r="L1222" i="40"/>
  <c r="L1223" i="40"/>
  <c r="L1224" i="40"/>
  <c r="L1225" i="40"/>
  <c r="L1226" i="40"/>
  <c r="L1227" i="40"/>
  <c r="L1228" i="40"/>
  <c r="L1229" i="40"/>
  <c r="L1230" i="40"/>
  <c r="L1231" i="40"/>
  <c r="L1232" i="40"/>
  <c r="L1233" i="40"/>
  <c r="L1234" i="40"/>
  <c r="L1235" i="40"/>
  <c r="L1236" i="40"/>
  <c r="L1237" i="40"/>
  <c r="L1238" i="40"/>
  <c r="L1239" i="40"/>
  <c r="L1240" i="40"/>
  <c r="L1241" i="40"/>
  <c r="L1242" i="40"/>
  <c r="L1243" i="40"/>
  <c r="L1244" i="40"/>
  <c r="L1245" i="40"/>
  <c r="L1246" i="40"/>
  <c r="L1247" i="40"/>
  <c r="L1248" i="40"/>
  <c r="L1249" i="40"/>
  <c r="L1250" i="40"/>
  <c r="L1251" i="40"/>
  <c r="L1252" i="40"/>
  <c r="L1253" i="40"/>
  <c r="L1254" i="40"/>
  <c r="L1255" i="40"/>
  <c r="L1256" i="40"/>
  <c r="L1257" i="40"/>
  <c r="L1258" i="40"/>
  <c r="L1259" i="40"/>
  <c r="L1260" i="40"/>
  <c r="L1261" i="40"/>
  <c r="L1262" i="40"/>
  <c r="L1263" i="40"/>
  <c r="L1264" i="40"/>
  <c r="L1265" i="40"/>
  <c r="L1266" i="40"/>
  <c r="L1267" i="40"/>
  <c r="L1268" i="40"/>
  <c r="L1269" i="40"/>
  <c r="L1270" i="40"/>
  <c r="L1271" i="40"/>
  <c r="L1272" i="40"/>
  <c r="L1273" i="40"/>
  <c r="L1274" i="40"/>
  <c r="L1275" i="40"/>
  <c r="L1276" i="40"/>
  <c r="L1277" i="40"/>
  <c r="L1278" i="40"/>
  <c r="L1279" i="40"/>
  <c r="L1280" i="40"/>
  <c r="L1281" i="40"/>
  <c r="L1282" i="40"/>
  <c r="L1283" i="40"/>
  <c r="L1284" i="40"/>
  <c r="L1285" i="40"/>
  <c r="L1286" i="40"/>
  <c r="L1287" i="40"/>
  <c r="L1288" i="40"/>
  <c r="L1289" i="40"/>
  <c r="L1290" i="40"/>
  <c r="L1291" i="40"/>
  <c r="L1292" i="40"/>
  <c r="L1293" i="40"/>
  <c r="L1294" i="40"/>
  <c r="L1295" i="40"/>
  <c r="L1296" i="40"/>
  <c r="L1297" i="40"/>
  <c r="L1298" i="40"/>
  <c r="L1299" i="40"/>
  <c r="L1300" i="40"/>
  <c r="L1301" i="40"/>
  <c r="L1302" i="40"/>
  <c r="L1303" i="40"/>
  <c r="L1304" i="40"/>
  <c r="L1305" i="40"/>
  <c r="L1306" i="40"/>
  <c r="L1307" i="40"/>
  <c r="L1308" i="40"/>
  <c r="L1309" i="40"/>
  <c r="L1310" i="40"/>
  <c r="L1311" i="40"/>
  <c r="L1312" i="40"/>
  <c r="L1313" i="40"/>
  <c r="L1314" i="40"/>
  <c r="L1315" i="40"/>
  <c r="L1316" i="40"/>
  <c r="L1317" i="40"/>
  <c r="L1318" i="40"/>
  <c r="L1319" i="40"/>
  <c r="L1320" i="40"/>
  <c r="L1321" i="40"/>
  <c r="L1322" i="40"/>
  <c r="L1323" i="40"/>
  <c r="L1324" i="40"/>
  <c r="L1325" i="40"/>
  <c r="L1326" i="40"/>
  <c r="L1327" i="40"/>
  <c r="L1328" i="40"/>
  <c r="L1329" i="40"/>
  <c r="L1330" i="40"/>
  <c r="L1331" i="40"/>
  <c r="L1332" i="40"/>
  <c r="L1333" i="40"/>
  <c r="L1334" i="40"/>
  <c r="L1335" i="40"/>
  <c r="L1336" i="40"/>
  <c r="L1337" i="40"/>
  <c r="L1338" i="40"/>
  <c r="L1339" i="40"/>
  <c r="L1340" i="40"/>
  <c r="L1341" i="40"/>
  <c r="L1342" i="40"/>
  <c r="L1343" i="40"/>
  <c r="L1344" i="40"/>
  <c r="L1345" i="40"/>
  <c r="L1346" i="40"/>
  <c r="L1347" i="40"/>
  <c r="L1348" i="40"/>
  <c r="L1349" i="40"/>
  <c r="L1350" i="40"/>
  <c r="L1351" i="40"/>
  <c r="L1352" i="40"/>
  <c r="L1353" i="40"/>
  <c r="L1354" i="40"/>
  <c r="L1355" i="40"/>
  <c r="L1356" i="40"/>
  <c r="L1357" i="40"/>
  <c r="L1358" i="40"/>
  <c r="L1359" i="40"/>
  <c r="L1360" i="40"/>
  <c r="L1361" i="40"/>
  <c r="L1362" i="40"/>
  <c r="L1363" i="40"/>
  <c r="L1364" i="40"/>
  <c r="L1365" i="40"/>
  <c r="L1366" i="40"/>
  <c r="L1367" i="40"/>
  <c r="L1368" i="40"/>
  <c r="L1369" i="40"/>
  <c r="L1370" i="40"/>
  <c r="L1371" i="40"/>
  <c r="L1372" i="40"/>
  <c r="L1373" i="40"/>
  <c r="L1374" i="40"/>
  <c r="L1375" i="40"/>
  <c r="L1376" i="40"/>
  <c r="L1377" i="40"/>
  <c r="L1378" i="40"/>
  <c r="L1379" i="40"/>
  <c r="L1380" i="40"/>
  <c r="L1381" i="40"/>
  <c r="L1382" i="40"/>
  <c r="L1383" i="40"/>
  <c r="L1384" i="40"/>
  <c r="L1385" i="40"/>
  <c r="L1386" i="40"/>
  <c r="L1387" i="40"/>
  <c r="L1388" i="40"/>
  <c r="L1389" i="40"/>
  <c r="L1390" i="40"/>
  <c r="L1391" i="40"/>
  <c r="L1392" i="40"/>
  <c r="L1393" i="40"/>
  <c r="L1394" i="40"/>
  <c r="L1395" i="40"/>
  <c r="L1396" i="40"/>
  <c r="L1397" i="40"/>
  <c r="L1398" i="40"/>
  <c r="L1399" i="40"/>
  <c r="L1400" i="40"/>
  <c r="L1401" i="40"/>
  <c r="L1402" i="40"/>
  <c r="L1403" i="40"/>
  <c r="L1404" i="40"/>
  <c r="L1405" i="40"/>
  <c r="L1406" i="40"/>
  <c r="L1407" i="40"/>
  <c r="L1408" i="40"/>
  <c r="L1409" i="40"/>
  <c r="L1410" i="40"/>
  <c r="L1411" i="40"/>
  <c r="L1412" i="40"/>
  <c r="L1413" i="40"/>
  <c r="L1414" i="40"/>
  <c r="L1415" i="40"/>
  <c r="L1416" i="40"/>
  <c r="L1417" i="40"/>
  <c r="L1418" i="40"/>
  <c r="L1419" i="40"/>
  <c r="L1420" i="40"/>
  <c r="L1421" i="40"/>
  <c r="L1422" i="40"/>
  <c r="L1423" i="40"/>
  <c r="L1424" i="40"/>
  <c r="L1425" i="40"/>
  <c r="L1426" i="40"/>
  <c r="L1427" i="40"/>
  <c r="L1428" i="40"/>
  <c r="L1429" i="40"/>
  <c r="L1430" i="40"/>
  <c r="L1431" i="40"/>
  <c r="L1432" i="40"/>
  <c r="L1433" i="40"/>
  <c r="L1434" i="40"/>
  <c r="L1435" i="40"/>
  <c r="L1436" i="40"/>
  <c r="L1437" i="40"/>
  <c r="L1438" i="40"/>
  <c r="L1439" i="40"/>
  <c r="L1440" i="40"/>
  <c r="L1441" i="40"/>
  <c r="L1442" i="40"/>
  <c r="L1443" i="40"/>
  <c r="L1444" i="40"/>
  <c r="L1445" i="40"/>
  <c r="L1446" i="40"/>
  <c r="L1447" i="40"/>
  <c r="L1448" i="40"/>
  <c r="L1449" i="40"/>
  <c r="L1450" i="40"/>
  <c r="L1451" i="40"/>
  <c r="L1452" i="40"/>
  <c r="L1453" i="40"/>
  <c r="L1454" i="40"/>
  <c r="L1455" i="40"/>
  <c r="L1456" i="40"/>
  <c r="L1457" i="40"/>
  <c r="L1458" i="40"/>
  <c r="L1459" i="40"/>
  <c r="L1460" i="40"/>
  <c r="L1461" i="40"/>
  <c r="L1462" i="40"/>
  <c r="L1463" i="40"/>
  <c r="L1464" i="40"/>
  <c r="L1465" i="40"/>
  <c r="L1466" i="40"/>
  <c r="L1467" i="40"/>
  <c r="L1468" i="40"/>
  <c r="L1469" i="40"/>
  <c r="L1470" i="40"/>
  <c r="L1471" i="40"/>
  <c r="L1472" i="40"/>
  <c r="L1473" i="40"/>
  <c r="L1474" i="40"/>
  <c r="L1475" i="40"/>
  <c r="L1476" i="40"/>
  <c r="L1477" i="40"/>
  <c r="L1478" i="40"/>
  <c r="L1479" i="40"/>
  <c r="L1480" i="40"/>
  <c r="L1481" i="40"/>
  <c r="L1482" i="40"/>
  <c r="L1483" i="40"/>
  <c r="L1484" i="40"/>
  <c r="L1485" i="40"/>
  <c r="L1486" i="40"/>
  <c r="L1487" i="40"/>
  <c r="L1488" i="40"/>
  <c r="L1489" i="40"/>
  <c r="L1490" i="40"/>
  <c r="L1491" i="40"/>
  <c r="L1492" i="40"/>
  <c r="L1493" i="40"/>
  <c r="L1494" i="40"/>
  <c r="L1495" i="40"/>
  <c r="L1496" i="40"/>
  <c r="L1497" i="40"/>
  <c r="L1498" i="40"/>
  <c r="L1499" i="40"/>
  <c r="L1500" i="40"/>
  <c r="L1501" i="40"/>
  <c r="L1502" i="40"/>
  <c r="L1503" i="40"/>
  <c r="L1504" i="40"/>
  <c r="L1505" i="40"/>
  <c r="L1506" i="40"/>
  <c r="L1507" i="40"/>
  <c r="L1508" i="40"/>
  <c r="L1509" i="40"/>
  <c r="L1510" i="40"/>
  <c r="L1511" i="40"/>
  <c r="L1512" i="40"/>
  <c r="L1513" i="40"/>
  <c r="L1514" i="40"/>
  <c r="L1515" i="40"/>
  <c r="L1516" i="40"/>
  <c r="L1517" i="40"/>
  <c r="L1518" i="40"/>
  <c r="L1519" i="40"/>
  <c r="L1520" i="40"/>
  <c r="L1521" i="40"/>
  <c r="L1522" i="40"/>
  <c r="L1523" i="40"/>
  <c r="L1524" i="40"/>
  <c r="L1525" i="40"/>
  <c r="L1526" i="40"/>
  <c r="L1527" i="40"/>
  <c r="L1528" i="40"/>
  <c r="L1529" i="40"/>
  <c r="L1530" i="40"/>
  <c r="L1531" i="40"/>
  <c r="L1532" i="40"/>
  <c r="L1533" i="40"/>
  <c r="L1534" i="40"/>
  <c r="L1535" i="40"/>
  <c r="L1536" i="40"/>
  <c r="L1537" i="40"/>
  <c r="L1538" i="40"/>
  <c r="L1539" i="40"/>
  <c r="L1540" i="40"/>
  <c r="L1541" i="40"/>
  <c r="L1542" i="40"/>
  <c r="L1543" i="40"/>
  <c r="L1544" i="40"/>
  <c r="L1545" i="40"/>
  <c r="L1546" i="40"/>
  <c r="L1547" i="40"/>
  <c r="L1548" i="40"/>
  <c r="L1549" i="40"/>
  <c r="L1550" i="40"/>
  <c r="L1551" i="40"/>
  <c r="L1552" i="40"/>
  <c r="L1553" i="40"/>
  <c r="L1554" i="40"/>
  <c r="L1555" i="40"/>
  <c r="L1556" i="40"/>
  <c r="L1557" i="40"/>
  <c r="L1558" i="40"/>
  <c r="L1559" i="40"/>
  <c r="L1560" i="40"/>
  <c r="L1561" i="40"/>
  <c r="L1562" i="40"/>
  <c r="L1563" i="40"/>
  <c r="L1564" i="40"/>
  <c r="L1565" i="40"/>
  <c r="L1566" i="40"/>
  <c r="L1567" i="40"/>
  <c r="L1568" i="40"/>
  <c r="L1569" i="40"/>
  <c r="L1570" i="40"/>
  <c r="L1571" i="40"/>
  <c r="L1572" i="40"/>
  <c r="L1573" i="40"/>
  <c r="L1574" i="40"/>
  <c r="L1575" i="40"/>
  <c r="L1576" i="40"/>
  <c r="L1577" i="40"/>
  <c r="L1578" i="40"/>
  <c r="L1579" i="40"/>
  <c r="L1580" i="40"/>
  <c r="L1581" i="40"/>
  <c r="L1582" i="40"/>
  <c r="L1583" i="40"/>
  <c r="L1584" i="40"/>
  <c r="L1585" i="40"/>
  <c r="L1586" i="40"/>
  <c r="L1587" i="40"/>
  <c r="L1588" i="40"/>
  <c r="L1589" i="40"/>
  <c r="L1590" i="40"/>
  <c r="L1591" i="40"/>
  <c r="L1592" i="40"/>
  <c r="L1593" i="40"/>
  <c r="L1594" i="40"/>
  <c r="L1595" i="40"/>
  <c r="L1596" i="40"/>
  <c r="L1597" i="40"/>
  <c r="L1598" i="40"/>
  <c r="L1599" i="40"/>
  <c r="L1600" i="40"/>
  <c r="L1601" i="40"/>
  <c r="L1602" i="40"/>
  <c r="L1603" i="40"/>
  <c r="L1604" i="40"/>
  <c r="L1605" i="40"/>
  <c r="L1606" i="40"/>
  <c r="L1607" i="40"/>
  <c r="L1608" i="40"/>
  <c r="L1609" i="40"/>
  <c r="L1610" i="40"/>
  <c r="L1611" i="40"/>
  <c r="L1612" i="40"/>
  <c r="L1613" i="40"/>
  <c r="L1614" i="40"/>
  <c r="L1615" i="40"/>
  <c r="L1616" i="40"/>
  <c r="L1617" i="40"/>
  <c r="L1618" i="40"/>
  <c r="L1619" i="40"/>
  <c r="L1620" i="40"/>
  <c r="L1621" i="40"/>
  <c r="L1622" i="40"/>
  <c r="L1623" i="40"/>
  <c r="L1624" i="40"/>
  <c r="L1625" i="40"/>
  <c r="L1626" i="40"/>
  <c r="L1627" i="40"/>
  <c r="L1628" i="40"/>
  <c r="L1629" i="40"/>
  <c r="L1630" i="40"/>
  <c r="L1631" i="40"/>
  <c r="L1632" i="40"/>
  <c r="L1633" i="40"/>
  <c r="L1634" i="40"/>
  <c r="L1635" i="40"/>
  <c r="L1636" i="40"/>
  <c r="L1637" i="40"/>
  <c r="L1638" i="40"/>
  <c r="L1639" i="40"/>
  <c r="L1640" i="40"/>
  <c r="L1641" i="40"/>
  <c r="L1642" i="40"/>
  <c r="L1643" i="40"/>
  <c r="L1644" i="40"/>
  <c r="L1645" i="40"/>
  <c r="L1646" i="40"/>
  <c r="L1647" i="40"/>
  <c r="L1648" i="40"/>
  <c r="L1649" i="40"/>
  <c r="L1650" i="40"/>
  <c r="L1651" i="40"/>
  <c r="L1652" i="40"/>
  <c r="L1653" i="40"/>
  <c r="L1654" i="40"/>
  <c r="L1655" i="40"/>
  <c r="L1656" i="40"/>
  <c r="L1657" i="40"/>
  <c r="L1658" i="40"/>
  <c r="L1659" i="40"/>
  <c r="L1660" i="40"/>
  <c r="L1661" i="40"/>
  <c r="L1662" i="40"/>
  <c r="L1663" i="40"/>
  <c r="L1664" i="40"/>
  <c r="L1665" i="40"/>
  <c r="L1666" i="40"/>
  <c r="L1667" i="40"/>
  <c r="L1668" i="40"/>
  <c r="L1669" i="40"/>
  <c r="L1670" i="40"/>
  <c r="L1671" i="40"/>
  <c r="L1672" i="40"/>
  <c r="L1673" i="40"/>
  <c r="L1674" i="40"/>
  <c r="L1675" i="40"/>
  <c r="L1676" i="40"/>
  <c r="L1677" i="40"/>
  <c r="L1678" i="40"/>
  <c r="L1679" i="40"/>
  <c r="L1680" i="40"/>
  <c r="L1681" i="40"/>
  <c r="L1682" i="40"/>
  <c r="L1683" i="40"/>
  <c r="L1684" i="40"/>
  <c r="L1685" i="40"/>
  <c r="L1686" i="40"/>
  <c r="L1687" i="40"/>
  <c r="L1688" i="40"/>
  <c r="L1689" i="40"/>
  <c r="L1690" i="40"/>
  <c r="L1691" i="40"/>
  <c r="L1692" i="40"/>
  <c r="L1693" i="40"/>
  <c r="L1694" i="40"/>
  <c r="L1695" i="40"/>
  <c r="L1696" i="40"/>
  <c r="L1697" i="40"/>
  <c r="L1698" i="40"/>
  <c r="L1699" i="40"/>
  <c r="L1700" i="40"/>
  <c r="L1701" i="40"/>
  <c r="L1702" i="40"/>
  <c r="L1703" i="40"/>
  <c r="L1704" i="40"/>
  <c r="L1705" i="40"/>
  <c r="L1706" i="40"/>
  <c r="L1707" i="40"/>
  <c r="L1708" i="40"/>
  <c r="L1709" i="40"/>
  <c r="L1710" i="40"/>
  <c r="L1711" i="40"/>
  <c r="L1712" i="40"/>
  <c r="L1713" i="40"/>
  <c r="L1714" i="40"/>
  <c r="L1715" i="40"/>
  <c r="L1716" i="40"/>
  <c r="L1717" i="40"/>
  <c r="L1718" i="40"/>
  <c r="L1719" i="40"/>
  <c r="L1720" i="40"/>
  <c r="L1721" i="40"/>
  <c r="L1722" i="40"/>
  <c r="L1723" i="40"/>
  <c r="L1724" i="40"/>
  <c r="L1725" i="40"/>
  <c r="L1726" i="40"/>
  <c r="L1727" i="40"/>
  <c r="L1728" i="40"/>
  <c r="L1729" i="40"/>
  <c r="L1730" i="40"/>
  <c r="L1731" i="40"/>
  <c r="L1732" i="40"/>
  <c r="L1733" i="40"/>
  <c r="L1734" i="40"/>
  <c r="L1735" i="40"/>
  <c r="L1736" i="40"/>
  <c r="L1737" i="40"/>
  <c r="L1738" i="40"/>
  <c r="L1739" i="40"/>
  <c r="L1740" i="40"/>
  <c r="L1741" i="40"/>
  <c r="L1742" i="40"/>
  <c r="L1743" i="40"/>
  <c r="L1744" i="40"/>
  <c r="L1745" i="40"/>
  <c r="L1746" i="40"/>
  <c r="L1747" i="40"/>
  <c r="L1748" i="40"/>
  <c r="L1749" i="40"/>
  <c r="L1750" i="40"/>
  <c r="L1751" i="40"/>
  <c r="L1752" i="40"/>
  <c r="L1753" i="40"/>
  <c r="L1754" i="40"/>
  <c r="L1755" i="40"/>
  <c r="L1756" i="40"/>
  <c r="L1757" i="40"/>
  <c r="L1758" i="40"/>
  <c r="L1759" i="40"/>
  <c r="L1760" i="40"/>
  <c r="L1761" i="40"/>
  <c r="L1762" i="40"/>
  <c r="L1763" i="40"/>
  <c r="L1764" i="40"/>
  <c r="L1765" i="40"/>
  <c r="L1766" i="40"/>
  <c r="L1767" i="40"/>
  <c r="L1768" i="40"/>
  <c r="L1769" i="40"/>
  <c r="L1770" i="40"/>
  <c r="L1771" i="40"/>
  <c r="L1772" i="40"/>
  <c r="L1773" i="40"/>
  <c r="L1774" i="40"/>
  <c r="L1775" i="40"/>
  <c r="L1776" i="40"/>
  <c r="L1777" i="40"/>
  <c r="L1778" i="40"/>
  <c r="L1779" i="40"/>
  <c r="L1780" i="40"/>
  <c r="L1781" i="40"/>
  <c r="L1782" i="40"/>
  <c r="L1783" i="40"/>
  <c r="L1784" i="40"/>
  <c r="L1785" i="40"/>
  <c r="L1786" i="40"/>
  <c r="L1787" i="40"/>
  <c r="L1788" i="40"/>
  <c r="L1789" i="40"/>
  <c r="L1790" i="40"/>
  <c r="L1791" i="40"/>
  <c r="L1792" i="40"/>
  <c r="L1793" i="40"/>
  <c r="L1794" i="40"/>
  <c r="L1795" i="40"/>
  <c r="L1796" i="40"/>
  <c r="L1797" i="40"/>
  <c r="L1798" i="40"/>
  <c r="L1799" i="40"/>
  <c r="L1800" i="40"/>
  <c r="L1801" i="40"/>
  <c r="L1802" i="40"/>
  <c r="L1803" i="40"/>
  <c r="L1804" i="40"/>
  <c r="L1805" i="40"/>
  <c r="L1806" i="40"/>
  <c r="L1807" i="40"/>
  <c r="L1808" i="40"/>
  <c r="L1809" i="40"/>
  <c r="L1810" i="40"/>
  <c r="L1811" i="40"/>
  <c r="L1812" i="40"/>
  <c r="L1813" i="40"/>
  <c r="L1814" i="40"/>
  <c r="L1815" i="40"/>
  <c r="L1816" i="40"/>
  <c r="L1817" i="40"/>
  <c r="L1818" i="40"/>
  <c r="L1819" i="40"/>
  <c r="L1820" i="40"/>
  <c r="L1821" i="40"/>
  <c r="L1822" i="40"/>
  <c r="L1823" i="40"/>
  <c r="L1824" i="40"/>
  <c r="L1825" i="40"/>
  <c r="L1826" i="40"/>
  <c r="L1827" i="40"/>
  <c r="L1828" i="40"/>
  <c r="L1829" i="40"/>
  <c r="L1830" i="40"/>
  <c r="L1831" i="40"/>
  <c r="L1832" i="40"/>
  <c r="L1833" i="40"/>
  <c r="L1834" i="40"/>
  <c r="L1835" i="40"/>
  <c r="L1836" i="40"/>
  <c r="L1837" i="40"/>
  <c r="L1838" i="40"/>
  <c r="L1839" i="40"/>
  <c r="L1840" i="40"/>
  <c r="L1841" i="40"/>
  <c r="L1842" i="40"/>
  <c r="L1843" i="40"/>
  <c r="L1844" i="40"/>
  <c r="L1845" i="40"/>
  <c r="L1846" i="40"/>
  <c r="L1847" i="40"/>
  <c r="L1848" i="40"/>
  <c r="L1849" i="40"/>
  <c r="L1850" i="40"/>
  <c r="L1851" i="40"/>
  <c r="L1852" i="40"/>
  <c r="L1853" i="40"/>
  <c r="L1854" i="40"/>
  <c r="L1855" i="40"/>
  <c r="L1856" i="40"/>
  <c r="L1857" i="40"/>
  <c r="L1858" i="40"/>
  <c r="L1859" i="40"/>
  <c r="L1860" i="40"/>
  <c r="L1861" i="40"/>
  <c r="L1862" i="40"/>
  <c r="L1863" i="40"/>
  <c r="L1864" i="40"/>
  <c r="L1865" i="40"/>
  <c r="L1866" i="40"/>
  <c r="L1867" i="40"/>
  <c r="L1868" i="40"/>
  <c r="L1869" i="40"/>
  <c r="L1870" i="40"/>
  <c r="L1871" i="40"/>
  <c r="L1872" i="40"/>
  <c r="L1873" i="40"/>
  <c r="L1874" i="40"/>
  <c r="L1875" i="40"/>
  <c r="L1876" i="40"/>
  <c r="L1877" i="40"/>
  <c r="L1878" i="40"/>
  <c r="L1879" i="40"/>
  <c r="L1880" i="40"/>
  <c r="L1881" i="40"/>
  <c r="L1882" i="40"/>
  <c r="L1883" i="40"/>
  <c r="L1884" i="40"/>
  <c r="L1885" i="40"/>
  <c r="L1886" i="40"/>
  <c r="L1887" i="40"/>
  <c r="L1888" i="40"/>
  <c r="L1889" i="40"/>
  <c r="L1890" i="40"/>
  <c r="L1891" i="40"/>
  <c r="L1892" i="40"/>
  <c r="L1893" i="40"/>
  <c r="L1894" i="40"/>
  <c r="L1895" i="40"/>
  <c r="L1896" i="40"/>
  <c r="L1897" i="40"/>
  <c r="L1898" i="40"/>
  <c r="L1899" i="40"/>
  <c r="L1900" i="40"/>
  <c r="L1901" i="40"/>
  <c r="L1902" i="40"/>
  <c r="L1903" i="40"/>
  <c r="L1904" i="40"/>
  <c r="L1905" i="40"/>
  <c r="L1906" i="40"/>
  <c r="L1907" i="40"/>
  <c r="L1908" i="40"/>
  <c r="L1909" i="40"/>
  <c r="L1910" i="40"/>
  <c r="L1911" i="40"/>
  <c r="L1912" i="40"/>
  <c r="L1913" i="40"/>
  <c r="L1914" i="40"/>
  <c r="L1915" i="40"/>
  <c r="L1916" i="40"/>
  <c r="L1917" i="40"/>
  <c r="L1918" i="40"/>
  <c r="L1919" i="40"/>
  <c r="L1920" i="40"/>
  <c r="L1921" i="40"/>
  <c r="L1922" i="40"/>
  <c r="L1923" i="40"/>
  <c r="L1924" i="40"/>
  <c r="L1925" i="40"/>
  <c r="L1926" i="40"/>
  <c r="L1927" i="40"/>
  <c r="L1928" i="40"/>
  <c r="L1929" i="40"/>
  <c r="L1930" i="40"/>
  <c r="L1931" i="40"/>
  <c r="L1932" i="40"/>
  <c r="L1933" i="40"/>
  <c r="L1934" i="40"/>
  <c r="L1935" i="40"/>
  <c r="L1936" i="40"/>
  <c r="L1937" i="40"/>
  <c r="L1938" i="40"/>
  <c r="L1939" i="40"/>
  <c r="L1940" i="40"/>
  <c r="L1941" i="40"/>
  <c r="L1942" i="40"/>
  <c r="L1943" i="40"/>
  <c r="L1944" i="40"/>
  <c r="L1945" i="40"/>
  <c r="L1946" i="40"/>
  <c r="L1947" i="40"/>
  <c r="L1948" i="40"/>
  <c r="L1949" i="40"/>
  <c r="L1950" i="40"/>
  <c r="L1951" i="40"/>
  <c r="L1952" i="40"/>
  <c r="L1953" i="40"/>
  <c r="L1954" i="40"/>
  <c r="L1955" i="40"/>
  <c r="L1956" i="40"/>
  <c r="L1957" i="40"/>
  <c r="L1958" i="40"/>
  <c r="L1959" i="40"/>
  <c r="L1960" i="40"/>
  <c r="L1961" i="40"/>
  <c r="L1962" i="40"/>
  <c r="L1963" i="40"/>
  <c r="L1964" i="40"/>
  <c r="L1965" i="40"/>
  <c r="L1966" i="40"/>
  <c r="L1967" i="40"/>
  <c r="L1968" i="40"/>
  <c r="L1969" i="40"/>
  <c r="L1970" i="40"/>
  <c r="L1971" i="40"/>
  <c r="L1972" i="40"/>
  <c r="L1973" i="40"/>
  <c r="L1974" i="40"/>
  <c r="L1975" i="40"/>
  <c r="L1976" i="40"/>
  <c r="L1977" i="40"/>
  <c r="L1978" i="40"/>
  <c r="L1979" i="40"/>
  <c r="L1980" i="40"/>
  <c r="L1981" i="40"/>
  <c r="L1982" i="40"/>
  <c r="L1983" i="40"/>
  <c r="L1984" i="40"/>
  <c r="L1985" i="40"/>
  <c r="L1986" i="40"/>
  <c r="L1987" i="40"/>
  <c r="L1988" i="40"/>
  <c r="L1989" i="40"/>
  <c r="L1990" i="40"/>
  <c r="L1991" i="40"/>
  <c r="L1992" i="40"/>
  <c r="L1993" i="40"/>
  <c r="L1994" i="40"/>
  <c r="L1995" i="40"/>
  <c r="L1996" i="40"/>
  <c r="L1997" i="40"/>
  <c r="L1998" i="40"/>
  <c r="L1999" i="40"/>
  <c r="L2000" i="40"/>
  <c r="L2001" i="40"/>
  <c r="L2002" i="40"/>
  <c r="L2003" i="40"/>
  <c r="L2004" i="40"/>
  <c r="L2005" i="40"/>
  <c r="L2006" i="40"/>
  <c r="L2007" i="40"/>
  <c r="L2008" i="40"/>
  <c r="L2009" i="40"/>
  <c r="L2010" i="40"/>
  <c r="L2011" i="40"/>
  <c r="L2012" i="40"/>
  <c r="L2013" i="40"/>
  <c r="L2014" i="40"/>
  <c r="L2015" i="40"/>
  <c r="L2016" i="40"/>
  <c r="L2017" i="40"/>
  <c r="L2018" i="40"/>
  <c r="L2019" i="40"/>
  <c r="L2020" i="40"/>
  <c r="L2021" i="40"/>
  <c r="L2022" i="40"/>
  <c r="L2023" i="40"/>
  <c r="L2024" i="40"/>
  <c r="L2025" i="40"/>
  <c r="L2026" i="40"/>
  <c r="L2027" i="40"/>
  <c r="L2028" i="40"/>
  <c r="L2029" i="40"/>
  <c r="L2030" i="40"/>
  <c r="L2031" i="40"/>
  <c r="L2032" i="40"/>
  <c r="L2033" i="40"/>
  <c r="L2034" i="40"/>
  <c r="L2035" i="40"/>
  <c r="L2036" i="40"/>
  <c r="L2037" i="40"/>
  <c r="L2038" i="40"/>
  <c r="L2039" i="40"/>
  <c r="L2040" i="40"/>
  <c r="L2041" i="40"/>
  <c r="L2042" i="40"/>
  <c r="L2043" i="40"/>
  <c r="L2044" i="40"/>
  <c r="L2045" i="40"/>
  <c r="L2046" i="40"/>
  <c r="L2047" i="40"/>
  <c r="L2048" i="40"/>
  <c r="L2049" i="40"/>
  <c r="L2050" i="40"/>
  <c r="L2051" i="40"/>
  <c r="L2052" i="40"/>
  <c r="L2053" i="40"/>
  <c r="L2054" i="40"/>
  <c r="L2055" i="40"/>
  <c r="L2056" i="40"/>
  <c r="L2057" i="40"/>
  <c r="L2058" i="40"/>
  <c r="L2059" i="40"/>
  <c r="L2060" i="40"/>
  <c r="L2061" i="40"/>
  <c r="L2062" i="40"/>
  <c r="L2063" i="40"/>
  <c r="L2064" i="40"/>
  <c r="L2065" i="40"/>
  <c r="L2066" i="40"/>
  <c r="L2067" i="40"/>
  <c r="L2068" i="40"/>
  <c r="L2069" i="40"/>
  <c r="L2070" i="40"/>
  <c r="L2071" i="40"/>
  <c r="L2072" i="40"/>
  <c r="L2073" i="40"/>
  <c r="L2074" i="40"/>
  <c r="L2075" i="40"/>
  <c r="L2076" i="40"/>
  <c r="L2077" i="40"/>
  <c r="L2078" i="40"/>
  <c r="L2079" i="40"/>
  <c r="L2080" i="40"/>
  <c r="L2081" i="40"/>
  <c r="L2082" i="40"/>
  <c r="L2083" i="40"/>
  <c r="L2084" i="40"/>
  <c r="L2085" i="40"/>
  <c r="L2086" i="40"/>
  <c r="L2087" i="40"/>
  <c r="L2088" i="40"/>
  <c r="L2089" i="40"/>
  <c r="L2090" i="40"/>
  <c r="L2091" i="40"/>
  <c r="L2092" i="40"/>
  <c r="L2093" i="40"/>
  <c r="L2094" i="40"/>
  <c r="L2095" i="40"/>
  <c r="L2096" i="40"/>
  <c r="L2097" i="40"/>
  <c r="L2098" i="40"/>
  <c r="L2099" i="40"/>
  <c r="L2100" i="40"/>
  <c r="L2101" i="40"/>
  <c r="L2102" i="40"/>
  <c r="L2103" i="40"/>
  <c r="L2104" i="40"/>
  <c r="L2105" i="40"/>
  <c r="L2106" i="40"/>
  <c r="L2107" i="40"/>
  <c r="L2108" i="40"/>
  <c r="L2109" i="40"/>
  <c r="L2110" i="40"/>
  <c r="L2111" i="40"/>
  <c r="L2112" i="40"/>
  <c r="L2113" i="40"/>
  <c r="L2114" i="40"/>
  <c r="L2115" i="40"/>
  <c r="L2116" i="40"/>
  <c r="L2117" i="40"/>
  <c r="L2118" i="40"/>
  <c r="L2119" i="40"/>
  <c r="L2120" i="40"/>
  <c r="L2121" i="40"/>
  <c r="L2122" i="40"/>
  <c r="L2123" i="40"/>
  <c r="L2124" i="40"/>
  <c r="L2125" i="40"/>
  <c r="L2126" i="40"/>
  <c r="L2127" i="40"/>
  <c r="L2128" i="40"/>
  <c r="L2129" i="40"/>
  <c r="L2130" i="40"/>
  <c r="L2131" i="40"/>
  <c r="L2132" i="40"/>
  <c r="L2133" i="40"/>
  <c r="L2134" i="40"/>
  <c r="L2135" i="40"/>
  <c r="L2136" i="40"/>
  <c r="L2137" i="40"/>
  <c r="L2138" i="40"/>
  <c r="L2139" i="40"/>
  <c r="L2140" i="40"/>
  <c r="L2141" i="40"/>
  <c r="L2142" i="40"/>
  <c r="L2143" i="40"/>
  <c r="L2144" i="40"/>
  <c r="L2145" i="40"/>
  <c r="L2146" i="40"/>
  <c r="L2147" i="40"/>
  <c r="L2148" i="40"/>
  <c r="L2149" i="40"/>
  <c r="L2150" i="40"/>
  <c r="L2151" i="40"/>
  <c r="L2152" i="40"/>
  <c r="L2153" i="40"/>
  <c r="L2154" i="40"/>
  <c r="L2155" i="40"/>
  <c r="L2156" i="40"/>
  <c r="L2157" i="40"/>
  <c r="L2158" i="40"/>
  <c r="L2159" i="40"/>
  <c r="L2160" i="40"/>
  <c r="L2161" i="40"/>
  <c r="L2162" i="40"/>
  <c r="L2163" i="40"/>
  <c r="L2164" i="40"/>
  <c r="L2165" i="40"/>
  <c r="L2166" i="40"/>
  <c r="L2167" i="40"/>
  <c r="L2168" i="40"/>
  <c r="L2169" i="40"/>
  <c r="L2170" i="40"/>
  <c r="L2171" i="40"/>
  <c r="L2172" i="40"/>
  <c r="L2173" i="40"/>
  <c r="L2174" i="40"/>
  <c r="L2175" i="40"/>
  <c r="L2176" i="40"/>
  <c r="L2177" i="40"/>
  <c r="L2178" i="40"/>
  <c r="L2179" i="40"/>
  <c r="L2180" i="40"/>
  <c r="L2181" i="40"/>
  <c r="L2182" i="40"/>
  <c r="L2183" i="40"/>
  <c r="L2184" i="40"/>
  <c r="L2185" i="40"/>
  <c r="L2186" i="40"/>
  <c r="L2187" i="40"/>
  <c r="L2188" i="40"/>
  <c r="L2189" i="40"/>
  <c r="L2190" i="40"/>
  <c r="L2191" i="40"/>
  <c r="L2192" i="40"/>
  <c r="L2193" i="40"/>
  <c r="L2194" i="40"/>
  <c r="L2195" i="40"/>
  <c r="L2196" i="40"/>
  <c r="L2197" i="40"/>
  <c r="L2198" i="40"/>
  <c r="L2199" i="40"/>
  <c r="L2200" i="40"/>
  <c r="L2201" i="40"/>
  <c r="L2202" i="40"/>
  <c r="L2203" i="40"/>
  <c r="L2204" i="40"/>
  <c r="L2205" i="40"/>
  <c r="L2206" i="40"/>
  <c r="L2207" i="40"/>
  <c r="L2208" i="40"/>
  <c r="L2209" i="40"/>
  <c r="L2210" i="40"/>
  <c r="L2211" i="40"/>
  <c r="L2212" i="40"/>
  <c r="L2213" i="40"/>
  <c r="L2214" i="40"/>
  <c r="L2215" i="40"/>
  <c r="L2216" i="40"/>
  <c r="L2217" i="40"/>
  <c r="L2218" i="40"/>
  <c r="L2219" i="40"/>
  <c r="L2220" i="40"/>
  <c r="L2221" i="40"/>
  <c r="L2222" i="40"/>
  <c r="L2223" i="40"/>
  <c r="L2224" i="40"/>
  <c r="L2225" i="40"/>
  <c r="L2226" i="40"/>
  <c r="L2227" i="40"/>
  <c r="L2228" i="40"/>
  <c r="L2229" i="40"/>
  <c r="L2230" i="40"/>
  <c r="L2231" i="40"/>
  <c r="L2232" i="40"/>
  <c r="L2233" i="40"/>
  <c r="L2234" i="40"/>
  <c r="L2235" i="40"/>
  <c r="L2236" i="40"/>
  <c r="L2237" i="40"/>
  <c r="L2238" i="40"/>
  <c r="L2239" i="40"/>
  <c r="L2240" i="40"/>
  <c r="L2241" i="40"/>
  <c r="L2242" i="40"/>
  <c r="L2243" i="40"/>
  <c r="L2244" i="40"/>
  <c r="L2245" i="40"/>
  <c r="L2246" i="40"/>
  <c r="L2247" i="40"/>
  <c r="L2248" i="40"/>
  <c r="L2249" i="40"/>
  <c r="L2250" i="40"/>
  <c r="L2251" i="40"/>
  <c r="L2252" i="40"/>
  <c r="L2253" i="40"/>
  <c r="L2254" i="40"/>
  <c r="L2255" i="40"/>
  <c r="L2256" i="40"/>
  <c r="L2257" i="40"/>
  <c r="L2258" i="40"/>
  <c r="L2259" i="40"/>
  <c r="L2260" i="40"/>
  <c r="L2261" i="40"/>
  <c r="L2262" i="40"/>
  <c r="L2263" i="40"/>
  <c r="L2264" i="40"/>
  <c r="L2265" i="40"/>
  <c r="L2266" i="40"/>
  <c r="L2267" i="40"/>
  <c r="L2268" i="40"/>
  <c r="L2269" i="40"/>
  <c r="L2270" i="40"/>
  <c r="L2271" i="40"/>
  <c r="L2272" i="40"/>
  <c r="L2273" i="40"/>
  <c r="L2274" i="40"/>
  <c r="L2275" i="40"/>
  <c r="L2276" i="40"/>
  <c r="L2277" i="40"/>
  <c r="L2278" i="40"/>
  <c r="L2279" i="40"/>
  <c r="L2280" i="40"/>
  <c r="L2281" i="40"/>
  <c r="L2282" i="40"/>
  <c r="L2283" i="40"/>
  <c r="L2284" i="40"/>
  <c r="L2285" i="40"/>
  <c r="L2286" i="40"/>
  <c r="L2287" i="40"/>
  <c r="L2288" i="40"/>
  <c r="L2289" i="40"/>
  <c r="L2290" i="40"/>
  <c r="L2291" i="40"/>
  <c r="L2292" i="40"/>
  <c r="L2293" i="40"/>
  <c r="L2294" i="40"/>
  <c r="L2295" i="40"/>
  <c r="L2296" i="40"/>
  <c r="L2297" i="40"/>
  <c r="L2298" i="40"/>
  <c r="L2299" i="40"/>
  <c r="L2300" i="40"/>
  <c r="L2301" i="40"/>
  <c r="L2302" i="40"/>
  <c r="L2303" i="40"/>
  <c r="L2304" i="40"/>
  <c r="L2305" i="40"/>
  <c r="L2306" i="40"/>
  <c r="L2307" i="40"/>
  <c r="L2308" i="40"/>
  <c r="L2309" i="40"/>
  <c r="L2310" i="40"/>
  <c r="L2311" i="40"/>
  <c r="L2312" i="40"/>
  <c r="L2313" i="40"/>
  <c r="L2314" i="40"/>
  <c r="L2315" i="40"/>
  <c r="L2316" i="40"/>
  <c r="L2317" i="40"/>
  <c r="L2318" i="40"/>
  <c r="L2319" i="40"/>
  <c r="L2320" i="40"/>
  <c r="L2321" i="40"/>
  <c r="L2322" i="40"/>
  <c r="L2323" i="40"/>
  <c r="L2324" i="40"/>
  <c r="L2325" i="40"/>
  <c r="L2326" i="40"/>
  <c r="L2327" i="40"/>
  <c r="L2328" i="40"/>
  <c r="L2329" i="40"/>
  <c r="L2330" i="40"/>
  <c r="L2331" i="40"/>
  <c r="L2332" i="40"/>
  <c r="L2333" i="40"/>
  <c r="L2334" i="40"/>
  <c r="L2335" i="40"/>
  <c r="L2336" i="40"/>
  <c r="L2337" i="40"/>
  <c r="L2338" i="40"/>
  <c r="L2339" i="40"/>
  <c r="L2340" i="40"/>
  <c r="L2341" i="40"/>
  <c r="L2342" i="40"/>
  <c r="L2343" i="40"/>
  <c r="L2344" i="40"/>
  <c r="L2345" i="40"/>
  <c r="L2346" i="40"/>
  <c r="L2347" i="40"/>
  <c r="L2348" i="40"/>
  <c r="L2349" i="40"/>
  <c r="L2350" i="40"/>
  <c r="L2351" i="40"/>
  <c r="L2352" i="40"/>
  <c r="L2353" i="40"/>
  <c r="L2354" i="40"/>
  <c r="L2355" i="40"/>
  <c r="L2356" i="40"/>
  <c r="L2357" i="40"/>
  <c r="L2358" i="40"/>
  <c r="L2359" i="40"/>
  <c r="L2360" i="40"/>
  <c r="L2361" i="40"/>
  <c r="L2362" i="40"/>
  <c r="L2363" i="40"/>
  <c r="L2364" i="40"/>
  <c r="L2365" i="40"/>
  <c r="L2366" i="40"/>
  <c r="L2367" i="40"/>
  <c r="L2368" i="40"/>
  <c r="L2369" i="40"/>
  <c r="L2370" i="40"/>
  <c r="L2371" i="40"/>
  <c r="L2372" i="40"/>
  <c r="L2373" i="40"/>
  <c r="L2374" i="40"/>
  <c r="L2375" i="40"/>
  <c r="L2376" i="40"/>
  <c r="L2377" i="40"/>
  <c r="L2378" i="40"/>
  <c r="L2379" i="40"/>
  <c r="L2380" i="40"/>
  <c r="L2381" i="40"/>
  <c r="L2382" i="40"/>
  <c r="L2383" i="40"/>
  <c r="L2384" i="40"/>
  <c r="L2385" i="40"/>
  <c r="L2386" i="40"/>
  <c r="L2387" i="40"/>
  <c r="L2388" i="40"/>
  <c r="L2389" i="40"/>
  <c r="L2390" i="40"/>
  <c r="L2391" i="40"/>
  <c r="L2392" i="40"/>
  <c r="L2393" i="40"/>
  <c r="L2394" i="40"/>
  <c r="L2395" i="40"/>
  <c r="L2396" i="40"/>
  <c r="L2397" i="40"/>
  <c r="L2398" i="40"/>
  <c r="L2399" i="40"/>
  <c r="L2400" i="40"/>
  <c r="L2401" i="40"/>
  <c r="L2402" i="40"/>
  <c r="L2403" i="40"/>
  <c r="L2404" i="40"/>
  <c r="L2405" i="40"/>
  <c r="L2406" i="40"/>
  <c r="L2407" i="40"/>
  <c r="L2408" i="40"/>
  <c r="L2409" i="40"/>
  <c r="L2410" i="40"/>
  <c r="L2411" i="40"/>
  <c r="L2412" i="40"/>
  <c r="L2413" i="40"/>
  <c r="L2414" i="40"/>
  <c r="L2415" i="40"/>
  <c r="L2416" i="40"/>
  <c r="L2417" i="40"/>
  <c r="L2418" i="40"/>
  <c r="L2419" i="40"/>
  <c r="L2420" i="40"/>
  <c r="L2421" i="40"/>
  <c r="L2422" i="40"/>
  <c r="L2423" i="40"/>
  <c r="L2424" i="40"/>
  <c r="L2425" i="40"/>
  <c r="L2426" i="40"/>
  <c r="L2427" i="40"/>
  <c r="L2428" i="40"/>
  <c r="L2429" i="40"/>
  <c r="L2430" i="40"/>
  <c r="L2431" i="40"/>
  <c r="L2432" i="40"/>
  <c r="L2433" i="40"/>
  <c r="L2434" i="40"/>
  <c r="L2435" i="40"/>
  <c r="L2436" i="40"/>
  <c r="L2437" i="40"/>
  <c r="L2438" i="40"/>
  <c r="L2439" i="40"/>
  <c r="L2440" i="40"/>
  <c r="L2441" i="40"/>
  <c r="L2442" i="40"/>
  <c r="L2443" i="40"/>
  <c r="L2444" i="40"/>
  <c r="L2445" i="40"/>
  <c r="L2446" i="40"/>
  <c r="L2447" i="40"/>
  <c r="L2448" i="40"/>
  <c r="L2449" i="40"/>
  <c r="L2450" i="40"/>
  <c r="L2451" i="40"/>
  <c r="L2452" i="40"/>
  <c r="L2453" i="40"/>
  <c r="L2454" i="40"/>
  <c r="L2455" i="40"/>
  <c r="L2456" i="40"/>
  <c r="L2457" i="40"/>
  <c r="L2458" i="40"/>
  <c r="L2459" i="40"/>
  <c r="L2460" i="40"/>
  <c r="L2461" i="40"/>
  <c r="L2462" i="40"/>
  <c r="L2463" i="40"/>
  <c r="L2464" i="40"/>
  <c r="L2465" i="40"/>
  <c r="L2466" i="40"/>
  <c r="L2467" i="40"/>
  <c r="L2468" i="40"/>
  <c r="L2469" i="40"/>
  <c r="L2470" i="40"/>
  <c r="L2471" i="40"/>
  <c r="L2472" i="40"/>
  <c r="L2473" i="40"/>
  <c r="L2474" i="40"/>
  <c r="L2475" i="40"/>
  <c r="L2476" i="40"/>
  <c r="L2477" i="40"/>
  <c r="L2478" i="40"/>
  <c r="L2479" i="40"/>
  <c r="L2480" i="40"/>
  <c r="L2481" i="40"/>
  <c r="L2482" i="40"/>
  <c r="L2483" i="40"/>
  <c r="L2484" i="40"/>
  <c r="L2485" i="40"/>
  <c r="L2486" i="40"/>
  <c r="L2487" i="40"/>
  <c r="L2488" i="40"/>
  <c r="L2489" i="40"/>
  <c r="L2490" i="40"/>
  <c r="L2491" i="40"/>
  <c r="L2492" i="40"/>
  <c r="L2493" i="40"/>
  <c r="L2494" i="40"/>
  <c r="L2495" i="40"/>
  <c r="L2496" i="40"/>
  <c r="L2497" i="40"/>
  <c r="L2498" i="40"/>
  <c r="L2499" i="40"/>
  <c r="L2500" i="40"/>
  <c r="L2501" i="40"/>
  <c r="L2502" i="40"/>
  <c r="L2503" i="40"/>
  <c r="L2504" i="40"/>
  <c r="L2505" i="40"/>
  <c r="L2506" i="40"/>
  <c r="L2507" i="40"/>
  <c r="L2508" i="40"/>
  <c r="L2509" i="40"/>
  <c r="L2510" i="40"/>
  <c r="L2511" i="40"/>
  <c r="L2512" i="40"/>
  <c r="L2513" i="40"/>
  <c r="L2514" i="40"/>
  <c r="L2515" i="40"/>
  <c r="L2516" i="40"/>
  <c r="L2517" i="40"/>
  <c r="L2518" i="40"/>
  <c r="L2519" i="40"/>
  <c r="L2520" i="40"/>
  <c r="L2521" i="40"/>
  <c r="L2522" i="40"/>
  <c r="L2523" i="40"/>
  <c r="L2524" i="40"/>
  <c r="L2525" i="40"/>
  <c r="L2526" i="40"/>
  <c r="L2527" i="40"/>
  <c r="L2528" i="40"/>
  <c r="L2529" i="40"/>
  <c r="L2530" i="40"/>
  <c r="L2531" i="40"/>
  <c r="L2532" i="40"/>
  <c r="L2533" i="40"/>
  <c r="L2534" i="40"/>
  <c r="L2535" i="40"/>
  <c r="L2536" i="40"/>
  <c r="L2537" i="40"/>
  <c r="L2538" i="40"/>
  <c r="L2539" i="40"/>
  <c r="L2540" i="40"/>
  <c r="L2541" i="40"/>
  <c r="L2542" i="40"/>
  <c r="L2543" i="40"/>
  <c r="L2544" i="40"/>
  <c r="L2545" i="40"/>
  <c r="L2546" i="40"/>
  <c r="L2547" i="40"/>
  <c r="L2548" i="40"/>
  <c r="L2549" i="40"/>
  <c r="L2550" i="40"/>
  <c r="L2551" i="40"/>
  <c r="L2552" i="40"/>
  <c r="L2553" i="40"/>
  <c r="L2554" i="40"/>
  <c r="L2555" i="40"/>
  <c r="L2556" i="40"/>
  <c r="L2557" i="40"/>
  <c r="L2558" i="40"/>
  <c r="L2559" i="40"/>
  <c r="L2560" i="40"/>
  <c r="L2561" i="40"/>
  <c r="L2562" i="40"/>
  <c r="L2563" i="40"/>
  <c r="L2564" i="40"/>
  <c r="L2565" i="40"/>
  <c r="L2566" i="40"/>
  <c r="L2567" i="40"/>
  <c r="L2568" i="40"/>
  <c r="L2569" i="40"/>
  <c r="L2570" i="40"/>
  <c r="L2571" i="40"/>
  <c r="L2572" i="40"/>
  <c r="L2573" i="40"/>
  <c r="L2574" i="40"/>
  <c r="L2575" i="40"/>
  <c r="L2576" i="40"/>
  <c r="L2577" i="40"/>
  <c r="L2578" i="40"/>
  <c r="L2579" i="40"/>
  <c r="L2580" i="40"/>
  <c r="L2581" i="40"/>
  <c r="L2582" i="40"/>
  <c r="L2583" i="40"/>
  <c r="L2584" i="40"/>
  <c r="L2585" i="40"/>
  <c r="L2586" i="40"/>
  <c r="L2587" i="40"/>
  <c r="L2588" i="40"/>
  <c r="L2589" i="40"/>
  <c r="L2590" i="40"/>
  <c r="L2591" i="40"/>
  <c r="L2592" i="40"/>
  <c r="L2593" i="40"/>
  <c r="L2594" i="40"/>
  <c r="L2595" i="40"/>
  <c r="L2596" i="40"/>
  <c r="L2597" i="40"/>
  <c r="L2598" i="40"/>
  <c r="L2599" i="40"/>
  <c r="L2600" i="40"/>
  <c r="L2601" i="40"/>
  <c r="L2602" i="40"/>
  <c r="L2603" i="40"/>
  <c r="L2604" i="40"/>
  <c r="L2605" i="40"/>
  <c r="L2606" i="40"/>
  <c r="L2607" i="40"/>
  <c r="L2608" i="40"/>
  <c r="L2609" i="40"/>
  <c r="L2610" i="40"/>
  <c r="L2611" i="40"/>
  <c r="L2612" i="40"/>
  <c r="L2613" i="40"/>
  <c r="L2614" i="40"/>
  <c r="L2615" i="40"/>
  <c r="L2616" i="40"/>
  <c r="L2617" i="40"/>
  <c r="L2618" i="40"/>
  <c r="L2619" i="40"/>
  <c r="L2620" i="40"/>
  <c r="L2621" i="40"/>
  <c r="L2622" i="40"/>
  <c r="L2623" i="40"/>
  <c r="L2624" i="40"/>
  <c r="L2625" i="40"/>
  <c r="L2626" i="40"/>
  <c r="L2627" i="40"/>
  <c r="L2628" i="40"/>
  <c r="L2629" i="40"/>
  <c r="L2630" i="40"/>
  <c r="L2631" i="40"/>
  <c r="L2632" i="40"/>
  <c r="L2633" i="40"/>
  <c r="L2634" i="40"/>
  <c r="L2635" i="40"/>
  <c r="L2636" i="40"/>
  <c r="L2637" i="40"/>
  <c r="L2638" i="40"/>
  <c r="L2639" i="40"/>
  <c r="L2640" i="40"/>
  <c r="L2641" i="40"/>
  <c r="L2642" i="40"/>
  <c r="L2643" i="40"/>
  <c r="L2644" i="40"/>
  <c r="L2645" i="40"/>
  <c r="L2646" i="40"/>
  <c r="L2647" i="40"/>
  <c r="L2648" i="40"/>
  <c r="L2649" i="40"/>
  <c r="L2650" i="40"/>
  <c r="L2651" i="40"/>
  <c r="L2652" i="40"/>
  <c r="L2653" i="40"/>
  <c r="L2654" i="40"/>
  <c r="L2655" i="40"/>
  <c r="L2656" i="40"/>
  <c r="L2657" i="40"/>
  <c r="L2658" i="40"/>
  <c r="L2659" i="40"/>
  <c r="L2660" i="40"/>
  <c r="L2661" i="40"/>
  <c r="L2662" i="40"/>
  <c r="L2663" i="40"/>
  <c r="L2664" i="40"/>
  <c r="L2665" i="40"/>
  <c r="L2666" i="40"/>
  <c r="L2667" i="40"/>
  <c r="L2668" i="40"/>
  <c r="L2669" i="40"/>
  <c r="L2670" i="40"/>
  <c r="L2671" i="40"/>
  <c r="L2672" i="40"/>
  <c r="L2673" i="40"/>
  <c r="L2674" i="40"/>
  <c r="L2675" i="40"/>
  <c r="L2676" i="40"/>
  <c r="L2677" i="40"/>
  <c r="L2678" i="40"/>
  <c r="L2679" i="40"/>
  <c r="L2680" i="40"/>
  <c r="L2681" i="40"/>
  <c r="L2682" i="40"/>
  <c r="L2683" i="40"/>
  <c r="L2684" i="40"/>
  <c r="L2685" i="40"/>
  <c r="L2686" i="40"/>
  <c r="L2687" i="40"/>
  <c r="L2688" i="40"/>
  <c r="L2689" i="40"/>
  <c r="L2690" i="40"/>
  <c r="L2691" i="40"/>
  <c r="L2692" i="40"/>
  <c r="L2693" i="40"/>
  <c r="L2694" i="40"/>
  <c r="L2695" i="40"/>
  <c r="L2696" i="40"/>
  <c r="L2697" i="40"/>
  <c r="L2698" i="40"/>
  <c r="L2699" i="40"/>
  <c r="L2700" i="40"/>
  <c r="L2701" i="40"/>
  <c r="L2702" i="40"/>
  <c r="L2703" i="40"/>
  <c r="L2704" i="40"/>
  <c r="L2705" i="40"/>
  <c r="L2706" i="40"/>
  <c r="L2707" i="40"/>
  <c r="L2708" i="40"/>
  <c r="L2709" i="40"/>
  <c r="L2710" i="40"/>
  <c r="L2711" i="40"/>
  <c r="L2712" i="40"/>
  <c r="L2713" i="40"/>
  <c r="L2714" i="40"/>
  <c r="L2715" i="40"/>
  <c r="L2716" i="40"/>
  <c r="L2717" i="40"/>
  <c r="L2718" i="40"/>
  <c r="L2719" i="40"/>
  <c r="L2720" i="40"/>
  <c r="L2721" i="40"/>
  <c r="L2722" i="40"/>
  <c r="L2723" i="40"/>
  <c r="L2724" i="40"/>
  <c r="L2725" i="40"/>
  <c r="L2726" i="40"/>
  <c r="L2727" i="40"/>
  <c r="L2728" i="40"/>
  <c r="L2729" i="40"/>
  <c r="L2730" i="40"/>
  <c r="L2731" i="40"/>
  <c r="L2732" i="40"/>
  <c r="L2733" i="40"/>
  <c r="L2734" i="40"/>
  <c r="L2735" i="40"/>
  <c r="L2736" i="40"/>
  <c r="L2737" i="40"/>
  <c r="L2738" i="40"/>
  <c r="L2739" i="40"/>
  <c r="L2740" i="40"/>
  <c r="L2741" i="40"/>
  <c r="L2742" i="40"/>
  <c r="L2743" i="40"/>
  <c r="L2744" i="40"/>
  <c r="L2745" i="40"/>
  <c r="L2746" i="40"/>
  <c r="L2747" i="40"/>
  <c r="L2748" i="40"/>
  <c r="L2749" i="40"/>
  <c r="L2750" i="40"/>
  <c r="L2751" i="40"/>
  <c r="L2752" i="40"/>
  <c r="L2753" i="40"/>
  <c r="L2754" i="40"/>
  <c r="L2755" i="40"/>
  <c r="L2756" i="40"/>
  <c r="L2757" i="40"/>
  <c r="L2758" i="40"/>
  <c r="L2759" i="40"/>
  <c r="L2760" i="40"/>
  <c r="L2761" i="40"/>
  <c r="L2762" i="40"/>
  <c r="L2763" i="40"/>
  <c r="L2764" i="40"/>
  <c r="L2765" i="40"/>
  <c r="L2766" i="40"/>
  <c r="L2767" i="40"/>
  <c r="L2768" i="40"/>
  <c r="L2769" i="40"/>
  <c r="L2770" i="40"/>
  <c r="L2771" i="40"/>
  <c r="L2772" i="40"/>
  <c r="L2773" i="40"/>
  <c r="L2774" i="40"/>
  <c r="L2775" i="40"/>
  <c r="L2776" i="40"/>
  <c r="L2777" i="40"/>
  <c r="L2778" i="40"/>
  <c r="L2779" i="40"/>
  <c r="L2780" i="40"/>
  <c r="L2781" i="40"/>
  <c r="L2782" i="40"/>
  <c r="L2783" i="40"/>
  <c r="L2784" i="40"/>
  <c r="L2785" i="40"/>
  <c r="L2786" i="40"/>
  <c r="L2787" i="40"/>
  <c r="L2788" i="40"/>
  <c r="L2789" i="40"/>
  <c r="L2790" i="40"/>
  <c r="L2791" i="40"/>
  <c r="L2792" i="40"/>
  <c r="L2793" i="40"/>
  <c r="L2794" i="40"/>
  <c r="L2795" i="40"/>
  <c r="L2796" i="40"/>
  <c r="L2797" i="40"/>
  <c r="L2798" i="40"/>
  <c r="L2799" i="40"/>
  <c r="L2800" i="40"/>
  <c r="L2801" i="40"/>
  <c r="L2802" i="40"/>
  <c r="L2803" i="40"/>
  <c r="L2804" i="40"/>
  <c r="L2805" i="40"/>
  <c r="L2806" i="40"/>
  <c r="L2807" i="40"/>
  <c r="L2808" i="40"/>
  <c r="L2809" i="40"/>
  <c r="L2810" i="40"/>
  <c r="L2811" i="40"/>
  <c r="L2812" i="40"/>
  <c r="L2813" i="40"/>
  <c r="L2814" i="40"/>
  <c r="L2815" i="40"/>
  <c r="L2816" i="40"/>
  <c r="L2817" i="40"/>
  <c r="L2818" i="40"/>
  <c r="L2819" i="40"/>
  <c r="L2820" i="40"/>
  <c r="L2821" i="40"/>
  <c r="L2822" i="40"/>
  <c r="L2823" i="40"/>
  <c r="L2824" i="40"/>
  <c r="L2825" i="40"/>
  <c r="L2826" i="40"/>
  <c r="L2827" i="40"/>
  <c r="L2828" i="40"/>
  <c r="L2829" i="40"/>
  <c r="L2830" i="40"/>
  <c r="L2831" i="40"/>
  <c r="L2832" i="40"/>
  <c r="L2833" i="40"/>
  <c r="L2834" i="40"/>
  <c r="L2835" i="40"/>
  <c r="L2836" i="40"/>
  <c r="L2837" i="40"/>
  <c r="L2838" i="40"/>
  <c r="L2839" i="40"/>
  <c r="L2840" i="40"/>
  <c r="L2841" i="40"/>
  <c r="L2842" i="40"/>
  <c r="L2843" i="40"/>
  <c r="L2844" i="40"/>
  <c r="L2845" i="40"/>
  <c r="L2846" i="40"/>
  <c r="L2847" i="40"/>
  <c r="L2848" i="40"/>
  <c r="L2849" i="40"/>
  <c r="L2850" i="40"/>
  <c r="L2851" i="40"/>
  <c r="L2852" i="40"/>
  <c r="L2853" i="40"/>
  <c r="L2854" i="40"/>
  <c r="L2855" i="40"/>
  <c r="L2856" i="40"/>
  <c r="L2857" i="40"/>
  <c r="L2858" i="40"/>
  <c r="L2859" i="40"/>
  <c r="L2860" i="40"/>
  <c r="L2861" i="40"/>
  <c r="L2862" i="40"/>
  <c r="L2863" i="40"/>
  <c r="L2864" i="40"/>
  <c r="L2865" i="40"/>
  <c r="L2866" i="40"/>
  <c r="L2867" i="40"/>
  <c r="L2868" i="40"/>
  <c r="L2869" i="40"/>
  <c r="L2870" i="40"/>
  <c r="L2871" i="40"/>
  <c r="L2872" i="40"/>
  <c r="L2873" i="40"/>
  <c r="L2874" i="40"/>
  <c r="L2875" i="40"/>
  <c r="L2876" i="40"/>
  <c r="L2877" i="40"/>
  <c r="L2878" i="40"/>
  <c r="L2879" i="40"/>
  <c r="L2880" i="40"/>
  <c r="L2881" i="40"/>
  <c r="L2882" i="40"/>
  <c r="L2883" i="40"/>
  <c r="L2884" i="40"/>
  <c r="L2885" i="40"/>
  <c r="L2886" i="40"/>
  <c r="L2887" i="40"/>
  <c r="L2888" i="40"/>
  <c r="L2889" i="40"/>
  <c r="L2890" i="40"/>
  <c r="L2891" i="40"/>
  <c r="L2892" i="40"/>
  <c r="L2893" i="40"/>
  <c r="L2894" i="40"/>
  <c r="L2895" i="40"/>
  <c r="L2896" i="40"/>
  <c r="L2897" i="40"/>
  <c r="L2898" i="40"/>
  <c r="L2899" i="40"/>
  <c r="L2900" i="40"/>
  <c r="L2901" i="40"/>
  <c r="L2902" i="40"/>
  <c r="L2903" i="40"/>
  <c r="L2904" i="40"/>
  <c r="L2905" i="40"/>
  <c r="L2906" i="40"/>
  <c r="L2907" i="40"/>
  <c r="L2908" i="40"/>
  <c r="L2909" i="40"/>
  <c r="L2910" i="40"/>
  <c r="L2911" i="40"/>
  <c r="L2912" i="40"/>
  <c r="L2913" i="40"/>
  <c r="L2914" i="40"/>
  <c r="L2915" i="40"/>
  <c r="L2916" i="40"/>
  <c r="L2917" i="40"/>
  <c r="L2918" i="40"/>
  <c r="L2919" i="40"/>
  <c r="L2920" i="40"/>
  <c r="L2921" i="40"/>
  <c r="L2922" i="40"/>
  <c r="L2923" i="40"/>
  <c r="L2924" i="40"/>
  <c r="L2925" i="40"/>
  <c r="L2926" i="40"/>
  <c r="L2927" i="40"/>
  <c r="L2928" i="40"/>
  <c r="L2929" i="40"/>
  <c r="L2930" i="40"/>
  <c r="L2931" i="40"/>
  <c r="L2932" i="40"/>
  <c r="L2933" i="40"/>
  <c r="L2934" i="40"/>
  <c r="L2935" i="40"/>
  <c r="L2936" i="40"/>
  <c r="L2937" i="40"/>
  <c r="L2938" i="40"/>
  <c r="L2939" i="40"/>
  <c r="L2940" i="40"/>
  <c r="L2941" i="40"/>
  <c r="L2942" i="40"/>
  <c r="L2943" i="40"/>
  <c r="L2944" i="40"/>
  <c r="L2945" i="40"/>
  <c r="L2946" i="40"/>
  <c r="L2947" i="40"/>
  <c r="L2948" i="40"/>
  <c r="L2949" i="40"/>
  <c r="L2950" i="40"/>
  <c r="L2951" i="40"/>
  <c r="L2952" i="40"/>
  <c r="L2953" i="40"/>
  <c r="L2954" i="40"/>
  <c r="L2955" i="40"/>
  <c r="L2956" i="40"/>
  <c r="L2957" i="40"/>
  <c r="L2958" i="40"/>
  <c r="L2959" i="40"/>
  <c r="L2960" i="40"/>
  <c r="L2961" i="40"/>
  <c r="L2962" i="40"/>
  <c r="L2963" i="40"/>
  <c r="L2964" i="40"/>
  <c r="L2965" i="40"/>
  <c r="L2966" i="40"/>
  <c r="L2967" i="40"/>
  <c r="L2968" i="40"/>
  <c r="L2969" i="40"/>
  <c r="L2970" i="40"/>
  <c r="L2971" i="40"/>
  <c r="L2972" i="40"/>
  <c r="L2973" i="40"/>
  <c r="L2974" i="40"/>
  <c r="L2975" i="40"/>
  <c r="L2976" i="40"/>
  <c r="L2977" i="40"/>
  <c r="L2978" i="40"/>
  <c r="L2979" i="40"/>
  <c r="L2980" i="40"/>
  <c r="L2981" i="40"/>
  <c r="L2982" i="40"/>
  <c r="L2983" i="40"/>
  <c r="L4" i="40"/>
  <c r="K5" i="40"/>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79" i="40"/>
  <c r="K80" i="40"/>
  <c r="K81" i="40"/>
  <c r="K82" i="40"/>
  <c r="K83" i="40"/>
  <c r="K84" i="40"/>
  <c r="K85" i="40"/>
  <c r="K86" i="40"/>
  <c r="K87" i="40"/>
  <c r="K88" i="40"/>
  <c r="K89" i="40"/>
  <c r="K90" i="40"/>
  <c r="K91" i="40"/>
  <c r="K92" i="40"/>
  <c r="K93" i="40"/>
  <c r="K94" i="40"/>
  <c r="K95" i="40"/>
  <c r="K96" i="40"/>
  <c r="K97" i="40"/>
  <c r="K98" i="40"/>
  <c r="K99" i="40"/>
  <c r="K100" i="40"/>
  <c r="K101" i="40"/>
  <c r="K102" i="40"/>
  <c r="K103" i="40"/>
  <c r="K104" i="40"/>
  <c r="K105" i="40"/>
  <c r="K106" i="40"/>
  <c r="K107" i="40"/>
  <c r="K108" i="40"/>
  <c r="K109" i="40"/>
  <c r="K110" i="40"/>
  <c r="K111" i="40"/>
  <c r="K112" i="40"/>
  <c r="K113" i="40"/>
  <c r="K114" i="40"/>
  <c r="K115" i="40"/>
  <c r="K116" i="40"/>
  <c r="K117" i="40"/>
  <c r="K118" i="40"/>
  <c r="K119" i="40"/>
  <c r="K120" i="40"/>
  <c r="K121" i="40"/>
  <c r="K122" i="40"/>
  <c r="K123" i="40"/>
  <c r="K124" i="40"/>
  <c r="K125" i="40"/>
  <c r="K126" i="40"/>
  <c r="K127" i="40"/>
  <c r="K128" i="40"/>
  <c r="K129" i="40"/>
  <c r="K130" i="40"/>
  <c r="K131" i="40"/>
  <c r="K132" i="40"/>
  <c r="K133" i="40"/>
  <c r="K134" i="40"/>
  <c r="K135" i="40"/>
  <c r="K136" i="40"/>
  <c r="K137" i="40"/>
  <c r="K138" i="40"/>
  <c r="K139" i="40"/>
  <c r="K140" i="40"/>
  <c r="K141" i="40"/>
  <c r="K142" i="40"/>
  <c r="K143" i="40"/>
  <c r="K144" i="40"/>
  <c r="K145" i="40"/>
  <c r="K146" i="40"/>
  <c r="K147" i="40"/>
  <c r="K148" i="40"/>
  <c r="K149" i="40"/>
  <c r="K150" i="40"/>
  <c r="K151" i="40"/>
  <c r="K152" i="40"/>
  <c r="K153" i="40"/>
  <c r="K154" i="40"/>
  <c r="K155" i="40"/>
  <c r="K156" i="40"/>
  <c r="K157" i="40"/>
  <c r="K158" i="40"/>
  <c r="K159" i="40"/>
  <c r="K160" i="40"/>
  <c r="K161" i="40"/>
  <c r="K162" i="40"/>
  <c r="K163" i="40"/>
  <c r="K164" i="40"/>
  <c r="K165" i="40"/>
  <c r="K166" i="40"/>
  <c r="K167" i="40"/>
  <c r="K168" i="40"/>
  <c r="K169" i="40"/>
  <c r="K170" i="40"/>
  <c r="K171" i="40"/>
  <c r="K172" i="40"/>
  <c r="K173" i="40"/>
  <c r="K174" i="40"/>
  <c r="K175" i="40"/>
  <c r="K176" i="40"/>
  <c r="K177" i="40"/>
  <c r="K178" i="40"/>
  <c r="K179" i="40"/>
  <c r="K180" i="40"/>
  <c r="K181" i="40"/>
  <c r="K182" i="40"/>
  <c r="K183" i="40"/>
  <c r="K184" i="40"/>
  <c r="K185" i="40"/>
  <c r="K186" i="40"/>
  <c r="K187" i="40"/>
  <c r="K188" i="40"/>
  <c r="K189" i="40"/>
  <c r="K190" i="40"/>
  <c r="K191" i="40"/>
  <c r="K192" i="40"/>
  <c r="K193" i="40"/>
  <c r="K194" i="40"/>
  <c r="K195" i="40"/>
  <c r="K196" i="40"/>
  <c r="K197" i="40"/>
  <c r="K198" i="40"/>
  <c r="K199" i="40"/>
  <c r="K200" i="40"/>
  <c r="K201" i="40"/>
  <c r="K202" i="40"/>
  <c r="K203" i="40"/>
  <c r="K204" i="40"/>
  <c r="K205" i="40"/>
  <c r="K206" i="40"/>
  <c r="K207" i="40"/>
  <c r="K208" i="40"/>
  <c r="K209" i="40"/>
  <c r="K210" i="40"/>
  <c r="K211" i="40"/>
  <c r="K212" i="40"/>
  <c r="K213" i="40"/>
  <c r="K214" i="40"/>
  <c r="K215" i="40"/>
  <c r="K216" i="40"/>
  <c r="K217" i="40"/>
  <c r="K218" i="40"/>
  <c r="K219" i="40"/>
  <c r="K220" i="40"/>
  <c r="K221" i="40"/>
  <c r="K222" i="40"/>
  <c r="K223" i="40"/>
  <c r="K224" i="40"/>
  <c r="K225" i="40"/>
  <c r="K226" i="40"/>
  <c r="K227" i="40"/>
  <c r="K228" i="40"/>
  <c r="K229" i="40"/>
  <c r="K230" i="40"/>
  <c r="K231" i="40"/>
  <c r="K232" i="40"/>
  <c r="K233" i="40"/>
  <c r="K234" i="40"/>
  <c r="K235" i="40"/>
  <c r="K236" i="40"/>
  <c r="K237" i="40"/>
  <c r="K238" i="40"/>
  <c r="K239" i="40"/>
  <c r="K240" i="40"/>
  <c r="K241" i="40"/>
  <c r="K242" i="40"/>
  <c r="K243" i="40"/>
  <c r="K244" i="40"/>
  <c r="K245" i="40"/>
  <c r="K246" i="40"/>
  <c r="K247" i="40"/>
  <c r="K248" i="40"/>
  <c r="K249" i="40"/>
  <c r="K250" i="40"/>
  <c r="K251" i="40"/>
  <c r="K252" i="40"/>
  <c r="K253" i="40"/>
  <c r="K254" i="40"/>
  <c r="K255" i="40"/>
  <c r="K256" i="40"/>
  <c r="K257" i="40"/>
  <c r="K258" i="40"/>
  <c r="K259" i="40"/>
  <c r="K260" i="40"/>
  <c r="K261" i="40"/>
  <c r="K262" i="40"/>
  <c r="K263" i="40"/>
  <c r="K264" i="40"/>
  <c r="K265" i="40"/>
  <c r="K266" i="40"/>
  <c r="K267" i="40"/>
  <c r="K268" i="40"/>
  <c r="K269" i="40"/>
  <c r="K270" i="40"/>
  <c r="K271" i="40"/>
  <c r="K272" i="40"/>
  <c r="K273" i="40"/>
  <c r="K274" i="40"/>
  <c r="K275" i="40"/>
  <c r="K276" i="40"/>
  <c r="K277" i="40"/>
  <c r="K278" i="40"/>
  <c r="K279" i="40"/>
  <c r="K280" i="40"/>
  <c r="K281" i="40"/>
  <c r="K282" i="40"/>
  <c r="K283" i="40"/>
  <c r="K284" i="40"/>
  <c r="K285" i="40"/>
  <c r="K286" i="40"/>
  <c r="K287" i="40"/>
  <c r="K288" i="40"/>
  <c r="K289" i="40"/>
  <c r="K290" i="40"/>
  <c r="K291" i="40"/>
  <c r="K292" i="40"/>
  <c r="K293" i="40"/>
  <c r="K294" i="40"/>
  <c r="K295" i="40"/>
  <c r="K296" i="40"/>
  <c r="K297" i="40"/>
  <c r="K298" i="40"/>
  <c r="K299" i="40"/>
  <c r="K300" i="40"/>
  <c r="K301" i="40"/>
  <c r="K302" i="40"/>
  <c r="K303" i="40"/>
  <c r="K304" i="40"/>
  <c r="K305" i="40"/>
  <c r="K306" i="40"/>
  <c r="K307" i="40"/>
  <c r="K308" i="40"/>
  <c r="K309" i="40"/>
  <c r="K310" i="40"/>
  <c r="K311" i="40"/>
  <c r="K312" i="40"/>
  <c r="K313" i="40"/>
  <c r="K314" i="40"/>
  <c r="K315" i="40"/>
  <c r="K316" i="40"/>
  <c r="K317" i="40"/>
  <c r="K318" i="40"/>
  <c r="K319" i="40"/>
  <c r="K320" i="40"/>
  <c r="K321" i="40"/>
  <c r="K322" i="40"/>
  <c r="K323" i="40"/>
  <c r="K324" i="40"/>
  <c r="K325" i="40"/>
  <c r="K326" i="40"/>
  <c r="K327" i="40"/>
  <c r="K328" i="40"/>
  <c r="K329" i="40"/>
  <c r="K330" i="40"/>
  <c r="K331" i="40"/>
  <c r="K332" i="40"/>
  <c r="K333" i="40"/>
  <c r="K334" i="40"/>
  <c r="K335" i="40"/>
  <c r="K336" i="40"/>
  <c r="K337" i="40"/>
  <c r="K338" i="40"/>
  <c r="K339" i="40"/>
  <c r="K340" i="40"/>
  <c r="K341" i="40"/>
  <c r="K342" i="40"/>
  <c r="K343" i="40"/>
  <c r="K344" i="40"/>
  <c r="K345" i="40"/>
  <c r="K346" i="40"/>
  <c r="K347" i="40"/>
  <c r="K348" i="40"/>
  <c r="K349" i="40"/>
  <c r="K350" i="40"/>
  <c r="K351" i="40"/>
  <c r="K352" i="40"/>
  <c r="K353" i="40"/>
  <c r="K354" i="40"/>
  <c r="K355" i="40"/>
  <c r="K356" i="40"/>
  <c r="K357" i="40"/>
  <c r="K358" i="40"/>
  <c r="K359" i="40"/>
  <c r="K360" i="40"/>
  <c r="K361" i="40"/>
  <c r="K362" i="40"/>
  <c r="K363" i="40"/>
  <c r="K364" i="40"/>
  <c r="K365" i="40"/>
  <c r="K366" i="40"/>
  <c r="K367" i="40"/>
  <c r="K368" i="40"/>
  <c r="K369" i="40"/>
  <c r="K370" i="40"/>
  <c r="K371" i="40"/>
  <c r="K372" i="40"/>
  <c r="K373" i="40"/>
  <c r="K374" i="40"/>
  <c r="K375" i="40"/>
  <c r="K376" i="40"/>
  <c r="K377" i="40"/>
  <c r="K378" i="40"/>
  <c r="K379" i="40"/>
  <c r="K380" i="40"/>
  <c r="K381" i="40"/>
  <c r="K382" i="40"/>
  <c r="K383" i="40"/>
  <c r="K384" i="40"/>
  <c r="K385" i="40"/>
  <c r="K386" i="40"/>
  <c r="K387" i="40"/>
  <c r="K388" i="40"/>
  <c r="K389" i="40"/>
  <c r="K390" i="40"/>
  <c r="K391" i="40"/>
  <c r="K392" i="40"/>
  <c r="K393" i="40"/>
  <c r="K394" i="40"/>
  <c r="K395" i="40"/>
  <c r="K396" i="40"/>
  <c r="K397" i="40"/>
  <c r="K398" i="40"/>
  <c r="K399" i="40"/>
  <c r="K400" i="40"/>
  <c r="K401" i="40"/>
  <c r="K402" i="40"/>
  <c r="K403" i="40"/>
  <c r="K404" i="40"/>
  <c r="K405" i="40"/>
  <c r="K406" i="40"/>
  <c r="K407" i="40"/>
  <c r="K408" i="40"/>
  <c r="K409" i="40"/>
  <c r="K410" i="40"/>
  <c r="K411" i="40"/>
  <c r="K412" i="40"/>
  <c r="K413" i="40"/>
  <c r="K414" i="40"/>
  <c r="K415" i="40"/>
  <c r="K416" i="40"/>
  <c r="K417" i="40"/>
  <c r="K418" i="40"/>
  <c r="K419" i="40"/>
  <c r="K420" i="40"/>
  <c r="K421" i="40"/>
  <c r="K422" i="40"/>
  <c r="K423" i="40"/>
  <c r="K424" i="40"/>
  <c r="K425" i="40"/>
  <c r="K426" i="40"/>
  <c r="K427" i="40"/>
  <c r="K428" i="40"/>
  <c r="K429" i="40"/>
  <c r="K430" i="40"/>
  <c r="K431" i="40"/>
  <c r="K432" i="40"/>
  <c r="K433" i="40"/>
  <c r="K434" i="40"/>
  <c r="K435" i="40"/>
  <c r="K436" i="40"/>
  <c r="K437" i="40"/>
  <c r="K438" i="40"/>
  <c r="K439" i="40"/>
  <c r="K440" i="40"/>
  <c r="K441" i="40"/>
  <c r="K442" i="40"/>
  <c r="K443" i="40"/>
  <c r="K444" i="40"/>
  <c r="K445" i="40"/>
  <c r="K446" i="40"/>
  <c r="K447" i="40"/>
  <c r="K448" i="40"/>
  <c r="K449" i="40"/>
  <c r="K450" i="40"/>
  <c r="K451" i="40"/>
  <c r="K452" i="40"/>
  <c r="K453" i="40"/>
  <c r="K454" i="40"/>
  <c r="K455" i="40"/>
  <c r="K456" i="40"/>
  <c r="K457" i="40"/>
  <c r="K458" i="40"/>
  <c r="K459" i="40"/>
  <c r="K460" i="40"/>
  <c r="K461" i="40"/>
  <c r="K462" i="40"/>
  <c r="K463" i="40"/>
  <c r="K464" i="40"/>
  <c r="K465" i="40"/>
  <c r="K466" i="40"/>
  <c r="K467" i="40"/>
  <c r="K468" i="40"/>
  <c r="K469" i="40"/>
  <c r="K470" i="40"/>
  <c r="K471" i="40"/>
  <c r="K472" i="40"/>
  <c r="K473" i="40"/>
  <c r="K474" i="40"/>
  <c r="K475" i="40"/>
  <c r="K476" i="40"/>
  <c r="K477" i="40"/>
  <c r="K478" i="40"/>
  <c r="K479" i="40"/>
  <c r="K480" i="40"/>
  <c r="K481" i="40"/>
  <c r="K482" i="40"/>
  <c r="K483" i="40"/>
  <c r="K484" i="40"/>
  <c r="K485" i="40"/>
  <c r="K486" i="40"/>
  <c r="K487" i="40"/>
  <c r="K488" i="40"/>
  <c r="K489" i="40"/>
  <c r="K490" i="40"/>
  <c r="K491" i="40"/>
  <c r="K492" i="40"/>
  <c r="K493" i="40"/>
  <c r="K494" i="40"/>
  <c r="K495" i="40"/>
  <c r="K496" i="40"/>
  <c r="K497" i="40"/>
  <c r="K498" i="40"/>
  <c r="K499" i="40"/>
  <c r="K500" i="40"/>
  <c r="K501" i="40"/>
  <c r="K502" i="40"/>
  <c r="K503" i="40"/>
  <c r="K504" i="40"/>
  <c r="K505" i="40"/>
  <c r="K506" i="40"/>
  <c r="K507" i="40"/>
  <c r="K508" i="40"/>
  <c r="K509" i="40"/>
  <c r="K510" i="40"/>
  <c r="K511" i="40"/>
  <c r="K512" i="40"/>
  <c r="K513" i="40"/>
  <c r="K514" i="40"/>
  <c r="K515" i="40"/>
  <c r="K516" i="40"/>
  <c r="K517" i="40"/>
  <c r="K518" i="40"/>
  <c r="K519" i="40"/>
  <c r="K520" i="40"/>
  <c r="K521" i="40"/>
  <c r="K522" i="40"/>
  <c r="K523" i="40"/>
  <c r="K524" i="40"/>
  <c r="K525" i="40"/>
  <c r="K526" i="40"/>
  <c r="K527" i="40"/>
  <c r="K528" i="40"/>
  <c r="K529" i="40"/>
  <c r="K530" i="40"/>
  <c r="K531" i="40"/>
  <c r="K532" i="40"/>
  <c r="K533" i="40"/>
  <c r="K534" i="40"/>
  <c r="K535" i="40"/>
  <c r="K536" i="40"/>
  <c r="K537" i="40"/>
  <c r="K538" i="40"/>
  <c r="K539" i="40"/>
  <c r="K540" i="40"/>
  <c r="K541" i="40"/>
  <c r="K542" i="40"/>
  <c r="K543" i="40"/>
  <c r="K544" i="40"/>
  <c r="K545" i="40"/>
  <c r="K546" i="40"/>
  <c r="K547" i="40"/>
  <c r="K548" i="40"/>
  <c r="K549" i="40"/>
  <c r="K550" i="40"/>
  <c r="K551" i="40"/>
  <c r="K552" i="40"/>
  <c r="K553" i="40"/>
  <c r="K554" i="40"/>
  <c r="K555" i="40"/>
  <c r="K556" i="40"/>
  <c r="K557" i="40"/>
  <c r="K558" i="40"/>
  <c r="K559" i="40"/>
  <c r="K560" i="40"/>
  <c r="K561" i="40"/>
  <c r="K562" i="40"/>
  <c r="K563" i="40"/>
  <c r="K564" i="40"/>
  <c r="K565" i="40"/>
  <c r="K566" i="40"/>
  <c r="K567" i="40"/>
  <c r="K568" i="40"/>
  <c r="K569" i="40"/>
  <c r="K570" i="40"/>
  <c r="K571" i="40"/>
  <c r="K572" i="40"/>
  <c r="K573" i="40"/>
  <c r="K574" i="40"/>
  <c r="K575" i="40"/>
  <c r="K576" i="40"/>
  <c r="K577" i="40"/>
  <c r="K578" i="40"/>
  <c r="K579" i="40"/>
  <c r="K580" i="40"/>
  <c r="K581" i="40"/>
  <c r="K582" i="40"/>
  <c r="K583" i="40"/>
  <c r="K584" i="40"/>
  <c r="K585" i="40"/>
  <c r="K586" i="40"/>
  <c r="K587" i="40"/>
  <c r="K588" i="40"/>
  <c r="K589" i="40"/>
  <c r="K590" i="40"/>
  <c r="K591" i="40"/>
  <c r="K592" i="40"/>
  <c r="K593" i="40"/>
  <c r="K594" i="40"/>
  <c r="K595" i="40"/>
  <c r="K596" i="40"/>
  <c r="K597" i="40"/>
  <c r="K598" i="40"/>
  <c r="K599" i="40"/>
  <c r="K600" i="40"/>
  <c r="K601" i="40"/>
  <c r="K602" i="40"/>
  <c r="K603" i="40"/>
  <c r="K604" i="40"/>
  <c r="K605" i="40"/>
  <c r="K606" i="40"/>
  <c r="K607" i="40"/>
  <c r="K608" i="40"/>
  <c r="K609" i="40"/>
  <c r="K610" i="40"/>
  <c r="K611" i="40"/>
  <c r="K612" i="40"/>
  <c r="K613" i="40"/>
  <c r="K614" i="40"/>
  <c r="K615" i="40"/>
  <c r="K616" i="40"/>
  <c r="K617" i="40"/>
  <c r="K618" i="40"/>
  <c r="K619" i="40"/>
  <c r="K620" i="40"/>
  <c r="K621" i="40"/>
  <c r="K622" i="40"/>
  <c r="K623" i="40"/>
  <c r="K624" i="40"/>
  <c r="K625" i="40"/>
  <c r="K626" i="40"/>
  <c r="K627" i="40"/>
  <c r="K628" i="40"/>
  <c r="K629" i="40"/>
  <c r="K630" i="40"/>
  <c r="K631" i="40"/>
  <c r="K632" i="40"/>
  <c r="K633" i="40"/>
  <c r="K634" i="40"/>
  <c r="K635" i="40"/>
  <c r="K636" i="40"/>
  <c r="K637" i="40"/>
  <c r="K638" i="40"/>
  <c r="K639" i="40"/>
  <c r="K640" i="40"/>
  <c r="K641" i="40"/>
  <c r="K642" i="40"/>
  <c r="K643" i="40"/>
  <c r="K644" i="40"/>
  <c r="K645" i="40"/>
  <c r="K646" i="40"/>
  <c r="K647" i="40"/>
  <c r="K648" i="40"/>
  <c r="K649" i="40"/>
  <c r="K650" i="40"/>
  <c r="K651" i="40"/>
  <c r="K652" i="40"/>
  <c r="K653" i="40"/>
  <c r="K654" i="40"/>
  <c r="K655" i="40"/>
  <c r="K656" i="40"/>
  <c r="K657" i="40"/>
  <c r="K658" i="40"/>
  <c r="K659" i="40"/>
  <c r="K660" i="40"/>
  <c r="K661" i="40"/>
  <c r="K662" i="40"/>
  <c r="K663" i="40"/>
  <c r="K664" i="40"/>
  <c r="K665" i="40"/>
  <c r="K666" i="40"/>
  <c r="K667" i="40"/>
  <c r="K668" i="40"/>
  <c r="K669" i="40"/>
  <c r="K670" i="40"/>
  <c r="K671" i="40"/>
  <c r="K672" i="40"/>
  <c r="K673" i="40"/>
  <c r="K674" i="40"/>
  <c r="K675" i="40"/>
  <c r="K676" i="40"/>
  <c r="K677" i="40"/>
  <c r="K678" i="40"/>
  <c r="K679" i="40"/>
  <c r="K680" i="40"/>
  <c r="K681" i="40"/>
  <c r="K682" i="40"/>
  <c r="K683" i="40"/>
  <c r="K684" i="40"/>
  <c r="K685" i="40"/>
  <c r="K686" i="40"/>
  <c r="K687" i="40"/>
  <c r="K688" i="40"/>
  <c r="K689" i="40"/>
  <c r="K690" i="40"/>
  <c r="K691" i="40"/>
  <c r="K692" i="40"/>
  <c r="K693" i="40"/>
  <c r="K694" i="40"/>
  <c r="K695" i="40"/>
  <c r="K696" i="40"/>
  <c r="K697" i="40"/>
  <c r="K698" i="40"/>
  <c r="K699" i="40"/>
  <c r="K700" i="40"/>
  <c r="K701" i="40"/>
  <c r="K702" i="40"/>
  <c r="K703" i="40"/>
  <c r="K704" i="40"/>
  <c r="K705" i="40"/>
  <c r="K706" i="40"/>
  <c r="K707" i="40"/>
  <c r="K708" i="40"/>
  <c r="K709" i="40"/>
  <c r="K710" i="40"/>
  <c r="K711" i="40"/>
  <c r="K712" i="40"/>
  <c r="K713" i="40"/>
  <c r="K714" i="40"/>
  <c r="K715" i="40"/>
  <c r="K716" i="40"/>
  <c r="K717" i="40"/>
  <c r="K718" i="40"/>
  <c r="K719" i="40"/>
  <c r="K720" i="40"/>
  <c r="K721" i="40"/>
  <c r="K722" i="40"/>
  <c r="K723" i="40"/>
  <c r="K724" i="40"/>
  <c r="K725" i="40"/>
  <c r="K726" i="40"/>
  <c r="K727" i="40"/>
  <c r="K728" i="40"/>
  <c r="K729" i="40"/>
  <c r="K730" i="40"/>
  <c r="K731" i="40"/>
  <c r="K732" i="40"/>
  <c r="K733" i="40"/>
  <c r="K734" i="40"/>
  <c r="K735" i="40"/>
  <c r="K736" i="40"/>
  <c r="K737" i="40"/>
  <c r="K738" i="40"/>
  <c r="K739" i="40"/>
  <c r="K740" i="40"/>
  <c r="K741" i="40"/>
  <c r="K742" i="40"/>
  <c r="K743" i="40"/>
  <c r="K744" i="40"/>
  <c r="K745" i="40"/>
  <c r="K746" i="40"/>
  <c r="K747" i="40"/>
  <c r="K748" i="40"/>
  <c r="K749" i="40"/>
  <c r="K750" i="40"/>
  <c r="K751" i="40"/>
  <c r="K752" i="40"/>
  <c r="K753" i="40"/>
  <c r="K754" i="40"/>
  <c r="K755" i="40"/>
  <c r="K756" i="40"/>
  <c r="K757" i="40"/>
  <c r="K758" i="40"/>
  <c r="K759" i="40"/>
  <c r="K760" i="40"/>
  <c r="K761" i="40"/>
  <c r="K762" i="40"/>
  <c r="K763" i="40"/>
  <c r="K764" i="40"/>
  <c r="K765" i="40"/>
  <c r="K766" i="40"/>
  <c r="K767" i="40"/>
  <c r="K768" i="40"/>
  <c r="K769" i="40"/>
  <c r="K770" i="40"/>
  <c r="K771" i="40"/>
  <c r="K772" i="40"/>
  <c r="K773" i="40"/>
  <c r="K774" i="40"/>
  <c r="K775" i="40"/>
  <c r="K776" i="40"/>
  <c r="K777" i="40"/>
  <c r="K778" i="40"/>
  <c r="K779" i="40"/>
  <c r="K780" i="40"/>
  <c r="K781" i="40"/>
  <c r="K782" i="40"/>
  <c r="K783" i="40"/>
  <c r="K784" i="40"/>
  <c r="K785" i="40"/>
  <c r="K786" i="40"/>
  <c r="K787" i="40"/>
  <c r="K788" i="40"/>
  <c r="K789" i="40"/>
  <c r="K790" i="40"/>
  <c r="K791" i="40"/>
  <c r="K792" i="40"/>
  <c r="K793" i="40"/>
  <c r="K794" i="40"/>
  <c r="K795" i="40"/>
  <c r="K796" i="40"/>
  <c r="K797" i="40"/>
  <c r="K798" i="40"/>
  <c r="K799" i="40"/>
  <c r="K800" i="40"/>
  <c r="K801" i="40"/>
  <c r="K802" i="40"/>
  <c r="K803" i="40"/>
  <c r="K804" i="40"/>
  <c r="K805" i="40"/>
  <c r="K806" i="40"/>
  <c r="K807" i="40"/>
  <c r="K808" i="40"/>
  <c r="K809" i="40"/>
  <c r="K810" i="40"/>
  <c r="K811" i="40"/>
  <c r="K812" i="40"/>
  <c r="K813" i="40"/>
  <c r="K814" i="40"/>
  <c r="K815" i="40"/>
  <c r="K816" i="40"/>
  <c r="K817" i="40"/>
  <c r="K818" i="40"/>
  <c r="K819" i="40"/>
  <c r="K820" i="40"/>
  <c r="K821" i="40"/>
  <c r="K822" i="40"/>
  <c r="K823" i="40"/>
  <c r="K824" i="40"/>
  <c r="K825" i="40"/>
  <c r="K826" i="40"/>
  <c r="K827" i="40"/>
  <c r="K828" i="40"/>
  <c r="K829" i="40"/>
  <c r="K830" i="40"/>
  <c r="K831" i="40"/>
  <c r="K832" i="40"/>
  <c r="K833" i="40"/>
  <c r="K834" i="40"/>
  <c r="K835" i="40"/>
  <c r="K836" i="40"/>
  <c r="K837" i="40"/>
  <c r="K838" i="40"/>
  <c r="K839" i="40"/>
  <c r="K840" i="40"/>
  <c r="K841" i="40"/>
  <c r="K842" i="40"/>
  <c r="K843" i="40"/>
  <c r="K844" i="40"/>
  <c r="K845" i="40"/>
  <c r="K846" i="40"/>
  <c r="K847" i="40"/>
  <c r="K848" i="40"/>
  <c r="K849" i="40"/>
  <c r="K850" i="40"/>
  <c r="K851" i="40"/>
  <c r="K852" i="40"/>
  <c r="K853" i="40"/>
  <c r="K854" i="40"/>
  <c r="K855" i="40"/>
  <c r="K856" i="40"/>
  <c r="K857" i="40"/>
  <c r="K858" i="40"/>
  <c r="K859" i="40"/>
  <c r="K860" i="40"/>
  <c r="K861" i="40"/>
  <c r="K862" i="40"/>
  <c r="K863" i="40"/>
  <c r="K864" i="40"/>
  <c r="K865" i="40"/>
  <c r="K866" i="40"/>
  <c r="K867" i="40"/>
  <c r="K868" i="40"/>
  <c r="K869" i="40"/>
  <c r="K870" i="40"/>
  <c r="K871" i="40"/>
  <c r="K872" i="40"/>
  <c r="K873" i="40"/>
  <c r="K874" i="40"/>
  <c r="K875" i="40"/>
  <c r="K876" i="40"/>
  <c r="K877" i="40"/>
  <c r="K878" i="40"/>
  <c r="K879" i="40"/>
  <c r="K880" i="40"/>
  <c r="K881" i="40"/>
  <c r="K882" i="40"/>
  <c r="K883" i="40"/>
  <c r="K884" i="40"/>
  <c r="K885" i="40"/>
  <c r="K886" i="40"/>
  <c r="K887" i="40"/>
  <c r="K888" i="40"/>
  <c r="K889" i="40"/>
  <c r="K890" i="40"/>
  <c r="K891" i="40"/>
  <c r="K892" i="40"/>
  <c r="K893" i="40"/>
  <c r="K894" i="40"/>
  <c r="K895" i="40"/>
  <c r="K896" i="40"/>
  <c r="K897" i="40"/>
  <c r="K898" i="40"/>
  <c r="K899" i="40"/>
  <c r="K900" i="40"/>
  <c r="K901" i="40"/>
  <c r="K902" i="40"/>
  <c r="K903" i="40"/>
  <c r="K904" i="40"/>
  <c r="K905" i="40"/>
  <c r="K906" i="40"/>
  <c r="K907" i="40"/>
  <c r="K908" i="40"/>
  <c r="K909" i="40"/>
  <c r="K910" i="40"/>
  <c r="K911" i="40"/>
  <c r="K912" i="40"/>
  <c r="K913" i="40"/>
  <c r="K914" i="40"/>
  <c r="K915" i="40"/>
  <c r="K916" i="40"/>
  <c r="K917" i="40"/>
  <c r="K918" i="40"/>
  <c r="K919" i="40"/>
  <c r="K920" i="40"/>
  <c r="K921" i="40"/>
  <c r="K922" i="40"/>
  <c r="K923" i="40"/>
  <c r="K924" i="40"/>
  <c r="K925" i="40"/>
  <c r="K926" i="40"/>
  <c r="K927" i="40"/>
  <c r="K928" i="40"/>
  <c r="K929" i="40"/>
  <c r="K930" i="40"/>
  <c r="K931" i="40"/>
  <c r="K932" i="40"/>
  <c r="K933" i="40"/>
  <c r="K934" i="40"/>
  <c r="K935" i="40"/>
  <c r="K936" i="40"/>
  <c r="K937" i="40"/>
  <c r="K938" i="40"/>
  <c r="K939" i="40"/>
  <c r="K940" i="40"/>
  <c r="K941" i="40"/>
  <c r="K942" i="40"/>
  <c r="K943" i="40"/>
  <c r="K944" i="40"/>
  <c r="K945" i="40"/>
  <c r="K946" i="40"/>
  <c r="K947" i="40"/>
  <c r="K948" i="40"/>
  <c r="K949" i="40"/>
  <c r="K950" i="40"/>
  <c r="K951" i="40"/>
  <c r="K952" i="40"/>
  <c r="K953" i="40"/>
  <c r="K954" i="40"/>
  <c r="K955" i="40"/>
  <c r="K956" i="40"/>
  <c r="K957" i="40"/>
  <c r="K958" i="40"/>
  <c r="K959" i="40"/>
  <c r="K960" i="40"/>
  <c r="K961" i="40"/>
  <c r="K962" i="40"/>
  <c r="K963" i="40"/>
  <c r="K964" i="40"/>
  <c r="K965" i="40"/>
  <c r="K966" i="40"/>
  <c r="K967" i="40"/>
  <c r="K968" i="40"/>
  <c r="K969" i="40"/>
  <c r="K970" i="40"/>
  <c r="K971" i="40"/>
  <c r="K972" i="40"/>
  <c r="K973" i="40"/>
  <c r="K974" i="40"/>
  <c r="K975" i="40"/>
  <c r="K976" i="40"/>
  <c r="K977" i="40"/>
  <c r="K978" i="40"/>
  <c r="K979" i="40"/>
  <c r="K980" i="40"/>
  <c r="K981" i="40"/>
  <c r="K982" i="40"/>
  <c r="K983" i="40"/>
  <c r="K984" i="40"/>
  <c r="K985" i="40"/>
  <c r="K986" i="40"/>
  <c r="K987" i="40"/>
  <c r="K988" i="40"/>
  <c r="K989" i="40"/>
  <c r="K990" i="40"/>
  <c r="K991" i="40"/>
  <c r="K992" i="40"/>
  <c r="K993" i="40"/>
  <c r="K994" i="40"/>
  <c r="K995" i="40"/>
  <c r="K996" i="40"/>
  <c r="K997" i="40"/>
  <c r="K998" i="40"/>
  <c r="K999" i="40"/>
  <c r="K1000" i="40"/>
  <c r="K1001" i="40"/>
  <c r="K1002" i="40"/>
  <c r="K1003" i="40"/>
  <c r="K1004" i="40"/>
  <c r="K1005" i="40"/>
  <c r="K1006" i="40"/>
  <c r="K1007" i="40"/>
  <c r="K1008" i="40"/>
  <c r="K1009" i="40"/>
  <c r="K1010" i="40"/>
  <c r="K1011" i="40"/>
  <c r="K1012" i="40"/>
  <c r="K1013" i="40"/>
  <c r="K1014" i="40"/>
  <c r="K1015" i="40"/>
  <c r="K1016" i="40"/>
  <c r="K1017" i="40"/>
  <c r="K1018" i="40"/>
  <c r="K1019" i="40"/>
  <c r="K1020" i="40"/>
  <c r="K1021" i="40"/>
  <c r="K1022" i="40"/>
  <c r="K1023" i="40"/>
  <c r="K1024" i="40"/>
  <c r="K1025" i="40"/>
  <c r="K1026" i="40"/>
  <c r="K1027" i="40"/>
  <c r="K1028" i="40"/>
  <c r="K1029" i="40"/>
  <c r="K1030" i="40"/>
  <c r="K1031" i="40"/>
  <c r="K1032" i="40"/>
  <c r="K1033" i="40"/>
  <c r="K1034" i="40"/>
  <c r="K1035" i="40"/>
  <c r="K1036" i="40"/>
  <c r="K1037" i="40"/>
  <c r="K1038" i="40"/>
  <c r="K1039" i="40"/>
  <c r="K1040" i="40"/>
  <c r="K1041" i="40"/>
  <c r="K1042" i="40"/>
  <c r="K1043" i="40"/>
  <c r="K1044" i="40"/>
  <c r="K1045" i="40"/>
  <c r="K1046" i="40"/>
  <c r="K1047" i="40"/>
  <c r="K1048" i="40"/>
  <c r="K1049" i="40"/>
  <c r="K1050" i="40"/>
  <c r="K1051" i="40"/>
  <c r="K1052" i="40"/>
  <c r="K1053" i="40"/>
  <c r="K1054" i="40"/>
  <c r="K1055" i="40"/>
  <c r="K1056" i="40"/>
  <c r="K1057" i="40"/>
  <c r="K1058" i="40"/>
  <c r="K1059" i="40"/>
  <c r="K1060" i="40"/>
  <c r="K1061" i="40"/>
  <c r="K1062" i="40"/>
  <c r="K1063" i="40"/>
  <c r="K1064" i="40"/>
  <c r="K1065" i="40"/>
  <c r="K1066" i="40"/>
  <c r="K1067" i="40"/>
  <c r="K1068" i="40"/>
  <c r="K1069" i="40"/>
  <c r="K1070" i="40"/>
  <c r="K1071" i="40"/>
  <c r="K1072" i="40"/>
  <c r="K1073" i="40"/>
  <c r="K1074" i="40"/>
  <c r="K1075" i="40"/>
  <c r="K1076" i="40"/>
  <c r="K1077" i="40"/>
  <c r="K1078" i="40"/>
  <c r="K1079" i="40"/>
  <c r="K1080" i="40"/>
  <c r="K1081" i="40"/>
  <c r="K1082" i="40"/>
  <c r="K1083" i="40"/>
  <c r="K1084" i="40"/>
  <c r="K1085" i="40"/>
  <c r="K1086" i="40"/>
  <c r="K1087" i="40"/>
  <c r="K1088" i="40"/>
  <c r="K1089" i="40"/>
  <c r="K1090" i="40"/>
  <c r="K1091" i="40"/>
  <c r="K1092" i="40"/>
  <c r="K1093" i="40"/>
  <c r="K1094" i="40"/>
  <c r="K1095" i="40"/>
  <c r="K1096" i="40"/>
  <c r="K1097" i="40"/>
  <c r="K1098" i="40"/>
  <c r="K1099" i="40"/>
  <c r="K1100" i="40"/>
  <c r="K1101" i="40"/>
  <c r="K1102" i="40"/>
  <c r="K1103" i="40"/>
  <c r="K1104" i="40"/>
  <c r="K1105" i="40"/>
  <c r="K1106" i="40"/>
  <c r="K1107" i="40"/>
  <c r="K1108" i="40"/>
  <c r="K1109" i="40"/>
  <c r="K1110" i="40"/>
  <c r="K1111" i="40"/>
  <c r="K1112" i="40"/>
  <c r="K1113" i="40"/>
  <c r="K1114" i="40"/>
  <c r="K1115" i="40"/>
  <c r="K1116" i="40"/>
  <c r="K1117" i="40"/>
  <c r="K1118" i="40"/>
  <c r="K1119" i="40"/>
  <c r="K1120" i="40"/>
  <c r="K1121" i="40"/>
  <c r="K1122" i="40"/>
  <c r="K1123" i="40"/>
  <c r="K1124" i="40"/>
  <c r="K1125" i="40"/>
  <c r="K1126" i="40"/>
  <c r="K1127" i="40"/>
  <c r="K1128" i="40"/>
  <c r="K1129" i="40"/>
  <c r="K1130" i="40"/>
  <c r="K1131" i="40"/>
  <c r="K1132" i="40"/>
  <c r="K1133" i="40"/>
  <c r="K1134" i="40"/>
  <c r="K1135" i="40"/>
  <c r="K1136" i="40"/>
  <c r="K1137" i="40"/>
  <c r="K1138" i="40"/>
  <c r="K1139" i="40"/>
  <c r="K1140" i="40"/>
  <c r="K1141" i="40"/>
  <c r="K1142" i="40"/>
  <c r="K1143" i="40"/>
  <c r="K1144" i="40"/>
  <c r="K1145" i="40"/>
  <c r="K1146" i="40"/>
  <c r="K1147" i="40"/>
  <c r="K1148" i="40"/>
  <c r="K1149" i="40"/>
  <c r="K1150" i="40"/>
  <c r="K1151" i="40"/>
  <c r="K1152" i="40"/>
  <c r="K1153" i="40"/>
  <c r="K1154" i="40"/>
  <c r="K1155" i="40"/>
  <c r="K1156" i="40"/>
  <c r="K1157" i="40"/>
  <c r="K1158" i="40"/>
  <c r="K1159" i="40"/>
  <c r="K1160" i="40"/>
  <c r="K1161" i="40"/>
  <c r="K1162" i="40"/>
  <c r="K1163" i="40"/>
  <c r="K1164" i="40"/>
  <c r="K1165" i="40"/>
  <c r="K1166" i="40"/>
  <c r="K1167" i="40"/>
  <c r="K1168" i="40"/>
  <c r="K1169" i="40"/>
  <c r="K1170" i="40"/>
  <c r="K1171" i="40"/>
  <c r="K1172" i="40"/>
  <c r="K1173" i="40"/>
  <c r="K1174" i="40"/>
  <c r="K1175" i="40"/>
  <c r="K1176" i="40"/>
  <c r="K1177" i="40"/>
  <c r="K1178" i="40"/>
  <c r="K1179" i="40"/>
  <c r="K1180" i="40"/>
  <c r="K1181" i="40"/>
  <c r="K1182" i="40"/>
  <c r="K1183" i="40"/>
  <c r="K1184" i="40"/>
  <c r="K1185" i="40"/>
  <c r="K1186" i="40"/>
  <c r="K1187" i="40"/>
  <c r="K1188" i="40"/>
  <c r="K1189" i="40"/>
  <c r="K1190" i="40"/>
  <c r="K1191" i="40"/>
  <c r="K1192" i="40"/>
  <c r="K1193" i="40"/>
  <c r="K1194" i="40"/>
  <c r="K1195" i="40"/>
  <c r="K1196" i="40"/>
  <c r="K1197" i="40"/>
  <c r="K1198" i="40"/>
  <c r="K1199" i="40"/>
  <c r="K1200" i="40"/>
  <c r="K1201" i="40"/>
  <c r="K1202" i="40"/>
  <c r="K1203" i="40"/>
  <c r="K1204" i="40"/>
  <c r="K1205" i="40"/>
  <c r="K1206" i="40"/>
  <c r="K1207" i="40"/>
  <c r="K1208" i="40"/>
  <c r="K1209" i="40"/>
  <c r="K1210" i="40"/>
  <c r="K1211" i="40"/>
  <c r="K1212" i="40"/>
  <c r="K1213" i="40"/>
  <c r="K1214" i="40"/>
  <c r="K1215" i="40"/>
  <c r="K1216" i="40"/>
  <c r="K1217" i="40"/>
  <c r="K1218" i="40"/>
  <c r="K1219" i="40"/>
  <c r="K1220" i="40"/>
  <c r="K1221" i="40"/>
  <c r="K1222" i="40"/>
  <c r="K1223" i="40"/>
  <c r="K1224" i="40"/>
  <c r="K1225" i="40"/>
  <c r="K1226" i="40"/>
  <c r="K1227" i="40"/>
  <c r="K1228" i="40"/>
  <c r="K1229" i="40"/>
  <c r="K1230" i="40"/>
  <c r="K1231" i="40"/>
  <c r="K1232" i="40"/>
  <c r="K1233" i="40"/>
  <c r="K1234" i="40"/>
  <c r="K1235" i="40"/>
  <c r="K1236" i="40"/>
  <c r="K1237" i="40"/>
  <c r="K1238" i="40"/>
  <c r="K1239" i="40"/>
  <c r="K1240" i="40"/>
  <c r="K1241" i="40"/>
  <c r="K1242" i="40"/>
  <c r="K1243" i="40"/>
  <c r="K1244" i="40"/>
  <c r="K1245" i="40"/>
  <c r="K1246" i="40"/>
  <c r="K1247" i="40"/>
  <c r="K1248" i="40"/>
  <c r="K1249" i="40"/>
  <c r="K1250" i="40"/>
  <c r="K1251" i="40"/>
  <c r="K1252" i="40"/>
  <c r="K1253" i="40"/>
  <c r="K1254" i="40"/>
  <c r="K1255" i="40"/>
  <c r="K1256" i="40"/>
  <c r="K1257" i="40"/>
  <c r="K1258" i="40"/>
  <c r="K1259" i="40"/>
  <c r="K1260" i="40"/>
  <c r="K1261" i="40"/>
  <c r="K1262" i="40"/>
  <c r="K1263" i="40"/>
  <c r="K1264" i="40"/>
  <c r="K1265" i="40"/>
  <c r="K1266" i="40"/>
  <c r="K1267" i="40"/>
  <c r="K1268" i="40"/>
  <c r="K1269" i="40"/>
  <c r="K1270" i="40"/>
  <c r="K1271" i="40"/>
  <c r="K1272" i="40"/>
  <c r="K1273" i="40"/>
  <c r="K1274" i="40"/>
  <c r="K1275" i="40"/>
  <c r="K1276" i="40"/>
  <c r="K1277" i="40"/>
  <c r="K1278" i="40"/>
  <c r="K1279" i="40"/>
  <c r="K1280" i="40"/>
  <c r="K1281" i="40"/>
  <c r="K1282" i="40"/>
  <c r="K1283" i="40"/>
  <c r="K1284" i="40"/>
  <c r="K1285" i="40"/>
  <c r="K1286" i="40"/>
  <c r="K1287" i="40"/>
  <c r="K1288" i="40"/>
  <c r="K1289" i="40"/>
  <c r="K1290" i="40"/>
  <c r="K1291" i="40"/>
  <c r="K1292" i="40"/>
  <c r="K1293" i="40"/>
  <c r="K1294" i="40"/>
  <c r="K1295" i="40"/>
  <c r="K1296" i="40"/>
  <c r="K1297" i="40"/>
  <c r="K1298" i="40"/>
  <c r="K1299" i="40"/>
  <c r="K1300" i="40"/>
  <c r="K1301" i="40"/>
  <c r="K1302" i="40"/>
  <c r="K1303" i="40"/>
  <c r="K1304" i="40"/>
  <c r="K1305" i="40"/>
  <c r="K1306" i="40"/>
  <c r="K1307" i="40"/>
  <c r="K1308" i="40"/>
  <c r="K1309" i="40"/>
  <c r="K1310" i="40"/>
  <c r="K1311" i="40"/>
  <c r="K1312" i="40"/>
  <c r="K1313" i="40"/>
  <c r="K1314" i="40"/>
  <c r="K1315" i="40"/>
  <c r="K1316" i="40"/>
  <c r="K1317" i="40"/>
  <c r="K1318" i="40"/>
  <c r="K1319" i="40"/>
  <c r="K1320" i="40"/>
  <c r="K1321" i="40"/>
  <c r="K1322" i="40"/>
  <c r="K1323" i="40"/>
  <c r="K1324" i="40"/>
  <c r="K1325" i="40"/>
  <c r="K1326" i="40"/>
  <c r="K1327" i="40"/>
  <c r="K1328" i="40"/>
  <c r="K1329" i="40"/>
  <c r="K1330" i="40"/>
  <c r="K1331" i="40"/>
  <c r="K1332" i="40"/>
  <c r="K1333" i="40"/>
  <c r="K1334" i="40"/>
  <c r="K1335" i="40"/>
  <c r="K1336" i="40"/>
  <c r="K1337" i="40"/>
  <c r="K1338" i="40"/>
  <c r="K1339" i="40"/>
  <c r="K1340" i="40"/>
  <c r="K1341" i="40"/>
  <c r="K1342" i="40"/>
  <c r="K1343" i="40"/>
  <c r="K1344" i="40"/>
  <c r="K1345" i="40"/>
  <c r="K1346" i="40"/>
  <c r="K1347" i="40"/>
  <c r="K1348" i="40"/>
  <c r="K1349" i="40"/>
  <c r="K1350" i="40"/>
  <c r="K1351" i="40"/>
  <c r="K1352" i="40"/>
  <c r="K1353" i="40"/>
  <c r="K1354" i="40"/>
  <c r="K1355" i="40"/>
  <c r="K1356" i="40"/>
  <c r="K1357" i="40"/>
  <c r="K1358" i="40"/>
  <c r="K1359" i="40"/>
  <c r="K1360" i="40"/>
  <c r="K1361" i="40"/>
  <c r="K1362" i="40"/>
  <c r="K1363" i="40"/>
  <c r="K1364" i="40"/>
  <c r="K1365" i="40"/>
  <c r="K1366" i="40"/>
  <c r="K1367" i="40"/>
  <c r="K1368" i="40"/>
  <c r="K1369" i="40"/>
  <c r="K1370" i="40"/>
  <c r="K1371" i="40"/>
  <c r="K1372" i="40"/>
  <c r="K1373" i="40"/>
  <c r="K1374" i="40"/>
  <c r="K1375" i="40"/>
  <c r="K1376" i="40"/>
  <c r="K1377" i="40"/>
  <c r="K1378" i="40"/>
  <c r="K1379" i="40"/>
  <c r="K1380" i="40"/>
  <c r="K1381" i="40"/>
  <c r="K1382" i="40"/>
  <c r="K1383" i="40"/>
  <c r="K1384" i="40"/>
  <c r="K1385" i="40"/>
  <c r="K1386" i="40"/>
  <c r="K1387" i="40"/>
  <c r="K1388" i="40"/>
  <c r="K1389" i="40"/>
  <c r="K1390" i="40"/>
  <c r="K1391" i="40"/>
  <c r="K1392" i="40"/>
  <c r="K1393" i="40"/>
  <c r="K1394" i="40"/>
  <c r="K1395" i="40"/>
  <c r="K1396" i="40"/>
  <c r="K1397" i="40"/>
  <c r="K1398" i="40"/>
  <c r="K1399" i="40"/>
  <c r="K1400" i="40"/>
  <c r="K1401" i="40"/>
  <c r="K1402" i="40"/>
  <c r="K1403" i="40"/>
  <c r="K1404" i="40"/>
  <c r="K1405" i="40"/>
  <c r="K1406" i="40"/>
  <c r="K1407" i="40"/>
  <c r="K1408" i="40"/>
  <c r="K1409" i="40"/>
  <c r="K1410" i="40"/>
  <c r="K1411" i="40"/>
  <c r="K1412" i="40"/>
  <c r="K1413" i="40"/>
  <c r="K1414" i="40"/>
  <c r="K1415" i="40"/>
  <c r="K1416" i="40"/>
  <c r="K1417" i="40"/>
  <c r="K1418" i="40"/>
  <c r="K1419" i="40"/>
  <c r="K1420" i="40"/>
  <c r="K1421" i="40"/>
  <c r="K1422" i="40"/>
  <c r="K1423" i="40"/>
  <c r="K1424" i="40"/>
  <c r="K1425" i="40"/>
  <c r="K1426" i="40"/>
  <c r="K1427" i="40"/>
  <c r="K1428" i="40"/>
  <c r="K1429" i="40"/>
  <c r="K1430" i="40"/>
  <c r="K1431" i="40"/>
  <c r="K1432" i="40"/>
  <c r="K1433" i="40"/>
  <c r="K1434" i="40"/>
  <c r="K1435" i="40"/>
  <c r="K1436" i="40"/>
  <c r="K1437" i="40"/>
  <c r="K1438" i="40"/>
  <c r="K1439" i="40"/>
  <c r="K1440" i="40"/>
  <c r="K1441" i="40"/>
  <c r="K1442" i="40"/>
  <c r="K1443" i="40"/>
  <c r="K1444" i="40"/>
  <c r="K1445" i="40"/>
  <c r="K1446" i="40"/>
  <c r="K1447" i="40"/>
  <c r="K1448" i="40"/>
  <c r="K1449" i="40"/>
  <c r="K1450" i="40"/>
  <c r="K1451" i="40"/>
  <c r="K1452" i="40"/>
  <c r="K1453" i="40"/>
  <c r="K1454" i="40"/>
  <c r="K1455" i="40"/>
  <c r="K1456" i="40"/>
  <c r="K1457" i="40"/>
  <c r="K1458" i="40"/>
  <c r="K1459" i="40"/>
  <c r="K1460" i="40"/>
  <c r="K1461" i="40"/>
  <c r="K1462" i="40"/>
  <c r="K1463" i="40"/>
  <c r="K1464" i="40"/>
  <c r="K1465" i="40"/>
  <c r="K1466" i="40"/>
  <c r="K1467" i="40"/>
  <c r="K1468" i="40"/>
  <c r="K1469" i="40"/>
  <c r="K1470" i="40"/>
  <c r="K1471" i="40"/>
  <c r="K1472" i="40"/>
  <c r="K1473" i="40"/>
  <c r="K1474" i="40"/>
  <c r="K1475" i="40"/>
  <c r="K1476" i="40"/>
  <c r="K1477" i="40"/>
  <c r="K1478" i="40"/>
  <c r="K1479" i="40"/>
  <c r="K1480" i="40"/>
  <c r="K1481" i="40"/>
  <c r="K1482" i="40"/>
  <c r="K1483" i="40"/>
  <c r="K1484" i="40"/>
  <c r="K1485" i="40"/>
  <c r="K1486" i="40"/>
  <c r="K1487" i="40"/>
  <c r="K1488" i="40"/>
  <c r="K1489" i="40"/>
  <c r="K1490" i="40"/>
  <c r="K1491" i="40"/>
  <c r="K1492" i="40"/>
  <c r="K1493" i="40"/>
  <c r="K1494" i="40"/>
  <c r="K1495" i="40"/>
  <c r="K1496" i="40"/>
  <c r="K1497" i="40"/>
  <c r="K1498" i="40"/>
  <c r="K1499" i="40"/>
  <c r="K1500" i="40"/>
  <c r="K1501" i="40"/>
  <c r="K1502" i="40"/>
  <c r="K1503" i="40"/>
  <c r="K1504" i="40"/>
  <c r="K1505" i="40"/>
  <c r="K1506" i="40"/>
  <c r="K1507" i="40"/>
  <c r="K1508" i="40"/>
  <c r="K1509" i="40"/>
  <c r="K1510" i="40"/>
  <c r="K1511" i="40"/>
  <c r="K1512" i="40"/>
  <c r="K1513" i="40"/>
  <c r="K1514" i="40"/>
  <c r="K1515" i="40"/>
  <c r="K1516" i="40"/>
  <c r="K1517" i="40"/>
  <c r="K1518" i="40"/>
  <c r="K1519" i="40"/>
  <c r="K1520" i="40"/>
  <c r="K1521" i="40"/>
  <c r="K1522" i="40"/>
  <c r="K1523" i="40"/>
  <c r="K1524" i="40"/>
  <c r="K1525" i="40"/>
  <c r="K1526" i="40"/>
  <c r="K1527" i="40"/>
  <c r="K1528" i="40"/>
  <c r="K1529" i="40"/>
  <c r="K1530" i="40"/>
  <c r="K1531" i="40"/>
  <c r="K1532" i="40"/>
  <c r="K1533" i="40"/>
  <c r="K1534" i="40"/>
  <c r="K1535" i="40"/>
  <c r="K1536" i="40"/>
  <c r="K1537" i="40"/>
  <c r="K1538" i="40"/>
  <c r="K1539" i="40"/>
  <c r="K1540" i="40"/>
  <c r="K1541" i="40"/>
  <c r="K1542" i="40"/>
  <c r="K1543" i="40"/>
  <c r="K1544" i="40"/>
  <c r="K1545" i="40"/>
  <c r="K1546" i="40"/>
  <c r="K1547" i="40"/>
  <c r="K1548" i="40"/>
  <c r="K1549" i="40"/>
  <c r="K1550" i="40"/>
  <c r="K1551" i="40"/>
  <c r="K1552" i="40"/>
  <c r="K1553" i="40"/>
  <c r="K1554" i="40"/>
  <c r="K1555" i="40"/>
  <c r="K1556" i="40"/>
  <c r="K1557" i="40"/>
  <c r="K1558" i="40"/>
  <c r="K1559" i="40"/>
  <c r="K1560" i="40"/>
  <c r="K1561" i="40"/>
  <c r="K1562" i="40"/>
  <c r="K1563" i="40"/>
  <c r="K1564" i="40"/>
  <c r="K1565" i="40"/>
  <c r="K1566" i="40"/>
  <c r="K1567" i="40"/>
  <c r="K1568" i="40"/>
  <c r="K1569" i="40"/>
  <c r="K1570" i="40"/>
  <c r="K1571" i="40"/>
  <c r="K1572" i="40"/>
  <c r="K1573" i="40"/>
  <c r="K1574" i="40"/>
  <c r="K1575" i="40"/>
  <c r="K1576" i="40"/>
  <c r="K1577" i="40"/>
  <c r="K1578" i="40"/>
  <c r="K1579" i="40"/>
  <c r="K1580" i="40"/>
  <c r="K1581" i="40"/>
  <c r="K1582" i="40"/>
  <c r="K1583" i="40"/>
  <c r="K1584" i="40"/>
  <c r="K1585" i="40"/>
  <c r="K1586" i="40"/>
  <c r="K1587" i="40"/>
  <c r="K1588" i="40"/>
  <c r="K1589" i="40"/>
  <c r="K1590" i="40"/>
  <c r="K1591" i="40"/>
  <c r="K1592" i="40"/>
  <c r="K1593" i="40"/>
  <c r="K1594" i="40"/>
  <c r="K1595" i="40"/>
  <c r="K1596" i="40"/>
  <c r="K1597" i="40"/>
  <c r="K1598" i="40"/>
  <c r="K1599" i="40"/>
  <c r="K1600" i="40"/>
  <c r="K1601" i="40"/>
  <c r="K1602" i="40"/>
  <c r="K1603" i="40"/>
  <c r="K1604" i="40"/>
  <c r="K1605" i="40"/>
  <c r="K1606" i="40"/>
  <c r="K1607" i="40"/>
  <c r="K1608" i="40"/>
  <c r="K1609" i="40"/>
  <c r="K1610" i="40"/>
  <c r="K1611" i="40"/>
  <c r="K1612" i="40"/>
  <c r="K1613" i="40"/>
  <c r="K1614" i="40"/>
  <c r="K1615" i="40"/>
  <c r="K1616" i="40"/>
  <c r="K1617" i="40"/>
  <c r="K1618" i="40"/>
  <c r="K1619" i="40"/>
  <c r="K1620" i="40"/>
  <c r="K1621" i="40"/>
  <c r="K1622" i="40"/>
  <c r="K1623" i="40"/>
  <c r="K1624" i="40"/>
  <c r="K1625" i="40"/>
  <c r="K1626" i="40"/>
  <c r="K1627" i="40"/>
  <c r="K1628" i="40"/>
  <c r="K1629" i="40"/>
  <c r="K1630" i="40"/>
  <c r="K1631" i="40"/>
  <c r="K1632" i="40"/>
  <c r="K1633" i="40"/>
  <c r="K1634" i="40"/>
  <c r="K1635" i="40"/>
  <c r="K1636" i="40"/>
  <c r="K1637" i="40"/>
  <c r="K1638" i="40"/>
  <c r="K1639" i="40"/>
  <c r="K1640" i="40"/>
  <c r="K1641" i="40"/>
  <c r="K1642" i="40"/>
  <c r="K1643" i="40"/>
  <c r="K1644" i="40"/>
  <c r="K1645" i="40"/>
  <c r="K1646" i="40"/>
  <c r="K1647" i="40"/>
  <c r="K1648" i="40"/>
  <c r="K1649" i="40"/>
  <c r="K1650" i="40"/>
  <c r="K1651" i="40"/>
  <c r="K1652" i="40"/>
  <c r="K1653" i="40"/>
  <c r="K1654" i="40"/>
  <c r="K1655" i="40"/>
  <c r="K1656" i="40"/>
  <c r="K1657" i="40"/>
  <c r="K1658" i="40"/>
  <c r="K1659" i="40"/>
  <c r="K1660" i="40"/>
  <c r="K1661" i="40"/>
  <c r="K1662" i="40"/>
  <c r="K1663" i="40"/>
  <c r="K1664" i="40"/>
  <c r="K1665" i="40"/>
  <c r="K1666" i="40"/>
  <c r="K1667" i="40"/>
  <c r="K1668" i="40"/>
  <c r="K1669" i="40"/>
  <c r="K1670" i="40"/>
  <c r="K1671" i="40"/>
  <c r="K1672" i="40"/>
  <c r="K1673" i="40"/>
  <c r="K1674" i="40"/>
  <c r="K1675" i="40"/>
  <c r="K1676" i="40"/>
  <c r="K1677" i="40"/>
  <c r="K1678" i="40"/>
  <c r="K1679" i="40"/>
  <c r="K1680" i="40"/>
  <c r="K1681" i="40"/>
  <c r="K1682" i="40"/>
  <c r="K1683" i="40"/>
  <c r="K1684" i="40"/>
  <c r="K1685" i="40"/>
  <c r="K1686" i="40"/>
  <c r="K1687" i="40"/>
  <c r="K1688" i="40"/>
  <c r="K1689" i="40"/>
  <c r="K1690" i="40"/>
  <c r="K1691" i="40"/>
  <c r="K1692" i="40"/>
  <c r="K1693" i="40"/>
  <c r="K1694" i="40"/>
  <c r="K1695" i="40"/>
  <c r="K1696" i="40"/>
  <c r="K1697" i="40"/>
  <c r="K1698" i="40"/>
  <c r="K1699" i="40"/>
  <c r="K1700" i="40"/>
  <c r="K1701" i="40"/>
  <c r="K1702" i="40"/>
  <c r="K1703" i="40"/>
  <c r="K1704" i="40"/>
  <c r="K1705" i="40"/>
  <c r="K1706" i="40"/>
  <c r="K1707" i="40"/>
  <c r="K1708" i="40"/>
  <c r="K1709" i="40"/>
  <c r="K1710" i="40"/>
  <c r="K1711" i="40"/>
  <c r="K1712" i="40"/>
  <c r="K1713" i="40"/>
  <c r="K1714" i="40"/>
  <c r="K1715" i="40"/>
  <c r="K1716" i="40"/>
  <c r="K1717" i="40"/>
  <c r="K1718" i="40"/>
  <c r="K1719" i="40"/>
  <c r="K1720" i="40"/>
  <c r="K1721" i="40"/>
  <c r="K1722" i="40"/>
  <c r="K1723" i="40"/>
  <c r="K1724" i="40"/>
  <c r="K1725" i="40"/>
  <c r="K1726" i="40"/>
  <c r="K1727" i="40"/>
  <c r="K1728" i="40"/>
  <c r="K1729" i="40"/>
  <c r="K1730" i="40"/>
  <c r="K1731" i="40"/>
  <c r="K1732" i="40"/>
  <c r="K1733" i="40"/>
  <c r="K1734" i="40"/>
  <c r="K1735" i="40"/>
  <c r="K1736" i="40"/>
  <c r="K1737" i="40"/>
  <c r="K1738" i="40"/>
  <c r="K1739" i="40"/>
  <c r="K1740" i="40"/>
  <c r="K1741" i="40"/>
  <c r="K1742" i="40"/>
  <c r="K1743" i="40"/>
  <c r="K1744" i="40"/>
  <c r="K1745" i="40"/>
  <c r="K1746" i="40"/>
  <c r="K1747" i="40"/>
  <c r="K1748" i="40"/>
  <c r="K1749" i="40"/>
  <c r="K1750" i="40"/>
  <c r="K1751" i="40"/>
  <c r="K1752" i="40"/>
  <c r="K1753" i="40"/>
  <c r="K1754" i="40"/>
  <c r="K1755" i="40"/>
  <c r="K1756" i="40"/>
  <c r="K1757" i="40"/>
  <c r="K1758" i="40"/>
  <c r="K1759" i="40"/>
  <c r="K1760" i="40"/>
  <c r="K1761" i="40"/>
  <c r="K1762" i="40"/>
  <c r="K1763" i="40"/>
  <c r="K1764" i="40"/>
  <c r="K1765" i="40"/>
  <c r="K1766" i="40"/>
  <c r="K1767" i="40"/>
  <c r="K1768" i="40"/>
  <c r="K1769" i="40"/>
  <c r="K1770" i="40"/>
  <c r="K1771" i="40"/>
  <c r="K1772" i="40"/>
  <c r="K1773" i="40"/>
  <c r="K1774" i="40"/>
  <c r="K1775" i="40"/>
  <c r="K1776" i="40"/>
  <c r="K1777" i="40"/>
  <c r="K1778" i="40"/>
  <c r="K1779" i="40"/>
  <c r="K1780" i="40"/>
  <c r="K1781" i="40"/>
  <c r="K1782" i="40"/>
  <c r="K1783" i="40"/>
  <c r="K1784" i="40"/>
  <c r="K1785" i="40"/>
  <c r="K1786" i="40"/>
  <c r="K1787" i="40"/>
  <c r="K1788" i="40"/>
  <c r="K1789" i="40"/>
  <c r="K1790" i="40"/>
  <c r="K1791" i="40"/>
  <c r="K1792" i="40"/>
  <c r="K1793" i="40"/>
  <c r="K1794" i="40"/>
  <c r="K1795" i="40"/>
  <c r="K1796" i="40"/>
  <c r="K1797" i="40"/>
  <c r="K1798" i="40"/>
  <c r="K1799" i="40"/>
  <c r="K1800" i="40"/>
  <c r="K1801" i="40"/>
  <c r="K1802" i="40"/>
  <c r="K1803" i="40"/>
  <c r="K1804" i="40"/>
  <c r="K1805" i="40"/>
  <c r="K1806" i="40"/>
  <c r="K1807" i="40"/>
  <c r="K1808" i="40"/>
  <c r="K1809" i="40"/>
  <c r="K1810" i="40"/>
  <c r="K1811" i="40"/>
  <c r="K1812" i="40"/>
  <c r="K1813" i="40"/>
  <c r="K1814" i="40"/>
  <c r="K1815" i="40"/>
  <c r="K1816" i="40"/>
  <c r="K1817" i="40"/>
  <c r="K1818" i="40"/>
  <c r="K1819" i="40"/>
  <c r="K1820" i="40"/>
  <c r="K1821" i="40"/>
  <c r="K1822" i="40"/>
  <c r="K1823" i="40"/>
  <c r="K1824" i="40"/>
  <c r="K1825" i="40"/>
  <c r="K1826" i="40"/>
  <c r="K1827" i="40"/>
  <c r="K1828" i="40"/>
  <c r="K1829" i="40"/>
  <c r="K1830" i="40"/>
  <c r="K1831" i="40"/>
  <c r="K1832" i="40"/>
  <c r="K1833" i="40"/>
  <c r="K1834" i="40"/>
  <c r="K1835" i="40"/>
  <c r="K1836" i="40"/>
  <c r="K1837" i="40"/>
  <c r="K1838" i="40"/>
  <c r="K1839" i="40"/>
  <c r="K1840" i="40"/>
  <c r="K1841" i="40"/>
  <c r="K1842" i="40"/>
  <c r="K1843" i="40"/>
  <c r="K1844" i="40"/>
  <c r="K1845" i="40"/>
  <c r="K1846" i="40"/>
  <c r="K1847" i="40"/>
  <c r="K1848" i="40"/>
  <c r="K1849" i="40"/>
  <c r="K1850" i="40"/>
  <c r="K1851" i="40"/>
  <c r="K1852" i="40"/>
  <c r="K1853" i="40"/>
  <c r="K1854" i="40"/>
  <c r="K1855" i="40"/>
  <c r="K1856" i="40"/>
  <c r="K1857" i="40"/>
  <c r="K1858" i="40"/>
  <c r="K1859" i="40"/>
  <c r="K1860" i="40"/>
  <c r="K1861" i="40"/>
  <c r="K1862" i="40"/>
  <c r="K1863" i="40"/>
  <c r="K1864" i="40"/>
  <c r="K1865" i="40"/>
  <c r="K1866" i="40"/>
  <c r="K1867" i="40"/>
  <c r="K1868" i="40"/>
  <c r="K1869" i="40"/>
  <c r="K1870" i="40"/>
  <c r="K1871" i="40"/>
  <c r="K1872" i="40"/>
  <c r="K1873" i="40"/>
  <c r="K1874" i="40"/>
  <c r="K1875" i="40"/>
  <c r="K1876" i="40"/>
  <c r="K1877" i="40"/>
  <c r="K1878" i="40"/>
  <c r="K1879" i="40"/>
  <c r="K1880" i="40"/>
  <c r="K1881" i="40"/>
  <c r="K1882" i="40"/>
  <c r="K1883" i="40"/>
  <c r="K1884" i="40"/>
  <c r="K1885" i="40"/>
  <c r="K1886" i="40"/>
  <c r="K1887" i="40"/>
  <c r="K1888" i="40"/>
  <c r="K1889" i="40"/>
  <c r="K1890" i="40"/>
  <c r="K1891" i="40"/>
  <c r="K1892" i="40"/>
  <c r="K1893" i="40"/>
  <c r="K1894" i="40"/>
  <c r="K1895" i="40"/>
  <c r="K1896" i="40"/>
  <c r="K1897" i="40"/>
  <c r="K1898" i="40"/>
  <c r="K1899" i="40"/>
  <c r="K1900" i="40"/>
  <c r="K1901" i="40"/>
  <c r="K1902" i="40"/>
  <c r="K1903" i="40"/>
  <c r="K1904" i="40"/>
  <c r="K1905" i="40"/>
  <c r="K1906" i="40"/>
  <c r="K1907" i="40"/>
  <c r="K1908" i="40"/>
  <c r="K1909" i="40"/>
  <c r="K1910" i="40"/>
  <c r="K1911" i="40"/>
  <c r="K1912" i="40"/>
  <c r="K1913" i="40"/>
  <c r="K1914" i="40"/>
  <c r="K1915" i="40"/>
  <c r="K1916" i="40"/>
  <c r="K1917" i="40"/>
  <c r="K1918" i="40"/>
  <c r="K1919" i="40"/>
  <c r="K1920" i="40"/>
  <c r="K1921" i="40"/>
  <c r="K1922" i="40"/>
  <c r="K1923" i="40"/>
  <c r="K1924" i="40"/>
  <c r="K1925" i="40"/>
  <c r="K1926" i="40"/>
  <c r="K1927" i="40"/>
  <c r="K1928" i="40"/>
  <c r="K1929" i="40"/>
  <c r="K1930" i="40"/>
  <c r="K1931" i="40"/>
  <c r="K1932" i="40"/>
  <c r="K1933" i="40"/>
  <c r="K1934" i="40"/>
  <c r="K1935" i="40"/>
  <c r="K1936" i="40"/>
  <c r="K1937" i="40"/>
  <c r="K1938" i="40"/>
  <c r="K1939" i="40"/>
  <c r="K1940" i="40"/>
  <c r="K1941" i="40"/>
  <c r="K1942" i="40"/>
  <c r="K1943" i="40"/>
  <c r="K1944" i="40"/>
  <c r="K1945" i="40"/>
  <c r="K1946" i="40"/>
  <c r="K1947" i="40"/>
  <c r="K1948" i="40"/>
  <c r="K1949" i="40"/>
  <c r="K1950" i="40"/>
  <c r="K1951" i="40"/>
  <c r="K1952" i="40"/>
  <c r="K1953" i="40"/>
  <c r="K1954" i="40"/>
  <c r="K1955" i="40"/>
  <c r="K1956" i="40"/>
  <c r="K1957" i="40"/>
  <c r="K1958" i="40"/>
  <c r="K1959" i="40"/>
  <c r="K1960" i="40"/>
  <c r="K1961" i="40"/>
  <c r="K1962" i="40"/>
  <c r="K1963" i="40"/>
  <c r="K1964" i="40"/>
  <c r="K1965" i="40"/>
  <c r="K1966" i="40"/>
  <c r="K1967" i="40"/>
  <c r="K1968" i="40"/>
  <c r="K1969" i="40"/>
  <c r="K1970" i="40"/>
  <c r="K1971" i="40"/>
  <c r="K1972" i="40"/>
  <c r="K1973" i="40"/>
  <c r="K1974" i="40"/>
  <c r="K1975" i="40"/>
  <c r="K1976" i="40"/>
  <c r="K1977" i="40"/>
  <c r="K1978" i="40"/>
  <c r="K1979" i="40"/>
  <c r="K1980" i="40"/>
  <c r="K1981" i="40"/>
  <c r="K1982" i="40"/>
  <c r="K1983" i="40"/>
  <c r="K1984" i="40"/>
  <c r="K1985" i="40"/>
  <c r="K1986" i="40"/>
  <c r="K1987" i="40"/>
  <c r="K1988" i="40"/>
  <c r="K1989" i="40"/>
  <c r="K1990" i="40"/>
  <c r="K1991" i="40"/>
  <c r="K1992" i="40"/>
  <c r="K1993" i="40"/>
  <c r="K1994" i="40"/>
  <c r="K1995" i="40"/>
  <c r="K1996" i="40"/>
  <c r="K1997" i="40"/>
  <c r="K1998" i="40"/>
  <c r="K1999" i="40"/>
  <c r="K2000" i="40"/>
  <c r="K2001" i="40"/>
  <c r="K2002" i="40"/>
  <c r="K2003" i="40"/>
  <c r="K2004" i="40"/>
  <c r="K2005" i="40"/>
  <c r="K2006" i="40"/>
  <c r="K2007" i="40"/>
  <c r="K2008" i="40"/>
  <c r="K2009" i="40"/>
  <c r="K2010" i="40"/>
  <c r="K2011" i="40"/>
  <c r="K2012" i="40"/>
  <c r="K2013" i="40"/>
  <c r="K2014" i="40"/>
  <c r="K2015" i="40"/>
  <c r="K2016" i="40"/>
  <c r="K2017" i="40"/>
  <c r="K2018" i="40"/>
  <c r="K2019" i="40"/>
  <c r="K2020" i="40"/>
  <c r="K2021" i="40"/>
  <c r="K2022" i="40"/>
  <c r="K2023" i="40"/>
  <c r="K2024" i="40"/>
  <c r="K2025" i="40"/>
  <c r="K2026" i="40"/>
  <c r="K2027" i="40"/>
  <c r="K2028" i="40"/>
  <c r="K2029" i="40"/>
  <c r="K2030" i="40"/>
  <c r="K2031" i="40"/>
  <c r="K2032" i="40"/>
  <c r="K2033" i="40"/>
  <c r="K2034" i="40"/>
  <c r="K2035" i="40"/>
  <c r="K2036" i="40"/>
  <c r="K2037" i="40"/>
  <c r="K2038" i="40"/>
  <c r="K2039" i="40"/>
  <c r="K2040" i="40"/>
  <c r="K2041" i="40"/>
  <c r="K2042" i="40"/>
  <c r="K2043" i="40"/>
  <c r="K2044" i="40"/>
  <c r="K2045" i="40"/>
  <c r="K2046" i="40"/>
  <c r="K2047" i="40"/>
  <c r="K2048" i="40"/>
  <c r="K2049" i="40"/>
  <c r="K2050" i="40"/>
  <c r="K2051" i="40"/>
  <c r="K2052" i="40"/>
  <c r="K2053" i="40"/>
  <c r="K2054" i="40"/>
  <c r="K2055" i="40"/>
  <c r="K2056" i="40"/>
  <c r="K2057" i="40"/>
  <c r="K2058" i="40"/>
  <c r="K2059" i="40"/>
  <c r="K2060" i="40"/>
  <c r="K2061" i="40"/>
  <c r="K2062" i="40"/>
  <c r="K2063" i="40"/>
  <c r="K2064" i="40"/>
  <c r="K2065" i="40"/>
  <c r="K2066" i="40"/>
  <c r="K2067" i="40"/>
  <c r="K2068" i="40"/>
  <c r="K2069" i="40"/>
  <c r="K2070" i="40"/>
  <c r="K2071" i="40"/>
  <c r="K2072" i="40"/>
  <c r="K2073" i="40"/>
  <c r="K2074" i="40"/>
  <c r="K2075" i="40"/>
  <c r="K2076" i="40"/>
  <c r="K2077" i="40"/>
  <c r="K2078" i="40"/>
  <c r="K2079" i="40"/>
  <c r="K2080" i="40"/>
  <c r="K2081" i="40"/>
  <c r="K2082" i="40"/>
  <c r="K2083" i="40"/>
  <c r="K2084" i="40"/>
  <c r="K2085" i="40"/>
  <c r="K2086" i="40"/>
  <c r="K2087" i="40"/>
  <c r="K2088" i="40"/>
  <c r="K2089" i="40"/>
  <c r="K2090" i="40"/>
  <c r="K2091" i="40"/>
  <c r="K2092" i="40"/>
  <c r="K2093" i="40"/>
  <c r="K2094" i="40"/>
  <c r="K2095" i="40"/>
  <c r="K2096" i="40"/>
  <c r="K2097" i="40"/>
  <c r="K2098" i="40"/>
  <c r="K2099" i="40"/>
  <c r="K2100" i="40"/>
  <c r="K2101" i="40"/>
  <c r="K2102" i="40"/>
  <c r="K2103" i="40"/>
  <c r="K2104" i="40"/>
  <c r="K2105" i="40"/>
  <c r="K2106" i="40"/>
  <c r="K2107" i="40"/>
  <c r="K2108" i="40"/>
  <c r="K2109" i="40"/>
  <c r="K2110" i="40"/>
  <c r="K2111" i="40"/>
  <c r="K2112" i="40"/>
  <c r="K2113" i="40"/>
  <c r="K2114" i="40"/>
  <c r="K2115" i="40"/>
  <c r="K2116" i="40"/>
  <c r="K2117" i="40"/>
  <c r="K2118" i="40"/>
  <c r="K2119" i="40"/>
  <c r="K2120" i="40"/>
  <c r="K2121" i="40"/>
  <c r="K2122" i="40"/>
  <c r="K2123" i="40"/>
  <c r="K2124" i="40"/>
  <c r="K2125" i="40"/>
  <c r="K2126" i="40"/>
  <c r="K2127" i="40"/>
  <c r="K2128" i="40"/>
  <c r="K2129" i="40"/>
  <c r="K2130" i="40"/>
  <c r="K2131" i="40"/>
  <c r="K2132" i="40"/>
  <c r="K2133" i="40"/>
  <c r="K2134" i="40"/>
  <c r="K2135" i="40"/>
  <c r="K2136" i="40"/>
  <c r="K2137" i="40"/>
  <c r="K2138" i="40"/>
  <c r="K2139" i="40"/>
  <c r="K2140" i="40"/>
  <c r="K2141" i="40"/>
  <c r="K2142" i="40"/>
  <c r="K2143" i="40"/>
  <c r="K2144" i="40"/>
  <c r="K2145" i="40"/>
  <c r="K2146" i="40"/>
  <c r="K2147" i="40"/>
  <c r="K2148" i="40"/>
  <c r="K2149" i="40"/>
  <c r="K2150" i="40"/>
  <c r="K2151" i="40"/>
  <c r="K2152" i="40"/>
  <c r="K2153" i="40"/>
  <c r="K2154" i="40"/>
  <c r="K2155" i="40"/>
  <c r="K2156" i="40"/>
  <c r="K2157" i="40"/>
  <c r="K2158" i="40"/>
  <c r="K2159" i="40"/>
  <c r="K2160" i="40"/>
  <c r="K2161" i="40"/>
  <c r="K2162" i="40"/>
  <c r="K2163" i="40"/>
  <c r="K2164" i="40"/>
  <c r="K2165" i="40"/>
  <c r="K2166" i="40"/>
  <c r="K2167" i="40"/>
  <c r="K2168" i="40"/>
  <c r="K2169" i="40"/>
  <c r="K2170" i="40"/>
  <c r="K2171" i="40"/>
  <c r="K2172" i="40"/>
  <c r="K2173" i="40"/>
  <c r="K2174" i="40"/>
  <c r="K2175" i="40"/>
  <c r="K2176" i="40"/>
  <c r="K2177" i="40"/>
  <c r="K2178" i="40"/>
  <c r="K2179" i="40"/>
  <c r="K2180" i="40"/>
  <c r="K2181" i="40"/>
  <c r="K2182" i="40"/>
  <c r="K2183" i="40"/>
  <c r="K2184" i="40"/>
  <c r="K2185" i="40"/>
  <c r="K2186" i="40"/>
  <c r="K2187" i="40"/>
  <c r="K2188" i="40"/>
  <c r="K2189" i="40"/>
  <c r="K2190" i="40"/>
  <c r="K2191" i="40"/>
  <c r="K2192" i="40"/>
  <c r="K2193" i="40"/>
  <c r="K2194" i="40"/>
  <c r="K2195" i="40"/>
  <c r="K2196" i="40"/>
  <c r="K2197" i="40"/>
  <c r="K2198" i="40"/>
  <c r="K2199" i="40"/>
  <c r="K2200" i="40"/>
  <c r="K2201" i="40"/>
  <c r="K2202" i="40"/>
  <c r="K2203" i="40"/>
  <c r="K2204" i="40"/>
  <c r="K2205" i="40"/>
  <c r="K2206" i="40"/>
  <c r="K2207" i="40"/>
  <c r="K2208" i="40"/>
  <c r="K2209" i="40"/>
  <c r="K2210" i="40"/>
  <c r="K2211" i="40"/>
  <c r="K2212" i="40"/>
  <c r="K2213" i="40"/>
  <c r="K2214" i="40"/>
  <c r="K2215" i="40"/>
  <c r="K2216" i="40"/>
  <c r="K2217" i="40"/>
  <c r="K2218" i="40"/>
  <c r="K2219" i="40"/>
  <c r="K2220" i="40"/>
  <c r="K2221" i="40"/>
  <c r="K2222" i="40"/>
  <c r="K2223" i="40"/>
  <c r="K2224" i="40"/>
  <c r="K2225" i="40"/>
  <c r="K2226" i="40"/>
  <c r="K2227" i="40"/>
  <c r="K2228" i="40"/>
  <c r="K2229" i="40"/>
  <c r="K2230" i="40"/>
  <c r="K2231" i="40"/>
  <c r="K2232" i="40"/>
  <c r="K2233" i="40"/>
  <c r="K2234" i="40"/>
  <c r="K2235" i="40"/>
  <c r="K2236" i="40"/>
  <c r="K2237" i="40"/>
  <c r="K2238" i="40"/>
  <c r="K2239" i="40"/>
  <c r="K2240" i="40"/>
  <c r="K2241" i="40"/>
  <c r="K2242" i="40"/>
  <c r="K2243" i="40"/>
  <c r="K2244" i="40"/>
  <c r="K2245" i="40"/>
  <c r="K2246" i="40"/>
  <c r="K2247" i="40"/>
  <c r="K2248" i="40"/>
  <c r="K2249" i="40"/>
  <c r="K2250" i="40"/>
  <c r="K2251" i="40"/>
  <c r="K2252" i="40"/>
  <c r="K2253" i="40"/>
  <c r="K2254" i="40"/>
  <c r="K2255" i="40"/>
  <c r="K2256" i="40"/>
  <c r="K2257" i="40"/>
  <c r="K2258" i="40"/>
  <c r="K2259" i="40"/>
  <c r="K2260" i="40"/>
  <c r="K2261" i="40"/>
  <c r="K2262" i="40"/>
  <c r="K2263" i="40"/>
  <c r="K2264" i="40"/>
  <c r="K2265" i="40"/>
  <c r="K2266" i="40"/>
  <c r="K2267" i="40"/>
  <c r="K2268" i="40"/>
  <c r="K2269" i="40"/>
  <c r="K2270" i="40"/>
  <c r="K2271" i="40"/>
  <c r="K2272" i="40"/>
  <c r="K2273" i="40"/>
  <c r="K2274" i="40"/>
  <c r="K2275" i="40"/>
  <c r="K2276" i="40"/>
  <c r="K2277" i="40"/>
  <c r="K2278" i="40"/>
  <c r="K2279" i="40"/>
  <c r="K2280" i="40"/>
  <c r="K2281" i="40"/>
  <c r="K2282" i="40"/>
  <c r="K2283" i="40"/>
  <c r="K2284" i="40"/>
  <c r="K2285" i="40"/>
  <c r="K2286" i="40"/>
  <c r="K2287" i="40"/>
  <c r="K2288" i="40"/>
  <c r="K2289" i="40"/>
  <c r="K2290" i="40"/>
  <c r="K2291" i="40"/>
  <c r="K2292" i="40"/>
  <c r="K2293" i="40"/>
  <c r="K2294" i="40"/>
  <c r="K2295" i="40"/>
  <c r="K2296" i="40"/>
  <c r="K2297" i="40"/>
  <c r="K2298" i="40"/>
  <c r="K2299" i="40"/>
  <c r="K2300" i="40"/>
  <c r="K2301" i="40"/>
  <c r="K2302" i="40"/>
  <c r="K2303" i="40"/>
  <c r="K2304" i="40"/>
  <c r="K2305" i="40"/>
  <c r="K2306" i="40"/>
  <c r="K2307" i="40"/>
  <c r="K2308" i="40"/>
  <c r="K2309" i="40"/>
  <c r="K2310" i="40"/>
  <c r="K2311" i="40"/>
  <c r="K2312" i="40"/>
  <c r="K2313" i="40"/>
  <c r="K2314" i="40"/>
  <c r="K2315" i="40"/>
  <c r="K2316" i="40"/>
  <c r="K2317" i="40"/>
  <c r="K2318" i="40"/>
  <c r="K2319" i="40"/>
  <c r="K2320" i="40"/>
  <c r="K2321" i="40"/>
  <c r="K2322" i="40"/>
  <c r="K2323" i="40"/>
  <c r="K2324" i="40"/>
  <c r="K2325" i="40"/>
  <c r="K2326" i="40"/>
  <c r="K2327" i="40"/>
  <c r="K2328" i="40"/>
  <c r="K2329" i="40"/>
  <c r="K2330" i="40"/>
  <c r="K2331" i="40"/>
  <c r="K2332" i="40"/>
  <c r="K2333" i="40"/>
  <c r="K2334" i="40"/>
  <c r="K2335" i="40"/>
  <c r="K2336" i="40"/>
  <c r="K2337" i="40"/>
  <c r="K2338" i="40"/>
  <c r="K2339" i="40"/>
  <c r="K2340" i="40"/>
  <c r="K2341" i="40"/>
  <c r="K2342" i="40"/>
  <c r="K2343" i="40"/>
  <c r="K2344" i="40"/>
  <c r="K2345" i="40"/>
  <c r="K2346" i="40"/>
  <c r="K2347" i="40"/>
  <c r="K2348" i="40"/>
  <c r="K2349" i="40"/>
  <c r="K2350" i="40"/>
  <c r="K2351" i="40"/>
  <c r="K2352" i="40"/>
  <c r="K2353" i="40"/>
  <c r="K2354" i="40"/>
  <c r="K2355" i="40"/>
  <c r="K2356" i="40"/>
  <c r="K2357" i="40"/>
  <c r="K2358" i="40"/>
  <c r="K2359" i="40"/>
  <c r="K2360" i="40"/>
  <c r="K2361" i="40"/>
  <c r="K2362" i="40"/>
  <c r="K2363" i="40"/>
  <c r="K2364" i="40"/>
  <c r="K2365" i="40"/>
  <c r="K2366" i="40"/>
  <c r="K2367" i="40"/>
  <c r="K2368" i="40"/>
  <c r="K2369" i="40"/>
  <c r="K2370" i="40"/>
  <c r="K2371" i="40"/>
  <c r="K2372" i="40"/>
  <c r="K2373" i="40"/>
  <c r="K2374" i="40"/>
  <c r="K2375" i="40"/>
  <c r="K2376" i="40"/>
  <c r="K2377" i="40"/>
  <c r="K2378" i="40"/>
  <c r="K2379" i="40"/>
  <c r="K2380" i="40"/>
  <c r="K2381" i="40"/>
  <c r="K2382" i="40"/>
  <c r="K2383" i="40"/>
  <c r="K2384" i="40"/>
  <c r="K2385" i="40"/>
  <c r="K2386" i="40"/>
  <c r="K2387" i="40"/>
  <c r="K2388" i="40"/>
  <c r="K2389" i="40"/>
  <c r="K2390" i="40"/>
  <c r="K2391" i="40"/>
  <c r="K2392" i="40"/>
  <c r="K2393" i="40"/>
  <c r="K2394" i="40"/>
  <c r="K2395" i="40"/>
  <c r="K2396" i="40"/>
  <c r="K2397" i="40"/>
  <c r="K2398" i="40"/>
  <c r="K2399" i="40"/>
  <c r="K2400" i="40"/>
  <c r="K2401" i="40"/>
  <c r="K2402" i="40"/>
  <c r="K2403" i="40"/>
  <c r="K2404" i="40"/>
  <c r="K2405" i="40"/>
  <c r="K2406" i="40"/>
  <c r="K2407" i="40"/>
  <c r="K2408" i="40"/>
  <c r="K2409" i="40"/>
  <c r="K2410" i="40"/>
  <c r="K2411" i="40"/>
  <c r="K2412" i="40"/>
  <c r="K2413" i="40"/>
  <c r="K2414" i="40"/>
  <c r="K2415" i="40"/>
  <c r="K2416" i="40"/>
  <c r="K2417" i="40"/>
  <c r="K2418" i="40"/>
  <c r="K2419" i="40"/>
  <c r="K2420" i="40"/>
  <c r="K2421" i="40"/>
  <c r="K2422" i="40"/>
  <c r="K2423" i="40"/>
  <c r="K2424" i="40"/>
  <c r="K2425" i="40"/>
  <c r="K2426" i="40"/>
  <c r="K2427" i="40"/>
  <c r="K2428" i="40"/>
  <c r="K2429" i="40"/>
  <c r="K2430" i="40"/>
  <c r="K2431" i="40"/>
  <c r="K2432" i="40"/>
  <c r="K2433" i="40"/>
  <c r="K2434" i="40"/>
  <c r="K2435" i="40"/>
  <c r="K2436" i="40"/>
  <c r="K2437" i="40"/>
  <c r="K2438" i="40"/>
  <c r="K2439" i="40"/>
  <c r="K2440" i="40"/>
  <c r="K2441" i="40"/>
  <c r="K2442" i="40"/>
  <c r="K2443" i="40"/>
  <c r="K2444" i="40"/>
  <c r="K2445" i="40"/>
  <c r="K2446" i="40"/>
  <c r="K2447" i="40"/>
  <c r="K2448" i="40"/>
  <c r="K2449" i="40"/>
  <c r="K2450" i="40"/>
  <c r="K2451" i="40"/>
  <c r="K2452" i="40"/>
  <c r="K2453" i="40"/>
  <c r="K2454" i="40"/>
  <c r="K2455" i="40"/>
  <c r="K2456" i="40"/>
  <c r="K2457" i="40"/>
  <c r="K2458" i="40"/>
  <c r="K2459" i="40"/>
  <c r="K2460" i="40"/>
  <c r="K2461" i="40"/>
  <c r="K2462" i="40"/>
  <c r="K2463" i="40"/>
  <c r="K2464" i="40"/>
  <c r="K2465" i="40"/>
  <c r="K2466" i="40"/>
  <c r="K2467" i="40"/>
  <c r="K2468" i="40"/>
  <c r="K2469" i="40"/>
  <c r="K2470" i="40"/>
  <c r="K2471" i="40"/>
  <c r="K2472" i="40"/>
  <c r="K2473" i="40"/>
  <c r="K2474" i="40"/>
  <c r="K2475" i="40"/>
  <c r="K2476" i="40"/>
  <c r="K2477" i="40"/>
  <c r="K2478" i="40"/>
  <c r="K2479" i="40"/>
  <c r="K2480" i="40"/>
  <c r="K2481" i="40"/>
  <c r="K2482" i="40"/>
  <c r="K2483" i="40"/>
  <c r="K2484" i="40"/>
  <c r="K2485" i="40"/>
  <c r="K2486" i="40"/>
  <c r="K2487" i="40"/>
  <c r="K2488" i="40"/>
  <c r="K2489" i="40"/>
  <c r="K2490" i="40"/>
  <c r="K2491" i="40"/>
  <c r="K2492" i="40"/>
  <c r="K2493" i="40"/>
  <c r="K2494" i="40"/>
  <c r="K2495" i="40"/>
  <c r="K2496" i="40"/>
  <c r="K2497" i="40"/>
  <c r="K2498" i="40"/>
  <c r="K2499" i="40"/>
  <c r="K2500" i="40"/>
  <c r="K2501" i="40"/>
  <c r="K2502" i="40"/>
  <c r="K2503" i="40"/>
  <c r="K2504" i="40"/>
  <c r="K2505" i="40"/>
  <c r="K2506" i="40"/>
  <c r="K2507" i="40"/>
  <c r="K2508" i="40"/>
  <c r="K2509" i="40"/>
  <c r="K2510" i="40"/>
  <c r="K2511" i="40"/>
  <c r="K2512" i="40"/>
  <c r="K2513" i="40"/>
  <c r="K2514" i="40"/>
  <c r="K2515" i="40"/>
  <c r="K2516" i="40"/>
  <c r="K2517" i="40"/>
  <c r="K2518" i="40"/>
  <c r="K2519" i="40"/>
  <c r="K2520" i="40"/>
  <c r="K2521" i="40"/>
  <c r="K2522" i="40"/>
  <c r="K2523" i="40"/>
  <c r="K2524" i="40"/>
  <c r="K2525" i="40"/>
  <c r="K2526" i="40"/>
  <c r="K2527" i="40"/>
  <c r="K2528" i="40"/>
  <c r="K2529" i="40"/>
  <c r="K2530" i="40"/>
  <c r="K2531" i="40"/>
  <c r="K2532" i="40"/>
  <c r="K2533" i="40"/>
  <c r="K2534" i="40"/>
  <c r="K2535" i="40"/>
  <c r="K2536" i="40"/>
  <c r="K2537" i="40"/>
  <c r="K2538" i="40"/>
  <c r="K2539" i="40"/>
  <c r="K2540" i="40"/>
  <c r="K2541" i="40"/>
  <c r="K2542" i="40"/>
  <c r="K2543" i="40"/>
  <c r="K2544" i="40"/>
  <c r="K2545" i="40"/>
  <c r="K2546" i="40"/>
  <c r="K2547" i="40"/>
  <c r="K2548" i="40"/>
  <c r="K2549" i="40"/>
  <c r="K2550" i="40"/>
  <c r="K2551" i="40"/>
  <c r="K2552" i="40"/>
  <c r="K2553" i="40"/>
  <c r="K2554" i="40"/>
  <c r="K2555" i="40"/>
  <c r="K2556" i="40"/>
  <c r="K2557" i="40"/>
  <c r="K2558" i="40"/>
  <c r="K2559" i="40"/>
  <c r="K2560" i="40"/>
  <c r="K2561" i="40"/>
  <c r="K2562" i="40"/>
  <c r="K2563" i="40"/>
  <c r="K2564" i="40"/>
  <c r="K2565" i="40"/>
  <c r="K2566" i="40"/>
  <c r="K2567" i="40"/>
  <c r="K2568" i="40"/>
  <c r="K2569" i="40"/>
  <c r="K2570" i="40"/>
  <c r="K2571" i="40"/>
  <c r="K2572" i="40"/>
  <c r="K2573" i="40"/>
  <c r="K2574" i="40"/>
  <c r="K2575" i="40"/>
  <c r="K2576" i="40"/>
  <c r="K2577" i="40"/>
  <c r="K2578" i="40"/>
  <c r="K2579" i="40"/>
  <c r="K2580" i="40"/>
  <c r="K2581" i="40"/>
  <c r="K2582" i="40"/>
  <c r="K2583" i="40"/>
  <c r="K2584" i="40"/>
  <c r="K2585" i="40"/>
  <c r="K2586" i="40"/>
  <c r="K2587" i="40"/>
  <c r="K2588" i="40"/>
  <c r="K2589" i="40"/>
  <c r="K2590" i="40"/>
  <c r="K2591" i="40"/>
  <c r="K2592" i="40"/>
  <c r="K2593" i="40"/>
  <c r="K2594" i="40"/>
  <c r="K2595" i="40"/>
  <c r="K2596" i="40"/>
  <c r="K2597" i="40"/>
  <c r="K2598" i="40"/>
  <c r="K2599" i="40"/>
  <c r="K2600" i="40"/>
  <c r="K2601" i="40"/>
  <c r="K2602" i="40"/>
  <c r="K2603" i="40"/>
  <c r="K2604" i="40"/>
  <c r="K2605" i="40"/>
  <c r="K2606" i="40"/>
  <c r="K2607" i="40"/>
  <c r="K2608" i="40"/>
  <c r="K2609" i="40"/>
  <c r="K2610" i="40"/>
  <c r="K2611" i="40"/>
  <c r="K2612" i="40"/>
  <c r="K2613" i="40"/>
  <c r="K2614" i="40"/>
  <c r="K2615" i="40"/>
  <c r="K2616" i="40"/>
  <c r="K2617" i="40"/>
  <c r="K2618" i="40"/>
  <c r="K2619" i="40"/>
  <c r="K2620" i="40"/>
  <c r="K2621" i="40"/>
  <c r="K2622" i="40"/>
  <c r="K2623" i="40"/>
  <c r="K2624" i="40"/>
  <c r="K2625" i="40"/>
  <c r="K2626" i="40"/>
  <c r="K2627" i="40"/>
  <c r="K2628" i="40"/>
  <c r="K2629" i="40"/>
  <c r="K2630" i="40"/>
  <c r="K2631" i="40"/>
  <c r="K2632" i="40"/>
  <c r="K2633" i="40"/>
  <c r="K2634" i="40"/>
  <c r="K2635" i="40"/>
  <c r="K2636" i="40"/>
  <c r="K2637" i="40"/>
  <c r="K2638" i="40"/>
  <c r="K2639" i="40"/>
  <c r="K2640" i="40"/>
  <c r="K2641" i="40"/>
  <c r="K2642" i="40"/>
  <c r="K2643" i="40"/>
  <c r="K2644" i="40"/>
  <c r="K2645" i="40"/>
  <c r="K2646" i="40"/>
  <c r="K2647" i="40"/>
  <c r="K2648" i="40"/>
  <c r="K2649" i="40"/>
  <c r="K2650" i="40"/>
  <c r="K2651" i="40"/>
  <c r="K2652" i="40"/>
  <c r="K2653" i="40"/>
  <c r="K2654" i="40"/>
  <c r="K2655" i="40"/>
  <c r="K2656" i="40"/>
  <c r="K2657" i="40"/>
  <c r="K2658" i="40"/>
  <c r="K2659" i="40"/>
  <c r="K2660" i="40"/>
  <c r="K2661" i="40"/>
  <c r="K2662" i="40"/>
  <c r="K2663" i="40"/>
  <c r="K2664" i="40"/>
  <c r="K2665" i="40"/>
  <c r="K2666" i="40"/>
  <c r="K2667" i="40"/>
  <c r="K2668" i="40"/>
  <c r="K2669" i="40"/>
  <c r="K2670" i="40"/>
  <c r="K2671" i="40"/>
  <c r="K2672" i="40"/>
  <c r="K2673" i="40"/>
  <c r="K2674" i="40"/>
  <c r="K2675" i="40"/>
  <c r="K2676" i="40"/>
  <c r="K2677" i="40"/>
  <c r="K2678" i="40"/>
  <c r="K2679" i="40"/>
  <c r="K2680" i="40"/>
  <c r="K2681" i="40"/>
  <c r="K2682" i="40"/>
  <c r="K2683" i="40"/>
  <c r="K2684" i="40"/>
  <c r="K2685" i="40"/>
  <c r="K2686" i="40"/>
  <c r="K2687" i="40"/>
  <c r="K2688" i="40"/>
  <c r="K2689" i="40"/>
  <c r="K2690" i="40"/>
  <c r="K2691" i="40"/>
  <c r="K2692" i="40"/>
  <c r="K2693" i="40"/>
  <c r="K2694" i="40"/>
  <c r="K2695" i="40"/>
  <c r="K2696" i="40"/>
  <c r="K2697" i="40"/>
  <c r="K2698" i="40"/>
  <c r="K2699" i="40"/>
  <c r="K2700" i="40"/>
  <c r="K2701" i="40"/>
  <c r="K2702" i="40"/>
  <c r="K2703" i="40"/>
  <c r="K2704" i="40"/>
  <c r="K2705" i="40"/>
  <c r="K2706" i="40"/>
  <c r="K2707" i="40"/>
  <c r="K2708" i="40"/>
  <c r="K2709" i="40"/>
  <c r="K2710" i="40"/>
  <c r="K2711" i="40"/>
  <c r="K2712" i="40"/>
  <c r="K2713" i="40"/>
  <c r="K2714" i="40"/>
  <c r="K2715" i="40"/>
  <c r="K2716" i="40"/>
  <c r="K2717" i="40"/>
  <c r="K2718" i="40"/>
  <c r="K2719" i="40"/>
  <c r="K2720" i="40"/>
  <c r="K2721" i="40"/>
  <c r="K2722" i="40"/>
  <c r="K2723" i="40"/>
  <c r="K2724" i="40"/>
  <c r="K2725" i="40"/>
  <c r="K2726" i="40"/>
  <c r="K2727" i="40"/>
  <c r="K2728" i="40"/>
  <c r="K2729" i="40"/>
  <c r="K2730" i="40"/>
  <c r="K2731" i="40"/>
  <c r="K2732" i="40"/>
  <c r="K2733" i="40"/>
  <c r="K2734" i="40"/>
  <c r="K2735" i="40"/>
  <c r="K2736" i="40"/>
  <c r="K2737" i="40"/>
  <c r="K2738" i="40"/>
  <c r="K2739" i="40"/>
  <c r="K2740" i="40"/>
  <c r="K2741" i="40"/>
  <c r="K2742" i="40"/>
  <c r="K2743" i="40"/>
  <c r="K2744" i="40"/>
  <c r="K2745" i="40"/>
  <c r="K2746" i="40"/>
  <c r="K2747" i="40"/>
  <c r="K2748" i="40"/>
  <c r="K2749" i="40"/>
  <c r="K2750" i="40"/>
  <c r="K2751" i="40"/>
  <c r="K2752" i="40"/>
  <c r="K2753" i="40"/>
  <c r="K2754" i="40"/>
  <c r="K2755" i="40"/>
  <c r="K2756" i="40"/>
  <c r="K2757" i="40"/>
  <c r="K2758" i="40"/>
  <c r="K2759" i="40"/>
  <c r="K2760" i="40"/>
  <c r="K2761" i="40"/>
  <c r="K2762" i="40"/>
  <c r="K2763" i="40"/>
  <c r="K2764" i="40"/>
  <c r="K2765" i="40"/>
  <c r="K2766" i="40"/>
  <c r="K2767" i="40"/>
  <c r="K2768" i="40"/>
  <c r="K2769" i="40"/>
  <c r="K2770" i="40"/>
  <c r="K2771" i="40"/>
  <c r="K2772" i="40"/>
  <c r="K2773" i="40"/>
  <c r="K2774" i="40"/>
  <c r="K2775" i="40"/>
  <c r="K2776" i="40"/>
  <c r="K2777" i="40"/>
  <c r="K2778" i="40"/>
  <c r="K2779" i="40"/>
  <c r="K2780" i="40"/>
  <c r="K2781" i="40"/>
  <c r="K2782" i="40"/>
  <c r="K2783" i="40"/>
  <c r="K2784" i="40"/>
  <c r="K2785" i="40"/>
  <c r="K2786" i="40"/>
  <c r="K2787" i="40"/>
  <c r="K2788" i="40"/>
  <c r="K2789" i="40"/>
  <c r="K2790" i="40"/>
  <c r="K2791" i="40"/>
  <c r="K2792" i="40"/>
  <c r="K2793" i="40"/>
  <c r="K2794" i="40"/>
  <c r="K2795" i="40"/>
  <c r="K2796" i="40"/>
  <c r="K2797" i="40"/>
  <c r="K2798" i="40"/>
  <c r="K2799" i="40"/>
  <c r="K2800" i="40"/>
  <c r="K2801" i="40"/>
  <c r="K2802" i="40"/>
  <c r="K2803" i="40"/>
  <c r="K2804" i="40"/>
  <c r="K2805" i="40"/>
  <c r="K2806" i="40"/>
  <c r="K2807" i="40"/>
  <c r="K2808" i="40"/>
  <c r="K2809" i="40"/>
  <c r="K2810" i="40"/>
  <c r="K2811" i="40"/>
  <c r="K2812" i="40"/>
  <c r="K2813" i="40"/>
  <c r="K2814" i="40"/>
  <c r="K2815" i="40"/>
  <c r="K2816" i="40"/>
  <c r="K2817" i="40"/>
  <c r="K2818" i="40"/>
  <c r="K2819" i="40"/>
  <c r="K2820" i="40"/>
  <c r="K2821" i="40"/>
  <c r="K2822" i="40"/>
  <c r="K2823" i="40"/>
  <c r="K2824" i="40"/>
  <c r="K2825" i="40"/>
  <c r="K2826" i="40"/>
  <c r="K2827" i="40"/>
  <c r="K2828" i="40"/>
  <c r="K2829" i="40"/>
  <c r="K2830" i="40"/>
  <c r="K2831" i="40"/>
  <c r="K2832" i="40"/>
  <c r="K2833" i="40"/>
  <c r="K2834" i="40"/>
  <c r="K2835" i="40"/>
  <c r="K2836" i="40"/>
  <c r="K2837" i="40"/>
  <c r="K2838" i="40"/>
  <c r="K2839" i="40"/>
  <c r="K2840" i="40"/>
  <c r="K2841" i="40"/>
  <c r="K2842" i="40"/>
  <c r="K2843" i="40"/>
  <c r="K2844" i="40"/>
  <c r="K2845" i="40"/>
  <c r="K2846" i="40"/>
  <c r="K2847" i="40"/>
  <c r="K2848" i="40"/>
  <c r="K2849" i="40"/>
  <c r="K2850" i="40"/>
  <c r="K2851" i="40"/>
  <c r="K2852" i="40"/>
  <c r="K2853" i="40"/>
  <c r="K2854" i="40"/>
  <c r="K2855" i="40"/>
  <c r="K2856" i="40"/>
  <c r="K2857" i="40"/>
  <c r="K2858" i="40"/>
  <c r="K2859" i="40"/>
  <c r="K2860" i="40"/>
  <c r="K2861" i="40"/>
  <c r="K2862" i="40"/>
  <c r="K2863" i="40"/>
  <c r="K2864" i="40"/>
  <c r="K2865" i="40"/>
  <c r="K2866" i="40"/>
  <c r="K2867" i="40"/>
  <c r="K2868" i="40"/>
  <c r="K2869" i="40"/>
  <c r="K2870" i="40"/>
  <c r="K2871" i="40"/>
  <c r="K2872" i="40"/>
  <c r="K2873" i="40"/>
  <c r="K2874" i="40"/>
  <c r="K2875" i="40"/>
  <c r="K2876" i="40"/>
  <c r="K2877" i="40"/>
  <c r="K2878" i="40"/>
  <c r="K2879" i="40"/>
  <c r="K2880" i="40"/>
  <c r="K2881" i="40"/>
  <c r="K2882" i="40"/>
  <c r="K2883" i="40"/>
  <c r="K2884" i="40"/>
  <c r="K2885" i="40"/>
  <c r="K2886" i="40"/>
  <c r="K2887" i="40"/>
  <c r="K2888" i="40"/>
  <c r="K2889" i="40"/>
  <c r="K2890" i="40"/>
  <c r="K2891" i="40"/>
  <c r="K2892" i="40"/>
  <c r="K2893" i="40"/>
  <c r="K2894" i="40"/>
  <c r="K2895" i="40"/>
  <c r="K2896" i="40"/>
  <c r="K2897" i="40"/>
  <c r="K2898" i="40"/>
  <c r="K2899" i="40"/>
  <c r="K2900" i="40"/>
  <c r="K2901" i="40"/>
  <c r="K2902" i="40"/>
  <c r="K2903" i="40"/>
  <c r="K2904" i="40"/>
  <c r="K2905" i="40"/>
  <c r="K2906" i="40"/>
  <c r="K2907" i="40"/>
  <c r="K2908" i="40"/>
  <c r="K2909" i="40"/>
  <c r="K2910" i="40"/>
  <c r="K2911" i="40"/>
  <c r="K2912" i="40"/>
  <c r="K2913" i="40"/>
  <c r="K2914" i="40"/>
  <c r="K2915" i="40"/>
  <c r="K2916" i="40"/>
  <c r="K2917" i="40"/>
  <c r="K2918" i="40"/>
  <c r="K2919" i="40"/>
  <c r="K2920" i="40"/>
  <c r="K2921" i="40"/>
  <c r="K2922" i="40"/>
  <c r="K2923" i="40"/>
  <c r="K2924" i="40"/>
  <c r="K2925" i="40"/>
  <c r="K2926" i="40"/>
  <c r="K2927" i="40"/>
  <c r="K2928" i="40"/>
  <c r="K2929" i="40"/>
  <c r="K2930" i="40"/>
  <c r="K2931" i="40"/>
  <c r="K2932" i="40"/>
  <c r="K2933" i="40"/>
  <c r="K2934" i="40"/>
  <c r="K2935" i="40"/>
  <c r="K2936" i="40"/>
  <c r="K2937" i="40"/>
  <c r="K2938" i="40"/>
  <c r="K2939" i="40"/>
  <c r="K2940" i="40"/>
  <c r="K2941" i="40"/>
  <c r="K2942" i="40"/>
  <c r="K2943" i="40"/>
  <c r="K2944" i="40"/>
  <c r="K2945" i="40"/>
  <c r="K2946" i="40"/>
  <c r="K2947" i="40"/>
  <c r="K2948" i="40"/>
  <c r="K2949" i="40"/>
  <c r="K2950" i="40"/>
  <c r="K2951" i="40"/>
  <c r="K2952" i="40"/>
  <c r="K2953" i="40"/>
  <c r="K2954" i="40"/>
  <c r="K2955" i="40"/>
  <c r="K2956" i="40"/>
  <c r="K2957" i="40"/>
  <c r="K2958" i="40"/>
  <c r="K2959" i="40"/>
  <c r="K2960" i="40"/>
  <c r="K2961" i="40"/>
  <c r="K2962" i="40"/>
  <c r="K2963" i="40"/>
  <c r="K2964" i="40"/>
  <c r="K2965" i="40"/>
  <c r="K2966" i="40"/>
  <c r="K2967" i="40"/>
  <c r="K2968" i="40"/>
  <c r="K2969" i="40"/>
  <c r="K2970" i="40"/>
  <c r="K2971" i="40"/>
  <c r="K2972" i="40"/>
  <c r="K2973" i="40"/>
  <c r="K2974" i="40"/>
  <c r="K2975" i="40"/>
  <c r="K2976" i="40"/>
  <c r="K2977" i="40"/>
  <c r="K2978" i="40"/>
  <c r="K2979" i="40"/>
  <c r="K2980" i="40"/>
  <c r="K2981" i="40"/>
  <c r="K2982" i="40"/>
  <c r="K2983" i="40"/>
  <c r="E27" i="3" l="1"/>
  <c r="C272" i="14" s="1"/>
  <c r="E272" i="14" s="1"/>
  <c r="M33" i="3"/>
  <c r="M36" i="3" s="1"/>
  <c r="M37" i="3" s="1"/>
  <c r="M38" i="3" s="1"/>
  <c r="D63" i="3" s="1"/>
  <c r="E63" i="3" s="1"/>
  <c r="G34" i="3"/>
  <c r="G35" i="3"/>
  <c r="G45" i="3"/>
  <c r="G36" i="3"/>
  <c r="G46" i="3"/>
  <c r="G37" i="3"/>
  <c r="G47" i="3"/>
  <c r="G48" i="3"/>
  <c r="G50" i="3"/>
  <c r="G38" i="3"/>
  <c r="G40" i="3"/>
  <c r="G41" i="3"/>
  <c r="G51" i="3"/>
  <c r="G42" i="3"/>
  <c r="G39" i="3"/>
  <c r="G49" i="3"/>
  <c r="G43" i="3"/>
  <c r="B41" i="22"/>
  <c r="D41" i="22" s="1"/>
  <c r="B43" i="11" s="1"/>
  <c r="B38" i="11"/>
  <c r="J6" i="71"/>
  <c r="E43" i="10"/>
  <c r="O6" i="71" s="1"/>
  <c r="J11" i="71"/>
  <c r="E34" i="8"/>
  <c r="O11" i="71" s="1"/>
  <c r="K10" i="71"/>
  <c r="J10" i="71"/>
  <c r="K13" i="71"/>
  <c r="G46" i="7"/>
  <c r="P13" i="71" s="1"/>
  <c r="C32" i="28"/>
  <c r="C30" i="33" s="1"/>
  <c r="B42" i="33" s="1"/>
  <c r="B37" i="33" s="1"/>
  <c r="E33" i="3"/>
  <c r="H33" i="3" s="1"/>
  <c r="H52" i="3" s="1"/>
  <c r="B54" i="56"/>
  <c r="C39" i="8"/>
  <c r="C34" i="8" s="1"/>
  <c r="G10" i="67"/>
  <c r="E39" i="8"/>
  <c r="L10" i="67" s="1"/>
  <c r="E32" i="57"/>
  <c r="C23" i="57"/>
  <c r="C24" i="57" s="1"/>
  <c r="C73" i="23"/>
  <c r="C74" i="23" s="1"/>
  <c r="B95" i="23" s="1"/>
  <c r="D95" i="23" s="1"/>
  <c r="F30" i="12" s="1"/>
  <c r="F33" i="12" s="1"/>
  <c r="C68" i="23"/>
  <c r="C69" i="23" s="1"/>
  <c r="C245" i="14"/>
  <c r="C291" i="14"/>
  <c r="E291" i="14" s="1"/>
  <c r="C256" i="14"/>
  <c r="E256" i="14" s="1"/>
  <c r="B46" i="21"/>
  <c r="C63" i="23"/>
  <c r="C64" i="23" s="1"/>
  <c r="C58" i="23"/>
  <c r="C59" i="23" s="1"/>
  <c r="B83" i="23" s="1"/>
  <c r="E244" i="14"/>
  <c r="C273" i="14"/>
  <c r="E273" i="14" s="1"/>
  <c r="I37" i="3"/>
  <c r="C278" i="14"/>
  <c r="E278" i="14" s="1"/>
  <c r="I36" i="3"/>
  <c r="C277" i="14"/>
  <c r="E277" i="14" s="1"/>
  <c r="C274" i="14"/>
  <c r="I51" i="3"/>
  <c r="C292" i="14"/>
  <c r="E292" i="14" s="1"/>
  <c r="I35" i="3"/>
  <c r="C276" i="14"/>
  <c r="E276" i="14" s="1"/>
  <c r="I48" i="3"/>
  <c r="C289" i="14"/>
  <c r="E289" i="14" s="1"/>
  <c r="I49" i="3"/>
  <c r="C290" i="14"/>
  <c r="E290" i="14" s="1"/>
  <c r="I47" i="3"/>
  <c r="C288" i="14"/>
  <c r="E288" i="14" s="1"/>
  <c r="I46" i="3"/>
  <c r="C287" i="14"/>
  <c r="E287" i="14" s="1"/>
  <c r="I34" i="3"/>
  <c r="C275" i="14"/>
  <c r="E275" i="14" s="1"/>
  <c r="I43" i="3"/>
  <c r="C284" i="14"/>
  <c r="E284" i="14" s="1"/>
  <c r="I44" i="3"/>
  <c r="C285" i="14"/>
  <c r="E285" i="14" s="1"/>
  <c r="I42" i="3"/>
  <c r="C283" i="14"/>
  <c r="E283" i="14" s="1"/>
  <c r="I41" i="3"/>
  <c r="C282" i="14"/>
  <c r="E282" i="14" s="1"/>
  <c r="I40" i="3"/>
  <c r="C281" i="14"/>
  <c r="E281" i="14" s="1"/>
  <c r="I38" i="3"/>
  <c r="C279" i="14"/>
  <c r="E279" i="14" s="1"/>
  <c r="I39" i="3"/>
  <c r="C280" i="14"/>
  <c r="E280" i="14" s="1"/>
  <c r="I45" i="3"/>
  <c r="C286" i="14"/>
  <c r="E286" i="14" s="1"/>
  <c r="I50" i="3"/>
  <c r="J49" i="3" l="1"/>
  <c r="J34" i="3"/>
  <c r="J39" i="3"/>
  <c r="J36" i="3"/>
  <c r="J40" i="3"/>
  <c r="J35" i="3"/>
  <c r="J42" i="3"/>
  <c r="J41" i="3"/>
  <c r="J51" i="3"/>
  <c r="J45" i="3"/>
  <c r="J47" i="3"/>
  <c r="G44" i="3"/>
  <c r="J44" i="3" s="1"/>
  <c r="J38" i="3"/>
  <c r="J48" i="3"/>
  <c r="J43" i="3"/>
  <c r="H27" i="3"/>
  <c r="I27" i="3" s="1"/>
  <c r="J27" i="3" s="1"/>
  <c r="J37" i="3"/>
  <c r="G32" i="3"/>
  <c r="J32" i="3" s="1"/>
  <c r="J50" i="3"/>
  <c r="J46" i="3"/>
  <c r="J7" i="71"/>
  <c r="E38" i="11"/>
  <c r="O7" i="71" s="1"/>
  <c r="B49" i="56"/>
  <c r="E49" i="56" s="1"/>
  <c r="E54" i="56"/>
  <c r="J14" i="71"/>
  <c r="O14" i="71"/>
  <c r="F63" i="3"/>
  <c r="G63" i="3" s="1"/>
  <c r="K11" i="71"/>
  <c r="G34" i="8"/>
  <c r="P11" i="71" s="1"/>
  <c r="D58" i="3"/>
  <c r="J12" i="71"/>
  <c r="E37" i="33"/>
  <c r="O12" i="71" s="1"/>
  <c r="C87" i="28"/>
  <c r="E87" i="28" s="1"/>
  <c r="M12" i="71"/>
  <c r="F42" i="33"/>
  <c r="F37" i="33" s="1"/>
  <c r="J11" i="67"/>
  <c r="D46" i="21"/>
  <c r="C30" i="10" s="1"/>
  <c r="B48" i="10" s="1"/>
  <c r="C48" i="10" s="1"/>
  <c r="H10" i="67"/>
  <c r="G39" i="8"/>
  <c r="M10" i="67" s="1"/>
  <c r="C43" i="11"/>
  <c r="E43" i="11"/>
  <c r="E245" i="14"/>
  <c r="G13" i="67"/>
  <c r="L13" i="67"/>
  <c r="C54" i="56"/>
  <c r="M10" i="71"/>
  <c r="G6" i="67"/>
  <c r="C31" i="11"/>
  <c r="D83" i="23"/>
  <c r="C30" i="12" s="1"/>
  <c r="C33" i="12" s="1"/>
  <c r="B91" i="23"/>
  <c r="D91" i="23" s="1"/>
  <c r="E30" i="12" s="1"/>
  <c r="E33" i="12" s="1"/>
  <c r="B87" i="23"/>
  <c r="D87" i="23" s="1"/>
  <c r="D30" i="12" s="1"/>
  <c r="D33" i="12" s="1"/>
  <c r="E274" i="14"/>
  <c r="I33" i="3"/>
  <c r="I52" i="3"/>
  <c r="G33" i="3" l="1"/>
  <c r="J33" i="3" s="1"/>
  <c r="G43" i="11"/>
  <c r="C38" i="11"/>
  <c r="C49" i="56"/>
  <c r="G49" i="56" s="1"/>
  <c r="G54" i="56"/>
  <c r="K14" i="71"/>
  <c r="P14" i="71"/>
  <c r="E58" i="3"/>
  <c r="O10" i="71" s="1"/>
  <c r="G48" i="10"/>
  <c r="C43" i="10"/>
  <c r="C42" i="33"/>
  <c r="N12" i="71"/>
  <c r="K11" i="67"/>
  <c r="B46" i="12"/>
  <c r="G5" i="67"/>
  <c r="F58" i="3"/>
  <c r="E48" i="10"/>
  <c r="L5" i="67" s="1"/>
  <c r="H13" i="67"/>
  <c r="M13" i="67"/>
  <c r="G11" i="67"/>
  <c r="J9" i="67"/>
  <c r="L6" i="67"/>
  <c r="G52" i="3" l="1"/>
  <c r="K7" i="71"/>
  <c r="G38" i="11"/>
  <c r="P7" i="71" s="1"/>
  <c r="G58" i="3"/>
  <c r="P10" i="71" s="1"/>
  <c r="K6" i="71"/>
  <c r="G43" i="10"/>
  <c r="P6" i="71" s="1"/>
  <c r="C46" i="12"/>
  <c r="B41" i="12"/>
  <c r="H11" i="67"/>
  <c r="C37" i="33"/>
  <c r="E42" i="33"/>
  <c r="L11" i="67" s="1"/>
  <c r="G42" i="33"/>
  <c r="M11" i="67" s="1"/>
  <c r="H9" i="67"/>
  <c r="M9" i="67"/>
  <c r="G9" i="67"/>
  <c r="L9" i="67"/>
  <c r="N10" i="71"/>
  <c r="H7" i="67"/>
  <c r="E46" i="12"/>
  <c r="L7" i="67" s="1"/>
  <c r="G7" i="67"/>
  <c r="M6" i="67"/>
  <c r="H6" i="67"/>
  <c r="H5" i="67"/>
  <c r="M5" i="67"/>
  <c r="K9" i="67"/>
  <c r="J8" i="71" l="1"/>
  <c r="D24" i="71" s="1"/>
  <c r="E41" i="12"/>
  <c r="O8" i="71" s="1"/>
  <c r="G46" i="12"/>
  <c r="M7" i="67" s="1"/>
  <c r="C41" i="12"/>
  <c r="K12" i="71"/>
  <c r="G37" i="33"/>
  <c r="P12" i="71" s="1"/>
  <c r="C60" i="73"/>
  <c r="C34" i="35"/>
  <c r="C35" i="35" s="1"/>
  <c r="C43" i="35" s="1"/>
  <c r="I43" i="35" s="1"/>
  <c r="C26" i="37" s="1"/>
  <c r="G43" i="35"/>
  <c r="H43" i="35" s="1"/>
  <c r="C27" i="37" s="1"/>
  <c r="E33" i="37" s="1"/>
  <c r="E34" i="37" s="1"/>
  <c r="K8" i="71" l="1"/>
  <c r="G41" i="12"/>
  <c r="P8" i="71" s="1"/>
  <c r="E32" i="37"/>
  <c r="B45" i="37" s="1"/>
  <c r="B40" i="37" s="1"/>
  <c r="J15" i="71" s="1"/>
  <c r="D45" i="37"/>
  <c r="F45" i="37"/>
  <c r="G14" i="67"/>
  <c r="C45" i="37"/>
  <c r="F40" i="37" l="1"/>
  <c r="G45" i="37"/>
  <c r="D40" i="37"/>
  <c r="E40" i="37" s="1"/>
  <c r="E45" i="37"/>
  <c r="M15" i="71"/>
  <c r="O15" i="71"/>
  <c r="H14" i="67"/>
  <c r="C40" i="37"/>
  <c r="K15" i="71" s="1"/>
  <c r="D23" i="67"/>
  <c r="K14" i="67"/>
  <c r="M14" i="67"/>
  <c r="D24" i="67"/>
  <c r="J14" i="67"/>
  <c r="L14" i="67"/>
  <c r="N15" i="71" l="1"/>
  <c r="G40" i="37"/>
  <c r="P15" i="71"/>
  <c r="D45" i="67"/>
  <c r="D46" i="67" s="1"/>
  <c r="D21" i="67"/>
  <c r="D22" i="67"/>
  <c r="D48" i="6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tc={807D3E06-A2D9-4498-8B62-3946D8740CE3}</author>
  </authors>
  <commentList>
    <comment ref="B28" authorId="0" shapeId="0" xr:uid="{807D3E06-A2D9-4498-8B62-3946D8740CE3}">
      <text>
        <t>[Threaded comment]
Your version of Excel allows you to read this threaded comment; however, any edits to it will get removed if the file is opened in a newer version of Excel. Learn more: https://go.microsoft.com/fwlink/?linkid=870924
Comment:
    This cost information is a high level estimate based on the costs of going from 4 trains per hour to 6 trains per hour in Caltrain's Strategic Financial Plan Update
Slide 16 of this deck:  Caltrain Update Bay Area Caucus Session February 1, 2023 
Reply:
    Caltrain mentioned that rail is a high fixed cost operation, so these costs may be lower</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tc={EA481480-ED34-445A-A3E7-8385970A83D4}</author>
  </authors>
  <commentList>
    <comment ref="C27" authorId="0" shapeId="0" xr:uid="{EA481480-ED34-445A-A3E7-8385970A83D4}">
      <text>
        <t>[Threaded comment]
Your version of Excel allows you to read this threaded comment; however, any edits to it will get removed if the file is opened in a newer version of Excel. Learn more: https://go.microsoft.com/fwlink/?linkid=870924
Comment:
    High end of a $25 to $75 per household cost estimate provided by a Sacramento based TMO</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tc={5E80035D-61CA-429E-A634-4F07192E1B49}</author>
    <author>tc={62057E22-7FA1-42FE-AC41-B58A6DE546DB}</author>
  </authors>
  <commentList>
    <comment ref="H25" authorId="0" shapeId="0" xr:uid="{5E80035D-61CA-429E-A634-4F07192E1B49}">
      <text>
        <t>[Threaded comment]
Your version of Excel allows you to read this threaded comment; however, any edits to it will get removed if the file is opened in a newer version of Excel. Learn more: https://go.microsoft.com/fwlink/?linkid=870924
Comment:
    This number is from a cost estimate calculated using bike share cost information from Washington DC's Capital Bikeshare and LA Metro's Metro Bike Share</t>
      </text>
    </comment>
    <comment ref="H26" authorId="1" shapeId="0" xr:uid="{62057E22-7FA1-42FE-AC41-B58A6DE546DB}">
      <text>
        <t>[Threaded comment]
Your version of Excel allows you to read this threaded comment; however, any edits to it will get removed if the file is opened in a newer version of Excel. Learn more: https://go.microsoft.com/fwlink/?linkid=870924
Comment:
    This number is just the same as the e-bike price - it assumes that these devices have similar maintenance/recharge/rebalancing costs</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tc={5ED1A4FC-87E6-4460-BE3D-28819D19AB74}</author>
  </authors>
  <commentList>
    <comment ref="K24" authorId="0" shapeId="0" xr:uid="{5ED1A4FC-87E6-4460-BE3D-28819D19AB74}">
      <text>
        <t>[Threaded comment]
Your version of Excel allows you to read this threaded comment; however, any edits to it will get removed if the file is opened in a newer version of Excel. Learn more: https://go.microsoft.com/fwlink/?linkid=870924
Comment:
    Cost estimate based on LA Metro board report. Their RSH costs were 24% lower than fixed route transit. This reduction was applied to the SamTrans RSH cost. 
https://boardarchives.metro.net/BoardBox/2023/230620_MicroTransit_Pilot_Project_Update_Report.pdf</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tc={98CECB9B-700C-4C5F-BFD2-7D9651FA62B2}</author>
    <author>tc={E59C99AD-9359-469C-B11C-ECC3AC0F51D9}</author>
  </authors>
  <commentList>
    <comment ref="J23" authorId="0" shapeId="0" xr:uid="{98CECB9B-700C-4C5F-BFD2-7D9651FA62B2}">
      <text>
        <t>[Threaded comment]
Your version of Excel allows you to read this threaded comment; however, any edits to it will get removed if the file is opened in a newer version of Excel. Learn more: https://go.microsoft.com/fwlink/?linkid=870924
Comment:
    Source: RICAPS</t>
      </text>
    </comment>
    <comment ref="J29" authorId="1" shapeId="0" xr:uid="{E59C99AD-9359-469C-B11C-ECC3AC0F51D9}">
      <text>
        <t>[Threaded comment]
Your version of Excel allows you to read this threaded comment; however, any edits to it will get removed if the file is opened in a newer version of Excel. Learn more: https://go.microsoft.com/fwlink/?linkid=870924
Comment:
    https://promiseelectric.com/understanding-the-lifespan-of-ev-chargers/</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tc={1020718B-9CE6-48EB-9136-9A36FC69A00E}</author>
  </authors>
  <commentList>
    <comment ref="M23" authorId="0" shapeId="0" xr:uid="{1020718B-9CE6-48EB-9136-9A36FC69A00E}">
      <text>
        <t>[Threaded comment]
Your version of Excel allows you to read this threaded comment; however, any edits to it will get removed if the file is opened in a newer version of Excel. Learn more: https://go.microsoft.com/fwlink/?linkid=870924
Comment:
    Cost estimates are from 2021 C/CAG San Mateo County Countywide Bicycle and Pedestrian Plan, with added 5% per year 
escalation (same escalation assumption as Plan)
https://ccag.ca.gov/wp-content/uploads/2021/05/6_A1_San-Mateo-County-Comprehensive-Bicycle-and-Pedestrian-Plan-Update-Final-Plan.pdf</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tc={E4FB68EC-AF09-4C31-BFE9-71649E5F1901}</author>
    <author>tc={A5F8C21E-A2FF-4D9A-AAE2-EFA6480EBE69}</author>
  </authors>
  <commentList>
    <comment ref="H33" authorId="0" shapeId="0" xr:uid="{E4FB68EC-AF09-4C31-BFE9-71649E5F1901}">
      <text>
        <t>[Threaded comment]
Your version of Excel allows you to read this threaded comment; however, any edits to it will get removed if the file is opened in a newer version of Excel. Learn more: https://go.microsoft.com/fwlink/?linkid=870924
Comment:
    From Appendix C (Pg C-3) of CAPCOA report ttps://www.airquality.org/ClimateChange/Documents/Final%20Handbook_AB434.pdf</t>
      </text>
    </comment>
    <comment ref="B35" authorId="1" shapeId="0" xr:uid="{A5F8C21E-A2FF-4D9A-AAE2-EFA6480EBE69}">
      <text>
        <t>[Threaded comment]
Your version of Excel allows you to read this threaded comment; however, any edits to it will get removed if the file is opened in a newer version of Excel. Learn more: https://go.microsoft.com/fwlink/?linkid=870924
Comment:
    Cost estimates are from 2021 C/CAG San Mateo County Countywide Bicycle and Pedestrian Plan, with added 5% per year 
escalation (same escalation assumption as Plan)
https://ccag.ca.gov/wp-content/uploads/2021/05/6_A1_San-Mateo-County-Comprehensive-Bicycle-and-Pedestrian-Plan-Update-Final-Plan.pdf</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tc={E36064BC-C087-4EA5-889D-F963F72A2285}</author>
  </authors>
  <commentList>
    <comment ref="G20" authorId="0" shapeId="0" xr:uid="{E36064BC-C087-4EA5-889D-F963F72A2285}">
      <text>
        <t>[Threaded comment]
Your version of Excel allows you to read this threaded comment; however, any edits to it will get removed if the file is opened in a newer version of Excel. Learn more: https://go.microsoft.com/fwlink/?linkid=870924
Comment:
    Cost of pedestrian hybrid beacon in 2021 C/CAG San Mateo County Countywide Bicycle and Pedestrian Plan with 5% annual cost escalation applied (same escalation rate was used in plan)
https://ccag.ca.gov/wp-content/uploads/2021/05/6_A1_San-Mateo-County-Comprehensive-Bicycle-and-Pedestrian-Plan-Update-Final-Plan.pdf</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tc={8ECCC398-45CF-467A-B9C6-F09717BCA47D}</author>
  </authors>
  <commentList>
    <comment ref="B26" authorId="0" shapeId="0" xr:uid="{8ECCC398-45CF-467A-B9C6-F09717BCA47D}">
      <text>
        <t>[Threaded comment]
Your version of Excel allows you to read this threaded comment; however, any edits to it will get removed if the file is opened in a newer version of Excel. Learn more: https://go.microsoft.com/fwlink/?linkid=870924
Comment:
    See "Action 14 Data" tab for detailed rough cost estimate calculations</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tc={171FAB5E-AF5E-4B82-8B7C-3C9F77455E80}</author>
    <author>tc={CCC69508-AE6E-4015-8442-C3E40BF8756E}</author>
    <author>tc={30EC73C6-243E-4E52-BF20-BFB510DBF3D7}</author>
  </authors>
  <commentList>
    <comment ref="C46" authorId="0" shapeId="0" xr:uid="{171FAB5E-AF5E-4B82-8B7C-3C9F77455E80}">
      <text>
        <t>[Threaded comment]
Your version of Excel allows you to read this threaded comment; however, any edits to it will get removed if the file is opened in a newer version of Excel. Learn more: https://go.microsoft.com/fwlink/?linkid=870924
Comment:
    Based on general daily VMT to annual VMT conversion rate. 
This could be reduced to 255 days if the service increase is weekday only</t>
      </text>
    </comment>
    <comment ref="B81" authorId="1" shapeId="0" xr:uid="{CCC69508-AE6E-4015-8442-C3E40BF8756E}">
      <text>
        <t>[Threaded comment]
Your version of Excel allows you to read this threaded comment; however, any edits to it will get removed if the file is opened in a newer version of Excel. Learn more: https://go.microsoft.com/fwlink/?linkid=870924
Comment:
    Regular service only - does not include College Park station</t>
      </text>
    </comment>
    <comment ref="B82" authorId="2" shapeId="0" xr:uid="{30EC73C6-243E-4E52-BF20-BFB510DBF3D7}">
      <text>
        <t>[Threaded comment]
Your version of Excel allows you to read this threaded comment; however, any edits to it will get removed if the file is opened in a newer version of Excel. Learn more: https://go.microsoft.com/fwlink/?linkid=870924
Comment:
    Caltrain's electrification plans have two express service patterns: A and B. These two different options serve different numbers of stations.
Pattern A was assumed for this analysis, as pattern B is a more Santa Clara County focused service</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tc={A533399B-21D6-4AC5-ACCB-F5D510BAFEBD}</author>
  </authors>
  <commentList>
    <comment ref="C15" authorId="0" shapeId="0" xr:uid="{A533399B-21D6-4AC5-ACCB-F5D510BAFEBD}">
      <text>
        <t>[Threaded comment]
Your version of Excel allows you to read this threaded comment; however, any edits to it will get removed if the file is opened in a newer version of Excel. Learn more: https://go.microsoft.com/fwlink/?linkid=870924
Comment:
    From ECR stop area TAZs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tc={05361915-21DE-47CB-B89F-AA0DEE7A7200}</author>
    <author>tc={1AAA51B9-AAD1-4EBB-9467-605B24E3E786}</author>
  </authors>
  <commentList>
    <comment ref="M25" authorId="0" shapeId="0" xr:uid="{05361915-21DE-47CB-B89F-AA0DEE7A7200}">
      <text>
        <t>[Threaded comment]
Your version of Excel allows you to read this threaded comment; however, any edits to it will get removed if the file is opened in a newer version of Excel. Learn more: https://go.microsoft.com/fwlink/?linkid=870924
Comment:
    Based on the estimated per mile cost of bus lanes, curb extensions, and traffic signal modifications listed for 25 miles of improvements in the SamTrans Bus Speed and Reliability Study. 
This cost does not include pedestrian gap closures.
https://www.samtrans.com/ECRStudy</t>
      </text>
    </comment>
    <comment ref="M26" authorId="1" shapeId="0" xr:uid="{1AAA51B9-AAD1-4EBB-9467-605B24E3E786}">
      <text>
        <t>[Threaded comment]
Your version of Excel allows you to read this threaded comment; however, any edits to it will get removed if the file is opened in a newer version of Excel. Learn more: https://go.microsoft.com/fwlink/?linkid=870924
Comment:
    Lower end of expected travel time savings in SamTrans El Camino Real Bus Speed and Reliability Study (25-30%)
https://www.samtrans.com/media/25335/download?inline</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tc={9A345B09-8A60-4F42-B3C3-F3F5669C426C}</author>
  </authors>
  <commentList>
    <comment ref="D16" authorId="0" shapeId="0" xr:uid="{9A345B09-8A60-4F42-B3C3-F3F5669C426C}">
      <text>
        <t>[Threaded comment]
Your version of Excel allows you to read this threaded comment; however, any edits to it will get removed if the file is opened in a newer version of Excel. Learn more: https://go.microsoft.com/fwlink/?linkid=870924
Comment:
    Some housing sites were in multiple TAZs. In these cases, there was a clear TAZ to choose from, and almost all of the parcel's area was in a single TAZ</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tc={E32482A7-F826-4DCE-A2FD-4BD5774E0B98}</author>
    <author>tc={A7EBCEB0-C802-47F9-86B3-AF37E6B94507}</author>
    <author>tc={E531AF02-4933-4281-AF51-98124354234A}</author>
  </authors>
  <commentList>
    <comment ref="B28" authorId="0" shapeId="0" xr:uid="{E32482A7-F826-4DCE-A2FD-4BD5774E0B98}">
      <text>
        <t>[Threaded comment]
Your version of Excel allows you to read this threaded comment; however, any edits to it will get removed if the file is opened in a newer version of Excel. Learn more: https://go.microsoft.com/fwlink/?linkid=870924
Comment:
    Page 10 of this document
https://ww2.arb.ca.gov/sites/default/files/auction-proceeds/bicycle_facilities_technical_041519.pdf</t>
      </text>
    </comment>
    <comment ref="B36" authorId="1" shapeId="0" xr:uid="{A7EBCEB0-C802-47F9-86B3-AF37E6B94507}">
      <text>
        <t>[Threaded comment]
Your version of Excel allows you to read this threaded comment; however, any edits to it will get removed if the file is opened in a newer version of Excel. Learn more: https://go.microsoft.com/fwlink/?linkid=870924
Comment:
    From Appendix C (Pg C-3) of CAPCOA report ttps://www.airquality.org/ClimateChange/Documents/Final%20Handbook_AB434.pdf</t>
      </text>
    </comment>
    <comment ref="E96" authorId="2" shapeId="0" xr:uid="{E531AF02-4933-4281-AF51-98124354234A}">
      <text>
        <t>[Threaded comment]
Your version of Excel allows you to read this threaded comment; however, any edits to it will get removed if the file is opened in a newer version of Excel. Learn more: https://go.microsoft.com/fwlink/?linkid=870924
Comment:
    Subtracts the segment near El Granada where the facility is Class I NB and Class II SB
Only accounting for Class II in this segment for a more conservative estimate</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tc={B5F754A2-8B71-415F-887D-1C209F726C31}</author>
    <author>tc={40DEF590-B52C-42A5-940A-F33B5ECD51F9}</author>
    <author>tc={9BB65656-64E2-461C-8E3B-8171337DADF2}</author>
  </authors>
  <commentList>
    <comment ref="B6" authorId="0" shapeId="0" xr:uid="{B5F754A2-8B71-415F-887D-1C209F726C31}">
      <text>
        <t>[Threaded comment]
Your version of Excel allows you to read this threaded comment; however, any edits to it will get removed if the file is opened in a newer version of Excel. Learn more: https://go.microsoft.com/fwlink/?linkid=870924
Comment:
    Page 10 of this document
https://ww2.arb.ca.gov/sites/default/files/auction-proceeds/bicycle_facilities_technical_041519.pdf</t>
      </text>
    </comment>
    <comment ref="B14" authorId="1" shapeId="0" xr:uid="{40DEF590-B52C-42A5-940A-F33B5ECD51F9}">
      <text>
        <t>[Threaded comment]
Your version of Excel allows you to read this threaded comment; however, any edits to it will get removed if the file is opened in a newer version of Excel. Learn more: https://go.microsoft.com/fwlink/?linkid=870924
Comment:
    From Appendix C (Pg C-3) of CAPCOA report ttps://www.airquality.org/ClimateChange/Documents/Final%20Handbook_AB434.pdf</t>
      </text>
    </comment>
    <comment ref="B58" authorId="2" shapeId="0" xr:uid="{9BB65656-64E2-461C-8E3B-8171337DADF2}">
      <text>
        <t>[Threaded comment]
Your version of Excel allows you to read this threaded comment; however, any edits to it will get removed if the file is opened in a newer version of Excel. Learn more: https://go.microsoft.com/fwlink/?linkid=870924
Comment:
    FHWA constant variable</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tc={F8184D2B-074E-4C87-9C2B-74315DA92205}</author>
    <author>tc={E0169009-CE16-4E55-B343-335FA7DD6159}</author>
  </authors>
  <commentList>
    <comment ref="D3" authorId="0" shapeId="0" xr:uid="{F8184D2B-074E-4C87-9C2B-74315DA92205}">
      <text>
        <t>[Threaded comment]
Your version of Excel allows you to read this threaded comment; however, any edits to it will get removed if the file is opened in a newer version of Excel. Learn more: https://go.microsoft.com/fwlink/?linkid=870924
Comment:
    Some housing sites were in multiple TAZs. In these cases, there was a clear TAZ to choose from, and almost all of the parcel's area was in a single TAZ</t>
      </text>
    </comment>
    <comment ref="D35" authorId="1" shapeId="0" xr:uid="{E0169009-CE16-4E55-B343-335FA7DD6159}">
      <text>
        <t>[Threaded comment]
Your version of Excel allows you to read this threaded comment; however, any edits to it will get removed if the file is opened in a newer version of Excel. Learn more: https://go.microsoft.com/fwlink/?linkid=870924
Comment:
    Some housing sites were in multiple TAZs. In these cases, there was a clear TAZ to choose from, and almost all of the parcel's area was in a single TAZ</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tc={4AC5D4B5-26B2-49C4-AB25-65787C4C5C06}</author>
  </authors>
  <commentList>
    <comment ref="A4" authorId="0" shapeId="0" xr:uid="{4AC5D4B5-26B2-49C4-AB25-65787C4C5C06}">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tc={806C1C13-5193-4AB6-80A3-3886B6B769FF}</author>
  </authors>
  <commentList>
    <comment ref="A4" authorId="0" shapeId="0" xr:uid="{806C1C13-5193-4AB6-80A3-3886B6B769FF}">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tc={1D6CC4E5-F705-4A32-BD74-1088408DAB82}</author>
  </authors>
  <commentList>
    <comment ref="A4" authorId="0" shapeId="0" xr:uid="{1D6CC4E5-F705-4A32-BD74-1088408DAB82}">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tc={9F65FA6D-DCA4-4DD4-9297-E80CA03A7431}</author>
  </authors>
  <commentList>
    <comment ref="A4" authorId="0" shapeId="0" xr:uid="{9F65FA6D-DCA4-4DD4-9297-E80CA03A7431}">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tc={1B98D6DD-74F8-4987-A99C-4D6963300605}</author>
  </authors>
  <commentList>
    <comment ref="A4" authorId="0" shapeId="0" xr:uid="{1B98D6DD-74F8-4987-A99C-4D6963300605}">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tc={910FC238-42E1-4B4E-9AB4-7D0E628A3540}</author>
  </authors>
  <commentList>
    <comment ref="A4" authorId="0" shapeId="0" xr:uid="{910FC238-42E1-4B4E-9AB4-7D0E628A3540}">
      <text>
        <t>[Threaded comment]
Your version of Excel allows you to read this threaded comment; however, any edits to it will get removed if the file is opened in a newer version of Excel. Learn more: https://go.microsoft.com/fwlink/?linkid=870924
Comment:
    Found using ArcGIS Pro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tc={3D9C254F-78FE-4DD8-8D17-E8308C6248C4}</author>
    <author>tc={F484B4FF-DE65-4B21-A01C-8142133E7278}</author>
  </authors>
  <commentList>
    <comment ref="J25" authorId="0" shapeId="0" xr:uid="{3D9C254F-78FE-4DD8-8D17-E8308C6248C4}">
      <text>
        <t>[Threaded comment]
Your version of Excel allows you to read this threaded comment; however, any edits to it will get removed if the file is opened in a newer version of Excel. Learn more: https://go.microsoft.com/fwlink/?linkid=870924
Comment:
    Estimate based on a series of sources, including
$737,417 per unit in Bay Area in 2019 
http://www.bayareaeconomy.org/how-much-does-it-cost-to-produce-one-unit-of-below-market-housing-in-the-bay-area/
Reply:
    More than $1.2M in SF (2022) https://www.sfchronicle.com/sf/article/it-now-costs-more-than-1-2-million-to-build-a-17463355.php
Reply:
    More than $1M a unit (2022) 
https://therealdeal.com/sanfrancisco/2022/06/22/development-costs-on-bay-area-affordable-resi-tops-1-million-per-apartment/</t>
      </text>
    </comment>
    <comment ref="I26" authorId="1" shapeId="0" xr:uid="{F484B4FF-DE65-4B21-A01C-8142133E7278}">
      <text>
        <t>[Threaded comment]
Your version of Excel allows you to read this threaded comment; however, any edits to it will get removed if the file is opened in a newer version of Excel. Learn more: https://go.microsoft.com/fwlink/?linkid=870924
Comment:
    Is the mitigation program funding an entire dwelling unit? Or does the affordable housing development have other funding soruces?
Select "YES" if project already has some funding and "NO" if it does not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tc={41E2C6D9-F153-412F-A1E5-CD2631EEA9EF}</author>
    <author>tc={FEA5F428-CE8C-403A-926A-A986F735A5D3}</author>
    <author>tc={E4CF1A88-1D68-4DA7-8685-E355BBB5DB95}</author>
  </authors>
  <commentList>
    <comment ref="M32" authorId="0" shapeId="0" xr:uid="{41E2C6D9-F153-412F-A1E5-CD2631EEA9EF}">
      <text>
        <t>[Threaded comment]
Your version of Excel allows you to read this threaded comment; however, any edits to it will get removed if the file is opened in a newer version of Excel. Learn more: https://go.microsoft.com/fwlink/?linkid=870924
Comment:
    Based on MTC estimated program subsidy of $11M per year - MTC Resolution #4320
https://mtc.ca.gov/sites/default/files/documents/2021-06/RES-4320_approved.pdf
And based on MTC figure of 13,800 estimated active program users
https://blog.bayareametro.gov/posts/clipperr-start-pilot-extended-through-june-30-2025</t>
      </text>
    </comment>
    <comment ref="M34" authorId="1" shapeId="0" xr:uid="{FEA5F428-CE8C-403A-926A-A986F735A5D3}">
      <text>
        <t>[Threaded comment]
Your version of Excel allows you to read this threaded comment; however, any edits to it will get removed if the file is opened in a newer version of Excel. Learn more: https://go.microsoft.com/fwlink/?linkid=870924
Comment:
    https://www.clipperstartcard.com/s/
"50% off all Bay Area transit"</t>
      </text>
    </comment>
    <comment ref="M35" authorId="2" shapeId="0" xr:uid="{E4CF1A88-1D68-4DA7-8685-E355BBB5DB95}">
      <text>
        <t xml:space="preserve">[Threaded comment]
Your version of Excel allows you to read this threaded comment; however, any edits to it will get removed if the file is opened in a newer version of Excel. Learn more: https://go.microsoft.com/fwlink/?linkid=870924
Comment:
    Estimated percentage of San Mateo County residents who earn under 200% of the federal poverty line
https://ccag.ca.gov/wp-content/uploads/2023/07/5.1-A3-SoutheastSanMateo_CBTP_2-9-2023_FINAL-1.pdf
Reply:
    This 19% number is countywide and will need to be adjusted, if selecting a single city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tc={BA362C68-F530-4E65-95AA-EA3680B3FFBF}</author>
    <author>tc={3F44A7AD-7197-49C0-A13A-CE3133A258CE}</author>
    <author>tc={14213C28-515A-43A1-BCDD-FBB421BF0226}</author>
  </authors>
  <commentList>
    <comment ref="C28" authorId="0" shapeId="0" xr:uid="{BA362C68-F530-4E65-95AA-EA3680B3FFBF}">
      <text>
        <t>[Threaded comment]
Your version of Excel allows you to read this threaded comment; however, any edits to it will get removed if the file is opened in a newer version of Excel. Learn more: https://go.microsoft.com/fwlink/?linkid=870924
Comment:
    Based on MTC estimated program subsidy of $11M per year - MTC Resolution #4320
https://mtc.ca.gov/sites/default/files/documents/2021-06/RES-4320_approved.pdf
And based on MTC figure of 13,800 estimated active program users
https://blog.bayareametro.gov/posts/clipperr-start-pilot-extended-through-june-30-2025</t>
      </text>
    </comment>
    <comment ref="C29" authorId="1" shapeId="0" xr:uid="{3F44A7AD-7197-49C0-A13A-CE3133A258CE}">
      <text>
        <t>[Threaded comment]
Your version of Excel allows you to read this threaded comment; however, any edits to it will get removed if the file is opened in a newer version of Excel. Learn more: https://go.microsoft.com/fwlink/?linkid=870924
Comment:
    https://www.clipperstartcard.com/s/
"50% off all Bay Area transit"</t>
      </text>
    </comment>
    <comment ref="B35" authorId="2" shapeId="0" xr:uid="{14213C28-515A-43A1-BCDD-FBB421BF0226}">
      <text>
        <t>[Threaded comment]
Your version of Excel allows you to read this threaded comment; however, any edits to it will get removed if the file is opened in a newer version of Excel. Learn more: https://go.microsoft.com/fwlink/?linkid=870924
Comment:
    Daily VMT is typically used to analyze land use projects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tc={0A03904D-7417-4A61-8F91-02556E8E95CA}</author>
    <author>tc={0A777744-A3F8-4980-8D32-E61BAC00CA39}</author>
    <author>tc={2270C778-60C9-4699-9AAD-982F49DF2AC4}</author>
    <author>tc={698CE0BE-3B25-4784-97E2-6C478271AE5C}</author>
    <author>tc={B4086BE4-60AE-4297-BE6E-7CD09F664EB8}</author>
  </authors>
  <commentList>
    <comment ref="B3" authorId="0" shapeId="0" xr:uid="{0A03904D-7417-4A61-8F91-02556E8E95CA}">
      <text>
        <t>[Threaded comment]
Your version of Excel allows you to read this threaded comment; however, any edits to it will get removed if the file is opened in a newer version of Excel. Learn more: https://go.microsoft.com/fwlink/?linkid=870924
Comment:
    Not in SMC = The CCAG model TAZ is outside of San Mateo County</t>
      </text>
    </comment>
    <comment ref="E3" authorId="1" shapeId="0" xr:uid="{0A777744-A3F8-4980-8D32-E61BAC00CA39}">
      <text>
        <t>[Threaded comment]
Your version of Excel allows you to read this threaded comment; however, any edits to it will get removed if the file is opened in a newer version of Excel. Learn more: https://go.microsoft.com/fwlink/?linkid=870924
Comment:
    Drive Alone</t>
      </text>
    </comment>
    <comment ref="F3" authorId="2" shapeId="0" xr:uid="{2270C778-60C9-4699-9AAD-982F49DF2AC4}">
      <text>
        <t>[Threaded comment]
Your version of Excel allows you to read this threaded comment; however, any edits to it will get removed if the file is opened in a newer version of Excel. Learn more: https://go.microsoft.com/fwlink/?linkid=870924
Comment:
    Shared Ride (auto)</t>
      </text>
    </comment>
    <comment ref="G3" authorId="3" shapeId="0" xr:uid="{698CE0BE-3B25-4784-97E2-6C478271AE5C}">
      <text>
        <t>[Threaded comment]
Your version of Excel allows you to read this threaded comment; however, any edits to it will get removed if the file is opened in a newer version of Excel. Learn more: https://go.microsoft.com/fwlink/?linkid=870924
Comment:
    Transit</t>
      </text>
    </comment>
    <comment ref="J3" authorId="4" shapeId="0" xr:uid="{B4086BE4-60AE-4297-BE6E-7CD09F664EB8}">
      <text>
        <t>[Threaded comment]
Your version of Excel allows you to read this threaded comment; however, any edits to it will get removed if the file is opened in a newer version of Excel. Learn more: https://go.microsoft.com/fwlink/?linkid=870924
Comment:
    Total</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tc={FABA721A-5BCF-49B0-9043-A68F11B1DD24}</author>
    <author>tc={4974B44F-B07C-4447-B8EE-606B95FA774F}</author>
  </authors>
  <commentList>
    <comment ref="L3" authorId="0" shapeId="0" xr:uid="{FABA721A-5BCF-49B0-9043-A68F11B1DD24}">
      <text>
        <t>[Threaded comment]
Your version of Excel allows you to read this threaded comment; however, any edits to it will get removed if the file is opened in a newer version of Excel. Learn more: https://go.microsoft.com/fwlink/?linkid=870924
Comment:
    I verified that this calculation is correct - HB VMT / Total Pop</t>
      </text>
    </comment>
    <comment ref="N3" authorId="1" shapeId="0" xr:uid="{4974B44F-B07C-4447-B8EE-606B95FA774F}">
      <text>
        <t>[Threaded comment]
Your version of Excel allows you to read this threaded comment; however, any edits to it will get removed if the file is opened in a newer version of Excel. Learn more: https://go.microsoft.com/fwlink/?linkid=870924
Comment:
    Service population is residents + employees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tc={D0B0B337-28F3-41CA-8359-0458EEC0315B}</author>
  </authors>
  <commentList>
    <comment ref="D3" authorId="0" shapeId="0" xr:uid="{D0B0B337-28F3-41CA-8359-0458EEC0315B}">
      <text>
        <t>[Threaded comment]
Your version of Excel allows you to read this threaded comment; however, any edits to it will get removed if the file is opened in a newer version of Excel. Learn more: https://go.microsoft.com/fwlink/?linkid=870924
Comment:
    2 = San Mateo County</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tc={88EC3039-2840-465E-A8F7-81D68709686B}</author>
  </authors>
  <commentList>
    <comment ref="F24" authorId="0" shapeId="0" xr:uid="{88EC3039-2840-465E-A8F7-81D68709686B}">
      <text>
        <t>[Threaded comment]
Your version of Excel allows you to read this threaded comment; however, any edits to it will get removed if the file is opened in a newer version of Excel. Learn more: https://go.microsoft.com/fwlink/?linkid=870924
Comment:
    This program’s e-bikes are assumed to have a lifespan that is shorter than 30 years and there will likely need to be multiple rounds of rebates to maintain consistent year-over-year VMT reductions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<sst xmlns="http://schemas.openxmlformats.org/spreadsheetml/2006/main" count="14236" uniqueCount="1562">
  <si>
    <t>Fehr &amp; Peers</t>
  </si>
  <si>
    <t>Project #:</t>
  </si>
  <si>
    <t>SF23-1321</t>
  </si>
  <si>
    <t xml:space="preserve">Project Name: </t>
  </si>
  <si>
    <t>CCAG VMT Mitigation</t>
  </si>
  <si>
    <t>Contact:</t>
  </si>
  <si>
    <t>Alex Murray</t>
  </si>
  <si>
    <t>Matt Goyne</t>
  </si>
  <si>
    <t>Email:</t>
  </si>
  <si>
    <t>A.Murray@fehrandpeers.com</t>
  </si>
  <si>
    <t>M.Goyne@fehrandpeers.com</t>
  </si>
  <si>
    <t xml:space="preserve">Description </t>
  </si>
  <si>
    <t>This workbook estimates reductions for 13 VMT reducing and 1 GHG reducing transportation infrastructure projects, services, and programs. The calculations, which are included in this workbook, use a variety of data sources, such as the CAPCOA handbook, the C/CAG-VTA Travel Demand Model, and the California Household Travel Survey</t>
  </si>
  <si>
    <t>Excel Workbook Tab Legend</t>
  </si>
  <si>
    <t>Displayed Tabs</t>
  </si>
  <si>
    <t>Summary</t>
  </si>
  <si>
    <t>These tabs include VMT reduction and cost estimates based on the values entered into the blue user inputs tab</t>
  </si>
  <si>
    <t>Mitigation Action User Inputs</t>
  </si>
  <si>
    <t>The blue tabs include all relevant inputs for each mitigation measure, such as the amount of additional transit service, the cost of a bike improvement, or the scope of a transit pass subsidy program</t>
  </si>
  <si>
    <t>Mitigation Action VMT Calculations</t>
  </si>
  <si>
    <t>These tabs show the calculations for each mitigation action, and they show the quantification method and data sources for each estimate</t>
  </si>
  <si>
    <t>Hidden Tabs</t>
  </si>
  <si>
    <t>Mitigation Action Supporting Data</t>
  </si>
  <si>
    <t xml:space="preserve">The grey tabs include C/CAG-VTA Travel Demand Model Transportation Analysis Zones (TAZs) that are relevant for each mitigation action. These TAZs were selected using ArcGIS software based on the data needed for each calculation. </t>
  </si>
  <si>
    <t>Program Wide Supporting Model Data</t>
  </si>
  <si>
    <t xml:space="preserve">These tabs include relevant C/CAG-VTA Travel Demand Model VMT, mode share, and population data, broken down by TAZ. The model includes data for the whole Bay Area. </t>
  </si>
  <si>
    <t>Lookup Tables</t>
  </si>
  <si>
    <t>The goldenrod tabs are lookup tables that assign a city name to each TAZ. These city names are used throughout the workbook to make city specific calculations</t>
  </si>
  <si>
    <t>Tabs</t>
  </si>
  <si>
    <t>Description</t>
  </si>
  <si>
    <t>Mitigation Summary - Annual VMT</t>
  </si>
  <si>
    <t>Program wide summary tab that displays the results and tables from each mitigation action. Data presented in annual VMT, which is appropriate for mitigating highway projects.</t>
  </si>
  <si>
    <t>Mitigation Summary - Daily VMT</t>
  </si>
  <si>
    <t>Program wide summary tab that displays the results and tables from each mitigation action. Data presented in daily VMT, which is appropriate for mitigating land use projects.</t>
  </si>
  <si>
    <t>Regional Program</t>
  </si>
  <si>
    <t>1.) Caltrain Service Expansion</t>
  </si>
  <si>
    <t xml:space="preserve">VMT and cost assumptions and results for Mitigation Action #1: Caltrain Service Expansion. Results for this action are based on user inputs in this tab. </t>
  </si>
  <si>
    <t>2.) Enhance Route ECR Frequency</t>
  </si>
  <si>
    <t xml:space="preserve">VMT and cost assumptions and results for Mitigation Action #2: Enhance Route ECR Frequency. Results for this action are based on user inputs in this tab. </t>
  </si>
  <si>
    <t>3.) ECR Transit Priority</t>
  </si>
  <si>
    <t xml:space="preserve">VMT and cost assumptions and results for Mitigation Action #3: ECR Transit Priority. Results for this action are based on user inputs in this tab. </t>
  </si>
  <si>
    <t>Regional or Local Programs</t>
  </si>
  <si>
    <t>4.) Affordable Housing</t>
  </si>
  <si>
    <t>VMT and cost assumptions and results for Mitigation Action #4: Affordable Housing. Results for this action are based on user inputs in this tab.</t>
  </si>
  <si>
    <t>5.) Clipper Start - Bay Pass</t>
  </si>
  <si>
    <t xml:space="preserve">VMT and cost assumptions and results for Mitigation Action #5: Clipper Start-Bay Pass. Results for this action are based on user inputs in this tab. </t>
  </si>
  <si>
    <t>5a.) Clipper Start (cont.)</t>
  </si>
  <si>
    <t>This tab allows users to quantify the reductions from providing a specific number of transit passes</t>
  </si>
  <si>
    <t>6.) E-Bike Rebate Program</t>
  </si>
  <si>
    <t xml:space="preserve">VMT and cost assumptions and results for Mitigation Action #6: E-Bike Rebate Program. Results for this action are based on user inputs in this tab. </t>
  </si>
  <si>
    <t>7.) Community Travel Education</t>
  </si>
  <si>
    <t xml:space="preserve">VMT and cost assumptions and results for Mitigation Action #7: Community Travel Education. Results for this action are based on user inputs in this tab. </t>
  </si>
  <si>
    <t>8.) Mobility Hubs</t>
  </si>
  <si>
    <t xml:space="preserve">VMT and cost assumptions and results for Mitigation Action #8: Mobility Hubs. Results for this action are based on user inputs in this tab. </t>
  </si>
  <si>
    <t>9.) Micromobility Services</t>
  </si>
  <si>
    <t xml:space="preserve">VMT and cost assumptions and results for Mitigation Action #9: Micromobility Services. Results for this action are based on user inputs in this tab. </t>
  </si>
  <si>
    <t>10.) Shuttles-Microtransit</t>
  </si>
  <si>
    <t xml:space="preserve">VMT and cost assumptions and results for Mitigation Action #10: Microtransit-Shuttle Services. Results for this action are based on user inputs in this tab. </t>
  </si>
  <si>
    <t>11.) EV Charging Facilities</t>
  </si>
  <si>
    <t xml:space="preserve">VMT and cost assumptions and results for Mitigation Action #11: EV Charging Facilities. Results for this action are based on user inputs in this tab. </t>
  </si>
  <si>
    <t>Local Programs</t>
  </si>
  <si>
    <t>12.) Bicycle Infrastructure</t>
  </si>
  <si>
    <t xml:space="preserve">VMT and cost assumptions and results for Mitigation Action #12: Bicycle Infrastructure. Results for this action are based on user inputs in this tab. </t>
  </si>
  <si>
    <t>12a.) CustomBicycleProject</t>
  </si>
  <si>
    <t>This tab allows users to quantify the reductions from bicycle projects that are not included in the "12.) Bicycle Infrastructure" tab</t>
  </si>
  <si>
    <t>13.) Pedestrian Infrastructure</t>
  </si>
  <si>
    <t xml:space="preserve">VMT and cost assumptions and results for Mitigation Action #13: Pedestrian Infrastructure. Results for this action are based on user inputs in this tab. </t>
  </si>
  <si>
    <t>14.) Parking Benefit Districts</t>
  </si>
  <si>
    <t xml:space="preserve">VMT and cost assumptions and results for Mitigation Action #14: Parking Benefit Districts. Results for this action are based on user inputs in this tab. </t>
  </si>
  <si>
    <t>Action 1 Calculations</t>
  </si>
  <si>
    <t>VMT reduction formula for Mitigation Action #1: Caltrain Service Expansion.</t>
  </si>
  <si>
    <t>Action 2 Calculations</t>
  </si>
  <si>
    <t>VMT reduction formula for Mitigation Action #2: Enhance Local Transit Frequency, Capacity, and Reliability.</t>
  </si>
  <si>
    <t>Action 3 Calculations</t>
  </si>
  <si>
    <t xml:space="preserve">VMT reduction formula for Mitigation Action #3: Transit Priority Projects on Major Corridors. </t>
  </si>
  <si>
    <t>Action 4 Calculations</t>
  </si>
  <si>
    <t>VMT reduction formula for Mitigation Action Action #4: Affordable Housing.</t>
  </si>
  <si>
    <t>Action 5 Calculations</t>
  </si>
  <si>
    <t>VMT reduction formula for Mitigation Action #5: Transit Pass Incentives - Clipper Start / Bay Pass.</t>
  </si>
  <si>
    <t>Action 5a Calculations</t>
  </si>
  <si>
    <t>VMT reduction formula for the custom number of transit passes entered into the Mitigation Action #5a tab</t>
  </si>
  <si>
    <t>Action 6 Calculations</t>
  </si>
  <si>
    <t>VMT reduction formula for Mitigation Action #6: Countywide E-Bike Rebate Program.</t>
  </si>
  <si>
    <t>Action 7 Calculations</t>
  </si>
  <si>
    <t>VMT reduction formula for Mitigation Action #7: Community-Based Travel Planning.</t>
  </si>
  <si>
    <t>Action 8 Calculations</t>
  </si>
  <si>
    <t>VMT reduction formula for Mitigation Action #8: Mobility Hubs.</t>
  </si>
  <si>
    <t>Action 9 Calculations</t>
  </si>
  <si>
    <t>VMT reduction formula for Mitigation Action #9: First/Last Mile Micromobility Service.</t>
  </si>
  <si>
    <t>Action 10 Calculations</t>
  </si>
  <si>
    <t>VMT reduction formula for Mitigation Action #10: Microtransit and Shuttle Services.</t>
  </si>
  <si>
    <t>Action 11 Calculations</t>
  </si>
  <si>
    <t>VMT reduction formula for Mitigation Action #11: EV Charging Facilities.</t>
  </si>
  <si>
    <t>Action 12 Calculations</t>
  </si>
  <si>
    <t xml:space="preserve">VMT reduction formula for Mitigation Action #12: Bicycle Infrastructure. </t>
  </si>
  <si>
    <t>Action 12a Calculations</t>
  </si>
  <si>
    <t xml:space="preserve">VMT reduction formula for custom projects entered into the Mitigation Action #12a: Bicycle Infrastructure. </t>
  </si>
  <si>
    <t>Action 13 Calculations</t>
  </si>
  <si>
    <t>VMT reduction formula for Mitigation Action #13: Pedestrian Infrastructure.</t>
  </si>
  <si>
    <t>Action 14 Calculations</t>
  </si>
  <si>
    <t xml:space="preserve">VMT reduction formula for Mitigation Action #14: Parking Program/Curb Management. </t>
  </si>
  <si>
    <t>Action 1 Data</t>
  </si>
  <si>
    <t>VMT and Mode Share data by TAZ for the Caltrain service area</t>
  </si>
  <si>
    <t>Action 2 Data</t>
  </si>
  <si>
    <t>VMT and Mode Share data by TAZ for the Route ECR service area</t>
  </si>
  <si>
    <t>Action 3 TAZ Data</t>
  </si>
  <si>
    <t>VMT and Mode Share data by TAZ for the area surrounding proposed transit priority improvements on El Camino Real</t>
  </si>
  <si>
    <t>Action 3 Road Data</t>
  </si>
  <si>
    <t>Road distance data for segments of El Camino Real that would receive bus lane improvements</t>
  </si>
  <si>
    <t>Action 4 Model Data</t>
  </si>
  <si>
    <t>Population, VMT, and other model data for potential affordable housing sites</t>
  </si>
  <si>
    <t>Action 4_CHTSTripLengths</t>
  </si>
  <si>
    <t>CHTS data for average trip lengths by jurisdiction. These numbers are used as part of the location efficiency numbers in the Action 4 Affordable Housing calculations</t>
  </si>
  <si>
    <t>Action 8 Data</t>
  </si>
  <si>
    <t>VMT data by TAZ for the area surrounding potential mobility hub sites</t>
  </si>
  <si>
    <t>Action 10 East Palo Alto</t>
  </si>
  <si>
    <t>VMT and transit trips for the SamTrans Ride Plus service area in East Palo Alto/Belle Haven</t>
  </si>
  <si>
    <t>Action 10 Half Moon Bay</t>
  </si>
  <si>
    <t>VMT and transit trips for the SamTrans Ride Plus service area in Half Moon Bay/El Granada</t>
  </si>
  <si>
    <t>Action 12 Daly City Data</t>
  </si>
  <si>
    <t>Bike facility length and TAZ data from the area surrounding the Daly City bicycle infrastructure</t>
  </si>
  <si>
    <t>Action 12 Skyline Data</t>
  </si>
  <si>
    <t>Bike facility length and TAZ data from the area surrounding the Skyline bicycle infrastructure</t>
  </si>
  <si>
    <t>Action 12 Coastside Data</t>
  </si>
  <si>
    <t>Bike facility length and TAZ data from the area surrounding the Coastside bicycle infrastructure</t>
  </si>
  <si>
    <t>Action 12 EPA Data</t>
  </si>
  <si>
    <t>Bike facility length and TAZ data from the area surrounding the East Palo Alto bicycle infrastructure</t>
  </si>
  <si>
    <t>Action 12 Belmont_RWC Data</t>
  </si>
  <si>
    <t>Bike facility length and TAZ data from the area surrounding the Belmont/Redwood City bicycle infrastructure</t>
  </si>
  <si>
    <t>Action 12 San Carlos Data</t>
  </si>
  <si>
    <t>Bike facility length and TAZ data from the area surrounding the San Carlos bicycle infrastructure</t>
  </si>
  <si>
    <t>Action 12 ADT</t>
  </si>
  <si>
    <t>Average daily traffic from the CCAG model for each roadway that would receive bicycle infrastructure</t>
  </si>
  <si>
    <t>Action 14 Data</t>
  </si>
  <si>
    <t>Cost and and VMT by TAZ data for the potential paid parking areas</t>
  </si>
  <si>
    <t>Model VMT by TAZ</t>
  </si>
  <si>
    <t>CCAG VMT and trip data by TAZ - uses same 2015 model data as the CCAG VMT tool</t>
  </si>
  <si>
    <t>Other Model by TAZ</t>
  </si>
  <si>
    <t>Includes CCAG model population by TAZ</t>
  </si>
  <si>
    <t>Model Modeshare by TAZ</t>
  </si>
  <si>
    <t>Includes CCAG model mode share data by TAZ</t>
  </si>
  <si>
    <t>VMT by City</t>
  </si>
  <si>
    <t>VMT figures by City, included for reference purposes</t>
  </si>
  <si>
    <t>TAZs by City - San Mateo County</t>
  </si>
  <si>
    <t>Look up table of CCAG model TAZs that are within San Mateo County, listed by City</t>
  </si>
  <si>
    <t>TAZs by City - CCAG Model</t>
  </si>
  <si>
    <t>Look up table of CCAG model TAZs, listed by City</t>
  </si>
  <si>
    <t>Mitigation Summary</t>
  </si>
  <si>
    <t>YES</t>
  </si>
  <si>
    <t>NO</t>
  </si>
  <si>
    <t>#</t>
  </si>
  <si>
    <t>Mitigation Action Name</t>
  </si>
  <si>
    <t>Mitigation Type</t>
  </si>
  <si>
    <t>Include Mitigation Action?</t>
  </si>
  <si>
    <r>
      <t xml:space="preserve">Project Lifespan </t>
    </r>
    <r>
      <rPr>
        <i/>
        <sz val="11"/>
        <color theme="1"/>
        <rFont val="Calibri"/>
        <family val="2"/>
        <scheme val="minor"/>
      </rPr>
      <t>(years)</t>
    </r>
  </si>
  <si>
    <t>Annual Mitigation Action VMT Reduction</t>
  </si>
  <si>
    <t>Mitigation Action VMT Reduction (Lifespan)</t>
  </si>
  <si>
    <t>Cost Basis</t>
  </si>
  <si>
    <t>Mitigation Action Cost (1-Year)</t>
  </si>
  <si>
    <t>Mitigation Action Cost (Lifespan or Years Funded)</t>
  </si>
  <si>
    <t>Mitigation Action Cost per VMT (1-Year)</t>
  </si>
  <si>
    <t>Mitigation Action Cost per VMT (Lifespan or Years Funded)</t>
  </si>
  <si>
    <t xml:space="preserve">VMT Cost Effectiveness Tier </t>
  </si>
  <si>
    <t>Caltrain Service Expansion</t>
  </si>
  <si>
    <t>Operational</t>
  </si>
  <si>
    <t>Ongoing</t>
  </si>
  <si>
    <t>Higher</t>
  </si>
  <si>
    <t>Enhance Route ECR Service Frequency</t>
  </si>
  <si>
    <t>ECR Transit Priority</t>
  </si>
  <si>
    <t>Capital</t>
  </si>
  <si>
    <t>One-Time</t>
  </si>
  <si>
    <t>Affordable Housing</t>
  </si>
  <si>
    <t>Clipper Start - Bay Pass</t>
  </si>
  <si>
    <t>Programmatic</t>
  </si>
  <si>
    <t>Moderate</t>
  </si>
  <si>
    <t>E-Bike Rebate Program</t>
  </si>
  <si>
    <t>Community Travel Education</t>
  </si>
  <si>
    <t>Mobility Hubs</t>
  </si>
  <si>
    <t>Micromobility Services</t>
  </si>
  <si>
    <t>Shuttles-Microtransit</t>
  </si>
  <si>
    <t>EV Charging Facilities</t>
  </si>
  <si>
    <t>N/A</t>
  </si>
  <si>
    <t>No VMT Benefit, see 11.) EV Charging Facilities tab for GHG Reductions</t>
  </si>
  <si>
    <t>Bicycle Infrastructure</t>
  </si>
  <si>
    <t>Lower</t>
  </si>
  <si>
    <t>Pedestrian Infrastructure</t>
  </si>
  <si>
    <t>Parking Benefit Districts</t>
  </si>
  <si>
    <t>Mitigation Action Cost (1-Year) - Selected Actions</t>
  </si>
  <si>
    <t>Mitigation Action Cost (Lifespan or Years Funded) - Selected Actions</t>
  </si>
  <si>
    <t>Mitigation Action Annual VMT Reduction - Selected Actions</t>
  </si>
  <si>
    <t>Mitigation Action VMT Reduction (Lifespan) - Selected Actions</t>
  </si>
  <si>
    <t>California Induced Travel Calculator</t>
  </si>
  <si>
    <t>Calculator Results</t>
  </si>
  <si>
    <t>Additional VMT added per Year</t>
  </si>
  <si>
    <t>Calculator Inputs</t>
  </si>
  <si>
    <t>Year Selected</t>
  </si>
  <si>
    <t>Facility Type</t>
  </si>
  <si>
    <t>Class 1 (Interstate)</t>
  </si>
  <si>
    <t>MSA</t>
  </si>
  <si>
    <t>San Francisco-Oakland-Hayward</t>
  </si>
  <si>
    <t>Total lane Miles Added</t>
  </si>
  <si>
    <t>Source: https://travelcalculator.ncst.ucdavis.edu/</t>
  </si>
  <si>
    <t>Annual VMT Mitigated</t>
  </si>
  <si>
    <t>Additional VMT Added by Transportation Project</t>
  </si>
  <si>
    <t>Annual VMT Mitigated by Mitigation Actions</t>
  </si>
  <si>
    <t>Difference</t>
  </si>
  <si>
    <t>Mitigation Cost per Mile (Lifespan Costs)</t>
  </si>
  <si>
    <t>For reference purposes only</t>
  </si>
  <si>
    <r>
      <t xml:space="preserve">Include Mitigation Action? 
</t>
    </r>
    <r>
      <rPr>
        <sz val="11"/>
        <color theme="1"/>
        <rFont val="Calibri"/>
        <family val="2"/>
        <scheme val="minor"/>
      </rPr>
      <t>(based on selection in "Mitigation Summary - Annual VMT tab")</t>
    </r>
  </si>
  <si>
    <t>Override Selection in This Column 
&lt;-
and Keep/Remove Mitigation Action</t>
  </si>
  <si>
    <r>
      <t xml:space="preserve">Include Mitigation Action </t>
    </r>
    <r>
      <rPr>
        <sz val="11"/>
        <color theme="1"/>
        <rFont val="Calibri"/>
        <family val="2"/>
        <scheme val="minor"/>
      </rPr>
      <t>(Interim)</t>
    </r>
  </si>
  <si>
    <r>
      <t xml:space="preserve">Include Mitigation Action </t>
    </r>
    <r>
      <rPr>
        <sz val="11"/>
        <color theme="1"/>
        <rFont val="Calibri"/>
        <family val="2"/>
        <scheme val="minor"/>
      </rPr>
      <t>(results)</t>
    </r>
  </si>
  <si>
    <t>Mitigation Action Daily VMT Reduction</t>
  </si>
  <si>
    <t>Mitigation Action Daily VMT Reduction (Lifespan/Years Funded)</t>
  </si>
  <si>
    <t>Mitigation Action Cost (Single Year)</t>
  </si>
  <si>
    <t>Mitigation Action Cost per VMT (Single Year)</t>
  </si>
  <si>
    <t>Override - Remove Mitigation Action</t>
  </si>
  <si>
    <t>Override - Add Mitigation Action</t>
  </si>
  <si>
    <t>Mitigation Action Daily VMT Reduction - Selected Actions</t>
  </si>
  <si>
    <t>This mitigation action would fund increased Caltrain service frequency between 4th and King (San Francisco) and San Jose Diridon Station. These enhancements would be implemented in a way that is consistent with Caltrain's Long Range Service Vision https://www.caltrain.com/projects/business-plan/caltrain-2040/long-range-service-vision</t>
  </si>
  <si>
    <t xml:space="preserve">This study analyzed the affect of increasing Caltrain service, as a representative project, but this measure could be applied to BART or other transit services. Those services would require GIS analysis for their calculations, as this tab's data relies on Caltrain specific geographic information </t>
  </si>
  <si>
    <t>VMT Calculation Methodology</t>
  </si>
  <si>
    <t xml:space="preserve">CAPCOA T-26 Increase Transit Service Frequency was used to calculate the VMT reduction potential of increasing Caltrain service frequency. </t>
  </si>
  <si>
    <t xml:space="preserve">These calculations use VMT and population data from the C/CAG/VTA Travel Demand Model. This quantification method uses total VMT associated with TAZs within 1/2 mile of Caltrain stations. </t>
  </si>
  <si>
    <t>Instructions</t>
  </si>
  <si>
    <t>User Input</t>
  </si>
  <si>
    <t>VMT and cost calculations are based on the values in these yellow highlighted cells, including the percentage increase in transit service frequency, the lifespan of the service expansion, what Caltrain stations would be included,</t>
  </si>
  <si>
    <t>and if administrative costs should be included in the mitigation action. User inputted assumptions must be supported by evidence.</t>
  </si>
  <si>
    <t>Specific Geography</t>
  </si>
  <si>
    <t xml:space="preserve">This mitigation measure's calculations require the selection of specific C/CAG model TAZs using a map or GIS software. The results of this measure can inform the selection of similar mitigation measures, but those projects will require specific VMT analysis. </t>
  </si>
  <si>
    <t>Cost and Lifespan Assumptions</t>
  </si>
  <si>
    <t>Increased Caltrain Service Frequency</t>
  </si>
  <si>
    <t>Years Funded Assumption</t>
  </si>
  <si>
    <t>Mitigation Action Scope</t>
  </si>
  <si>
    <t>All Caltrain Stations between 4th/King and San Jose Diridon Station</t>
  </si>
  <si>
    <t>Percent Increase in Transit Service Frequency</t>
  </si>
  <si>
    <t>Years Program is Funded</t>
  </si>
  <si>
    <t>Additional Trains per Hour (per directions)</t>
  </si>
  <si>
    <t>Revenue Service Miles (both directions)</t>
  </si>
  <si>
    <t>Adjusted Transit Service Increase (accounts for express trains not serving all stations)</t>
  </si>
  <si>
    <t>Service Assumptions</t>
  </si>
  <si>
    <t>Mitigation Action Annual Cost</t>
  </si>
  <si>
    <r>
      <rPr>
        <b/>
        <sz val="11"/>
        <color rgb="FF000000"/>
        <rFont val="Calibri"/>
      </rPr>
      <t xml:space="preserve">Existing Trains per Hour per Direction </t>
    </r>
    <r>
      <rPr>
        <i/>
        <sz val="11"/>
        <color rgb="FF000000"/>
        <rFont val="Calibri"/>
      </rPr>
      <t>(average - must be even number)</t>
    </r>
  </si>
  <si>
    <t>Mitigation Action Cost (with admin costs - if applicable)</t>
  </si>
  <si>
    <r>
      <rPr>
        <b/>
        <sz val="11"/>
        <color rgb="FF000000"/>
        <rFont val="Calibri"/>
      </rPr>
      <t xml:space="preserve">Future Trains per Hour per Direction </t>
    </r>
    <r>
      <rPr>
        <sz val="11"/>
        <color rgb="FF000000"/>
        <rFont val="Calibri"/>
      </rPr>
      <t>(</t>
    </r>
    <r>
      <rPr>
        <i/>
        <sz val="11"/>
        <color rgb="FF000000"/>
        <rFont val="Calibri"/>
      </rPr>
      <t>average - must be even number)</t>
    </r>
  </si>
  <si>
    <t>Annual VMT Reduction</t>
  </si>
  <si>
    <t>Average Increase in Transit Service</t>
  </si>
  <si>
    <t>Option Selected?</t>
  </si>
  <si>
    <t>Does service expansion include express service?</t>
  </si>
  <si>
    <r>
      <t xml:space="preserve">Share of new trains per hour that are express </t>
    </r>
    <r>
      <rPr>
        <i/>
        <sz val="11"/>
        <color theme="1"/>
        <rFont val="Calibri"/>
        <family val="2"/>
        <scheme val="minor"/>
      </rPr>
      <t>(if applicable)</t>
    </r>
  </si>
  <si>
    <t>Express Trains per Hour per Direction</t>
  </si>
  <si>
    <t>Other Cost Assumptions</t>
  </si>
  <si>
    <t>Cost Type</t>
  </si>
  <si>
    <t>Included?</t>
  </si>
  <si>
    <t>Amount</t>
  </si>
  <si>
    <t>Admin costs</t>
  </si>
  <si>
    <t>VMT Reduction Potential and Program Costs</t>
  </si>
  <si>
    <t xml:space="preserve">Daily VMT Reduction and Cost per VMT Reduced </t>
  </si>
  <si>
    <t>Daily VMT Reduction</t>
  </si>
  <si>
    <t>VMT Reduction (for years funded)</t>
  </si>
  <si>
    <t>Annual Cost of Mitigation Action  - Single Year</t>
  </si>
  <si>
    <t>Cost per VMT (Single Year)</t>
  </si>
  <si>
    <t>Cost of Mitigation Action (Years Funded)</t>
  </si>
  <si>
    <t>Cost per VMT (Years Funded)</t>
  </si>
  <si>
    <t xml:space="preserve">Annual VMT Reduction and Cost per VMT Reduced </t>
  </si>
  <si>
    <t>Enhance Route ECR Frequency</t>
  </si>
  <si>
    <t xml:space="preserve">This mitigation action would fund increased SamTrans Route El Camino Real (ECR) service frequency. </t>
  </si>
  <si>
    <t xml:space="preserve">The entire extent of the route, from Daly City BART to Palo Alto Transit Center was included to assess VMT reduction potential. </t>
  </si>
  <si>
    <t xml:space="preserve">This study analyzed the effect of increasing ECR bus frequency, as a representative project, but this measure could be applied to other bus routes. Those services would require GIS analysis for their calculations, as this tab's data relies on ECR specific geographic information. </t>
  </si>
  <si>
    <t xml:space="preserve">CAPCOA strategy T-26 Increase Transit Service Frequency was used to calculate the VMT reduction potential of increasing SamTrans Route ECR service frequency. </t>
  </si>
  <si>
    <t>These calculations use VMT and population data from the C/CAG/VTA Travel Demand Model. This quantification method uses total VMT associated with TAZs within 1/2 mile of Route ECR bus stops.</t>
  </si>
  <si>
    <t>VMT and cost calculations are based on the values in these yellow highlighted cells, including the buses per hour per direction with and without the measure, the percent increase in transit service, the lifespan of the service expansion,</t>
  </si>
  <si>
    <t>Increased Route ECR Service Frequency</t>
  </si>
  <si>
    <t>Service Increase Cost Assumptions</t>
  </si>
  <si>
    <t>Type</t>
  </si>
  <si>
    <t>Cost</t>
  </si>
  <si>
    <t>Source</t>
  </si>
  <si>
    <t>Average Buses Per Hour Per Direction (without measure)</t>
  </si>
  <si>
    <t>SamTrans FY2024 Operating Costs</t>
  </si>
  <si>
    <t>SamTrans Short-Range Transit Plan FY 2019-2028</t>
  </si>
  <si>
    <t>Average Buses Per Hour Per Direction (with measure)</t>
  </si>
  <si>
    <t>Cost per Revenue Service Mile</t>
  </si>
  <si>
    <t>Revenue Service Miles</t>
  </si>
  <si>
    <t>Cost per Revenue Service Hour</t>
  </si>
  <si>
    <t>Percent Increase in Transit Service</t>
  </si>
  <si>
    <t>Cost Assumptions</t>
  </si>
  <si>
    <t>Mitigation Action Cost (with admin and design costs - if applicable)</t>
  </si>
  <si>
    <t>Daily VMT Reduction and Cost per VMT Reduced</t>
  </si>
  <si>
    <t>Annual VMT Reduction and Cost per VMT Reduced</t>
  </si>
  <si>
    <t>This mitigation action would fund transit-supportive roadway treatments along El Camino Real in San Mateo County. Segments of El Camino Real with three or more lanes per direction were considered for transit-supportive roadway treatments.</t>
  </si>
  <si>
    <t>This represenative measure analyzed the installation of bike lanes on El Camino, but this measure could also be applied to other major bus corridors. Those corridors would require GIS analysis for their calculations, as this tab's data relies on ECR specific geographic information.</t>
  </si>
  <si>
    <t xml:space="preserve">CAPCOA strategy T-27 Implement Transit-Supportive Roadway Treatments was used to calculate the VMT reduction potential of a transit priority lane on El Camino Real. </t>
  </si>
  <si>
    <t xml:space="preserve">These calculations use VMT and population data from the C/CAG/VTA Travel Demand Model. </t>
  </si>
  <si>
    <t xml:space="preserve">VMT and cost calculations are based on the values in these yellow highlighted cells, including the </t>
  </si>
  <si>
    <t>and if administrative costs should be included in the mitigation action. User assumptions must be supported by evidence. Please either select the entire corridor, or certain segments, but not both.</t>
  </si>
  <si>
    <t>Select either the entire corridor area (with 3+ lanes in each direction) OR select specific transit priority segments identified in the SamTrans El Camino Real Bus Speed and Reliability Study</t>
  </si>
  <si>
    <t>Transit Priority Areas</t>
  </si>
  <si>
    <t>Cost and Transit Speed Efficiency</t>
  </si>
  <si>
    <r>
      <t xml:space="preserve">Entire Corridor Area </t>
    </r>
    <r>
      <rPr>
        <b/>
        <i/>
        <sz val="11"/>
        <color theme="1"/>
        <rFont val="Calibri"/>
        <family val="2"/>
        <scheme val="minor"/>
      </rPr>
      <t>(with 3 lanes+ per direction)</t>
    </r>
  </si>
  <si>
    <t>South San Francisco</t>
  </si>
  <si>
    <t>San Bruno &amp; Millbrae</t>
  </si>
  <si>
    <t>San Mateo &amp; Belmont &amp; San Carlos</t>
  </si>
  <si>
    <t>Lifespan Assumption</t>
  </si>
  <si>
    <t>Cost per Mile of Improvements</t>
  </si>
  <si>
    <t>Northbound Length (with 3+ lanes)</t>
  </si>
  <si>
    <t>Project Lifespan</t>
  </si>
  <si>
    <r>
      <t xml:space="preserve">Expected Bus Travel Time Savings with Improvements </t>
    </r>
    <r>
      <rPr>
        <i/>
        <sz val="11"/>
        <color theme="1"/>
        <rFont val="Calibri"/>
        <family val="2"/>
        <scheme val="minor"/>
      </rPr>
      <t>(percentage)</t>
    </r>
  </si>
  <si>
    <t>SB Length (with 3+ lanes)</t>
  </si>
  <si>
    <t>Mitigation Action Capital Cost</t>
  </si>
  <si>
    <r>
      <t xml:space="preserve">Mitigation Action Cost (with admin and design costs - </t>
    </r>
    <r>
      <rPr>
        <i/>
        <sz val="11"/>
        <color theme="1"/>
        <rFont val="Calibri"/>
        <family val="2"/>
        <scheme val="minor"/>
      </rPr>
      <t>if applicable</t>
    </r>
    <r>
      <rPr>
        <sz val="11"/>
        <color theme="1"/>
        <rFont val="Calibri"/>
        <family val="2"/>
        <scheme val="minor"/>
      </rPr>
      <t>)</t>
    </r>
  </si>
  <si>
    <t>Annual VMT Reduction (from transit improvements)</t>
  </si>
  <si>
    <t>Admin costs?</t>
  </si>
  <si>
    <t>Does Project convert a general automobile travel lane into a bus only lane? (does not include HOV lanes)</t>
  </si>
  <si>
    <t>Design Costs?</t>
  </si>
  <si>
    <r>
      <t xml:space="preserve">Annual VMT Reduction (from automobile capacity reductions - </t>
    </r>
    <r>
      <rPr>
        <i/>
        <sz val="11"/>
        <color theme="1"/>
        <rFont val="Calibri"/>
        <family val="2"/>
        <scheme val="minor"/>
      </rPr>
      <t>if applicable)</t>
    </r>
  </si>
  <si>
    <t>Total Annual VMT Reduction</t>
  </si>
  <si>
    <r>
      <t xml:space="preserve">Included in Mitigation Action? </t>
    </r>
    <r>
      <rPr>
        <i/>
        <sz val="11"/>
        <color theme="1"/>
        <rFont val="Calibri"/>
        <family val="2"/>
        <scheme val="minor"/>
      </rPr>
      <t>(select either entire corridor or segments, but not both)</t>
    </r>
  </si>
  <si>
    <t>Daily VMT Reduction (lifespan)</t>
  </si>
  <si>
    <t>Cost of Mitigation Action</t>
  </si>
  <si>
    <t>Cost per VMT (lifespan)</t>
  </si>
  <si>
    <t>VMT Reduction (lifespan)</t>
  </si>
  <si>
    <t>This mitigation action would fund the development of affordable housing throughout San Mateo County. Seven affordable housing sites were selected throughout San Mateo County, based on general plan housing elements, to estimate the VMT reductions from typical affordable housing developments in San Mateo County.</t>
  </si>
  <si>
    <t>Fehr &amp; Peers used a custom VMT reduction formula that combines two measures from CAPCOA and the Caltrans SB 743 VMT Mitigation Playbook. This formula accounts for the VMT reductions from affordable housing, and accounts for the reductions from increased neighborhood density.</t>
  </si>
  <si>
    <t xml:space="preserve">VMT and cost calculations are based on the values in these yellow highlighted cells, including the expected cost per dwelling unit </t>
  </si>
  <si>
    <t>Number of Dwelling Units Funded</t>
  </si>
  <si>
    <t>Daily VMT Reduction per Unit</t>
  </si>
  <si>
    <t>Annual VMT per Unit</t>
  </si>
  <si>
    <t>Cost per Unit</t>
  </si>
  <si>
    <t>Total Daily VMT Reduction</t>
  </si>
  <si>
    <t>Estimated Cost per Dwelling Unit</t>
  </si>
  <si>
    <t xml:space="preserve">Total Annual VMT Reduction </t>
  </si>
  <si>
    <t>Is Program Providing Gap Financing?</t>
  </si>
  <si>
    <t>Mitigation Action Cost - Units Funded</t>
  </si>
  <si>
    <t>Gap Financing Percentage</t>
  </si>
  <si>
    <r>
      <t xml:space="preserve">Cost per Dwelling Unit (mitigation contribution) </t>
    </r>
    <r>
      <rPr>
        <sz val="11"/>
        <color theme="1"/>
        <rFont val="Calibri"/>
        <family val="2"/>
        <scheme val="minor"/>
      </rPr>
      <t xml:space="preserve">- </t>
    </r>
    <r>
      <rPr>
        <i/>
        <sz val="11"/>
        <color theme="1"/>
        <rFont val="Calibri"/>
        <family val="2"/>
        <scheme val="minor"/>
      </rPr>
      <t>if applicable</t>
    </r>
  </si>
  <si>
    <t>Daily VMT Reduction (single year)</t>
  </si>
  <si>
    <t>Annual VMT Reduction (Single Year)</t>
  </si>
  <si>
    <t>This mitigation action would fund transit passes for people living within participating C/CAG cities. Users can select the share of the population that would receive passes, and which cities would be included in the program.</t>
  </si>
  <si>
    <t xml:space="preserve">This representative measure analyzed providing transit pass subsidies through the existing price structure of the Clipper Start program. Other transit subsidy programs, such as GoPass, can also be estimated using this tab. </t>
  </si>
  <si>
    <t>CAPCOA strategy T-9 Implement Subsidized or Discounted Transit Program was used to calculate the VMT reduction potential of providing Clipper Start/Bay Pass in selected C/CAG cities.</t>
  </si>
  <si>
    <t>Countywide Implementation</t>
  </si>
  <si>
    <t>City Specific Implementation</t>
  </si>
  <si>
    <t>VMT and cost calculations are based on the values in these yellow highlighted cells, including the annual cost of a transit pass, the lifespan of the subsidy program, what C/CAG cities would be included,</t>
  </si>
  <si>
    <t>Column1</t>
  </si>
  <si>
    <t>Select Either Countywide Implementation OR Specific Cities for this calculation</t>
  </si>
  <si>
    <t>Step 1</t>
  </si>
  <si>
    <t>Countywide or City by City Implementation?</t>
  </si>
  <si>
    <t xml:space="preserve">Population </t>
  </si>
  <si>
    <t>Population Receiving Passes</t>
  </si>
  <si>
    <t>Transit Mode Share</t>
  </si>
  <si>
    <t>Mitigation Action Cost</t>
  </si>
  <si>
    <t>Annual Cost per VMT</t>
  </si>
  <si>
    <t>Implementation by Individual City</t>
  </si>
  <si>
    <t>Included in program?</t>
  </si>
  <si>
    <t>Annual Cost per VMT for City</t>
  </si>
  <si>
    <t>Atherton</t>
  </si>
  <si>
    <t>Cost of Annual Transit Pass per Person</t>
  </si>
  <si>
    <t>Use transit mode share estimates in C/CAG Model?</t>
  </si>
  <si>
    <t>Non-C/CAG model data sources must be based on substantial evidence, such as census data</t>
  </si>
  <si>
    <t>Belmont</t>
  </si>
  <si>
    <r>
      <t xml:space="preserve">Total Population in Pass Area </t>
    </r>
    <r>
      <rPr>
        <i/>
        <sz val="11"/>
        <color theme="1"/>
        <rFont val="Calibri"/>
        <family val="2"/>
        <scheme val="minor"/>
      </rPr>
      <t>(Countywide or Participating Cities)</t>
    </r>
  </si>
  <si>
    <t>(If "No" selected above): What transit mode share to use?</t>
  </si>
  <si>
    <t>Brisbane</t>
  </si>
  <si>
    <r>
      <t xml:space="preserve">Transit Pass Subsidy Amount </t>
    </r>
    <r>
      <rPr>
        <i/>
        <sz val="11"/>
        <color theme="1"/>
        <rFont val="Calibri"/>
        <family val="2"/>
        <scheme val="minor"/>
      </rPr>
      <t>(What % discount given to rider)</t>
    </r>
  </si>
  <si>
    <t>Burlingame</t>
  </si>
  <si>
    <t>Percent of Population Receiving Passes</t>
  </si>
  <si>
    <t>Colma</t>
  </si>
  <si>
    <t>Total Population Receiving Passes</t>
  </si>
  <si>
    <t>Daly City</t>
  </si>
  <si>
    <t>Annual Mitigation Action Cost</t>
  </si>
  <si>
    <t>East Palo Alto</t>
  </si>
  <si>
    <t>Annual Mitigation Action Costs with Admin Costs</t>
  </si>
  <si>
    <t>Foster City</t>
  </si>
  <si>
    <t>Half Moon Bay</t>
  </si>
  <si>
    <t>Hillsborough</t>
  </si>
  <si>
    <t>Menlo Park</t>
  </si>
  <si>
    <t>Millbrae</t>
  </si>
  <si>
    <t>Pacifica</t>
  </si>
  <si>
    <t>Portola Valley</t>
  </si>
  <si>
    <t>Redwood City</t>
  </si>
  <si>
    <t>San Bruno</t>
  </si>
  <si>
    <t>San Carlos</t>
  </si>
  <si>
    <t>San Mateo</t>
  </si>
  <si>
    <t>Woodside</t>
  </si>
  <si>
    <t>TOTAL</t>
  </si>
  <si>
    <t>Daily VMT Reduction (for years funded)</t>
  </si>
  <si>
    <t>This tab allows users to enter the specific number of passes that would be purchased in their community, to help right size this mitigation measure</t>
  </si>
  <si>
    <t>CAPCOA strategy T-9 Implement Subsidized or Discounted Transit Program was used to calculate the VMT reduction potential of providing Clipper Start/Bay Pass in the selected geography</t>
  </si>
  <si>
    <t>Step 1: Select if these passes will be distributed in a specific city or throughout the entire county</t>
  </si>
  <si>
    <t>Other considerations</t>
  </si>
  <si>
    <t>Countywide or City-Specific Implementation?</t>
  </si>
  <si>
    <t>Step 2: Select a City if passes are distributed within a specific city</t>
  </si>
  <si>
    <t>Which city are the passes being distributed?</t>
  </si>
  <si>
    <t>Step 3: Enter the cost per pass and the level of subsidy provided to riders</t>
  </si>
  <si>
    <t>Step 4: Enter the number of passes being purchased</t>
  </si>
  <si>
    <t>Number of Passes Purchased</t>
  </si>
  <si>
    <t>Area of Implementation</t>
  </si>
  <si>
    <t>VMT Reduction per Pass (Daily)</t>
  </si>
  <si>
    <t>VMT Reduction per Pass (Annual)</t>
  </si>
  <si>
    <t>Daily VMT Reductions - Passes Purchased</t>
  </si>
  <si>
    <t>Annual VMT Reductions - Passes Purchased</t>
  </si>
  <si>
    <t>Cost - Passes Purchase Price</t>
  </si>
  <si>
    <t>Cost - Admin Fees (if applicable)</t>
  </si>
  <si>
    <t>Total Mitigation Action Cost</t>
  </si>
  <si>
    <t>Please note, these results are NOT displayed in the green "Mitigation Summary" tabs. Those green tab summary tabs only display the results in the "5.) Clipper Start - Bay Pass" tab</t>
  </si>
  <si>
    <t>From: N:\Projects\2023_Projects\SF23-1321_CCAG_VMT_Mitigation\Analysis\Quantification\Model-Files\VMT Summary.xlsx</t>
  </si>
  <si>
    <t>Model Outputs - 2015</t>
  </si>
  <si>
    <t>Mode Share Percentages - 2015</t>
  </si>
  <si>
    <t>CCAG Model TAZ</t>
  </si>
  <si>
    <t>City</t>
  </si>
  <si>
    <t>County Code</t>
  </si>
  <si>
    <t>In San Mateo County?</t>
  </si>
  <si>
    <t>DA</t>
  </si>
  <si>
    <t>SR</t>
  </si>
  <si>
    <t>TRN</t>
  </si>
  <si>
    <t>BIKE</t>
  </si>
  <si>
    <t>WALK</t>
  </si>
  <si>
    <t>TOT</t>
  </si>
  <si>
    <t>% DA</t>
  </si>
  <si>
    <t>% SR</t>
  </si>
  <si>
    <t>% Drive</t>
  </si>
  <si>
    <t>%TRN</t>
  </si>
  <si>
    <t>% Bike</t>
  </si>
  <si>
    <t>% Walk</t>
  </si>
  <si>
    <t>% TOT</t>
  </si>
  <si>
    <t>Source: CCAG-VTA Model</t>
  </si>
  <si>
    <t>VMT Model Outputs - 2015</t>
  </si>
  <si>
    <t>Demographic - 2015</t>
  </si>
  <si>
    <t>VMT Efficiency Metrics - 2015</t>
  </si>
  <si>
    <t>Total Vehicle Trips</t>
  </si>
  <si>
    <t>Total VMT</t>
  </si>
  <si>
    <t>Total Home Based Vehicle Trips</t>
  </si>
  <si>
    <t>Total Home Based VMT</t>
  </si>
  <si>
    <t>Total Home Based Work Vehicle Trips</t>
  </si>
  <si>
    <t>Home Based Work Vehicle Trips</t>
  </si>
  <si>
    <t>Total Population</t>
  </si>
  <si>
    <t xml:space="preserve">Total Employment </t>
  </si>
  <si>
    <t>HB VMT per Resident</t>
  </si>
  <si>
    <t>HBW VMT per Employee</t>
  </si>
  <si>
    <t>Total VMT per Service Population</t>
  </si>
  <si>
    <t>COUNTY</t>
  </si>
  <si>
    <t>TOTHH</t>
  </si>
  <si>
    <t>HHPOP</t>
  </si>
  <si>
    <t>TOTPOP</t>
  </si>
  <si>
    <t>EMPRES</t>
  </si>
  <si>
    <t>SFHH</t>
  </si>
  <si>
    <t>MFHH</t>
  </si>
  <si>
    <t>RESACRE</t>
  </si>
  <si>
    <t>CIACRE</t>
  </si>
  <si>
    <t>TEMP</t>
  </si>
  <si>
    <t>RETEMP</t>
  </si>
  <si>
    <t>SEREMP</t>
  </si>
  <si>
    <t>OTHEMP</t>
  </si>
  <si>
    <t>AGEMP</t>
  </si>
  <si>
    <t>MANEMP</t>
  </si>
  <si>
    <t>WHOEMP</t>
  </si>
  <si>
    <t xml:space="preserve">This mitigation action would fund E-bike purchasing rebates, as a one-time expense, for people living within participating C/CAG cities. </t>
  </si>
  <si>
    <t>This measure uses an equation developed using data gathered on three Northern California e-bike rebate pilot programs, including one administered by Peninsula Clean Energy</t>
  </si>
  <si>
    <t>The specific inputs and assumptions used in this formula are available in the "Action 6 Calculations" tab</t>
  </si>
  <si>
    <t xml:space="preserve">VMT and cost calculations are based on the values in these yellow highlighted cells, including </t>
  </si>
  <si>
    <t>if administrative costs should be included in the mitigation action. User inputted assumptions must be supported by evidence.</t>
  </si>
  <si>
    <t>Mitigation Action Cost and Lifespan Assumptions</t>
  </si>
  <si>
    <t>Years Funded</t>
  </si>
  <si>
    <r>
      <t xml:space="preserve">Program Cost per E-Bike Bike Rebate </t>
    </r>
    <r>
      <rPr>
        <i/>
        <sz val="11"/>
        <color theme="1"/>
        <rFont val="Calibri"/>
        <family val="2"/>
        <scheme val="minor"/>
      </rPr>
      <t>(One-Time Expense)</t>
    </r>
  </si>
  <si>
    <t>E-Bikes for Everyone - Peninsula Clean Energy</t>
  </si>
  <si>
    <t>Program Lifespan</t>
  </si>
  <si>
    <t>Assumption</t>
  </si>
  <si>
    <t>Number of E-Rebates per Cycle</t>
  </si>
  <si>
    <t>User Assumption</t>
  </si>
  <si>
    <t>Lifespan per Bike</t>
  </si>
  <si>
    <t xml:space="preserve">Total Rebates Distributed over </t>
  </si>
  <si>
    <t>Rebate Cycles</t>
  </si>
  <si>
    <r>
      <t xml:space="preserve">E-Bike Rebate Program Cost </t>
    </r>
    <r>
      <rPr>
        <i/>
        <sz val="11"/>
        <color theme="1"/>
        <rFont val="Calibri"/>
        <family val="2"/>
        <scheme val="minor"/>
      </rPr>
      <t>(One-Time Expense)</t>
    </r>
  </si>
  <si>
    <t>-</t>
  </si>
  <si>
    <r>
      <t xml:space="preserve">E-Bike Rebate Program Cost </t>
    </r>
    <r>
      <rPr>
        <i/>
        <sz val="11"/>
        <color theme="1"/>
        <rFont val="Calibri"/>
        <family val="2"/>
        <scheme val="minor"/>
      </rPr>
      <t>(with admin costs - if applicable)</t>
    </r>
    <r>
      <rPr>
        <b/>
        <sz val="11"/>
        <color theme="1"/>
        <rFont val="Calibri"/>
        <family val="2"/>
        <scheme val="minor"/>
      </rPr>
      <t xml:space="preserve"> </t>
    </r>
  </si>
  <si>
    <t>Daily Home-Based VMT Reduction</t>
  </si>
  <si>
    <t>Cost of Mitigation Action (Lifespan)</t>
  </si>
  <si>
    <t>Cost per VMT (Lifespan)</t>
  </si>
  <si>
    <t>Annual Home-Based VMT Reduction</t>
  </si>
  <si>
    <t>This mitigation action would fund Community-Based Travel education throughout San Mateo County. Community-Based Travel Education involves teams of trained travel advisors visiting households in a target area, having tailored conversations about travel needs,</t>
  </si>
  <si>
    <t xml:space="preserve">and educating residents about their various transportation options. </t>
  </si>
  <si>
    <r>
      <t>CAPCOA strategy T-23</t>
    </r>
    <r>
      <rPr>
        <i/>
        <sz val="11"/>
        <rFont val="Calibri"/>
        <family val="2"/>
        <scheme val="minor"/>
      </rPr>
      <t xml:space="preserve"> Provide Community-Based Travel Planning</t>
    </r>
    <r>
      <rPr>
        <sz val="11"/>
        <rFont val="Calibri"/>
        <family val="2"/>
        <scheme val="minor"/>
      </rPr>
      <t xml:space="preserve"> was used to calculate the VMT reduction potential of this mitigation action. </t>
    </r>
  </si>
  <si>
    <t>The calculation methodology will be completed on a city-by-city basis. These calculations use VMT and population data from the C/CAG/VTA Travel Demand Model. Per CAPCOA, this measure is only applied to home-based VMT</t>
  </si>
  <si>
    <t>VMT and cost calculations are based on the values in these yellow highlighted cells, including which city is undergoing CBTP, the percent of the community that is targeted with CBTP, if administrative costs should be</t>
  </si>
  <si>
    <t xml:space="preserve"> included in the mitigation action.</t>
  </si>
  <si>
    <t>Percent of Plan/Community that is Targeted with Community-Based Travel Planning</t>
  </si>
  <si>
    <r>
      <t xml:space="preserve">City Receiving Community Based Travel Planning </t>
    </r>
    <r>
      <rPr>
        <i/>
        <sz val="11"/>
        <color theme="1"/>
        <rFont val="Calibri"/>
        <family val="2"/>
        <scheme val="minor"/>
      </rPr>
      <t>(user selection</t>
    </r>
    <r>
      <rPr>
        <b/>
        <sz val="11"/>
        <color theme="1"/>
        <rFont val="Calibri"/>
        <family val="2"/>
        <scheme val="minor"/>
      </rPr>
      <t>)</t>
    </r>
  </si>
  <si>
    <t>Countywide</t>
  </si>
  <si>
    <t>Number of Households in City</t>
  </si>
  <si>
    <t>Number of Households Targeted by Program in City</t>
  </si>
  <si>
    <t>Annual Program Cost per Household</t>
  </si>
  <si>
    <t>Annual Home Based VMT Reduction</t>
  </si>
  <si>
    <t xml:space="preserve">This mitigation action would fund the installation of mobility hubs at several locations throughout San Mateo County. </t>
  </si>
  <si>
    <t>The default tool inputs assumes that five mobility hubs, each of which include electric carshare, electric bikeshare, and scootershare will be included in the mitigation action.</t>
  </si>
  <si>
    <r>
      <t>CAPCOA measures T-21B</t>
    </r>
    <r>
      <rPr>
        <i/>
        <sz val="11"/>
        <color theme="1"/>
        <rFont val="Calibri"/>
        <family val="2"/>
        <scheme val="minor"/>
      </rPr>
      <t xml:space="preserve"> Implement Electric Carshare Program</t>
    </r>
    <r>
      <rPr>
        <sz val="11"/>
        <color theme="1"/>
        <rFont val="Calibri"/>
        <family val="2"/>
        <scheme val="minor"/>
      </rPr>
      <t xml:space="preserve">, T-22B </t>
    </r>
    <r>
      <rPr>
        <i/>
        <sz val="11"/>
        <color theme="1"/>
        <rFont val="Calibri"/>
        <family val="2"/>
        <scheme val="minor"/>
      </rPr>
      <t>Implement Electric Bikeshare Program</t>
    </r>
    <r>
      <rPr>
        <sz val="11"/>
        <color theme="1"/>
        <rFont val="Calibri"/>
        <family val="2"/>
        <scheme val="minor"/>
      </rPr>
      <t xml:space="preserve">, and T-22C </t>
    </r>
    <r>
      <rPr>
        <i/>
        <sz val="11"/>
        <color theme="1"/>
        <rFont val="Calibri"/>
        <family val="2"/>
        <scheme val="minor"/>
      </rPr>
      <t xml:space="preserve">Implement Scootershare Program </t>
    </r>
    <r>
      <rPr>
        <sz val="11"/>
        <color theme="1"/>
        <rFont val="Calibri"/>
        <family val="2"/>
        <scheme val="minor"/>
      </rPr>
      <t>were used to calculate the VMT reduction potential of this mitigation action.</t>
    </r>
  </si>
  <si>
    <t xml:space="preserve">These calculations use VMT and population data from the C/CAG/VTA Travel Demand Model. This quantification method uses total VMT associated with TAZs within 1/4 mile of each mobility hub to estimate the VMT reduction. </t>
  </si>
  <si>
    <t xml:space="preserve">VMT and cost calculations are based on the values in these yellow highlighted cells, including the number of carshare vehicles per mobility hub, the estimated cost per improvement, and if administrative costs should be included in the </t>
  </si>
  <si>
    <t>mitigation action.</t>
  </si>
  <si>
    <t>Mobility Hub Location</t>
  </si>
  <si>
    <t>Number of Electric Carshare Vehicles per Mobility Hub</t>
  </si>
  <si>
    <t>Number of Electric Bikes per Mobility Hub</t>
  </si>
  <si>
    <t>Number of Scooters per Mobility Hub</t>
  </si>
  <si>
    <t>Mobility Hub Mode</t>
  </si>
  <si>
    <t>Cost per Vehicle</t>
  </si>
  <si>
    <t>Note</t>
  </si>
  <si>
    <t>Electric Car Share Vehicle</t>
  </si>
  <si>
    <t>E-Bike</t>
  </si>
  <si>
    <t>Includes operational costs and charging equipment</t>
  </si>
  <si>
    <t>Electric Scooter</t>
  </si>
  <si>
    <t>Annual Program Cost for Electric Vehicles</t>
  </si>
  <si>
    <t>Annual Program Cost for E-Bikes</t>
  </si>
  <si>
    <t>Annual Program Cost for E-Scooters</t>
  </si>
  <si>
    <t>Area Included in Mitigation Action?</t>
  </si>
  <si>
    <t>Annual Cost of Mitigation Action</t>
  </si>
  <si>
    <t>VMT Reduction and Cost per VMT Reduced</t>
  </si>
  <si>
    <t>This mitigation action would fund micromobility services throughout a city an electric bikeshare program throughout San Mateo County. This measure is different from Measure #8: Mobility Hubs, as it is not tied to a specific geographic location in a city</t>
  </si>
  <si>
    <t>This measure could fund services such as bike and scooter share. The calculation below is based on a city-by-city implementation of electric bike share.</t>
  </si>
  <si>
    <t>CAPCOA strategy T-22B Implement Electric Bikeshare Program was used to calculate the VMT reduction potential of this mitigation action.</t>
  </si>
  <si>
    <t xml:space="preserve">VMT and cost calculations are based on the values in these yellow highlighted cells, including the cities participating in the E-Bike share program, the estimated cost per E-Bike, and if administrative and design costs should be included in the </t>
  </si>
  <si>
    <t>City Name</t>
  </si>
  <si>
    <t>Annual VMT Reduction with Measure</t>
  </si>
  <si>
    <r>
      <t xml:space="preserve">Number of E-Bikes </t>
    </r>
    <r>
      <rPr>
        <sz val="11"/>
        <color theme="1"/>
        <rFont val="Calibri"/>
        <family val="2"/>
        <scheme val="minor"/>
      </rPr>
      <t>(for cost calculations only)</t>
    </r>
  </si>
  <si>
    <t>Annual Program Cost per E-Bike Bike per year</t>
  </si>
  <si>
    <t xml:space="preserve">Rough cost estimate based on Washington DC and LA Metro programs </t>
  </si>
  <si>
    <t>Number of E-Bikes</t>
  </si>
  <si>
    <t>E-Bike Share Annual Program Cost</t>
  </si>
  <si>
    <t>E-Bike Share (with admin costs - if applicable) Annual Program Cost</t>
  </si>
  <si>
    <t>Mitigation Action Implementation Scale</t>
  </si>
  <si>
    <t>Share of Households within 0.25 miles of bikeshare station or within dockless bikeshare area</t>
  </si>
  <si>
    <t xml:space="preserve">User assumption, calculate this value based on the location of hubs (if a docked bikeshare system) or the size of a dockless bikeshare service area. </t>
  </si>
  <si>
    <t>Lifespan Assumptions</t>
  </si>
  <si>
    <t>Lifespan (years)</t>
  </si>
  <si>
    <t>This mitigation action would expand the service hours of two existing on-demand transit systems - called SamTrans Ride Plus</t>
  </si>
  <si>
    <t>These microtransit/shuttle services are currently provided in East Palo Alto/Belle Haven and in Half Moon Bay</t>
  </si>
  <si>
    <t>CAPCOA strategy T-25 Extend Transit Network Coverage or Hours was used to calculate the VMT reduction potential of an on-demand shuttle service in participating cities in San Mateo County.</t>
  </si>
  <si>
    <t xml:space="preserve">This quantification method uses total VMT from the TAZs within each shuttle's service area. </t>
  </si>
  <si>
    <t xml:space="preserve">VMT and cost calculations are based on the values in these yellow highlighted cells, including cost information, the lifespan of the program, and if administrative and design costs should be included in the </t>
  </si>
  <si>
    <t>East Palo Alto/Belle Haven</t>
  </si>
  <si>
    <t>Existing Service Hours</t>
  </si>
  <si>
    <t>Revenue Service Hour Cost</t>
  </si>
  <si>
    <t>SamTrans Short-Range Transit Plan FY 2019-2028 and LA Metro's Microtransit Program</t>
  </si>
  <si>
    <t>Proposed Service Hours</t>
  </si>
  <si>
    <t>Annual Cost of Expansion</t>
  </si>
  <si>
    <t>Include in Program?</t>
  </si>
  <si>
    <r>
      <t xml:space="preserve">Total Reductions </t>
    </r>
    <r>
      <rPr>
        <i/>
        <sz val="11"/>
        <color theme="1"/>
        <rFont val="Calibri"/>
        <family val="2"/>
        <scheme val="minor"/>
      </rPr>
      <t>(selected service areas)</t>
    </r>
  </si>
  <si>
    <r>
      <rPr>
        <b/>
        <sz val="11"/>
        <color theme="1"/>
        <rFont val="Calibri"/>
        <family val="2"/>
        <scheme val="minor"/>
      </rPr>
      <t xml:space="preserve">Annual Cost of Expansion </t>
    </r>
    <r>
      <rPr>
        <i/>
        <sz val="11"/>
        <color theme="1"/>
        <rFont val="Calibri"/>
        <family val="2"/>
        <scheme val="minor"/>
      </rPr>
      <t>(with admin costs)</t>
    </r>
  </si>
  <si>
    <t>VMT Daily Reduction (for years funded)</t>
  </si>
  <si>
    <t>This mitigation action would fund Electric Vehicle chargers at the five mobility hub locations listed in Mitigation Action #8 - Mobility Hubs</t>
  </si>
  <si>
    <t xml:space="preserve">This measure, and its associated costs, only accounts for electrification expenses and does not account for the capital costs of building new parking spaces. </t>
  </si>
  <si>
    <t>Calculation Methodology</t>
  </si>
  <si>
    <t>This measure uses the data and assumptions included in the San Mateo County Regionally Integrated Climate Action Planning Suite (RICAPS) calculations.</t>
  </si>
  <si>
    <t>This measure does not have a VMT benefit, as electric vehicles still generate VMT. This measure only reduces greenhouse gas emissions.</t>
  </si>
  <si>
    <t>GHG reductions and cost calculation are based on the values in these yellow highlighted cells, including cost assumptions, charger lifespan,</t>
  </si>
  <si>
    <t>and if administration costs should be included in the cost estimates.</t>
  </si>
  <si>
    <t>Number of Charging Spaces</t>
  </si>
  <si>
    <r>
      <t xml:space="preserve">Cost of Chargers </t>
    </r>
    <r>
      <rPr>
        <i/>
        <sz val="11"/>
        <color theme="1"/>
        <rFont val="Calibri"/>
        <family val="2"/>
        <scheme val="minor"/>
      </rPr>
      <t>(with admin costs)</t>
    </r>
  </si>
  <si>
    <r>
      <rPr>
        <b/>
        <sz val="11"/>
        <color rgb="FF000000"/>
        <rFont val="Calibri"/>
        <family val="2"/>
        <scheme val="minor"/>
      </rPr>
      <t xml:space="preserve">1-Year Net Total Emissions Impact </t>
    </r>
    <r>
      <rPr>
        <i/>
        <sz val="11"/>
        <color rgb="FF000000"/>
        <rFont val="Calibri"/>
        <family val="2"/>
        <scheme val="minor"/>
      </rPr>
      <t>(MT of C02e per Year)</t>
    </r>
  </si>
  <si>
    <r>
      <t xml:space="preserve">Lifespan Net Total Emissions Impact </t>
    </r>
    <r>
      <rPr>
        <i/>
        <sz val="11"/>
        <color theme="1"/>
        <rFont val="Calibri"/>
        <family val="2"/>
        <scheme val="minor"/>
      </rPr>
      <t>(MT of C02e per Year)</t>
    </r>
  </si>
  <si>
    <r>
      <t xml:space="preserve">Cost per Charger </t>
    </r>
    <r>
      <rPr>
        <i/>
        <sz val="11"/>
        <color theme="1"/>
        <rFont val="Calibri"/>
        <family val="2"/>
        <scheme val="minor"/>
      </rPr>
      <t>(does not include cost of building the parking space itself, just the charging infrastructure)</t>
    </r>
  </si>
  <si>
    <t>Charger Lifespan</t>
  </si>
  <si>
    <t>Additional location (if applicable)</t>
  </si>
  <si>
    <t>Charger Lifespan (years)</t>
  </si>
  <si>
    <t>GHG Reduction Potential and Program Costs</t>
  </si>
  <si>
    <t>GHG Reduction and Cost per MT of C02e Reduced</t>
  </si>
  <si>
    <r>
      <t xml:space="preserve">1-Year Net Total Emissions Impact </t>
    </r>
    <r>
      <rPr>
        <i/>
        <sz val="11"/>
        <color theme="1"/>
        <rFont val="Calibri"/>
        <family val="2"/>
        <scheme val="minor"/>
      </rPr>
      <t>(MT of C02e per Year)</t>
    </r>
  </si>
  <si>
    <r>
      <rPr>
        <b/>
        <sz val="11"/>
        <color rgb="FF000000"/>
        <rFont val="Calibri"/>
        <family val="2"/>
        <scheme val="minor"/>
      </rPr>
      <t xml:space="preserve">Lifespan Net Total Emissions Impact </t>
    </r>
    <r>
      <rPr>
        <i/>
        <sz val="11"/>
        <color rgb="FF000000"/>
        <rFont val="Calibri"/>
        <family val="2"/>
        <scheme val="minor"/>
      </rPr>
      <t>(MT of C02e per Year)</t>
    </r>
  </si>
  <si>
    <t>Cost per MT of C02e (1-Year)</t>
  </si>
  <si>
    <t>Cost per MT of C02e (Lifespan)</t>
  </si>
  <si>
    <t>This mitigation action would fund Class I, II, III, and IV bicycle infrastructure throughout San Mateo County. Six Class II and IV infrastructure projects were selected to estimate the VMT reduction potential of this mitigation action.</t>
  </si>
  <si>
    <t>A California Air Resources Board (CARB) VMT quantification method was used to calculate the mitigation potential of Class II and Class IV infrastructure in each area.</t>
  </si>
  <si>
    <t xml:space="preserve">This includes conversions of existing Class II facilities into Class IV infrastructure. The conversion of existing facilities uses different formula inputs, to account for the VMT reductions of the existing bike lane. </t>
  </si>
  <si>
    <t>VMT and cost calculations are based on the values in these yellow highlighted cells, including the capital costs of each project, the expected lifespan of these active transportation improvements,</t>
  </si>
  <si>
    <t>and if design and administrative costs should be included in the mitigation action. User inputted assumptions must be supported by defensible evidence</t>
  </si>
  <si>
    <t>See 12a.) tab for non listed projects</t>
  </si>
  <si>
    <t>Please use tab "12a.) CustomBicycleProject" to estimate the VMT reduction benefit of projects that are not listed below</t>
  </si>
  <si>
    <t>Cost and Lifespan Assumptions for the six example projects</t>
  </si>
  <si>
    <t>Bike Lane Improvement Projects - Daly City and South San Francisco</t>
  </si>
  <si>
    <t>Bike Lane Improvement Projects - Daly City, Pacifica, and San Bruno (Skyline Blvd)</t>
  </si>
  <si>
    <t>Daly City and South San Francisco</t>
  </si>
  <si>
    <t>Daly City, Pacifica, and San Bruno</t>
  </si>
  <si>
    <t>Cost per Mile</t>
  </si>
  <si>
    <t>Class I</t>
  </si>
  <si>
    <t>Facility Length (miles)</t>
  </si>
  <si>
    <t>Class II</t>
  </si>
  <si>
    <t>Class II to Class IV Conversion</t>
  </si>
  <si>
    <t>Mitigation Action Cost with Facility Length</t>
  </si>
  <si>
    <t>Class IV</t>
  </si>
  <si>
    <t>Included in Mitigation Action?</t>
  </si>
  <si>
    <t>Bike Lane Improvement Projects - Coastside</t>
  </si>
  <si>
    <t>Bike Lane Improvement Projects - East Palo Alto</t>
  </si>
  <si>
    <t>Project Lifespan Assumption</t>
  </si>
  <si>
    <t>Coastside (Pacifica, Half Moon Bay)</t>
  </si>
  <si>
    <t>Project Lifespan (years)</t>
  </si>
  <si>
    <t>Facility Type (for formula)</t>
  </si>
  <si>
    <t>Bike Lane Improvement Projects - Belmont and Redwood City</t>
  </si>
  <si>
    <t>Bike Lane Improvement Projects - San Carlos</t>
  </si>
  <si>
    <t>Belmont and Redwood City</t>
  </si>
  <si>
    <t>Facility</t>
  </si>
  <si>
    <t xml:space="preserve">Annual VMT Reduction </t>
  </si>
  <si>
    <t>Coastside</t>
  </si>
  <si>
    <t xml:space="preserve">San Carlos </t>
  </si>
  <si>
    <t>Total</t>
  </si>
  <si>
    <t xml:space="preserve">Use the estimates below or use the results in tab "12.) CustomBikeProject" in this workbook's "Mitigation Summary" (green) tabs?
</t>
  </si>
  <si>
    <t>Change this option in tab 12a.) CustomBikeProject</t>
  </si>
  <si>
    <t>Daily VMT Reduction (selected facilities)</t>
  </si>
  <si>
    <t>Lifespan Daily VMT Reduction (selected areas)</t>
  </si>
  <si>
    <t>Cost of Mitigation Action  - Single Year</t>
  </si>
  <si>
    <t>Lifespan Cost of Mitigation Action</t>
  </si>
  <si>
    <t>Annual VMT Reduction  (selected facilities)</t>
  </si>
  <si>
    <t>Lifespan VMT Reduction (selected areas)</t>
  </si>
  <si>
    <t>Cost of Mitigation Action  - 1 Year</t>
  </si>
  <si>
    <t xml:space="preserve">Custom Bicycle Infrastructure </t>
  </si>
  <si>
    <t>This workbook tab allows users to input the specific details of bicycle project that is not included in the "12.) Bicycle Infrastructure" tab. Users can input their project specific information and receive a VMT reduction estimate</t>
  </si>
  <si>
    <t>Cost and Lifespan Assumptions for custom bicycle projects</t>
  </si>
  <si>
    <t>Please use the user guide to the right when making user inputs for this section ---&gt;</t>
  </si>
  <si>
    <t>User Guide</t>
  </si>
  <si>
    <t>1.) Enter project street name (up to three projects or project segments can be entered)</t>
  </si>
  <si>
    <t>2.) Select facility type - if project has multiple types of bicycle infrastructure (e.g. northern half of a project is Class I and southern half is Class II, enter the project segments separately)</t>
  </si>
  <si>
    <t>3.) Select facility length of each segment in miles</t>
  </si>
  <si>
    <t>Additional Bike Lane Improvement Projects</t>
  </si>
  <si>
    <t>Enter project information in these highlighted cells</t>
  </si>
  <si>
    <t>4.) Enter daily traffic on roadway segment</t>
  </si>
  <si>
    <t>Street Name</t>
  </si>
  <si>
    <t>Example Blvd 
(Not included in VMT Estimates, for reference only)</t>
  </si>
  <si>
    <t>5.) Select the number of key destinations (schools, parks, banks, supermarkets etc..) in the vicinity of the project site (within 0.25 or 0.5 miles of project)</t>
  </si>
  <si>
    <t>6.) What is the distance of these destinations? A high number of closer destinations is expected to have a higher VMT reduction potential. See Destination Credit Guide below</t>
  </si>
  <si>
    <t>ADT</t>
  </si>
  <si>
    <t>Destination Credit Guide</t>
  </si>
  <si>
    <t># of Destinations</t>
  </si>
  <si>
    <t>4 to 6</t>
  </si>
  <si>
    <t>7 or more</t>
  </si>
  <si>
    <t xml:space="preserve">Destination Credits </t>
  </si>
  <si>
    <t>Distance of Destinations</t>
  </si>
  <si>
    <t>Within 1/4 mile</t>
  </si>
  <si>
    <t>Within 1/2 mile</t>
  </si>
  <si>
    <t>Include segment in Calculation Estimate</t>
  </si>
  <si>
    <t>Less than 3</t>
  </si>
  <si>
    <t>Estimated Project Capital Cost</t>
  </si>
  <si>
    <t>Estimate Project Cost (with design and admin costs - if applicable)</t>
  </si>
  <si>
    <t>Key Destination Examples:</t>
  </si>
  <si>
    <t>banks, post offices, grocery stores, medical centers, pharmacies, office parks, place of worship, libraries, schools</t>
  </si>
  <si>
    <t>universities, colleges, and light rail stations</t>
  </si>
  <si>
    <t>Multiple Key Destinations:</t>
  </si>
  <si>
    <t>The largest value of each relevant credit column should be used if there are many activity centers near the project</t>
  </si>
  <si>
    <t>For example, if there are 7 or more destinations within 0.5 miles, but 4 to 6 within 0.25 miles, the 4-6 destination credit should be used.</t>
  </si>
  <si>
    <t>Use the estimates in the 12a.) CustomBikeProject Tab</t>
  </si>
  <si>
    <t>Use the estimates in the 12.) Bicycle Infrastructure Tab</t>
  </si>
  <si>
    <t>Use the estimates below or use the results in tab "12.) Bicycle Infrastructure" in this workbook's "Mitigation Summary" (green) tabs?</t>
  </si>
  <si>
    <t>Daily VMT Reduction  (selected facilities)</t>
  </si>
  <si>
    <t>Cost per VMT (1-Year)</t>
  </si>
  <si>
    <t>This mitigation action would fund the installation of pedestrian improvements, such as segments of sidewalk improvements or adding pedestrian crossing upgrades.</t>
  </si>
  <si>
    <t>These calculations use the number of pedestrians using existing facilities and applies a growth factor to that pedestrian volume to estimate its VMT benefits</t>
  </si>
  <si>
    <t>A California Air Resources Board (CARB) VMT quantification method was used to calculate the mitigation potential of this mitigation action.</t>
  </si>
  <si>
    <t>This quantification method uses pedestrian count data and walking trip length data to estimate the VMT reduction.</t>
  </si>
  <si>
    <t>VMT and cost calculations are based on the values in these yellow highlighted cells, including the number of pedestrian improvements, the estimated cost per improvement, if administrative and design costs should be included in the mitigation action,</t>
  </si>
  <si>
    <t>and data about pedestrian volumes at crossing improvement intersections or sidewalk screenlines. User inputted assumptions must be supported by defensible evidence.</t>
  </si>
  <si>
    <t>Pedestrian Count and Number of Improvements</t>
  </si>
  <si>
    <r>
      <rPr>
        <b/>
        <sz val="11"/>
        <color rgb="FF000000"/>
        <rFont val="Calibri"/>
        <family val="2"/>
        <scheme val="minor"/>
      </rPr>
      <t xml:space="preserve">Average Pedestrian Hourly Count </t>
    </r>
    <r>
      <rPr>
        <i/>
        <sz val="11"/>
        <color rgb="FF000000"/>
        <rFont val="Calibri"/>
        <family val="2"/>
        <scheme val="minor"/>
      </rPr>
      <t>(from sidewalk screenlines or from nearby intersections)</t>
    </r>
  </si>
  <si>
    <r>
      <t xml:space="preserve">Cost per Improvement </t>
    </r>
    <r>
      <rPr>
        <i/>
        <sz val="11"/>
        <color theme="1"/>
        <rFont val="Calibri"/>
        <family val="2"/>
        <scheme val="minor"/>
      </rPr>
      <t>(per crossing, or per segment of sidewalk)</t>
    </r>
  </si>
  <si>
    <t>Number of Pedestrian Improvements</t>
  </si>
  <si>
    <t>VMT Reduction</t>
  </si>
  <si>
    <t>Annual VMT Reduction per Improvement</t>
  </si>
  <si>
    <t>Number of Improvements</t>
  </si>
  <si>
    <t>Cost of Improvements</t>
  </si>
  <si>
    <t>Cost of Improvements (with design and admin costs</t>
  </si>
  <si>
    <t>Lifespan Daily VMT Reduction</t>
  </si>
  <si>
    <t>Lifespan VMT Reduction</t>
  </si>
  <si>
    <t xml:space="preserve">This measure would fund parking management infrastructure in downtowns and other high activity areas with high parking demand. The measure would fund the installation of meters and other parking payment collection methods. </t>
  </si>
  <si>
    <t xml:space="preserve">This measure is for one-time capital expenses associated with these parking systems, and does not cover ongoing operational expenses. Revenues collected by these parking management systems could be dedicated towards those expenses. </t>
  </si>
  <si>
    <t xml:space="preserve">CAPCOA strategy T-24  Implement Market Price Public Parking (On-Street) was used to calculate the VMT reduction potential of charging, or increasing the price, of paid parking within 3 example downtowns in San Mateo County. </t>
  </si>
  <si>
    <t>VMT information was gathered using information from the CCAG travel demand model. Only TAZs within each downtown area was selected for this analysis</t>
  </si>
  <si>
    <t>VMT and cost calculations are based on the values in these yellow highlighted cells, including the current price of on-street parking, the proposed parking price increase, and the share of cars that park on street vs off street.</t>
  </si>
  <si>
    <t xml:space="preserve">This includes if administrative costs should be included in the mitigation action. </t>
  </si>
  <si>
    <t>Parking District</t>
  </si>
  <si>
    <t>Downtown San Mateo</t>
  </si>
  <si>
    <t>Downtown Redwood City</t>
  </si>
  <si>
    <t>Downtown Burlingame</t>
  </si>
  <si>
    <r>
      <t xml:space="preserve">Current Parking Price </t>
    </r>
    <r>
      <rPr>
        <i/>
        <sz val="11"/>
        <color theme="1"/>
        <rFont val="Calibri"/>
        <family val="2"/>
        <scheme val="minor"/>
      </rPr>
      <t>(min $0, max $5)</t>
    </r>
  </si>
  <si>
    <r>
      <rPr>
        <b/>
        <sz val="11"/>
        <color rgb="FF000000"/>
        <rFont val="Calibri"/>
        <family val="2"/>
        <scheme val="minor"/>
      </rPr>
      <t xml:space="preserve">Proposed Parking Price </t>
    </r>
    <r>
      <rPr>
        <i/>
        <sz val="11"/>
        <color rgb="FF000000"/>
        <rFont val="Calibri"/>
        <family val="2"/>
        <scheme val="minor"/>
      </rPr>
      <t>(min $1, max $5)</t>
    </r>
  </si>
  <si>
    <r>
      <rPr>
        <b/>
        <sz val="11"/>
        <color rgb="FF000000"/>
        <rFont val="Calibri"/>
        <family val="2"/>
        <scheme val="minor"/>
      </rPr>
      <t xml:space="preserve">Percent of Vehicles Parking On-Street </t>
    </r>
    <r>
      <rPr>
        <i/>
        <sz val="11"/>
        <color rgb="FF000000"/>
        <rFont val="Calibri"/>
        <family val="2"/>
        <scheme val="minor"/>
      </rPr>
      <t>(max 75%)</t>
    </r>
  </si>
  <si>
    <r>
      <t>Parking System Cost</t>
    </r>
    <r>
      <rPr>
        <sz val="11"/>
        <color theme="1"/>
        <rFont val="Calibri"/>
        <family val="2"/>
        <scheme val="minor"/>
      </rPr>
      <t xml:space="preserve"> - with admin costs</t>
    </r>
  </si>
  <si>
    <t>Area Included in VMT Estimates</t>
  </si>
  <si>
    <t>Daily VMT Reduction (selected Areas)</t>
  </si>
  <si>
    <t>Annual VMT Reduction (selected Areas)</t>
  </si>
  <si>
    <t>CAPCOA T-26 Increase Transit Service Frequency</t>
  </si>
  <si>
    <t>This CAPCOA formula estimates the percentage reduction in VMT in an area from increasing transit service frequency. This percentage reduction will be applied to TAZ level VMT for TAZs within 0.5 miles of a Caltrain station</t>
  </si>
  <si>
    <t xml:space="preserve">Step 1.) Calculate VMT reduction percentage </t>
  </si>
  <si>
    <t>Variable</t>
  </si>
  <si>
    <t>Value</t>
  </si>
  <si>
    <t>Notes</t>
  </si>
  <si>
    <t>B - Percent increase in transit frequency</t>
  </si>
  <si>
    <t>Based on user assumption</t>
  </si>
  <si>
    <t>Measured as the percentage increase in the number of train arrivals per hour</t>
  </si>
  <si>
    <t xml:space="preserve">C - Level of implementation </t>
  </si>
  <si>
    <t>This CAPCOA variable accounts for a portion of a broader transit network receiving an increase in service. 
For Caltrain, in this mitigation action, Caltrain service area was selected using GIS analysis. This variable is 50% due to proximity to Route ECR, which broadly has the same service area.</t>
  </si>
  <si>
    <t>D - Elasticity of transit ridership with respect to frequency of service</t>
  </si>
  <si>
    <t>CAPCOA Constant Variable</t>
  </si>
  <si>
    <t>Handy et al. 2013</t>
  </si>
  <si>
    <t>E - Transit mode share in plan/community</t>
  </si>
  <si>
    <t>C/CAG/VTA Travel Demand Model</t>
  </si>
  <si>
    <t>Model 2015 Scenario</t>
  </si>
  <si>
    <t>F - Vehicle mode share in plan/community</t>
  </si>
  <si>
    <t>G - Statewide mode shift factor</t>
  </si>
  <si>
    <t>FHWA 2017</t>
  </si>
  <si>
    <t>Daily VMT Reduction Percentage</t>
  </si>
  <si>
    <t>VMT Reduction Formula</t>
  </si>
  <si>
    <t>Percent Reduction =</t>
  </si>
  <si>
    <t>(C * -1) ((B*E*D*G)/F)</t>
  </si>
  <si>
    <t>Step 2.) Calculate the VMT within 0.5 miles of Caltrain stations</t>
  </si>
  <si>
    <t>Population and VMT data that are necessary for these calculations was pulled by City from the C/CAG-VTA Travel Demand Model.</t>
  </si>
  <si>
    <t>Number of TAZs within 0.5 miles of station</t>
  </si>
  <si>
    <t>Population in Area (for reference purposes only)</t>
  </si>
  <si>
    <t>Total Daily VMT within station areas</t>
  </si>
  <si>
    <t>Step 3.) Apply the CAPCOA percentage Reduction to the Area VMT</t>
  </si>
  <si>
    <t>CAPCOA Percentage Reduction</t>
  </si>
  <si>
    <t>Step 4.) Convert the daily VMT reductions to annual VMT reductions</t>
  </si>
  <si>
    <t>Next, the daily VMT reductions was converted to annual VMT reductions.</t>
  </si>
  <si>
    <t>Days</t>
  </si>
  <si>
    <t xml:space="preserve">Step 5.) Account for express trains along route </t>
  </si>
  <si>
    <t>Caltrain runs a combination of local and express train services.</t>
  </si>
  <si>
    <t>The agency's electrified service plan is presented below for reference purposes</t>
  </si>
  <si>
    <t>Percentage of Local</t>
  </si>
  <si>
    <t>Number of Stations Served by Local Trains</t>
  </si>
  <si>
    <t>Number of Stations Served by Express Trains</t>
  </si>
  <si>
    <t>This formula adjusts the percentage increase in transit service in the CAPCOA formula (Variable B) to account for trains not stopping at all stations. It gives express trains half the credit, as they only serve half the stations</t>
  </si>
  <si>
    <r>
      <t xml:space="preserve">Existing Trains per Hour per Direction </t>
    </r>
    <r>
      <rPr>
        <i/>
        <sz val="11"/>
        <color theme="1"/>
        <rFont val="Calibri"/>
        <family val="2"/>
        <scheme val="minor"/>
      </rPr>
      <t>(average)</t>
    </r>
  </si>
  <si>
    <r>
      <t xml:space="preserve">Future Trains per Hour per Direction </t>
    </r>
    <r>
      <rPr>
        <sz val="11"/>
        <color theme="1"/>
        <rFont val="Calibri"/>
        <family val="2"/>
        <scheme val="minor"/>
      </rPr>
      <t>(</t>
    </r>
    <r>
      <rPr>
        <i/>
        <sz val="11"/>
        <color theme="1"/>
        <rFont val="Calibri"/>
        <family val="2"/>
        <scheme val="minor"/>
      </rPr>
      <t>average)</t>
    </r>
  </si>
  <si>
    <r>
      <t xml:space="preserve">New Trains per Hour per Direction </t>
    </r>
    <r>
      <rPr>
        <i/>
        <sz val="11"/>
        <color theme="1"/>
        <rFont val="Calibri"/>
        <family val="2"/>
        <scheme val="minor"/>
      </rPr>
      <t>(with service expansion)</t>
    </r>
  </si>
  <si>
    <t>Local Trains per Hour per Direction</t>
  </si>
  <si>
    <t>Adjusted Service Frequency Increase</t>
  </si>
  <si>
    <t>This mitigation measure estimates the VMT reduction potential of increasing the frequency of SamTrans Route ECR.</t>
  </si>
  <si>
    <t>This variable accounts for calculations where only part of a transit network receives improvements. This Route ECR calculation and the data used for this analysis was tailored to evaluate a single transit route, and model data was pulled for the Route ECR service area only (defined as TAZs within 0.5 miles of a bus stop. This variable is 50% due to the presence of Caltrain, which broadly operates in the same service area.</t>
  </si>
  <si>
    <t>Handey et al. 2013</t>
  </si>
  <si>
    <t>FHWA 2017b</t>
  </si>
  <si>
    <t>-C * (B*E*D*G)/F</t>
  </si>
  <si>
    <t>The information in the two rows below is provided for reference purposes.</t>
  </si>
  <si>
    <t>Number of TAZs within 0.5 miles of Route ECR Bus Stop</t>
  </si>
  <si>
    <t>Step 2.) Apply CAPCOA reduction percentage to area VMT</t>
  </si>
  <si>
    <t>Total Daily VMT within Route ECR Stop Areas</t>
  </si>
  <si>
    <t>Step 3.) Convert the daily VMT reductions to annual VMT reductions</t>
  </si>
  <si>
    <t xml:space="preserve">Next, the daily VMT reductions was converted to annual VMT reductions. The number of days was assumed to be 365. </t>
  </si>
  <si>
    <r>
      <t xml:space="preserve">Step 4.) Calculated the necessary additional revenue service miles with measure </t>
    </r>
    <r>
      <rPr>
        <i/>
        <sz val="11"/>
        <color theme="1"/>
        <rFont val="Calibri"/>
        <family val="2"/>
        <scheme val="minor"/>
      </rPr>
      <t>(for cost estimation purposes)</t>
    </r>
  </si>
  <si>
    <t>Expected Revenue Service Miles per Run</t>
  </si>
  <si>
    <t>Number of Additional Buses per Hour (both directions) - With Measure</t>
  </si>
  <si>
    <t>Expected Additional Revenue Service Miles per Day</t>
  </si>
  <si>
    <t>CAPCOA T-27 Implement Transit-Supportive Roadway Treatments</t>
  </si>
  <si>
    <t xml:space="preserve">This mitigation action estimates the VMT reduction effect of adding bus lanes to El Camino Real. </t>
  </si>
  <si>
    <t>These calculations present four different options: 3 different City groups that could receive bus lanes, and a scenario where the entire corridor receives bus lanes in areas with 3+ lanes</t>
  </si>
  <si>
    <t>Step 1.) Calculate length of roadway that can receive treatment</t>
  </si>
  <si>
    <t>Area Name</t>
  </si>
  <si>
    <r>
      <t xml:space="preserve">NB Length </t>
    </r>
    <r>
      <rPr>
        <i/>
        <sz val="11"/>
        <color theme="1"/>
        <rFont val="Calibri"/>
        <family val="2"/>
        <scheme val="minor"/>
      </rPr>
      <t>(with 3+ lanes) - miles</t>
    </r>
  </si>
  <si>
    <r>
      <t xml:space="preserve">SB Length </t>
    </r>
    <r>
      <rPr>
        <i/>
        <sz val="11"/>
        <color theme="1"/>
        <rFont val="Calibri"/>
        <family val="2"/>
        <scheme val="minor"/>
      </rPr>
      <t>(with 3+ lanes)</t>
    </r>
    <r>
      <rPr>
        <b/>
        <sz val="11"/>
        <color theme="1"/>
        <rFont val="Calibri"/>
        <family val="2"/>
        <scheme val="minor"/>
      </rPr>
      <t xml:space="preserve"> - </t>
    </r>
    <r>
      <rPr>
        <i/>
        <sz val="11"/>
        <color theme="1"/>
        <rFont val="Calibri"/>
        <family val="2"/>
        <scheme val="minor"/>
      </rPr>
      <t>miles</t>
    </r>
  </si>
  <si>
    <t>B - Percent of plan/community transit routes that receive treatments</t>
  </si>
  <si>
    <t>C - Percent change in transit travel time due to treatments</t>
  </si>
  <si>
    <t>El Camino Real Bus Speed and Reliability Study</t>
  </si>
  <si>
    <t>D - Elasticity of transit ridership with respect to transit travel time</t>
  </si>
  <si>
    <t>= -1 * B * C * D * E * G / F</t>
  </si>
  <si>
    <t>Step 2.) Calculate the VMT within 0.5 miles of Transit Lane Areas</t>
  </si>
  <si>
    <t>Entire Corridor Area</t>
  </si>
  <si>
    <t>Number of TAZs</t>
  </si>
  <si>
    <t>Total Daily VMT at Bus Stop Areas</t>
  </si>
  <si>
    <t>San Bruno and Millbrae</t>
  </si>
  <si>
    <t>San Mateo, Belmont &amp; San Carlos</t>
  </si>
  <si>
    <t>Step 3.) Apply the CAPCOA percentage Reduction to the Area VMT to Calculate VMT Reductions from Transit Service Improvements</t>
  </si>
  <si>
    <t>Step 4.) Convert the daily VMT reductions to annual VMT reductions (for transit service improvements)</t>
  </si>
  <si>
    <t>Step 5.) Calculate the VMT reduction from reducing roadway capacity on El Camino Real</t>
  </si>
  <si>
    <t xml:space="preserve">In addition to the VMT reduction benefit from improving transit service, converting a general purpose lane on El Camino Real into a transit only lane has additional VMT benefits from reducing roadway capacity. </t>
  </si>
  <si>
    <t>This lane reduction would make driving on El Camino Real less attractive and would reduce VMT.</t>
  </si>
  <si>
    <t>The California Induced Travel Calculator is used for these calculations, as research of induced VMT shows that the effects of capacity reductions are symmetric with the effects of roadway capacity increases.</t>
  </si>
  <si>
    <t xml:space="preserve">We used the results of the calculator to estimate how much VMT would be induced from adding an additional lane to El Camino Real, and took the negative of that number to account for a capacity reduction. </t>
  </si>
  <si>
    <t>VMT Reduced per Year</t>
  </si>
  <si>
    <t>Class 2 or 3</t>
  </si>
  <si>
    <t>County</t>
  </si>
  <si>
    <t>Fehr &amp; Peers used a custom VMT reduction formula that combines two measures from CAPCOA. This formula accounts for the VMT reductions from affordable housing, and accounts for the reductions from increased neighborhood density.</t>
  </si>
  <si>
    <t>These calculations are based on CAPCOA Strategy T-1 (Increase Residential Density) and Strategy T-4 (Intergrate Affordable and Below Market Rate Housing). Per the CAPCOA guide, these measures can be combined for increased VMT reductions.</t>
  </si>
  <si>
    <t>DU per Acre Assumption</t>
  </si>
  <si>
    <t>Annualization</t>
  </si>
  <si>
    <t>Affordable VMT Reduction</t>
  </si>
  <si>
    <t>Average VMT per Capita, SM County</t>
  </si>
  <si>
    <t>VMT wrt ResDen</t>
  </si>
  <si>
    <t>Information on each housing site and with travel demand model TAZ it is located in</t>
  </si>
  <si>
    <t>TAZ level population data</t>
  </si>
  <si>
    <t>TAZ level Per Capita VMT</t>
  </si>
  <si>
    <t>Information on the proposed housing project</t>
  </si>
  <si>
    <t>City and TAZ level Per Capita VMT</t>
  </si>
  <si>
    <t>VMT Reductions from the affordable housing development increasing the project's density</t>
  </si>
  <si>
    <t>VMT Reductions from the affordable housing development itself (based on lower trip generation rates for affordable housing residents</t>
  </si>
  <si>
    <t>VMT Reductions from the affordable housing development itself (based on shorter trip distances for being closer to jobs and amenities)</t>
  </si>
  <si>
    <t>Density impact reduction + affordable housing (lower trip gen) reduction + affordable housing (shorter trip length) reduction</t>
  </si>
  <si>
    <t>Housing Site Info</t>
  </si>
  <si>
    <t>TAZ Population Data</t>
  </si>
  <si>
    <t>VMT Data</t>
  </si>
  <si>
    <t>Site in...</t>
  </si>
  <si>
    <t>Project Details</t>
  </si>
  <si>
    <t>BAU VMT / resident</t>
  </si>
  <si>
    <t>Project Density (Relative to 9.1 DU/acre Suburban)</t>
  </si>
  <si>
    <t>Affordable Housing Impact on Project (lower trip generation)</t>
  </si>
  <si>
    <t>Affordable Housing Impact on Project (Location-Based Vehicle Trip Length Adjustment)</t>
  </si>
  <si>
    <t>Total VMT Reduction</t>
  </si>
  <si>
    <t>Housing Site</t>
  </si>
  <si>
    <t>CHTS City Grouping</t>
  </si>
  <si>
    <t xml:space="preserve">Total Households </t>
  </si>
  <si>
    <t>Single Family Households</t>
  </si>
  <si>
    <t>Multi Family Households</t>
  </si>
  <si>
    <t>HB VMT per Household</t>
  </si>
  <si>
    <t>Transit Oriented Area</t>
  </si>
  <si>
    <t>Equity Focus Area</t>
  </si>
  <si>
    <t>Acreage</t>
  </si>
  <si>
    <t>DUs</t>
  </si>
  <si>
    <t>% Affordable</t>
  </si>
  <si>
    <t>Persons Per DU</t>
  </si>
  <si>
    <t>Proj Residents</t>
  </si>
  <si>
    <t>Project Densisity (DU/Acre)</t>
  </si>
  <si>
    <t>TAZ Acreage</t>
  </si>
  <si>
    <t>SM City VMT/Resident</t>
  </si>
  <si>
    <t>TAZ HB VMT per Resident</t>
  </si>
  <si>
    <t>Suburban Density</t>
  </si>
  <si>
    <t>Project Density</t>
  </si>
  <si>
    <t>% Change Res VMT</t>
  </si>
  <si>
    <t>Base Project VMT</t>
  </si>
  <si>
    <t>VMT Reduced Per Day</t>
  </si>
  <si>
    <t>VMT Reduced Per Year</t>
  </si>
  <si>
    <t>Project Daily VMT (w/Density Reduction)</t>
  </si>
  <si>
    <t>% of DUs Affordable</t>
  </si>
  <si>
    <t>Project VMT (w/ affordable reductions)</t>
  </si>
  <si>
    <t>Vehicle Trip Length (Relative to MTC Region Average)</t>
  </si>
  <si>
    <t>Proj VMT (w/Veh.Trip Length Adj.)</t>
  </si>
  <si>
    <t>Total VMT Reduced Per Year</t>
  </si>
  <si>
    <t>Total Yearly VMT Reduced Per Project Unit</t>
  </si>
  <si>
    <t>Density</t>
  </si>
  <si>
    <t>Affordability</t>
  </si>
  <si>
    <t>Location VTL</t>
  </si>
  <si>
    <t>Combined (Max LU Reduction = -65%)</t>
  </si>
  <si>
    <t>33 Arroyo Dr</t>
  </si>
  <si>
    <t>1015 ECR</t>
  </si>
  <si>
    <t>732/740 ECR</t>
  </si>
  <si>
    <t>Combined Brisbane, EPA, Foster City, San Bruno</t>
  </si>
  <si>
    <t>840 San Bruno Ave W</t>
  </si>
  <si>
    <t>1876 ECR</t>
  </si>
  <si>
    <t>1804 Bay Road</t>
  </si>
  <si>
    <t>1010 Metro Center Blvd</t>
  </si>
  <si>
    <t>Per DU</t>
  </si>
  <si>
    <t>Annual VMT Reductions by Site</t>
  </si>
  <si>
    <t>Include in Estimates</t>
  </si>
  <si>
    <t>Dwelling Units</t>
  </si>
  <si>
    <t>Estimated Project Cost</t>
  </si>
  <si>
    <t>Annual VMT Reduction from increased project density</t>
  </si>
  <si>
    <t>Annual VMT Reduction from affordable dwelling units</t>
  </si>
  <si>
    <t>Annual VMT Reduction from new unit location efficiency</t>
  </si>
  <si>
    <t>Average Annual VMT Reduction per Dwelling Unit</t>
  </si>
  <si>
    <t>Average Daily VMT Reduction per Dwelling Unit</t>
  </si>
  <si>
    <t>CAPCOA T-9: Implement Subsidized or Discounted Transit Program</t>
  </si>
  <si>
    <t>This mitigation action estimates the VMT reduction effect of the provision of transit pass subsidies to eligible residents of San Mateo County.</t>
  </si>
  <si>
    <t xml:space="preserve">The following calculations use the transit mode share of all trips. </t>
  </si>
  <si>
    <t>Step 1.) Calculate VMT reduction percentage (countywide implementation)</t>
  </si>
  <si>
    <t>Per CAPCOA, this measure is only applied to home-based VMT</t>
  </si>
  <si>
    <t>B - Average Transit Fare without Subsidy</t>
  </si>
  <si>
    <t>C- Subsidy Amount</t>
  </si>
  <si>
    <t>Assumes that pass program covers 100% of pass costs</t>
  </si>
  <si>
    <t>D - Percent of employees/residents eligible for subsidy</t>
  </si>
  <si>
    <t>Assumes that all residents with an income that is 200% below the federal poverty limit are eligible for the transit passes</t>
  </si>
  <si>
    <t>E - Percent of project-generated VMT from employees/residents</t>
  </si>
  <si>
    <t>CAPCOA input for mixed use development projects; does not apply in this program</t>
  </si>
  <si>
    <t>F - Transit Mode Share of all work trips or all trips</t>
  </si>
  <si>
    <t>G - Elasticity of transit boardings with respect to cost</t>
  </si>
  <si>
    <t>H - Percent of transit trips that would otherwise be made in a vehicle</t>
  </si>
  <si>
    <t>I - Conversion factor of vehicle trips to VMT</t>
  </si>
  <si>
    <t>(C / B) * G * D * E * F * H * I</t>
  </si>
  <si>
    <t>Total Daily Home Based VMT without Measure</t>
  </si>
  <si>
    <t>Total Daily Home Based VMT reduction</t>
  </si>
  <si>
    <t>Step 1.) Calculate VMT reduction percentage (by City)</t>
  </si>
  <si>
    <t>City Name:</t>
  </si>
  <si>
    <t>Step 2.) Convert the daily VMT reductions to annual VMT reductions</t>
  </si>
  <si>
    <t>VMT Reduction by C/CAG City</t>
  </si>
  <si>
    <t>Station</t>
  </si>
  <si>
    <t>Daily Home Based VMT Reduction due to VMT Mitigation Action</t>
  </si>
  <si>
    <t>Number of Days</t>
  </si>
  <si>
    <t>Annual VMT Reduction due to VMT Mitigation Action</t>
  </si>
  <si>
    <t>Step 3.) Calculate the number of residents in each city and the subsidy cost.</t>
  </si>
  <si>
    <t>This calculation assumes that all residents within participating C/CAG Cities would receive a subsidized pass</t>
  </si>
  <si>
    <t>Population in each City</t>
  </si>
  <si>
    <t>Pass Cost per Resident</t>
  </si>
  <si>
    <t>Annual Mitigation Cost per City</t>
  </si>
  <si>
    <t>Step 1.) Calculate VMT reduction percentage</t>
  </si>
  <si>
    <t>J - Average Home Based VMT per Resident</t>
  </si>
  <si>
    <t>VMT Reduction per Pass</t>
  </si>
  <si>
    <t>Daily VMT Reduction per Pass</t>
  </si>
  <si>
    <t>Number of Passes to Reduce 1 VMT</t>
  </si>
  <si>
    <t>Daily to Annual VMT Conversion</t>
  </si>
  <si>
    <t>Annual VMT Reduction per Pass</t>
  </si>
  <si>
    <t>Number of Passes to Reduce 1 Annual VMT</t>
  </si>
  <si>
    <t>This formula was developed using data gathered by researchers at UC Davis on three Northern California E-Bike rebate programs</t>
  </si>
  <si>
    <t>These programs, which started in 2020 and 2021, were run by Contra Costa County, Redwood Coast Energy Authority, and Peninsula Clean Energy</t>
  </si>
  <si>
    <t>Impacts of E-bike Ownership on Travel Behavior: Evidence from three Northern California rebate programs (escholarship.org)</t>
  </si>
  <si>
    <t>Step 1.) Calculate VMT reduction for each e-bike rebate</t>
  </si>
  <si>
    <t>Daily miles traveled by San Mateo County Residents</t>
  </si>
  <si>
    <t>C/CAG Travel Demand Model - Home Based VMT per Resident</t>
  </si>
  <si>
    <t>Daily miles traveled by participants via e-bike</t>
  </si>
  <si>
    <t>Proportion of trips diverted from vehicles</t>
  </si>
  <si>
    <t>Conservative assumption - accounts for trips that would have been made transit or walking, rather than driving (if rebate was not available)
The CCAG model's drive alone/carpool mode share is 85%</t>
  </si>
  <si>
    <t>Daily VMT Reduction per Rebate</t>
  </si>
  <si>
    <t>Daily VMT Reduction per Rebate =</t>
  </si>
  <si>
    <t>Daily Miles Traveled x Percent of Miles by Bike x Share of Trips Diverted from Vehicles</t>
  </si>
  <si>
    <t>Step 2.) Calculate VMT reduction for each e-bike rebate</t>
  </si>
  <si>
    <t>Number of Bikes per Cycle</t>
  </si>
  <si>
    <t>Daily VMT per Ebike Voucher</t>
  </si>
  <si>
    <r>
      <t xml:space="preserve">UC Davis Research - </t>
    </r>
    <r>
      <rPr>
        <i/>
        <sz val="11"/>
        <color theme="1"/>
        <rFont val="Calibri"/>
        <family val="2"/>
        <scheme val="minor"/>
      </rPr>
      <t>see above</t>
    </r>
  </si>
  <si>
    <t>Weather adjustment</t>
  </si>
  <si>
    <t>CAPCOA (Table T-19.4) - accounts for days with poor weather conditions</t>
  </si>
  <si>
    <t>Daily VMT per Ebike Voucher (Adj)</t>
  </si>
  <si>
    <t>Daily VMT reduction potential</t>
  </si>
  <si>
    <t>Community Based Travel Education</t>
  </si>
  <si>
    <t>CAPCOA T-23: Provide Community-Based Transportation Planning</t>
  </si>
  <si>
    <t>This mitigation action estimates the VMT reduction effect of Community-Based Travel Education.</t>
  </si>
  <si>
    <t>City-by-city implementation</t>
  </si>
  <si>
    <r>
      <t xml:space="preserve">Selected City </t>
    </r>
    <r>
      <rPr>
        <i/>
        <sz val="11"/>
        <color theme="1"/>
        <rFont val="Calibri"/>
        <family val="2"/>
        <scheme val="minor"/>
      </rPr>
      <t>(user selection)</t>
    </r>
  </si>
  <si>
    <t>Households Targeted by Program</t>
  </si>
  <si>
    <t>B - Residences in plan/community</t>
  </si>
  <si>
    <t>C/CAG Total Households</t>
  </si>
  <si>
    <t>For Selected City</t>
  </si>
  <si>
    <t>C - Residences in plan/community targeted with CBTP</t>
  </si>
  <si>
    <t>Percent of C/CAG Total Households</t>
  </si>
  <si>
    <t>D -  Percent of targeted residences that participate in program</t>
  </si>
  <si>
    <t>MTC 2021</t>
  </si>
  <si>
    <t>E - Percent vehicle trip reduction by participating residences</t>
  </si>
  <si>
    <t>F - Adjustment factor from vehicle trips to VMT</t>
  </si>
  <si>
    <t>(C/B)*D * -E * F</t>
  </si>
  <si>
    <t>Total Daily VMT reduction</t>
  </si>
  <si>
    <t>Days per Year</t>
  </si>
  <si>
    <t>Total Annual VMT reduction</t>
  </si>
  <si>
    <t>Or countywide implementation</t>
  </si>
  <si>
    <t>For San Mateo County</t>
  </si>
  <si>
    <t>Daily HB VMT Reduction due to VMT Mitigation Action</t>
  </si>
  <si>
    <t>Annual HB VMT Reduction due to VMT Mitigation Action</t>
  </si>
  <si>
    <t>CAPCOA T-21B: Implement Electric Carshare Program</t>
  </si>
  <si>
    <t>CAPCOA T-22B: Implement Electric Bikeshare Program</t>
  </si>
  <si>
    <t xml:space="preserve">CAPCOA T-22C: Implement Scootershare Program  </t>
  </si>
  <si>
    <t>This mitigation measure estimates the VMT reduction potential of mobility hubs in five C/CAG cities. The VMT reduction potential is dependent on the amenities provided in the mobility hubs. To accommodate this uncertainty, electric carshare, electric bikeshare, and scootershare are included in the calculations.</t>
  </si>
  <si>
    <t>The VMT reduction from this mitigation action needs to be calculated separately for city that would receive a mobility hub, as each city has different levels of VMT. VMT data is from CCAG travel demand model TAZs, and GIS was used to determine which TAZs are within 0.25 miles of a mobility hub.</t>
  </si>
  <si>
    <t xml:space="preserve">Each mobility hub is expected to include electric carshare vehicles, electric bikeshare bikes, and electric scooters, so each city has different VMT quantification formulas for each mobility hub transportation mode. </t>
  </si>
  <si>
    <t>CAPCOA T-21B Implement Electric Carshare Program</t>
  </si>
  <si>
    <t>CAPCOA T-22B Implement Electric Bikeshare Program</t>
  </si>
  <si>
    <t xml:space="preserve">B -  Number of electric vehicles deployed in plan/community </t>
  </si>
  <si>
    <t xml:space="preserve">B -  Percent of residences in plan/community with access to electric bikeshare system without measure </t>
  </si>
  <si>
    <t xml:space="preserve">C - VMT in plan/community without measure </t>
  </si>
  <si>
    <t>C/CAG Travel Demand Model</t>
  </si>
  <si>
    <t xml:space="preserve">C- Percent of residences in plan/community with access to electric bikeshare system with measure </t>
  </si>
  <si>
    <t>D - Conventional VMT avoided with measure</t>
  </si>
  <si>
    <t>Martin and  Shaheen 2016</t>
  </si>
  <si>
    <t>D - Daily electric bikeshare trips per person</t>
  </si>
  <si>
    <t>CAPCOA Constant Variable (MTC)</t>
  </si>
  <si>
    <t xml:space="preserve">E - Electric VMT added with measure </t>
  </si>
  <si>
    <t xml:space="preserve">E - Vehicle to electric bikeshare substitution rate </t>
  </si>
  <si>
    <t>Fitch et al. 2021</t>
  </si>
  <si>
    <t>F - Emission factor of non-electric light duty fleet mix</t>
  </si>
  <si>
    <t>CAPCOA Constant Variable - GHG Only</t>
  </si>
  <si>
    <t>CARB 2020a</t>
  </si>
  <si>
    <t>F - Electric bikeshare average one-way trip length</t>
  </si>
  <si>
    <t xml:space="preserve">G - Energy efficiency of carshare electric vehicle </t>
  </si>
  <si>
    <t>CARB 2020b; US DOE 2021</t>
  </si>
  <si>
    <t>G - Daily vehicle trips per person</t>
  </si>
  <si>
    <t>FHWA 2018</t>
  </si>
  <si>
    <t>H - Carbon intensity of local electricity provider</t>
  </si>
  <si>
    <t>CAPCOA Table E-4.3 - GHG Only</t>
  </si>
  <si>
    <t>For PG&amp;E (CAPCOA Table E-4.3)</t>
  </si>
  <si>
    <t xml:space="preserve">H - Regional average one-way vehicle trip length </t>
  </si>
  <si>
    <t>CAPCOA Table T-10.1 (San Francisco-Oakland-Hayward)</t>
  </si>
  <si>
    <t>I - Conversion from lb to g</t>
  </si>
  <si>
    <t>J - Conversion from kWh to MWh</t>
  </si>
  <si>
    <t xml:space="preserve"> -1 * (C - B) * D * E * F / G * H</t>
  </si>
  <si>
    <t>-1 * B * (E - D) / C</t>
  </si>
  <si>
    <t>Total Daily VMT without Measure</t>
  </si>
  <si>
    <t xml:space="preserve">CAPCOA T-22C Implement Scootershare Program  </t>
  </si>
  <si>
    <t xml:space="preserve">B -  Percent of residences in plan/community with access to electric scootershare system without measure </t>
  </si>
  <si>
    <t xml:space="preserve">C- Percent of residences in plan/community with access to electric scootershare system with measure </t>
  </si>
  <si>
    <t>D - Daily scootershare trips per person</t>
  </si>
  <si>
    <t xml:space="preserve">E - Vehicle to scootershare substitution rate </t>
  </si>
  <si>
    <t xml:space="preserve">McQueen et al. 2020  </t>
  </si>
  <si>
    <t>F - Scootershare average one-way trip length</t>
  </si>
  <si>
    <t>PBOT 2021</t>
  </si>
  <si>
    <t>-1 * (C-B) * D * E * F / G * H</t>
  </si>
  <si>
    <t>Step 2.) Apply VMT Reduction Percentage to Area VMT</t>
  </si>
  <si>
    <t>The percentage reduction from each city and each transportation mode needs to be applied to the area's VMT.</t>
  </si>
  <si>
    <t xml:space="preserve">Area VMT </t>
  </si>
  <si>
    <t>Daily Total VMT Reduction due to VMT Mitigation Action</t>
  </si>
  <si>
    <t>Step 3.) Calculate combined VMT reduction.</t>
  </si>
  <si>
    <t xml:space="preserve">Next, the total daily VMT reduced for each mobility hub is calculated. </t>
  </si>
  <si>
    <t>Total Daily VMT Reduced</t>
  </si>
  <si>
    <t>Percent Reduction</t>
  </si>
  <si>
    <t>Step 4.) Convert the daily VMT reductions to annual VMT reductions.</t>
  </si>
  <si>
    <t xml:space="preserve">Next, the total annual VMT reduction is calculated. </t>
  </si>
  <si>
    <t>Annual Total VMT Reduction due to VMT Mitigation Action</t>
  </si>
  <si>
    <t>This mitigation measure estimates the VMT reduction potential of implementing an electric bike share program.</t>
  </si>
  <si>
    <t>The percentage reduction from each city needs to be applied to the area's VMT.</t>
  </si>
  <si>
    <t>Daily VMT in City without Measure</t>
  </si>
  <si>
    <t>% Reduction</t>
  </si>
  <si>
    <t>Daily VMT Reduction with Measure</t>
  </si>
  <si>
    <t>CAPCOA T-25 Extend Transit Network Coverage or Hours</t>
  </si>
  <si>
    <t>This mitigation measure estimates the VMT reduction potential of expanding the operating hours of the existing SamTrans Ride Plus on-demand transit services in East Palo Alto/Belle Haven and in Half Moon Bay</t>
  </si>
  <si>
    <t>- The East Palo Alto/Belle Haven shuttle currently operates 7 days per week from 6am-10pm</t>
  </si>
  <si>
    <t>- The Half Moon Bay shuttle currently operates 7 days per week 8am-5pm</t>
  </si>
  <si>
    <t>https://www.samtrans.com/microtransit-samtrans-ride-plus</t>
  </si>
  <si>
    <t>Step 1.) Calculate VMT reduction percentage for both project areas</t>
  </si>
  <si>
    <t>East Palo Alto / Belle Haven</t>
  </si>
  <si>
    <t>B - Total transit service miles or service hours in plan/community before expansion</t>
  </si>
  <si>
    <t>https://samtrans.com/microtransit-samtrans-ride-plus</t>
  </si>
  <si>
    <t>Existing service hours for shuttle service</t>
  </si>
  <si>
    <t>C - Total transit service miles or service hours in plan/community after expansion</t>
  </si>
  <si>
    <t>Service Hours based on user assumption</t>
  </si>
  <si>
    <t>D - Transit mode share in plan/community</t>
  </si>
  <si>
    <t>CCAG Travel Demand Model</t>
  </si>
  <si>
    <t>CCAG Travel Demand Mode</t>
  </si>
  <si>
    <t>E - Elasticity of transit demand with respect to service miles or service hours</t>
  </si>
  <si>
    <t>Handy et al.  2013</t>
  </si>
  <si>
    <t>F - Statewide mode shift factor</t>
  </si>
  <si>
    <t>G - Ratio of vehicle trip reduction to VMT</t>
  </si>
  <si>
    <t>= -1 * (C-B/B) * D * E * F * G</t>
  </si>
  <si>
    <t>Step 2.) Apply the percentage reduction to the VMT within each service area</t>
  </si>
  <si>
    <t>Total Daily VMT in Service Area</t>
  </si>
  <si>
    <t>Percentage Reduction</t>
  </si>
  <si>
    <t>Step 3.) Annualize the VMT Reduction for each service area</t>
  </si>
  <si>
    <t>Additional service hours per day</t>
  </si>
  <si>
    <t>Additional Cost per Day</t>
  </si>
  <si>
    <t>Additional Cost per Year</t>
  </si>
  <si>
    <t>Annual Reduction</t>
  </si>
  <si>
    <t xml:space="preserve">This mitigation action would fund Electric Vehicle chargers at the five mobility hub locations listed in Mitigation Action #8 - Mobility Hubs. </t>
  </si>
  <si>
    <t>Step 1.) Calculate the Metric Tons of C02e reduced per year for each mobility hub</t>
  </si>
  <si>
    <t>Number of Electric Vehicle Chargers</t>
  </si>
  <si>
    <t xml:space="preserve">Average total installed cost per charging port (new construction): </t>
  </si>
  <si>
    <t>RICAPs</t>
  </si>
  <si>
    <t>Number of Chargers X Cost per Charger</t>
  </si>
  <si>
    <t>Additional EV drivers per charging port:</t>
  </si>
  <si>
    <t>RICAPs (for multifamily)</t>
  </si>
  <si>
    <t>Total Additional EV Drivers</t>
  </si>
  <si>
    <t>Average annual miles driven per licensed driver:</t>
  </si>
  <si>
    <t>Change in Gasoline VMT with Measure</t>
  </si>
  <si>
    <t>Change in Electric VMT with Measure</t>
  </si>
  <si>
    <r>
      <rPr>
        <b/>
        <sz val="11"/>
        <color rgb="FF000000"/>
        <rFont val="Calibri"/>
        <family val="2"/>
        <scheme val="minor"/>
      </rPr>
      <t xml:space="preserve">BEV Fuel Efficiency </t>
    </r>
    <r>
      <rPr>
        <i/>
        <sz val="11"/>
        <color rgb="FF000000"/>
        <rFont val="Calibri"/>
        <family val="2"/>
        <scheme val="minor"/>
      </rPr>
      <t>(kWh/mile - 2030)</t>
    </r>
  </si>
  <si>
    <r>
      <rPr>
        <b/>
        <sz val="11"/>
        <color rgb="FF000000"/>
        <rFont val="Calibri"/>
        <family val="2"/>
        <scheme val="minor"/>
      </rPr>
      <t xml:space="preserve">Charging Electricity Consumption </t>
    </r>
    <r>
      <rPr>
        <i/>
        <sz val="11"/>
        <color rgb="FF000000"/>
        <rFont val="Calibri"/>
        <family val="2"/>
        <scheme val="minor"/>
      </rPr>
      <t>(kWh/year)</t>
    </r>
  </si>
  <si>
    <r>
      <rPr>
        <b/>
        <sz val="11"/>
        <color rgb="FF000000"/>
        <rFont val="Calibri"/>
        <family val="2"/>
        <scheme val="minor"/>
      </rPr>
      <t xml:space="preserve">Gasoline vehicle emission factor </t>
    </r>
    <r>
      <rPr>
        <i/>
        <sz val="11"/>
        <color rgb="FF000000"/>
        <rFont val="Calibri"/>
        <family val="2"/>
        <scheme val="minor"/>
      </rPr>
      <t>(MT C02e/VMT)</t>
    </r>
  </si>
  <si>
    <r>
      <rPr>
        <b/>
        <sz val="11"/>
        <color rgb="FF000000"/>
        <rFont val="Calibri"/>
        <family val="2"/>
        <scheme val="minor"/>
      </rPr>
      <t xml:space="preserve">Commercial PCE/PG&amp;E/DA electricity emission factor </t>
    </r>
    <r>
      <rPr>
        <i/>
        <sz val="11"/>
        <color rgb="FF000000"/>
        <rFont val="Calibri"/>
        <family val="2"/>
        <scheme val="minor"/>
      </rPr>
      <t>(MT C02e/kWh)</t>
    </r>
  </si>
  <si>
    <t>Charging Electricity Emissions Impact</t>
  </si>
  <si>
    <t>Gasoline Emissions Impact</t>
  </si>
  <si>
    <r>
      <rPr>
        <b/>
        <sz val="11"/>
        <color rgb="FF000000"/>
        <rFont val="Calibri"/>
        <family val="2"/>
        <scheme val="minor"/>
      </rPr>
      <t xml:space="preserve">Net Total Emissions Impact </t>
    </r>
    <r>
      <rPr>
        <i/>
        <sz val="11"/>
        <color rgb="FF000000"/>
        <rFont val="Calibri"/>
        <family val="2"/>
        <scheme val="minor"/>
      </rPr>
      <t>(MT of C02e per Year)</t>
    </r>
  </si>
  <si>
    <r>
      <t xml:space="preserve">BEV Fuel Efficiency </t>
    </r>
    <r>
      <rPr>
        <i/>
        <sz val="11"/>
        <color theme="1"/>
        <rFont val="Calibri"/>
        <family val="2"/>
        <scheme val="minor"/>
      </rPr>
      <t>(kWh/mile - 2030)</t>
    </r>
  </si>
  <si>
    <r>
      <t xml:space="preserve">Charging Electricity Consumption </t>
    </r>
    <r>
      <rPr>
        <i/>
        <sz val="11"/>
        <color theme="1"/>
        <rFont val="Calibri"/>
        <family val="2"/>
        <scheme val="minor"/>
      </rPr>
      <t>(kWh/year)</t>
    </r>
  </si>
  <si>
    <r>
      <t xml:space="preserve">Gasoline vehicle emission factor </t>
    </r>
    <r>
      <rPr>
        <i/>
        <sz val="11"/>
        <color theme="1"/>
        <rFont val="Calibri"/>
        <family val="2"/>
        <scheme val="minor"/>
      </rPr>
      <t>(MT C02e/VMT)</t>
    </r>
  </si>
  <si>
    <r>
      <t xml:space="preserve">Commercial PCE/PG&amp;E/DA electricity emission factor </t>
    </r>
    <r>
      <rPr>
        <i/>
        <sz val="11"/>
        <color theme="1"/>
        <rFont val="Calibri"/>
        <family val="2"/>
        <scheme val="minor"/>
      </rPr>
      <t>(MT C02e/kWh)</t>
    </r>
  </si>
  <si>
    <r>
      <t xml:space="preserve">Net Total Emissions Impact </t>
    </r>
    <r>
      <rPr>
        <i/>
        <sz val="11"/>
        <color theme="1"/>
        <rFont val="Calibri"/>
        <family val="2"/>
        <scheme val="minor"/>
      </rPr>
      <t>(MT of C02e per Year)</t>
    </r>
  </si>
  <si>
    <t>Additional Location</t>
  </si>
  <si>
    <t>Cost of Chargers</t>
  </si>
  <si>
    <r>
      <t xml:space="preserve">Cost per MT of C02E Reduced </t>
    </r>
    <r>
      <rPr>
        <i/>
        <sz val="11"/>
        <color theme="1"/>
        <rFont val="Calibri"/>
        <family val="2"/>
        <scheme val="minor"/>
      </rPr>
      <t>(1-Year)</t>
    </r>
  </si>
  <si>
    <t>Step 1a.) Calculate Daly City Area VMT Reductions for Class II and Class IV infrastructure</t>
  </si>
  <si>
    <t>CARB Formula (Class I, Class II, and Class IV Infrastructure)</t>
  </si>
  <si>
    <t xml:space="preserve">Quantifying Reductions in Vehicle Miles Traveled from New Bike Paths, Lanes, and Cycle Tracks </t>
  </si>
  <si>
    <t>CARB Formula Inputs</t>
  </si>
  <si>
    <t>D - Days of Use per Year</t>
  </si>
  <si>
    <t>CAPCOA (Table T-19.4)</t>
  </si>
  <si>
    <t>This variable accounts for days with poor weather conditions, as the bicycle facility will be less likely to be used</t>
  </si>
  <si>
    <t>ADT - Roadway Average Daily Traffic (2-way)</t>
  </si>
  <si>
    <t>CCAG Model</t>
  </si>
  <si>
    <t>CCAG Travel Demand Model Link Level Data (screenline)</t>
  </si>
  <si>
    <t>T - Facility Type</t>
  </si>
  <si>
    <t>CARB Adjustment Factor</t>
  </si>
  <si>
    <t>Adjustment factor for projects that upgrade existing bicycle lanes</t>
  </si>
  <si>
    <t>A - Adjustment Factor</t>
  </si>
  <si>
    <t>Based on roadway ADT and facility length</t>
  </si>
  <si>
    <t>C - Activity Center Credit</t>
  </si>
  <si>
    <t>Based on number of key destinations within a 0.25 mile radius (based on a desktop review of Google Aerial)</t>
  </si>
  <si>
    <t>L - Bike Trip Length (miles)</t>
  </si>
  <si>
    <t>FHWA</t>
  </si>
  <si>
    <t>Bicycle trip length</t>
  </si>
  <si>
    <t>Annual VMT Reduction per project segment</t>
  </si>
  <si>
    <t>Combined Annual VMT Reduction</t>
  </si>
  <si>
    <t>D * ADT * T * (A + C) * L</t>
  </si>
  <si>
    <t>CARB Formula Input Guide</t>
  </si>
  <si>
    <t>Destination Credits</t>
  </si>
  <si>
    <t>Banks, post offices, grocery stores, medical centers, pharmacies, office parks, place of worship, libraries, schools</t>
  </si>
  <si>
    <t>The largest value of each relevant credit column should be used if there are many activity centers near the project.</t>
  </si>
  <si>
    <t>Growth Factor Adjustment</t>
  </si>
  <si>
    <t>Adjustment</t>
  </si>
  <si>
    <t>Active Transportation Adjustment Factors</t>
  </si>
  <si>
    <t>Facility Length</t>
  </si>
  <si>
    <t>Adj. Factor</t>
  </si>
  <si>
    <t>&lt; 12,000</t>
  </si>
  <si>
    <t>1 mile or less</t>
  </si>
  <si>
    <t>1.1 to 2 miles</t>
  </si>
  <si>
    <t>More than 2 miles</t>
  </si>
  <si>
    <t>12,001 to 24,000</t>
  </si>
  <si>
    <t>24,001 to 30,000</t>
  </si>
  <si>
    <t>Skyline</t>
  </si>
  <si>
    <t>Step 1b.) Calculate Skyline Area VMT Reductions for Class I, II and, Class IV infrastructure</t>
  </si>
  <si>
    <t>ADT - Roadway Average Daily Traffic</t>
  </si>
  <si>
    <t>Step 1c.) Calculate Skyline Area VMT Reductions for Class I and Class II infrastructure.</t>
  </si>
  <si>
    <t>Class I (North)</t>
  </si>
  <si>
    <t>Class II (North)</t>
  </si>
  <si>
    <t>Class I (South)</t>
  </si>
  <si>
    <t>Class II (South)</t>
  </si>
  <si>
    <t>Step 1d.) Calculate East Palo Alto Area VMT Reductions for Class II and Class IV infrastructure.</t>
  </si>
  <si>
    <t>Belmont/Redwood City</t>
  </si>
  <si>
    <t>Step 1e.) Calculate Belmont/Redwood City Area VMT Reductions for Class II and Class IV infrastructure.</t>
  </si>
  <si>
    <t>Step 1f.) Calculate San Carlos Area VMT Reductions for Class II and Class III infrastructure.</t>
  </si>
  <si>
    <t>Step 2.) Calculate VMT Reductions for additional active transportation projects (if applicable)</t>
  </si>
  <si>
    <t>The grey values in these cells are based on the user inputs in the additional projects section of the "2.) AT Corridors" tab</t>
  </si>
  <si>
    <r>
      <t xml:space="preserve">CARB Formula from </t>
    </r>
    <r>
      <rPr>
        <b/>
        <i/>
        <sz val="11"/>
        <color theme="1"/>
        <rFont val="Calibri"/>
        <family val="2"/>
        <scheme val="minor"/>
      </rPr>
      <t xml:space="preserve">Quantifying Reductions in Vehicle Miles Traveled from New Bike Paths, Lanes, and Cycle Tracks </t>
    </r>
  </si>
  <si>
    <t>(for Class II and Class IV infrastructure)</t>
  </si>
  <si>
    <t>Facility Length Helper Cell</t>
  </si>
  <si>
    <t>ADT Helper Cell</t>
  </si>
  <si>
    <r>
      <t xml:space="preserve">CARB Formula from </t>
    </r>
    <r>
      <rPr>
        <b/>
        <i/>
        <sz val="11"/>
        <color rgb="FF000000"/>
        <rFont val="Calibri"/>
        <family val="2"/>
        <scheme val="minor"/>
      </rPr>
      <t>Quantifying Reductions in Vehicle Miles Traveled from New Pedestrian Facilities</t>
    </r>
    <r>
      <rPr>
        <b/>
        <sz val="11"/>
        <color rgb="FF000000"/>
        <rFont val="Calibri"/>
        <family val="2"/>
        <scheme val="minor"/>
      </rPr>
      <t xml:space="preserve"> (Equation 3)</t>
    </r>
  </si>
  <si>
    <t>Step 1.) Calculate CARB VMT Reduction per improvement</t>
  </si>
  <si>
    <t>This variable accounts for days with poor weather conditions, as the pedestrian crossing will be less likely to be used. Number is for San Mateo County</t>
  </si>
  <si>
    <t>PC - Average daily pedestrian count</t>
  </si>
  <si>
    <t>Based on user input</t>
  </si>
  <si>
    <t>Based on collected pedestrian counts from screenlines or nearby intersections</t>
  </si>
  <si>
    <t>GF - Growth factor (expected increase in pedestrian count)</t>
  </si>
  <si>
    <t>CARB Variable</t>
  </si>
  <si>
    <t>Default value for expected increase in pedestrian counts due to installation of the project</t>
  </si>
  <si>
    <t>AS - Automobile substitution rate</t>
  </si>
  <si>
    <t>Expected rate of pedestrians who switched from driving due to the project</t>
  </si>
  <si>
    <t>C - Carpool Factor</t>
  </si>
  <si>
    <t>Caltrans</t>
  </si>
  <si>
    <t>Average vehicle occupancy rate</t>
  </si>
  <si>
    <t>T - Trip type factor</t>
  </si>
  <si>
    <t>Accounts for recreational walking trips that are not likely to replace automobile trips</t>
  </si>
  <si>
    <t>L - Walking trip length (miles)</t>
  </si>
  <si>
    <t>California Household Travel Survey</t>
  </si>
  <si>
    <t>Average walking trip length in California</t>
  </si>
  <si>
    <t>Annual VMT Reduction per Segment</t>
  </si>
  <si>
    <t>Annual Reduction =</t>
  </si>
  <si>
    <t>D * PC * GF * AS * C * T * L</t>
  </si>
  <si>
    <t>Calculate the percentage reduction for each potential paid parking area</t>
  </si>
  <si>
    <t>CAPCOA T-24 Implement Market Price Public Parking (On-Street)</t>
  </si>
  <si>
    <t>B - VMT in priced area without measure</t>
  </si>
  <si>
    <t>C - VMT in plan/community without measure</t>
  </si>
  <si>
    <t>Per CAPCOA B=C when an entire business district, such as a downtown, is being analyzed</t>
  </si>
  <si>
    <t>D - Proposed parking price</t>
  </si>
  <si>
    <t>E - Initial parking price</t>
  </si>
  <si>
    <t>Parking Price (accounts for zero value)</t>
  </si>
  <si>
    <t>Per CAPCOA, half of the proposed parking price should be used in areas that currently provide free parking</t>
  </si>
  <si>
    <t>F - Default percentage of trips parking on street</t>
  </si>
  <si>
    <t>G - Elasticity of parking demand with respect to price</t>
  </si>
  <si>
    <t>H - Ratio of VMT to vehicle trips</t>
  </si>
  <si>
    <t>Daily VMT Reduction Percentage (maxes at 30%)</t>
  </si>
  <si>
    <t>(B/C) * ((D-E)/E) * F * G * H</t>
  </si>
  <si>
    <t>Step 2.) Apply Reduction Percentage to Area VMT and Annualize Results</t>
  </si>
  <si>
    <t>Area VMT</t>
  </si>
  <si>
    <t xml:space="preserve">From: </t>
  </si>
  <si>
    <t>TAZ's within 1/2 Mile of Route ECR Stops</t>
  </si>
  <si>
    <t>OBJECTID_1 *</t>
  </si>
  <si>
    <t>Shape *</t>
  </si>
  <si>
    <t>OBJECTID</t>
  </si>
  <si>
    <t>TAZ</t>
  </si>
  <si>
    <t>Population</t>
  </si>
  <si>
    <t>PUMA1</t>
  </si>
  <si>
    <t>PUMA5</t>
  </si>
  <si>
    <t>TRACTN</t>
  </si>
  <si>
    <t>TAZarea</t>
  </si>
  <si>
    <t>Shape_Length</t>
  </si>
  <si>
    <t>Shape_Area</t>
  </si>
  <si>
    <t>Drive Alone Mode Share</t>
  </si>
  <si>
    <t>Shared Ride Mode Share</t>
  </si>
  <si>
    <t>Polygon</t>
  </si>
  <si>
    <t xml:space="preserve"> </t>
  </si>
  <si>
    <t>TAZ's within 1/2 Mile of Segments of El Camino Real with 3 or more lanes</t>
  </si>
  <si>
    <t>TAZ's within 1/2 Mile of Segments of El Camino Real with 3 or more lanes (South San Francisco)</t>
  </si>
  <si>
    <t>VMT</t>
  </si>
  <si>
    <t>Transit Trips</t>
  </si>
  <si>
    <t>Vehicle Trips</t>
  </si>
  <si>
    <t>Total Trips</t>
  </si>
  <si>
    <t>TAZ's within 1/2 Mile of Segments of El Camino Real with 3 or more lanes (San Bruno and Millbrae)</t>
  </si>
  <si>
    <t>TAZ's within 1/2 Mile of Segments of El Camino Real with 3 or more lanes (San Mateo, Belmont &amp; San Carlos)</t>
  </si>
  <si>
    <t>1 = 3 or more lanes, 0 = 2 or fewer</t>
  </si>
  <si>
    <t>1 = planned bus lane, 0 = no lane planned</t>
  </si>
  <si>
    <t>OBJECTID_1</t>
  </si>
  <si>
    <t>INCMUNI_L</t>
  </si>
  <si>
    <t>INCMUNI_R</t>
  </si>
  <si>
    <t>UNINCCOM_L</t>
  </si>
  <si>
    <t>UNINCCOM_R</t>
  </si>
  <si>
    <t>POSTCOMM_L</t>
  </si>
  <si>
    <t>POSTCOMM_R</t>
  </si>
  <si>
    <t>Left and Right City the Same?</t>
  </si>
  <si>
    <t>V_SPEED</t>
  </si>
  <si>
    <t>NB3PlusLanes</t>
  </si>
  <si>
    <t>SB3PlusLanes</t>
  </si>
  <si>
    <t>NBBus</t>
  </si>
  <si>
    <t>SBBus</t>
  </si>
  <si>
    <t>BikeInf</t>
  </si>
  <si>
    <t>RWC</t>
  </si>
  <si>
    <t>RCY</t>
  </si>
  <si>
    <t>REDWOOD CITY</t>
  </si>
  <si>
    <t>SSF</t>
  </si>
  <si>
    <t>SOUTH SAN FRANCISCO</t>
  </si>
  <si>
    <t>ATH</t>
  </si>
  <si>
    <t>ATN</t>
  </si>
  <si>
    <t>ATHERTON</t>
  </si>
  <si>
    <t>BUR</t>
  </si>
  <si>
    <t>BRM</t>
  </si>
  <si>
    <t>BURLINGAME</t>
  </si>
  <si>
    <t>BEL</t>
  </si>
  <si>
    <t>BLM</t>
  </si>
  <si>
    <t>BELMONT</t>
  </si>
  <si>
    <t>SM</t>
  </si>
  <si>
    <t>SMO</t>
  </si>
  <si>
    <t>SAN MATEO</t>
  </si>
  <si>
    <t>SC</t>
  </si>
  <si>
    <t>SNC</t>
  </si>
  <si>
    <t>SAN CARLOS</t>
  </si>
  <si>
    <t>SB</t>
  </si>
  <si>
    <t>SNB</t>
  </si>
  <si>
    <t>SAN BRUNO</t>
  </si>
  <si>
    <t>MIL</t>
  </si>
  <si>
    <t>MILLBRAE</t>
  </si>
  <si>
    <t>MLB</t>
  </si>
  <si>
    <t>MP</t>
  </si>
  <si>
    <t>MNP</t>
  </si>
  <si>
    <t>MENLO PARK</t>
  </si>
  <si>
    <t>SMC</t>
  </si>
  <si>
    <t>BRD</t>
  </si>
  <si>
    <t>HB</t>
  </si>
  <si>
    <t>HIL</t>
  </si>
  <si>
    <t>HILLSBOROUGH</t>
  </si>
  <si>
    <t>CMA</t>
  </si>
  <si>
    <t>CLM</t>
  </si>
  <si>
    <t>COLMA</t>
  </si>
  <si>
    <t>TAZ Description</t>
  </si>
  <si>
    <t xml:space="preserve">Almost entirely single family residential </t>
  </si>
  <si>
    <t>1601 Beach Park Blvd</t>
  </si>
  <si>
    <t>Single Family Residential</t>
  </si>
  <si>
    <t>Looks like neighborhood is mostly duplexes (not sure), with some low density community retail</t>
  </si>
  <si>
    <t>Auto oriented office park and shopping center</t>
  </si>
  <si>
    <t>Auto oriented shopping center, some mid rise apartment buildings, and a hospital</t>
  </si>
  <si>
    <t>Looks like neighborhood is mostly duplexes (not sure)</t>
  </si>
  <si>
    <t>Large shopping center with residential apartment complex</t>
  </si>
  <si>
    <t>Other VMT Information</t>
  </si>
  <si>
    <t>City and Countywide Averages</t>
  </si>
  <si>
    <t>San Mateo County</t>
  </si>
  <si>
    <t>Mode Share Information (By City)</t>
  </si>
  <si>
    <t>Mode Share</t>
  </si>
  <si>
    <t>City and Countywide Mode Share</t>
  </si>
  <si>
    <t>Driving Trips (Drive Alone and Shared Ride)</t>
  </si>
  <si>
    <t>Transit</t>
  </si>
  <si>
    <t>Bike</t>
  </si>
  <si>
    <t>Walk</t>
  </si>
  <si>
    <t>Mode Share Information (By TAZ)</t>
  </si>
  <si>
    <t>From: https://mtc.maps.arcgis.com/apps/webappviewer/index.html?id=2885234dd1b447a6907aba83b343a0de</t>
  </si>
  <si>
    <t>TAZ's within 1/2 Mile of Selected Mobility Hubs</t>
  </si>
  <si>
    <t>VMT in Project Area</t>
  </si>
  <si>
    <t>From:</t>
  </si>
  <si>
    <t>N:\Projects\2023_Projects\SF23-1321_CCAG_VMT_Mitigation\Analysis\Quantification\Actions\10_Microtransit\EPA_BelleHaven_ServiceArea_TAZs.xls</t>
  </si>
  <si>
    <t>TAZs located within the East Palo Alto/Belle Haven Service Area. These TAZs were selected using ArcGIS</t>
  </si>
  <si>
    <t>N:\Projects\2023_Projects\SF23-1321_CCAG_VMT_Mitigation\Analysis\Quantification\Actions\10_Microtransit\HMB_ServiceArea_TAZs.xls</t>
  </si>
  <si>
    <t>TAZs located within the Half Moon Bay Service Area. These TAZs were selected using ArcGIS</t>
  </si>
  <si>
    <t>Area TAZs from C/CAG Travel Demand Model and selected by GIS analysis</t>
  </si>
  <si>
    <t>Daly City TAZs (within 0.5 miles of bike project)</t>
  </si>
  <si>
    <t>Green Columns are used for Mode Share Calculations</t>
  </si>
  <si>
    <t>C/CAG TAZ</t>
  </si>
  <si>
    <t>HB VMT</t>
  </si>
  <si>
    <t>Automobile Trips</t>
  </si>
  <si>
    <t>Bike Trips</t>
  </si>
  <si>
    <t>Auto Mode Share</t>
  </si>
  <si>
    <t>Bike Mode Share</t>
  </si>
  <si>
    <t>CCAG Project ID</t>
  </si>
  <si>
    <t>Jurisdictoin</t>
  </si>
  <si>
    <t>Side</t>
  </si>
  <si>
    <t>Location Context</t>
  </si>
  <si>
    <t>Corridor</t>
  </si>
  <si>
    <t xml:space="preserve">From </t>
  </si>
  <si>
    <t xml:space="preserve">To </t>
  </si>
  <si>
    <t>Length (Miles)</t>
  </si>
  <si>
    <t>Existing Facility</t>
  </si>
  <si>
    <t>Recommended Facility</t>
  </si>
  <si>
    <t>Recommendation Type</t>
  </si>
  <si>
    <t>Regional Trail</t>
  </si>
  <si>
    <t>Total Cost</t>
  </si>
  <si>
    <t xml:space="preserve">Unit Cost </t>
  </si>
  <si>
    <t>Prioritization</t>
  </si>
  <si>
    <t>Prioritization Score (Group)</t>
  </si>
  <si>
    <t>Prioritization Score (Segment</t>
  </si>
  <si>
    <t>Network Connectivity Score</t>
  </si>
  <si>
    <t>School Score</t>
  </si>
  <si>
    <t>Transit Score</t>
  </si>
  <si>
    <t>Safety Score</t>
  </si>
  <si>
    <t>Comfort Score</t>
  </si>
  <si>
    <t>Equity Score</t>
  </si>
  <si>
    <t>Bay</t>
  </si>
  <si>
    <t>Urban</t>
  </si>
  <si>
    <t>Southgate Ave, Westridge Ave</t>
  </si>
  <si>
    <t>Skyline Blvd</t>
  </si>
  <si>
    <t>Cerro Dr</t>
  </si>
  <si>
    <t>Class 2 Bicycle Lane, Class 3 Bicycle Route</t>
  </si>
  <si>
    <t>Class 2b Buffered Bicycle Lane</t>
  </si>
  <si>
    <t>Upgrade</t>
  </si>
  <si>
    <t>High</t>
  </si>
  <si>
    <t>Southgate Ave</t>
  </si>
  <si>
    <t>Junipero Serra Blvd</t>
  </si>
  <si>
    <t>Class 3 Bicycle Route</t>
  </si>
  <si>
    <t>Class 4 Separated Bicycle Lane</t>
  </si>
  <si>
    <t>Colma, South San Francisco, Unincorporated San Mateo County</t>
  </si>
  <si>
    <t>Westborough Blvd</t>
  </si>
  <si>
    <t>Class 2 Bicycle Lane</t>
  </si>
  <si>
    <t>Class 2</t>
  </si>
  <si>
    <t>Class 4</t>
  </si>
  <si>
    <t>Class 2 to 4</t>
  </si>
  <si>
    <t>Skyline TAZs (within 0.5 miles of bike project)</t>
  </si>
  <si>
    <t>Jurisdiction</t>
  </si>
  <si>
    <t>Prioritization Score (Segment)</t>
  </si>
  <si>
    <t>Daly City, Unincorporated San Mateo County</t>
  </si>
  <si>
    <t>N Mayfair Ave</t>
  </si>
  <si>
    <t>San Francisco County Line</t>
  </si>
  <si>
    <t>&lt;Null&gt;</t>
  </si>
  <si>
    <t>New</t>
  </si>
  <si>
    <t>Medium</t>
  </si>
  <si>
    <t>Hickey Blvd</t>
  </si>
  <si>
    <t>Olympic Way</t>
  </si>
  <si>
    <t>Daly City, Pacifica, San Bruno, South San Francisco</t>
  </si>
  <si>
    <t>W San Bruno Ave</t>
  </si>
  <si>
    <t>Class 1 Path</t>
  </si>
  <si>
    <t xml:space="preserve">Class 1 </t>
  </si>
  <si>
    <t>Coastside TAZs (within 0.5 miles of bike project)</t>
  </si>
  <si>
    <t>Final Recommended Facility</t>
  </si>
  <si>
    <t>GIS Data</t>
  </si>
  <si>
    <t>North Class I</t>
  </si>
  <si>
    <t>Ocean</t>
  </si>
  <si>
    <t>State Highway 1</t>
  </si>
  <si>
    <t>Class 1 (N)</t>
  </si>
  <si>
    <t>OBJECTID *</t>
  </si>
  <si>
    <t>name</t>
  </si>
  <si>
    <t>side</t>
  </si>
  <si>
    <t>location_context</t>
  </si>
  <si>
    <t>backbone</t>
  </si>
  <si>
    <t>ccag_project_id</t>
  </si>
  <si>
    <t>regional_trail</t>
  </si>
  <si>
    <t>jurisdiction</t>
  </si>
  <si>
    <t>existing_facility</t>
  </si>
  <si>
    <t>local_proposed_facility</t>
  </si>
  <si>
    <t>final_recommended_facility</t>
  </si>
  <si>
    <t>length_mi</t>
  </si>
  <si>
    <t>geom_Length</t>
  </si>
  <si>
    <t>Class 2 (N)</t>
  </si>
  <si>
    <t>Polyline</t>
  </si>
  <si>
    <t>Class 1 (S)</t>
  </si>
  <si>
    <t>Class 2 (S)</t>
  </si>
  <si>
    <t>Hwy 1 Sidepath</t>
  </si>
  <si>
    <t>Rural</t>
  </si>
  <si>
    <t>Unincorporated San Mateo County</t>
  </si>
  <si>
    <t>North Class II</t>
  </si>
  <si>
    <t>Keep Exising Facility</t>
  </si>
  <si>
    <t>South Class I</t>
  </si>
  <si>
    <t>Montara</t>
  </si>
  <si>
    <t>El Granada</t>
  </si>
  <si>
    <t>Moss Beach</t>
  </si>
  <si>
    <t>South Class II</t>
  </si>
  <si>
    <t>East Palo Alto TAZs (within 0.5 miles of bike project)</t>
  </si>
  <si>
    <t>Willow Rd</t>
  </si>
  <si>
    <t>Laurel St</t>
  </si>
  <si>
    <t>Hospital Pl</t>
  </si>
  <si>
    <t>East Palo Alto, Menlo Park</t>
  </si>
  <si>
    <t>Durham St</t>
  </si>
  <si>
    <t>State Highway 84</t>
  </si>
  <si>
    <t>Class 2b Buffered Bicycle Lane, Class 2 Bicycle Lane</t>
  </si>
  <si>
    <t>Belmont and Redwood City TAZs (within 0.5 miles of bike project)</t>
  </si>
  <si>
    <t>Old County Rd</t>
  </si>
  <si>
    <t>Pacific Blvd</t>
  </si>
  <si>
    <t>Oneill Ave</t>
  </si>
  <si>
    <t>Belmont, Unincorporated San Mateo County</t>
  </si>
  <si>
    <t>300 ft NE of El Camino Real/Harbor Blvd</t>
  </si>
  <si>
    <t>Belmont, Redwood City, San Carlos</t>
  </si>
  <si>
    <t>Old County Rd, Stafford St, Whipple Ave</t>
  </si>
  <si>
    <t>Arguello St</t>
  </si>
  <si>
    <t xml:space="preserve">Class 2 to Class 4 </t>
  </si>
  <si>
    <t>San Carlos TAZs (within 0.5 miles of bike project)</t>
  </si>
  <si>
    <t>Redwood City, San Carlos</t>
  </si>
  <si>
    <t>Alameda De Las Pulgas, San Carlos Ave</t>
  </si>
  <si>
    <t>Cranfield Ave</t>
  </si>
  <si>
    <t>Whipple Ave</t>
  </si>
  <si>
    <t>Brewster Ave, Alameda De Las Pulgas</t>
  </si>
  <si>
    <t>Stanley St</t>
  </si>
  <si>
    <t>Redwood City, Unincorporated San Mateo County</t>
  </si>
  <si>
    <t>Alameda De Las Pulgas</t>
  </si>
  <si>
    <t>Brewster Ave</t>
  </si>
  <si>
    <t>Jefferson Ave</t>
  </si>
  <si>
    <t>Class 3b Bicycle Boulevard</t>
  </si>
  <si>
    <t>Alameda De Las Pulgas, Fernside St</t>
  </si>
  <si>
    <t>Class 3</t>
  </si>
  <si>
    <t>ADT from 2015 CCAG Model Run</t>
  </si>
  <si>
    <t>CCAG Model Data</t>
  </si>
  <si>
    <t>NB or EB Model Nodes</t>
  </si>
  <si>
    <t>12420-25438</t>
  </si>
  <si>
    <t>12422-25577</t>
  </si>
  <si>
    <t>25391-25396</t>
  </si>
  <si>
    <t>SB or WB Model Nodes</t>
  </si>
  <si>
    <t>25438-12420</t>
  </si>
  <si>
    <t>25577-12422</t>
  </si>
  <si>
    <t>25396-25391</t>
  </si>
  <si>
    <t>25458-25692</t>
  </si>
  <si>
    <t>25433-25458</t>
  </si>
  <si>
    <t>25246-25400</t>
  </si>
  <si>
    <t>25692-25458</t>
  </si>
  <si>
    <t>25458-25433</t>
  </si>
  <si>
    <t>25400-25246</t>
  </si>
  <si>
    <t>25225-25226</t>
  </si>
  <si>
    <t>11575-25889</t>
  </si>
  <si>
    <t>24990-24991</t>
  </si>
  <si>
    <t>11583-11889</t>
  </si>
  <si>
    <t>25226-25225</t>
  </si>
  <si>
    <t>25889-11575</t>
  </si>
  <si>
    <t>24991-24990</t>
  </si>
  <si>
    <t>11889-11583</t>
  </si>
  <si>
    <t>24751-24752</t>
  </si>
  <si>
    <t>11857-24725</t>
  </si>
  <si>
    <t>24752-24751</t>
  </si>
  <si>
    <t>24725-11857</t>
  </si>
  <si>
    <t>12031-12340</t>
  </si>
  <si>
    <t>12343-24954</t>
  </si>
  <si>
    <t>11701-31790</t>
  </si>
  <si>
    <t>12340-12031</t>
  </si>
  <si>
    <t>24954-12343</t>
  </si>
  <si>
    <t>31790-11701</t>
  </si>
  <si>
    <t>24951-25348</t>
  </si>
  <si>
    <t>25348-24951</t>
  </si>
  <si>
    <t>TAZs for the approximate area of each Downtown listed below was selected in GIS</t>
  </si>
  <si>
    <t>Estimated blocks that would receive paid parking</t>
  </si>
  <si>
    <t>Block Faces</t>
  </si>
  <si>
    <t>San Mateo Rough Cost Estimate</t>
  </si>
  <si>
    <t>Pay Stations</t>
  </si>
  <si>
    <t>Cost per unit</t>
  </si>
  <si>
    <t xml:space="preserve">Assumes large or touch screen model that accepts bills/coin/card payments. Could be reduced to as low as $7,000 if other model or configuration is selected. </t>
  </si>
  <si>
    <t>Cost per unit Install/shipping/misc.</t>
  </si>
  <si>
    <t>Install cost typically included in hardware cost.</t>
  </si>
  <si>
    <t>Number of block faces</t>
  </si>
  <si>
    <t>Source:</t>
  </si>
  <si>
    <t>units/block face</t>
  </si>
  <si>
    <t xml:space="preserve">Depends on length of curb, number of driveways, visibility, etc. </t>
  </si>
  <si>
    <t>https://www.cityofsanmateo.org/DocumentCenter/View/55327/2009-Downtown-Area-Plan?bidId=</t>
  </si>
  <si>
    <t>Total number of units</t>
  </si>
  <si>
    <t>Redwood City Rough Cost Estimate</t>
  </si>
  <si>
    <t>https://www.redwoodcity.org/home/showpublisheddocument/9981/638387707071570000</t>
  </si>
  <si>
    <t>Burlingame Rough Cost Estimate</t>
  </si>
  <si>
    <t>https://www.burlingame.org/departments/planning/general_and_specific_plans.php</t>
  </si>
  <si>
    <t>TAZ's within 1/2 Mile of Segments of Caltrain Stations (From San Francisco Station to San Jose Diridon)</t>
  </si>
  <si>
    <t>Mode Share Data</t>
  </si>
  <si>
    <t>TAZ's within 1/2 Mile of Segments of Caltrain Stations (San Mateo County Stations; Contains some TAZs in SF County)</t>
  </si>
  <si>
    <t>TAZ's within 1/2 Mile of Segments of Caltrain Stations (Only TAZs within San Mateo County)</t>
  </si>
  <si>
    <t>TAZ Population</t>
  </si>
  <si>
    <t>Model Vehicle Trips (Drive alone + shared ride)</t>
  </si>
  <si>
    <t>Model Transit Trips</t>
  </si>
  <si>
    <t>Model Total Trips</t>
  </si>
  <si>
    <t>Home-based VMT per Resident</t>
  </si>
  <si>
    <t>Total Zone-Generated VMT</t>
  </si>
  <si>
    <t>Service Population</t>
  </si>
  <si>
    <t>Zone VMT per Service Pop</t>
  </si>
  <si>
    <t>County Average / Total</t>
  </si>
  <si>
    <t>Unincorporated</t>
  </si>
  <si>
    <t>Source: 2015 TAZ Allocation in SM County -- "\\Fpsf03.fpainc.local\Data\Projects\2023_Projects\SF23-1321_CCAG_VMT_Mitigation\Analysis\Quantification\Model-Files\TAZ_Level_Data.xlsx"</t>
  </si>
  <si>
    <t>Alameda</t>
  </si>
  <si>
    <t>Albany</t>
  </si>
  <si>
    <t>Antioch</t>
  </si>
  <si>
    <t>Belvedere</t>
  </si>
  <si>
    <t>Benicia</t>
  </si>
  <si>
    <t>Berkeley</t>
  </si>
  <si>
    <t>Brentwood</t>
  </si>
  <si>
    <t>Calistoga</t>
  </si>
  <si>
    <t>Campbell</t>
  </si>
  <si>
    <t>Capitola</t>
  </si>
  <si>
    <t>Clayton</t>
  </si>
  <si>
    <t>Concord</t>
  </si>
  <si>
    <t>Corte Madera</t>
  </si>
  <si>
    <t>Cotati</t>
  </si>
  <si>
    <t>Cupertino</t>
  </si>
  <si>
    <t>Danville</t>
  </si>
  <si>
    <t>Dixon</t>
  </si>
  <si>
    <t>Dublin</t>
  </si>
  <si>
    <t>El Cerrito</t>
  </si>
  <si>
    <t>Emeryville</t>
  </si>
  <si>
    <t>Fairfield</t>
  </si>
  <si>
    <t>Fremont</t>
  </si>
  <si>
    <t>Gilroy</t>
  </si>
  <si>
    <t>Hayward</t>
  </si>
  <si>
    <t>Healdsburg</t>
  </si>
  <si>
    <t>Hercules</t>
  </si>
  <si>
    <t>Hollister</t>
  </si>
  <si>
    <t>Lafayette</t>
  </si>
  <si>
    <t>Larkspur</t>
  </si>
  <si>
    <t>Lathrop</t>
  </si>
  <si>
    <t>Livermore</t>
  </si>
  <si>
    <t>Los Altos</t>
  </si>
  <si>
    <t>Los Altos Hills</t>
  </si>
  <si>
    <t>Los Gatos</t>
  </si>
  <si>
    <t>Manteca</t>
  </si>
  <si>
    <t>Martinez</t>
  </si>
  <si>
    <t>Mill Valley</t>
  </si>
  <si>
    <t>Milpitas</t>
  </si>
  <si>
    <t>Monte Sereno</t>
  </si>
  <si>
    <t>Moraga</t>
  </si>
  <si>
    <t>Morgan Hill</t>
  </si>
  <si>
    <t>Mountain View</t>
  </si>
  <si>
    <t>Napa</t>
  </si>
  <si>
    <t>Newark</t>
  </si>
  <si>
    <t>Novato</t>
  </si>
  <si>
    <t>Oakland</t>
  </si>
  <si>
    <t>Oakley</t>
  </si>
  <si>
    <t>Orinda</t>
  </si>
  <si>
    <t>Palo Alto</t>
  </si>
  <si>
    <t>Petaluma</t>
  </si>
  <si>
    <t>Piedmont</t>
  </si>
  <si>
    <t>Pinole</t>
  </si>
  <si>
    <t>Pittsburg</t>
  </si>
  <si>
    <t>Pleasant Hill</t>
  </si>
  <si>
    <t>Pleasanton</t>
  </si>
  <si>
    <t>Richmond</t>
  </si>
  <si>
    <t>Rohnert Park</t>
  </si>
  <si>
    <t>Ross</t>
  </si>
  <si>
    <t>Salinas</t>
  </si>
  <si>
    <t>San Anselmo</t>
  </si>
  <si>
    <t>San Francisco</t>
  </si>
  <si>
    <t>San Jose</t>
  </si>
  <si>
    <t>San Leandro</t>
  </si>
  <si>
    <t>San Pablo</t>
  </si>
  <si>
    <t>San Rafael</t>
  </si>
  <si>
    <t>San Ramon</t>
  </si>
  <si>
    <t>Santa Clara</t>
  </si>
  <si>
    <t>Santa Cruz</t>
  </si>
  <si>
    <t>Santa Rosa</t>
  </si>
  <si>
    <t>Saratoga</t>
  </si>
  <si>
    <t>Sausalito</t>
  </si>
  <si>
    <t>Sonoma</t>
  </si>
  <si>
    <t>St. Helena</t>
  </si>
  <si>
    <t>Stockton</t>
  </si>
  <si>
    <t>Suisun City</t>
  </si>
  <si>
    <t>Sunnyvale</t>
  </si>
  <si>
    <t>Tiburon</t>
  </si>
  <si>
    <t>Tracy</t>
  </si>
  <si>
    <t>Union City</t>
  </si>
  <si>
    <t>Vacaville</t>
  </si>
  <si>
    <t>Vallejo</t>
  </si>
  <si>
    <t>Walnut Creek</t>
  </si>
  <si>
    <t>Watsonville</t>
  </si>
  <si>
    <t>Windsor</t>
  </si>
  <si>
    <t>Yountville</t>
  </si>
  <si>
    <t>Daily Vehicle Trip Metrics</t>
  </si>
  <si>
    <t>VMT per Capita</t>
  </si>
  <si>
    <t> </t>
  </si>
  <si>
    <t>Vehicle Trips per Capita</t>
  </si>
  <si>
    <t>Average Vehicle Trip Length</t>
  </si>
  <si>
    <t>Warning Level</t>
  </si>
  <si>
    <t>HBO</t>
  </si>
  <si>
    <t>HBW</t>
  </si>
  <si>
    <t>NHB</t>
  </si>
  <si>
    <t>All HB</t>
  </si>
  <si>
    <t>MTC</t>
  </si>
  <si>
    <t>region</t>
  </si>
  <si>
    <t>MTC_region</t>
  </si>
  <si>
    <t>county</t>
  </si>
  <si>
    <t>San Mateo_county</t>
  </si>
  <si>
    <t>city</t>
  </si>
  <si>
    <t>Brisbane_city</t>
  </si>
  <si>
    <t>South San Francisco_city</t>
  </si>
  <si>
    <t>East Palo Alto_city</t>
  </si>
  <si>
    <t>Burlingame_city</t>
  </si>
  <si>
    <t>Foster City_city</t>
  </si>
  <si>
    <t>San Bruno_city</t>
  </si>
  <si>
    <t>Percent Different from SM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</si>
</sst>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0.0"/>
    <numFmt numFmtId="167" formatCode="0.000"/>
    <numFmt numFmtId="168" formatCode="0.0000"/>
    <numFmt numFmtId="169" formatCode="#,##0.0"/>
    <numFmt numFmtId="170" formatCode="0.000%"/>
    <numFmt numFmtId="171" formatCode="_(&quot;$&quot;* #,##0.0_);_(&quot;$&quot;* \(#,##0.0\);_(&quot;$&quot;* &quot;-&quot;?_);_(@_)"/>
    <numFmt numFmtId="172" formatCode="_(* #,##0_);_(* \(#,##0\);_(* &quot;-&quot;??_);_(@_)"/>
    <numFmt numFmtId="173" formatCode="_([$$-409]* #,##0_);_([$$-409]* \(#,##0\);_([$$-409]* &quot;-&quot;??_);_(@_)"/>
    <numFmt numFmtId="174" formatCode="_(&quot;$&quot;* #,##0.000_);_(&quot;$&quot;* \(#,##0.000\);_(&quot;$&quot;* &quot;-&quot;??_);_(@_)"/>
  </numFmts>
  <fonts count="33" x14ac:knownFonts="1">
    <font>
      <sz val="11"/>
      <color theme="1"/>
      <name val="Calibri"/>
      <family val="2"/>
      <scheme val="minor"/>
    </font>
    <font>
      <sz val="10"/>
      <color theme="1"/>
      <name val="Segoe UI"/>
      <family val="2"/>
    </font>
    <font>
      <u/>
      <sz val="11"/>
      <color theme="10"/>
      <name val="Calibri"/>
      <family val="2"/>
      <scheme val="minor"/>
    </font>
    <font>
      <b/>
      <sz val="12"/>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b/>
      <sz val="24"/>
      <color theme="1"/>
      <name val="Calibri"/>
      <family val="2"/>
      <scheme val="minor"/>
    </font>
    <font>
      <b/>
      <sz val="20"/>
      <color theme="1"/>
      <name val="Calibri"/>
      <family val="2"/>
      <scheme val="minor"/>
    </font>
    <font>
      <sz val="10"/>
      <name val="Arial"/>
      <family val="2"/>
    </font>
    <font>
      <i/>
      <sz val="10"/>
      <color theme="1"/>
      <name val="Segoe UI"/>
      <family val="2"/>
    </font>
    <font>
      <sz val="11"/>
      <name val="Calibri"/>
      <family val="2"/>
      <scheme val="minor"/>
    </font>
    <font>
      <b/>
      <sz val="10"/>
      <color theme="1"/>
      <name val="Segoe UI"/>
      <family val="2"/>
    </font>
    <font>
      <b/>
      <i/>
      <sz val="11"/>
      <color theme="1"/>
      <name val="Calibri"/>
      <family val="2"/>
      <scheme val="minor"/>
    </font>
    <font>
      <b/>
      <sz val="11"/>
      <name val="Calibri"/>
      <family val="2"/>
      <scheme val="minor"/>
    </font>
    <font>
      <sz val="11"/>
      <color theme="0"/>
      <name val="Calibri"/>
      <family val="2"/>
      <scheme val="minor"/>
    </font>
    <font>
      <b/>
      <sz val="10"/>
      <name val="Arial"/>
      <family val="2"/>
    </font>
    <font>
      <b/>
      <i/>
      <sz val="18"/>
      <color theme="1"/>
      <name val="Calibri"/>
      <family val="2"/>
      <scheme val="minor"/>
    </font>
    <font>
      <b/>
      <sz val="16"/>
      <color theme="1"/>
      <name val="Calibri"/>
      <family val="2"/>
      <scheme val="minor"/>
    </font>
    <font>
      <i/>
      <sz val="16"/>
      <color theme="1"/>
      <name val="Calibri"/>
      <family val="2"/>
      <scheme val="minor"/>
    </font>
    <font>
      <i/>
      <sz val="11"/>
      <name val="Calibri"/>
      <family val="2"/>
      <scheme val="minor"/>
    </font>
    <font>
      <sz val="11"/>
      <color rgb="FF000000"/>
      <name val="Calibri"/>
      <family val="2"/>
      <scheme val="minor"/>
    </font>
    <font>
      <i/>
      <sz val="10"/>
      <color theme="1"/>
      <name val="Calibri"/>
      <family val="2"/>
      <scheme val="minor"/>
    </font>
    <font>
      <i/>
      <u/>
      <sz val="11"/>
      <color theme="10"/>
      <name val="Calibri"/>
      <family val="2"/>
      <scheme val="minor"/>
    </font>
    <font>
      <i/>
      <sz val="11"/>
      <color indexed="8"/>
      <name val="Calibri"/>
      <family val="2"/>
      <scheme val="minor"/>
    </font>
    <font>
      <b/>
      <sz val="10"/>
      <color theme="0"/>
      <name val="Segoe UI"/>
      <family val="2"/>
    </font>
    <font>
      <sz val="10"/>
      <color theme="0"/>
      <name val="Segoe UI"/>
      <family val="2"/>
    </font>
    <font>
      <b/>
      <sz val="11"/>
      <color rgb="FF000000"/>
      <name val="Calibri"/>
      <family val="2"/>
      <scheme val="minor"/>
    </font>
    <font>
      <b/>
      <i/>
      <sz val="11"/>
      <color rgb="FF000000"/>
      <name val="Calibri"/>
      <family val="2"/>
      <scheme val="minor"/>
    </font>
    <font>
      <i/>
      <sz val="11"/>
      <color rgb="FF000000"/>
      <name val="Calibri"/>
      <family val="2"/>
      <scheme val="minor"/>
    </font>
    <font>
      <b/>
      <sz val="11"/>
      <color rgb="FF000000"/>
      <name val="Calibri"/>
    </font>
    <font>
      <i/>
      <sz val="11"/>
      <color rgb="FF000000"/>
      <name val="Calibri"/>
    </font>
    <font>
      <sz val="11"/>
      <color rgb="FF000000"/>
      <name val="Calibri"/>
    </font>
  </fonts>
  <fills count="36">
    <fill>
      <patternFill patternType="none"/>
    </fill>
    <fill>
      <patternFill patternType="gray125"/>
    </fill>
    <fill>
      <patternFill patternType="solid">
        <fgColor theme="7" tint="0.5999938962981048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bgColor indexed="64"/>
      </patternFill>
    </fill>
    <fill>
      <patternFill patternType="solid">
        <fgColor theme="5"/>
        <bgColor indexed="64"/>
      </patternFill>
    </fill>
    <fill>
      <patternFill patternType="solid">
        <fgColor theme="9"/>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1"/>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indexed="22"/>
      </patternFill>
    </fill>
    <fill>
      <patternFill patternType="solid">
        <fgColor theme="2" tint="-0.249977111117893"/>
        <bgColor indexed="64"/>
      </patternFill>
    </fill>
    <fill>
      <patternFill patternType="solid">
        <fgColor theme="6"/>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rgb="FFFFE699"/>
        <bgColor indexed="64"/>
      </patternFill>
    </fill>
    <fill>
      <patternFill patternType="solid">
        <fgColor rgb="FFFFD966"/>
        <bgColor rgb="FF000000"/>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right style="medium">
        <color rgb="FF000000"/>
      </right>
      <top style="medium">
        <color indexed="64"/>
      </top>
      <bottom/>
      <diagonal/>
    </border>
    <border>
      <left/>
      <right style="thin">
        <color rgb="FF000000"/>
      </right>
      <top/>
      <bottom/>
      <diagonal/>
    </border>
    <border>
      <left/>
      <right style="medium">
        <color rgb="FF000000"/>
      </right>
      <top/>
      <bottom/>
      <diagonal/>
    </border>
    <border>
      <left/>
      <right style="medium">
        <color indexed="64"/>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s>
  <cellStyleXfs count="9">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43" fontId="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cellStyleXfs>
  <cellXfs count="541">
    <xf numFmtId="0" fontId="0" fillId="0" borderId="0" xfId="0"/>
    <xf numFmtId="0" fontId="3" fillId="0" borderId="0" xfId="0" applyFont="1"/>
    <xf numFmtId="0" fontId="4" fillId="0" borderId="0" xfId="0" applyFont="1"/>
    <xf numFmtId="0" fontId="2" fillId="0" borderId="0" xfId="1"/>
    <xf numFmtId="0" fontId="0" fillId="0" borderId="0" xfId="0" applyAlignment="1">
      <alignment horizontal="left"/>
    </xf>
    <xf numFmtId="0" fontId="4" fillId="0" borderId="0" xfId="0" applyFont="1" applyAlignment="1">
      <alignment horizontal="right"/>
    </xf>
    <xf numFmtId="0" fontId="0" fillId="0" borderId="1" xfId="0" applyBorder="1"/>
    <xf numFmtId="0" fontId="0" fillId="0" borderId="1" xfId="0" applyBorder="1" applyAlignment="1">
      <alignment wrapText="1"/>
    </xf>
    <xf numFmtId="0" fontId="7" fillId="0" borderId="0" xfId="0" applyFont="1"/>
    <xf numFmtId="0" fontId="4" fillId="0" borderId="2" xfId="0" applyFont="1"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0" xfId="0" applyAlignment="1">
      <alignment vertical="center"/>
    </xf>
    <xf numFmtId="0" fontId="4" fillId="3" borderId="0" xfId="0" applyFont="1" applyFill="1"/>
    <xf numFmtId="0" fontId="8" fillId="0" borderId="0" xfId="0" applyFont="1"/>
    <xf numFmtId="0" fontId="4" fillId="4" borderId="1" xfId="0" applyFont="1" applyFill="1" applyBorder="1" applyAlignment="1">
      <alignment wrapText="1"/>
    </xf>
    <xf numFmtId="0" fontId="0" fillId="7" borderId="0" xfId="0" applyFill="1"/>
    <xf numFmtId="0" fontId="0" fillId="6" borderId="0" xfId="0" applyFill="1"/>
    <xf numFmtId="0" fontId="0" fillId="5" borderId="0" xfId="0" applyFill="1"/>
    <xf numFmtId="0" fontId="6" fillId="0" borderId="1" xfId="0" applyFont="1" applyBorder="1"/>
    <xf numFmtId="0" fontId="6" fillId="0" borderId="1" xfId="0" applyFont="1" applyBorder="1" applyAlignment="1">
      <alignment wrapText="1"/>
    </xf>
    <xf numFmtId="0" fontId="4" fillId="9" borderId="0" xfId="0" applyFont="1" applyFill="1"/>
    <xf numFmtId="2" fontId="0" fillId="0" borderId="1" xfId="0" applyNumberFormat="1" applyBorder="1"/>
    <xf numFmtId="0" fontId="0" fillId="0" borderId="0" xfId="0" applyAlignment="1">
      <alignment wrapText="1"/>
    </xf>
    <xf numFmtId="10" fontId="0" fillId="0" borderId="1" xfId="7" applyNumberFormat="1" applyFont="1" applyBorder="1"/>
    <xf numFmtId="2" fontId="0" fillId="0" borderId="0" xfId="0" applyNumberFormat="1"/>
    <xf numFmtId="0" fontId="0" fillId="0" borderId="0" xfId="0" quotePrefix="1"/>
    <xf numFmtId="44" fontId="0" fillId="0" borderId="0" xfId="0" applyNumberFormat="1"/>
    <xf numFmtId="10" fontId="0" fillId="0" borderId="0" xfId="7" applyNumberFormat="1" applyFont="1"/>
    <xf numFmtId="166" fontId="0" fillId="0" borderId="1" xfId="0" applyNumberFormat="1" applyBorder="1"/>
    <xf numFmtId="0" fontId="4" fillId="11" borderId="1" xfId="0" applyFont="1" applyFill="1" applyBorder="1"/>
    <xf numFmtId="0" fontId="4" fillId="11" borderId="1" xfId="0" applyFont="1" applyFill="1" applyBorder="1" applyAlignment="1">
      <alignment wrapText="1"/>
    </xf>
    <xf numFmtId="0" fontId="4" fillId="12" borderId="1" xfId="0" applyFont="1" applyFill="1" applyBorder="1" applyAlignment="1">
      <alignment wrapText="1"/>
    </xf>
    <xf numFmtId="0" fontId="0" fillId="13" borderId="1" xfId="0" applyFill="1" applyBorder="1"/>
    <xf numFmtId="167" fontId="0" fillId="0" borderId="1" xfId="0" applyNumberFormat="1" applyBorder="1"/>
    <xf numFmtId="1" fontId="0" fillId="0" borderId="1" xfId="0" applyNumberFormat="1" applyBorder="1"/>
    <xf numFmtId="9" fontId="0" fillId="14" borderId="1" xfId="7" applyFont="1" applyFill="1" applyBorder="1"/>
    <xf numFmtId="1" fontId="0" fillId="14" borderId="1" xfId="0" applyNumberFormat="1" applyFill="1" applyBorder="1"/>
    <xf numFmtId="9" fontId="0" fillId="14" borderId="1" xfId="6" applyNumberFormat="1" applyFont="1" applyFill="1" applyBorder="1"/>
    <xf numFmtId="2" fontId="0" fillId="10" borderId="1" xfId="6" applyNumberFormat="1" applyFont="1" applyFill="1" applyBorder="1"/>
    <xf numFmtId="44" fontId="0" fillId="10" borderId="1" xfId="6" applyFont="1" applyFill="1" applyBorder="1"/>
    <xf numFmtId="9" fontId="0" fillId="10" borderId="1" xfId="7" applyFont="1" applyFill="1" applyBorder="1"/>
    <xf numFmtId="9" fontId="0" fillId="0" borderId="1" xfId="7" applyFont="1" applyBorder="1"/>
    <xf numFmtId="165" fontId="0" fillId="0" borderId="1" xfId="7" applyNumberFormat="1" applyFont="1" applyBorder="1"/>
    <xf numFmtId="0" fontId="11" fillId="0" borderId="5" xfId="0" applyFont="1" applyBorder="1"/>
    <xf numFmtId="1" fontId="0" fillId="0" borderId="0" xfId="0" applyNumberFormat="1"/>
    <xf numFmtId="3" fontId="0" fillId="0" borderId="0" xfId="0" applyNumberFormat="1"/>
    <xf numFmtId="0" fontId="0" fillId="13" borderId="0" xfId="0" applyFill="1"/>
    <xf numFmtId="0" fontId="4" fillId="15" borderId="0" xfId="0" applyFont="1" applyFill="1"/>
    <xf numFmtId="0" fontId="6" fillId="0" borderId="0" xfId="0" applyFont="1"/>
    <xf numFmtId="10" fontId="0" fillId="0" borderId="1" xfId="0" applyNumberFormat="1" applyBorder="1"/>
    <xf numFmtId="3" fontId="0" fillId="0" borderId="1" xfId="0" applyNumberFormat="1" applyBorder="1"/>
    <xf numFmtId="9" fontId="0" fillId="17" borderId="1" xfId="7" applyFont="1" applyFill="1" applyBorder="1"/>
    <xf numFmtId="9" fontId="0" fillId="0" borderId="1" xfId="7" applyFont="1" applyFill="1" applyBorder="1"/>
    <xf numFmtId="166" fontId="4" fillId="0" borderId="1" xfId="0" applyNumberFormat="1" applyFont="1" applyBorder="1"/>
    <xf numFmtId="0" fontId="0" fillId="0" borderId="1" xfId="0" applyBorder="1" applyAlignment="1">
      <alignment horizontal="center" vertical="center"/>
    </xf>
    <xf numFmtId="0" fontId="4" fillId="9" borderId="11" xfId="0" applyFont="1" applyFill="1" applyBorder="1"/>
    <xf numFmtId="0" fontId="4" fillId="9" borderId="12" xfId="0" applyFont="1" applyFill="1" applyBorder="1"/>
    <xf numFmtId="0" fontId="4" fillId="9" borderId="13" xfId="0" applyFont="1" applyFill="1" applyBorder="1"/>
    <xf numFmtId="2" fontId="0" fillId="0" borderId="1" xfId="0" applyNumberFormat="1" applyBorder="1" applyAlignment="1">
      <alignment wrapText="1"/>
    </xf>
    <xf numFmtId="0" fontId="4" fillId="0" borderId="1" xfId="0" applyFont="1" applyBorder="1" applyAlignment="1">
      <alignment horizontal="center" vertical="center"/>
    </xf>
    <xf numFmtId="0" fontId="12" fillId="0" borderId="0" xfId="0" applyFont="1" applyAlignment="1">
      <alignment wrapText="1"/>
    </xf>
    <xf numFmtId="0" fontId="4" fillId="0" borderId="1" xfId="0" applyFont="1" applyBorder="1" applyAlignment="1">
      <alignment wrapText="1"/>
    </xf>
    <xf numFmtId="0" fontId="0" fillId="0" borderId="0" xfId="0" applyAlignment="1">
      <alignment horizontal="center" vertical="center"/>
    </xf>
    <xf numFmtId="0" fontId="4" fillId="0" borderId="1" xfId="0" applyFont="1" applyBorder="1"/>
    <xf numFmtId="0" fontId="4" fillId="0" borderId="14" xfId="0" applyFont="1" applyBorder="1"/>
    <xf numFmtId="0" fontId="0" fillId="7" borderId="14" xfId="0" applyFill="1" applyBorder="1"/>
    <xf numFmtId="0" fontId="0" fillId="5" borderId="14" xfId="0" applyFill="1" applyBorder="1"/>
    <xf numFmtId="0" fontId="0" fillId="6" borderId="14" xfId="0" applyFill="1" applyBorder="1"/>
    <xf numFmtId="0" fontId="0" fillId="0" borderId="14" xfId="0" applyBorder="1"/>
    <xf numFmtId="0" fontId="0" fillId="18" borderId="14" xfId="0" applyFill="1" applyBorder="1"/>
    <xf numFmtId="0" fontId="15" fillId="19" borderId="10" xfId="0" applyFont="1" applyFill="1" applyBorder="1"/>
    <xf numFmtId="0" fontId="0" fillId="20" borderId="1" xfId="0" applyFill="1" applyBorder="1"/>
    <xf numFmtId="0" fontId="0" fillId="21" borderId="0" xfId="0" applyFill="1"/>
    <xf numFmtId="0" fontId="4" fillId="15" borderId="0" xfId="0" applyFont="1" applyFill="1" applyAlignment="1">
      <alignment wrapText="1"/>
    </xf>
    <xf numFmtId="2" fontId="4" fillId="7" borderId="0" xfId="0" applyNumberFormat="1" applyFont="1" applyFill="1"/>
    <xf numFmtId="2" fontId="4" fillId="5" borderId="0" xfId="0" applyNumberFormat="1" applyFont="1" applyFill="1"/>
    <xf numFmtId="1" fontId="0" fillId="13" borderId="1" xfId="0" applyNumberFormat="1" applyFill="1" applyBorder="1"/>
    <xf numFmtId="2" fontId="0" fillId="13" borderId="1" xfId="0" applyNumberFormat="1" applyFill="1" applyBorder="1"/>
    <xf numFmtId="9" fontId="0" fillId="21" borderId="1" xfId="7" applyFont="1" applyFill="1" applyBorder="1"/>
    <xf numFmtId="0" fontId="4" fillId="20" borderId="1" xfId="0" applyFont="1" applyFill="1" applyBorder="1"/>
    <xf numFmtId="0" fontId="4" fillId="23" borderId="0" xfId="0" applyFont="1" applyFill="1"/>
    <xf numFmtId="0" fontId="0" fillId="23" borderId="0" xfId="0" applyFill="1"/>
    <xf numFmtId="0" fontId="4" fillId="12" borderId="0" xfId="0" applyFont="1" applyFill="1"/>
    <xf numFmtId="1" fontId="0" fillId="13" borderId="10" xfId="0" applyNumberFormat="1" applyFill="1" applyBorder="1"/>
    <xf numFmtId="2" fontId="0" fillId="13" borderId="10" xfId="0" applyNumberFormat="1" applyFill="1" applyBorder="1"/>
    <xf numFmtId="2" fontId="4" fillId="7" borderId="1" xfId="0" applyNumberFormat="1" applyFont="1" applyFill="1" applyBorder="1" applyAlignment="1">
      <alignment wrapText="1"/>
    </xf>
    <xf numFmtId="2" fontId="4" fillId="7" borderId="1" xfId="0" applyNumberFormat="1" applyFont="1" applyFill="1" applyBorder="1"/>
    <xf numFmtId="0" fontId="4" fillId="7" borderId="1" xfId="0" applyFont="1" applyFill="1" applyBorder="1" applyAlignment="1">
      <alignment wrapText="1"/>
    </xf>
    <xf numFmtId="0" fontId="4" fillId="23" borderId="1" xfId="0" applyFont="1" applyFill="1" applyBorder="1"/>
    <xf numFmtId="0" fontId="4" fillId="15" borderId="1" xfId="0" applyFont="1" applyFill="1" applyBorder="1" applyAlignment="1">
      <alignment wrapText="1"/>
    </xf>
    <xf numFmtId="1" fontId="4" fillId="7" borderId="0" xfId="0" applyNumberFormat="1" applyFont="1" applyFill="1"/>
    <xf numFmtId="0" fontId="4" fillId="12" borderId="0" xfId="0" applyFont="1" applyFill="1" applyAlignment="1">
      <alignment wrapText="1"/>
    </xf>
    <xf numFmtId="169" fontId="0" fillId="0" borderId="0" xfId="0" applyNumberFormat="1"/>
    <xf numFmtId="2" fontId="6" fillId="0" borderId="0" xfId="0" applyNumberFormat="1" applyFont="1"/>
    <xf numFmtId="169" fontId="6" fillId="0" borderId="0" xfId="0" applyNumberFormat="1" applyFont="1"/>
    <xf numFmtId="3" fontId="6" fillId="0" borderId="0" xfId="0" applyNumberFormat="1" applyFont="1"/>
    <xf numFmtId="0" fontId="0" fillId="21" borderId="1" xfId="0" applyFill="1" applyBorder="1"/>
    <xf numFmtId="0" fontId="4" fillId="16" borderId="11" xfId="0" applyFont="1" applyFill="1" applyBorder="1"/>
    <xf numFmtId="0" fontId="4" fillId="16" borderId="13" xfId="0" applyFont="1" applyFill="1" applyBorder="1"/>
    <xf numFmtId="0" fontId="4" fillId="16" borderId="1" xfId="0" applyFont="1" applyFill="1" applyBorder="1"/>
    <xf numFmtId="0" fontId="4" fillId="22" borderId="1" xfId="0" applyFont="1" applyFill="1" applyBorder="1" applyAlignment="1">
      <alignment wrapText="1"/>
    </xf>
    <xf numFmtId="0" fontId="4" fillId="9" borderId="13" xfId="0" applyFont="1" applyFill="1" applyBorder="1" applyAlignment="1">
      <alignment wrapText="1"/>
    </xf>
    <xf numFmtId="0" fontId="4" fillId="9" borderId="1" xfId="0" applyFont="1" applyFill="1" applyBorder="1" applyAlignment="1">
      <alignment wrapText="1"/>
    </xf>
    <xf numFmtId="0" fontId="4" fillId="22" borderId="11" xfId="0" applyFont="1" applyFill="1" applyBorder="1"/>
    <xf numFmtId="0" fontId="4" fillId="22" borderId="12" xfId="0" applyFont="1" applyFill="1" applyBorder="1"/>
    <xf numFmtId="0" fontId="4" fillId="9" borderId="11" xfId="0" applyFont="1" applyFill="1" applyBorder="1" applyAlignment="1">
      <alignment wrapText="1"/>
    </xf>
    <xf numFmtId="0" fontId="4" fillId="24" borderId="0" xfId="0" applyFont="1" applyFill="1"/>
    <xf numFmtId="0" fontId="4" fillId="24" borderId="1" xfId="0" applyFont="1" applyFill="1" applyBorder="1"/>
    <xf numFmtId="0" fontId="4" fillId="24" borderId="1" xfId="0" applyFont="1" applyFill="1" applyBorder="1" applyAlignment="1">
      <alignment wrapText="1"/>
    </xf>
    <xf numFmtId="2" fontId="6" fillId="0" borderId="1" xfId="0" applyNumberFormat="1" applyFont="1" applyBorder="1"/>
    <xf numFmtId="0" fontId="13" fillId="0" borderId="0" xfId="0" applyFont="1"/>
    <xf numFmtId="0" fontId="0" fillId="2" borderId="0" xfId="0" applyFill="1"/>
    <xf numFmtId="0" fontId="4" fillId="2" borderId="0" xfId="0" applyFont="1" applyFill="1"/>
    <xf numFmtId="0" fontId="4" fillId="2" borderId="0" xfId="0" applyFont="1" applyFill="1" applyAlignment="1">
      <alignment wrapText="1"/>
    </xf>
    <xf numFmtId="0" fontId="0" fillId="4" borderId="0" xfId="0" applyFill="1"/>
    <xf numFmtId="0" fontId="4" fillId="4" borderId="0" xfId="0" applyFont="1" applyFill="1" applyAlignment="1">
      <alignment wrapText="1"/>
    </xf>
    <xf numFmtId="0" fontId="4" fillId="4" borderId="0" xfId="0" applyFont="1" applyFill="1"/>
    <xf numFmtId="0" fontId="4" fillId="4" borderId="1" xfId="0" applyFont="1" applyFill="1" applyBorder="1"/>
    <xf numFmtId="10" fontId="0" fillId="9" borderId="1" xfId="7" applyNumberFormat="1" applyFont="1" applyFill="1" applyBorder="1"/>
    <xf numFmtId="0" fontId="16" fillId="25" borderId="0" xfId="0" applyFont="1" applyFill="1" applyAlignment="1">
      <alignment horizontal="center"/>
    </xf>
    <xf numFmtId="1" fontId="9" fillId="0" borderId="0" xfId="0" applyNumberFormat="1" applyFont="1"/>
    <xf numFmtId="0" fontId="9" fillId="0" borderId="0" xfId="0" applyFont="1"/>
    <xf numFmtId="0" fontId="9" fillId="24" borderId="0" xfId="0" applyFont="1" applyFill="1"/>
    <xf numFmtId="0" fontId="0" fillId="24" borderId="0" xfId="0" applyFill="1"/>
    <xf numFmtId="0" fontId="16" fillId="22" borderId="0" xfId="0" applyFont="1" applyFill="1" applyAlignment="1">
      <alignment horizontal="center"/>
    </xf>
    <xf numFmtId="0" fontId="16" fillId="9" borderId="0" xfId="0" applyFont="1" applyFill="1" applyAlignment="1">
      <alignment horizontal="center"/>
    </xf>
    <xf numFmtId="0" fontId="16" fillId="2" borderId="0" xfId="0" applyFont="1" applyFill="1" applyAlignment="1">
      <alignment horizontal="center"/>
    </xf>
    <xf numFmtId="0" fontId="16" fillId="22" borderId="0" xfId="0" applyFont="1" applyFill="1" applyAlignment="1">
      <alignment horizontal="left"/>
    </xf>
    <xf numFmtId="0" fontId="16" fillId="9" borderId="0" xfId="0" applyFont="1" applyFill="1" applyAlignment="1">
      <alignment horizontal="left"/>
    </xf>
    <xf numFmtId="0" fontId="16" fillId="24" borderId="0" xfId="0" applyFont="1" applyFill="1" applyAlignment="1">
      <alignment horizontal="left" wrapText="1"/>
    </xf>
    <xf numFmtId="0" fontId="0" fillId="3" borderId="0" xfId="0" applyFill="1"/>
    <xf numFmtId="0" fontId="13" fillId="5" borderId="0" xfId="0" applyFont="1" applyFill="1"/>
    <xf numFmtId="0" fontId="17" fillId="0" borderId="0" xfId="0" applyFont="1"/>
    <xf numFmtId="0" fontId="0" fillId="0" borderId="1" xfId="0" applyBorder="1" applyAlignment="1">
      <alignment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9" fontId="4" fillId="0" borderId="1" xfId="7" applyFont="1" applyBorder="1" applyAlignment="1">
      <alignment horizontal="center" vertical="center"/>
    </xf>
    <xf numFmtId="3" fontId="0" fillId="0" borderId="1" xfId="0" applyNumberFormat="1" applyBorder="1" applyAlignment="1">
      <alignment horizontal="center" vertical="center"/>
    </xf>
    <xf numFmtId="164" fontId="0" fillId="0" borderId="1" xfId="6" applyNumberFormat="1" applyFont="1" applyBorder="1" applyAlignment="1">
      <alignment horizontal="center" vertical="center"/>
    </xf>
    <xf numFmtId="0" fontId="6" fillId="21" borderId="11" xfId="0" applyFont="1" applyFill="1" applyBorder="1"/>
    <xf numFmtId="1" fontId="0" fillId="0" borderId="13" xfId="0" applyNumberFormat="1" applyBorder="1"/>
    <xf numFmtId="0" fontId="4" fillId="22" borderId="15" xfId="0" applyFont="1" applyFill="1" applyBorder="1" applyAlignment="1">
      <alignment wrapText="1"/>
    </xf>
    <xf numFmtId="0" fontId="0" fillId="2" borderId="8" xfId="0" applyFill="1" applyBorder="1"/>
    <xf numFmtId="0" fontId="0" fillId="0" borderId="2" xfId="0" applyBorder="1"/>
    <xf numFmtId="0" fontId="0" fillId="2" borderId="3" xfId="0" applyFill="1" applyBorder="1"/>
    <xf numFmtId="2" fontId="10" fillId="0" borderId="0" xfId="0" applyNumberFormat="1" applyFont="1"/>
    <xf numFmtId="3" fontId="0" fillId="0" borderId="1" xfId="0" applyNumberFormat="1" applyBorder="1" applyAlignment="1">
      <alignment wrapText="1"/>
    </xf>
    <xf numFmtId="0" fontId="4" fillId="9" borderId="1" xfId="0" applyFont="1" applyFill="1" applyBorder="1"/>
    <xf numFmtId="0" fontId="4" fillId="11" borderId="11" xfId="0" applyFont="1" applyFill="1" applyBorder="1"/>
    <xf numFmtId="0" fontId="4" fillId="11" borderId="12" xfId="0" applyFont="1" applyFill="1" applyBorder="1"/>
    <xf numFmtId="0" fontId="4" fillId="11" borderId="13" xfId="0" applyFont="1" applyFill="1" applyBorder="1"/>
    <xf numFmtId="0" fontId="4" fillId="9" borderId="10" xfId="0" applyFont="1" applyFill="1" applyBorder="1" applyAlignment="1">
      <alignment wrapText="1"/>
    </xf>
    <xf numFmtId="0" fontId="4" fillId="9" borderId="10" xfId="0" applyFont="1" applyFill="1" applyBorder="1"/>
    <xf numFmtId="0" fontId="4" fillId="11" borderId="10" xfId="0" applyFont="1" applyFill="1" applyBorder="1"/>
    <xf numFmtId="1" fontId="0" fillId="10" borderId="1" xfId="6" applyNumberFormat="1" applyFont="1" applyFill="1" applyBorder="1"/>
    <xf numFmtId="1" fontId="0" fillId="10" borderId="1" xfId="0" applyNumberFormat="1" applyFill="1" applyBorder="1"/>
    <xf numFmtId="0" fontId="4" fillId="2" borderId="1" xfId="0" applyFont="1" applyFill="1" applyBorder="1" applyAlignment="1">
      <alignment vertical="center" wrapText="1"/>
    </xf>
    <xf numFmtId="0" fontId="4" fillId="0" borderId="0" xfId="0" applyFont="1" applyAlignment="1">
      <alignment wrapText="1"/>
    </xf>
    <xf numFmtId="10" fontId="0" fillId="0" borderId="1" xfId="7" applyNumberFormat="1" applyFont="1" applyFill="1" applyBorder="1"/>
    <xf numFmtId="1" fontId="0" fillId="0" borderId="1" xfId="6" applyNumberFormat="1" applyFont="1" applyFill="1" applyBorder="1"/>
    <xf numFmtId="0" fontId="4" fillId="22" borderId="1" xfId="0" applyFont="1" applyFill="1" applyBorder="1"/>
    <xf numFmtId="0" fontId="4" fillId="22" borderId="11" xfId="0" applyFont="1" applyFill="1" applyBorder="1" applyAlignment="1">
      <alignment horizontal="center"/>
    </xf>
    <xf numFmtId="0" fontId="4" fillId="22" borderId="13" xfId="0" applyFont="1" applyFill="1" applyBorder="1" applyAlignment="1">
      <alignment horizontal="center"/>
    </xf>
    <xf numFmtId="6" fontId="0" fillId="10" borderId="1" xfId="6" applyNumberFormat="1" applyFont="1" applyFill="1" applyBorder="1"/>
    <xf numFmtId="0" fontId="0" fillId="22" borderId="13" xfId="0" applyFill="1" applyBorder="1"/>
    <xf numFmtId="0" fontId="0" fillId="2" borderId="1" xfId="0" applyFill="1" applyBorder="1"/>
    <xf numFmtId="170" fontId="0" fillId="0" borderId="1" xfId="0" applyNumberFormat="1" applyBorder="1"/>
    <xf numFmtId="3" fontId="0" fillId="0" borderId="1" xfId="6" applyNumberFormat="1" applyFont="1" applyFill="1" applyBorder="1"/>
    <xf numFmtId="3" fontId="0" fillId="14" borderId="1" xfId="6" applyNumberFormat="1" applyFont="1" applyFill="1" applyBorder="1"/>
    <xf numFmtId="170" fontId="0" fillId="0" borderId="1" xfId="7" applyNumberFormat="1" applyFont="1" applyBorder="1"/>
    <xf numFmtId="4" fontId="0" fillId="0" borderId="0" xfId="0" applyNumberFormat="1"/>
    <xf numFmtId="0" fontId="0" fillId="0" borderId="5" xfId="0" applyBorder="1" applyAlignment="1">
      <alignment horizontal="left"/>
    </xf>
    <xf numFmtId="0" fontId="0" fillId="0" borderId="7" xfId="0" applyBorder="1" applyAlignment="1">
      <alignment horizontal="left"/>
    </xf>
    <xf numFmtId="164" fontId="0" fillId="0" borderId="1" xfId="0" applyNumberFormat="1" applyBorder="1"/>
    <xf numFmtId="3" fontId="4" fillId="0" borderId="1" xfId="0" applyNumberFormat="1" applyFont="1" applyBorder="1"/>
    <xf numFmtId="170" fontId="0" fillId="0" borderId="0" xfId="7" applyNumberFormat="1" applyFont="1" applyBorder="1"/>
    <xf numFmtId="0" fontId="13" fillId="9" borderId="11" xfId="0" applyFont="1" applyFill="1" applyBorder="1" applyAlignment="1">
      <alignment horizontal="left"/>
    </xf>
    <xf numFmtId="0" fontId="13" fillId="9" borderId="12" xfId="0" applyFont="1" applyFill="1" applyBorder="1" applyAlignment="1">
      <alignment horizontal="left"/>
    </xf>
    <xf numFmtId="0" fontId="13" fillId="9" borderId="13" xfId="0" applyFont="1" applyFill="1" applyBorder="1" applyAlignment="1">
      <alignment horizontal="left"/>
    </xf>
    <xf numFmtId="0" fontId="4" fillId="2" borderId="1" xfId="0" applyFont="1" applyFill="1" applyBorder="1"/>
    <xf numFmtId="164" fontId="4" fillId="0" borderId="1" xfId="0" applyNumberFormat="1" applyFont="1" applyBorder="1"/>
    <xf numFmtId="44" fontId="4" fillId="0" borderId="1" xfId="0" applyNumberFormat="1" applyFont="1" applyBorder="1"/>
    <xf numFmtId="2" fontId="0" fillId="0" borderId="1" xfId="0" applyNumberFormat="1" applyBorder="1" applyAlignment="1">
      <alignment horizontal="center" vertical="center"/>
    </xf>
    <xf numFmtId="164" fontId="4" fillId="2" borderId="1" xfId="6" applyNumberFormat="1" applyFont="1" applyFill="1" applyBorder="1" applyAlignment="1">
      <alignment horizontal="center" vertical="center"/>
    </xf>
    <xf numFmtId="0" fontId="4" fillId="22" borderId="1" xfId="0" applyFont="1" applyFill="1" applyBorder="1" applyAlignment="1">
      <alignment horizontal="left" vertical="center" wrapText="1"/>
    </xf>
    <xf numFmtId="0" fontId="4" fillId="22" borderId="13" xfId="0" applyFont="1" applyFill="1" applyBorder="1"/>
    <xf numFmtId="9" fontId="4" fillId="2" borderId="1" xfId="0" applyNumberFormat="1" applyFont="1" applyFill="1" applyBorder="1" applyAlignment="1">
      <alignment horizontal="center" vertical="center"/>
    </xf>
    <xf numFmtId="6" fontId="4" fillId="2" borderId="1" xfId="0" applyNumberFormat="1" applyFont="1" applyFill="1" applyBorder="1" applyAlignment="1">
      <alignment horizontal="center" vertical="center" wrapText="1"/>
    </xf>
    <xf numFmtId="0" fontId="12" fillId="0" borderId="5" xfId="0" applyFont="1" applyBorder="1"/>
    <xf numFmtId="0" fontId="12" fillId="0" borderId="0" xfId="0" applyFont="1" applyAlignment="1">
      <alignment horizontal="center"/>
    </xf>
    <xf numFmtId="0" fontId="12" fillId="0" borderId="6" xfId="0" applyFont="1" applyBorder="1" applyAlignment="1">
      <alignment horizontal="center"/>
    </xf>
    <xf numFmtId="0" fontId="0" fillId="0" borderId="5" xfId="0" applyBorder="1" applyAlignment="1">
      <alignment wrapText="1"/>
    </xf>
    <xf numFmtId="0" fontId="0" fillId="0" borderId="1" xfId="0" applyBorder="1" applyAlignment="1">
      <alignment horizontal="left"/>
    </xf>
    <xf numFmtId="3" fontId="4" fillId="0" borderId="0" xfId="0" applyNumberFormat="1" applyFont="1"/>
    <xf numFmtId="6" fontId="0" fillId="10" borderId="1" xfId="0" applyNumberFormat="1" applyFill="1" applyBorder="1"/>
    <xf numFmtId="6" fontId="0" fillId="0" borderId="1" xfId="0" applyNumberFormat="1" applyBorder="1"/>
    <xf numFmtId="6" fontId="4" fillId="0" borderId="1" xfId="0" applyNumberFormat="1" applyFont="1" applyBorder="1"/>
    <xf numFmtId="9" fontId="4" fillId="2" borderId="1" xfId="7" applyFont="1" applyFill="1" applyBorder="1" applyAlignment="1">
      <alignment horizontal="center" vertical="center"/>
    </xf>
    <xf numFmtId="0" fontId="4" fillId="0" borderId="1" xfId="0" applyFont="1" applyBorder="1" applyAlignment="1">
      <alignment vertical="center" wrapText="1"/>
    </xf>
    <xf numFmtId="164" fontId="0" fillId="0" borderId="1" xfId="6" applyNumberFormat="1" applyFont="1" applyFill="1" applyBorder="1"/>
    <xf numFmtId="0" fontId="4" fillId="0" borderId="0" xfId="0" applyFont="1" applyAlignment="1">
      <alignment horizontal="center" vertical="center" wrapText="1"/>
    </xf>
    <xf numFmtId="9" fontId="4" fillId="0" borderId="0" xfId="6" applyNumberFormat="1" applyFont="1" applyFill="1" applyBorder="1" applyAlignment="1">
      <alignment horizontal="center"/>
    </xf>
    <xf numFmtId="171" fontId="0" fillId="0" borderId="0" xfId="0" applyNumberFormat="1"/>
    <xf numFmtId="164" fontId="5" fillId="0" borderId="1" xfId="6" applyNumberFormat="1" applyFont="1" applyBorder="1"/>
    <xf numFmtId="6" fontId="0" fillId="0" borderId="0" xfId="0" applyNumberFormat="1" applyAlignment="1">
      <alignment horizontal="center" vertical="center"/>
    </xf>
    <xf numFmtId="0" fontId="0" fillId="0" borderId="1" xfId="0" applyBorder="1" applyAlignment="1">
      <alignment horizontal="left" wrapText="1"/>
    </xf>
    <xf numFmtId="44" fontId="4" fillId="2" borderId="1" xfId="6" applyFont="1" applyFill="1" applyBorder="1"/>
    <xf numFmtId="0" fontId="0" fillId="22" borderId="1" xfId="0" applyFill="1" applyBorder="1" applyAlignment="1">
      <alignment horizontal="left" vertical="top" wrapText="1"/>
    </xf>
    <xf numFmtId="0" fontId="0" fillId="22" borderId="1" xfId="0" applyFill="1" applyBorder="1" applyAlignment="1">
      <alignment wrapText="1"/>
    </xf>
    <xf numFmtId="0" fontId="0" fillId="22" borderId="1" xfId="0" applyFill="1" applyBorder="1" applyAlignment="1">
      <alignment horizontal="left" vertical="center" wrapText="1"/>
    </xf>
    <xf numFmtId="0" fontId="18" fillId="0" borderId="0" xfId="0" applyFont="1"/>
    <xf numFmtId="0" fontId="13" fillId="0" borderId="2" xfId="0" applyFont="1" applyBorder="1" applyAlignment="1">
      <alignment wrapText="1"/>
    </xf>
    <xf numFmtId="0" fontId="4" fillId="0" borderId="5" xfId="0" applyFont="1" applyBorder="1" applyAlignment="1">
      <alignment wrapText="1"/>
    </xf>
    <xf numFmtId="0" fontId="12" fillId="21" borderId="11" xfId="0" applyFont="1" applyFill="1" applyBorder="1"/>
    <xf numFmtId="0" fontId="0" fillId="21" borderId="12" xfId="0" applyFill="1" applyBorder="1"/>
    <xf numFmtId="0" fontId="0" fillId="21" borderId="13" xfId="0" applyFill="1" applyBorder="1"/>
    <xf numFmtId="0" fontId="6" fillId="0" borderId="5" xfId="0" applyFont="1" applyBorder="1" applyAlignment="1">
      <alignment wrapText="1"/>
    </xf>
    <xf numFmtId="0" fontId="6" fillId="0" borderId="5" xfId="0" applyFont="1" applyBorder="1"/>
    <xf numFmtId="0" fontId="4" fillId="0" borderId="5" xfId="0" applyFont="1" applyBorder="1"/>
    <xf numFmtId="0" fontId="12" fillId="22" borderId="11" xfId="0" applyFont="1" applyFill="1" applyBorder="1"/>
    <xf numFmtId="0" fontId="12" fillId="0" borderId="5" xfId="0" applyFont="1" applyBorder="1" applyAlignment="1">
      <alignment horizontal="left"/>
    </xf>
    <xf numFmtId="0" fontId="12" fillId="9" borderId="11" xfId="0" applyFont="1" applyFill="1" applyBorder="1"/>
    <xf numFmtId="0" fontId="0" fillId="9" borderId="12" xfId="0" applyFill="1" applyBorder="1"/>
    <xf numFmtId="0" fontId="0" fillId="9" borderId="13" xfId="0" applyFill="1" applyBorder="1"/>
    <xf numFmtId="0" fontId="0" fillId="0" borderId="8" xfId="0" applyBorder="1" applyAlignment="1">
      <alignment horizontal="center"/>
    </xf>
    <xf numFmtId="0" fontId="0" fillId="0" borderId="7" xfId="0" applyBorder="1" applyAlignment="1">
      <alignment wrapText="1"/>
    </xf>
    <xf numFmtId="0" fontId="0" fillId="0" borderId="0" xfId="0" applyAlignment="1">
      <alignment horizontal="center"/>
    </xf>
    <xf numFmtId="0" fontId="19" fillId="0" borderId="0" xfId="0" applyFont="1"/>
    <xf numFmtId="0" fontId="13" fillId="9" borderId="11" xfId="0" applyFont="1" applyFill="1" applyBorder="1"/>
    <xf numFmtId="0" fontId="13" fillId="9" borderId="12" xfId="0" applyFont="1" applyFill="1" applyBorder="1"/>
    <xf numFmtId="0" fontId="13" fillId="9" borderId="13" xfId="0" applyFont="1" applyFill="1" applyBorder="1"/>
    <xf numFmtId="0" fontId="16" fillId="25" borderId="0" xfId="4" applyFont="1" applyFill="1" applyBorder="1" applyAlignment="1" applyProtection="1">
      <alignment horizontal="center"/>
    </xf>
    <xf numFmtId="0" fontId="16" fillId="7" borderId="0" xfId="4" applyFont="1" applyFill="1" applyBorder="1" applyAlignment="1" applyProtection="1">
      <alignment horizontal="center" wrapText="1"/>
    </xf>
    <xf numFmtId="2" fontId="4" fillId="0" borderId="0" xfId="0" applyNumberFormat="1" applyFont="1"/>
    <xf numFmtId="0" fontId="16" fillId="6" borderId="0" xfId="4" applyFont="1" applyFill="1" applyBorder="1" applyAlignment="1" applyProtection="1">
      <alignment horizontal="center" wrapText="1"/>
    </xf>
    <xf numFmtId="0" fontId="21" fillId="0" borderId="1" xfId="0" applyFont="1" applyBorder="1"/>
    <xf numFmtId="0" fontId="4" fillId="22" borderId="11" xfId="0" applyFont="1" applyFill="1" applyBorder="1" applyAlignment="1">
      <alignment horizontal="left"/>
    </xf>
    <xf numFmtId="0" fontId="4" fillId="22" borderId="13" xfId="0" applyFont="1" applyFill="1" applyBorder="1" applyAlignment="1">
      <alignment horizontal="left"/>
    </xf>
    <xf numFmtId="9" fontId="0" fillId="0" borderId="0" xfId="7" applyFont="1"/>
    <xf numFmtId="0" fontId="4" fillId="2" borderId="1" xfId="6" applyNumberFormat="1" applyFont="1" applyFill="1" applyBorder="1" applyAlignment="1">
      <alignment horizontal="center" vertical="center"/>
    </xf>
    <xf numFmtId="9" fontId="4" fillId="0" borderId="1" xfId="7" applyFont="1" applyBorder="1" applyAlignment="1">
      <alignment horizontal="center"/>
    </xf>
    <xf numFmtId="2" fontId="0" fillId="0" borderId="1" xfId="6" applyNumberFormat="1" applyFont="1" applyBorder="1" applyAlignment="1">
      <alignment horizontal="center" vertical="center"/>
    </xf>
    <xf numFmtId="0" fontId="4" fillId="2" borderId="1" xfId="0" applyFont="1" applyFill="1" applyBorder="1" applyAlignment="1">
      <alignment horizontal="center"/>
    </xf>
    <xf numFmtId="0" fontId="4" fillId="0" borderId="15" xfId="0" applyFont="1" applyBorder="1" applyAlignment="1">
      <alignment wrapText="1"/>
    </xf>
    <xf numFmtId="0" fontId="4" fillId="0" borderId="1" xfId="0" applyFont="1" applyBorder="1" applyAlignment="1">
      <alignment horizontal="center" wrapText="1"/>
    </xf>
    <xf numFmtId="0" fontId="0" fillId="2" borderId="1" xfId="0" applyFill="1" applyBorder="1" applyAlignment="1">
      <alignment horizontal="center" vertical="center"/>
    </xf>
    <xf numFmtId="44" fontId="0" fillId="0" borderId="1" xfId="0" applyNumberFormat="1" applyBorder="1"/>
    <xf numFmtId="165" fontId="0" fillId="0" borderId="1" xfId="0" applyNumberFormat="1" applyBorder="1"/>
    <xf numFmtId="0" fontId="4" fillId="22" borderId="1" xfId="0" applyFont="1" applyFill="1" applyBorder="1" applyAlignment="1">
      <alignment horizontal="center"/>
    </xf>
    <xf numFmtId="9" fontId="4" fillId="2" borderId="1" xfId="7" applyFont="1" applyFill="1" applyBorder="1" applyAlignment="1">
      <alignment horizontal="center" vertical="center" wrapText="1"/>
    </xf>
    <xf numFmtId="3" fontId="5" fillId="0" borderId="1" xfId="6" applyNumberFormat="1" applyFont="1" applyBorder="1" applyAlignment="1">
      <alignment horizontal="center" vertical="center"/>
    </xf>
    <xf numFmtId="0" fontId="0" fillId="0" borderId="1" xfId="0" applyBorder="1" applyAlignment="1">
      <alignment horizontal="center" wrapText="1"/>
    </xf>
    <xf numFmtId="9" fontId="4" fillId="0" borderId="1" xfId="0" applyNumberFormat="1" applyFont="1" applyBorder="1" applyAlignment="1">
      <alignment horizontal="center" vertical="center"/>
    </xf>
    <xf numFmtId="164" fontId="4" fillId="0" borderId="1" xfId="6" applyNumberFormat="1" applyFont="1" applyFill="1" applyBorder="1" applyAlignment="1">
      <alignment horizontal="center" vertical="center"/>
    </xf>
    <xf numFmtId="0" fontId="4" fillId="0" borderId="1" xfId="0" applyFont="1" applyBorder="1" applyAlignment="1">
      <alignment vertical="center"/>
    </xf>
    <xf numFmtId="0" fontId="4" fillId="2" borderId="0" xfId="0" applyFont="1" applyFill="1" applyAlignment="1">
      <alignment horizontal="center" vertical="center"/>
    </xf>
    <xf numFmtId="168" fontId="0" fillId="0" borderId="1" xfId="0" applyNumberFormat="1" applyBorder="1"/>
    <xf numFmtId="168" fontId="11" fillId="0" borderId="1" xfId="0" applyNumberFormat="1" applyFont="1" applyBorder="1"/>
    <xf numFmtId="3" fontId="14" fillId="0" borderId="1" xfId="0" applyNumberFormat="1" applyFont="1" applyBorder="1"/>
    <xf numFmtId="3" fontId="11" fillId="0" borderId="1" xfId="0" applyNumberFormat="1" applyFont="1" applyBorder="1"/>
    <xf numFmtId="3" fontId="14" fillId="0" borderId="0" xfId="0" applyNumberFormat="1" applyFont="1"/>
    <xf numFmtId="1" fontId="4" fillId="0" borderId="1" xfId="0" applyNumberFormat="1" applyFont="1" applyBorder="1"/>
    <xf numFmtId="0" fontId="13" fillId="9" borderId="1" xfId="0" applyFont="1" applyFill="1" applyBorder="1" applyAlignment="1">
      <alignment horizontal="left"/>
    </xf>
    <xf numFmtId="167" fontId="11" fillId="0" borderId="1" xfId="0" applyNumberFormat="1" applyFont="1" applyBorder="1"/>
    <xf numFmtId="3" fontId="4" fillId="0" borderId="1" xfId="0" applyNumberFormat="1" applyFont="1" applyBorder="1" applyAlignment="1">
      <alignment horizontal="center" vertical="center"/>
    </xf>
    <xf numFmtId="0" fontId="4" fillId="22" borderId="1" xfId="0" applyFont="1" applyFill="1" applyBorder="1" applyAlignment="1">
      <alignment horizontal="center" wrapText="1"/>
    </xf>
    <xf numFmtId="164" fontId="4" fillId="2" borderId="1" xfId="6" applyNumberFormat="1" applyFont="1" applyFill="1" applyBorder="1"/>
    <xf numFmtId="0" fontId="4" fillId="0" borderId="0" xfId="0" applyFont="1" applyAlignment="1">
      <alignment horizontal="left"/>
    </xf>
    <xf numFmtId="3" fontId="4" fillId="0" borderId="1" xfId="6" applyNumberFormat="1" applyFont="1" applyFill="1" applyBorder="1" applyAlignment="1">
      <alignment horizontal="center" vertical="center"/>
    </xf>
    <xf numFmtId="164" fontId="4" fillId="0" borderId="1" xfId="6" applyNumberFormat="1" applyFont="1" applyBorder="1" applyAlignment="1">
      <alignment horizontal="center" vertical="center"/>
    </xf>
    <xf numFmtId="0" fontId="4" fillId="26" borderId="1" xfId="0" applyFont="1" applyFill="1" applyBorder="1"/>
    <xf numFmtId="0" fontId="4" fillId="26" borderId="1" xfId="0" applyFont="1" applyFill="1" applyBorder="1" applyAlignment="1">
      <alignment wrapText="1"/>
    </xf>
    <xf numFmtId="164" fontId="0" fillId="0" borderId="1" xfId="6" applyNumberFormat="1" applyFont="1" applyBorder="1"/>
    <xf numFmtId="0" fontId="0" fillId="0" borderId="1" xfId="0" applyBorder="1" applyAlignment="1">
      <alignment horizontal="right"/>
    </xf>
    <xf numFmtId="0" fontId="4" fillId="21" borderId="1" xfId="0" applyFont="1" applyFill="1" applyBorder="1"/>
    <xf numFmtId="0" fontId="23" fillId="0" borderId="0" xfId="1" applyFont="1"/>
    <xf numFmtId="0" fontId="23" fillId="0" borderId="1" xfId="1" applyFont="1" applyBorder="1" applyAlignment="1">
      <alignment wrapText="1"/>
    </xf>
    <xf numFmtId="9" fontId="0" fillId="0" borderId="1" xfId="0" applyNumberFormat="1" applyBorder="1"/>
    <xf numFmtId="2" fontId="4" fillId="0" borderId="1" xfId="0" applyNumberFormat="1" applyFont="1" applyBorder="1"/>
    <xf numFmtId="0" fontId="4" fillId="0" borderId="1" xfId="0" applyFont="1" applyBorder="1" applyAlignment="1">
      <alignment horizontal="left" vertical="center" wrapText="1"/>
    </xf>
    <xf numFmtId="164" fontId="4" fillId="2" borderId="15" xfId="6" applyNumberFormat="1" applyFont="1" applyFill="1" applyBorder="1"/>
    <xf numFmtId="0" fontId="2" fillId="0" borderId="1" xfId="1" applyBorder="1" applyAlignment="1">
      <alignment wrapText="1"/>
    </xf>
    <xf numFmtId="3" fontId="0" fillId="10" borderId="1" xfId="6" applyNumberFormat="1" applyFont="1" applyFill="1" applyBorder="1"/>
    <xf numFmtId="0" fontId="4" fillId="0" borderId="15" xfId="0" applyFont="1" applyBorder="1" applyAlignment="1">
      <alignment horizontal="left" vertical="center"/>
    </xf>
    <xf numFmtId="0" fontId="6" fillId="0" borderId="0" xfId="0" quotePrefix="1" applyFont="1"/>
    <xf numFmtId="0" fontId="4" fillId="6" borderId="0" xfId="0" applyFont="1" applyFill="1"/>
    <xf numFmtId="0" fontId="4" fillId="7" borderId="0" xfId="0" applyFont="1" applyFill="1"/>
    <xf numFmtId="0" fontId="24" fillId="0" borderId="0" xfId="0" applyFont="1"/>
    <xf numFmtId="9" fontId="0" fillId="0" borderId="0" xfId="0" applyNumberFormat="1"/>
    <xf numFmtId="44" fontId="0" fillId="2" borderId="1" xfId="0" applyNumberFormat="1" applyFill="1" applyBorder="1"/>
    <xf numFmtId="0" fontId="9" fillId="0" borderId="1" xfId="0" applyFont="1" applyBorder="1"/>
    <xf numFmtId="0" fontId="4" fillId="6" borderId="0" xfId="0" applyFont="1" applyFill="1" applyAlignment="1">
      <alignment horizontal="center" vertical="center"/>
    </xf>
    <xf numFmtId="0" fontId="16" fillId="25" borderId="1" xfId="0" applyFont="1" applyFill="1" applyBorder="1" applyAlignment="1">
      <alignment horizontal="center"/>
    </xf>
    <xf numFmtId="0" fontId="4" fillId="6" borderId="1" xfId="0" applyFont="1" applyFill="1" applyBorder="1" applyAlignment="1">
      <alignment horizontal="center" vertical="center"/>
    </xf>
    <xf numFmtId="9" fontId="4" fillId="2" borderId="1" xfId="0" applyNumberFormat="1" applyFont="1" applyFill="1" applyBorder="1"/>
    <xf numFmtId="164" fontId="4" fillId="0" borderId="1" xfId="6" applyNumberFormat="1" applyFont="1" applyFill="1" applyBorder="1"/>
    <xf numFmtId="0" fontId="4" fillId="0" borderId="0" xfId="0" applyFont="1" applyAlignment="1">
      <alignment horizontal="left" vertical="center"/>
    </xf>
    <xf numFmtId="0" fontId="1" fillId="0" borderId="1" xfId="0" applyFont="1" applyBorder="1" applyAlignment="1">
      <alignment wrapText="1"/>
    </xf>
    <xf numFmtId="0" fontId="0" fillId="27" borderId="0" xfId="0" applyFill="1"/>
    <xf numFmtId="0" fontId="15" fillId="19" borderId="0" xfId="0" applyFont="1" applyFill="1"/>
    <xf numFmtId="0" fontId="22" fillId="28" borderId="1" xfId="0" applyFont="1" applyFill="1" applyBorder="1" applyAlignment="1">
      <alignment wrapText="1"/>
    </xf>
    <xf numFmtId="2" fontId="22" fillId="28" borderId="1" xfId="0" applyNumberFormat="1" applyFont="1" applyFill="1" applyBorder="1"/>
    <xf numFmtId="167" fontId="22" fillId="28" borderId="1" xfId="0" applyNumberFormat="1" applyFont="1" applyFill="1" applyBorder="1"/>
    <xf numFmtId="1" fontId="22" fillId="28" borderId="1" xfId="0" applyNumberFormat="1" applyFont="1" applyFill="1" applyBorder="1"/>
    <xf numFmtId="0" fontId="6" fillId="28" borderId="1" xfId="0" applyFont="1" applyFill="1" applyBorder="1" applyAlignment="1">
      <alignment wrapText="1"/>
    </xf>
    <xf numFmtId="2" fontId="6" fillId="28" borderId="1" xfId="0" applyNumberFormat="1" applyFont="1" applyFill="1" applyBorder="1"/>
    <xf numFmtId="167" fontId="6" fillId="28" borderId="1" xfId="0" applyNumberFormat="1" applyFont="1" applyFill="1" applyBorder="1"/>
    <xf numFmtId="1" fontId="6" fillId="28" borderId="1" xfId="0" applyNumberFormat="1" applyFont="1" applyFill="1" applyBorder="1"/>
    <xf numFmtId="0" fontId="2" fillId="0" borderId="0" xfId="1" quotePrefix="1"/>
    <xf numFmtId="0" fontId="6" fillId="17" borderId="0" xfId="0" applyFont="1" applyFill="1"/>
    <xf numFmtId="0" fontId="0" fillId="17" borderId="0" xfId="0" applyFill="1"/>
    <xf numFmtId="0" fontId="0" fillId="20" borderId="0" xfId="0" applyFill="1"/>
    <xf numFmtId="0" fontId="0" fillId="0" borderId="16" xfId="0" applyBorder="1" applyAlignment="1">
      <alignment horizontal="center"/>
    </xf>
    <xf numFmtId="0" fontId="0" fillId="29" borderId="17" xfId="0" applyFill="1" applyBorder="1" applyAlignment="1">
      <alignment horizontal="center" wrapText="1"/>
    </xf>
    <xf numFmtId="9" fontId="0" fillId="0" borderId="16" xfId="0" applyNumberFormat="1" applyBorder="1" applyAlignment="1">
      <alignment horizontal="center"/>
    </xf>
    <xf numFmtId="0" fontId="0" fillId="2" borderId="17" xfId="0" applyFill="1" applyBorder="1" applyAlignment="1">
      <alignment horizontal="center" wrapText="1"/>
    </xf>
    <xf numFmtId="1" fontId="0" fillId="0" borderId="16" xfId="0" applyNumberFormat="1" applyBorder="1" applyAlignment="1">
      <alignment horizontal="center"/>
    </xf>
    <xf numFmtId="2" fontId="0" fillId="0" borderId="16" xfId="0" applyNumberFormat="1" applyBorder="1" applyAlignment="1">
      <alignment horizontal="center"/>
    </xf>
    <xf numFmtId="0" fontId="0" fillId="2" borderId="1" xfId="0" applyFill="1" applyBorder="1" applyAlignment="1">
      <alignment horizontal="center" wrapText="1"/>
    </xf>
    <xf numFmtId="2" fontId="0" fillId="0" borderId="16" xfId="0" applyNumberFormat="1" applyBorder="1"/>
    <xf numFmtId="0" fontId="4" fillId="30" borderId="11" xfId="0" applyFont="1" applyFill="1" applyBorder="1"/>
    <xf numFmtId="0" fontId="0" fillId="30" borderId="12" xfId="0" applyFill="1" applyBorder="1"/>
    <xf numFmtId="0" fontId="0" fillId="30" borderId="17" xfId="0" applyFill="1" applyBorder="1" applyAlignment="1">
      <alignment wrapText="1"/>
    </xf>
    <xf numFmtId="0" fontId="0" fillId="12" borderId="18" xfId="0" applyFill="1" applyBorder="1" applyAlignment="1">
      <alignment wrapText="1"/>
    </xf>
    <xf numFmtId="0" fontId="0" fillId="12" borderId="12" xfId="0" applyFill="1" applyBorder="1"/>
    <xf numFmtId="0" fontId="4" fillId="12" borderId="11" xfId="0" applyFont="1" applyFill="1" applyBorder="1"/>
    <xf numFmtId="166" fontId="0" fillId="0" borderId="19" xfId="0" applyNumberFormat="1" applyBorder="1" applyAlignment="1">
      <alignment horizontal="center"/>
    </xf>
    <xf numFmtId="0" fontId="0" fillId="12" borderId="17" xfId="0" applyFill="1" applyBorder="1" applyAlignment="1">
      <alignment wrapText="1"/>
    </xf>
    <xf numFmtId="0" fontId="0" fillId="22" borderId="1" xfId="0" applyFill="1" applyBorder="1"/>
    <xf numFmtId="3" fontId="0" fillId="0" borderId="16" xfId="0" applyNumberFormat="1" applyBorder="1" applyAlignment="1">
      <alignment horizontal="center"/>
    </xf>
    <xf numFmtId="165" fontId="0" fillId="0" borderId="19" xfId="0" applyNumberFormat="1" applyBorder="1" applyAlignment="1">
      <alignment horizontal="center"/>
    </xf>
    <xf numFmtId="0" fontId="0" fillId="12" borderId="17" xfId="0" applyFill="1" applyBorder="1" applyAlignment="1">
      <alignment horizontal="center" wrapText="1"/>
    </xf>
    <xf numFmtId="3" fontId="0" fillId="0" borderId="1" xfId="0" applyNumberFormat="1" applyBorder="1" applyAlignment="1">
      <alignment horizontal="center"/>
    </xf>
    <xf numFmtId="0" fontId="0" fillId="12" borderId="1" xfId="0" applyFill="1" applyBorder="1" applyAlignment="1">
      <alignment horizontal="center" wrapText="1"/>
    </xf>
    <xf numFmtId="0" fontId="0" fillId="4" borderId="18" xfId="0" applyFill="1" applyBorder="1" applyAlignment="1">
      <alignment horizontal="center" wrapText="1"/>
    </xf>
    <xf numFmtId="0" fontId="0" fillId="4" borderId="12" xfId="0" applyFill="1" applyBorder="1" applyAlignment="1">
      <alignment horizontal="center" wrapText="1"/>
    </xf>
    <xf numFmtId="0" fontId="0" fillId="4" borderId="13" xfId="0" applyFill="1" applyBorder="1" applyAlignment="1">
      <alignment horizontal="center" wrapText="1"/>
    </xf>
    <xf numFmtId="0" fontId="4" fillId="4" borderId="11" xfId="0" applyFont="1" applyFill="1" applyBorder="1" applyAlignment="1">
      <alignment horizontal="left"/>
    </xf>
    <xf numFmtId="0" fontId="0" fillId="4" borderId="17" xfId="0" applyFill="1" applyBorder="1" applyAlignment="1">
      <alignment horizontal="center" wrapText="1"/>
    </xf>
    <xf numFmtId="0" fontId="0" fillId="4" borderId="1" xfId="0" applyFill="1" applyBorder="1" applyAlignment="1">
      <alignment horizontal="center" wrapText="1"/>
    </xf>
    <xf numFmtId="0" fontId="0" fillId="22" borderId="17" xfId="0" applyFill="1" applyBorder="1" applyAlignment="1">
      <alignment horizontal="center" wrapText="1"/>
    </xf>
    <xf numFmtId="0" fontId="4" fillId="31" borderId="1" xfId="0" applyFont="1" applyFill="1" applyBorder="1"/>
    <xf numFmtId="0" fontId="4" fillId="31" borderId="1" xfId="0" applyFont="1" applyFill="1" applyBorder="1" applyAlignment="1">
      <alignment wrapText="1"/>
    </xf>
    <xf numFmtId="0" fontId="4" fillId="31" borderId="11" xfId="0" applyFont="1" applyFill="1" applyBorder="1"/>
    <xf numFmtId="0" fontId="4" fillId="31" borderId="12" xfId="0" applyFont="1" applyFill="1" applyBorder="1"/>
    <xf numFmtId="0" fontId="4" fillId="31" borderId="13" xfId="0" applyFont="1" applyFill="1" applyBorder="1"/>
    <xf numFmtId="44" fontId="0" fillId="0" borderId="0" xfId="6" applyFont="1"/>
    <xf numFmtId="0" fontId="16" fillId="25" borderId="1" xfId="0" applyFont="1" applyFill="1" applyBorder="1" applyAlignment="1">
      <alignment horizontal="left" wrapText="1"/>
    </xf>
    <xf numFmtId="0" fontId="26" fillId="32" borderId="1" xfId="0" applyFont="1" applyFill="1" applyBorder="1" applyAlignment="1">
      <alignment wrapText="1"/>
    </xf>
    <xf numFmtId="0" fontId="25" fillId="32" borderId="1" xfId="0" applyFont="1" applyFill="1" applyBorder="1"/>
    <xf numFmtId="0" fontId="25" fillId="32" borderId="1" xfId="0" applyFont="1" applyFill="1" applyBorder="1" applyAlignment="1">
      <alignment wrapText="1"/>
    </xf>
    <xf numFmtId="0" fontId="0" fillId="0" borderId="1" xfId="0" applyBorder="1" applyAlignment="1">
      <alignment horizontal="right" wrapText="1"/>
    </xf>
    <xf numFmtId="44" fontId="0" fillId="0" borderId="1" xfId="6" applyFont="1" applyFill="1" applyBorder="1"/>
    <xf numFmtId="0" fontId="12" fillId="28" borderId="1" xfId="0" applyFont="1" applyFill="1" applyBorder="1" applyAlignment="1">
      <alignment horizontal="right" wrapText="1"/>
    </xf>
    <xf numFmtId="0" fontId="12" fillId="28" borderId="1" xfId="0" applyFont="1" applyFill="1" applyBorder="1"/>
    <xf numFmtId="0" fontId="0" fillId="28" borderId="1" xfId="0" applyFill="1" applyBorder="1" applyAlignment="1">
      <alignment wrapText="1"/>
    </xf>
    <xf numFmtId="6" fontId="12" fillId="28" borderId="1" xfId="0" applyNumberFormat="1" applyFont="1" applyFill="1" applyBorder="1"/>
    <xf numFmtId="164" fontId="0" fillId="0" borderId="1" xfId="0" applyNumberFormat="1" applyBorder="1" applyAlignment="1">
      <alignment horizontal="left" indent="1"/>
    </xf>
    <xf numFmtId="0" fontId="20" fillId="0" borderId="0" xfId="0" applyFont="1"/>
    <xf numFmtId="172" fontId="0" fillId="2" borderId="0" xfId="8" applyNumberFormat="1" applyFont="1" applyFill="1" applyBorder="1"/>
    <xf numFmtId="172" fontId="0" fillId="2" borderId="8" xfId="8" applyNumberFormat="1" applyFont="1" applyFill="1" applyBorder="1"/>
    <xf numFmtId="0" fontId="6" fillId="0" borderId="1" xfId="0" applyFont="1" applyBorder="1" applyAlignment="1">
      <alignment horizontal="right"/>
    </xf>
    <xf numFmtId="164" fontId="0" fillId="10" borderId="1" xfId="6" applyNumberFormat="1" applyFont="1" applyFill="1" applyBorder="1"/>
    <xf numFmtId="0" fontId="6" fillId="0" borderId="1" xfId="0" applyFont="1" applyBorder="1" applyAlignment="1">
      <alignment horizontal="right" wrapText="1"/>
    </xf>
    <xf numFmtId="44" fontId="6" fillId="0" borderId="1" xfId="0" applyNumberFormat="1" applyFont="1" applyBorder="1" applyAlignment="1">
      <alignment horizontal="right"/>
    </xf>
    <xf numFmtId="0" fontId="1" fillId="0" borderId="0" xfId="0" applyFont="1" applyAlignment="1">
      <alignment wrapText="1"/>
    </xf>
    <xf numFmtId="0" fontId="0" fillId="0" borderId="14" xfId="0" applyBorder="1" applyAlignment="1">
      <alignment wrapText="1"/>
    </xf>
    <xf numFmtId="44" fontId="0" fillId="0" borderId="1" xfId="6" applyFont="1" applyBorder="1"/>
    <xf numFmtId="0" fontId="0" fillId="8" borderId="0" xfId="0" applyFill="1"/>
    <xf numFmtId="2" fontId="4" fillId="2" borderId="1"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0" fontId="12" fillId="4" borderId="11" xfId="0" applyFont="1" applyFill="1" applyBorder="1"/>
    <xf numFmtId="0" fontId="0" fillId="4" borderId="12" xfId="0" applyFill="1" applyBorder="1"/>
    <xf numFmtId="0" fontId="0" fillId="4" borderId="13" xfId="0" applyFill="1" applyBorder="1"/>
    <xf numFmtId="0" fontId="4" fillId="10" borderId="1" xfId="0" applyFont="1" applyFill="1" applyBorder="1"/>
    <xf numFmtId="2" fontId="0" fillId="10" borderId="1" xfId="0" applyNumberFormat="1" applyFill="1" applyBorder="1"/>
    <xf numFmtId="0" fontId="0" fillId="0" borderId="11" xfId="0" applyBorder="1"/>
    <xf numFmtId="0" fontId="0" fillId="10" borderId="1" xfId="0" applyFill="1" applyBorder="1"/>
    <xf numFmtId="49" fontId="0" fillId="10" borderId="1" xfId="0" applyNumberFormat="1" applyFill="1" applyBorder="1"/>
    <xf numFmtId="0" fontId="27" fillId="22" borderId="1" xfId="0" applyFont="1" applyFill="1" applyBorder="1" applyAlignment="1">
      <alignment wrapText="1"/>
    </xf>
    <xf numFmtId="0" fontId="27" fillId="9" borderId="1" xfId="0" applyFont="1" applyFill="1" applyBorder="1" applyAlignment="1">
      <alignment wrapText="1"/>
    </xf>
    <xf numFmtId="0" fontId="27" fillId="0" borderId="0" xfId="0" applyFont="1"/>
    <xf numFmtId="0" fontId="0" fillId="8" borderId="3" xfId="0" applyFill="1" applyBorder="1"/>
    <xf numFmtId="0" fontId="0" fillId="8" borderId="8" xfId="0" applyFill="1" applyBorder="1"/>
    <xf numFmtId="9" fontId="4" fillId="0" borderId="0" xfId="7" applyFont="1" applyBorder="1" applyAlignment="1">
      <alignment horizontal="center" vertical="center"/>
    </xf>
    <xf numFmtId="6" fontId="4" fillId="2" borderId="1" xfId="0" applyNumberFormat="1" applyFont="1" applyFill="1" applyBorder="1" applyAlignment="1">
      <alignment horizontal="center" vertical="center"/>
    </xf>
    <xf numFmtId="6" fontId="4" fillId="0" borderId="1" xfId="0" applyNumberFormat="1" applyFont="1" applyBorder="1" applyAlignment="1">
      <alignment horizontal="center" vertical="center"/>
    </xf>
    <xf numFmtId="9" fontId="4" fillId="2" borderId="1" xfId="7" applyFont="1" applyFill="1" applyBorder="1" applyAlignment="1">
      <alignment horizontal="center"/>
    </xf>
    <xf numFmtId="9" fontId="4" fillId="0" borderId="1" xfId="7" applyFont="1" applyFill="1" applyBorder="1" applyAlignment="1">
      <alignment horizontal="center" vertical="center" wrapText="1"/>
    </xf>
    <xf numFmtId="0" fontId="4" fillId="22" borderId="1" xfId="0" applyFont="1" applyFill="1" applyBorder="1" applyAlignment="1">
      <alignment horizontal="left" wrapText="1"/>
    </xf>
    <xf numFmtId="9" fontId="6" fillId="10" borderId="1" xfId="7" applyFont="1" applyFill="1" applyBorder="1"/>
    <xf numFmtId="164" fontId="4" fillId="0" borderId="0" xfId="0" applyNumberFormat="1" applyFont="1"/>
    <xf numFmtId="174" fontId="4" fillId="0" borderId="1" xfId="0" applyNumberFormat="1" applyFont="1" applyBorder="1"/>
    <xf numFmtId="0" fontId="4" fillId="0" borderId="5" xfId="0" applyFont="1" applyBorder="1" applyAlignment="1">
      <alignment horizontal="center" vertical="center" wrapText="1"/>
    </xf>
    <xf numFmtId="0" fontId="4" fillId="7" borderId="5" xfId="0" applyFont="1" applyFill="1" applyBorder="1" applyAlignment="1">
      <alignment horizontal="center" vertical="center" wrapText="1"/>
    </xf>
    <xf numFmtId="173" fontId="0" fillId="33" borderId="1" xfId="0" applyNumberFormat="1" applyFill="1" applyBorder="1"/>
    <xf numFmtId="44" fontId="4" fillId="0" borderId="0" xfId="0" applyNumberFormat="1" applyFont="1"/>
    <xf numFmtId="172" fontId="0" fillId="0" borderId="0" xfId="8" applyNumberFormat="1" applyFont="1"/>
    <xf numFmtId="172" fontId="0" fillId="0" borderId="0" xfId="0" applyNumberFormat="1"/>
    <xf numFmtId="43" fontId="0" fillId="0" borderId="0" xfId="0" applyNumberFormat="1"/>
    <xf numFmtId="0" fontId="4" fillId="21" borderId="1" xfId="0" applyFont="1" applyFill="1" applyBorder="1" applyAlignment="1">
      <alignment horizontal="center"/>
    </xf>
    <xf numFmtId="44" fontId="0" fillId="0" borderId="1" xfId="0" applyNumberFormat="1" applyBorder="1" applyAlignment="1">
      <alignment horizontal="left" indent="1"/>
    </xf>
    <xf numFmtId="0" fontId="27" fillId="2" borderId="1" xfId="0" applyFont="1" applyFill="1" applyBorder="1"/>
    <xf numFmtId="0" fontId="27" fillId="24" borderId="1" xfId="0" applyFont="1" applyFill="1" applyBorder="1"/>
    <xf numFmtId="0" fontId="27" fillId="24" borderId="1" xfId="0" applyFont="1" applyFill="1" applyBorder="1" applyAlignment="1">
      <alignment wrapText="1"/>
    </xf>
    <xf numFmtId="43" fontId="0" fillId="0" borderId="0" xfId="8" applyFont="1"/>
    <xf numFmtId="0" fontId="4" fillId="21" borderId="1" xfId="0" applyFont="1" applyFill="1" applyBorder="1" applyAlignment="1">
      <alignment wrapText="1"/>
    </xf>
    <xf numFmtId="0" fontId="30" fillId="22" borderId="1" xfId="0" applyFont="1" applyFill="1" applyBorder="1" applyAlignment="1">
      <alignment horizontal="center" wrapText="1"/>
    </xf>
    <xf numFmtId="0" fontId="0" fillId="0" borderId="0" xfId="0" quotePrefix="1" applyAlignment="1">
      <alignment horizontal="center" vertical="center"/>
    </xf>
    <xf numFmtId="0" fontId="0" fillId="21" borderId="1" xfId="0" applyFill="1" applyBorder="1" applyAlignment="1">
      <alignment wrapText="1"/>
    </xf>
    <xf numFmtId="0" fontId="0" fillId="26" borderId="1" xfId="0" applyFill="1" applyBorder="1" applyAlignment="1">
      <alignment wrapText="1"/>
    </xf>
    <xf numFmtId="9" fontId="4" fillId="34" borderId="1" xfId="7" applyFont="1" applyFill="1" applyBorder="1" applyAlignment="1">
      <alignment horizontal="center" vertical="center"/>
    </xf>
    <xf numFmtId="0" fontId="0" fillId="34" borderId="1" xfId="0" applyFill="1" applyBorder="1" applyAlignment="1">
      <alignment wrapText="1"/>
    </xf>
    <xf numFmtId="3" fontId="4" fillId="34" borderId="1" xfId="0" applyNumberFormat="1" applyFont="1" applyFill="1" applyBorder="1"/>
    <xf numFmtId="9" fontId="4" fillId="34" borderId="1" xfId="0" applyNumberFormat="1" applyFont="1" applyFill="1" applyBorder="1" applyAlignment="1">
      <alignment horizontal="center" vertical="center"/>
    </xf>
    <xf numFmtId="0" fontId="0" fillId="28" borderId="0" xfId="0" applyFill="1"/>
    <xf numFmtId="0" fontId="6" fillId="28" borderId="11" xfId="0" applyFont="1" applyFill="1" applyBorder="1" applyAlignment="1">
      <alignment horizontal="center" vertical="center" wrapText="1"/>
    </xf>
    <xf numFmtId="6" fontId="6" fillId="28" borderId="11" xfId="0" applyNumberFormat="1" applyFont="1" applyFill="1" applyBorder="1" applyAlignment="1">
      <alignment horizontal="center" vertical="center" wrapText="1"/>
    </xf>
    <xf numFmtId="0" fontId="4" fillId="2" borderId="21" xfId="0" applyFont="1" applyFill="1" applyBorder="1" applyAlignment="1">
      <alignment horizontal="center" vertical="center"/>
    </xf>
    <xf numFmtId="6" fontId="4" fillId="2" borderId="21" xfId="0" applyNumberFormat="1" applyFont="1" applyFill="1" applyBorder="1" applyAlignment="1">
      <alignment horizontal="center" vertical="center" wrapText="1"/>
    </xf>
    <xf numFmtId="2" fontId="4" fillId="2" borderId="21" xfId="0" applyNumberFormat="1" applyFont="1" applyFill="1" applyBorder="1" applyAlignment="1">
      <alignment horizontal="center" vertical="center" wrapText="1"/>
    </xf>
    <xf numFmtId="3" fontId="4" fillId="2" borderId="21" xfId="0" applyNumberFormat="1" applyFont="1" applyFill="1" applyBorder="1" applyAlignment="1">
      <alignment horizontal="center" vertical="center" wrapText="1"/>
    </xf>
    <xf numFmtId="164" fontId="0" fillId="28" borderId="11" xfId="6" applyNumberFormat="1" applyFont="1" applyFill="1" applyBorder="1" applyAlignment="1">
      <alignment horizontal="center" vertical="center"/>
    </xf>
    <xf numFmtId="3" fontId="0" fillId="28" borderId="11" xfId="0" applyNumberFormat="1" applyFill="1" applyBorder="1" applyAlignment="1">
      <alignment horizontal="center" vertical="center"/>
    </xf>
    <xf numFmtId="1" fontId="4" fillId="2" borderId="21" xfId="0" applyNumberFormat="1" applyFont="1" applyFill="1" applyBorder="1" applyAlignment="1">
      <alignment horizontal="center" vertical="center" wrapText="1"/>
    </xf>
    <xf numFmtId="0" fontId="4" fillId="2" borderId="21" xfId="0" applyFont="1" applyFill="1" applyBorder="1" applyAlignment="1">
      <alignment horizontal="center" vertical="center" wrapText="1"/>
    </xf>
    <xf numFmtId="0" fontId="0" fillId="0" borderId="22" xfId="0" applyBorder="1"/>
    <xf numFmtId="0" fontId="4" fillId="12" borderId="12" xfId="0" applyFont="1" applyFill="1" applyBorder="1"/>
    <xf numFmtId="0" fontId="4" fillId="12" borderId="13" xfId="0" applyFont="1" applyFill="1" applyBorder="1"/>
    <xf numFmtId="0" fontId="13" fillId="12" borderId="11" xfId="0" applyFont="1" applyFill="1" applyBorder="1"/>
    <xf numFmtId="1" fontId="0" fillId="28" borderId="11" xfId="0" applyNumberFormat="1" applyFill="1" applyBorder="1" applyAlignment="1">
      <alignment horizontal="center" vertical="center" wrapText="1"/>
    </xf>
    <xf numFmtId="6" fontId="0" fillId="28" borderId="11" xfId="0" applyNumberFormat="1" applyFill="1" applyBorder="1" applyAlignment="1">
      <alignment horizontal="center" vertical="center" wrapText="1"/>
    </xf>
    <xf numFmtId="0" fontId="0" fillId="28" borderId="11" xfId="0" applyFill="1" applyBorder="1" applyAlignment="1">
      <alignment horizontal="center" vertical="center" wrapText="1"/>
    </xf>
    <xf numFmtId="3" fontId="0" fillId="28" borderId="11" xfId="0" applyNumberFormat="1" applyFill="1" applyBorder="1" applyAlignment="1">
      <alignment horizontal="center" vertical="center" wrapText="1"/>
    </xf>
    <xf numFmtId="3" fontId="4" fillId="0" borderId="21" xfId="0" applyNumberFormat="1" applyFont="1" applyBorder="1" applyAlignment="1">
      <alignment horizontal="center" vertical="center"/>
    </xf>
    <xf numFmtId="44" fontId="4" fillId="0" borderId="21" xfId="6" applyFont="1" applyBorder="1" applyAlignment="1">
      <alignment horizontal="center" vertical="center"/>
    </xf>
    <xf numFmtId="44" fontId="4" fillId="0" borderId="1" xfId="6" applyFont="1" applyBorder="1" applyAlignment="1">
      <alignment horizontal="center" vertical="center"/>
    </xf>
    <xf numFmtId="164" fontId="4" fillId="0" borderId="21" xfId="6" applyNumberFormat="1" applyFont="1" applyBorder="1" applyAlignment="1">
      <alignment horizontal="center" vertical="center"/>
    </xf>
    <xf numFmtId="0" fontId="6" fillId="0" borderId="2" xfId="0" applyFont="1" applyBorder="1"/>
    <xf numFmtId="0" fontId="6" fillId="0" borderId="3" xfId="0" applyFont="1" applyBorder="1"/>
    <xf numFmtId="165" fontId="0" fillId="0" borderId="1" xfId="7" applyNumberFormat="1" applyFont="1" applyFill="1" applyBorder="1"/>
    <xf numFmtId="0" fontId="0" fillId="0" borderId="1" xfId="0" applyBorder="1" applyAlignment="1">
      <alignment horizontal="center"/>
    </xf>
    <xf numFmtId="2" fontId="0" fillId="0" borderId="1" xfId="0" applyNumberFormat="1" applyBorder="1" applyAlignment="1">
      <alignment horizontal="center"/>
    </xf>
    <xf numFmtId="0" fontId="4" fillId="17" borderId="1" xfId="0" applyFont="1" applyFill="1" applyBorder="1"/>
    <xf numFmtId="0" fontId="0" fillId="0" borderId="0" xfId="0" applyAlignment="1">
      <alignment horizontal="center" wrapText="1"/>
    </xf>
    <xf numFmtId="9" fontId="0" fillId="0" borderId="1" xfId="0" applyNumberFormat="1" applyBorder="1" applyAlignment="1">
      <alignment horizontal="center"/>
    </xf>
    <xf numFmtId="0" fontId="32" fillId="0" borderId="0" xfId="0" applyFont="1"/>
    <xf numFmtId="0" fontId="30" fillId="0" borderId="0" xfId="0" applyFont="1"/>
    <xf numFmtId="0" fontId="30" fillId="0" borderId="5" xfId="0" applyFont="1" applyBorder="1"/>
    <xf numFmtId="0" fontId="32" fillId="0" borderId="0" xfId="0" quotePrefix="1" applyFont="1"/>
    <xf numFmtId="0" fontId="30" fillId="0" borderId="6" xfId="0" applyFont="1" applyBorder="1" applyAlignment="1">
      <alignment wrapText="1"/>
    </xf>
    <xf numFmtId="0" fontId="30" fillId="0" borderId="6" xfId="0" applyFont="1" applyBorder="1"/>
    <xf numFmtId="0" fontId="30" fillId="0" borderId="27" xfId="0" applyFont="1" applyBorder="1"/>
    <xf numFmtId="0" fontId="32" fillId="0" borderId="5" xfId="0" applyFont="1" applyBorder="1"/>
    <xf numFmtId="0" fontId="32" fillId="0" borderId="22" xfId="0" applyFont="1" applyBorder="1"/>
    <xf numFmtId="0" fontId="32" fillId="0" borderId="6" xfId="0" applyFont="1" applyBorder="1"/>
    <xf numFmtId="9" fontId="32" fillId="0" borderId="5" xfId="0" applyNumberFormat="1" applyFont="1" applyBorder="1"/>
    <xf numFmtId="9" fontId="32" fillId="0" borderId="0" xfId="0" applyNumberFormat="1" applyFont="1"/>
    <xf numFmtId="9" fontId="32" fillId="35" borderId="5" xfId="0" applyNumberFormat="1" applyFont="1" applyFill="1" applyBorder="1"/>
    <xf numFmtId="0" fontId="0" fillId="22" borderId="13" xfId="0" applyFill="1" applyBorder="1" applyAlignment="1">
      <alignment horizontal="left" wrapText="1"/>
    </xf>
    <xf numFmtId="3" fontId="0" fillId="0" borderId="0" xfId="0" applyNumberFormat="1" applyAlignment="1">
      <alignment horizontal="center"/>
    </xf>
    <xf numFmtId="10" fontId="0" fillId="0" borderId="0" xfId="0" applyNumberFormat="1"/>
    <xf numFmtId="166" fontId="0" fillId="0" borderId="1" xfId="0" applyNumberFormat="1" applyBorder="1" applyAlignment="1">
      <alignment horizontal="center"/>
    </xf>
    <xf numFmtId="0" fontId="4" fillId="2" borderId="7" xfId="0" applyFont="1" applyFill="1" applyBorder="1"/>
    <xf numFmtId="0" fontId="4" fillId="2" borderId="8" xfId="0" applyFont="1" applyFill="1" applyBorder="1"/>
    <xf numFmtId="0" fontId="4" fillId="2" borderId="9" xfId="0" applyFont="1" applyFill="1" applyBorder="1"/>
    <xf numFmtId="0" fontId="4" fillId="9" borderId="7" xfId="0" applyFont="1" applyFill="1" applyBorder="1" applyAlignment="1">
      <alignment wrapText="1"/>
    </xf>
    <xf numFmtId="0" fontId="4" fillId="9" borderId="9" xfId="0" applyFont="1" applyFill="1" applyBorder="1" applyAlignment="1">
      <alignment wrapText="1"/>
    </xf>
    <xf numFmtId="0" fontId="4" fillId="29" borderId="7" xfId="0" applyFont="1" applyFill="1" applyBorder="1"/>
    <xf numFmtId="0" fontId="0" fillId="29" borderId="8" xfId="0" applyFill="1" applyBorder="1"/>
    <xf numFmtId="0" fontId="4" fillId="22" borderId="7" xfId="0" applyFont="1" applyFill="1" applyBorder="1"/>
    <xf numFmtId="0" fontId="4" fillId="22" borderId="8" xfId="0" applyFont="1" applyFill="1" applyBorder="1"/>
    <xf numFmtId="0" fontId="4" fillId="16" borderId="7" xfId="0" applyFont="1" applyFill="1" applyBorder="1"/>
    <xf numFmtId="0" fontId="4" fillId="16" borderId="9" xfId="0" applyFont="1" applyFill="1" applyBorder="1"/>
    <xf numFmtId="0" fontId="32" fillId="0" borderId="1" xfId="0" applyFont="1" applyBorder="1"/>
    <xf numFmtId="3" fontId="4" fillId="2" borderId="1" xfId="6" applyNumberFormat="1" applyFont="1" applyFill="1" applyBorder="1"/>
    <xf numFmtId="0" fontId="4" fillId="0" borderId="1" xfId="0" applyFont="1" applyBorder="1" applyAlignment="1">
      <alignment horizontal="left" vertical="center"/>
    </xf>
    <xf numFmtId="3" fontId="4" fillId="0" borderId="1" xfId="6" applyNumberFormat="1" applyFont="1" applyFill="1" applyBorder="1"/>
    <xf numFmtId="166" fontId="0" fillId="0" borderId="0" xfId="0" applyNumberFormat="1"/>
    <xf numFmtId="166" fontId="0" fillId="0" borderId="0" xfId="0" applyNumberFormat="1" applyAlignment="1">
      <alignment horizontal="center"/>
    </xf>
    <xf numFmtId="1" fontId="0" fillId="0" borderId="0" xfId="0" applyNumberFormat="1" applyAlignment="1">
      <alignment horizontal="center"/>
    </xf>
    <xf numFmtId="165" fontId="0" fillId="0" borderId="0" xfId="0" applyNumberFormat="1" applyAlignment="1">
      <alignment horizontal="center"/>
    </xf>
    <xf numFmtId="9" fontId="0" fillId="0" borderId="0" xfId="0" applyNumberFormat="1" applyAlignment="1">
      <alignment horizontal="center"/>
    </xf>
    <xf numFmtId="0" fontId="0" fillId="0" borderId="29" xfId="0" applyBorder="1" applyAlignment="1">
      <alignment horizontal="center"/>
    </xf>
    <xf numFmtId="9" fontId="0" fillId="0" borderId="29" xfId="0" applyNumberFormat="1" applyBorder="1" applyAlignment="1">
      <alignment horizontal="center"/>
    </xf>
    <xf numFmtId="1" fontId="0" fillId="0" borderId="29" xfId="0" applyNumberFormat="1" applyBorder="1" applyAlignment="1">
      <alignment horizontal="center"/>
    </xf>
    <xf numFmtId="2" fontId="0" fillId="0" borderId="29" xfId="0" applyNumberFormat="1" applyBorder="1" applyAlignment="1">
      <alignment horizontal="center"/>
    </xf>
    <xf numFmtId="2" fontId="0" fillId="0" borderId="29" xfId="0" applyNumberFormat="1" applyBorder="1"/>
    <xf numFmtId="166" fontId="0" fillId="0" borderId="30" xfId="0" applyNumberFormat="1" applyBorder="1" applyAlignment="1">
      <alignment horizontal="center"/>
    </xf>
    <xf numFmtId="165" fontId="0" fillId="0" borderId="30" xfId="0" applyNumberFormat="1" applyBorder="1" applyAlignment="1">
      <alignment horizontal="center"/>
    </xf>
    <xf numFmtId="3" fontId="0" fillId="0" borderId="29" xfId="0" applyNumberFormat="1" applyBorder="1" applyAlignment="1">
      <alignment horizontal="center"/>
    </xf>
    <xf numFmtId="44" fontId="6" fillId="0" borderId="1" xfId="6" applyFont="1" applyFill="1" applyBorder="1"/>
    <xf numFmtId="0" fontId="4" fillId="2" borderId="5" xfId="0" applyFont="1" applyFill="1" applyBorder="1" applyAlignment="1">
      <alignment horizontal="center" vertical="center" wrapText="1"/>
    </xf>
    <xf numFmtId="0" fontId="4" fillId="22" borderId="11" xfId="0" applyFont="1" applyFill="1" applyBorder="1" applyAlignment="1">
      <alignment horizontal="center" wrapText="1"/>
    </xf>
    <xf numFmtId="0" fontId="4" fillId="22" borderId="13" xfId="0" applyFont="1" applyFill="1" applyBorder="1" applyAlignment="1">
      <alignment horizontal="center" wrapText="1"/>
    </xf>
    <xf numFmtId="0" fontId="6" fillId="0" borderId="15" xfId="0" applyFont="1" applyBorder="1" applyAlignment="1">
      <alignment horizontal="center" vertical="center" wrapText="1"/>
    </xf>
    <xf numFmtId="0" fontId="6" fillId="0" borderId="10" xfId="0" applyFont="1" applyBorder="1" applyAlignment="1">
      <alignment horizontal="center" vertical="center" wrapText="1"/>
    </xf>
    <xf numFmtId="0" fontId="4" fillId="22" borderId="11" xfId="0" applyFont="1" applyFill="1" applyBorder="1" applyAlignment="1">
      <alignment horizontal="center" vertical="center" wrapText="1"/>
    </xf>
    <xf numFmtId="0" fontId="4" fillId="22" borderId="13" xfId="0" applyFont="1" applyFill="1" applyBorder="1" applyAlignment="1">
      <alignment horizontal="center" vertical="center" wrapText="1"/>
    </xf>
    <xf numFmtId="0" fontId="4" fillId="22" borderId="12" xfId="0" applyFont="1" applyFill="1" applyBorder="1" applyAlignment="1">
      <alignment horizontal="center" vertical="center" wrapText="1"/>
    </xf>
    <xf numFmtId="0" fontId="4" fillId="22" borderId="11" xfId="0" applyFont="1" applyFill="1" applyBorder="1" applyAlignment="1">
      <alignment horizontal="center"/>
    </xf>
    <xf numFmtId="0" fontId="4" fillId="22" borderId="13" xfId="0" applyFont="1" applyFill="1" applyBorder="1" applyAlignment="1">
      <alignment horizontal="center"/>
    </xf>
    <xf numFmtId="0" fontId="4" fillId="22" borderId="1" xfId="0" applyFont="1" applyFill="1" applyBorder="1" applyAlignment="1">
      <alignment horizont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 xfId="0" applyFont="1" applyBorder="1" applyAlignment="1">
      <alignment horizontal="center" vertical="center"/>
    </xf>
    <xf numFmtId="0" fontId="6" fillId="0" borderId="5" xfId="0" applyFont="1" applyBorder="1" applyAlignment="1">
      <alignment horizontal="center" wrapText="1"/>
    </xf>
    <xf numFmtId="0" fontId="6" fillId="0" borderId="7" xfId="0" applyFont="1" applyBorder="1" applyAlignment="1">
      <alignment horizontal="center" wrapText="1"/>
    </xf>
    <xf numFmtId="0" fontId="6" fillId="0" borderId="2" xfId="0" applyFont="1" applyBorder="1" applyAlignment="1">
      <alignment horizontal="center" wrapText="1"/>
    </xf>
    <xf numFmtId="0" fontId="0" fillId="0" borderId="5" xfId="0" applyBorder="1" applyAlignment="1">
      <alignment horizontal="left"/>
    </xf>
    <xf numFmtId="0" fontId="0" fillId="0" borderId="0" xfId="0" applyAlignment="1">
      <alignment horizontal="left"/>
    </xf>
    <xf numFmtId="0" fontId="0" fillId="0" borderId="6" xfId="0" applyBorder="1" applyAlignment="1">
      <alignment horizontal="left"/>
    </xf>
    <xf numFmtId="0" fontId="0" fillId="0" borderId="7" xfId="0" applyBorder="1" applyAlignment="1">
      <alignment horizontal="left" wrapText="1"/>
    </xf>
    <xf numFmtId="0" fontId="0" fillId="0" borderId="8" xfId="0" applyBorder="1" applyAlignment="1">
      <alignment horizontal="left" wrapText="1"/>
    </xf>
    <xf numFmtId="0" fontId="0" fillId="0" borderId="9" xfId="0" applyBorder="1" applyAlignment="1">
      <alignment horizontal="left" wrapText="1"/>
    </xf>
    <xf numFmtId="0" fontId="4" fillId="2" borderId="11" xfId="0" applyFont="1" applyFill="1" applyBorder="1" applyAlignment="1">
      <alignment horizontal="center" wrapText="1"/>
    </xf>
    <xf numFmtId="0" fontId="4" fillId="2" borderId="12" xfId="0" applyFont="1" applyFill="1" applyBorder="1" applyAlignment="1">
      <alignment horizontal="center" wrapText="1"/>
    </xf>
    <xf numFmtId="0" fontId="4" fillId="2" borderId="13" xfId="0" applyFont="1" applyFill="1" applyBorder="1" applyAlignment="1">
      <alignment horizontal="center" wrapText="1"/>
    </xf>
    <xf numFmtId="0" fontId="6" fillId="0" borderId="11" xfId="0" applyFont="1" applyBorder="1" applyAlignment="1">
      <alignment horizontal="center" wrapText="1"/>
    </xf>
    <xf numFmtId="0" fontId="6" fillId="0" borderId="12" xfId="0" applyFont="1" applyBorder="1" applyAlignment="1">
      <alignment horizontal="center" wrapText="1"/>
    </xf>
    <xf numFmtId="0" fontId="6" fillId="0" borderId="13" xfId="0" applyFont="1" applyBorder="1" applyAlignment="1">
      <alignment horizontal="center" wrapText="1"/>
    </xf>
    <xf numFmtId="0" fontId="6" fillId="0" borderId="19" xfId="0" applyFont="1" applyBorder="1" applyAlignment="1">
      <alignment horizontal="center" wrapText="1"/>
    </xf>
    <xf numFmtId="0" fontId="6" fillId="0" borderId="20" xfId="0" applyFont="1" applyBorder="1" applyAlignment="1">
      <alignment horizontal="center" wrapText="1"/>
    </xf>
    <xf numFmtId="0" fontId="6" fillId="0" borderId="28" xfId="0" applyFont="1" applyBorder="1" applyAlignment="1">
      <alignment horizontal="center" wrapText="1"/>
    </xf>
    <xf numFmtId="0" fontId="6" fillId="0" borderId="19" xfId="0" applyFont="1" applyBorder="1" applyAlignment="1">
      <alignment horizontal="center"/>
    </xf>
    <xf numFmtId="0" fontId="6" fillId="0" borderId="20" xfId="0" applyFont="1" applyBorder="1" applyAlignment="1">
      <alignment horizontal="center"/>
    </xf>
    <xf numFmtId="0" fontId="6" fillId="0" borderId="28" xfId="0" applyFont="1" applyBorder="1" applyAlignment="1">
      <alignment horizontal="center"/>
    </xf>
    <xf numFmtId="0" fontId="30" fillId="0" borderId="23" xfId="0" applyFont="1" applyBorder="1" applyAlignment="1"/>
    <xf numFmtId="0" fontId="30" fillId="0" borderId="24" xfId="0" applyFont="1" applyBorder="1" applyAlignment="1"/>
    <xf numFmtId="0" fontId="30" fillId="0" borderId="0" xfId="0" applyFont="1" applyAlignment="1"/>
    <xf numFmtId="0" fontId="30" fillId="0" borderId="25" xfId="0" applyFont="1" applyBorder="1" applyAlignment="1"/>
    <xf numFmtId="0" fontId="30" fillId="0" borderId="5" xfId="0" applyFont="1" applyBorder="1" applyAlignment="1"/>
    <xf numFmtId="0" fontId="30" fillId="0" borderId="26" xfId="0" applyFont="1" applyBorder="1" applyAlignment="1"/>
  </cellXfs>
  <cellStyles count="9">
    <cellStyle name="Comma" xfId="8" builtinId="3"/>
    <cellStyle name="Comma 2" xfId="3" xr:uid="{BF3D1D49-4353-4D30-822C-13F9842AEF8C}"/>
    <cellStyle name="Currency" xfId="6" builtinId="4"/>
    <cellStyle name="Hyperlink" xfId="1" builtinId="8"/>
    <cellStyle name="Normal" xfId="0" builtinId="0"/>
    <cellStyle name="Normal 2" xfId="2" xr:uid="{357AB6F8-0371-4FC9-8016-0942C1C073D0}"/>
    <cellStyle name="Normal 3" xfId="4" xr:uid="{95D9212F-62CD-45B4-910F-A030745EA6C7}"/>
    <cellStyle name="Normal 3 2" xfId="5" xr:uid="{1D389CC3-7CDA-4061-9462-F6C66A549B98}"/>
    <cellStyle name="Percent" xfId="7" builtinId="5"/>
  </cellStyles>
  <dxfs count="0"/>
  <tableStyles count="0" defaultTableStyle="TableStyleMedium2" defaultPivotStyle="PivotStyleLight16"/>
  <colors>
    <mruColors>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108859</xdr:colOff>
      <xdr:row>53</xdr:row>
      <xdr:rowOff>40821</xdr:rowOff>
    </xdr:from>
    <xdr:to>
      <xdr:col>7</xdr:col>
      <xdr:colOff>60417</xdr:colOff>
      <xdr:row>77</xdr:row>
      <xdr:rowOff>19981</xdr:rowOff>
    </xdr:to>
    <xdr:pic>
      <xdr:nvPicPr>
        <xdr:cNvPr id="2" name="Picture 1">
          <a:extLst>
            <a:ext uri="{FF2B5EF4-FFF2-40B4-BE49-F238E27FC236}">
              <a16:creationId xmlns:a16="http://schemas.microsoft.com/office/drawing/2014/main" id="{FDABCD62-E2B9-CCF9-8743-7C87D28702F9}"/>
            </a:ext>
          </a:extLst>
        </xdr:cNvPr>
        <xdr:cNvPicPr>
          <a:picLocks noChangeAspect="1"/>
        </xdr:cNvPicPr>
      </xdr:nvPicPr>
      <xdr:blipFill>
        <a:blip xmlns:r="http://schemas.openxmlformats.org/officeDocument/2006/relationships" r:embed="rId1"/>
        <a:stretch>
          <a:fillRect/>
        </a:stretch>
      </xdr:blipFill>
      <xdr:spPr>
        <a:xfrm>
          <a:off x="721180" y="16818428"/>
          <a:ext cx="12409714" cy="454163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lex Murray" id="{0D21FD21-AD28-4943-B677-6F44FA9F92B2}" userId="S::a.murray@fehrandpeers.com::40f43b94-7cf2-4858-bfb2-8678167579e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06B9E5-5BE9-46FA-9350-7F253510BFE2}" name="Table1" displayName="Table1" ref="AF14:AF16" totalsRowShown="0">
  <autoFilter ref="AF14:AF16" xr:uid="{5906B9E5-5BE9-46FA-9350-7F253510BFE2}"/>
  <tableColumns count="1">
    <tableColumn id="1" xr3:uid="{E254425D-B21B-4F4D-AF6A-1CED226455A8}" name="Column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5DB969-2184-4982-A1E4-27FF2E9A9736}" name="Table2" displayName="Table2" ref="AF18:AF30" totalsRowShown="0">
  <autoFilter ref="AF18:AF30" xr:uid="{F25DB969-2184-4982-A1E4-27FF2E9A9736}"/>
  <tableColumns count="1">
    <tableColumn id="1" xr3:uid="{095F31DD-59E4-4CF5-B9B6-E44E5257FD99}" name="Column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252E9FB-9468-4617-982A-0B8B2A96D2F3}" name="Table14" displayName="Table14" ref="AF14:AF16" totalsRowShown="0">
  <autoFilter ref="AF14:AF16" xr:uid="{5906B9E5-5BE9-46FA-9350-7F253510BFE2}"/>
  <tableColumns count="1">
    <tableColumn id="1" xr3:uid="{6FA77B82-DABA-4E6D-AB1F-8F25E30AE448}" name="Column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8" dT="2024-07-02T20:20:35.67" personId="{0D21FD21-AD28-4943-B677-6F44FA9F92B2}" id="{807D3E06-A2D9-4498-8B62-3946D8740CE3}">
    <text xml:space="preserve">This cost information is a high level estimate based on the costs of going from 4 trains per hour to 6 trains per hour in Caltrain's Strategic Financial Plan Update
Slide 16 of this deck:  Caltrain Update Bay Area Caucus Session February 1, 2023 </text>
    <extLst>
      <x:ext xmlns:xltc2="http://schemas.microsoft.com/office/spreadsheetml/2020/threadedcomments2" uri="{F7C98A9C-CBB3-438F-8F68-D28B6AF4A901}">
        <xltc2:checksum>1907896556</xltc2:checksum>
        <xltc2:hyperlink startIndex="190" length="56" url="https://www.caltrain.com/media/32736/download"/>
      </x:ext>
    </extLst>
  </threadedComment>
  <threadedComment ref="B28" dT="2024-07-02T20:20:55.74" personId="{0D21FD21-AD28-4943-B677-6F44FA9F92B2}" id="{6F756A21-A6C7-4B01-9B5A-0E52B6FD392A}" parentId="{807D3E06-A2D9-4498-8B62-3946D8740CE3}">
    <text>Caltrain mentioned that rail is a high fixed cost operation, so these costs may be lower</text>
  </threadedComment>
</ThreadedComments>
</file>

<file path=xl/threadedComments/threadedComment10.xml><?xml version="1.0" encoding="utf-8"?>
<ThreadedComments xmlns="http://schemas.microsoft.com/office/spreadsheetml/2018/threadedcomments" xmlns:x="http://schemas.openxmlformats.org/spreadsheetml/2006/main">
  <threadedComment ref="C27" dT="2024-06-18T16:00:36.29" personId="{0D21FD21-AD28-4943-B677-6F44FA9F92B2}" id="{EA481480-ED34-445A-A3E7-8385970A83D4}">
    <text>High end of a $25 to $75 per household cost estimate provided by a Sacramento based TMO</text>
  </threadedComment>
</ThreadedComments>
</file>

<file path=xl/threadedComments/threadedComment11.xml><?xml version="1.0" encoding="utf-8"?>
<ThreadedComments xmlns="http://schemas.microsoft.com/office/spreadsheetml/2018/threadedcomments" xmlns:x="http://schemas.openxmlformats.org/spreadsheetml/2006/main">
  <threadedComment ref="H25" dT="2024-02-21T01:20:32.00" personId="{0D21FD21-AD28-4943-B677-6F44FA9F92B2}" id="{5E80035D-61CA-429E-A634-4F07192E1B49}">
    <text>This number is from a cost estimate calculated using bike share cost information from Washington DC's Capital Bikeshare and LA Metro's Metro Bike Share</text>
  </threadedComment>
  <threadedComment ref="H26" dT="2024-02-27T01:42:33.58" personId="{0D21FD21-AD28-4943-B677-6F44FA9F92B2}" id="{62057E22-7FA1-42FE-AC41-B58A6DE546DB}">
    <text>This number is just the same as the e-bike price - it assumes that these devices have similar maintenance/recharge/rebalancing costs</text>
  </threadedComment>
</ThreadedComments>
</file>

<file path=xl/threadedComments/threadedComment12.xml><?xml version="1.0" encoding="utf-8"?>
<ThreadedComments xmlns="http://schemas.microsoft.com/office/spreadsheetml/2018/threadedcomments" xmlns:x="http://schemas.openxmlformats.org/spreadsheetml/2006/main">
  <threadedComment ref="K24" dT="2024-03-06T01:02:02.14" personId="{0D21FD21-AD28-4943-B677-6F44FA9F92B2}" id="{5ED1A4FC-87E6-4460-BE3D-28819D19AB74}">
    <text>Cost estimate based on LA Metro board report. Their RSH costs were 24% lower than fixed route transit. This reduction was applied to the SamTrans RSH cost. 
https://boardarchives.metro.net/BoardBox/2023/230620_MicroTransit_Pilot_Project_Update_Report.pdf</text>
    <extLst>
      <x:ext xmlns:xltc2="http://schemas.microsoft.com/office/spreadsheetml/2020/threadedcomments2" uri="{F7C98A9C-CBB3-438F-8F68-D28B6AF4A901}">
        <xltc2:checksum>194416734</xltc2:checksum>
        <xltc2:hyperlink startIndex="158" length="97" url="https://boardarchives.metro.net/BoardBox/2023/230620_MicroTransit_Pilot_Project_Update_Report.pdf"/>
      </x:ext>
    </extLst>
  </threadedComment>
</ThreadedComments>
</file>

<file path=xl/threadedComments/threadedComment13.xml><?xml version="1.0" encoding="utf-8"?>
<ThreadedComments xmlns="http://schemas.microsoft.com/office/spreadsheetml/2018/threadedcomments" xmlns:x="http://schemas.openxmlformats.org/spreadsheetml/2006/main">
  <threadedComment ref="J23" dT="2024-03-22T19:17:30.83" personId="{0D21FD21-AD28-4943-B677-6F44FA9F92B2}" id="{98CECB9B-700C-4C5F-BFD2-7D9651FA62B2}">
    <text>Source: RICAPS</text>
  </threadedComment>
  <threadedComment ref="J29" dT="2024-03-22T19:41:20.27" personId="{0D21FD21-AD28-4943-B677-6F44FA9F92B2}" id="{E59C99AD-9359-469C-B11C-ECC3AC0F51D9}">
    <text>https://promiseelectric.com/understanding-the-lifespan-of-ev-chargers/</text>
    <extLst>
      <x:ext xmlns:xltc2="http://schemas.microsoft.com/office/spreadsheetml/2020/threadedcomments2" uri="{F7C98A9C-CBB3-438F-8F68-D28B6AF4A901}">
        <xltc2:checksum>812183415</xltc2:checksum>
        <xltc2:hyperlink startIndex="0" length="70" url="https://promiseelectric.com/understanding-the-lifespan-of-ev-chargers/"/>
      </x:ext>
    </extLst>
  </threadedComment>
</ThreadedComments>
</file>

<file path=xl/threadedComments/threadedComment14.xml><?xml version="1.0" encoding="utf-8"?>
<ThreadedComments xmlns="http://schemas.microsoft.com/office/spreadsheetml/2018/threadedcomments" xmlns:x="http://schemas.openxmlformats.org/spreadsheetml/2006/main">
  <threadedComment ref="M23" dT="2024-03-12T17:12:00.78" personId="{0D21FD21-AD28-4943-B677-6F44FA9F92B2}" id="{1020718B-9CE6-48EB-9136-9A36FC69A00E}">
    <text>Cost estimates are from 2021 C/CAG San Mateo County Countywide Bicycle and Pedestrian Plan, with added 5% per year 
escalation (same escalation assumption as Plan)
https://ccag.ca.gov/wp-content/uploads/2021/05/6_A1_San-Mateo-County-Comprehensive-Bicycle-and-Pedestrian-Plan-Update-Final-Plan.pdf</text>
    <extLst>
      <x:ext xmlns:xltc2="http://schemas.microsoft.com/office/spreadsheetml/2020/threadedcomments2" uri="{F7C98A9C-CBB3-438F-8F68-D28B6AF4A901}">
        <xltc2:checksum>986881953</xltc2:checksum>
        <xltc2:hyperlink startIndex="165" length="132" url="https://ccag.ca.gov/wp-content/uploads/2021/05/6_A1_San-Mateo-County-Comprehensive-Bicycle-and-Pedestrian-Plan-Update-Final-Plan.pdf"/>
      </x:ext>
    </extLst>
  </threadedComment>
</ThreadedComments>
</file>

<file path=xl/threadedComments/threadedComment15.xml><?xml version="1.0" encoding="utf-8"?>
<ThreadedComments xmlns="http://schemas.microsoft.com/office/spreadsheetml/2018/threadedcomments" xmlns:x="http://schemas.openxmlformats.org/spreadsheetml/2006/main">
  <threadedComment ref="H33" dT="2023-06-20T22:29:46.02" personId="{0D21FD21-AD28-4943-B677-6F44FA9F92B2}" id="{E4FB68EC-AF09-4C31-BFE9-71649E5F1901}">
    <text>From Appendix C (Pg C-3) of CAPCOA report ttps://www.airquality.org/ClimateChange/Documents/Final%20Handbook_AB434.pdf</text>
  </threadedComment>
  <threadedComment ref="B35" dT="2024-03-12T17:12:00.78" personId="{0D21FD21-AD28-4943-B677-6F44FA9F92B2}" id="{A5F8C21E-A2FF-4D9A-AAE2-EFA6480EBE69}">
    <text>Cost estimates are from 2021 C/CAG San Mateo County Countywide Bicycle and Pedestrian Plan, with added 5% per year 
escalation (same escalation assumption as Plan)
https://ccag.ca.gov/wp-content/uploads/2021/05/6_A1_San-Mateo-County-Comprehensive-Bicycle-and-Pedestrian-Plan-Update-Final-Plan.pdf</text>
    <extLst>
      <x:ext xmlns:xltc2="http://schemas.microsoft.com/office/spreadsheetml/2020/threadedcomments2" uri="{F7C98A9C-CBB3-438F-8F68-D28B6AF4A901}">
        <xltc2:checksum>986881953</xltc2:checksum>
        <xltc2:hyperlink startIndex="165" length="132" url="https://ccag.ca.gov/wp-content/uploads/2021/05/6_A1_San-Mateo-County-Comprehensive-Bicycle-and-Pedestrian-Plan-Update-Final-Plan.pdf"/>
      </x:ext>
    </extLst>
  </threadedComment>
</ThreadedComments>
</file>

<file path=xl/threadedComments/threadedComment16.xml><?xml version="1.0" encoding="utf-8"?>
<ThreadedComments xmlns="http://schemas.microsoft.com/office/spreadsheetml/2018/threadedcomments" xmlns:x="http://schemas.openxmlformats.org/spreadsheetml/2006/main">
  <threadedComment ref="G20" dT="2024-03-12T17:18:10.87" personId="{0D21FD21-AD28-4943-B677-6F44FA9F92B2}" id="{E36064BC-C087-4EA5-889D-F963F72A2285}">
    <text>Cost of pedestrian hybrid beacon in 2021 C/CAG San Mateo County Countywide Bicycle and Pedestrian Plan with 5% annual cost escalation applied (same escalation rate was used in plan)
https://ccag.ca.gov/wp-content/uploads/2021/05/6_A1_San-Mateo-County-Comprehensive-Bicycle-and-Pedestrian-Plan-Update-Final-Plan.pdf</text>
    <extLst>
      <x:ext xmlns:xltc2="http://schemas.microsoft.com/office/spreadsheetml/2020/threadedcomments2" uri="{F7C98A9C-CBB3-438F-8F68-D28B6AF4A901}">
        <xltc2:checksum>3542385016</xltc2:checksum>
        <xltc2:hyperlink startIndex="183" length="132" url="https://ccag.ca.gov/wp-content/uploads/2021/05/6_A1_San-Mateo-County-Comprehensive-Bicycle-and-Pedestrian-Plan-Update-Final-Plan.pdf"/>
      </x:ext>
    </extLst>
  </threadedComment>
</ThreadedComments>
</file>

<file path=xl/threadedComments/threadedComment17.xml><?xml version="1.0" encoding="utf-8"?>
<ThreadedComments xmlns="http://schemas.microsoft.com/office/spreadsheetml/2018/threadedcomments" xmlns:x="http://schemas.openxmlformats.org/spreadsheetml/2006/main">
  <threadedComment ref="B26" dT="2024-03-12T18:33:48.35" personId="{0D21FD21-AD28-4943-B677-6F44FA9F92B2}" id="{8ECCC398-45CF-467A-B9C6-F09717BCA47D}">
    <text>See "Action 14 Data" tab for detailed rough cost estimate calculations</text>
  </threadedComment>
</ThreadedComments>
</file>

<file path=xl/threadedComments/threadedComment18.xml><?xml version="1.0" encoding="utf-8"?>
<ThreadedComments xmlns="http://schemas.microsoft.com/office/spreadsheetml/2018/threadedcomments" xmlns:x="http://schemas.openxmlformats.org/spreadsheetml/2006/main">
  <threadedComment ref="C46" dT="2024-03-19T22:42:57.08" personId="{0D21FD21-AD28-4943-B677-6F44FA9F92B2}" id="{171FAB5E-AF5E-4B82-8B7C-3C9F77455E80}">
    <text>Based on general daily VMT to annual VMT conversion rate. 
This could be reduced to 255 days if the service increase is weekday only</text>
  </threadedComment>
  <threadedComment ref="B81" dT="2024-07-02T22:10:55.65" personId="{0D21FD21-AD28-4943-B677-6F44FA9F92B2}" id="{CCC69508-AE6E-4015-8442-C3E40BF8756E}">
    <text>Regular service only - does not include College Park station</text>
  </threadedComment>
  <threadedComment ref="B82" dT="2024-07-02T22:12:57.02" personId="{0D21FD21-AD28-4943-B677-6F44FA9F92B2}" id="{30EC73C6-243E-4E52-BF20-BFB510DBF3D7}">
    <text>Caltrain's electrification plans have two express service patterns: A and B. These two different options serve different numbers of stations.
Pattern A was assumed for this analysis, as pattern B is a more Santa Clara County focused service</text>
  </threadedComment>
</ThreadedComments>
</file>

<file path=xl/threadedComments/threadedComment19.xml><?xml version="1.0" encoding="utf-8"?>
<ThreadedComments xmlns="http://schemas.microsoft.com/office/spreadsheetml/2018/threadedcomments" xmlns:x="http://schemas.openxmlformats.org/spreadsheetml/2006/main">
  <threadedComment ref="C15" dT="2024-01-30T18:38:56.03" personId="{0D21FD21-AD28-4943-B677-6F44FA9F92B2}" id="{A533399B-21D6-4AC5-ACCB-F5D510BAFEBD}">
    <text>From ECR stop area TAZs</text>
  </threadedComment>
</ThreadedComments>
</file>

<file path=xl/threadedComments/threadedComment2.xml><?xml version="1.0" encoding="utf-8"?>
<ThreadedComments xmlns="http://schemas.microsoft.com/office/spreadsheetml/2018/threadedcomments" xmlns:x="http://schemas.openxmlformats.org/spreadsheetml/2006/main">
  <threadedComment ref="M25" dT="2024-03-12T16:06:46.00" personId="{0D21FD21-AD28-4943-B677-6F44FA9F92B2}" id="{05361915-21DE-47CB-B89F-AA0DEE7A7200}">
    <text>Based on the estimated per mile cost of bus lanes, curb extensions, and traffic signal modifications listed for 25 miles of improvements in the SamTrans Bus Speed and Reliability Study. 
This cost does not include pedestrian gap closures.
https://www.samtrans.com/ECRStudy</text>
    <extLst>
      <x:ext xmlns:xltc2="http://schemas.microsoft.com/office/spreadsheetml/2020/threadedcomments2" uri="{F7C98A9C-CBB3-438F-8F68-D28B6AF4A901}">
        <xltc2:checksum>3124855003</xltc2:checksum>
        <xltc2:hyperlink startIndex="241" length="33" url="https://www.samtrans.com/ECRStudy"/>
      </x:ext>
    </extLst>
  </threadedComment>
  <threadedComment ref="M26" dT="2024-07-03T16:30:46.52" personId="{0D21FD21-AD28-4943-B677-6F44FA9F92B2}" id="{1AAA51B9-AAD1-4EBB-9467-605B24E3E786}">
    <text>Lower end of expected travel time savings in SamTrans El Camino Real Bus Speed and Reliability Study (25-30%)
https://www.samtrans.com/media/25335/download?inline</text>
    <extLst>
      <x:ext xmlns:xltc2="http://schemas.microsoft.com/office/spreadsheetml/2020/threadedcomments2" uri="{F7C98A9C-CBB3-438F-8F68-D28B6AF4A901}">
        <xltc2:checksum>722871162</xltc2:checksum>
        <xltc2:hyperlink startIndex="111" length="52" url="https://www.samtrans.com/media/25335/download?inline"/>
      </x:ext>
    </extLst>
  </threadedComment>
</ThreadedComments>
</file>

<file path=xl/threadedComments/threadedComment20.xml><?xml version="1.0" encoding="utf-8"?>
<ThreadedComments xmlns="http://schemas.microsoft.com/office/spreadsheetml/2018/threadedcomments" xmlns:x="http://schemas.openxmlformats.org/spreadsheetml/2006/main">
  <threadedComment ref="D16" dT="2023-12-23T01:42:44.08" personId="{0D21FD21-AD28-4943-B677-6F44FA9F92B2}" id="{9A345B09-8A60-4F42-B3C3-F3F5669C426C}">
    <text>Some housing sites were in multiple TAZs. In these cases, there was a clear TAZ to choose from, and almost all of the parcel's area was in a single TAZ</text>
  </threadedComment>
</ThreadedComments>
</file>

<file path=xl/threadedComments/threadedComment21.xml><?xml version="1.0" encoding="utf-8"?>
<ThreadedComments xmlns="http://schemas.microsoft.com/office/spreadsheetml/2018/threadedcomments" xmlns:x="http://schemas.openxmlformats.org/spreadsheetml/2006/main">
  <threadedComment ref="B28" dT="2023-06-20T22:17:25.69" personId="{0D21FD21-AD28-4943-B677-6F44FA9F92B2}" id="{E32482A7-F826-4DCE-A2FD-4BD5774E0B98}">
    <text>Page 10 of this document
https://ww2.arb.ca.gov/sites/default/files/auction-proceeds/bicycle_facilities_technical_041519.pdf</text>
    <extLst>
      <x:ext xmlns:xltc2="http://schemas.microsoft.com/office/spreadsheetml/2020/threadedcomments2" uri="{F7C98A9C-CBB3-438F-8F68-D28B6AF4A901}">
        <xltc2:checksum>601930246</xltc2:checksum>
        <xltc2:hyperlink startIndex="26" length="99" url="https://ww2.arb.ca.gov/sites/default/files/auction-proceeds/bicycle_facilities_technical_041519.pdf"/>
      </x:ext>
    </extLst>
  </threadedComment>
  <threadedComment ref="B36" dT="2023-06-20T22:29:46.02" personId="{0D21FD21-AD28-4943-B677-6F44FA9F92B2}" id="{A7EBCEB0-C802-47F9-86B3-AF37E6B94507}">
    <text>From Appendix C (Pg C-3) of CAPCOA report ttps://www.airquality.org/ClimateChange/Documents/Final%20Handbook_AB434.pdf</text>
  </threadedComment>
  <threadedComment ref="E96" dT="2024-02-19T20:26:01.52" personId="{0D21FD21-AD28-4943-B677-6F44FA9F92B2}" id="{E531AF02-4933-4281-AF51-98124354234A}">
    <text>Subtracts the segment near El Granada where the facility is Class I NB and Class II SB
Only accounting for Class II in this segment for a more conservative estimate</text>
  </threadedComment>
</ThreadedComments>
</file>

<file path=xl/threadedComments/threadedComment22.xml><?xml version="1.0" encoding="utf-8"?>
<ThreadedComments xmlns="http://schemas.microsoft.com/office/spreadsheetml/2018/threadedcomments" xmlns:x="http://schemas.openxmlformats.org/spreadsheetml/2006/main">
  <threadedComment ref="B6" dT="2023-06-20T22:17:25.69" personId="{0D21FD21-AD28-4943-B677-6F44FA9F92B2}" id="{B5F754A2-8B71-415F-887D-1C209F726C31}">
    <text>Page 10 of this document
https://ww2.arb.ca.gov/sites/default/files/auction-proceeds/bicycle_facilities_technical_041519.pdf</text>
    <extLst>
      <x:ext xmlns:xltc2="http://schemas.microsoft.com/office/spreadsheetml/2020/threadedcomments2" uri="{F7C98A9C-CBB3-438F-8F68-D28B6AF4A901}">
        <xltc2:checksum>601930246</xltc2:checksum>
        <xltc2:hyperlink startIndex="26" length="99" url="https://ww2.arb.ca.gov/sites/default/files/auction-proceeds/bicycle_facilities_technical_041519.pdf"/>
      </x:ext>
    </extLst>
  </threadedComment>
  <threadedComment ref="B14" dT="2023-06-20T22:29:46.02" personId="{0D21FD21-AD28-4943-B677-6F44FA9F92B2}" id="{40DEF590-B52C-42A5-940A-F33B5ECD51F9}">
    <text>From Appendix C (Pg C-3) of CAPCOA report ttps://www.airquality.org/ClimateChange/Documents/Final%20Handbook_AB434.pdf</text>
  </threadedComment>
  <threadedComment ref="B58" dT="2024-04-15T19:48:52.42" personId="{0D21FD21-AD28-4943-B677-6F44FA9F92B2}" id="{9BB65656-64E2-461C-8E3B-8171337DADF2}">
    <text>FHWA constant variable</text>
  </threadedComment>
</ThreadedComments>
</file>

<file path=xl/threadedComments/threadedComment23.xml><?xml version="1.0" encoding="utf-8"?>
<ThreadedComments xmlns="http://schemas.microsoft.com/office/spreadsheetml/2018/threadedcomments" xmlns:x="http://schemas.openxmlformats.org/spreadsheetml/2006/main">
  <threadedComment ref="D3" dT="2023-12-23T01:42:44.08" personId="{0D21FD21-AD28-4943-B677-6F44FA9F92B2}" id="{F8184D2B-074E-4C87-9C2B-74315DA92205}">
    <text>Some housing sites were in multiple TAZs. In these cases, there was a clear TAZ to choose from, and almost all of the parcel's area was in a single TAZ</text>
  </threadedComment>
  <threadedComment ref="D35" dT="2023-12-23T01:42:44.08" personId="{0D21FD21-AD28-4943-B677-6F44FA9F92B2}" id="{E0169009-CE16-4E55-B343-335FA7DD6159}">
    <text>Some housing sites were in multiple TAZs. In these cases, there was a clear TAZ to choose from, and almost all of the parcel's area was in a single TAZ</text>
  </threadedComment>
</ThreadedComments>
</file>

<file path=xl/threadedComments/threadedComment24.xml><?xml version="1.0" encoding="utf-8"?>
<ThreadedComments xmlns="http://schemas.microsoft.com/office/spreadsheetml/2018/threadedcomments" xmlns:x="http://schemas.openxmlformats.org/spreadsheetml/2006/main">
  <threadedComment ref="A4" dT="2023-06-19T16:44:53.11" personId="{0D21FD21-AD28-4943-B677-6F44FA9F92B2}" id="{4AC5D4B5-26B2-49C4-AB25-65787C4C5C06}">
    <text>Found using ArcGIS Pro</text>
  </threadedComment>
</ThreadedComments>
</file>

<file path=xl/threadedComments/threadedComment25.xml><?xml version="1.0" encoding="utf-8"?>
<ThreadedComments xmlns="http://schemas.microsoft.com/office/spreadsheetml/2018/threadedcomments" xmlns:x="http://schemas.openxmlformats.org/spreadsheetml/2006/main">
  <threadedComment ref="A4" dT="2023-06-19T16:44:53.11" personId="{0D21FD21-AD28-4943-B677-6F44FA9F92B2}" id="{806C1C13-5193-4AB6-80A3-3886B6B769FF}">
    <text>Found using ArcGIS Pro</text>
  </threadedComment>
</ThreadedComments>
</file>

<file path=xl/threadedComments/threadedComment26.xml><?xml version="1.0" encoding="utf-8"?>
<ThreadedComments xmlns="http://schemas.microsoft.com/office/spreadsheetml/2018/threadedcomments" xmlns:x="http://schemas.openxmlformats.org/spreadsheetml/2006/main">
  <threadedComment ref="A4" dT="2023-06-19T16:44:53.11" personId="{0D21FD21-AD28-4943-B677-6F44FA9F92B2}" id="{1D6CC4E5-F705-4A32-BD74-1088408DAB82}">
    <text>Found using ArcGIS Pro</text>
  </threadedComment>
</ThreadedComments>
</file>

<file path=xl/threadedComments/threadedComment27.xml><?xml version="1.0" encoding="utf-8"?>
<ThreadedComments xmlns="http://schemas.microsoft.com/office/spreadsheetml/2018/threadedcomments" xmlns:x="http://schemas.openxmlformats.org/spreadsheetml/2006/main">
  <threadedComment ref="A4" dT="2023-06-19T16:44:53.11" personId="{0D21FD21-AD28-4943-B677-6F44FA9F92B2}" id="{9F65FA6D-DCA4-4DD4-9297-E80CA03A7431}">
    <text>Found using ArcGIS Pro</text>
  </threadedComment>
</ThreadedComments>
</file>

<file path=xl/threadedComments/threadedComment28.xml><?xml version="1.0" encoding="utf-8"?>
<ThreadedComments xmlns="http://schemas.microsoft.com/office/spreadsheetml/2018/threadedcomments" xmlns:x="http://schemas.openxmlformats.org/spreadsheetml/2006/main">
  <threadedComment ref="A4" dT="2023-06-19T16:44:53.11" personId="{0D21FD21-AD28-4943-B677-6F44FA9F92B2}" id="{1B98D6DD-74F8-4987-A99C-4D6963300605}">
    <text>Found using ArcGIS Pro</text>
  </threadedComment>
</ThreadedComments>
</file>

<file path=xl/threadedComments/threadedComment29.xml><?xml version="1.0" encoding="utf-8"?>
<ThreadedComments xmlns="http://schemas.microsoft.com/office/spreadsheetml/2018/threadedcomments" xmlns:x="http://schemas.openxmlformats.org/spreadsheetml/2006/main">
  <threadedComment ref="A4" dT="2023-06-19T16:44:53.11" personId="{0D21FD21-AD28-4943-B677-6F44FA9F92B2}" id="{910FC238-42E1-4B4E-9AB4-7D0E628A3540}">
    <text>Found using ArcGIS Pro</text>
  </threadedComment>
</ThreadedComments>
</file>

<file path=xl/threadedComments/threadedComment3.xml><?xml version="1.0" encoding="utf-8"?>
<ThreadedComments xmlns="http://schemas.microsoft.com/office/spreadsheetml/2018/threadedcomments" xmlns:x="http://schemas.openxmlformats.org/spreadsheetml/2006/main">
  <threadedComment ref="J25" dT="2024-03-12T16:14:54.60" personId="{0D21FD21-AD28-4943-B677-6F44FA9F92B2}" id="{3D9C254F-78FE-4DD8-8D17-E8308C6248C4}">
    <text>Estimate based on a series of sources, including
$737,417 per unit in Bay Area in 2019 
http://www.bayareaeconomy.org/how-much-does-it-cost-to-produce-one-unit-of-below-market-housing-in-the-bay-area/</text>
    <extLst>
      <x:ext xmlns:xltc2="http://schemas.microsoft.com/office/spreadsheetml/2020/threadedcomments2" uri="{F7C98A9C-CBB3-438F-8F68-D28B6AF4A901}">
        <xltc2:checksum>3130688176</xltc2:checksum>
        <xltc2:hyperlink startIndex="89" length="112" url="http://www.bayareaeconomy.org/how-much-does-it-cost-to-produce-one-unit-of-below-market-housing-in-the-bay-area/"/>
      </x:ext>
    </extLst>
  </threadedComment>
  <threadedComment ref="J25" dT="2024-03-12T16:15:12.38" personId="{0D21FD21-AD28-4943-B677-6F44FA9F92B2}" id="{B7AF53E2-EB97-45C9-8FBD-614A25E2A292}" parentId="{3D9C254F-78FE-4DD8-8D17-E8308C6248C4}">
    <text>More than $1.2M in SF (2022) https://www.sfchronicle.com/sf/article/it-now-costs-more-than-1-2-million-to-build-a-17463355.php</text>
    <extLst>
      <x:ext xmlns:xltc2="http://schemas.microsoft.com/office/spreadsheetml/2020/threadedcomments2" uri="{F7C98A9C-CBB3-438F-8F68-D28B6AF4A901}">
        <xltc2:checksum>2573687723</xltc2:checksum>
        <xltc2:hyperlink startIndex="29" length="97" url="https://www.sfchronicle.com/sf/article/it-now-costs-more-than-1-2-million-to-build-a-17463355.php"/>
      </x:ext>
    </extLst>
  </threadedComment>
  <threadedComment ref="J25" dT="2024-03-12T16:15:42.89" personId="{0D21FD21-AD28-4943-B677-6F44FA9F92B2}" id="{08491EB0-0D35-46D0-B94D-552AE2024F9D}" parentId="{3D9C254F-78FE-4DD8-8D17-E8308C6248C4}">
    <text>More than $1M a unit (2022) 
https://therealdeal.com/sanfrancisco/2022/06/22/development-costs-on-bay-area-affordable-resi-tops-1-million-per-apartment/</text>
    <extLst>
      <x:ext xmlns:xltc2="http://schemas.microsoft.com/office/spreadsheetml/2020/threadedcomments2" uri="{F7C98A9C-CBB3-438F-8F68-D28B6AF4A901}">
        <xltc2:checksum>1552816563</xltc2:checksum>
        <xltc2:hyperlink startIndex="29" length="123" url="https://therealdeal.com/sanfrancisco/2022/06/22/development-costs-on-bay-area-affordable-resi-tops-1-million-per-apartment/"/>
      </x:ext>
    </extLst>
  </threadedComment>
  <threadedComment ref="I26" dT="2024-07-15T18:15:58.14" personId="{0D21FD21-AD28-4943-B677-6F44FA9F92B2}" id="{F484B4FF-DE65-4B21-A01C-8142133E7278}">
    <text>Is the mitigation program funding an entire dwelling unit? Or does the affordable housing development have other funding soruces?
Select "YES" if project already has some funding and "NO" if it does not</text>
  </threadedComment>
</ThreadedComments>
</file>

<file path=xl/threadedComments/threadedComment4.xml><?xml version="1.0" encoding="utf-8"?>
<ThreadedComments xmlns="http://schemas.microsoft.com/office/spreadsheetml/2018/threadedcomments" xmlns:x="http://schemas.openxmlformats.org/spreadsheetml/2006/main">
  <threadedComment ref="M32" dT="2024-03-12T16:33:28.96" personId="{0D21FD21-AD28-4943-B677-6F44FA9F92B2}" id="{41E2C6D9-F153-412F-A1E5-CD2631EEA9EF}">
    <text>Based on MTC estimated program subsidy of $11M per year - MTC Resolution #4320
https://mtc.ca.gov/sites/default/files/documents/2021-06/RES-4320_approved.pdf
And based on MTC figure of 13,800 estimated active program users
https://blog.bayareametro.gov/posts/clipperr-start-pilot-extended-through-june-30-2025</text>
    <extLst>
      <x:ext xmlns:xltc2="http://schemas.microsoft.com/office/spreadsheetml/2020/threadedcomments2" uri="{F7C98A9C-CBB3-438F-8F68-D28B6AF4A901}">
        <xltc2:checksum>2638818420</xltc2:checksum>
        <xltc2:hyperlink startIndex="79" length="78" url="https://mtc.ca.gov/sites/default/files/documents/2021-06/RES-4320_approved.pdf"/>
        <xltc2:hyperlink startIndex="224" length="86" url="https://blog.bayareametro.gov/posts/clipperr-start-pilot-extended-through-june-30-2025"/>
      </x:ext>
    </extLst>
  </threadedComment>
  <threadedComment ref="M34" dT="2024-03-12T16:17:25.15" personId="{0D21FD21-AD28-4943-B677-6F44FA9F92B2}" id="{FEA5F428-CE8C-403A-926A-A986F735A5D3}">
    <text>https://www.clipperstartcard.com/s/
"50% off all Bay Area transit"</text>
    <extLst>
      <x:ext xmlns:xltc2="http://schemas.microsoft.com/office/spreadsheetml/2020/threadedcomments2" uri="{F7C98A9C-CBB3-438F-8F68-D28B6AF4A901}">
        <xltc2:checksum>2947957900</xltc2:checksum>
        <xltc2:hyperlink startIndex="0" length="35" url="https://www.clipperstartcard.com/s/"/>
      </x:ext>
    </extLst>
  </threadedComment>
  <threadedComment ref="M35" dT="2024-03-12T16:27:20.78" personId="{0D21FD21-AD28-4943-B677-6F44FA9F92B2}" id="{E4CF1A88-1D68-4DA7-8685-E355BBB5DB95}">
    <text>Estimated percentage of San Mateo County residents who earn under 200% of the federal poverty line
https://ccag.ca.gov/wp-content/uploads/2023/07/5.1-A3-SoutheastSanMateo_CBTP_2-9-2023_FINAL-1.pdf</text>
    <extLst>
      <x:ext xmlns:xltc2="http://schemas.microsoft.com/office/spreadsheetml/2020/threadedcomments2" uri="{F7C98A9C-CBB3-438F-8F68-D28B6AF4A901}">
        <xltc2:checksum>2019686542</xltc2:checksum>
        <xltc2:hyperlink startIndex="100" length="97" url="https://ccag.ca.gov/wp-content/uploads/2023/07/5.1-A3-SoutheastSanMateo_CBTP_2-9-2023_FINAL-1.pdf"/>
      </x:ext>
    </extLst>
  </threadedComment>
  <threadedComment ref="M35" dT="2024-04-15T18:29:10.63" personId="{0D21FD21-AD28-4943-B677-6F44FA9F92B2}" id="{35BEF254-1018-46A9-ACA5-984C01016846}" parentId="{E4CF1A88-1D68-4DA7-8685-E355BBB5DB95}">
    <text xml:space="preserve">This 19% number is countywide and will need to be adjusted, if selecting a single city </text>
  </threadedComment>
</ThreadedComments>
</file>

<file path=xl/threadedComments/threadedComment5.xml><?xml version="1.0" encoding="utf-8"?>
<ThreadedComments xmlns="http://schemas.microsoft.com/office/spreadsheetml/2018/threadedcomments" xmlns:x="http://schemas.openxmlformats.org/spreadsheetml/2006/main">
  <threadedComment ref="C28" dT="2024-03-12T16:33:28.96" personId="{0D21FD21-AD28-4943-B677-6F44FA9F92B2}" id="{BA362C68-F530-4E65-95AA-EA3680B3FFBF}">
    <text>Based on MTC estimated program subsidy of $11M per year - MTC Resolution #4320
https://mtc.ca.gov/sites/default/files/documents/2021-06/RES-4320_approved.pdf
And based on MTC figure of 13,800 estimated active program users
https://blog.bayareametro.gov/posts/clipperr-start-pilot-extended-through-june-30-2025</text>
    <extLst>
      <x:ext xmlns:xltc2="http://schemas.microsoft.com/office/spreadsheetml/2020/threadedcomments2" uri="{F7C98A9C-CBB3-438F-8F68-D28B6AF4A901}">
        <xltc2:checksum>2638818420</xltc2:checksum>
        <xltc2:hyperlink startIndex="79" length="78" url="https://mtc.ca.gov/sites/default/files/documents/2021-06/RES-4320_approved.pdf"/>
        <xltc2:hyperlink startIndex="224" length="86" url="https://blog.bayareametro.gov/posts/clipperr-start-pilot-extended-through-june-30-2025"/>
      </x:ext>
    </extLst>
  </threadedComment>
  <threadedComment ref="C29" dT="2024-03-12T16:17:25.15" personId="{0D21FD21-AD28-4943-B677-6F44FA9F92B2}" id="{3F44A7AD-7197-49C0-A13A-CE3133A258CE}">
    <text>https://www.clipperstartcard.com/s/
"50% off all Bay Area transit"</text>
    <extLst>
      <x:ext xmlns:xltc2="http://schemas.microsoft.com/office/spreadsheetml/2020/threadedcomments2" uri="{F7C98A9C-CBB3-438F-8F68-D28B6AF4A901}">
        <xltc2:checksum>2947957900</xltc2:checksum>
        <xltc2:hyperlink startIndex="0" length="35" url="https://www.clipperstartcard.com/s/"/>
      </x:ext>
    </extLst>
  </threadedComment>
  <threadedComment ref="B35" dT="2024-09-13T18:53:33.96" personId="{0D21FD21-AD28-4943-B677-6F44FA9F92B2}" id="{14213C28-515A-43A1-BCDD-FBB421BF0226}">
    <text>Daily VMT is typically used to analyze land use projects</text>
  </threadedComment>
</ThreadedComments>
</file>

<file path=xl/threadedComments/threadedComment6.xml><?xml version="1.0" encoding="utf-8"?>
<ThreadedComments xmlns="http://schemas.microsoft.com/office/spreadsheetml/2018/threadedcomments" xmlns:x="http://schemas.openxmlformats.org/spreadsheetml/2006/main">
  <threadedComment ref="B3" dT="2023-12-22T00:56:10.25" personId="{0D21FD21-AD28-4943-B677-6F44FA9F92B2}" id="{0A03904D-7417-4A61-8F91-02556E8E95CA}">
    <text>Not in SMC = The CCAG model TAZ is outside of San Mateo County</text>
  </threadedComment>
  <threadedComment ref="E3" dT="2023-12-22T01:00:36.93" personId="{0D21FD21-AD28-4943-B677-6F44FA9F92B2}" id="{0A777744-A3F8-4980-8D32-E61BAC00CA39}">
    <text>Drive Alone</text>
  </threadedComment>
  <threadedComment ref="F3" dT="2023-12-22T01:00:45.53" personId="{0D21FD21-AD28-4943-B677-6F44FA9F92B2}" id="{2270C778-60C9-4699-9AAD-982F49DF2AC4}">
    <text>Shared Ride (auto)</text>
  </threadedComment>
  <threadedComment ref="G3" dT="2023-12-22T01:00:52.17" personId="{0D21FD21-AD28-4943-B677-6F44FA9F92B2}" id="{698CE0BE-3B25-4784-97E2-6C478271AE5C}">
    <text>Transit</text>
  </threadedComment>
  <threadedComment ref="J3" dT="2023-12-22T01:01:11.52" personId="{0D21FD21-AD28-4943-B677-6F44FA9F92B2}" id="{B4086BE4-60AE-4297-BE6E-7CD09F664EB8}">
    <text>Total</text>
  </threadedComment>
</ThreadedComments>
</file>

<file path=xl/threadedComments/threadedComment7.xml><?xml version="1.0" encoding="utf-8"?>
<ThreadedComments xmlns="http://schemas.microsoft.com/office/spreadsheetml/2018/threadedcomments" xmlns:x="http://schemas.openxmlformats.org/spreadsheetml/2006/main">
  <threadedComment ref="L3" dT="2023-12-23T02:44:13.91" personId="{0D21FD21-AD28-4943-B677-6F44FA9F92B2}" id="{FABA721A-5BCF-49B0-9043-A68F11B1DD24}">
    <text>I verified that this calculation is correct - HB VMT / Total Pop</text>
  </threadedComment>
  <threadedComment ref="N3" dT="2023-12-23T02:45:46.67" personId="{0D21FD21-AD28-4943-B677-6F44FA9F92B2}" id="{4974B44F-B07C-4447-B8EE-606B95FA774F}">
    <text>Service population is residents + employees</text>
  </threadedComment>
</ThreadedComments>
</file>

<file path=xl/threadedComments/threadedComment8.xml><?xml version="1.0" encoding="utf-8"?>
<ThreadedComments xmlns="http://schemas.microsoft.com/office/spreadsheetml/2018/threadedcomments" xmlns:x="http://schemas.openxmlformats.org/spreadsheetml/2006/main">
  <threadedComment ref="D3" dT="2023-12-23T01:51:33.43" personId="{0D21FD21-AD28-4943-B677-6F44FA9F92B2}" id="{D0B0B337-28F3-41CA-8359-0458EEC0315B}">
    <text>2 = San Mateo County</text>
  </threadedComment>
</ThreadedComments>
</file>

<file path=xl/threadedComments/threadedComment9.xml><?xml version="1.0" encoding="utf-8"?>
<ThreadedComments xmlns="http://schemas.microsoft.com/office/spreadsheetml/2018/threadedcomments" xmlns:x="http://schemas.openxmlformats.org/spreadsheetml/2006/main">
  <threadedComment ref="F24" dT="2024-11-15T20:08:16.92" personId="{0D21FD21-AD28-4943-B677-6F44FA9F92B2}" id="{88EC3039-2840-465E-A8F7-81D68709686B}">
    <text>This program’s e-bikes are assumed to have a lifespan that is shorter than 30 years and there will likely need to be multiple rounds of rebates to maintain consistent year-over-year VMT reductions</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Goyne@fehrandpeers.com" TargetMode="External"/><Relationship Id="rId1" Type="http://schemas.openxmlformats.org/officeDocument/2006/relationships/hyperlink" Target="mailto:A.Murray@fehrandpeers.com" TargetMode="Externa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hyperlink" Target="https://www.peninsulacleanenergy.com/ebikes/" TargetMode="External"/><Relationship Id="rId4" Type="http://schemas.microsoft.com/office/2017/10/relationships/threadedComment" Target="../threadedComments/threadedComment9.xml"/></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10.xml"/><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11.xml"/><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12.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bin"/><Relationship Id="rId4" Type="http://schemas.microsoft.com/office/2017/10/relationships/threadedComment" Target="../threadedComments/threadedComment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bin"/><Relationship Id="rId4" Type="http://schemas.microsoft.com/office/2017/10/relationships/threadedComment" Target="../threadedComments/threadedComment14.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6.bin"/><Relationship Id="rId4" Type="http://schemas.microsoft.com/office/2017/10/relationships/threadedComment" Target="../threadedComments/threadedComment15.xml"/></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16.xml"/><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2.xml.rels><?xml version="1.0" encoding="UTF-8" standalone="yes"?>
<Relationships xmlns="http://schemas.openxmlformats.org/package/2006/relationships"><Relationship Id="rId3" Type="http://schemas.microsoft.com/office/2017/10/relationships/threadedComment" Target="../threadedComments/threadedComment17.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microsoft.com/office/2017/10/relationships/threadedComment" Target="../threadedComments/threadedComment18.xml"/><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8.bin"/><Relationship Id="rId4" Type="http://schemas.microsoft.com/office/2017/10/relationships/threadedComment" Target="../threadedComments/threadedComment1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0.bin"/><Relationship Id="rId4" Type="http://schemas.microsoft.com/office/2017/10/relationships/threadedComment" Target="../threadedComments/threadedComment20.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escholarship.org/uc/item/5kb4b8jx" TargetMode="External"/><Relationship Id="rId1" Type="http://schemas.openxmlformats.org/officeDocument/2006/relationships/hyperlink" Target="https://escholarship.org/uc/item/5kb4b8j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samtrans.com/microtransit-samtrans-ride-plus" TargetMode="External"/></Relationships>
</file>

<file path=xl/worksheets/_rels/sheet35.xml.rels><?xml version="1.0" encoding="UTF-8" standalone="yes"?>
<Relationships xmlns="http://schemas.openxmlformats.org/package/2006/relationships"><Relationship Id="rId3" Type="http://schemas.microsoft.com/office/2017/10/relationships/threadedComment" Target="../threadedComments/threadedComment21.xml"/><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microsoft.com/office/2017/10/relationships/threadedComment" Target="../threadedComments/threadedComment22.xml"/><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2.xml.rels><?xml version="1.0" encoding="UTF-8" standalone="yes"?>
<Relationships xmlns="http://schemas.openxmlformats.org/package/2006/relationships"><Relationship Id="rId3" Type="http://schemas.microsoft.com/office/2017/10/relationships/threadedComment" Target="../threadedComments/threadedComment23.xml"/><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6.xml.rels><?xml version="1.0" encoding="UTF-8" standalone="yes"?>
<Relationships xmlns="http://schemas.openxmlformats.org/package/2006/relationships"><Relationship Id="rId3" Type="http://schemas.microsoft.com/office/2017/10/relationships/threadedComment" Target="../threadedComments/threadedComment24.xml"/><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3" Type="http://schemas.microsoft.com/office/2017/10/relationships/threadedComment" Target="../threadedComments/threadedComment25.xml"/><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26.xml"/><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3" Type="http://schemas.microsoft.com/office/2017/10/relationships/threadedComment" Target="../threadedComments/threadedComment27.xml"/><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50.xml.rels><?xml version="1.0" encoding="UTF-8" standalone="yes"?>
<Relationships xmlns="http://schemas.openxmlformats.org/package/2006/relationships"><Relationship Id="rId3" Type="http://schemas.microsoft.com/office/2017/10/relationships/threadedComment" Target="../threadedComments/threadedComment28.xml"/><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51.xml.rels><?xml version="1.0" encoding="UTF-8" standalone="yes"?>
<Relationships xmlns="http://schemas.openxmlformats.org/package/2006/relationships"><Relationship Id="rId3" Type="http://schemas.microsoft.com/office/2017/10/relationships/threadedComment" Target="../threadedComments/threadedComment29.xml"/><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53.xml.rels><?xml version="1.0" encoding="UTF-8" standalone="yes"?>
<Relationships xmlns="http://schemas.openxmlformats.org/package/2006/relationships"><Relationship Id="rId3" Type="http://schemas.openxmlformats.org/officeDocument/2006/relationships/hyperlink" Target="https://www.redwoodcity.org/home/showpublisheddocument/9981/638387707071570000" TargetMode="External"/><Relationship Id="rId2" Type="http://schemas.openxmlformats.org/officeDocument/2006/relationships/hyperlink" Target="https://www.burlingame.org/departments/planning/general_and_specific_plans.php" TargetMode="External"/><Relationship Id="rId1" Type="http://schemas.openxmlformats.org/officeDocument/2006/relationships/hyperlink" Target="https://www.cityofsanmateo.org/DocumentCenter/View/55327/2009-Downtown-Area-Plan?bidId=" TargetMode="Externa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vmlDrawing" Target="../drawings/vmlDrawing4.vml"/><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3.xml"/><Relationship Id="rId1" Type="http://schemas.openxmlformats.org/officeDocument/2006/relationships/vmlDrawing" Target="../drawings/vmlDrawing5.vml"/><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3:G86"/>
  <sheetViews>
    <sheetView topLeftCell="A45" workbookViewId="0">
      <selection activeCell="C70" sqref="C70"/>
    </sheetView>
  </sheetViews>
  <sheetFormatPr defaultRowHeight="14.5" x14ac:dyDescent="0.35"/>
  <cols>
    <col min="1" max="1" width="12.54296875" customWidth="1"/>
    <col min="2" max="2" width="55.81640625" bestFit="1" customWidth="1"/>
  </cols>
  <sheetData>
    <row r="3" spans="2:7" ht="15.5" x14ac:dyDescent="0.35">
      <c r="B3" s="1" t="s">
        <v>0</v>
      </c>
    </row>
    <row r="6" spans="2:7" x14ac:dyDescent="0.35">
      <c r="B6" s="2" t="s">
        <v>1</v>
      </c>
      <c r="C6" s="4" t="s">
        <v>2</v>
      </c>
    </row>
    <row r="7" spans="2:7" x14ac:dyDescent="0.35">
      <c r="B7" s="2" t="s">
        <v>3</v>
      </c>
      <c r="C7" t="s">
        <v>4</v>
      </c>
    </row>
    <row r="9" spans="2:7" x14ac:dyDescent="0.35">
      <c r="B9" s="2" t="s">
        <v>5</v>
      </c>
      <c r="C9" t="s">
        <v>6</v>
      </c>
      <c r="G9" t="s">
        <v>7</v>
      </c>
    </row>
    <row r="10" spans="2:7" x14ac:dyDescent="0.35">
      <c r="B10" s="2" t="s">
        <v>8</v>
      </c>
      <c r="C10" s="3" t="s">
        <v>9</v>
      </c>
      <c r="F10" s="3"/>
      <c r="G10" s="3" t="s">
        <v>10</v>
      </c>
    </row>
    <row r="11" spans="2:7" x14ac:dyDescent="0.35">
      <c r="B11" s="2"/>
      <c r="C11" s="3"/>
      <c r="F11" s="3"/>
      <c r="G11" s="3"/>
    </row>
    <row r="12" spans="2:7" x14ac:dyDescent="0.35">
      <c r="B12" s="2" t="s">
        <v>11</v>
      </c>
      <c r="C12" s="3"/>
      <c r="F12" s="3"/>
      <c r="G12" s="3"/>
    </row>
    <row r="13" spans="2:7" x14ac:dyDescent="0.35">
      <c r="B13" t="s">
        <v>12</v>
      </c>
      <c r="C13" s="3"/>
      <c r="F13" s="3"/>
      <c r="G13" s="3"/>
    </row>
    <row r="14" spans="2:7" x14ac:dyDescent="0.35">
      <c r="B14" s="2"/>
      <c r="C14" s="3"/>
      <c r="F14" s="3"/>
      <c r="G14" s="3"/>
    </row>
    <row r="15" spans="2:7" x14ac:dyDescent="0.35">
      <c r="B15" s="69" t="s">
        <v>13</v>
      </c>
      <c r="C15" s="3"/>
      <c r="F15" s="3"/>
      <c r="G15" s="3"/>
    </row>
    <row r="16" spans="2:7" x14ac:dyDescent="0.35">
      <c r="B16" s="70" t="s">
        <v>14</v>
      </c>
      <c r="F16" s="3"/>
      <c r="G16" s="3"/>
    </row>
    <row r="17" spans="2:7" x14ac:dyDescent="0.35">
      <c r="B17" s="71" t="s">
        <v>15</v>
      </c>
      <c r="C17" t="s">
        <v>16</v>
      </c>
      <c r="F17" s="3"/>
      <c r="G17" s="3"/>
    </row>
    <row r="18" spans="2:7" x14ac:dyDescent="0.35">
      <c r="B18" s="72" t="s">
        <v>17</v>
      </c>
      <c r="C18" t="s">
        <v>18</v>
      </c>
      <c r="F18" s="3"/>
      <c r="G18" s="3"/>
    </row>
    <row r="19" spans="2:7" x14ac:dyDescent="0.35">
      <c r="B19" s="73" t="s">
        <v>19</v>
      </c>
      <c r="C19" t="s">
        <v>20</v>
      </c>
      <c r="F19" s="3"/>
      <c r="G19" s="3"/>
    </row>
    <row r="20" spans="2:7" x14ac:dyDescent="0.35">
      <c r="B20" s="74"/>
      <c r="F20" s="3"/>
      <c r="G20" s="3"/>
    </row>
    <row r="21" spans="2:7" x14ac:dyDescent="0.35">
      <c r="B21" s="70" t="s">
        <v>21</v>
      </c>
      <c r="F21" s="3"/>
      <c r="G21" s="3"/>
    </row>
    <row r="22" spans="2:7" x14ac:dyDescent="0.35">
      <c r="B22" s="75" t="s">
        <v>22</v>
      </c>
      <c r="C22" t="s">
        <v>23</v>
      </c>
      <c r="F22" s="3"/>
      <c r="G22" s="3"/>
    </row>
    <row r="23" spans="2:7" x14ac:dyDescent="0.35">
      <c r="B23" s="76" t="s">
        <v>24</v>
      </c>
      <c r="C23" t="s">
        <v>25</v>
      </c>
      <c r="F23" s="3"/>
      <c r="G23" s="3"/>
    </row>
    <row r="24" spans="2:7" x14ac:dyDescent="0.35">
      <c r="B24" s="77" t="s">
        <v>26</v>
      </c>
      <c r="C24" t="s">
        <v>27</v>
      </c>
      <c r="F24" s="3"/>
      <c r="G24" s="3"/>
    </row>
    <row r="26" spans="2:7" x14ac:dyDescent="0.35">
      <c r="B26" s="2" t="s">
        <v>28</v>
      </c>
      <c r="C26" s="2" t="s">
        <v>29</v>
      </c>
    </row>
    <row r="27" spans="2:7" x14ac:dyDescent="0.35">
      <c r="B27" s="21" t="s">
        <v>30</v>
      </c>
      <c r="C27" t="s">
        <v>31</v>
      </c>
    </row>
    <row r="28" spans="2:7" x14ac:dyDescent="0.35">
      <c r="B28" s="21" t="s">
        <v>32</v>
      </c>
      <c r="C28" t="s">
        <v>33</v>
      </c>
    </row>
    <row r="29" spans="2:7" x14ac:dyDescent="0.35">
      <c r="B29" s="137" t="s">
        <v>34</v>
      </c>
    </row>
    <row r="30" spans="2:7" x14ac:dyDescent="0.35">
      <c r="B30" s="23" t="s">
        <v>35</v>
      </c>
      <c r="C30" t="s">
        <v>36</v>
      </c>
    </row>
    <row r="31" spans="2:7" x14ac:dyDescent="0.35">
      <c r="B31" s="23" t="s">
        <v>37</v>
      </c>
      <c r="C31" t="s">
        <v>38</v>
      </c>
    </row>
    <row r="32" spans="2:7" x14ac:dyDescent="0.35">
      <c r="B32" s="23" t="s">
        <v>39</v>
      </c>
      <c r="C32" t="s">
        <v>40</v>
      </c>
    </row>
    <row r="33" spans="2:3" x14ac:dyDescent="0.35">
      <c r="B33" s="137" t="s">
        <v>41</v>
      </c>
    </row>
    <row r="34" spans="2:3" x14ac:dyDescent="0.35">
      <c r="B34" s="23" t="s">
        <v>42</v>
      </c>
      <c r="C34" t="s">
        <v>43</v>
      </c>
    </row>
    <row r="35" spans="2:3" x14ac:dyDescent="0.35">
      <c r="B35" s="23" t="s">
        <v>44</v>
      </c>
      <c r="C35" t="s">
        <v>45</v>
      </c>
    </row>
    <row r="36" spans="2:3" x14ac:dyDescent="0.35">
      <c r="B36" s="23" t="s">
        <v>46</v>
      </c>
      <c r="C36" t="s">
        <v>47</v>
      </c>
    </row>
    <row r="37" spans="2:3" x14ac:dyDescent="0.35">
      <c r="B37" s="23" t="s">
        <v>48</v>
      </c>
      <c r="C37" t="s">
        <v>49</v>
      </c>
    </row>
    <row r="38" spans="2:3" x14ac:dyDescent="0.35">
      <c r="B38" s="23" t="s">
        <v>50</v>
      </c>
      <c r="C38" t="s">
        <v>51</v>
      </c>
    </row>
    <row r="39" spans="2:3" x14ac:dyDescent="0.35">
      <c r="B39" s="23" t="s">
        <v>52</v>
      </c>
      <c r="C39" t="s">
        <v>53</v>
      </c>
    </row>
    <row r="40" spans="2:3" x14ac:dyDescent="0.35">
      <c r="B40" s="23" t="s">
        <v>54</v>
      </c>
      <c r="C40" t="s">
        <v>55</v>
      </c>
    </row>
    <row r="41" spans="2:3" x14ac:dyDescent="0.35">
      <c r="B41" s="23" t="s">
        <v>56</v>
      </c>
      <c r="C41" t="s">
        <v>57</v>
      </c>
    </row>
    <row r="42" spans="2:3" x14ac:dyDescent="0.35">
      <c r="B42" s="23" t="s">
        <v>58</v>
      </c>
      <c r="C42" t="s">
        <v>59</v>
      </c>
    </row>
    <row r="43" spans="2:3" x14ac:dyDescent="0.35">
      <c r="B43" s="137" t="s">
        <v>60</v>
      </c>
    </row>
    <row r="44" spans="2:3" x14ac:dyDescent="0.35">
      <c r="B44" s="23" t="s">
        <v>61</v>
      </c>
      <c r="C44" t="s">
        <v>62</v>
      </c>
    </row>
    <row r="45" spans="2:3" x14ac:dyDescent="0.35">
      <c r="B45" s="23" t="s">
        <v>63</v>
      </c>
      <c r="C45" t="s">
        <v>64</v>
      </c>
    </row>
    <row r="46" spans="2:3" x14ac:dyDescent="0.35">
      <c r="B46" s="23" t="s">
        <v>65</v>
      </c>
      <c r="C46" t="s">
        <v>66</v>
      </c>
    </row>
    <row r="47" spans="2:3" x14ac:dyDescent="0.35">
      <c r="B47" s="23" t="s">
        <v>67</v>
      </c>
      <c r="C47" t="s">
        <v>68</v>
      </c>
    </row>
    <row r="48" spans="2:3" x14ac:dyDescent="0.35">
      <c r="B48" s="22" t="s">
        <v>69</v>
      </c>
      <c r="C48" t="s">
        <v>70</v>
      </c>
    </row>
    <row r="49" spans="1:3" x14ac:dyDescent="0.35">
      <c r="B49" s="22" t="s">
        <v>71</v>
      </c>
      <c r="C49" t="s">
        <v>72</v>
      </c>
    </row>
    <row r="50" spans="1:3" x14ac:dyDescent="0.35">
      <c r="B50" s="22" t="s">
        <v>73</v>
      </c>
      <c r="C50" t="s">
        <v>74</v>
      </c>
    </row>
    <row r="51" spans="1:3" x14ac:dyDescent="0.35">
      <c r="B51" s="22" t="s">
        <v>75</v>
      </c>
      <c r="C51" t="s">
        <v>76</v>
      </c>
    </row>
    <row r="52" spans="1:3" x14ac:dyDescent="0.35">
      <c r="B52" s="22" t="s">
        <v>77</v>
      </c>
      <c r="C52" t="s">
        <v>78</v>
      </c>
    </row>
    <row r="53" spans="1:3" x14ac:dyDescent="0.35">
      <c r="B53" s="22" t="s">
        <v>79</v>
      </c>
      <c r="C53" t="s">
        <v>80</v>
      </c>
    </row>
    <row r="54" spans="1:3" x14ac:dyDescent="0.35">
      <c r="B54" s="22" t="s">
        <v>81</v>
      </c>
      <c r="C54" t="s">
        <v>82</v>
      </c>
    </row>
    <row r="55" spans="1:3" x14ac:dyDescent="0.35">
      <c r="B55" s="22" t="s">
        <v>83</v>
      </c>
      <c r="C55" t="s">
        <v>84</v>
      </c>
    </row>
    <row r="56" spans="1:3" x14ac:dyDescent="0.35">
      <c r="B56" s="22" t="s">
        <v>85</v>
      </c>
      <c r="C56" t="s">
        <v>86</v>
      </c>
    </row>
    <row r="57" spans="1:3" x14ac:dyDescent="0.35">
      <c r="B57" s="22" t="s">
        <v>87</v>
      </c>
      <c r="C57" t="s">
        <v>88</v>
      </c>
    </row>
    <row r="58" spans="1:3" x14ac:dyDescent="0.35">
      <c r="B58" s="22" t="s">
        <v>89</v>
      </c>
      <c r="C58" t="s">
        <v>90</v>
      </c>
    </row>
    <row r="59" spans="1:3" x14ac:dyDescent="0.35">
      <c r="B59" s="22" t="s">
        <v>91</v>
      </c>
      <c r="C59" t="s">
        <v>92</v>
      </c>
    </row>
    <row r="60" spans="1:3" x14ac:dyDescent="0.35">
      <c r="B60" s="22" t="s">
        <v>93</v>
      </c>
      <c r="C60" t="s">
        <v>94</v>
      </c>
    </row>
    <row r="61" spans="1:3" x14ac:dyDescent="0.35">
      <c r="B61" s="22" t="s">
        <v>95</v>
      </c>
      <c r="C61" t="s">
        <v>96</v>
      </c>
    </row>
    <row r="62" spans="1:3" x14ac:dyDescent="0.35">
      <c r="A62" s="5"/>
      <c r="B62" s="22" t="s">
        <v>97</v>
      </c>
      <c r="C62" t="s">
        <v>98</v>
      </c>
    </row>
    <row r="63" spans="1:3" x14ac:dyDescent="0.35">
      <c r="B63" s="22" t="s">
        <v>99</v>
      </c>
      <c r="C63" t="s">
        <v>100</v>
      </c>
    </row>
    <row r="64" spans="1:3" x14ac:dyDescent="0.35">
      <c r="B64" s="304" t="s">
        <v>101</v>
      </c>
      <c r="C64" t="s">
        <v>102</v>
      </c>
    </row>
    <row r="65" spans="2:3" x14ac:dyDescent="0.35">
      <c r="B65" s="304" t="s">
        <v>103</v>
      </c>
      <c r="C65" t="s">
        <v>104</v>
      </c>
    </row>
    <row r="66" spans="2:3" x14ac:dyDescent="0.35">
      <c r="B66" s="304" t="s">
        <v>105</v>
      </c>
      <c r="C66" t="s">
        <v>106</v>
      </c>
    </row>
    <row r="67" spans="2:3" x14ac:dyDescent="0.35">
      <c r="B67" s="304" t="s">
        <v>107</v>
      </c>
      <c r="C67" t="s">
        <v>108</v>
      </c>
    </row>
    <row r="68" spans="2:3" x14ac:dyDescent="0.35">
      <c r="B68" s="304" t="s">
        <v>109</v>
      </c>
      <c r="C68" t="s">
        <v>110</v>
      </c>
    </row>
    <row r="69" spans="2:3" x14ac:dyDescent="0.35">
      <c r="B69" s="304" t="s">
        <v>111</v>
      </c>
      <c r="C69" t="s">
        <v>112</v>
      </c>
    </row>
    <row r="70" spans="2:3" x14ac:dyDescent="0.35">
      <c r="B70" s="304" t="s">
        <v>113</v>
      </c>
      <c r="C70" t="s">
        <v>114</v>
      </c>
    </row>
    <row r="71" spans="2:3" x14ac:dyDescent="0.35">
      <c r="B71" s="304" t="s">
        <v>115</v>
      </c>
      <c r="C71" t="s">
        <v>116</v>
      </c>
    </row>
    <row r="72" spans="2:3" x14ac:dyDescent="0.35">
      <c r="B72" s="304" t="s">
        <v>117</v>
      </c>
      <c r="C72" t="s">
        <v>118</v>
      </c>
    </row>
    <row r="73" spans="2:3" x14ac:dyDescent="0.35">
      <c r="B73" s="304" t="s">
        <v>119</v>
      </c>
      <c r="C73" t="s">
        <v>120</v>
      </c>
    </row>
    <row r="74" spans="2:3" x14ac:dyDescent="0.35">
      <c r="B74" s="304" t="s">
        <v>121</v>
      </c>
      <c r="C74" t="s">
        <v>122</v>
      </c>
    </row>
    <row r="75" spans="2:3" x14ac:dyDescent="0.35">
      <c r="B75" s="304" t="s">
        <v>123</v>
      </c>
      <c r="C75" t="s">
        <v>124</v>
      </c>
    </row>
    <row r="76" spans="2:3" x14ac:dyDescent="0.35">
      <c r="B76" s="304" t="s">
        <v>125</v>
      </c>
      <c r="C76" t="s">
        <v>126</v>
      </c>
    </row>
    <row r="77" spans="2:3" x14ac:dyDescent="0.35">
      <c r="B77" s="304" t="s">
        <v>127</v>
      </c>
      <c r="C77" t="s">
        <v>128</v>
      </c>
    </row>
    <row r="78" spans="2:3" x14ac:dyDescent="0.35">
      <c r="B78" s="304" t="s">
        <v>129</v>
      </c>
      <c r="C78" t="s">
        <v>130</v>
      </c>
    </row>
    <row r="79" spans="2:3" x14ac:dyDescent="0.35">
      <c r="B79" s="304" t="s">
        <v>131</v>
      </c>
      <c r="C79" t="s">
        <v>132</v>
      </c>
    </row>
    <row r="80" spans="2:3" x14ac:dyDescent="0.35">
      <c r="B80" s="304" t="s">
        <v>133</v>
      </c>
      <c r="C80" t="s">
        <v>134</v>
      </c>
    </row>
    <row r="81" spans="2:3" x14ac:dyDescent="0.35">
      <c r="B81" s="305" t="s">
        <v>135</v>
      </c>
      <c r="C81" t="s">
        <v>136</v>
      </c>
    </row>
    <row r="82" spans="2:3" x14ac:dyDescent="0.35">
      <c r="B82" s="305" t="s">
        <v>137</v>
      </c>
      <c r="C82" t="s">
        <v>138</v>
      </c>
    </row>
    <row r="83" spans="2:3" x14ac:dyDescent="0.35">
      <c r="B83" s="305" t="s">
        <v>139</v>
      </c>
      <c r="C83" t="s">
        <v>140</v>
      </c>
    </row>
    <row r="84" spans="2:3" x14ac:dyDescent="0.35">
      <c r="B84" s="305" t="s">
        <v>141</v>
      </c>
      <c r="C84" t="s">
        <v>142</v>
      </c>
    </row>
    <row r="85" spans="2:3" x14ac:dyDescent="0.35">
      <c r="B85" s="317" t="s">
        <v>143</v>
      </c>
      <c r="C85" t="s">
        <v>144</v>
      </c>
    </row>
    <row r="86" spans="2:3" x14ac:dyDescent="0.35">
      <c r="B86" s="317" t="s">
        <v>145</v>
      </c>
      <c r="C86" t="s">
        <v>146</v>
      </c>
    </row>
  </sheetData>
  <sheetProtection sheet="1" objects="1" scenarios="1"/>
  <hyperlinks>
    <hyperlink ref="C10" r:id="rId1" xr:uid="{144BDC9E-2AA2-401F-9FA7-87AE64972CB4}"/>
    <hyperlink ref="G10" r:id="rId2" xr:uid="{EB268F1D-0400-48D9-A8B4-4A086EFB07CC}"/>
  </hyperlinks>
  <pageMargins left="0.7" right="0.7" top="0.75" bottom="0.75" header="0.3" footer="0.3"/>
  <pageSetup orientation="portrait" verticalDpi="0"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F5DB-4C63-486E-A22D-C6A0EC8E3209}">
  <sheetPr>
    <tabColor theme="1"/>
  </sheetPr>
  <dimension ref="A1:Q2983"/>
  <sheetViews>
    <sheetView topLeftCell="A2946" workbookViewId="0">
      <selection activeCell="C3" sqref="C3"/>
    </sheetView>
  </sheetViews>
  <sheetFormatPr defaultRowHeight="14.5" x14ac:dyDescent="0.35"/>
  <cols>
    <col min="1" max="1" width="11.1796875" style="52" customWidth="1"/>
    <col min="2" max="2" width="14.54296875" style="52" customWidth="1"/>
    <col min="3" max="3" width="7.26953125" style="52" customWidth="1"/>
    <col min="4" max="4" width="9.54296875" style="52" customWidth="1"/>
    <col min="5" max="10" width="10.7265625" style="30" customWidth="1"/>
    <col min="13" max="13" width="8.81640625" style="78"/>
  </cols>
  <sheetData>
    <row r="1" spans="1:17" x14ac:dyDescent="0.35">
      <c r="A1" s="54" t="s">
        <v>405</v>
      </c>
      <c r="B1" s="54"/>
      <c r="C1" s="54"/>
      <c r="D1" s="54"/>
      <c r="M1"/>
    </row>
    <row r="2" spans="1:17" x14ac:dyDescent="0.35">
      <c r="A2" s="54"/>
      <c r="B2" s="54"/>
      <c r="C2" s="54"/>
      <c r="D2" s="54"/>
      <c r="E2" s="80" t="s">
        <v>406</v>
      </c>
      <c r="F2" s="80"/>
      <c r="G2" s="80"/>
      <c r="H2" s="80"/>
      <c r="I2" s="80"/>
      <c r="J2" s="80"/>
      <c r="K2" s="81" t="s">
        <v>407</v>
      </c>
      <c r="L2" s="81"/>
      <c r="M2" s="81"/>
      <c r="N2" s="81"/>
      <c r="O2" s="81"/>
      <c r="P2" s="81"/>
      <c r="Q2" s="81"/>
    </row>
    <row r="3" spans="1:17" ht="46.15" customHeight="1" x14ac:dyDescent="0.35">
      <c r="A3" s="79" t="s">
        <v>408</v>
      </c>
      <c r="B3" s="53" t="s">
        <v>409</v>
      </c>
      <c r="C3" s="79" t="s">
        <v>410</v>
      </c>
      <c r="D3" s="79" t="s">
        <v>411</v>
      </c>
      <c r="E3" s="80" t="s">
        <v>412</v>
      </c>
      <c r="F3" s="80" t="s">
        <v>413</v>
      </c>
      <c r="G3" s="80" t="s">
        <v>414</v>
      </c>
      <c r="H3" s="80" t="s">
        <v>415</v>
      </c>
      <c r="I3" s="80" t="s">
        <v>416</v>
      </c>
      <c r="J3" s="80" t="s">
        <v>417</v>
      </c>
      <c r="K3" s="81" t="s">
        <v>418</v>
      </c>
      <c r="L3" s="81" t="s">
        <v>419</v>
      </c>
      <c r="M3" s="81" t="s">
        <v>420</v>
      </c>
      <c r="N3" s="81" t="s">
        <v>421</v>
      </c>
      <c r="O3" s="81" t="s">
        <v>422</v>
      </c>
      <c r="P3" s="81" t="s">
        <v>423</v>
      </c>
      <c r="Q3" s="81" t="s">
        <v>424</v>
      </c>
    </row>
    <row r="4" spans="1:17" x14ac:dyDescent="0.35">
      <c r="A4" s="82">
        <v>1</v>
      </c>
      <c r="B4" s="83" t="str">
        <f>_xlfn.XLOOKUP(A4,'TAZs by City - CCAG Model'!$A:$A,'TAZs by City - CCAG Model'!$B:$B,"Unknown")</f>
        <v>Campbell</v>
      </c>
      <c r="C4" s="82">
        <f>_xlfn.XLOOKUP(A4,'TAZs by City - CCAG Model'!$A:$A,'TAZs by City - CCAG Model'!$C:$C,999)</f>
        <v>3</v>
      </c>
      <c r="D4" s="82" t="str">
        <f>IF(C4=2,"YES","NO")</f>
        <v>NO</v>
      </c>
      <c r="E4" s="27">
        <v>5912.76</v>
      </c>
      <c r="F4" s="27">
        <v>3255.44</v>
      </c>
      <c r="G4" s="27">
        <v>173.76</v>
      </c>
      <c r="H4" s="27">
        <v>126.3</v>
      </c>
      <c r="I4" s="27">
        <v>661.8</v>
      </c>
      <c r="J4" s="27">
        <v>10347.299999999999</v>
      </c>
      <c r="K4" s="47">
        <f>IFERROR(E4/$J4,0)</f>
        <v>0.57143022817546607</v>
      </c>
      <c r="L4" s="47">
        <f>IFERROR(F4/$J4,0)</f>
        <v>0.31461733978912376</v>
      </c>
      <c r="M4" s="84">
        <f>IFERROR((E4+F4)/J4,0)</f>
        <v>0.88604756796458994</v>
      </c>
      <c r="N4" s="47">
        <f>IFERROR(G4/$J4,0)</f>
        <v>1.6792786524020758E-2</v>
      </c>
      <c r="O4" s="47">
        <f>IFERROR(H4/$J4,0)</f>
        <v>1.2206082746223652E-2</v>
      </c>
      <c r="P4" s="47">
        <f>IFERROR(I4/$J4,0)</f>
        <v>6.3958713867385691E-2</v>
      </c>
      <c r="Q4" s="47">
        <f>IFERROR(J4/$J4,0)</f>
        <v>1</v>
      </c>
    </row>
    <row r="5" spans="1:17" x14ac:dyDescent="0.35">
      <c r="A5" s="82">
        <v>2</v>
      </c>
      <c r="B5" s="83" t="str">
        <f>_xlfn.XLOOKUP(A5,'TAZs by City - CCAG Model'!$A:$A,'TAZs by City - CCAG Model'!$B:$B,"Unknown")</f>
        <v>Campbell</v>
      </c>
      <c r="C5" s="82">
        <f>_xlfn.XLOOKUP(A5,'TAZs by City - CCAG Model'!$A:$A,'TAZs by City - CCAG Model'!$C:$C,999)</f>
        <v>3</v>
      </c>
      <c r="D5" s="82" t="str">
        <f t="shared" ref="D5:D68" si="0">IF(C5=2,"YES","NO")</f>
        <v>NO</v>
      </c>
      <c r="E5" s="27">
        <v>2701.26</v>
      </c>
      <c r="F5" s="27">
        <v>1155.1600000000001</v>
      </c>
      <c r="G5" s="27">
        <v>112.18</v>
      </c>
      <c r="H5" s="27">
        <v>46.72</v>
      </c>
      <c r="I5" s="27">
        <v>203.88</v>
      </c>
      <c r="J5" s="27">
        <v>4377.76</v>
      </c>
      <c r="K5" s="47">
        <f t="shared" ref="K5:K68" si="1">IFERROR(E5/$J5,0)</f>
        <v>0.61704159204707432</v>
      </c>
      <c r="L5" s="47">
        <f t="shared" ref="L5:L68" si="2">IFERROR(F5/$J5,0)</f>
        <v>0.26387010708672931</v>
      </c>
      <c r="M5" s="84">
        <f t="shared" ref="M5:M68" si="3">IFERROR((E5+F5)/J5,0)</f>
        <v>0.88091169913380352</v>
      </c>
      <c r="N5" s="47">
        <f t="shared" ref="N5:N68" si="4">IFERROR(G5/$J5,0)</f>
        <v>2.5624977157267644E-2</v>
      </c>
      <c r="O5" s="47">
        <f t="shared" ref="O5:O68" si="5">IFERROR(H5/$J5,0)</f>
        <v>1.0672124556850992E-2</v>
      </c>
      <c r="P5" s="47">
        <f t="shared" ref="P5:P68" si="6">IFERROR(I5/$J5,0)</f>
        <v>4.6571762727970464E-2</v>
      </c>
      <c r="Q5" s="47">
        <f t="shared" ref="Q5:Q68" si="7">IFERROR(J5/$J5,0)</f>
        <v>1</v>
      </c>
    </row>
    <row r="6" spans="1:17" x14ac:dyDescent="0.35">
      <c r="A6" s="82">
        <v>3</v>
      </c>
      <c r="B6" s="83" t="str">
        <f>_xlfn.XLOOKUP(A6,'TAZs by City - CCAG Model'!$A:$A,'TAZs by City - CCAG Model'!$B:$B,"Unknown")</f>
        <v>Campbell</v>
      </c>
      <c r="C6" s="82">
        <f>_xlfn.XLOOKUP(A6,'TAZs by City - CCAG Model'!$A:$A,'TAZs by City - CCAG Model'!$C:$C,999)</f>
        <v>3</v>
      </c>
      <c r="D6" s="82" t="str">
        <f t="shared" si="0"/>
        <v>NO</v>
      </c>
      <c r="E6" s="27">
        <v>8353.0400000000009</v>
      </c>
      <c r="F6" s="27">
        <v>4644.72</v>
      </c>
      <c r="G6" s="27">
        <v>300.26</v>
      </c>
      <c r="H6" s="27">
        <v>184.34</v>
      </c>
      <c r="I6" s="27">
        <v>914.58</v>
      </c>
      <c r="J6" s="27">
        <v>14732.6</v>
      </c>
      <c r="K6" s="47">
        <f t="shared" si="1"/>
        <v>0.56697663684617794</v>
      </c>
      <c r="L6" s="47">
        <f t="shared" si="2"/>
        <v>0.31526818076917856</v>
      </c>
      <c r="M6" s="84">
        <f t="shared" si="3"/>
        <v>0.88224481761535656</v>
      </c>
      <c r="N6" s="47">
        <f t="shared" si="4"/>
        <v>2.0380652430663969E-2</v>
      </c>
      <c r="O6" s="47">
        <f t="shared" si="5"/>
        <v>1.2512387494400173E-2</v>
      </c>
      <c r="P6" s="47">
        <f t="shared" si="6"/>
        <v>6.2078655498689982E-2</v>
      </c>
      <c r="Q6" s="47">
        <f t="shared" si="7"/>
        <v>1</v>
      </c>
    </row>
    <row r="7" spans="1:17" x14ac:dyDescent="0.35">
      <c r="A7" s="82">
        <v>4</v>
      </c>
      <c r="B7" s="83" t="str">
        <f>_xlfn.XLOOKUP(A7,'TAZs by City - CCAG Model'!$A:$A,'TAZs by City - CCAG Model'!$B:$B,"Unknown")</f>
        <v>Campbell</v>
      </c>
      <c r="C7" s="82">
        <f>_xlfn.XLOOKUP(A7,'TAZs by City - CCAG Model'!$A:$A,'TAZs by City - CCAG Model'!$C:$C,999)</f>
        <v>3</v>
      </c>
      <c r="D7" s="82" t="str">
        <f t="shared" si="0"/>
        <v>NO</v>
      </c>
      <c r="E7" s="27">
        <v>2472.96</v>
      </c>
      <c r="F7" s="27">
        <v>1238.5</v>
      </c>
      <c r="G7" s="27">
        <v>96.4</v>
      </c>
      <c r="H7" s="27">
        <v>46.12</v>
      </c>
      <c r="I7" s="27">
        <v>179.02</v>
      </c>
      <c r="J7" s="27">
        <v>4174.8999999999996</v>
      </c>
      <c r="K7" s="47">
        <f t="shared" si="1"/>
        <v>0.59233993628589909</v>
      </c>
      <c r="L7" s="47">
        <f t="shared" si="2"/>
        <v>0.29665381206735492</v>
      </c>
      <c r="M7" s="84">
        <f t="shared" si="3"/>
        <v>0.88899374835325407</v>
      </c>
      <c r="N7" s="47">
        <f t="shared" si="4"/>
        <v>2.3090373422117897E-2</v>
      </c>
      <c r="O7" s="47">
        <f t="shared" si="5"/>
        <v>1.1046971184938562E-2</v>
      </c>
      <c r="P7" s="47">
        <f t="shared" si="6"/>
        <v>4.2880068983688235E-2</v>
      </c>
      <c r="Q7" s="47">
        <f t="shared" si="7"/>
        <v>1</v>
      </c>
    </row>
    <row r="8" spans="1:17" x14ac:dyDescent="0.35">
      <c r="A8" s="82">
        <v>5</v>
      </c>
      <c r="B8" s="83" t="str">
        <f>_xlfn.XLOOKUP(A8,'TAZs by City - CCAG Model'!$A:$A,'TAZs by City - CCAG Model'!$B:$B,"Unknown")</f>
        <v>Campbell</v>
      </c>
      <c r="C8" s="82">
        <f>_xlfn.XLOOKUP(A8,'TAZs by City - CCAG Model'!$A:$A,'TAZs by City - CCAG Model'!$C:$C,999)</f>
        <v>3</v>
      </c>
      <c r="D8" s="82" t="str">
        <f t="shared" si="0"/>
        <v>NO</v>
      </c>
      <c r="E8" s="27">
        <v>14884.46</v>
      </c>
      <c r="F8" s="27">
        <v>8703.08</v>
      </c>
      <c r="G8" s="27">
        <v>384.34</v>
      </c>
      <c r="H8" s="27">
        <v>337.86</v>
      </c>
      <c r="I8" s="27">
        <v>3770.78</v>
      </c>
      <c r="J8" s="27">
        <v>28502.06</v>
      </c>
      <c r="K8" s="47">
        <f t="shared" si="1"/>
        <v>0.52222400766821764</v>
      </c>
      <c r="L8" s="47">
        <f t="shared" si="2"/>
        <v>0.30534915721881156</v>
      </c>
      <c r="M8" s="84">
        <f t="shared" si="3"/>
        <v>0.82757316488702926</v>
      </c>
      <c r="N8" s="47">
        <f t="shared" si="4"/>
        <v>1.348463935589217E-2</v>
      </c>
      <c r="O8" s="47">
        <f t="shared" si="5"/>
        <v>1.1853880035337796E-2</v>
      </c>
      <c r="P8" s="47">
        <f t="shared" si="6"/>
        <v>0.13229850754647207</v>
      </c>
      <c r="Q8" s="47">
        <f t="shared" si="7"/>
        <v>1</v>
      </c>
    </row>
    <row r="9" spans="1:17" x14ac:dyDescent="0.35">
      <c r="A9" s="82">
        <v>6</v>
      </c>
      <c r="B9" s="83" t="str">
        <f>_xlfn.XLOOKUP(A9,'TAZs by City - CCAG Model'!$A:$A,'TAZs by City - CCAG Model'!$B:$B,"Unknown")</f>
        <v>Campbell</v>
      </c>
      <c r="C9" s="82">
        <f>_xlfn.XLOOKUP(A9,'TAZs by City - CCAG Model'!$A:$A,'TAZs by City - CCAG Model'!$C:$C,999)</f>
        <v>3</v>
      </c>
      <c r="D9" s="82" t="str">
        <f t="shared" si="0"/>
        <v>NO</v>
      </c>
      <c r="E9" s="27">
        <v>5120.84</v>
      </c>
      <c r="F9" s="27">
        <v>3644.34</v>
      </c>
      <c r="G9" s="27">
        <v>110.5</v>
      </c>
      <c r="H9" s="27">
        <v>118.02</v>
      </c>
      <c r="I9" s="27">
        <v>615.17999999999995</v>
      </c>
      <c r="J9" s="27">
        <v>9752.74</v>
      </c>
      <c r="K9" s="47">
        <f t="shared" si="1"/>
        <v>0.52506680173981879</v>
      </c>
      <c r="L9" s="47">
        <f t="shared" si="2"/>
        <v>0.37367344971772037</v>
      </c>
      <c r="M9" s="84">
        <f t="shared" si="3"/>
        <v>0.89874025145753911</v>
      </c>
      <c r="N9" s="47">
        <f t="shared" si="4"/>
        <v>1.1330149270871571E-2</v>
      </c>
      <c r="O9" s="47">
        <f t="shared" si="5"/>
        <v>1.2101214633015953E-2</v>
      </c>
      <c r="P9" s="47">
        <f t="shared" si="6"/>
        <v>6.3077658176061285E-2</v>
      </c>
      <c r="Q9" s="47">
        <f t="shared" si="7"/>
        <v>1</v>
      </c>
    </row>
    <row r="10" spans="1:17" x14ac:dyDescent="0.35">
      <c r="A10" s="82">
        <v>7</v>
      </c>
      <c r="B10" s="83" t="str">
        <f>_xlfn.XLOOKUP(A10,'TAZs by City - CCAG Model'!$A:$A,'TAZs by City - CCAG Model'!$B:$B,"Unknown")</f>
        <v>Campbell</v>
      </c>
      <c r="C10" s="82">
        <f>_xlfn.XLOOKUP(A10,'TAZs by City - CCAG Model'!$A:$A,'TAZs by City - CCAG Model'!$C:$C,999)</f>
        <v>3</v>
      </c>
      <c r="D10" s="82" t="str">
        <f t="shared" si="0"/>
        <v>NO</v>
      </c>
      <c r="E10" s="27">
        <v>10355.6</v>
      </c>
      <c r="F10" s="27">
        <v>5120.5200000000004</v>
      </c>
      <c r="G10" s="27">
        <v>177.22</v>
      </c>
      <c r="H10" s="27">
        <v>200.18</v>
      </c>
      <c r="I10" s="27">
        <v>1121.56</v>
      </c>
      <c r="J10" s="27">
        <v>17186.560000000001</v>
      </c>
      <c r="K10" s="47">
        <f t="shared" si="1"/>
        <v>0.6025405898562598</v>
      </c>
      <c r="L10" s="47">
        <f t="shared" si="2"/>
        <v>0.29793745810679972</v>
      </c>
      <c r="M10" s="84">
        <f t="shared" si="3"/>
        <v>0.90047804796305952</v>
      </c>
      <c r="N10" s="47">
        <f t="shared" si="4"/>
        <v>1.0311545765993892E-2</v>
      </c>
      <c r="O10" s="47">
        <f t="shared" si="5"/>
        <v>1.1647473374543828E-2</v>
      </c>
      <c r="P10" s="47">
        <f t="shared" si="6"/>
        <v>6.5257969017650991E-2</v>
      </c>
      <c r="Q10" s="47">
        <f t="shared" si="7"/>
        <v>1</v>
      </c>
    </row>
    <row r="11" spans="1:17" x14ac:dyDescent="0.35">
      <c r="A11" s="82">
        <v>8</v>
      </c>
      <c r="B11" s="83" t="str">
        <f>_xlfn.XLOOKUP(A11,'TAZs by City - CCAG Model'!$A:$A,'TAZs by City - CCAG Model'!$B:$B,"Unknown")</f>
        <v>Campbell</v>
      </c>
      <c r="C11" s="82">
        <f>_xlfn.XLOOKUP(A11,'TAZs by City - CCAG Model'!$A:$A,'TAZs by City - CCAG Model'!$C:$C,999)</f>
        <v>3</v>
      </c>
      <c r="D11" s="82" t="str">
        <f t="shared" si="0"/>
        <v>NO</v>
      </c>
      <c r="E11" s="27">
        <v>3345.14</v>
      </c>
      <c r="F11" s="27">
        <v>1953.36</v>
      </c>
      <c r="G11" s="27">
        <v>113.08</v>
      </c>
      <c r="H11" s="27">
        <v>70.3</v>
      </c>
      <c r="I11" s="27">
        <v>370.1</v>
      </c>
      <c r="J11" s="27">
        <v>6008.18</v>
      </c>
      <c r="K11" s="47">
        <f t="shared" si="1"/>
        <v>0.55676427803427986</v>
      </c>
      <c r="L11" s="47">
        <f t="shared" si="2"/>
        <v>0.3251167574872923</v>
      </c>
      <c r="M11" s="84">
        <f>IFERROR((E11+F11)/J11,0)</f>
        <v>0.88188103552157227</v>
      </c>
      <c r="N11" s="47">
        <f t="shared" si="4"/>
        <v>1.8821007359965912E-2</v>
      </c>
      <c r="O11" s="47">
        <f t="shared" si="5"/>
        <v>1.1700714692302825E-2</v>
      </c>
      <c r="P11" s="47">
        <f t="shared" si="6"/>
        <v>6.1599352882237217E-2</v>
      </c>
      <c r="Q11" s="47">
        <f t="shared" si="7"/>
        <v>1</v>
      </c>
    </row>
    <row r="12" spans="1:17" x14ac:dyDescent="0.35">
      <c r="A12" s="82">
        <v>9</v>
      </c>
      <c r="B12" s="83" t="str">
        <f>_xlfn.XLOOKUP(A12,'TAZs by City - CCAG Model'!$A:$A,'TAZs by City - CCAG Model'!$B:$B,"Unknown")</f>
        <v>Campbell</v>
      </c>
      <c r="C12" s="82">
        <f>_xlfn.XLOOKUP(A12,'TAZs by City - CCAG Model'!$A:$A,'TAZs by City - CCAG Model'!$C:$C,999)</f>
        <v>3</v>
      </c>
      <c r="D12" s="82" t="str">
        <f t="shared" si="0"/>
        <v>NO</v>
      </c>
      <c r="E12" s="27">
        <v>14672.62</v>
      </c>
      <c r="F12" s="27">
        <v>8632.2199999999993</v>
      </c>
      <c r="G12" s="27">
        <v>541.58000000000004</v>
      </c>
      <c r="H12" s="27">
        <v>341.98</v>
      </c>
      <c r="I12" s="27">
        <v>1690.74</v>
      </c>
      <c r="J12" s="27">
        <v>26452.560000000001</v>
      </c>
      <c r="K12" s="47">
        <f t="shared" si="1"/>
        <v>0.55467674962272084</v>
      </c>
      <c r="L12" s="47">
        <f t="shared" si="2"/>
        <v>0.32632834024381757</v>
      </c>
      <c r="M12" s="84">
        <f t="shared" si="3"/>
        <v>0.88100508986653836</v>
      </c>
      <c r="N12" s="47">
        <f t="shared" si="4"/>
        <v>2.0473632797733E-2</v>
      </c>
      <c r="O12" s="47">
        <f t="shared" si="5"/>
        <v>1.2928049307893074E-2</v>
      </c>
      <c r="P12" s="47">
        <f t="shared" si="6"/>
        <v>6.3915931010079932E-2</v>
      </c>
      <c r="Q12" s="47">
        <f t="shared" si="7"/>
        <v>1</v>
      </c>
    </row>
    <row r="13" spans="1:17" x14ac:dyDescent="0.35">
      <c r="A13" s="82">
        <v>10</v>
      </c>
      <c r="B13" s="83" t="str">
        <f>_xlfn.XLOOKUP(A13,'TAZs by City - CCAG Model'!$A:$A,'TAZs by City - CCAG Model'!$B:$B,"Unknown")</f>
        <v>Campbell</v>
      </c>
      <c r="C13" s="82">
        <f>_xlfn.XLOOKUP(A13,'TAZs by City - CCAG Model'!$A:$A,'TAZs by City - CCAG Model'!$C:$C,999)</f>
        <v>3</v>
      </c>
      <c r="D13" s="82" t="str">
        <f t="shared" si="0"/>
        <v>NO</v>
      </c>
      <c r="E13" s="27">
        <v>4607.58</v>
      </c>
      <c r="F13" s="27">
        <v>2631.02</v>
      </c>
      <c r="G13" s="27">
        <v>175.72</v>
      </c>
      <c r="H13" s="27">
        <v>104.74</v>
      </c>
      <c r="I13" s="27">
        <v>560.96</v>
      </c>
      <c r="J13" s="27">
        <v>8297.58</v>
      </c>
      <c r="K13" s="47">
        <f t="shared" si="1"/>
        <v>0.5552920249036466</v>
      </c>
      <c r="L13" s="47">
        <f t="shared" si="2"/>
        <v>0.31708281209702105</v>
      </c>
      <c r="M13" s="84">
        <f t="shared" si="3"/>
        <v>0.87237483700066776</v>
      </c>
      <c r="N13" s="47">
        <f t="shared" si="4"/>
        <v>2.1177258911634477E-2</v>
      </c>
      <c r="O13" s="47">
        <f t="shared" si="5"/>
        <v>1.2622957537016817E-2</v>
      </c>
      <c r="P13" s="47">
        <f t="shared" si="6"/>
        <v>6.7605253579959459E-2</v>
      </c>
      <c r="Q13" s="47">
        <f t="shared" si="7"/>
        <v>1</v>
      </c>
    </row>
    <row r="14" spans="1:17" x14ac:dyDescent="0.35">
      <c r="A14" s="82">
        <v>11</v>
      </c>
      <c r="B14" s="83" t="str">
        <f>_xlfn.XLOOKUP(A14,'TAZs by City - CCAG Model'!$A:$A,'TAZs by City - CCAG Model'!$B:$B,"Unknown")</f>
        <v>Campbell</v>
      </c>
      <c r="C14" s="82">
        <f>_xlfn.XLOOKUP(A14,'TAZs by City - CCAG Model'!$A:$A,'TAZs by City - CCAG Model'!$C:$C,999)</f>
        <v>3</v>
      </c>
      <c r="D14" s="82" t="str">
        <f t="shared" si="0"/>
        <v>NO</v>
      </c>
      <c r="E14" s="27">
        <v>19657.900000000001</v>
      </c>
      <c r="F14" s="27">
        <v>7918.22</v>
      </c>
      <c r="G14" s="27">
        <v>982.66</v>
      </c>
      <c r="H14" s="27">
        <v>323.39999999999998</v>
      </c>
      <c r="I14" s="27">
        <v>1926.04</v>
      </c>
      <c r="J14" s="27">
        <v>31817.72</v>
      </c>
      <c r="K14" s="47">
        <f t="shared" si="1"/>
        <v>0.61782868162772198</v>
      </c>
      <c r="L14" s="47">
        <f t="shared" si="2"/>
        <v>0.24886195491065985</v>
      </c>
      <c r="M14" s="84">
        <f t="shared" si="3"/>
        <v>0.86669063653838185</v>
      </c>
      <c r="N14" s="47">
        <f t="shared" si="4"/>
        <v>3.0884048259900456E-2</v>
      </c>
      <c r="O14" s="47">
        <f t="shared" si="5"/>
        <v>1.0164147525341224E-2</v>
      </c>
      <c r="P14" s="47">
        <f t="shared" si="6"/>
        <v>6.0533564315733493E-2</v>
      </c>
      <c r="Q14" s="47">
        <f t="shared" si="7"/>
        <v>1</v>
      </c>
    </row>
    <row r="15" spans="1:17" x14ac:dyDescent="0.35">
      <c r="A15" s="82">
        <v>12</v>
      </c>
      <c r="B15" s="83" t="str">
        <f>_xlfn.XLOOKUP(A15,'TAZs by City - CCAG Model'!$A:$A,'TAZs by City - CCAG Model'!$B:$B,"Unknown")</f>
        <v>Campbell</v>
      </c>
      <c r="C15" s="82">
        <f>_xlfn.XLOOKUP(A15,'TAZs by City - CCAG Model'!$A:$A,'TAZs by City - CCAG Model'!$C:$C,999)</f>
        <v>3</v>
      </c>
      <c r="D15" s="82" t="str">
        <f t="shared" si="0"/>
        <v>NO</v>
      </c>
      <c r="E15" s="27">
        <v>4127.9799999999996</v>
      </c>
      <c r="F15" s="27">
        <v>3139.64</v>
      </c>
      <c r="G15" s="27">
        <v>69.58</v>
      </c>
      <c r="H15" s="27">
        <v>95.34</v>
      </c>
      <c r="I15" s="27">
        <v>430.84</v>
      </c>
      <c r="J15" s="27">
        <v>7959.42</v>
      </c>
      <c r="K15" s="47">
        <f t="shared" si="1"/>
        <v>0.51862824175630884</v>
      </c>
      <c r="L15" s="47">
        <f t="shared" si="2"/>
        <v>0.39445587743830579</v>
      </c>
      <c r="M15" s="84">
        <f t="shared" si="3"/>
        <v>0.91308411919461452</v>
      </c>
      <c r="N15" s="47">
        <f t="shared" si="4"/>
        <v>8.7418429986104509E-3</v>
      </c>
      <c r="O15" s="47">
        <f t="shared" si="5"/>
        <v>1.1978259722442089E-2</v>
      </c>
      <c r="P15" s="47">
        <f t="shared" si="6"/>
        <v>5.4129572255264824E-2</v>
      </c>
      <c r="Q15" s="47">
        <f t="shared" si="7"/>
        <v>1</v>
      </c>
    </row>
    <row r="16" spans="1:17" x14ac:dyDescent="0.35">
      <c r="A16" s="82">
        <v>13</v>
      </c>
      <c r="B16" s="83" t="str">
        <f>_xlfn.XLOOKUP(A16,'TAZs by City - CCAG Model'!$A:$A,'TAZs by City - CCAG Model'!$B:$B,"Unknown")</f>
        <v>Campbell</v>
      </c>
      <c r="C16" s="82">
        <f>_xlfn.XLOOKUP(A16,'TAZs by City - CCAG Model'!$A:$A,'TAZs by City - CCAG Model'!$C:$C,999)</f>
        <v>3</v>
      </c>
      <c r="D16" s="82" t="str">
        <f t="shared" si="0"/>
        <v>NO</v>
      </c>
      <c r="E16" s="27">
        <v>3998.58</v>
      </c>
      <c r="F16" s="27">
        <v>2461.1799999999998</v>
      </c>
      <c r="G16" s="27">
        <v>47.96</v>
      </c>
      <c r="H16" s="27">
        <v>80.06</v>
      </c>
      <c r="I16" s="27">
        <v>427.8</v>
      </c>
      <c r="J16" s="27">
        <v>7105</v>
      </c>
      <c r="K16" s="47">
        <f t="shared" si="1"/>
        <v>0.56278395496129485</v>
      </c>
      <c r="L16" s="47">
        <f t="shared" si="2"/>
        <v>0.3464011259676284</v>
      </c>
      <c r="M16" s="84">
        <f t="shared" si="3"/>
        <v>0.90918508092892336</v>
      </c>
      <c r="N16" s="47">
        <f t="shared" si="4"/>
        <v>6.750175932441942E-3</v>
      </c>
      <c r="O16" s="47">
        <f t="shared" si="5"/>
        <v>1.1268121041520057E-2</v>
      </c>
      <c r="P16" s="47">
        <f t="shared" si="6"/>
        <v>6.0211118930330758E-2</v>
      </c>
      <c r="Q16" s="47">
        <f t="shared" si="7"/>
        <v>1</v>
      </c>
    </row>
    <row r="17" spans="1:17" x14ac:dyDescent="0.35">
      <c r="A17" s="82">
        <v>14</v>
      </c>
      <c r="B17" s="83" t="str">
        <f>_xlfn.XLOOKUP(A17,'TAZs by City - CCAG Model'!$A:$A,'TAZs by City - CCAG Model'!$B:$B,"Unknown")</f>
        <v>Campbell</v>
      </c>
      <c r="C17" s="82">
        <f>_xlfn.XLOOKUP(A17,'TAZs by City - CCAG Model'!$A:$A,'TAZs by City - CCAG Model'!$C:$C,999)</f>
        <v>3</v>
      </c>
      <c r="D17" s="82" t="str">
        <f t="shared" si="0"/>
        <v>NO</v>
      </c>
      <c r="E17" s="27">
        <v>4587.38</v>
      </c>
      <c r="F17" s="27">
        <v>3151.34</v>
      </c>
      <c r="G17" s="27">
        <v>96.66</v>
      </c>
      <c r="H17" s="27">
        <v>103.5</v>
      </c>
      <c r="I17" s="27">
        <v>579.88</v>
      </c>
      <c r="J17" s="27">
        <v>8649.48</v>
      </c>
      <c r="K17" s="47">
        <f t="shared" si="1"/>
        <v>0.53036483118060285</v>
      </c>
      <c r="L17" s="47">
        <f t="shared" si="2"/>
        <v>0.36433866544578408</v>
      </c>
      <c r="M17" s="84">
        <f t="shared" si="3"/>
        <v>0.89470349662638682</v>
      </c>
      <c r="N17" s="47">
        <f t="shared" si="4"/>
        <v>1.1175238280220314E-2</v>
      </c>
      <c r="O17" s="47">
        <f t="shared" si="5"/>
        <v>1.1966037264667934E-2</v>
      </c>
      <c r="P17" s="47">
        <f t="shared" si="6"/>
        <v>6.704218057039267E-2</v>
      </c>
      <c r="Q17" s="47">
        <f t="shared" si="7"/>
        <v>1</v>
      </c>
    </row>
    <row r="18" spans="1:17" x14ac:dyDescent="0.35">
      <c r="A18" s="82">
        <v>15</v>
      </c>
      <c r="B18" s="83" t="str">
        <f>_xlfn.XLOOKUP(A18,'TAZs by City - CCAG Model'!$A:$A,'TAZs by City - CCAG Model'!$B:$B,"Unknown")</f>
        <v>Campbell</v>
      </c>
      <c r="C18" s="82">
        <f>_xlfn.XLOOKUP(A18,'TAZs by City - CCAG Model'!$A:$A,'TAZs by City - CCAG Model'!$C:$C,999)</f>
        <v>3</v>
      </c>
      <c r="D18" s="82" t="str">
        <f t="shared" si="0"/>
        <v>NO</v>
      </c>
      <c r="E18" s="27">
        <v>16080.22</v>
      </c>
      <c r="F18" s="27">
        <v>7487.48</v>
      </c>
      <c r="G18" s="27">
        <v>585</v>
      </c>
      <c r="H18" s="27">
        <v>344.54</v>
      </c>
      <c r="I18" s="27">
        <v>1628.98</v>
      </c>
      <c r="J18" s="27">
        <v>26740.1</v>
      </c>
      <c r="K18" s="47">
        <f t="shared" si="1"/>
        <v>0.60135227616949827</v>
      </c>
      <c r="L18" s="47">
        <f t="shared" si="2"/>
        <v>0.28000942404852636</v>
      </c>
      <c r="M18" s="84">
        <f t="shared" si="3"/>
        <v>0.88136170021802451</v>
      </c>
      <c r="N18" s="47">
        <f t="shared" si="4"/>
        <v>2.1877255507645823E-2</v>
      </c>
      <c r="O18" s="47">
        <f t="shared" si="5"/>
        <v>1.2884768568554346E-2</v>
      </c>
      <c r="P18" s="47">
        <f t="shared" si="6"/>
        <v>6.0918994319392974E-2</v>
      </c>
      <c r="Q18" s="47">
        <f t="shared" si="7"/>
        <v>1</v>
      </c>
    </row>
    <row r="19" spans="1:17" x14ac:dyDescent="0.35">
      <c r="A19" s="82">
        <v>16</v>
      </c>
      <c r="B19" s="83" t="str">
        <f>_xlfn.XLOOKUP(A19,'TAZs by City - CCAG Model'!$A:$A,'TAZs by City - CCAG Model'!$B:$B,"Unknown")</f>
        <v>Campbell</v>
      </c>
      <c r="C19" s="82">
        <f>_xlfn.XLOOKUP(A19,'TAZs by City - CCAG Model'!$A:$A,'TAZs by City - CCAG Model'!$C:$C,999)</f>
        <v>3</v>
      </c>
      <c r="D19" s="82" t="str">
        <f t="shared" si="0"/>
        <v>NO</v>
      </c>
      <c r="E19" s="27">
        <v>3805.48</v>
      </c>
      <c r="F19" s="27">
        <v>1866.22</v>
      </c>
      <c r="G19" s="27">
        <v>58.46</v>
      </c>
      <c r="H19" s="27">
        <v>59.64</v>
      </c>
      <c r="I19" s="27">
        <v>372.86</v>
      </c>
      <c r="J19" s="27">
        <v>6265.86</v>
      </c>
      <c r="K19" s="47">
        <f t="shared" si="1"/>
        <v>0.60733562511770134</v>
      </c>
      <c r="L19" s="47">
        <f t="shared" si="2"/>
        <v>0.29783940273162823</v>
      </c>
      <c r="M19" s="84">
        <f t="shared" si="3"/>
        <v>0.90517502784932957</v>
      </c>
      <c r="N19" s="47">
        <f t="shared" si="4"/>
        <v>9.3299243838834579E-3</v>
      </c>
      <c r="O19" s="47">
        <f t="shared" si="5"/>
        <v>9.5182464976874687E-3</v>
      </c>
      <c r="P19" s="47">
        <f t="shared" si="6"/>
        <v>5.9506596061833499E-2</v>
      </c>
      <c r="Q19" s="47">
        <f t="shared" si="7"/>
        <v>1</v>
      </c>
    </row>
    <row r="20" spans="1:17" x14ac:dyDescent="0.35">
      <c r="A20" s="82">
        <v>17</v>
      </c>
      <c r="B20" s="83" t="str">
        <f>_xlfn.XLOOKUP(A20,'TAZs by City - CCAG Model'!$A:$A,'TAZs by City - CCAG Model'!$B:$B,"Unknown")</f>
        <v>Campbell</v>
      </c>
      <c r="C20" s="82">
        <f>_xlfn.XLOOKUP(A20,'TAZs by City - CCAG Model'!$A:$A,'TAZs by City - CCAG Model'!$C:$C,999)</f>
        <v>3</v>
      </c>
      <c r="D20" s="82" t="str">
        <f t="shared" si="0"/>
        <v>NO</v>
      </c>
      <c r="E20" s="27">
        <v>12498.74</v>
      </c>
      <c r="F20" s="27">
        <v>7141.26</v>
      </c>
      <c r="G20" s="27">
        <v>685.58</v>
      </c>
      <c r="H20" s="27">
        <v>299.68</v>
      </c>
      <c r="I20" s="27">
        <v>1156.74</v>
      </c>
      <c r="J20" s="27">
        <v>22503.18</v>
      </c>
      <c r="K20" s="47">
        <f t="shared" si="1"/>
        <v>0.55542105604630099</v>
      </c>
      <c r="L20" s="47">
        <f t="shared" si="2"/>
        <v>0.31734448197988019</v>
      </c>
      <c r="M20" s="84">
        <f t="shared" si="3"/>
        <v>0.87276553802618118</v>
      </c>
      <c r="N20" s="47">
        <f t="shared" si="4"/>
        <v>3.0465916372708214E-2</v>
      </c>
      <c r="O20" s="47">
        <f t="shared" si="5"/>
        <v>1.3317228942753868E-2</v>
      </c>
      <c r="P20" s="47">
        <f t="shared" si="6"/>
        <v>5.140340165256644E-2</v>
      </c>
      <c r="Q20" s="47">
        <f t="shared" si="7"/>
        <v>1</v>
      </c>
    </row>
    <row r="21" spans="1:17" x14ac:dyDescent="0.35">
      <c r="A21" s="82">
        <v>18</v>
      </c>
      <c r="B21" s="83" t="str">
        <f>_xlfn.XLOOKUP(A21,'TAZs by City - CCAG Model'!$A:$A,'TAZs by City - CCAG Model'!$B:$B,"Unknown")</f>
        <v>Campbell</v>
      </c>
      <c r="C21" s="82">
        <f>_xlfn.XLOOKUP(A21,'TAZs by City - CCAG Model'!$A:$A,'TAZs by City - CCAG Model'!$C:$C,999)</f>
        <v>3</v>
      </c>
      <c r="D21" s="82" t="str">
        <f t="shared" si="0"/>
        <v>NO</v>
      </c>
      <c r="E21" s="27">
        <v>1928.28</v>
      </c>
      <c r="F21" s="27">
        <v>1061.46</v>
      </c>
      <c r="G21" s="27">
        <v>22.9</v>
      </c>
      <c r="H21" s="27">
        <v>29.56</v>
      </c>
      <c r="I21" s="27">
        <v>148.24</v>
      </c>
      <c r="J21" s="27">
        <v>3259.52</v>
      </c>
      <c r="K21" s="47">
        <f t="shared" si="1"/>
        <v>0.59158403691341055</v>
      </c>
      <c r="L21" s="47">
        <f t="shared" si="2"/>
        <v>0.32564917533870019</v>
      </c>
      <c r="M21" s="84">
        <f t="shared" si="3"/>
        <v>0.91723321225211063</v>
      </c>
      <c r="N21" s="47">
        <f t="shared" si="4"/>
        <v>7.0255743176909479E-3</v>
      </c>
      <c r="O21" s="47">
        <f t="shared" si="5"/>
        <v>9.0688199489495375E-3</v>
      </c>
      <c r="P21" s="47">
        <f t="shared" si="6"/>
        <v>4.5479088945611625E-2</v>
      </c>
      <c r="Q21" s="47">
        <f t="shared" si="7"/>
        <v>1</v>
      </c>
    </row>
    <row r="22" spans="1:17" x14ac:dyDescent="0.35">
      <c r="A22" s="82">
        <v>19</v>
      </c>
      <c r="B22" s="83" t="str">
        <f>_xlfn.XLOOKUP(A22,'TAZs by City - CCAG Model'!$A:$A,'TAZs by City - CCAG Model'!$B:$B,"Unknown")</f>
        <v>Campbell</v>
      </c>
      <c r="C22" s="82">
        <f>_xlfn.XLOOKUP(A22,'TAZs by City - CCAG Model'!$A:$A,'TAZs by City - CCAG Model'!$C:$C,999)</f>
        <v>3</v>
      </c>
      <c r="D22" s="82" t="str">
        <f t="shared" si="0"/>
        <v>NO</v>
      </c>
      <c r="E22" s="27">
        <v>3922.76</v>
      </c>
      <c r="F22" s="27">
        <v>1066.94</v>
      </c>
      <c r="G22" s="27">
        <v>32.94</v>
      </c>
      <c r="H22" s="27">
        <v>48.08</v>
      </c>
      <c r="I22" s="27">
        <v>109.84</v>
      </c>
      <c r="J22" s="27">
        <v>5247.02</v>
      </c>
      <c r="K22" s="47">
        <f t="shared" si="1"/>
        <v>0.74761674245571774</v>
      </c>
      <c r="L22" s="47">
        <f t="shared" si="2"/>
        <v>0.20334208750871924</v>
      </c>
      <c r="M22" s="84">
        <f t="shared" si="3"/>
        <v>0.95095882996443704</v>
      </c>
      <c r="N22" s="47">
        <f t="shared" si="4"/>
        <v>6.2778491410362446E-3</v>
      </c>
      <c r="O22" s="47">
        <f t="shared" si="5"/>
        <v>9.1632964997274639E-3</v>
      </c>
      <c r="P22" s="47">
        <f t="shared" si="6"/>
        <v>2.0933787178245938E-2</v>
      </c>
      <c r="Q22" s="47">
        <f t="shared" si="7"/>
        <v>1</v>
      </c>
    </row>
    <row r="23" spans="1:17" x14ac:dyDescent="0.35">
      <c r="A23" s="82">
        <v>20</v>
      </c>
      <c r="B23" s="83" t="str">
        <f>_xlfn.XLOOKUP(A23,'TAZs by City - CCAG Model'!$A:$A,'TAZs by City - CCAG Model'!$B:$B,"Unknown")</f>
        <v>Campbell</v>
      </c>
      <c r="C23" s="82">
        <f>_xlfn.XLOOKUP(A23,'TAZs by City - CCAG Model'!$A:$A,'TAZs by City - CCAG Model'!$C:$C,999)</f>
        <v>3</v>
      </c>
      <c r="D23" s="82" t="str">
        <f t="shared" si="0"/>
        <v>NO</v>
      </c>
      <c r="E23" s="27">
        <v>1776.32</v>
      </c>
      <c r="F23" s="27">
        <v>1659.86</v>
      </c>
      <c r="G23" s="27">
        <v>28.38</v>
      </c>
      <c r="H23" s="27">
        <v>66.400000000000006</v>
      </c>
      <c r="I23" s="27">
        <v>337.88</v>
      </c>
      <c r="J23" s="27">
        <v>3934.1</v>
      </c>
      <c r="K23" s="47">
        <f t="shared" si="1"/>
        <v>0.45151877176482552</v>
      </c>
      <c r="L23" s="47">
        <f t="shared" si="2"/>
        <v>0.42191606720723923</v>
      </c>
      <c r="M23" s="84">
        <f t="shared" si="3"/>
        <v>0.87343483897206475</v>
      </c>
      <c r="N23" s="47">
        <f t="shared" si="4"/>
        <v>7.2138481482422918E-3</v>
      </c>
      <c r="O23" s="47">
        <f t="shared" si="5"/>
        <v>1.6878066139650746E-2</v>
      </c>
      <c r="P23" s="47">
        <f t="shared" si="6"/>
        <v>8.5884954627487867E-2</v>
      </c>
      <c r="Q23" s="47">
        <f t="shared" si="7"/>
        <v>1</v>
      </c>
    </row>
    <row r="24" spans="1:17" x14ac:dyDescent="0.35">
      <c r="A24" s="82">
        <v>21</v>
      </c>
      <c r="B24" s="83" t="str">
        <f>_xlfn.XLOOKUP(A24,'TAZs by City - CCAG Model'!$A:$A,'TAZs by City - CCAG Model'!$B:$B,"Unknown")</f>
        <v>Campbell</v>
      </c>
      <c r="C24" s="82">
        <f>_xlfn.XLOOKUP(A24,'TAZs by City - CCAG Model'!$A:$A,'TAZs by City - CCAG Model'!$C:$C,999)</f>
        <v>3</v>
      </c>
      <c r="D24" s="82" t="str">
        <f t="shared" si="0"/>
        <v>NO</v>
      </c>
      <c r="E24" s="27">
        <v>1981.8</v>
      </c>
      <c r="F24" s="27">
        <v>1001.94</v>
      </c>
      <c r="G24" s="27">
        <v>85.88</v>
      </c>
      <c r="H24" s="27">
        <v>44.22</v>
      </c>
      <c r="I24" s="27">
        <v>150.69999999999999</v>
      </c>
      <c r="J24" s="27">
        <v>3397.46</v>
      </c>
      <c r="K24" s="47">
        <f t="shared" si="1"/>
        <v>0.58331812589405019</v>
      </c>
      <c r="L24" s="47">
        <f t="shared" si="2"/>
        <v>0.2949085493280274</v>
      </c>
      <c r="M24" s="84">
        <f t="shared" si="3"/>
        <v>0.87822667522207765</v>
      </c>
      <c r="N24" s="47">
        <f t="shared" si="4"/>
        <v>2.5277707463811198E-2</v>
      </c>
      <c r="O24" s="47">
        <f t="shared" si="5"/>
        <v>1.3015605776079776E-2</v>
      </c>
      <c r="P24" s="47">
        <f t="shared" si="6"/>
        <v>4.4356666450819135E-2</v>
      </c>
      <c r="Q24" s="47">
        <f t="shared" si="7"/>
        <v>1</v>
      </c>
    </row>
    <row r="25" spans="1:17" x14ac:dyDescent="0.35">
      <c r="A25" s="82">
        <v>22</v>
      </c>
      <c r="B25" s="83" t="str">
        <f>_xlfn.XLOOKUP(A25,'TAZs by City - CCAG Model'!$A:$A,'TAZs by City - CCAG Model'!$B:$B,"Unknown")</f>
        <v>Campbell</v>
      </c>
      <c r="C25" s="82">
        <f>_xlfn.XLOOKUP(A25,'TAZs by City - CCAG Model'!$A:$A,'TAZs by City - CCAG Model'!$C:$C,999)</f>
        <v>3</v>
      </c>
      <c r="D25" s="82" t="str">
        <f t="shared" si="0"/>
        <v>NO</v>
      </c>
      <c r="E25" s="27">
        <v>6350.82</v>
      </c>
      <c r="F25" s="27">
        <v>3421.76</v>
      </c>
      <c r="G25" s="27">
        <v>247.38</v>
      </c>
      <c r="H25" s="27">
        <v>140.58000000000001</v>
      </c>
      <c r="I25" s="27">
        <v>555.24</v>
      </c>
      <c r="J25" s="27">
        <v>10999.7</v>
      </c>
      <c r="K25" s="47">
        <f t="shared" si="1"/>
        <v>0.57736301899142695</v>
      </c>
      <c r="L25" s="47">
        <f t="shared" si="2"/>
        <v>0.31107757484295029</v>
      </c>
      <c r="M25" s="84">
        <f t="shared" si="3"/>
        <v>0.88844059383437723</v>
      </c>
      <c r="N25" s="47">
        <f t="shared" si="4"/>
        <v>2.2489704264661761E-2</v>
      </c>
      <c r="O25" s="47">
        <f t="shared" si="5"/>
        <v>1.278034855496059E-2</v>
      </c>
      <c r="P25" s="47">
        <f t="shared" si="6"/>
        <v>5.0477740302008231E-2</v>
      </c>
      <c r="Q25" s="47">
        <f t="shared" si="7"/>
        <v>1</v>
      </c>
    </row>
    <row r="26" spans="1:17" x14ac:dyDescent="0.35">
      <c r="A26" s="82">
        <v>23</v>
      </c>
      <c r="B26" s="83" t="str">
        <f>_xlfn.XLOOKUP(A26,'TAZs by City - CCAG Model'!$A:$A,'TAZs by City - CCAG Model'!$B:$B,"Unknown")</f>
        <v>Campbell</v>
      </c>
      <c r="C26" s="82">
        <f>_xlfn.XLOOKUP(A26,'TAZs by City - CCAG Model'!$A:$A,'TAZs by City - CCAG Model'!$C:$C,999)</f>
        <v>3</v>
      </c>
      <c r="D26" s="82" t="str">
        <f t="shared" si="0"/>
        <v>NO</v>
      </c>
      <c r="E26" s="27">
        <v>2669.8</v>
      </c>
      <c r="F26" s="27">
        <v>733.84</v>
      </c>
      <c r="G26" s="27">
        <v>78.14</v>
      </c>
      <c r="H26" s="27">
        <v>31.26</v>
      </c>
      <c r="I26" s="27">
        <v>95.2</v>
      </c>
      <c r="J26" s="27">
        <v>3728.42</v>
      </c>
      <c r="K26" s="47">
        <f t="shared" si="1"/>
        <v>0.71606739584059742</v>
      </c>
      <c r="L26" s="47">
        <f t="shared" si="2"/>
        <v>0.19682331926124202</v>
      </c>
      <c r="M26" s="84">
        <f t="shared" si="3"/>
        <v>0.9128907151018395</v>
      </c>
      <c r="N26" s="47">
        <f t="shared" si="4"/>
        <v>2.0957939287955755E-2</v>
      </c>
      <c r="O26" s="47">
        <f t="shared" si="5"/>
        <v>8.3842485556884696E-3</v>
      </c>
      <c r="P26" s="47">
        <f t="shared" si="6"/>
        <v>2.553360404675439E-2</v>
      </c>
      <c r="Q26" s="47">
        <f t="shared" si="7"/>
        <v>1</v>
      </c>
    </row>
    <row r="27" spans="1:17" x14ac:dyDescent="0.35">
      <c r="A27" s="82">
        <v>24</v>
      </c>
      <c r="B27" s="83" t="str">
        <f>_xlfn.XLOOKUP(A27,'TAZs by City - CCAG Model'!$A:$A,'TAZs by City - CCAG Model'!$B:$B,"Unknown")</f>
        <v>Campbell</v>
      </c>
      <c r="C27" s="82">
        <f>_xlfn.XLOOKUP(A27,'TAZs by City - CCAG Model'!$A:$A,'TAZs by City - CCAG Model'!$C:$C,999)</f>
        <v>3</v>
      </c>
      <c r="D27" s="82" t="str">
        <f t="shared" si="0"/>
        <v>NO</v>
      </c>
      <c r="E27" s="27">
        <v>13465.48</v>
      </c>
      <c r="F27" s="27">
        <v>6723.06</v>
      </c>
      <c r="G27" s="27">
        <v>325.02</v>
      </c>
      <c r="H27" s="27">
        <v>267.33999999999997</v>
      </c>
      <c r="I27" s="27">
        <v>962.16</v>
      </c>
      <c r="J27" s="27">
        <v>22102.28</v>
      </c>
      <c r="K27" s="47">
        <f t="shared" si="1"/>
        <v>0.60923488436487094</v>
      </c>
      <c r="L27" s="47">
        <f t="shared" si="2"/>
        <v>0.30417947831626424</v>
      </c>
      <c r="M27" s="84">
        <f t="shared" si="3"/>
        <v>0.91341436268113529</v>
      </c>
      <c r="N27" s="47">
        <f t="shared" si="4"/>
        <v>1.4705270225515196E-2</v>
      </c>
      <c r="O27" s="47">
        <f t="shared" si="5"/>
        <v>1.2095584708907859E-2</v>
      </c>
      <c r="P27" s="47">
        <f t="shared" si="6"/>
        <v>4.3532160482990898E-2</v>
      </c>
      <c r="Q27" s="47">
        <f t="shared" si="7"/>
        <v>1</v>
      </c>
    </row>
    <row r="28" spans="1:17" x14ac:dyDescent="0.35">
      <c r="A28" s="82">
        <v>25</v>
      </c>
      <c r="B28" s="83" t="str">
        <f>_xlfn.XLOOKUP(A28,'TAZs by City - CCAG Model'!$A:$A,'TAZs by City - CCAG Model'!$B:$B,"Unknown")</f>
        <v>Campbell</v>
      </c>
      <c r="C28" s="82">
        <f>_xlfn.XLOOKUP(A28,'TAZs by City - CCAG Model'!$A:$A,'TAZs by City - CCAG Model'!$C:$C,999)</f>
        <v>3</v>
      </c>
      <c r="D28" s="82" t="str">
        <f t="shared" si="0"/>
        <v>NO</v>
      </c>
      <c r="E28" s="27">
        <v>3569.44</v>
      </c>
      <c r="F28" s="27">
        <v>1353.28</v>
      </c>
      <c r="G28" s="27">
        <v>187.56</v>
      </c>
      <c r="H28" s="27">
        <v>64.78</v>
      </c>
      <c r="I28" s="27">
        <v>208</v>
      </c>
      <c r="J28" s="27">
        <v>5615.44</v>
      </c>
      <c r="K28" s="47">
        <f t="shared" si="1"/>
        <v>0.63564742923083506</v>
      </c>
      <c r="L28" s="47">
        <f t="shared" si="2"/>
        <v>0.24099269157893238</v>
      </c>
      <c r="M28" s="84">
        <f t="shared" si="3"/>
        <v>0.8766401208097675</v>
      </c>
      <c r="N28" s="47">
        <f t="shared" si="4"/>
        <v>3.3400766458193842E-2</v>
      </c>
      <c r="O28" s="47">
        <f t="shared" si="5"/>
        <v>1.1536050603336515E-2</v>
      </c>
      <c r="P28" s="47">
        <f t="shared" si="6"/>
        <v>3.7040730557178068E-2</v>
      </c>
      <c r="Q28" s="47">
        <f t="shared" si="7"/>
        <v>1</v>
      </c>
    </row>
    <row r="29" spans="1:17" x14ac:dyDescent="0.35">
      <c r="A29" s="82">
        <v>26</v>
      </c>
      <c r="B29" s="83" t="str">
        <f>_xlfn.XLOOKUP(A29,'TAZs by City - CCAG Model'!$A:$A,'TAZs by City - CCAG Model'!$B:$B,"Unknown")</f>
        <v>Campbell</v>
      </c>
      <c r="C29" s="82">
        <f>_xlfn.XLOOKUP(A29,'TAZs by City - CCAG Model'!$A:$A,'TAZs by City - CCAG Model'!$C:$C,999)</f>
        <v>3</v>
      </c>
      <c r="D29" s="82" t="str">
        <f t="shared" si="0"/>
        <v>NO</v>
      </c>
      <c r="E29" s="27">
        <v>5377.02</v>
      </c>
      <c r="F29" s="27">
        <v>2499.1999999999998</v>
      </c>
      <c r="G29" s="27">
        <v>268.33999999999997</v>
      </c>
      <c r="H29" s="27">
        <v>118.82</v>
      </c>
      <c r="I29" s="27">
        <v>345.26</v>
      </c>
      <c r="J29" s="27">
        <v>8915.94</v>
      </c>
      <c r="K29" s="47">
        <f t="shared" si="1"/>
        <v>0.60307942852912877</v>
      </c>
      <c r="L29" s="47">
        <f t="shared" si="2"/>
        <v>0.28030695585658938</v>
      </c>
      <c r="M29" s="84">
        <f t="shared" si="3"/>
        <v>0.88338638438571815</v>
      </c>
      <c r="N29" s="47">
        <f t="shared" si="4"/>
        <v>3.0096658344493116E-2</v>
      </c>
      <c r="O29" s="47">
        <f t="shared" si="5"/>
        <v>1.3326693539884743E-2</v>
      </c>
      <c r="P29" s="47">
        <f t="shared" si="6"/>
        <v>3.8723903480732257E-2</v>
      </c>
      <c r="Q29" s="47">
        <f t="shared" si="7"/>
        <v>1</v>
      </c>
    </row>
    <row r="30" spans="1:17" x14ac:dyDescent="0.35">
      <c r="A30" s="82">
        <v>27</v>
      </c>
      <c r="B30" s="83" t="str">
        <f>_xlfn.XLOOKUP(A30,'TAZs by City - CCAG Model'!$A:$A,'TAZs by City - CCAG Model'!$B:$B,"Unknown")</f>
        <v>Campbell</v>
      </c>
      <c r="C30" s="82">
        <f>_xlfn.XLOOKUP(A30,'TAZs by City - CCAG Model'!$A:$A,'TAZs by City - CCAG Model'!$C:$C,999)</f>
        <v>3</v>
      </c>
      <c r="D30" s="82" t="str">
        <f t="shared" si="0"/>
        <v>NO</v>
      </c>
      <c r="E30" s="27">
        <v>3319.22</v>
      </c>
      <c r="F30" s="27">
        <v>1822.14</v>
      </c>
      <c r="G30" s="27">
        <v>124.92</v>
      </c>
      <c r="H30" s="27">
        <v>78.2</v>
      </c>
      <c r="I30" s="27">
        <v>238.42</v>
      </c>
      <c r="J30" s="27">
        <v>5753.74</v>
      </c>
      <c r="K30" s="47">
        <f t="shared" si="1"/>
        <v>0.57688042907743486</v>
      </c>
      <c r="L30" s="47">
        <f t="shared" si="2"/>
        <v>0.31668792819974489</v>
      </c>
      <c r="M30" s="84">
        <f t="shared" si="3"/>
        <v>0.89356835727717965</v>
      </c>
      <c r="N30" s="47">
        <f t="shared" si="4"/>
        <v>2.1711095739466852E-2</v>
      </c>
      <c r="O30" s="47">
        <f t="shared" si="5"/>
        <v>1.3591159836906083E-2</v>
      </c>
      <c r="P30" s="47">
        <f t="shared" si="6"/>
        <v>4.1437395502751252E-2</v>
      </c>
      <c r="Q30" s="47">
        <f t="shared" si="7"/>
        <v>1</v>
      </c>
    </row>
    <row r="31" spans="1:17" x14ac:dyDescent="0.35">
      <c r="A31" s="82">
        <v>28</v>
      </c>
      <c r="B31" s="83" t="str">
        <f>_xlfn.XLOOKUP(A31,'TAZs by City - CCAG Model'!$A:$A,'TAZs by City - CCAG Model'!$B:$B,"Unknown")</f>
        <v>Campbell</v>
      </c>
      <c r="C31" s="82">
        <f>_xlfn.XLOOKUP(A31,'TAZs by City - CCAG Model'!$A:$A,'TAZs by City - CCAG Model'!$C:$C,999)</f>
        <v>3</v>
      </c>
      <c r="D31" s="82" t="str">
        <f t="shared" si="0"/>
        <v>NO</v>
      </c>
      <c r="E31" s="27">
        <v>3836.28</v>
      </c>
      <c r="F31" s="27">
        <v>2209.7199999999998</v>
      </c>
      <c r="G31" s="27">
        <v>164.78</v>
      </c>
      <c r="H31" s="27">
        <v>91.22</v>
      </c>
      <c r="I31" s="27">
        <v>424.52</v>
      </c>
      <c r="J31" s="27">
        <v>6934.28</v>
      </c>
      <c r="K31" s="47">
        <f t="shared" si="1"/>
        <v>0.55323407765478183</v>
      </c>
      <c r="L31" s="47">
        <f t="shared" si="2"/>
        <v>0.31866610520486627</v>
      </c>
      <c r="M31" s="84">
        <f t="shared" si="3"/>
        <v>0.87190018285964799</v>
      </c>
      <c r="N31" s="47">
        <f t="shared" si="4"/>
        <v>2.3763101576515514E-2</v>
      </c>
      <c r="O31" s="47">
        <f t="shared" si="5"/>
        <v>1.315493461469684E-2</v>
      </c>
      <c r="P31" s="47">
        <f t="shared" si="6"/>
        <v>6.1220487202708861E-2</v>
      </c>
      <c r="Q31" s="47">
        <f t="shared" si="7"/>
        <v>1</v>
      </c>
    </row>
    <row r="32" spans="1:17" x14ac:dyDescent="0.35">
      <c r="A32" s="82">
        <v>29</v>
      </c>
      <c r="B32" s="83" t="str">
        <f>_xlfn.XLOOKUP(A32,'TAZs by City - CCAG Model'!$A:$A,'TAZs by City - CCAG Model'!$B:$B,"Unknown")</f>
        <v>San Jose</v>
      </c>
      <c r="C32" s="82">
        <f>_xlfn.XLOOKUP(A32,'TAZs by City - CCAG Model'!$A:$A,'TAZs by City - CCAG Model'!$C:$C,999)</f>
        <v>3</v>
      </c>
      <c r="D32" s="82" t="str">
        <f t="shared" si="0"/>
        <v>NO</v>
      </c>
      <c r="E32" s="27">
        <v>3901.9</v>
      </c>
      <c r="F32" s="27">
        <v>2374.7600000000002</v>
      </c>
      <c r="G32" s="27">
        <v>75.3</v>
      </c>
      <c r="H32" s="27">
        <v>82.54</v>
      </c>
      <c r="I32" s="27">
        <v>1035.1199999999999</v>
      </c>
      <c r="J32" s="27">
        <v>7588.44</v>
      </c>
      <c r="K32" s="47">
        <f t="shared" si="1"/>
        <v>0.51419000479676991</v>
      </c>
      <c r="L32" s="47">
        <f t="shared" si="2"/>
        <v>0.31294442599532979</v>
      </c>
      <c r="M32" s="84">
        <f t="shared" si="3"/>
        <v>0.82713443079209958</v>
      </c>
      <c r="N32" s="47">
        <f t="shared" si="4"/>
        <v>9.9229881240413056E-3</v>
      </c>
      <c r="O32" s="47">
        <f t="shared" si="5"/>
        <v>1.0877070913125756E-2</v>
      </c>
      <c r="P32" s="47">
        <f t="shared" si="6"/>
        <v>0.13640748296092478</v>
      </c>
      <c r="Q32" s="47">
        <f t="shared" si="7"/>
        <v>1</v>
      </c>
    </row>
    <row r="33" spans="1:17" x14ac:dyDescent="0.35">
      <c r="A33" s="82">
        <v>30</v>
      </c>
      <c r="B33" s="83" t="str">
        <f>_xlfn.XLOOKUP(A33,'TAZs by City - CCAG Model'!$A:$A,'TAZs by City - CCAG Model'!$B:$B,"Unknown")</f>
        <v>Campbell</v>
      </c>
      <c r="C33" s="82">
        <f>_xlfn.XLOOKUP(A33,'TAZs by City - CCAG Model'!$A:$A,'TAZs by City - CCAG Model'!$C:$C,999)</f>
        <v>3</v>
      </c>
      <c r="D33" s="82" t="str">
        <f t="shared" si="0"/>
        <v>NO</v>
      </c>
      <c r="E33" s="27">
        <v>6784.64</v>
      </c>
      <c r="F33" s="27">
        <v>3555</v>
      </c>
      <c r="G33" s="27">
        <v>332.56</v>
      </c>
      <c r="H33" s="27">
        <v>173.16</v>
      </c>
      <c r="I33" s="27">
        <v>902.88</v>
      </c>
      <c r="J33" s="27">
        <v>12118.08</v>
      </c>
      <c r="K33" s="47">
        <f t="shared" si="1"/>
        <v>0.55987747233885243</v>
      </c>
      <c r="L33" s="47">
        <f t="shared" si="2"/>
        <v>0.29336330507803215</v>
      </c>
      <c r="M33" s="84">
        <f t="shared" si="3"/>
        <v>0.85324077741688453</v>
      </c>
      <c r="N33" s="47">
        <f t="shared" si="4"/>
        <v>2.7443291346483933E-2</v>
      </c>
      <c r="O33" s="47">
        <f t="shared" si="5"/>
        <v>1.4289392378990731E-2</v>
      </c>
      <c r="P33" s="47">
        <f t="shared" si="6"/>
        <v>7.4506852570704274E-2</v>
      </c>
      <c r="Q33" s="47">
        <f t="shared" si="7"/>
        <v>1</v>
      </c>
    </row>
    <row r="34" spans="1:17" x14ac:dyDescent="0.35">
      <c r="A34" s="82">
        <v>31</v>
      </c>
      <c r="B34" s="83" t="str">
        <f>_xlfn.XLOOKUP(A34,'TAZs by City - CCAG Model'!$A:$A,'TAZs by City - CCAG Model'!$B:$B,"Unknown")</f>
        <v>San Jose</v>
      </c>
      <c r="C34" s="82">
        <f>_xlfn.XLOOKUP(A34,'TAZs by City - CCAG Model'!$A:$A,'TAZs by City - CCAG Model'!$C:$C,999)</f>
        <v>3</v>
      </c>
      <c r="D34" s="82" t="str">
        <f t="shared" si="0"/>
        <v>NO</v>
      </c>
      <c r="E34" s="27">
        <v>5981.84</v>
      </c>
      <c r="F34" s="27">
        <v>4461.5200000000004</v>
      </c>
      <c r="G34" s="27">
        <v>81.36</v>
      </c>
      <c r="H34" s="27">
        <v>142.80000000000001</v>
      </c>
      <c r="I34" s="27">
        <v>951.96</v>
      </c>
      <c r="J34" s="27">
        <v>11728.68</v>
      </c>
      <c r="K34" s="47">
        <f t="shared" si="1"/>
        <v>0.51001817766364155</v>
      </c>
      <c r="L34" s="47">
        <f t="shared" si="2"/>
        <v>0.38039404263736415</v>
      </c>
      <c r="M34" s="84">
        <f t="shared" si="3"/>
        <v>0.89041222030100575</v>
      </c>
      <c r="N34" s="47">
        <f t="shared" si="4"/>
        <v>6.936841997564943E-3</v>
      </c>
      <c r="O34" s="47">
        <f t="shared" si="5"/>
        <v>1.2175283152068265E-2</v>
      </c>
      <c r="P34" s="47">
        <f t="shared" si="6"/>
        <v>8.1165143903661793E-2</v>
      </c>
      <c r="Q34" s="47">
        <f t="shared" si="7"/>
        <v>1</v>
      </c>
    </row>
    <row r="35" spans="1:17" x14ac:dyDescent="0.35">
      <c r="A35" s="82">
        <v>32</v>
      </c>
      <c r="B35" s="83" t="str">
        <f>_xlfn.XLOOKUP(A35,'TAZs by City - CCAG Model'!$A:$A,'TAZs by City - CCAG Model'!$B:$B,"Unknown")</f>
        <v>Campbell</v>
      </c>
      <c r="C35" s="82">
        <f>_xlfn.XLOOKUP(A35,'TAZs by City - CCAG Model'!$A:$A,'TAZs by City - CCAG Model'!$C:$C,999)</f>
        <v>3</v>
      </c>
      <c r="D35" s="82" t="str">
        <f t="shared" si="0"/>
        <v>NO</v>
      </c>
      <c r="E35" s="27">
        <v>5264.64</v>
      </c>
      <c r="F35" s="27">
        <v>2094.96</v>
      </c>
      <c r="G35" s="27">
        <v>231.16</v>
      </c>
      <c r="H35" s="27">
        <v>90.1</v>
      </c>
      <c r="I35" s="27">
        <v>378.7</v>
      </c>
      <c r="J35" s="27">
        <v>8332.0400000000009</v>
      </c>
      <c r="K35" s="47">
        <f t="shared" si="1"/>
        <v>0.63185486387487333</v>
      </c>
      <c r="L35" s="47">
        <f t="shared" si="2"/>
        <v>0.25143422259134618</v>
      </c>
      <c r="M35" s="84">
        <f t="shared" si="3"/>
        <v>0.88328908646621951</v>
      </c>
      <c r="N35" s="47">
        <f t="shared" si="4"/>
        <v>2.774350579209893E-2</v>
      </c>
      <c r="O35" s="47">
        <f t="shared" si="5"/>
        <v>1.0813678282869499E-2</v>
      </c>
      <c r="P35" s="47">
        <f t="shared" si="6"/>
        <v>4.5451054003581348E-2</v>
      </c>
      <c r="Q35" s="47">
        <f t="shared" si="7"/>
        <v>1</v>
      </c>
    </row>
    <row r="36" spans="1:17" x14ac:dyDescent="0.35">
      <c r="A36" s="82">
        <v>33</v>
      </c>
      <c r="B36" s="83" t="str">
        <f>_xlfn.XLOOKUP(A36,'TAZs by City - CCAG Model'!$A:$A,'TAZs by City - CCAG Model'!$B:$B,"Unknown")</f>
        <v>Gilroy</v>
      </c>
      <c r="C36" s="82">
        <f>_xlfn.XLOOKUP(A36,'TAZs by City - CCAG Model'!$A:$A,'TAZs by City - CCAG Model'!$C:$C,999)</f>
        <v>3</v>
      </c>
      <c r="D36" s="82" t="str">
        <f t="shared" si="0"/>
        <v>NO</v>
      </c>
      <c r="E36" s="27">
        <v>4123.12</v>
      </c>
      <c r="F36" s="27">
        <v>3121.22</v>
      </c>
      <c r="G36" s="27">
        <v>141.38</v>
      </c>
      <c r="H36" s="27">
        <v>95.26</v>
      </c>
      <c r="I36" s="27">
        <v>1308.54</v>
      </c>
      <c r="J36" s="27">
        <v>8972.06</v>
      </c>
      <c r="K36" s="47">
        <f t="shared" si="1"/>
        <v>0.45955109528915322</v>
      </c>
      <c r="L36" s="47">
        <f t="shared" si="2"/>
        <v>0.34788220319525281</v>
      </c>
      <c r="M36" s="84">
        <f t="shared" si="3"/>
        <v>0.80743329848440615</v>
      </c>
      <c r="N36" s="47">
        <f t="shared" si="4"/>
        <v>1.5757808128790934E-2</v>
      </c>
      <c r="O36" s="47">
        <f t="shared" si="5"/>
        <v>1.0617405590243491E-2</v>
      </c>
      <c r="P36" s="47">
        <f t="shared" si="6"/>
        <v>0.14584610446207449</v>
      </c>
      <c r="Q36" s="47">
        <f t="shared" si="7"/>
        <v>1</v>
      </c>
    </row>
    <row r="37" spans="1:17" x14ac:dyDescent="0.35">
      <c r="A37" s="82">
        <v>34</v>
      </c>
      <c r="B37" s="83" t="str">
        <f>_xlfn.XLOOKUP(A37,'TAZs by City - CCAG Model'!$A:$A,'TAZs by City - CCAG Model'!$B:$B,"Unknown")</f>
        <v>Campbell</v>
      </c>
      <c r="C37" s="82">
        <f>_xlfn.XLOOKUP(A37,'TAZs by City - CCAG Model'!$A:$A,'TAZs by City - CCAG Model'!$C:$C,999)</f>
        <v>3</v>
      </c>
      <c r="D37" s="82" t="str">
        <f t="shared" si="0"/>
        <v>NO</v>
      </c>
      <c r="E37" s="27">
        <v>1598.24</v>
      </c>
      <c r="F37" s="27">
        <v>861.38</v>
      </c>
      <c r="G37" s="27">
        <v>83.14</v>
      </c>
      <c r="H37" s="27">
        <v>33.619999999999997</v>
      </c>
      <c r="I37" s="27">
        <v>146.80000000000001</v>
      </c>
      <c r="J37" s="27">
        <v>2854.28</v>
      </c>
      <c r="K37" s="47">
        <f t="shared" si="1"/>
        <v>0.559945064955085</v>
      </c>
      <c r="L37" s="47">
        <f t="shared" si="2"/>
        <v>0.30178538895973761</v>
      </c>
      <c r="M37" s="84">
        <f t="shared" si="3"/>
        <v>0.8617304539148225</v>
      </c>
      <c r="N37" s="47">
        <f t="shared" si="4"/>
        <v>2.9128186442815701E-2</v>
      </c>
      <c r="O37" s="47">
        <f t="shared" si="5"/>
        <v>1.1778802359964683E-2</v>
      </c>
      <c r="P37" s="47">
        <f t="shared" si="6"/>
        <v>5.1431534397466262E-2</v>
      </c>
      <c r="Q37" s="47">
        <f t="shared" si="7"/>
        <v>1</v>
      </c>
    </row>
    <row r="38" spans="1:17" x14ac:dyDescent="0.35">
      <c r="A38" s="82">
        <v>35</v>
      </c>
      <c r="B38" s="83" t="str">
        <f>_xlfn.XLOOKUP(A38,'TAZs by City - CCAG Model'!$A:$A,'TAZs by City - CCAG Model'!$B:$B,"Unknown")</f>
        <v>Milpitas</v>
      </c>
      <c r="C38" s="82">
        <f>_xlfn.XLOOKUP(A38,'TAZs by City - CCAG Model'!$A:$A,'TAZs by City - CCAG Model'!$C:$C,999)</f>
        <v>3</v>
      </c>
      <c r="D38" s="82" t="str">
        <f t="shared" si="0"/>
        <v>NO</v>
      </c>
      <c r="E38" s="27">
        <v>81.22</v>
      </c>
      <c r="F38" s="27">
        <v>18.239999999999998</v>
      </c>
      <c r="G38" s="27">
        <v>0.24</v>
      </c>
      <c r="H38" s="27">
        <v>0.06</v>
      </c>
      <c r="I38" s="27">
        <v>3.52</v>
      </c>
      <c r="J38" s="27">
        <v>121.92</v>
      </c>
      <c r="K38" s="47">
        <f t="shared" si="1"/>
        <v>0.66617454068241466</v>
      </c>
      <c r="L38" s="47">
        <f t="shared" si="2"/>
        <v>0.14960629921259841</v>
      </c>
      <c r="M38" s="84">
        <f t="shared" si="3"/>
        <v>0.81578083989501304</v>
      </c>
      <c r="N38" s="47">
        <f t="shared" si="4"/>
        <v>1.968503937007874E-3</v>
      </c>
      <c r="O38" s="47">
        <f t="shared" si="5"/>
        <v>4.921259842519685E-4</v>
      </c>
      <c r="P38" s="47">
        <f t="shared" si="6"/>
        <v>2.8871391076115485E-2</v>
      </c>
      <c r="Q38" s="47">
        <f t="shared" si="7"/>
        <v>1</v>
      </c>
    </row>
    <row r="39" spans="1:17" x14ac:dyDescent="0.35">
      <c r="A39" s="82">
        <v>36</v>
      </c>
      <c r="B39" s="83" t="str">
        <f>_xlfn.XLOOKUP(A39,'TAZs by City - CCAG Model'!$A:$A,'TAZs by City - CCAG Model'!$B:$B,"Unknown")</f>
        <v>Unincorporated</v>
      </c>
      <c r="C39" s="82">
        <f>_xlfn.XLOOKUP(A39,'TAZs by City - CCAG Model'!$A:$A,'TAZs by City - CCAG Model'!$C:$C,999)</f>
        <v>3</v>
      </c>
      <c r="D39" s="82" t="str">
        <f t="shared" si="0"/>
        <v>NO</v>
      </c>
      <c r="E39" s="27">
        <v>6.3</v>
      </c>
      <c r="F39" s="27">
        <v>9.06</v>
      </c>
      <c r="G39" s="27">
        <v>0</v>
      </c>
      <c r="H39" s="27">
        <v>0.08</v>
      </c>
      <c r="I39" s="27">
        <v>1.1000000000000001</v>
      </c>
      <c r="J39" s="27">
        <v>18.18</v>
      </c>
      <c r="K39" s="47">
        <f t="shared" si="1"/>
        <v>0.34653465346534651</v>
      </c>
      <c r="L39" s="47">
        <f t="shared" si="2"/>
        <v>0.49834983498349839</v>
      </c>
      <c r="M39" s="84">
        <f t="shared" si="3"/>
        <v>0.84488448844884489</v>
      </c>
      <c r="N39" s="47">
        <f t="shared" si="4"/>
        <v>0</v>
      </c>
      <c r="O39" s="47">
        <f t="shared" si="5"/>
        <v>4.4004400440044002E-3</v>
      </c>
      <c r="P39" s="47">
        <f t="shared" si="6"/>
        <v>6.0506050605060514E-2</v>
      </c>
      <c r="Q39" s="47">
        <f t="shared" si="7"/>
        <v>1</v>
      </c>
    </row>
    <row r="40" spans="1:17" x14ac:dyDescent="0.35">
      <c r="A40" s="82">
        <v>37</v>
      </c>
      <c r="B40" s="83" t="str">
        <f>_xlfn.XLOOKUP(A40,'TAZs by City - CCAG Model'!$A:$A,'TAZs by City - CCAG Model'!$B:$B,"Unknown")</f>
        <v>Unincorporated</v>
      </c>
      <c r="C40" s="82">
        <f>_xlfn.XLOOKUP(A40,'TAZs by City - CCAG Model'!$A:$A,'TAZs by City - CCAG Model'!$C:$C,999)</f>
        <v>3</v>
      </c>
      <c r="D40" s="82" t="str">
        <f t="shared" si="0"/>
        <v>NO</v>
      </c>
      <c r="E40" s="27">
        <v>139.32</v>
      </c>
      <c r="F40" s="27">
        <v>88.9</v>
      </c>
      <c r="G40" s="27">
        <v>0</v>
      </c>
      <c r="H40" s="27">
        <v>1.8</v>
      </c>
      <c r="I40" s="27">
        <v>6.36</v>
      </c>
      <c r="J40" s="27">
        <v>248.92</v>
      </c>
      <c r="K40" s="47">
        <f t="shared" si="1"/>
        <v>0.55969789490599386</v>
      </c>
      <c r="L40" s="47">
        <f t="shared" si="2"/>
        <v>0.35714285714285721</v>
      </c>
      <c r="M40" s="84">
        <f t="shared" si="3"/>
        <v>0.91684075204885107</v>
      </c>
      <c r="N40" s="47">
        <f t="shared" si="4"/>
        <v>0</v>
      </c>
      <c r="O40" s="47">
        <f t="shared" si="5"/>
        <v>7.2312389522738232E-3</v>
      </c>
      <c r="P40" s="47">
        <f t="shared" si="6"/>
        <v>2.5550377631367509E-2</v>
      </c>
      <c r="Q40" s="47">
        <f t="shared" si="7"/>
        <v>1</v>
      </c>
    </row>
    <row r="41" spans="1:17" x14ac:dyDescent="0.35">
      <c r="A41" s="82">
        <v>38</v>
      </c>
      <c r="B41" s="83" t="str">
        <f>_xlfn.XLOOKUP(A41,'TAZs by City - CCAG Model'!$A:$A,'TAZs by City - CCAG Model'!$B:$B,"Unknown")</f>
        <v>Unincorporated</v>
      </c>
      <c r="C41" s="82">
        <f>_xlfn.XLOOKUP(A41,'TAZs by City - CCAG Model'!$A:$A,'TAZs by City - CCAG Model'!$C:$C,999)</f>
        <v>3</v>
      </c>
      <c r="D41" s="82" t="str">
        <f t="shared" si="0"/>
        <v>NO</v>
      </c>
      <c r="E41" s="27">
        <v>529.72</v>
      </c>
      <c r="F41" s="27">
        <v>219.24</v>
      </c>
      <c r="G41" s="27">
        <v>0.4</v>
      </c>
      <c r="H41" s="27">
        <v>3.86</v>
      </c>
      <c r="I41" s="27">
        <v>24.1</v>
      </c>
      <c r="J41" s="27">
        <v>808.46</v>
      </c>
      <c r="K41" s="47">
        <f t="shared" si="1"/>
        <v>0.65522103752813987</v>
      </c>
      <c r="L41" s="47">
        <f t="shared" si="2"/>
        <v>0.27118224773025257</v>
      </c>
      <c r="M41" s="84">
        <f t="shared" si="3"/>
        <v>0.92640328525839255</v>
      </c>
      <c r="N41" s="47">
        <f t="shared" si="4"/>
        <v>4.9476783019568066E-4</v>
      </c>
      <c r="O41" s="47">
        <f t="shared" si="5"/>
        <v>4.7745095613883183E-3</v>
      </c>
      <c r="P41" s="47">
        <f t="shared" si="6"/>
        <v>2.9809761769289761E-2</v>
      </c>
      <c r="Q41" s="47">
        <f t="shared" si="7"/>
        <v>1</v>
      </c>
    </row>
    <row r="42" spans="1:17" x14ac:dyDescent="0.35">
      <c r="A42" s="82">
        <v>39</v>
      </c>
      <c r="B42" s="83" t="str">
        <f>_xlfn.XLOOKUP(A42,'TAZs by City - CCAG Model'!$A:$A,'TAZs by City - CCAG Model'!$B:$B,"Unknown")</f>
        <v>Unincorporated</v>
      </c>
      <c r="C42" s="82">
        <f>_xlfn.XLOOKUP(A42,'TAZs by City - CCAG Model'!$A:$A,'TAZs by City - CCAG Model'!$C:$C,999)</f>
        <v>3</v>
      </c>
      <c r="D42" s="82" t="str">
        <f t="shared" si="0"/>
        <v>NO</v>
      </c>
      <c r="E42" s="27">
        <v>296.66000000000003</v>
      </c>
      <c r="F42" s="27">
        <v>249.5</v>
      </c>
      <c r="G42" s="27">
        <v>0</v>
      </c>
      <c r="H42" s="27">
        <v>2.52</v>
      </c>
      <c r="I42" s="27">
        <v>11.36</v>
      </c>
      <c r="J42" s="27">
        <v>573.96</v>
      </c>
      <c r="K42" s="47">
        <f t="shared" si="1"/>
        <v>0.51686528677956656</v>
      </c>
      <c r="L42" s="47">
        <f t="shared" si="2"/>
        <v>0.4346992821799428</v>
      </c>
      <c r="M42" s="84">
        <f t="shared" si="3"/>
        <v>0.95156456895950947</v>
      </c>
      <c r="N42" s="47">
        <f t="shared" si="4"/>
        <v>0</v>
      </c>
      <c r="O42" s="47">
        <f t="shared" si="5"/>
        <v>4.3905498641020274E-3</v>
      </c>
      <c r="P42" s="47">
        <f t="shared" si="6"/>
        <v>1.9792320022301205E-2</v>
      </c>
      <c r="Q42" s="47">
        <f t="shared" si="7"/>
        <v>1</v>
      </c>
    </row>
    <row r="43" spans="1:17" x14ac:dyDescent="0.35">
      <c r="A43" s="82">
        <v>40</v>
      </c>
      <c r="B43" s="83" t="str">
        <f>_xlfn.XLOOKUP(A43,'TAZs by City - CCAG Model'!$A:$A,'TAZs by City - CCAG Model'!$B:$B,"Unknown")</f>
        <v>Unincorporated</v>
      </c>
      <c r="C43" s="82">
        <f>_xlfn.XLOOKUP(A43,'TAZs by City - CCAG Model'!$A:$A,'TAZs by City - CCAG Model'!$C:$C,999)</f>
        <v>3</v>
      </c>
      <c r="D43" s="82" t="str">
        <f t="shared" si="0"/>
        <v>NO</v>
      </c>
      <c r="E43" s="27">
        <v>13.2</v>
      </c>
      <c r="F43" s="27">
        <v>9.48</v>
      </c>
      <c r="G43" s="27">
        <v>0.16</v>
      </c>
      <c r="H43" s="27">
        <v>0</v>
      </c>
      <c r="I43" s="27">
        <v>0.46</v>
      </c>
      <c r="J43" s="27">
        <v>34.28</v>
      </c>
      <c r="K43" s="47">
        <f t="shared" si="1"/>
        <v>0.38506417736289378</v>
      </c>
      <c r="L43" s="47">
        <f t="shared" si="2"/>
        <v>0.27654609101516919</v>
      </c>
      <c r="M43" s="84">
        <f t="shared" si="3"/>
        <v>0.66161026837806303</v>
      </c>
      <c r="N43" s="47">
        <f t="shared" si="4"/>
        <v>4.6674445740956822E-3</v>
      </c>
      <c r="O43" s="47">
        <f t="shared" si="5"/>
        <v>0</v>
      </c>
      <c r="P43" s="47">
        <f t="shared" si="6"/>
        <v>1.3418903150525088E-2</v>
      </c>
      <c r="Q43" s="47">
        <f t="shared" si="7"/>
        <v>1</v>
      </c>
    </row>
    <row r="44" spans="1:17" x14ac:dyDescent="0.35">
      <c r="A44" s="82">
        <v>41</v>
      </c>
      <c r="B44" s="83" t="str">
        <f>_xlfn.XLOOKUP(A44,'TAZs by City - CCAG Model'!$A:$A,'TAZs by City - CCAG Model'!$B:$B,"Unknown")</f>
        <v>Unincorporated</v>
      </c>
      <c r="C44" s="82">
        <f>_xlfn.XLOOKUP(A44,'TAZs by City - CCAG Model'!$A:$A,'TAZs by City - CCAG Model'!$C:$C,999)</f>
        <v>3</v>
      </c>
      <c r="D44" s="82" t="str">
        <f t="shared" si="0"/>
        <v>NO</v>
      </c>
      <c r="E44" s="27">
        <v>119.62</v>
      </c>
      <c r="F44" s="27">
        <v>74.760000000000005</v>
      </c>
      <c r="G44" s="27">
        <v>3.74</v>
      </c>
      <c r="H44" s="27">
        <v>0.54</v>
      </c>
      <c r="I44" s="27">
        <v>2.42</v>
      </c>
      <c r="J44" s="27">
        <v>226.94</v>
      </c>
      <c r="K44" s="47">
        <f t="shared" si="1"/>
        <v>0.52709967392262269</v>
      </c>
      <c r="L44" s="47">
        <f t="shared" si="2"/>
        <v>0.32942628007402841</v>
      </c>
      <c r="M44" s="84">
        <f t="shared" si="3"/>
        <v>0.8565259539966511</v>
      </c>
      <c r="N44" s="47">
        <f t="shared" si="4"/>
        <v>1.6480126905790076E-2</v>
      </c>
      <c r="O44" s="47">
        <f t="shared" si="5"/>
        <v>2.3794835639376049E-3</v>
      </c>
      <c r="P44" s="47">
        <f t="shared" si="6"/>
        <v>1.0663611527275931E-2</v>
      </c>
      <c r="Q44" s="47">
        <f t="shared" si="7"/>
        <v>1</v>
      </c>
    </row>
    <row r="45" spans="1:17" x14ac:dyDescent="0.35">
      <c r="A45" s="82">
        <v>42</v>
      </c>
      <c r="B45" s="83" t="str">
        <f>_xlfn.XLOOKUP(A45,'TAZs by City - CCAG Model'!$A:$A,'TAZs by City - CCAG Model'!$B:$B,"Unknown")</f>
        <v>Unincorporated</v>
      </c>
      <c r="C45" s="82">
        <f>_xlfn.XLOOKUP(A45,'TAZs by City - CCAG Model'!$A:$A,'TAZs by City - CCAG Model'!$C:$C,999)</f>
        <v>3</v>
      </c>
      <c r="D45" s="82" t="str">
        <f t="shared" si="0"/>
        <v>NO</v>
      </c>
      <c r="E45" s="27">
        <v>1556.14</v>
      </c>
      <c r="F45" s="27">
        <v>364.3</v>
      </c>
      <c r="G45" s="27">
        <v>38.799999999999997</v>
      </c>
      <c r="H45" s="27">
        <v>9.8000000000000007</v>
      </c>
      <c r="I45" s="27">
        <v>15.94</v>
      </c>
      <c r="J45" s="27">
        <v>2074.04</v>
      </c>
      <c r="K45" s="47">
        <f t="shared" si="1"/>
        <v>0.75029411197469675</v>
      </c>
      <c r="L45" s="47">
        <f t="shared" si="2"/>
        <v>0.175647528495111</v>
      </c>
      <c r="M45" s="84">
        <f t="shared" si="3"/>
        <v>0.92594164046980776</v>
      </c>
      <c r="N45" s="47">
        <f t="shared" si="4"/>
        <v>1.8707450193824613E-2</v>
      </c>
      <c r="O45" s="47">
        <f t="shared" si="5"/>
        <v>4.7250776262752888E-3</v>
      </c>
      <c r="P45" s="47">
        <f t="shared" si="6"/>
        <v>7.6854834043702143E-3</v>
      </c>
      <c r="Q45" s="47">
        <f t="shared" si="7"/>
        <v>1</v>
      </c>
    </row>
    <row r="46" spans="1:17" x14ac:dyDescent="0.35">
      <c r="A46" s="82">
        <v>43</v>
      </c>
      <c r="B46" s="83" t="str">
        <f>_xlfn.XLOOKUP(A46,'TAZs by City - CCAG Model'!$A:$A,'TAZs by City - CCAG Model'!$B:$B,"Unknown")</f>
        <v>Unincorporated</v>
      </c>
      <c r="C46" s="82">
        <f>_xlfn.XLOOKUP(A46,'TAZs by City - CCAG Model'!$A:$A,'TAZs by City - CCAG Model'!$C:$C,999)</f>
        <v>3</v>
      </c>
      <c r="D46" s="82" t="str">
        <f t="shared" si="0"/>
        <v>NO</v>
      </c>
      <c r="E46" s="27">
        <v>2430.8000000000002</v>
      </c>
      <c r="F46" s="27">
        <v>1497.1</v>
      </c>
      <c r="G46" s="27">
        <v>62.06</v>
      </c>
      <c r="H46" s="27">
        <v>50.36</v>
      </c>
      <c r="I46" s="27">
        <v>123.12</v>
      </c>
      <c r="J46" s="27">
        <v>4274.16</v>
      </c>
      <c r="K46" s="47">
        <f t="shared" si="1"/>
        <v>0.56871993561307954</v>
      </c>
      <c r="L46" s="47">
        <f t="shared" si="2"/>
        <v>0.35026765493102735</v>
      </c>
      <c r="M46" s="84">
        <f t="shared" si="3"/>
        <v>0.91898759054410695</v>
      </c>
      <c r="N46" s="47">
        <f t="shared" si="4"/>
        <v>1.4519812080034441E-2</v>
      </c>
      <c r="O46" s="47">
        <f t="shared" si="5"/>
        <v>1.1782432103618021E-2</v>
      </c>
      <c r="P46" s="47">
        <f t="shared" si="6"/>
        <v>2.8805660059520469E-2</v>
      </c>
      <c r="Q46" s="47">
        <f t="shared" si="7"/>
        <v>1</v>
      </c>
    </row>
    <row r="47" spans="1:17" x14ac:dyDescent="0.35">
      <c r="A47" s="82">
        <v>44</v>
      </c>
      <c r="B47" s="83" t="str">
        <f>_xlfn.XLOOKUP(A47,'TAZs by City - CCAG Model'!$A:$A,'TAZs by City - CCAG Model'!$B:$B,"Unknown")</f>
        <v>Unincorporated</v>
      </c>
      <c r="C47" s="82">
        <f>_xlfn.XLOOKUP(A47,'TAZs by City - CCAG Model'!$A:$A,'TAZs by City - CCAG Model'!$C:$C,999)</f>
        <v>3</v>
      </c>
      <c r="D47" s="82" t="str">
        <f t="shared" si="0"/>
        <v>NO</v>
      </c>
      <c r="E47" s="27">
        <v>7737.36</v>
      </c>
      <c r="F47" s="27">
        <v>2472.8000000000002</v>
      </c>
      <c r="G47" s="27">
        <v>161.80000000000001</v>
      </c>
      <c r="H47" s="27">
        <v>71.58</v>
      </c>
      <c r="I47" s="27">
        <v>259.54000000000002</v>
      </c>
      <c r="J47" s="27">
        <v>10893.84</v>
      </c>
      <c r="K47" s="47">
        <f t="shared" si="1"/>
        <v>0.71025093080126012</v>
      </c>
      <c r="L47" s="47">
        <f t="shared" si="2"/>
        <v>0.2269906662847995</v>
      </c>
      <c r="M47" s="84">
        <f t="shared" si="3"/>
        <v>0.93724159708605959</v>
      </c>
      <c r="N47" s="47">
        <f t="shared" si="4"/>
        <v>1.4852430364315982E-2</v>
      </c>
      <c r="O47" s="47">
        <f t="shared" si="5"/>
        <v>6.5706858187746468E-3</v>
      </c>
      <c r="P47" s="47">
        <f t="shared" si="6"/>
        <v>2.3824473280312546E-2</v>
      </c>
      <c r="Q47" s="47">
        <f t="shared" si="7"/>
        <v>1</v>
      </c>
    </row>
    <row r="48" spans="1:17" x14ac:dyDescent="0.35">
      <c r="A48" s="82">
        <v>45</v>
      </c>
      <c r="B48" s="83" t="str">
        <f>_xlfn.XLOOKUP(A48,'TAZs by City - CCAG Model'!$A:$A,'TAZs by City - CCAG Model'!$B:$B,"Unknown")</f>
        <v>Unincorporated</v>
      </c>
      <c r="C48" s="82">
        <f>_xlfn.XLOOKUP(A48,'TAZs by City - CCAG Model'!$A:$A,'TAZs by City - CCAG Model'!$C:$C,999)</f>
        <v>3</v>
      </c>
      <c r="D48" s="82" t="str">
        <f t="shared" si="0"/>
        <v>NO</v>
      </c>
      <c r="E48" s="27">
        <v>470.16</v>
      </c>
      <c r="F48" s="27">
        <v>360.86</v>
      </c>
      <c r="G48" s="27">
        <v>11.5</v>
      </c>
      <c r="H48" s="27">
        <v>10</v>
      </c>
      <c r="I48" s="27">
        <v>27.74</v>
      </c>
      <c r="J48" s="27">
        <v>922.04</v>
      </c>
      <c r="K48" s="47">
        <f t="shared" si="1"/>
        <v>0.50991280204763356</v>
      </c>
      <c r="L48" s="47">
        <f t="shared" si="2"/>
        <v>0.39137130710164419</v>
      </c>
      <c r="M48" s="84">
        <f t="shared" si="3"/>
        <v>0.9012841091492777</v>
      </c>
      <c r="N48" s="47">
        <f t="shared" si="4"/>
        <v>1.247234393301809E-2</v>
      </c>
      <c r="O48" s="47">
        <f t="shared" si="5"/>
        <v>1.0845516463493993E-2</v>
      </c>
      <c r="P48" s="47">
        <f t="shared" si="6"/>
        <v>3.0085462669732332E-2</v>
      </c>
      <c r="Q48" s="47">
        <f t="shared" si="7"/>
        <v>1</v>
      </c>
    </row>
    <row r="49" spans="1:17" x14ac:dyDescent="0.35">
      <c r="A49" s="82">
        <v>46</v>
      </c>
      <c r="B49" s="83" t="str">
        <f>_xlfn.XLOOKUP(A49,'TAZs by City - CCAG Model'!$A:$A,'TAZs by City - CCAG Model'!$B:$B,"Unknown")</f>
        <v>Unincorporated</v>
      </c>
      <c r="C49" s="82">
        <f>_xlfn.XLOOKUP(A49,'TAZs by City - CCAG Model'!$A:$A,'TAZs by City - CCAG Model'!$C:$C,999)</f>
        <v>3</v>
      </c>
      <c r="D49" s="82" t="str">
        <f t="shared" si="0"/>
        <v>NO</v>
      </c>
      <c r="E49" s="27">
        <v>1630.64</v>
      </c>
      <c r="F49" s="27">
        <v>531.36</v>
      </c>
      <c r="G49" s="27">
        <v>30.2</v>
      </c>
      <c r="H49" s="27">
        <v>11.96</v>
      </c>
      <c r="I49" s="27">
        <v>83.64</v>
      </c>
      <c r="J49" s="27">
        <v>2358.06</v>
      </c>
      <c r="K49" s="47">
        <f t="shared" si="1"/>
        <v>0.69151760345368651</v>
      </c>
      <c r="L49" s="47">
        <f t="shared" si="2"/>
        <v>0.22533777766469049</v>
      </c>
      <c r="M49" s="84">
        <f t="shared" si="3"/>
        <v>0.91685538111837694</v>
      </c>
      <c r="N49" s="47">
        <f t="shared" si="4"/>
        <v>1.2807138071126265E-2</v>
      </c>
      <c r="O49" s="47">
        <f t="shared" si="5"/>
        <v>5.07196593810166E-3</v>
      </c>
      <c r="P49" s="47">
        <f t="shared" si="6"/>
        <v>3.5469835373145721E-2</v>
      </c>
      <c r="Q49" s="47">
        <f t="shared" si="7"/>
        <v>1</v>
      </c>
    </row>
    <row r="50" spans="1:17" x14ac:dyDescent="0.35">
      <c r="A50" s="82">
        <v>47</v>
      </c>
      <c r="B50" s="83" t="str">
        <f>_xlfn.XLOOKUP(A50,'TAZs by City - CCAG Model'!$A:$A,'TAZs by City - CCAG Model'!$B:$B,"Unknown")</f>
        <v>Unincorporated</v>
      </c>
      <c r="C50" s="82">
        <f>_xlfn.XLOOKUP(A50,'TAZs by City - CCAG Model'!$A:$A,'TAZs by City - CCAG Model'!$C:$C,999)</f>
        <v>3</v>
      </c>
      <c r="D50" s="82" t="str">
        <f t="shared" si="0"/>
        <v>NO</v>
      </c>
      <c r="E50" s="27">
        <v>938.92</v>
      </c>
      <c r="F50" s="27">
        <v>605.78</v>
      </c>
      <c r="G50" s="27">
        <v>17.98</v>
      </c>
      <c r="H50" s="27">
        <v>9.9</v>
      </c>
      <c r="I50" s="27">
        <v>34</v>
      </c>
      <c r="J50" s="27">
        <v>1657.24</v>
      </c>
      <c r="K50" s="47">
        <f t="shared" si="1"/>
        <v>0.56655644324298227</v>
      </c>
      <c r="L50" s="47">
        <f t="shared" si="2"/>
        <v>0.36553546861046077</v>
      </c>
      <c r="M50" s="84">
        <f t="shared" si="3"/>
        <v>0.93209191185344298</v>
      </c>
      <c r="N50" s="47">
        <f t="shared" si="4"/>
        <v>1.0849364002799835E-2</v>
      </c>
      <c r="O50" s="47">
        <f t="shared" si="5"/>
        <v>5.9737877434771066E-3</v>
      </c>
      <c r="P50" s="47">
        <f t="shared" si="6"/>
        <v>2.0516038714971881E-2</v>
      </c>
      <c r="Q50" s="47">
        <f t="shared" si="7"/>
        <v>1</v>
      </c>
    </row>
    <row r="51" spans="1:17" x14ac:dyDescent="0.35">
      <c r="A51" s="82">
        <v>48</v>
      </c>
      <c r="B51" s="83" t="str">
        <f>_xlfn.XLOOKUP(A51,'TAZs by City - CCAG Model'!$A:$A,'TAZs by City - CCAG Model'!$B:$B,"Unknown")</f>
        <v>Unincorporated</v>
      </c>
      <c r="C51" s="82">
        <f>_xlfn.XLOOKUP(A51,'TAZs by City - CCAG Model'!$A:$A,'TAZs by City - CCAG Model'!$C:$C,999)</f>
        <v>3</v>
      </c>
      <c r="D51" s="82" t="str">
        <f t="shared" si="0"/>
        <v>NO</v>
      </c>
      <c r="E51" s="27">
        <v>814.94</v>
      </c>
      <c r="F51" s="27">
        <v>615.6</v>
      </c>
      <c r="G51" s="27">
        <v>2.2599999999999998</v>
      </c>
      <c r="H51" s="27">
        <v>11.72</v>
      </c>
      <c r="I51" s="27">
        <v>41.92</v>
      </c>
      <c r="J51" s="27">
        <v>1509.42</v>
      </c>
      <c r="K51" s="47">
        <f t="shared" si="1"/>
        <v>0.53990274410038297</v>
      </c>
      <c r="L51" s="47">
        <f t="shared" si="2"/>
        <v>0.4078387725086457</v>
      </c>
      <c r="M51" s="84">
        <f t="shared" si="3"/>
        <v>0.94774151660902861</v>
      </c>
      <c r="N51" s="47">
        <f t="shared" si="4"/>
        <v>1.4972638496906095E-3</v>
      </c>
      <c r="O51" s="47">
        <f t="shared" si="5"/>
        <v>7.764571822289356E-3</v>
      </c>
      <c r="P51" s="47">
        <f t="shared" si="6"/>
        <v>2.7772256893376264E-2</v>
      </c>
      <c r="Q51" s="47">
        <f t="shared" si="7"/>
        <v>1</v>
      </c>
    </row>
    <row r="52" spans="1:17" x14ac:dyDescent="0.35">
      <c r="A52" s="82">
        <v>49</v>
      </c>
      <c r="B52" s="83" t="str">
        <f>_xlfn.XLOOKUP(A52,'TAZs by City - CCAG Model'!$A:$A,'TAZs by City - CCAG Model'!$B:$B,"Unknown")</f>
        <v>Unincorporated</v>
      </c>
      <c r="C52" s="82">
        <f>_xlfn.XLOOKUP(A52,'TAZs by City - CCAG Model'!$A:$A,'TAZs by City - CCAG Model'!$C:$C,999)</f>
        <v>3</v>
      </c>
      <c r="D52" s="82" t="str">
        <f t="shared" si="0"/>
        <v>NO</v>
      </c>
      <c r="E52" s="27">
        <v>288.44</v>
      </c>
      <c r="F52" s="27">
        <v>244.7</v>
      </c>
      <c r="G52" s="27">
        <v>6.14</v>
      </c>
      <c r="H52" s="27">
        <v>4.4800000000000004</v>
      </c>
      <c r="I52" s="27">
        <v>26.94</v>
      </c>
      <c r="J52" s="27">
        <v>596.64</v>
      </c>
      <c r="K52" s="47">
        <f t="shared" si="1"/>
        <v>0.48344060069723788</v>
      </c>
      <c r="L52" s="47">
        <f t="shared" si="2"/>
        <v>0.41013006167873423</v>
      </c>
      <c r="M52" s="84">
        <f t="shared" si="3"/>
        <v>0.89357066237597216</v>
      </c>
      <c r="N52" s="47">
        <f t="shared" si="4"/>
        <v>1.0290962724591042E-2</v>
      </c>
      <c r="O52" s="47">
        <f t="shared" si="5"/>
        <v>7.5087154733172439E-3</v>
      </c>
      <c r="P52" s="47">
        <f t="shared" si="6"/>
        <v>4.5152855993563959E-2</v>
      </c>
      <c r="Q52" s="47">
        <f t="shared" si="7"/>
        <v>1</v>
      </c>
    </row>
    <row r="53" spans="1:17" x14ac:dyDescent="0.35">
      <c r="A53" s="82">
        <v>50</v>
      </c>
      <c r="B53" s="83" t="str">
        <f>_xlfn.XLOOKUP(A53,'TAZs by City - CCAG Model'!$A:$A,'TAZs by City - CCAG Model'!$B:$B,"Unknown")</f>
        <v>Unincorporated</v>
      </c>
      <c r="C53" s="82">
        <f>_xlfn.XLOOKUP(A53,'TAZs by City - CCAG Model'!$A:$A,'TAZs by City - CCAG Model'!$C:$C,999)</f>
        <v>3</v>
      </c>
      <c r="D53" s="82" t="str">
        <f t="shared" si="0"/>
        <v>NO</v>
      </c>
      <c r="E53" s="27">
        <v>572.55999999999995</v>
      </c>
      <c r="F53" s="27">
        <v>459.54</v>
      </c>
      <c r="G53" s="27">
        <v>14.44</v>
      </c>
      <c r="H53" s="27">
        <v>7.38</v>
      </c>
      <c r="I53" s="27">
        <v>28.32</v>
      </c>
      <c r="J53" s="27">
        <v>1115.3800000000001</v>
      </c>
      <c r="K53" s="47">
        <f t="shared" si="1"/>
        <v>0.51333177930391427</v>
      </c>
      <c r="L53" s="47">
        <f t="shared" si="2"/>
        <v>0.41200308415069303</v>
      </c>
      <c r="M53" s="84">
        <f t="shared" si="3"/>
        <v>0.92533486345460725</v>
      </c>
      <c r="N53" s="47">
        <f t="shared" si="4"/>
        <v>1.2946260467284691E-2</v>
      </c>
      <c r="O53" s="47">
        <f t="shared" si="5"/>
        <v>6.6165791030859435E-3</v>
      </c>
      <c r="P53" s="47">
        <f t="shared" si="6"/>
        <v>2.539044989151679E-2</v>
      </c>
      <c r="Q53" s="47">
        <f t="shared" si="7"/>
        <v>1</v>
      </c>
    </row>
    <row r="54" spans="1:17" x14ac:dyDescent="0.35">
      <c r="A54" s="82">
        <v>51</v>
      </c>
      <c r="B54" s="83" t="str">
        <f>_xlfn.XLOOKUP(A54,'TAZs by City - CCAG Model'!$A:$A,'TAZs by City - CCAG Model'!$B:$B,"Unknown")</f>
        <v>Unincorporated</v>
      </c>
      <c r="C54" s="82">
        <f>_xlfn.XLOOKUP(A54,'TAZs by City - CCAG Model'!$A:$A,'TAZs by City - CCAG Model'!$C:$C,999)</f>
        <v>3</v>
      </c>
      <c r="D54" s="82" t="str">
        <f t="shared" si="0"/>
        <v>NO</v>
      </c>
      <c r="E54" s="27">
        <v>490.58</v>
      </c>
      <c r="F54" s="27">
        <v>416.82</v>
      </c>
      <c r="G54" s="27">
        <v>2.06</v>
      </c>
      <c r="H54" s="27">
        <v>7.52</v>
      </c>
      <c r="I54" s="27">
        <v>25.66</v>
      </c>
      <c r="J54" s="27">
        <v>959.06</v>
      </c>
      <c r="K54" s="47">
        <f t="shared" si="1"/>
        <v>0.51152169832961447</v>
      </c>
      <c r="L54" s="47">
        <f t="shared" si="2"/>
        <v>0.43461305861989868</v>
      </c>
      <c r="M54" s="84">
        <f t="shared" si="3"/>
        <v>0.9461347569495131</v>
      </c>
      <c r="N54" s="47">
        <f t="shared" si="4"/>
        <v>2.1479365211769861E-3</v>
      </c>
      <c r="O54" s="47">
        <f t="shared" si="5"/>
        <v>7.8410109899276371E-3</v>
      </c>
      <c r="P54" s="47">
        <f t="shared" si="6"/>
        <v>2.6755364627864785E-2</v>
      </c>
      <c r="Q54" s="47">
        <f t="shared" si="7"/>
        <v>1</v>
      </c>
    </row>
    <row r="55" spans="1:17" x14ac:dyDescent="0.35">
      <c r="A55" s="82">
        <v>52</v>
      </c>
      <c r="B55" s="83" t="str">
        <f>_xlfn.XLOOKUP(A55,'TAZs by City - CCAG Model'!$A:$A,'TAZs by City - CCAG Model'!$B:$B,"Unknown")</f>
        <v>Unincorporated</v>
      </c>
      <c r="C55" s="82">
        <f>_xlfn.XLOOKUP(A55,'TAZs by City - CCAG Model'!$A:$A,'TAZs by City - CCAG Model'!$C:$C,999)</f>
        <v>3</v>
      </c>
      <c r="D55" s="82" t="str">
        <f t="shared" si="0"/>
        <v>NO</v>
      </c>
      <c r="E55" s="27">
        <v>926.74</v>
      </c>
      <c r="F55" s="27">
        <v>638.4</v>
      </c>
      <c r="G55" s="27">
        <v>4.82</v>
      </c>
      <c r="H55" s="27">
        <v>9.58</v>
      </c>
      <c r="I55" s="27">
        <v>34.92</v>
      </c>
      <c r="J55" s="27">
        <v>1641.66</v>
      </c>
      <c r="K55" s="47">
        <f t="shared" si="1"/>
        <v>0.56451396756941141</v>
      </c>
      <c r="L55" s="47">
        <f t="shared" si="2"/>
        <v>0.3888746756332005</v>
      </c>
      <c r="M55" s="84">
        <f t="shared" si="3"/>
        <v>0.95338864320261185</v>
      </c>
      <c r="N55" s="47">
        <f t="shared" si="4"/>
        <v>2.9360525321930242E-3</v>
      </c>
      <c r="O55" s="47">
        <f t="shared" si="5"/>
        <v>5.8355566926160101E-3</v>
      </c>
      <c r="P55" s="47">
        <f t="shared" si="6"/>
        <v>2.127115237016191E-2</v>
      </c>
      <c r="Q55" s="47">
        <f t="shared" si="7"/>
        <v>1</v>
      </c>
    </row>
    <row r="56" spans="1:17" x14ac:dyDescent="0.35">
      <c r="A56" s="82">
        <v>53</v>
      </c>
      <c r="B56" s="83" t="str">
        <f>_xlfn.XLOOKUP(A56,'TAZs by City - CCAG Model'!$A:$A,'TAZs by City - CCAG Model'!$B:$B,"Unknown")</f>
        <v>Unincorporated</v>
      </c>
      <c r="C56" s="82">
        <f>_xlfn.XLOOKUP(A56,'TAZs by City - CCAG Model'!$A:$A,'TAZs by City - CCAG Model'!$C:$C,999)</f>
        <v>3</v>
      </c>
      <c r="D56" s="82" t="str">
        <f t="shared" si="0"/>
        <v>NO</v>
      </c>
      <c r="E56" s="27">
        <v>437.08</v>
      </c>
      <c r="F56" s="27">
        <v>356.42</v>
      </c>
      <c r="G56" s="27">
        <v>2.16</v>
      </c>
      <c r="H56" s="27">
        <v>6.06</v>
      </c>
      <c r="I56" s="27">
        <v>21.26</v>
      </c>
      <c r="J56" s="27">
        <v>838.66</v>
      </c>
      <c r="K56" s="47">
        <f t="shared" si="1"/>
        <v>0.52116471514081986</v>
      </c>
      <c r="L56" s="47">
        <f t="shared" si="2"/>
        <v>0.42498748002766323</v>
      </c>
      <c r="M56" s="84">
        <f t="shared" si="3"/>
        <v>0.94615219516848315</v>
      </c>
      <c r="N56" s="47">
        <f t="shared" si="4"/>
        <v>2.5755371664321659E-3</v>
      </c>
      <c r="O56" s="47">
        <f t="shared" si="5"/>
        <v>7.2258126058235752E-3</v>
      </c>
      <c r="P56" s="47">
        <f t="shared" si="6"/>
        <v>2.5349963036272152E-2</v>
      </c>
      <c r="Q56" s="47">
        <f t="shared" si="7"/>
        <v>1</v>
      </c>
    </row>
    <row r="57" spans="1:17" x14ac:dyDescent="0.35">
      <c r="A57" s="82">
        <v>54</v>
      </c>
      <c r="B57" s="83" t="str">
        <f>_xlfn.XLOOKUP(A57,'TAZs by City - CCAG Model'!$A:$A,'TAZs by City - CCAG Model'!$B:$B,"Unknown")</f>
        <v>Unincorporated</v>
      </c>
      <c r="C57" s="82">
        <f>_xlfn.XLOOKUP(A57,'TAZs by City - CCAG Model'!$A:$A,'TAZs by City - CCAG Model'!$C:$C,999)</f>
        <v>3</v>
      </c>
      <c r="D57" s="82" t="str">
        <f t="shared" si="0"/>
        <v>NO</v>
      </c>
      <c r="E57" s="27">
        <v>1151.42</v>
      </c>
      <c r="F57" s="27">
        <v>949.68</v>
      </c>
      <c r="G57" s="27">
        <v>5.52</v>
      </c>
      <c r="H57" s="27">
        <v>13.34</v>
      </c>
      <c r="I57" s="27">
        <v>48.28</v>
      </c>
      <c r="J57" s="27">
        <v>2189.58</v>
      </c>
      <c r="K57" s="47">
        <f t="shared" si="1"/>
        <v>0.52586340759415051</v>
      </c>
      <c r="L57" s="47">
        <f t="shared" si="2"/>
        <v>0.43372701614008163</v>
      </c>
      <c r="M57" s="84">
        <f t="shared" si="3"/>
        <v>0.95959042373423209</v>
      </c>
      <c r="N57" s="47">
        <f t="shared" si="4"/>
        <v>2.5210314306853368E-3</v>
      </c>
      <c r="O57" s="47">
        <f t="shared" si="5"/>
        <v>6.0924926241562307E-3</v>
      </c>
      <c r="P57" s="47">
        <f t="shared" si="6"/>
        <v>2.2049890846646391E-2</v>
      </c>
      <c r="Q57" s="47">
        <f t="shared" si="7"/>
        <v>1</v>
      </c>
    </row>
    <row r="58" spans="1:17" x14ac:dyDescent="0.35">
      <c r="A58" s="82">
        <v>55</v>
      </c>
      <c r="B58" s="83" t="str">
        <f>_xlfn.XLOOKUP(A58,'TAZs by City - CCAG Model'!$A:$A,'TAZs by City - CCAG Model'!$B:$B,"Unknown")</f>
        <v>Unincorporated</v>
      </c>
      <c r="C58" s="82">
        <f>_xlfn.XLOOKUP(A58,'TAZs by City - CCAG Model'!$A:$A,'TAZs by City - CCAG Model'!$C:$C,999)</f>
        <v>3</v>
      </c>
      <c r="D58" s="82" t="str">
        <f t="shared" si="0"/>
        <v>NO</v>
      </c>
      <c r="E58" s="27">
        <v>432.32</v>
      </c>
      <c r="F58" s="27">
        <v>406.28</v>
      </c>
      <c r="G58" s="27">
        <v>24.18</v>
      </c>
      <c r="H58" s="27">
        <v>7.62</v>
      </c>
      <c r="I58" s="27">
        <v>36.18</v>
      </c>
      <c r="J58" s="27">
        <v>955.02</v>
      </c>
      <c r="K58" s="47">
        <f t="shared" si="1"/>
        <v>0.45268161923310507</v>
      </c>
      <c r="L58" s="47">
        <f t="shared" si="2"/>
        <v>0.42541517455131828</v>
      </c>
      <c r="M58" s="84">
        <f t="shared" si="3"/>
        <v>0.87809679378442329</v>
      </c>
      <c r="N58" s="47">
        <f t="shared" si="4"/>
        <v>2.531884149023057E-2</v>
      </c>
      <c r="O58" s="47">
        <f t="shared" si="5"/>
        <v>7.9788904944399081E-3</v>
      </c>
      <c r="P58" s="47">
        <f t="shared" si="6"/>
        <v>3.78840233712383E-2</v>
      </c>
      <c r="Q58" s="47">
        <f t="shared" si="7"/>
        <v>1</v>
      </c>
    </row>
    <row r="59" spans="1:17" x14ac:dyDescent="0.35">
      <c r="A59" s="82">
        <v>56</v>
      </c>
      <c r="B59" s="83" t="str">
        <f>_xlfn.XLOOKUP(A59,'TAZs by City - CCAG Model'!$A:$A,'TAZs by City - CCAG Model'!$B:$B,"Unknown")</f>
        <v>Unincorporated</v>
      </c>
      <c r="C59" s="82">
        <f>_xlfn.XLOOKUP(A59,'TAZs by City - CCAG Model'!$A:$A,'TAZs by City - CCAG Model'!$C:$C,999)</f>
        <v>3</v>
      </c>
      <c r="D59" s="82" t="str">
        <f t="shared" si="0"/>
        <v>NO</v>
      </c>
      <c r="E59" s="27">
        <v>516.52</v>
      </c>
      <c r="F59" s="27">
        <v>265.39999999999998</v>
      </c>
      <c r="G59" s="27">
        <v>14.96</v>
      </c>
      <c r="H59" s="27">
        <v>4.9400000000000004</v>
      </c>
      <c r="I59" s="27">
        <v>28.12</v>
      </c>
      <c r="J59" s="27">
        <v>875.54</v>
      </c>
      <c r="K59" s="47">
        <f t="shared" si="1"/>
        <v>0.58994449139959337</v>
      </c>
      <c r="L59" s="47">
        <f t="shared" si="2"/>
        <v>0.30312721292002648</v>
      </c>
      <c r="M59" s="84">
        <f t="shared" si="3"/>
        <v>0.89307170431961991</v>
      </c>
      <c r="N59" s="47">
        <f t="shared" si="4"/>
        <v>1.7086597985243396E-2</v>
      </c>
      <c r="O59" s="47">
        <f t="shared" si="5"/>
        <v>5.6422322223998907E-3</v>
      </c>
      <c r="P59" s="47">
        <f t="shared" si="6"/>
        <v>3.2117321881353224E-2</v>
      </c>
      <c r="Q59" s="47">
        <f t="shared" si="7"/>
        <v>1</v>
      </c>
    </row>
    <row r="60" spans="1:17" x14ac:dyDescent="0.35">
      <c r="A60" s="82">
        <v>57</v>
      </c>
      <c r="B60" s="83" t="str">
        <f>_xlfn.XLOOKUP(A60,'TAZs by City - CCAG Model'!$A:$A,'TAZs by City - CCAG Model'!$B:$B,"Unknown")</f>
        <v>Unincorporated</v>
      </c>
      <c r="C60" s="82">
        <f>_xlfn.XLOOKUP(A60,'TAZs by City - CCAG Model'!$A:$A,'TAZs by City - CCAG Model'!$C:$C,999)</f>
        <v>3</v>
      </c>
      <c r="D60" s="82" t="str">
        <f t="shared" si="0"/>
        <v>NO</v>
      </c>
      <c r="E60" s="27">
        <v>2686.64</v>
      </c>
      <c r="F60" s="27">
        <v>2148.8200000000002</v>
      </c>
      <c r="G60" s="27">
        <v>0</v>
      </c>
      <c r="H60" s="27">
        <v>25.34</v>
      </c>
      <c r="I60" s="27">
        <v>205.44</v>
      </c>
      <c r="J60" s="27">
        <v>5083.16</v>
      </c>
      <c r="K60" s="47">
        <f t="shared" si="1"/>
        <v>0.52853736652003869</v>
      </c>
      <c r="L60" s="47">
        <f t="shared" si="2"/>
        <v>0.42273310303039846</v>
      </c>
      <c r="M60" s="84">
        <f t="shared" si="3"/>
        <v>0.95127046955043715</v>
      </c>
      <c r="N60" s="47">
        <f t="shared" si="4"/>
        <v>0</v>
      </c>
      <c r="O60" s="47">
        <f t="shared" si="5"/>
        <v>4.9850880161159596E-3</v>
      </c>
      <c r="P60" s="47">
        <f t="shared" si="6"/>
        <v>4.0415804342180846E-2</v>
      </c>
      <c r="Q60" s="47">
        <f t="shared" si="7"/>
        <v>1</v>
      </c>
    </row>
    <row r="61" spans="1:17" x14ac:dyDescent="0.35">
      <c r="A61" s="82">
        <v>58</v>
      </c>
      <c r="B61" s="83" t="str">
        <f>_xlfn.XLOOKUP(A61,'TAZs by City - CCAG Model'!$A:$A,'TAZs by City - CCAG Model'!$B:$B,"Unknown")</f>
        <v>Unincorporated</v>
      </c>
      <c r="C61" s="82">
        <f>_xlfn.XLOOKUP(A61,'TAZs by City - CCAG Model'!$A:$A,'TAZs by City - CCAG Model'!$C:$C,999)</f>
        <v>3</v>
      </c>
      <c r="D61" s="82" t="str">
        <f t="shared" si="0"/>
        <v>NO</v>
      </c>
      <c r="E61" s="27">
        <v>367.32</v>
      </c>
      <c r="F61" s="27">
        <v>270.64</v>
      </c>
      <c r="G61" s="27">
        <v>13.58</v>
      </c>
      <c r="H61" s="27">
        <v>3.36</v>
      </c>
      <c r="I61" s="27">
        <v>18.78</v>
      </c>
      <c r="J61" s="27">
        <v>709.66</v>
      </c>
      <c r="K61" s="47">
        <f t="shared" si="1"/>
        <v>0.51759997745399211</v>
      </c>
      <c r="L61" s="47">
        <f t="shared" si="2"/>
        <v>0.38136572443141786</v>
      </c>
      <c r="M61" s="84">
        <f t="shared" si="3"/>
        <v>0.89896570188541003</v>
      </c>
      <c r="N61" s="47">
        <f t="shared" si="4"/>
        <v>1.9135924245413296E-2</v>
      </c>
      <c r="O61" s="47">
        <f t="shared" si="5"/>
        <v>4.7346616689682387E-3</v>
      </c>
      <c r="P61" s="47">
        <f t="shared" si="6"/>
        <v>2.6463376828340334E-2</v>
      </c>
      <c r="Q61" s="47">
        <f t="shared" si="7"/>
        <v>1</v>
      </c>
    </row>
    <row r="62" spans="1:17" x14ac:dyDescent="0.35">
      <c r="A62" s="82">
        <v>59</v>
      </c>
      <c r="B62" s="83" t="str">
        <f>_xlfn.XLOOKUP(A62,'TAZs by City - CCAG Model'!$A:$A,'TAZs by City - CCAG Model'!$B:$B,"Unknown")</f>
        <v>Unincorporated</v>
      </c>
      <c r="C62" s="82">
        <f>_xlfn.XLOOKUP(A62,'TAZs by City - CCAG Model'!$A:$A,'TAZs by City - CCAG Model'!$C:$C,999)</f>
        <v>3</v>
      </c>
      <c r="D62" s="82" t="str">
        <f t="shared" si="0"/>
        <v>NO</v>
      </c>
      <c r="E62" s="27">
        <v>358.58</v>
      </c>
      <c r="F62" s="27">
        <v>231.36</v>
      </c>
      <c r="G62" s="27">
        <v>11.64</v>
      </c>
      <c r="H62" s="27">
        <v>2.9</v>
      </c>
      <c r="I62" s="27">
        <v>15.26</v>
      </c>
      <c r="J62" s="27">
        <v>656.16</v>
      </c>
      <c r="K62" s="47">
        <f t="shared" si="1"/>
        <v>0.54648256522799321</v>
      </c>
      <c r="L62" s="47">
        <f t="shared" si="2"/>
        <v>0.35259692757863942</v>
      </c>
      <c r="M62" s="84">
        <f t="shared" si="3"/>
        <v>0.89907949280663269</v>
      </c>
      <c r="N62" s="47">
        <f t="shared" si="4"/>
        <v>1.7739575713240675E-2</v>
      </c>
      <c r="O62" s="47">
        <f t="shared" si="5"/>
        <v>4.4196537429895145E-3</v>
      </c>
      <c r="P62" s="47">
        <f t="shared" si="6"/>
        <v>2.3256522799317239E-2</v>
      </c>
      <c r="Q62" s="47">
        <f t="shared" si="7"/>
        <v>1</v>
      </c>
    </row>
    <row r="63" spans="1:17" x14ac:dyDescent="0.35">
      <c r="A63" s="82">
        <v>60</v>
      </c>
      <c r="B63" s="83" t="str">
        <f>_xlfn.XLOOKUP(A63,'TAZs by City - CCAG Model'!$A:$A,'TAZs by City - CCAG Model'!$B:$B,"Unknown")</f>
        <v>Unincorporated</v>
      </c>
      <c r="C63" s="82">
        <f>_xlfn.XLOOKUP(A63,'TAZs by City - CCAG Model'!$A:$A,'TAZs by City - CCAG Model'!$C:$C,999)</f>
        <v>3</v>
      </c>
      <c r="D63" s="82" t="str">
        <f t="shared" si="0"/>
        <v>NO</v>
      </c>
      <c r="E63" s="27">
        <v>1014.04</v>
      </c>
      <c r="F63" s="27">
        <v>659.1</v>
      </c>
      <c r="G63" s="27">
        <v>4.08</v>
      </c>
      <c r="H63" s="27">
        <v>4.8600000000000003</v>
      </c>
      <c r="I63" s="27">
        <v>40.08</v>
      </c>
      <c r="J63" s="27">
        <v>1750.9</v>
      </c>
      <c r="K63" s="47">
        <f t="shared" si="1"/>
        <v>0.57915357815980351</v>
      </c>
      <c r="L63" s="47">
        <f t="shared" si="2"/>
        <v>0.37643497629790396</v>
      </c>
      <c r="M63" s="84">
        <f t="shared" si="3"/>
        <v>0.9555885544577073</v>
      </c>
      <c r="N63" s="47">
        <f t="shared" si="4"/>
        <v>2.3302301673425096E-3</v>
      </c>
      <c r="O63" s="47">
        <f t="shared" si="5"/>
        <v>2.7757153463932836E-3</v>
      </c>
      <c r="P63" s="47">
        <f t="shared" si="6"/>
        <v>2.2891084585070533E-2</v>
      </c>
      <c r="Q63" s="47">
        <f t="shared" si="7"/>
        <v>1</v>
      </c>
    </row>
    <row r="64" spans="1:17" x14ac:dyDescent="0.35">
      <c r="A64" s="82">
        <v>61</v>
      </c>
      <c r="B64" s="83" t="str">
        <f>_xlfn.XLOOKUP(A64,'TAZs by City - CCAG Model'!$A:$A,'TAZs by City - CCAG Model'!$B:$B,"Unknown")</f>
        <v>Unincorporated</v>
      </c>
      <c r="C64" s="82">
        <f>_xlfn.XLOOKUP(A64,'TAZs by City - CCAG Model'!$A:$A,'TAZs by City - CCAG Model'!$C:$C,999)</f>
        <v>3</v>
      </c>
      <c r="D64" s="82" t="str">
        <f t="shared" si="0"/>
        <v>NO</v>
      </c>
      <c r="E64" s="27">
        <v>1558.9</v>
      </c>
      <c r="F64" s="27">
        <v>1299.76</v>
      </c>
      <c r="G64" s="27">
        <v>8.18</v>
      </c>
      <c r="H64" s="27">
        <v>10.28</v>
      </c>
      <c r="I64" s="27">
        <v>92.02</v>
      </c>
      <c r="J64" s="27">
        <v>2992.68</v>
      </c>
      <c r="K64" s="47">
        <f t="shared" si="1"/>
        <v>0.52090433992274487</v>
      </c>
      <c r="L64" s="47">
        <f t="shared" si="2"/>
        <v>0.43431305719288399</v>
      </c>
      <c r="M64" s="84">
        <f t="shared" si="3"/>
        <v>0.95521739711562881</v>
      </c>
      <c r="N64" s="47">
        <f t="shared" si="4"/>
        <v>2.7333360065225818E-3</v>
      </c>
      <c r="O64" s="47">
        <f t="shared" si="5"/>
        <v>3.4350481842362031E-3</v>
      </c>
      <c r="P64" s="47">
        <f t="shared" si="6"/>
        <v>3.0748359330098774E-2</v>
      </c>
      <c r="Q64" s="47">
        <f t="shared" si="7"/>
        <v>1</v>
      </c>
    </row>
    <row r="65" spans="1:17" x14ac:dyDescent="0.35">
      <c r="A65" s="82">
        <v>62</v>
      </c>
      <c r="B65" s="83" t="str">
        <f>_xlfn.XLOOKUP(A65,'TAZs by City - CCAG Model'!$A:$A,'TAZs by City - CCAG Model'!$B:$B,"Unknown")</f>
        <v>Unincorporated</v>
      </c>
      <c r="C65" s="82">
        <f>_xlfn.XLOOKUP(A65,'TAZs by City - CCAG Model'!$A:$A,'TAZs by City - CCAG Model'!$C:$C,999)</f>
        <v>3</v>
      </c>
      <c r="D65" s="82" t="str">
        <f t="shared" si="0"/>
        <v>NO</v>
      </c>
      <c r="E65" s="27">
        <v>1229.9000000000001</v>
      </c>
      <c r="F65" s="27">
        <v>915.06</v>
      </c>
      <c r="G65" s="27">
        <v>5.88</v>
      </c>
      <c r="H65" s="27">
        <v>8.02</v>
      </c>
      <c r="I65" s="27">
        <v>52.14</v>
      </c>
      <c r="J65" s="27">
        <v>2239.94</v>
      </c>
      <c r="K65" s="47">
        <f t="shared" si="1"/>
        <v>0.54907720742519894</v>
      </c>
      <c r="L65" s="47">
        <f t="shared" si="2"/>
        <v>0.40851987106797499</v>
      </c>
      <c r="M65" s="84">
        <f t="shared" si="3"/>
        <v>0.95759707849317388</v>
      </c>
      <c r="N65" s="47">
        <f t="shared" si="4"/>
        <v>2.625070314383421E-3</v>
      </c>
      <c r="O65" s="47">
        <f t="shared" si="5"/>
        <v>3.5804530478494956E-3</v>
      </c>
      <c r="P65" s="47">
        <f t="shared" si="6"/>
        <v>2.3277409216318296E-2</v>
      </c>
      <c r="Q65" s="47">
        <f t="shared" si="7"/>
        <v>1</v>
      </c>
    </row>
    <row r="66" spans="1:17" x14ac:dyDescent="0.35">
      <c r="A66" s="82">
        <v>63</v>
      </c>
      <c r="B66" s="83" t="str">
        <f>_xlfn.XLOOKUP(A66,'TAZs by City - CCAG Model'!$A:$A,'TAZs by City - CCAG Model'!$B:$B,"Unknown")</f>
        <v>Unincorporated</v>
      </c>
      <c r="C66" s="82">
        <f>_xlfn.XLOOKUP(A66,'TAZs by City - CCAG Model'!$A:$A,'TAZs by City - CCAG Model'!$C:$C,999)</f>
        <v>3</v>
      </c>
      <c r="D66" s="82" t="str">
        <f t="shared" si="0"/>
        <v>NO</v>
      </c>
      <c r="E66" s="27">
        <v>317.08</v>
      </c>
      <c r="F66" s="27">
        <v>241.84</v>
      </c>
      <c r="G66" s="27">
        <v>1.1399999999999999</v>
      </c>
      <c r="H66" s="27">
        <v>1.28</v>
      </c>
      <c r="I66" s="27">
        <v>14.18</v>
      </c>
      <c r="J66" s="27">
        <v>591.36</v>
      </c>
      <c r="K66" s="47">
        <f t="shared" si="1"/>
        <v>0.53618777056277056</v>
      </c>
      <c r="L66" s="47">
        <f t="shared" si="2"/>
        <v>0.40895562770562771</v>
      </c>
      <c r="M66" s="84">
        <f t="shared" si="3"/>
        <v>0.94514339826839822</v>
      </c>
      <c r="N66" s="47">
        <f t="shared" si="4"/>
        <v>1.92775974025974E-3</v>
      </c>
      <c r="O66" s="47">
        <f t="shared" si="5"/>
        <v>2.1645021645021645E-3</v>
      </c>
      <c r="P66" s="47">
        <f t="shared" si="6"/>
        <v>2.397862554112554E-2</v>
      </c>
      <c r="Q66" s="47">
        <f t="shared" si="7"/>
        <v>1</v>
      </c>
    </row>
    <row r="67" spans="1:17" x14ac:dyDescent="0.35">
      <c r="A67" s="82">
        <v>64</v>
      </c>
      <c r="B67" s="83" t="str">
        <f>_xlfn.XLOOKUP(A67,'TAZs by City - CCAG Model'!$A:$A,'TAZs by City - CCAG Model'!$B:$B,"Unknown")</f>
        <v>Unincorporated</v>
      </c>
      <c r="C67" s="82">
        <f>_xlfn.XLOOKUP(A67,'TAZs by City - CCAG Model'!$A:$A,'TAZs by City - CCAG Model'!$C:$C,999)</f>
        <v>3</v>
      </c>
      <c r="D67" s="82" t="str">
        <f t="shared" si="0"/>
        <v>NO</v>
      </c>
      <c r="E67" s="27">
        <v>942.92</v>
      </c>
      <c r="F67" s="27">
        <v>530.88</v>
      </c>
      <c r="G67" s="27">
        <v>13.26</v>
      </c>
      <c r="H67" s="27">
        <v>4.74</v>
      </c>
      <c r="I67" s="27">
        <v>22.24</v>
      </c>
      <c r="J67" s="27">
        <v>1560.88</v>
      </c>
      <c r="K67" s="47">
        <f t="shared" si="1"/>
        <v>0.60409512582645675</v>
      </c>
      <c r="L67" s="47">
        <f t="shared" si="2"/>
        <v>0.3401158320947158</v>
      </c>
      <c r="M67" s="84">
        <f t="shared" si="3"/>
        <v>0.9442109579211726</v>
      </c>
      <c r="N67" s="47">
        <f t="shared" si="4"/>
        <v>8.4952078314796779E-3</v>
      </c>
      <c r="O67" s="47">
        <f t="shared" si="5"/>
        <v>3.0367485008456767E-3</v>
      </c>
      <c r="P67" s="47">
        <f t="shared" si="6"/>
        <v>1.4248372712828659E-2</v>
      </c>
      <c r="Q67" s="47">
        <f t="shared" si="7"/>
        <v>1</v>
      </c>
    </row>
    <row r="68" spans="1:17" x14ac:dyDescent="0.35">
      <c r="A68" s="82">
        <v>65</v>
      </c>
      <c r="B68" s="83" t="str">
        <f>_xlfn.XLOOKUP(A68,'TAZs by City - CCAG Model'!$A:$A,'TAZs by City - CCAG Model'!$B:$B,"Unknown")</f>
        <v>Unincorporated</v>
      </c>
      <c r="C68" s="82">
        <f>_xlfn.XLOOKUP(A68,'TAZs by City - CCAG Model'!$A:$A,'TAZs by City - CCAG Model'!$C:$C,999)</f>
        <v>3</v>
      </c>
      <c r="D68" s="82" t="str">
        <f t="shared" si="0"/>
        <v>NO</v>
      </c>
      <c r="E68" s="27">
        <v>594.34</v>
      </c>
      <c r="F68" s="27">
        <v>455.28</v>
      </c>
      <c r="G68" s="27">
        <v>12.54</v>
      </c>
      <c r="H68" s="27">
        <v>4.0599999999999996</v>
      </c>
      <c r="I68" s="27">
        <v>18</v>
      </c>
      <c r="J68" s="27">
        <v>1119.24</v>
      </c>
      <c r="K68" s="47">
        <f t="shared" si="1"/>
        <v>0.53102104999821309</v>
      </c>
      <c r="L68" s="47">
        <f t="shared" si="2"/>
        <v>0.40677602658947137</v>
      </c>
      <c r="M68" s="84">
        <f t="shared" si="3"/>
        <v>0.93779707658768441</v>
      </c>
      <c r="N68" s="47">
        <f t="shared" si="4"/>
        <v>1.1204031306958292E-2</v>
      </c>
      <c r="O68" s="47">
        <f t="shared" si="5"/>
        <v>3.6274614917265282E-3</v>
      </c>
      <c r="P68" s="47">
        <f t="shared" si="6"/>
        <v>1.6082341588935348E-2</v>
      </c>
      <c r="Q68" s="47">
        <f t="shared" si="7"/>
        <v>1</v>
      </c>
    </row>
    <row r="69" spans="1:17" x14ac:dyDescent="0.35">
      <c r="A69" s="82">
        <v>66</v>
      </c>
      <c r="B69" s="83" t="str">
        <f>_xlfn.XLOOKUP(A69,'TAZs by City - CCAG Model'!$A:$A,'TAZs by City - CCAG Model'!$B:$B,"Unknown")</f>
        <v>Unincorporated</v>
      </c>
      <c r="C69" s="82">
        <f>_xlfn.XLOOKUP(A69,'TAZs by City - CCAG Model'!$A:$A,'TAZs by City - CCAG Model'!$C:$C,999)</f>
        <v>3</v>
      </c>
      <c r="D69" s="82" t="str">
        <f t="shared" ref="D69:D132" si="8">IF(C69=2,"YES","NO")</f>
        <v>NO</v>
      </c>
      <c r="E69" s="27">
        <v>267.32</v>
      </c>
      <c r="F69" s="27">
        <v>194.18</v>
      </c>
      <c r="G69" s="27">
        <v>4.32</v>
      </c>
      <c r="H69" s="27">
        <v>1.3</v>
      </c>
      <c r="I69" s="27">
        <v>2.04</v>
      </c>
      <c r="J69" s="27">
        <v>493.14</v>
      </c>
      <c r="K69" s="47">
        <f t="shared" ref="K69:K132" si="9">IFERROR(E69/$J69,0)</f>
        <v>0.54207730056373449</v>
      </c>
      <c r="L69" s="47">
        <f t="shared" ref="L69:L132" si="10">IFERROR(F69/$J69,0)</f>
        <v>0.39376242040799775</v>
      </c>
      <c r="M69" s="84">
        <f t="shared" ref="M69:M132" si="11">IFERROR((E69+F69)/J69,0)</f>
        <v>0.93583972097173218</v>
      </c>
      <c r="N69" s="47">
        <f t="shared" ref="N69:N132" si="12">IFERROR(G69/$J69,0)</f>
        <v>8.760189804112424E-3</v>
      </c>
      <c r="O69" s="47">
        <f t="shared" ref="O69:O132" si="13">IFERROR(H69/$J69,0)</f>
        <v>2.6361682280893867E-3</v>
      </c>
      <c r="P69" s="47">
        <f t="shared" ref="P69:P132" si="14">IFERROR(I69/$J69,0)</f>
        <v>4.1367562963864216E-3</v>
      </c>
      <c r="Q69" s="47">
        <f t="shared" ref="Q69:Q132" si="15">IFERROR(J69/$J69,0)</f>
        <v>1</v>
      </c>
    </row>
    <row r="70" spans="1:17" x14ac:dyDescent="0.35">
      <c r="A70" s="82">
        <v>67</v>
      </c>
      <c r="B70" s="83" t="str">
        <f>_xlfn.XLOOKUP(A70,'TAZs by City - CCAG Model'!$A:$A,'TAZs by City - CCAG Model'!$B:$B,"Unknown")</f>
        <v>Unincorporated</v>
      </c>
      <c r="C70" s="82">
        <f>_xlfn.XLOOKUP(A70,'TAZs by City - CCAG Model'!$A:$A,'TAZs by City - CCAG Model'!$C:$C,999)</f>
        <v>3</v>
      </c>
      <c r="D70" s="82" t="str">
        <f t="shared" si="8"/>
        <v>NO</v>
      </c>
      <c r="E70" s="27">
        <v>2857.2</v>
      </c>
      <c r="F70" s="27">
        <v>1783.6</v>
      </c>
      <c r="G70" s="27">
        <v>13.6</v>
      </c>
      <c r="H70" s="27">
        <v>21.64</v>
      </c>
      <c r="I70" s="27">
        <v>84.26</v>
      </c>
      <c r="J70" s="27">
        <v>4804.22</v>
      </c>
      <c r="K70" s="47">
        <f t="shared" si="9"/>
        <v>0.59472713572650704</v>
      </c>
      <c r="L70" s="47">
        <f t="shared" si="10"/>
        <v>0.37125693660989711</v>
      </c>
      <c r="M70" s="84">
        <f t="shared" si="11"/>
        <v>0.96598407233640404</v>
      </c>
      <c r="N70" s="47">
        <f t="shared" si="12"/>
        <v>2.8308445491671904E-3</v>
      </c>
      <c r="O70" s="47">
        <f t="shared" si="13"/>
        <v>4.5043732385277946E-3</v>
      </c>
      <c r="P70" s="47">
        <f t="shared" si="14"/>
        <v>1.7538747184766727E-2</v>
      </c>
      <c r="Q70" s="47">
        <f t="shared" si="15"/>
        <v>1</v>
      </c>
    </row>
    <row r="71" spans="1:17" x14ac:dyDescent="0.35">
      <c r="A71" s="82">
        <v>68</v>
      </c>
      <c r="B71" s="83" t="str">
        <f>_xlfn.XLOOKUP(A71,'TAZs by City - CCAG Model'!$A:$A,'TAZs by City - CCAG Model'!$B:$B,"Unknown")</f>
        <v>Unincorporated</v>
      </c>
      <c r="C71" s="82">
        <f>_xlfn.XLOOKUP(A71,'TAZs by City - CCAG Model'!$A:$A,'TAZs by City - CCAG Model'!$C:$C,999)</f>
        <v>3</v>
      </c>
      <c r="D71" s="82" t="str">
        <f t="shared" si="8"/>
        <v>NO</v>
      </c>
      <c r="E71" s="27">
        <v>540.20000000000005</v>
      </c>
      <c r="F71" s="27">
        <v>312.44</v>
      </c>
      <c r="G71" s="27">
        <v>13.32</v>
      </c>
      <c r="H71" s="27">
        <v>3.88</v>
      </c>
      <c r="I71" s="27">
        <v>11.3</v>
      </c>
      <c r="J71" s="27">
        <v>921.76</v>
      </c>
      <c r="K71" s="47">
        <f t="shared" si="9"/>
        <v>0.58605276861655964</v>
      </c>
      <c r="L71" s="47">
        <f t="shared" si="10"/>
        <v>0.33896024995660473</v>
      </c>
      <c r="M71" s="84">
        <f t="shared" si="11"/>
        <v>0.92501301857316454</v>
      </c>
      <c r="N71" s="47">
        <f t="shared" si="12"/>
        <v>1.4450616212463114E-2</v>
      </c>
      <c r="O71" s="47">
        <f t="shared" si="13"/>
        <v>4.2093386564832497E-3</v>
      </c>
      <c r="P71" s="47">
        <f t="shared" si="14"/>
        <v>1.2259156396458949E-2</v>
      </c>
      <c r="Q71" s="47">
        <f t="shared" si="15"/>
        <v>1</v>
      </c>
    </row>
    <row r="72" spans="1:17" x14ac:dyDescent="0.35">
      <c r="A72" s="82">
        <v>69</v>
      </c>
      <c r="B72" s="83" t="str">
        <f>_xlfn.XLOOKUP(A72,'TAZs by City - CCAG Model'!$A:$A,'TAZs by City - CCAG Model'!$B:$B,"Unknown")</f>
        <v>Unincorporated</v>
      </c>
      <c r="C72" s="82">
        <f>_xlfn.XLOOKUP(A72,'TAZs by City - CCAG Model'!$A:$A,'TAZs by City - CCAG Model'!$C:$C,999)</f>
        <v>3</v>
      </c>
      <c r="D72" s="82" t="str">
        <f t="shared" si="8"/>
        <v>NO</v>
      </c>
      <c r="E72" s="27">
        <v>167.64</v>
      </c>
      <c r="F72" s="27">
        <v>124.64</v>
      </c>
      <c r="G72" s="27">
        <v>0.66</v>
      </c>
      <c r="H72" s="27">
        <v>0.46</v>
      </c>
      <c r="I72" s="27">
        <v>5.86</v>
      </c>
      <c r="J72" s="27">
        <v>315.38</v>
      </c>
      <c r="K72" s="47">
        <f t="shared" si="9"/>
        <v>0.53154924218403188</v>
      </c>
      <c r="L72" s="47">
        <f t="shared" si="10"/>
        <v>0.39520578349927071</v>
      </c>
      <c r="M72" s="84">
        <f t="shared" si="11"/>
        <v>0.92675502568330259</v>
      </c>
      <c r="N72" s="47">
        <f t="shared" si="12"/>
        <v>2.0927135519056379E-3</v>
      </c>
      <c r="O72" s="47">
        <f t="shared" si="13"/>
        <v>1.4585579301160507E-3</v>
      </c>
      <c r="P72" s="47">
        <f t="shared" si="14"/>
        <v>1.8580759718434904E-2</v>
      </c>
      <c r="Q72" s="47">
        <f t="shared" si="15"/>
        <v>1</v>
      </c>
    </row>
    <row r="73" spans="1:17" x14ac:dyDescent="0.35">
      <c r="A73" s="82">
        <v>70</v>
      </c>
      <c r="B73" s="83" t="str">
        <f>_xlfn.XLOOKUP(A73,'TAZs by City - CCAG Model'!$A:$A,'TAZs by City - CCAG Model'!$B:$B,"Unknown")</f>
        <v>Unincorporated</v>
      </c>
      <c r="C73" s="82">
        <f>_xlfn.XLOOKUP(A73,'TAZs by City - CCAG Model'!$A:$A,'TAZs by City - CCAG Model'!$C:$C,999)</f>
        <v>3</v>
      </c>
      <c r="D73" s="82" t="str">
        <f t="shared" si="8"/>
        <v>NO</v>
      </c>
      <c r="E73" s="27">
        <v>752.54</v>
      </c>
      <c r="F73" s="27">
        <v>607.5</v>
      </c>
      <c r="G73" s="27">
        <v>3.56</v>
      </c>
      <c r="H73" s="27">
        <v>4.08</v>
      </c>
      <c r="I73" s="27">
        <v>47.28</v>
      </c>
      <c r="J73" s="27">
        <v>1432.38</v>
      </c>
      <c r="K73" s="47">
        <f t="shared" si="9"/>
        <v>0.52537734400089353</v>
      </c>
      <c r="L73" s="47">
        <f t="shared" si="10"/>
        <v>0.42411929795166087</v>
      </c>
      <c r="M73" s="84">
        <f t="shared" si="11"/>
        <v>0.94949664195255434</v>
      </c>
      <c r="N73" s="47">
        <f t="shared" si="12"/>
        <v>2.4853739929348354E-3</v>
      </c>
      <c r="O73" s="47">
        <f t="shared" si="13"/>
        <v>2.8484061492062159E-3</v>
      </c>
      <c r="P73" s="47">
        <f t="shared" si="14"/>
        <v>3.3008000670213207E-2</v>
      </c>
      <c r="Q73" s="47">
        <f t="shared" si="15"/>
        <v>1</v>
      </c>
    </row>
    <row r="74" spans="1:17" x14ac:dyDescent="0.35">
      <c r="A74" s="82">
        <v>71</v>
      </c>
      <c r="B74" s="83" t="str">
        <f>_xlfn.XLOOKUP(A74,'TAZs by City - CCAG Model'!$A:$A,'TAZs by City - CCAG Model'!$B:$B,"Unknown")</f>
        <v>Unincorporated</v>
      </c>
      <c r="C74" s="82">
        <f>_xlfn.XLOOKUP(A74,'TAZs by City - CCAG Model'!$A:$A,'TAZs by City - CCAG Model'!$C:$C,999)</f>
        <v>3</v>
      </c>
      <c r="D74" s="82" t="str">
        <f t="shared" si="8"/>
        <v>NO</v>
      </c>
      <c r="E74" s="27">
        <v>948.36</v>
      </c>
      <c r="F74" s="27">
        <v>749.88</v>
      </c>
      <c r="G74" s="27">
        <v>4.54</v>
      </c>
      <c r="H74" s="27">
        <v>5.52</v>
      </c>
      <c r="I74" s="27">
        <v>52.38</v>
      </c>
      <c r="J74" s="27">
        <v>1781.56</v>
      </c>
      <c r="K74" s="47">
        <f t="shared" si="9"/>
        <v>0.53231998922292822</v>
      </c>
      <c r="L74" s="47">
        <f t="shared" si="10"/>
        <v>0.4209120096993646</v>
      </c>
      <c r="M74" s="84">
        <f t="shared" si="11"/>
        <v>0.95323199892229282</v>
      </c>
      <c r="N74" s="47">
        <f t="shared" si="12"/>
        <v>2.5483284312624891E-3</v>
      </c>
      <c r="O74" s="47">
        <f t="shared" si="13"/>
        <v>3.0984081366891938E-3</v>
      </c>
      <c r="P74" s="47">
        <f t="shared" si="14"/>
        <v>2.9401198949235503E-2</v>
      </c>
      <c r="Q74" s="47">
        <f t="shared" si="15"/>
        <v>1</v>
      </c>
    </row>
    <row r="75" spans="1:17" x14ac:dyDescent="0.35">
      <c r="A75" s="82">
        <v>72</v>
      </c>
      <c r="B75" s="83" t="str">
        <f>_xlfn.XLOOKUP(A75,'TAZs by City - CCAG Model'!$A:$A,'TAZs by City - CCAG Model'!$B:$B,"Unknown")</f>
        <v>Unincorporated</v>
      </c>
      <c r="C75" s="82">
        <f>_xlfn.XLOOKUP(A75,'TAZs by City - CCAG Model'!$A:$A,'TAZs by City - CCAG Model'!$C:$C,999)</f>
        <v>3</v>
      </c>
      <c r="D75" s="82" t="str">
        <f t="shared" si="8"/>
        <v>NO</v>
      </c>
      <c r="E75" s="27">
        <v>950.68</v>
      </c>
      <c r="F75" s="27">
        <v>738.32</v>
      </c>
      <c r="G75" s="27">
        <v>0</v>
      </c>
      <c r="H75" s="27">
        <v>10.3</v>
      </c>
      <c r="I75" s="27">
        <v>41.7</v>
      </c>
      <c r="J75" s="27">
        <v>1752.42</v>
      </c>
      <c r="K75" s="47">
        <f t="shared" si="9"/>
        <v>0.54249552048025007</v>
      </c>
      <c r="L75" s="47">
        <f t="shared" si="10"/>
        <v>0.42131452505677863</v>
      </c>
      <c r="M75" s="84">
        <f t="shared" si="11"/>
        <v>0.96381004553702876</v>
      </c>
      <c r="N75" s="47">
        <f t="shared" si="12"/>
        <v>0</v>
      </c>
      <c r="O75" s="47">
        <f t="shared" si="13"/>
        <v>5.8775864233460021E-3</v>
      </c>
      <c r="P75" s="47">
        <f t="shared" si="14"/>
        <v>2.3795665422672647E-2</v>
      </c>
      <c r="Q75" s="47">
        <f t="shared" si="15"/>
        <v>1</v>
      </c>
    </row>
    <row r="76" spans="1:17" x14ac:dyDescent="0.35">
      <c r="A76" s="82">
        <v>73</v>
      </c>
      <c r="B76" s="83" t="str">
        <f>_xlfn.XLOOKUP(A76,'TAZs by City - CCAG Model'!$A:$A,'TAZs by City - CCAG Model'!$B:$B,"Unknown")</f>
        <v>Unincorporated</v>
      </c>
      <c r="C76" s="82">
        <f>_xlfn.XLOOKUP(A76,'TAZs by City - CCAG Model'!$A:$A,'TAZs by City - CCAG Model'!$C:$C,999)</f>
        <v>3</v>
      </c>
      <c r="D76" s="82" t="str">
        <f t="shared" si="8"/>
        <v>NO</v>
      </c>
      <c r="E76" s="27">
        <v>527.34</v>
      </c>
      <c r="F76" s="27">
        <v>425.42</v>
      </c>
      <c r="G76" s="27">
        <v>0</v>
      </c>
      <c r="H76" s="27">
        <v>2.52</v>
      </c>
      <c r="I76" s="27">
        <v>29.04</v>
      </c>
      <c r="J76" s="27">
        <v>996.78</v>
      </c>
      <c r="K76" s="47">
        <f t="shared" si="9"/>
        <v>0.52904352013483424</v>
      </c>
      <c r="L76" s="47">
        <f t="shared" si="10"/>
        <v>0.42679427757378763</v>
      </c>
      <c r="M76" s="84">
        <f t="shared" si="11"/>
        <v>0.95583779770862176</v>
      </c>
      <c r="N76" s="47">
        <f t="shared" si="12"/>
        <v>0</v>
      </c>
      <c r="O76" s="47">
        <f t="shared" si="13"/>
        <v>2.5281406127731294E-3</v>
      </c>
      <c r="P76" s="47">
        <f t="shared" si="14"/>
        <v>2.9133810871004636E-2</v>
      </c>
      <c r="Q76" s="47">
        <f t="shared" si="15"/>
        <v>1</v>
      </c>
    </row>
    <row r="77" spans="1:17" x14ac:dyDescent="0.35">
      <c r="A77" s="82">
        <v>74</v>
      </c>
      <c r="B77" s="83" t="str">
        <f>_xlfn.XLOOKUP(A77,'TAZs by City - CCAG Model'!$A:$A,'TAZs by City - CCAG Model'!$B:$B,"Unknown")</f>
        <v>Unincorporated</v>
      </c>
      <c r="C77" s="82">
        <f>_xlfn.XLOOKUP(A77,'TAZs by City - CCAG Model'!$A:$A,'TAZs by City - CCAG Model'!$C:$C,999)</f>
        <v>3</v>
      </c>
      <c r="D77" s="82" t="str">
        <f t="shared" si="8"/>
        <v>NO</v>
      </c>
      <c r="E77" s="27">
        <v>1344.16</v>
      </c>
      <c r="F77" s="27">
        <v>1144.5999999999999</v>
      </c>
      <c r="G77" s="27">
        <v>0</v>
      </c>
      <c r="H77" s="27">
        <v>6.24</v>
      </c>
      <c r="I77" s="27">
        <v>45.6</v>
      </c>
      <c r="J77" s="27">
        <v>2551.48</v>
      </c>
      <c r="K77" s="47">
        <f t="shared" si="9"/>
        <v>0.52681580886387513</v>
      </c>
      <c r="L77" s="47">
        <f t="shared" si="10"/>
        <v>0.44860237979525602</v>
      </c>
      <c r="M77" s="84">
        <f t="shared" si="11"/>
        <v>0.97541818865913121</v>
      </c>
      <c r="N77" s="47">
        <f t="shared" si="12"/>
        <v>0</v>
      </c>
      <c r="O77" s="47">
        <f t="shared" si="13"/>
        <v>2.445639393606848E-3</v>
      </c>
      <c r="P77" s="47">
        <f t="shared" si="14"/>
        <v>1.7871980184050042E-2</v>
      </c>
      <c r="Q77" s="47">
        <f t="shared" si="15"/>
        <v>1</v>
      </c>
    </row>
    <row r="78" spans="1:17" x14ac:dyDescent="0.35">
      <c r="A78" s="82">
        <v>75</v>
      </c>
      <c r="B78" s="83" t="str">
        <f>_xlfn.XLOOKUP(A78,'TAZs by City - CCAG Model'!$A:$A,'TAZs by City - CCAG Model'!$B:$B,"Unknown")</f>
        <v>Unincorporated</v>
      </c>
      <c r="C78" s="82">
        <f>_xlfn.XLOOKUP(A78,'TAZs by City - CCAG Model'!$A:$A,'TAZs by City - CCAG Model'!$C:$C,999)</f>
        <v>3</v>
      </c>
      <c r="D78" s="82" t="str">
        <f t="shared" si="8"/>
        <v>NO</v>
      </c>
      <c r="E78" s="27">
        <v>229.08</v>
      </c>
      <c r="F78" s="27">
        <v>178.24</v>
      </c>
      <c r="G78" s="27">
        <v>0.5</v>
      </c>
      <c r="H78" s="27">
        <v>0.1</v>
      </c>
      <c r="I78" s="27">
        <v>7.22</v>
      </c>
      <c r="J78" s="27">
        <v>428.44</v>
      </c>
      <c r="K78" s="47">
        <f t="shared" si="9"/>
        <v>0.53468396975072363</v>
      </c>
      <c r="L78" s="47">
        <f t="shared" si="10"/>
        <v>0.41602091308001121</v>
      </c>
      <c r="M78" s="84">
        <f t="shared" si="11"/>
        <v>0.95070488283073484</v>
      </c>
      <c r="N78" s="47">
        <f t="shared" si="12"/>
        <v>1.1670245541966202E-3</v>
      </c>
      <c r="O78" s="47">
        <f t="shared" si="13"/>
        <v>2.3340491083932407E-4</v>
      </c>
      <c r="P78" s="47">
        <f t="shared" si="14"/>
        <v>1.6851834562599196E-2</v>
      </c>
      <c r="Q78" s="47">
        <f t="shared" si="15"/>
        <v>1</v>
      </c>
    </row>
    <row r="79" spans="1:17" x14ac:dyDescent="0.35">
      <c r="A79" s="82">
        <v>76</v>
      </c>
      <c r="B79" s="83" t="str">
        <f>_xlfn.XLOOKUP(A79,'TAZs by City - CCAG Model'!$A:$A,'TAZs by City - CCAG Model'!$B:$B,"Unknown")</f>
        <v>Unincorporated</v>
      </c>
      <c r="C79" s="82">
        <f>_xlfn.XLOOKUP(A79,'TAZs by City - CCAG Model'!$A:$A,'TAZs by City - CCAG Model'!$C:$C,999)</f>
        <v>3</v>
      </c>
      <c r="D79" s="82" t="str">
        <f t="shared" si="8"/>
        <v>NO</v>
      </c>
      <c r="E79" s="27">
        <v>360.9</v>
      </c>
      <c r="F79" s="27">
        <v>131.86000000000001</v>
      </c>
      <c r="G79" s="27">
        <v>0</v>
      </c>
      <c r="H79" s="27">
        <v>0</v>
      </c>
      <c r="I79" s="27">
        <v>0.72</v>
      </c>
      <c r="J79" s="27">
        <v>508.62</v>
      </c>
      <c r="K79" s="47">
        <f t="shared" si="9"/>
        <v>0.70956706381974755</v>
      </c>
      <c r="L79" s="47">
        <f t="shared" si="10"/>
        <v>0.25925052101765567</v>
      </c>
      <c r="M79" s="84">
        <f t="shared" si="11"/>
        <v>0.9688175848374031</v>
      </c>
      <c r="N79" s="47">
        <f t="shared" si="12"/>
        <v>0</v>
      </c>
      <c r="O79" s="47">
        <f t="shared" si="13"/>
        <v>0</v>
      </c>
      <c r="P79" s="47">
        <f t="shared" si="14"/>
        <v>1.41559513979002E-3</v>
      </c>
      <c r="Q79" s="47">
        <f t="shared" si="15"/>
        <v>1</v>
      </c>
    </row>
    <row r="80" spans="1:17" x14ac:dyDescent="0.35">
      <c r="A80" s="82">
        <v>77</v>
      </c>
      <c r="B80" s="83" t="str">
        <f>_xlfn.XLOOKUP(A80,'TAZs by City - CCAG Model'!$A:$A,'TAZs by City - CCAG Model'!$B:$B,"Unknown")</f>
        <v>Unincorporated</v>
      </c>
      <c r="C80" s="82">
        <f>_xlfn.XLOOKUP(A80,'TAZs by City - CCAG Model'!$A:$A,'TAZs by City - CCAG Model'!$C:$C,999)</f>
        <v>3</v>
      </c>
      <c r="D80" s="82" t="str">
        <f t="shared" si="8"/>
        <v>NO</v>
      </c>
      <c r="E80" s="27">
        <v>503.58</v>
      </c>
      <c r="F80" s="27">
        <v>413.74</v>
      </c>
      <c r="G80" s="27">
        <v>0</v>
      </c>
      <c r="H80" s="27">
        <v>3.72</v>
      </c>
      <c r="I80" s="27">
        <v>16.18</v>
      </c>
      <c r="J80" s="27">
        <v>951.44</v>
      </c>
      <c r="K80" s="47">
        <f t="shared" si="9"/>
        <v>0.52928193054738082</v>
      </c>
      <c r="L80" s="47">
        <f t="shared" si="10"/>
        <v>0.43485663835869837</v>
      </c>
      <c r="M80" s="84">
        <f t="shared" si="11"/>
        <v>0.96413856890607907</v>
      </c>
      <c r="N80" s="47">
        <f t="shared" si="12"/>
        <v>0</v>
      </c>
      <c r="O80" s="47">
        <f t="shared" si="13"/>
        <v>3.9098629445892541E-3</v>
      </c>
      <c r="P80" s="47">
        <f t="shared" si="14"/>
        <v>1.7005801732111324E-2</v>
      </c>
      <c r="Q80" s="47">
        <f t="shared" si="15"/>
        <v>1</v>
      </c>
    </row>
    <row r="81" spans="1:17" x14ac:dyDescent="0.35">
      <c r="A81" s="82">
        <v>78</v>
      </c>
      <c r="B81" s="83" t="str">
        <f>_xlfn.XLOOKUP(A81,'TAZs by City - CCAG Model'!$A:$A,'TAZs by City - CCAG Model'!$B:$B,"Unknown")</f>
        <v>Unincorporated</v>
      </c>
      <c r="C81" s="82">
        <f>_xlfn.XLOOKUP(A81,'TAZs by City - CCAG Model'!$A:$A,'TAZs by City - CCAG Model'!$C:$C,999)</f>
        <v>3</v>
      </c>
      <c r="D81" s="82" t="str">
        <f t="shared" si="8"/>
        <v>NO</v>
      </c>
      <c r="E81" s="27">
        <v>2483.86</v>
      </c>
      <c r="F81" s="27">
        <v>1724.26</v>
      </c>
      <c r="G81" s="27">
        <v>21.22</v>
      </c>
      <c r="H81" s="27">
        <v>47.6</v>
      </c>
      <c r="I81" s="27">
        <v>121.58</v>
      </c>
      <c r="J81" s="27">
        <v>4451.24</v>
      </c>
      <c r="K81" s="47">
        <f t="shared" si="9"/>
        <v>0.55801529461453447</v>
      </c>
      <c r="L81" s="47">
        <f t="shared" si="10"/>
        <v>0.38736621705412427</v>
      </c>
      <c r="M81" s="84">
        <f t="shared" si="11"/>
        <v>0.94538151166865869</v>
      </c>
      <c r="N81" s="47">
        <f t="shared" si="12"/>
        <v>4.7672109344811782E-3</v>
      </c>
      <c r="O81" s="47">
        <f t="shared" si="13"/>
        <v>1.0693649410052032E-2</v>
      </c>
      <c r="P81" s="47">
        <f t="shared" si="14"/>
        <v>2.7313737295674913E-2</v>
      </c>
      <c r="Q81" s="47">
        <f t="shared" si="15"/>
        <v>1</v>
      </c>
    </row>
    <row r="82" spans="1:17" x14ac:dyDescent="0.35">
      <c r="A82" s="82">
        <v>79</v>
      </c>
      <c r="B82" s="83" t="str">
        <f>_xlfn.XLOOKUP(A82,'TAZs by City - CCAG Model'!$A:$A,'TAZs by City - CCAG Model'!$B:$B,"Unknown")</f>
        <v>Unincorporated</v>
      </c>
      <c r="C82" s="82">
        <f>_xlfn.XLOOKUP(A82,'TAZs by City - CCAG Model'!$A:$A,'TAZs by City - CCAG Model'!$C:$C,999)</f>
        <v>3</v>
      </c>
      <c r="D82" s="82" t="str">
        <f t="shared" si="8"/>
        <v>NO</v>
      </c>
      <c r="E82" s="27">
        <v>3812.08</v>
      </c>
      <c r="F82" s="27">
        <v>2596.58</v>
      </c>
      <c r="G82" s="27">
        <v>20.6</v>
      </c>
      <c r="H82" s="27">
        <v>78.540000000000006</v>
      </c>
      <c r="I82" s="27">
        <v>204.14</v>
      </c>
      <c r="J82" s="27">
        <v>6757.76</v>
      </c>
      <c r="K82" s="47">
        <f t="shared" si="9"/>
        <v>0.56410408182593041</v>
      </c>
      <c r="L82" s="47">
        <f t="shared" si="10"/>
        <v>0.38423678852164028</v>
      </c>
      <c r="M82" s="84">
        <f t="shared" si="11"/>
        <v>0.94834087034757075</v>
      </c>
      <c r="N82" s="47">
        <f t="shared" si="12"/>
        <v>3.0483473813808126E-3</v>
      </c>
      <c r="O82" s="47">
        <f t="shared" si="13"/>
        <v>1.1622194336584905E-2</v>
      </c>
      <c r="P82" s="47">
        <f t="shared" si="14"/>
        <v>3.0208234681314516E-2</v>
      </c>
      <c r="Q82" s="47">
        <f t="shared" si="15"/>
        <v>1</v>
      </c>
    </row>
    <row r="83" spans="1:17" x14ac:dyDescent="0.35">
      <c r="A83" s="82">
        <v>80</v>
      </c>
      <c r="B83" s="83" t="str">
        <f>_xlfn.XLOOKUP(A83,'TAZs by City - CCAG Model'!$A:$A,'TAZs by City - CCAG Model'!$B:$B,"Unknown")</f>
        <v>Unincorporated</v>
      </c>
      <c r="C83" s="82">
        <f>_xlfn.XLOOKUP(A83,'TAZs by City - CCAG Model'!$A:$A,'TAZs by City - CCAG Model'!$C:$C,999)</f>
        <v>3</v>
      </c>
      <c r="D83" s="82" t="str">
        <f t="shared" si="8"/>
        <v>NO</v>
      </c>
      <c r="E83" s="27">
        <v>1377.82</v>
      </c>
      <c r="F83" s="27">
        <v>906.5</v>
      </c>
      <c r="G83" s="27">
        <v>0</v>
      </c>
      <c r="H83" s="27">
        <v>0.88</v>
      </c>
      <c r="I83" s="27">
        <v>30.72</v>
      </c>
      <c r="J83" s="27">
        <v>2333.64</v>
      </c>
      <c r="K83" s="47">
        <f t="shared" si="9"/>
        <v>0.59041668809242209</v>
      </c>
      <c r="L83" s="47">
        <f t="shared" si="10"/>
        <v>0.38844894670986102</v>
      </c>
      <c r="M83" s="84">
        <f t="shared" si="11"/>
        <v>0.97886563480228306</v>
      </c>
      <c r="N83" s="47">
        <f t="shared" si="12"/>
        <v>0</v>
      </c>
      <c r="O83" s="47">
        <f t="shared" si="13"/>
        <v>3.7709329630962788E-4</v>
      </c>
      <c r="P83" s="47">
        <f t="shared" si="14"/>
        <v>1.3163984162081555E-2</v>
      </c>
      <c r="Q83" s="47">
        <f t="shared" si="15"/>
        <v>1</v>
      </c>
    </row>
    <row r="84" spans="1:17" x14ac:dyDescent="0.35">
      <c r="A84" s="82">
        <v>81</v>
      </c>
      <c r="B84" s="83" t="str">
        <f>_xlfn.XLOOKUP(A84,'TAZs by City - CCAG Model'!$A:$A,'TAZs by City - CCAG Model'!$B:$B,"Unknown")</f>
        <v>Unincorporated</v>
      </c>
      <c r="C84" s="82">
        <f>_xlfn.XLOOKUP(A84,'TAZs by City - CCAG Model'!$A:$A,'TAZs by City - CCAG Model'!$C:$C,999)</f>
        <v>3</v>
      </c>
      <c r="D84" s="82" t="str">
        <f t="shared" si="8"/>
        <v>NO</v>
      </c>
      <c r="E84" s="27">
        <v>102.18</v>
      </c>
      <c r="F84" s="27">
        <v>41.14</v>
      </c>
      <c r="G84" s="27">
        <v>0</v>
      </c>
      <c r="H84" s="27">
        <v>0.02</v>
      </c>
      <c r="I84" s="27">
        <v>0.1</v>
      </c>
      <c r="J84" s="27">
        <v>163.76</v>
      </c>
      <c r="K84" s="47">
        <f t="shared" si="9"/>
        <v>0.62396189545676606</v>
      </c>
      <c r="L84" s="47">
        <f t="shared" si="10"/>
        <v>0.25122129946262828</v>
      </c>
      <c r="M84" s="84">
        <f t="shared" si="11"/>
        <v>0.87518319491939423</v>
      </c>
      <c r="N84" s="47">
        <f t="shared" si="12"/>
        <v>0</v>
      </c>
      <c r="O84" s="47">
        <f t="shared" si="13"/>
        <v>1.2212994626282364E-4</v>
      </c>
      <c r="P84" s="47">
        <f t="shared" si="14"/>
        <v>6.1064973131411831E-4</v>
      </c>
      <c r="Q84" s="47">
        <f t="shared" si="15"/>
        <v>1</v>
      </c>
    </row>
    <row r="85" spans="1:17" x14ac:dyDescent="0.35">
      <c r="A85" s="82">
        <v>82</v>
      </c>
      <c r="B85" s="83" t="str">
        <f>_xlfn.XLOOKUP(A85,'TAZs by City - CCAG Model'!$A:$A,'TAZs by City - CCAG Model'!$B:$B,"Unknown")</f>
        <v>Unincorporated</v>
      </c>
      <c r="C85" s="82">
        <f>_xlfn.XLOOKUP(A85,'TAZs by City - CCAG Model'!$A:$A,'TAZs by City - CCAG Model'!$C:$C,999)</f>
        <v>3</v>
      </c>
      <c r="D85" s="82" t="str">
        <f t="shared" si="8"/>
        <v>NO</v>
      </c>
      <c r="E85" s="27">
        <v>2688.18</v>
      </c>
      <c r="F85" s="27">
        <v>1017</v>
      </c>
      <c r="G85" s="27">
        <v>0</v>
      </c>
      <c r="H85" s="27">
        <v>16.66</v>
      </c>
      <c r="I85" s="27">
        <v>49.46</v>
      </c>
      <c r="J85" s="27">
        <v>3797.08</v>
      </c>
      <c r="K85" s="47">
        <f t="shared" si="9"/>
        <v>0.70795980068895048</v>
      </c>
      <c r="L85" s="47">
        <f t="shared" si="10"/>
        <v>0.26783739083716962</v>
      </c>
      <c r="M85" s="84">
        <f t="shared" si="11"/>
        <v>0.9757971915261201</v>
      </c>
      <c r="N85" s="47">
        <f t="shared" si="12"/>
        <v>0</v>
      </c>
      <c r="O85" s="47">
        <f t="shared" si="13"/>
        <v>4.3875820367229555E-3</v>
      </c>
      <c r="P85" s="47">
        <f t="shared" si="14"/>
        <v>1.3025798771687719E-2</v>
      </c>
      <c r="Q85" s="47">
        <f t="shared" si="15"/>
        <v>1</v>
      </c>
    </row>
    <row r="86" spans="1:17" x14ac:dyDescent="0.35">
      <c r="A86" s="82">
        <v>83</v>
      </c>
      <c r="B86" s="83" t="str">
        <f>_xlfn.XLOOKUP(A86,'TAZs by City - CCAG Model'!$A:$A,'TAZs by City - CCAG Model'!$B:$B,"Unknown")</f>
        <v>Unincorporated</v>
      </c>
      <c r="C86" s="82">
        <f>_xlfn.XLOOKUP(A86,'TAZs by City - CCAG Model'!$A:$A,'TAZs by City - CCAG Model'!$C:$C,999)</f>
        <v>3</v>
      </c>
      <c r="D86" s="82" t="str">
        <f t="shared" si="8"/>
        <v>NO</v>
      </c>
      <c r="E86" s="27">
        <v>7284.86</v>
      </c>
      <c r="F86" s="27">
        <v>4412.18</v>
      </c>
      <c r="G86" s="27">
        <v>0</v>
      </c>
      <c r="H86" s="27">
        <v>10.64</v>
      </c>
      <c r="I86" s="27">
        <v>360.7</v>
      </c>
      <c r="J86" s="27">
        <v>12089.16</v>
      </c>
      <c r="K86" s="47">
        <f t="shared" si="9"/>
        <v>0.60259439034639295</v>
      </c>
      <c r="L86" s="47">
        <f t="shared" si="10"/>
        <v>0.36496994001237476</v>
      </c>
      <c r="M86" s="84">
        <f t="shared" si="11"/>
        <v>0.96756433035876777</v>
      </c>
      <c r="N86" s="47">
        <f t="shared" si="12"/>
        <v>0</v>
      </c>
      <c r="O86" s="47">
        <f t="shared" si="13"/>
        <v>8.8012732067405846E-4</v>
      </c>
      <c r="P86" s="47">
        <f t="shared" si="14"/>
        <v>2.9836647045783163E-2</v>
      </c>
      <c r="Q86" s="47">
        <f t="shared" si="15"/>
        <v>1</v>
      </c>
    </row>
    <row r="87" spans="1:17" x14ac:dyDescent="0.35">
      <c r="A87" s="82">
        <v>84</v>
      </c>
      <c r="B87" s="83" t="str">
        <f>_xlfn.XLOOKUP(A87,'TAZs by City - CCAG Model'!$A:$A,'TAZs by City - CCAG Model'!$B:$B,"Unknown")</f>
        <v>Unincorporated</v>
      </c>
      <c r="C87" s="82">
        <f>_xlfn.XLOOKUP(A87,'TAZs by City - CCAG Model'!$A:$A,'TAZs by City - CCAG Model'!$C:$C,999)</f>
        <v>3</v>
      </c>
      <c r="D87" s="82" t="str">
        <f t="shared" si="8"/>
        <v>NO</v>
      </c>
      <c r="E87" s="27">
        <v>5205.9399999999996</v>
      </c>
      <c r="F87" s="27">
        <v>3309.52</v>
      </c>
      <c r="G87" s="27">
        <v>0</v>
      </c>
      <c r="H87" s="27">
        <v>2.82</v>
      </c>
      <c r="I87" s="27">
        <v>99.54</v>
      </c>
      <c r="J87" s="27">
        <v>8639.42</v>
      </c>
      <c r="K87" s="47">
        <f t="shared" si="9"/>
        <v>0.60257980281083678</v>
      </c>
      <c r="L87" s="47">
        <f t="shared" si="10"/>
        <v>0.38307201177856848</v>
      </c>
      <c r="M87" s="84">
        <f t="shared" si="11"/>
        <v>0.98565181458940521</v>
      </c>
      <c r="N87" s="47">
        <f t="shared" si="12"/>
        <v>0</v>
      </c>
      <c r="O87" s="47">
        <f t="shared" si="13"/>
        <v>3.2641080072504867E-4</v>
      </c>
      <c r="P87" s="47">
        <f t="shared" si="14"/>
        <v>1.1521606774528846E-2</v>
      </c>
      <c r="Q87" s="47">
        <f t="shared" si="15"/>
        <v>1</v>
      </c>
    </row>
    <row r="88" spans="1:17" x14ac:dyDescent="0.35">
      <c r="A88" s="82">
        <v>85</v>
      </c>
      <c r="B88" s="83" t="str">
        <f>_xlfn.XLOOKUP(A88,'TAZs by City - CCAG Model'!$A:$A,'TAZs by City - CCAG Model'!$B:$B,"Unknown")</f>
        <v>Unincorporated</v>
      </c>
      <c r="C88" s="82">
        <f>_xlfn.XLOOKUP(A88,'TAZs by City - CCAG Model'!$A:$A,'TAZs by City - CCAG Model'!$C:$C,999)</f>
        <v>3</v>
      </c>
      <c r="D88" s="82" t="str">
        <f t="shared" si="8"/>
        <v>NO</v>
      </c>
      <c r="E88" s="27">
        <v>574.14</v>
      </c>
      <c r="F88" s="27">
        <v>324.54000000000002</v>
      </c>
      <c r="G88" s="27">
        <v>0</v>
      </c>
      <c r="H88" s="27">
        <v>4.82</v>
      </c>
      <c r="I88" s="27">
        <v>9.06</v>
      </c>
      <c r="J88" s="27">
        <v>937.06</v>
      </c>
      <c r="K88" s="47">
        <f t="shared" si="9"/>
        <v>0.61270356220519495</v>
      </c>
      <c r="L88" s="47">
        <f t="shared" si="10"/>
        <v>0.34633854822530047</v>
      </c>
      <c r="M88" s="84">
        <f t="shared" si="11"/>
        <v>0.95904211043049548</v>
      </c>
      <c r="N88" s="47">
        <f t="shared" si="12"/>
        <v>0</v>
      </c>
      <c r="O88" s="47">
        <f t="shared" si="13"/>
        <v>5.1437474654771314E-3</v>
      </c>
      <c r="P88" s="47">
        <f t="shared" si="14"/>
        <v>9.6685377670586731E-3</v>
      </c>
      <c r="Q88" s="47">
        <f t="shared" si="15"/>
        <v>1</v>
      </c>
    </row>
    <row r="89" spans="1:17" x14ac:dyDescent="0.35">
      <c r="A89" s="82">
        <v>86</v>
      </c>
      <c r="B89" s="83" t="str">
        <f>_xlfn.XLOOKUP(A89,'TAZs by City - CCAG Model'!$A:$A,'TAZs by City - CCAG Model'!$B:$B,"Unknown")</f>
        <v>Cupertino</v>
      </c>
      <c r="C89" s="82">
        <f>_xlfn.XLOOKUP(A89,'TAZs by City - CCAG Model'!$A:$A,'TAZs by City - CCAG Model'!$C:$C,999)</f>
        <v>3</v>
      </c>
      <c r="D89" s="82" t="str">
        <f t="shared" si="8"/>
        <v>NO</v>
      </c>
      <c r="E89" s="27">
        <v>6497.62</v>
      </c>
      <c r="F89" s="27">
        <v>4124.5600000000004</v>
      </c>
      <c r="G89" s="27">
        <v>118.06</v>
      </c>
      <c r="H89" s="27">
        <v>132.54</v>
      </c>
      <c r="I89" s="27">
        <v>600.48</v>
      </c>
      <c r="J89" s="27">
        <v>11633.02</v>
      </c>
      <c r="K89" s="47">
        <f t="shared" si="9"/>
        <v>0.55854971451953139</v>
      </c>
      <c r="L89" s="47">
        <f t="shared" si="10"/>
        <v>0.35455625452376083</v>
      </c>
      <c r="M89" s="84">
        <f t="shared" si="11"/>
        <v>0.91310596904329222</v>
      </c>
      <c r="N89" s="47">
        <f t="shared" si="12"/>
        <v>1.0148697414772775E-2</v>
      </c>
      <c r="O89" s="47">
        <f t="shared" si="13"/>
        <v>1.1393430080924815E-2</v>
      </c>
      <c r="P89" s="47">
        <f t="shared" si="14"/>
        <v>5.1618582277001154E-2</v>
      </c>
      <c r="Q89" s="47">
        <f t="shared" si="15"/>
        <v>1</v>
      </c>
    </row>
    <row r="90" spans="1:17" x14ac:dyDescent="0.35">
      <c r="A90" s="82">
        <v>87</v>
      </c>
      <c r="B90" s="83" t="str">
        <f>_xlfn.XLOOKUP(A90,'TAZs by City - CCAG Model'!$A:$A,'TAZs by City - CCAG Model'!$B:$B,"Unknown")</f>
        <v>Cupertino</v>
      </c>
      <c r="C90" s="82">
        <f>_xlfn.XLOOKUP(A90,'TAZs by City - CCAG Model'!$A:$A,'TAZs by City - CCAG Model'!$C:$C,999)</f>
        <v>3</v>
      </c>
      <c r="D90" s="82" t="str">
        <f t="shared" si="8"/>
        <v>NO</v>
      </c>
      <c r="E90" s="27">
        <v>9433.4599999999991</v>
      </c>
      <c r="F90" s="27">
        <v>2391.88</v>
      </c>
      <c r="G90" s="27">
        <v>206.96</v>
      </c>
      <c r="H90" s="27">
        <v>112.96</v>
      </c>
      <c r="I90" s="27">
        <v>374.76</v>
      </c>
      <c r="J90" s="27">
        <v>12751.86</v>
      </c>
      <c r="K90" s="47">
        <f t="shared" si="9"/>
        <v>0.73977129610895964</v>
      </c>
      <c r="L90" s="47">
        <f t="shared" si="10"/>
        <v>0.18757106806379617</v>
      </c>
      <c r="M90" s="84">
        <f t="shared" si="11"/>
        <v>0.92734236417275595</v>
      </c>
      <c r="N90" s="47">
        <f t="shared" si="12"/>
        <v>1.6229789222905522E-2</v>
      </c>
      <c r="O90" s="47">
        <f t="shared" si="13"/>
        <v>8.85831557121863E-3</v>
      </c>
      <c r="P90" s="47">
        <f t="shared" si="14"/>
        <v>2.9388653890491268E-2</v>
      </c>
      <c r="Q90" s="47">
        <f t="shared" si="15"/>
        <v>1</v>
      </c>
    </row>
    <row r="91" spans="1:17" x14ac:dyDescent="0.35">
      <c r="A91" s="82">
        <v>88</v>
      </c>
      <c r="B91" s="83" t="str">
        <f>_xlfn.XLOOKUP(A91,'TAZs by City - CCAG Model'!$A:$A,'TAZs by City - CCAG Model'!$B:$B,"Unknown")</f>
        <v>Cupertino</v>
      </c>
      <c r="C91" s="82">
        <f>_xlfn.XLOOKUP(A91,'TAZs by City - CCAG Model'!$A:$A,'TAZs by City - CCAG Model'!$C:$C,999)</f>
        <v>3</v>
      </c>
      <c r="D91" s="82" t="str">
        <f t="shared" si="8"/>
        <v>NO</v>
      </c>
      <c r="E91" s="27">
        <v>4150.82</v>
      </c>
      <c r="F91" s="27">
        <v>1963.56</v>
      </c>
      <c r="G91" s="27">
        <v>84.46</v>
      </c>
      <c r="H91" s="27">
        <v>77.900000000000006</v>
      </c>
      <c r="I91" s="27">
        <v>233.48</v>
      </c>
      <c r="J91" s="27">
        <v>6641.24</v>
      </c>
      <c r="K91" s="47">
        <f t="shared" si="9"/>
        <v>0.62500677584306541</v>
      </c>
      <c r="L91" s="47">
        <f t="shared" si="10"/>
        <v>0.29566165354662682</v>
      </c>
      <c r="M91" s="84">
        <f t="shared" si="11"/>
        <v>0.92066842938969218</v>
      </c>
      <c r="N91" s="47">
        <f t="shared" si="12"/>
        <v>1.2717504562400997E-2</v>
      </c>
      <c r="O91" s="47">
        <f t="shared" si="13"/>
        <v>1.1729737217748493E-2</v>
      </c>
      <c r="P91" s="47">
        <f t="shared" si="14"/>
        <v>3.5156085309369936E-2</v>
      </c>
      <c r="Q91" s="47">
        <f t="shared" si="15"/>
        <v>1</v>
      </c>
    </row>
    <row r="92" spans="1:17" x14ac:dyDescent="0.35">
      <c r="A92" s="82">
        <v>89</v>
      </c>
      <c r="B92" s="83" t="str">
        <f>_xlfn.XLOOKUP(A92,'TAZs by City - CCAG Model'!$A:$A,'TAZs by City - CCAG Model'!$B:$B,"Unknown")</f>
        <v>Cupertino</v>
      </c>
      <c r="C92" s="82">
        <f>_xlfn.XLOOKUP(A92,'TAZs by City - CCAG Model'!$A:$A,'TAZs by City - CCAG Model'!$C:$C,999)</f>
        <v>3</v>
      </c>
      <c r="D92" s="82" t="str">
        <f t="shared" si="8"/>
        <v>NO</v>
      </c>
      <c r="E92" s="27">
        <v>4943.4399999999996</v>
      </c>
      <c r="F92" s="27">
        <v>3404.84</v>
      </c>
      <c r="G92" s="27">
        <v>201.86</v>
      </c>
      <c r="H92" s="27">
        <v>126.24</v>
      </c>
      <c r="I92" s="27">
        <v>640.54</v>
      </c>
      <c r="J92" s="27">
        <v>9558.14</v>
      </c>
      <c r="K92" s="47">
        <f t="shared" si="9"/>
        <v>0.51719686047703839</v>
      </c>
      <c r="L92" s="47">
        <f t="shared" si="10"/>
        <v>0.35622411891853439</v>
      </c>
      <c r="M92" s="84">
        <f t="shared" si="11"/>
        <v>0.87342097939557273</v>
      </c>
      <c r="N92" s="47">
        <f t="shared" si="12"/>
        <v>2.1119171721694811E-2</v>
      </c>
      <c r="O92" s="47">
        <f t="shared" si="13"/>
        <v>1.3207590598170773E-2</v>
      </c>
      <c r="P92" s="47">
        <f t="shared" si="14"/>
        <v>6.7015130558874425E-2</v>
      </c>
      <c r="Q92" s="47">
        <f t="shared" si="15"/>
        <v>1</v>
      </c>
    </row>
    <row r="93" spans="1:17" x14ac:dyDescent="0.35">
      <c r="A93" s="82">
        <v>90</v>
      </c>
      <c r="B93" s="83" t="str">
        <f>_xlfn.XLOOKUP(A93,'TAZs by City - CCAG Model'!$A:$A,'TAZs by City - CCAG Model'!$B:$B,"Unknown")</f>
        <v>Cupertino</v>
      </c>
      <c r="C93" s="82">
        <f>_xlfn.XLOOKUP(A93,'TAZs by City - CCAG Model'!$A:$A,'TAZs by City - CCAG Model'!$C:$C,999)</f>
        <v>3</v>
      </c>
      <c r="D93" s="82" t="str">
        <f t="shared" si="8"/>
        <v>NO</v>
      </c>
      <c r="E93" s="27">
        <v>1023.16</v>
      </c>
      <c r="F93" s="27">
        <v>800.94</v>
      </c>
      <c r="G93" s="27">
        <v>21.38</v>
      </c>
      <c r="H93" s="27">
        <v>22.94</v>
      </c>
      <c r="I93" s="27">
        <v>114.36</v>
      </c>
      <c r="J93" s="27">
        <v>2032.04</v>
      </c>
      <c r="K93" s="47">
        <f t="shared" si="9"/>
        <v>0.50351371036003223</v>
      </c>
      <c r="L93" s="47">
        <f t="shared" si="10"/>
        <v>0.39415562685773903</v>
      </c>
      <c r="M93" s="84">
        <f t="shared" si="11"/>
        <v>0.89766933721777131</v>
      </c>
      <c r="N93" s="47">
        <f t="shared" si="12"/>
        <v>1.0521446428219916E-2</v>
      </c>
      <c r="O93" s="47">
        <f t="shared" si="13"/>
        <v>1.1289147851420248E-2</v>
      </c>
      <c r="P93" s="47">
        <f t="shared" si="14"/>
        <v>5.6278419716147318E-2</v>
      </c>
      <c r="Q93" s="47">
        <f t="shared" si="15"/>
        <v>1</v>
      </c>
    </row>
    <row r="94" spans="1:17" x14ac:dyDescent="0.35">
      <c r="A94" s="82">
        <v>91</v>
      </c>
      <c r="B94" s="83" t="str">
        <f>_xlfn.XLOOKUP(A94,'TAZs by City - CCAG Model'!$A:$A,'TAZs by City - CCAG Model'!$B:$B,"Unknown")</f>
        <v>Cupertino</v>
      </c>
      <c r="C94" s="82">
        <f>_xlfn.XLOOKUP(A94,'TAZs by City - CCAG Model'!$A:$A,'TAZs by City - CCAG Model'!$C:$C,999)</f>
        <v>3</v>
      </c>
      <c r="D94" s="82" t="str">
        <f t="shared" si="8"/>
        <v>NO</v>
      </c>
      <c r="E94" s="27">
        <v>2937.76</v>
      </c>
      <c r="F94" s="27">
        <v>1565.8</v>
      </c>
      <c r="G94" s="27">
        <v>74.16</v>
      </c>
      <c r="H94" s="27">
        <v>56.9</v>
      </c>
      <c r="I94" s="27">
        <v>323.95999999999998</v>
      </c>
      <c r="J94" s="27">
        <v>5080.6000000000004</v>
      </c>
      <c r="K94" s="47">
        <f t="shared" si="9"/>
        <v>0.57823091760815648</v>
      </c>
      <c r="L94" s="47">
        <f t="shared" si="10"/>
        <v>0.30819194583316928</v>
      </c>
      <c r="M94" s="84">
        <f t="shared" si="11"/>
        <v>0.88642286344132581</v>
      </c>
      <c r="N94" s="47">
        <f t="shared" si="12"/>
        <v>1.4596701177026333E-2</v>
      </c>
      <c r="O94" s="47">
        <f t="shared" si="13"/>
        <v>1.119946463016179E-2</v>
      </c>
      <c r="P94" s="47">
        <f t="shared" si="14"/>
        <v>6.3764122347754193E-2</v>
      </c>
      <c r="Q94" s="47">
        <f t="shared" si="15"/>
        <v>1</v>
      </c>
    </row>
    <row r="95" spans="1:17" x14ac:dyDescent="0.35">
      <c r="A95" s="82">
        <v>92</v>
      </c>
      <c r="B95" s="83" t="str">
        <f>_xlfn.XLOOKUP(A95,'TAZs by City - CCAG Model'!$A:$A,'TAZs by City - CCAG Model'!$B:$B,"Unknown")</f>
        <v>Cupertino</v>
      </c>
      <c r="C95" s="82">
        <f>_xlfn.XLOOKUP(A95,'TAZs by City - CCAG Model'!$A:$A,'TAZs by City - CCAG Model'!$C:$C,999)</f>
        <v>3</v>
      </c>
      <c r="D95" s="82" t="str">
        <f t="shared" si="8"/>
        <v>NO</v>
      </c>
      <c r="E95" s="27">
        <v>3782.56</v>
      </c>
      <c r="F95" s="27">
        <v>2986.82</v>
      </c>
      <c r="G95" s="27">
        <v>101.72</v>
      </c>
      <c r="H95" s="27">
        <v>101.58</v>
      </c>
      <c r="I95" s="27">
        <v>449.7</v>
      </c>
      <c r="J95" s="27">
        <v>7554.5</v>
      </c>
      <c r="K95" s="47">
        <f t="shared" si="9"/>
        <v>0.5007028923158382</v>
      </c>
      <c r="L95" s="47">
        <f t="shared" si="10"/>
        <v>0.39536964723012774</v>
      </c>
      <c r="M95" s="84">
        <f t="shared" si="11"/>
        <v>0.896072539545966</v>
      </c>
      <c r="N95" s="47">
        <f t="shared" si="12"/>
        <v>1.3464822291349527E-2</v>
      </c>
      <c r="O95" s="47">
        <f t="shared" si="13"/>
        <v>1.3446290290555298E-2</v>
      </c>
      <c r="P95" s="47">
        <f t="shared" si="14"/>
        <v>5.952743397974717E-2</v>
      </c>
      <c r="Q95" s="47">
        <f t="shared" si="15"/>
        <v>1</v>
      </c>
    </row>
    <row r="96" spans="1:17" x14ac:dyDescent="0.35">
      <c r="A96" s="82">
        <v>93</v>
      </c>
      <c r="B96" s="83" t="str">
        <f>_xlfn.XLOOKUP(A96,'TAZs by City - CCAG Model'!$A:$A,'TAZs by City - CCAG Model'!$B:$B,"Unknown")</f>
        <v>Cupertino</v>
      </c>
      <c r="C96" s="82">
        <f>_xlfn.XLOOKUP(A96,'TAZs by City - CCAG Model'!$A:$A,'TAZs by City - CCAG Model'!$C:$C,999)</f>
        <v>3</v>
      </c>
      <c r="D96" s="82" t="str">
        <f t="shared" si="8"/>
        <v>NO</v>
      </c>
      <c r="E96" s="27">
        <v>10774.34</v>
      </c>
      <c r="F96" s="27">
        <v>3994.2</v>
      </c>
      <c r="G96" s="27">
        <v>281.14</v>
      </c>
      <c r="H96" s="27">
        <v>175.52</v>
      </c>
      <c r="I96" s="27">
        <v>731.38</v>
      </c>
      <c r="J96" s="27">
        <v>16263.08</v>
      </c>
      <c r="K96" s="47">
        <f t="shared" si="9"/>
        <v>0.66250304370389868</v>
      </c>
      <c r="L96" s="47">
        <f t="shared" si="10"/>
        <v>0.2455992345853307</v>
      </c>
      <c r="M96" s="84">
        <f t="shared" si="11"/>
        <v>0.9081022782892294</v>
      </c>
      <c r="N96" s="47">
        <f t="shared" si="12"/>
        <v>1.728700836495916E-2</v>
      </c>
      <c r="O96" s="47">
        <f t="shared" si="13"/>
        <v>1.0792543601826961E-2</v>
      </c>
      <c r="P96" s="47">
        <f t="shared" si="14"/>
        <v>4.4971801159435977E-2</v>
      </c>
      <c r="Q96" s="47">
        <f t="shared" si="15"/>
        <v>1</v>
      </c>
    </row>
    <row r="97" spans="1:17" x14ac:dyDescent="0.35">
      <c r="A97" s="82">
        <v>94</v>
      </c>
      <c r="B97" s="83" t="str">
        <f>_xlfn.XLOOKUP(A97,'TAZs by City - CCAG Model'!$A:$A,'TAZs by City - CCAG Model'!$B:$B,"Unknown")</f>
        <v>Cupertino</v>
      </c>
      <c r="C97" s="82">
        <f>_xlfn.XLOOKUP(A97,'TAZs by City - CCAG Model'!$A:$A,'TAZs by City - CCAG Model'!$C:$C,999)</f>
        <v>3</v>
      </c>
      <c r="D97" s="82" t="str">
        <f t="shared" si="8"/>
        <v>NO</v>
      </c>
      <c r="E97" s="27">
        <v>13536.16</v>
      </c>
      <c r="F97" s="27">
        <v>8369.9599999999991</v>
      </c>
      <c r="G97" s="27">
        <v>328.6</v>
      </c>
      <c r="H97" s="27">
        <v>258.32</v>
      </c>
      <c r="I97" s="27">
        <v>1465.34</v>
      </c>
      <c r="J97" s="27">
        <v>24319.360000000001</v>
      </c>
      <c r="K97" s="47">
        <f t="shared" si="9"/>
        <v>0.55660017368878123</v>
      </c>
      <c r="L97" s="47">
        <f t="shared" si="10"/>
        <v>0.3441685965420142</v>
      </c>
      <c r="M97" s="84">
        <f t="shared" si="11"/>
        <v>0.90076877023079549</v>
      </c>
      <c r="N97" s="47">
        <f t="shared" si="12"/>
        <v>1.3511868733387722E-2</v>
      </c>
      <c r="O97" s="47">
        <f t="shared" si="13"/>
        <v>1.0621990052369799E-2</v>
      </c>
      <c r="P97" s="47">
        <f t="shared" si="14"/>
        <v>6.0254052738229952E-2</v>
      </c>
      <c r="Q97" s="47">
        <f t="shared" si="15"/>
        <v>1</v>
      </c>
    </row>
    <row r="98" spans="1:17" x14ac:dyDescent="0.35">
      <c r="A98" s="82">
        <v>95</v>
      </c>
      <c r="B98" s="83" t="str">
        <f>_xlfn.XLOOKUP(A98,'TAZs by City - CCAG Model'!$A:$A,'TAZs by City - CCAG Model'!$B:$B,"Unknown")</f>
        <v>Santa Clara</v>
      </c>
      <c r="C98" s="82">
        <f>_xlfn.XLOOKUP(A98,'TAZs by City - CCAG Model'!$A:$A,'TAZs by City - CCAG Model'!$C:$C,999)</f>
        <v>3</v>
      </c>
      <c r="D98" s="82" t="str">
        <f t="shared" si="8"/>
        <v>NO</v>
      </c>
      <c r="E98" s="27">
        <v>5660.2</v>
      </c>
      <c r="F98" s="27">
        <v>2748.44</v>
      </c>
      <c r="G98" s="27">
        <v>86.64</v>
      </c>
      <c r="H98" s="27">
        <v>106.92</v>
      </c>
      <c r="I98" s="27">
        <v>412.02</v>
      </c>
      <c r="J98" s="27">
        <v>9143.64</v>
      </c>
      <c r="K98" s="47">
        <f t="shared" si="9"/>
        <v>0.61903137043890621</v>
      </c>
      <c r="L98" s="47">
        <f t="shared" si="10"/>
        <v>0.30058488741901479</v>
      </c>
      <c r="M98" s="84">
        <f t="shared" si="11"/>
        <v>0.91961625785792089</v>
      </c>
      <c r="N98" s="47">
        <f t="shared" si="12"/>
        <v>9.4754386655642609E-3</v>
      </c>
      <c r="O98" s="47">
        <f t="shared" si="13"/>
        <v>1.1693373754872239E-2</v>
      </c>
      <c r="P98" s="47">
        <f t="shared" si="14"/>
        <v>4.5060829166502621E-2</v>
      </c>
      <c r="Q98" s="47">
        <f t="shared" si="15"/>
        <v>1</v>
      </c>
    </row>
    <row r="99" spans="1:17" x14ac:dyDescent="0.35">
      <c r="A99" s="82">
        <v>96</v>
      </c>
      <c r="B99" s="83" t="str">
        <f>_xlfn.XLOOKUP(A99,'TAZs by City - CCAG Model'!$A:$A,'TAZs by City - CCAG Model'!$B:$B,"Unknown")</f>
        <v>Santa Clara</v>
      </c>
      <c r="C99" s="82">
        <f>_xlfn.XLOOKUP(A99,'TAZs by City - CCAG Model'!$A:$A,'TAZs by City - CCAG Model'!$C:$C,999)</f>
        <v>3</v>
      </c>
      <c r="D99" s="82" t="str">
        <f t="shared" si="8"/>
        <v>NO</v>
      </c>
      <c r="E99" s="27">
        <v>4677.12</v>
      </c>
      <c r="F99" s="27">
        <v>2444.7600000000002</v>
      </c>
      <c r="G99" s="27">
        <v>90.82</v>
      </c>
      <c r="H99" s="27">
        <v>95.94</v>
      </c>
      <c r="I99" s="27">
        <v>334.12</v>
      </c>
      <c r="J99" s="27">
        <v>7773.7</v>
      </c>
      <c r="K99" s="47">
        <f t="shared" si="9"/>
        <v>0.60165944145001737</v>
      </c>
      <c r="L99" s="47">
        <f t="shared" si="10"/>
        <v>0.31449116894143075</v>
      </c>
      <c r="M99" s="84">
        <f t="shared" si="11"/>
        <v>0.91615061039144807</v>
      </c>
      <c r="N99" s="47">
        <f t="shared" si="12"/>
        <v>1.1682982363610634E-2</v>
      </c>
      <c r="O99" s="47">
        <f t="shared" si="13"/>
        <v>1.2341613388733807E-2</v>
      </c>
      <c r="P99" s="47">
        <f t="shared" si="14"/>
        <v>4.2980819944170731E-2</v>
      </c>
      <c r="Q99" s="47">
        <f t="shared" si="15"/>
        <v>1</v>
      </c>
    </row>
    <row r="100" spans="1:17" x14ac:dyDescent="0.35">
      <c r="A100" s="82">
        <v>97</v>
      </c>
      <c r="B100" s="83" t="str">
        <f>_xlfn.XLOOKUP(A100,'TAZs by City - CCAG Model'!$A:$A,'TAZs by City - CCAG Model'!$B:$B,"Unknown")</f>
        <v>Cupertino</v>
      </c>
      <c r="C100" s="82">
        <f>_xlfn.XLOOKUP(A100,'TAZs by City - CCAG Model'!$A:$A,'TAZs by City - CCAG Model'!$C:$C,999)</f>
        <v>3</v>
      </c>
      <c r="D100" s="82" t="str">
        <f t="shared" si="8"/>
        <v>NO</v>
      </c>
      <c r="E100" s="27">
        <v>4833.5200000000004</v>
      </c>
      <c r="F100" s="27">
        <v>2686.1</v>
      </c>
      <c r="G100" s="27">
        <v>193.02</v>
      </c>
      <c r="H100" s="27">
        <v>114.84</v>
      </c>
      <c r="I100" s="27">
        <v>520.34</v>
      </c>
      <c r="J100" s="27">
        <v>8582.7199999999993</v>
      </c>
      <c r="K100" s="47">
        <f t="shared" si="9"/>
        <v>0.56316878565303319</v>
      </c>
      <c r="L100" s="47">
        <f t="shared" si="10"/>
        <v>0.3129660527198837</v>
      </c>
      <c r="M100" s="84">
        <f t="shared" si="11"/>
        <v>0.87613483837291695</v>
      </c>
      <c r="N100" s="47">
        <f t="shared" si="12"/>
        <v>2.2489373997986655E-2</v>
      </c>
      <c r="O100" s="47">
        <f t="shared" si="13"/>
        <v>1.338037358786026E-2</v>
      </c>
      <c r="P100" s="47">
        <f t="shared" si="14"/>
        <v>6.062646806606764E-2</v>
      </c>
      <c r="Q100" s="47">
        <f t="shared" si="15"/>
        <v>1</v>
      </c>
    </row>
    <row r="101" spans="1:17" x14ac:dyDescent="0.35">
      <c r="A101" s="82">
        <v>98</v>
      </c>
      <c r="B101" s="83" t="str">
        <f>_xlfn.XLOOKUP(A101,'TAZs by City - CCAG Model'!$A:$A,'TAZs by City - CCAG Model'!$B:$B,"Unknown")</f>
        <v>Cupertino</v>
      </c>
      <c r="C101" s="82">
        <f>_xlfn.XLOOKUP(A101,'TAZs by City - CCAG Model'!$A:$A,'TAZs by City - CCAG Model'!$C:$C,999)</f>
        <v>3</v>
      </c>
      <c r="D101" s="82" t="str">
        <f t="shared" si="8"/>
        <v>NO</v>
      </c>
      <c r="E101" s="27">
        <v>6666.38</v>
      </c>
      <c r="F101" s="27">
        <v>4014.3</v>
      </c>
      <c r="G101" s="27">
        <v>170.08</v>
      </c>
      <c r="H101" s="27">
        <v>155.84</v>
      </c>
      <c r="I101" s="27">
        <v>622.4</v>
      </c>
      <c r="J101" s="27">
        <v>11842.24</v>
      </c>
      <c r="K101" s="47">
        <f t="shared" si="9"/>
        <v>0.56293235063636615</v>
      </c>
      <c r="L101" s="47">
        <f t="shared" si="10"/>
        <v>0.33898147647742322</v>
      </c>
      <c r="M101" s="84">
        <f t="shared" si="11"/>
        <v>0.90191382711378931</v>
      </c>
      <c r="N101" s="47">
        <f t="shared" si="12"/>
        <v>1.436214770178615E-2</v>
      </c>
      <c r="O101" s="47">
        <f t="shared" si="13"/>
        <v>1.3159672494392953E-2</v>
      </c>
      <c r="P101" s="47">
        <f t="shared" si="14"/>
        <v>5.2557624233253164E-2</v>
      </c>
      <c r="Q101" s="47">
        <f t="shared" si="15"/>
        <v>1</v>
      </c>
    </row>
    <row r="102" spans="1:17" x14ac:dyDescent="0.35">
      <c r="A102" s="82">
        <v>99</v>
      </c>
      <c r="B102" s="83" t="str">
        <f>_xlfn.XLOOKUP(A102,'TAZs by City - CCAG Model'!$A:$A,'TAZs by City - CCAG Model'!$B:$B,"Unknown")</f>
        <v>Sunnyvale</v>
      </c>
      <c r="C102" s="82">
        <f>_xlfn.XLOOKUP(A102,'TAZs by City - CCAG Model'!$A:$A,'TAZs by City - CCAG Model'!$C:$C,999)</f>
        <v>3</v>
      </c>
      <c r="D102" s="82" t="str">
        <f t="shared" si="8"/>
        <v>NO</v>
      </c>
      <c r="E102" s="27">
        <v>3488.56</v>
      </c>
      <c r="F102" s="27">
        <v>2351</v>
      </c>
      <c r="G102" s="27">
        <v>66.28</v>
      </c>
      <c r="H102" s="27">
        <v>78.52</v>
      </c>
      <c r="I102" s="27">
        <v>286.89999999999998</v>
      </c>
      <c r="J102" s="27">
        <v>6374.06</v>
      </c>
      <c r="K102" s="47">
        <f t="shared" si="9"/>
        <v>0.54730579881582531</v>
      </c>
      <c r="L102" s="47">
        <f t="shared" si="10"/>
        <v>0.36883869935331637</v>
      </c>
      <c r="M102" s="84">
        <f t="shared" si="11"/>
        <v>0.91614449816914167</v>
      </c>
      <c r="N102" s="47">
        <f t="shared" si="12"/>
        <v>1.0398395998782565E-2</v>
      </c>
      <c r="O102" s="47">
        <f t="shared" si="13"/>
        <v>1.2318679146415313E-2</v>
      </c>
      <c r="P102" s="47">
        <f t="shared" si="14"/>
        <v>4.5010558419594414E-2</v>
      </c>
      <c r="Q102" s="47">
        <f t="shared" si="15"/>
        <v>1</v>
      </c>
    </row>
    <row r="103" spans="1:17" x14ac:dyDescent="0.35">
      <c r="A103" s="82">
        <v>100</v>
      </c>
      <c r="B103" s="83" t="str">
        <f>_xlfn.XLOOKUP(A103,'TAZs by City - CCAG Model'!$A:$A,'TAZs by City - CCAG Model'!$B:$B,"Unknown")</f>
        <v>Cupertino</v>
      </c>
      <c r="C103" s="82">
        <f>_xlfn.XLOOKUP(A103,'TAZs by City - CCAG Model'!$A:$A,'TAZs by City - CCAG Model'!$C:$C,999)</f>
        <v>3</v>
      </c>
      <c r="D103" s="82" t="str">
        <f t="shared" si="8"/>
        <v>NO</v>
      </c>
      <c r="E103" s="27">
        <v>611.16</v>
      </c>
      <c r="F103" s="27">
        <v>467.32</v>
      </c>
      <c r="G103" s="27">
        <v>6.02</v>
      </c>
      <c r="H103" s="27">
        <v>14.18</v>
      </c>
      <c r="I103" s="27">
        <v>32.799999999999997</v>
      </c>
      <c r="J103" s="27">
        <v>1159.8</v>
      </c>
      <c r="K103" s="47">
        <f t="shared" si="9"/>
        <v>0.52695292291774443</v>
      </c>
      <c r="L103" s="47">
        <f t="shared" si="10"/>
        <v>0.40293153992067599</v>
      </c>
      <c r="M103" s="84">
        <f t="shared" si="11"/>
        <v>0.92988446283842052</v>
      </c>
      <c r="N103" s="47">
        <f t="shared" si="12"/>
        <v>5.1905500948439386E-3</v>
      </c>
      <c r="O103" s="47">
        <f t="shared" si="13"/>
        <v>1.2226245904466287E-2</v>
      </c>
      <c r="P103" s="47">
        <f t="shared" si="14"/>
        <v>2.8280738058285911E-2</v>
      </c>
      <c r="Q103" s="47">
        <f t="shared" si="15"/>
        <v>1</v>
      </c>
    </row>
    <row r="104" spans="1:17" x14ac:dyDescent="0.35">
      <c r="A104" s="82">
        <v>101</v>
      </c>
      <c r="B104" s="83" t="str">
        <f>_xlfn.XLOOKUP(A104,'TAZs by City - CCAG Model'!$A:$A,'TAZs by City - CCAG Model'!$B:$B,"Unknown")</f>
        <v>Cupertino</v>
      </c>
      <c r="C104" s="82">
        <f>_xlfn.XLOOKUP(A104,'TAZs by City - CCAG Model'!$A:$A,'TAZs by City - CCAG Model'!$C:$C,999)</f>
        <v>3</v>
      </c>
      <c r="D104" s="82" t="str">
        <f t="shared" si="8"/>
        <v>NO</v>
      </c>
      <c r="E104" s="27">
        <v>1304.3</v>
      </c>
      <c r="F104" s="27">
        <v>831.08</v>
      </c>
      <c r="G104" s="27">
        <v>25.1</v>
      </c>
      <c r="H104" s="27">
        <v>27.52</v>
      </c>
      <c r="I104" s="27">
        <v>98.18</v>
      </c>
      <c r="J104" s="27">
        <v>2353.52</v>
      </c>
      <c r="K104" s="47">
        <f t="shared" si="9"/>
        <v>0.55419116897243281</v>
      </c>
      <c r="L104" s="47">
        <f t="shared" si="10"/>
        <v>0.35312213195553893</v>
      </c>
      <c r="M104" s="84">
        <f t="shared" si="11"/>
        <v>0.9073133009279718</v>
      </c>
      <c r="N104" s="47">
        <f t="shared" si="12"/>
        <v>1.0664876440395663E-2</v>
      </c>
      <c r="O104" s="47">
        <f t="shared" si="13"/>
        <v>1.1693123491621061E-2</v>
      </c>
      <c r="P104" s="47">
        <f t="shared" si="14"/>
        <v>4.1716237805499851E-2</v>
      </c>
      <c r="Q104" s="47">
        <f t="shared" si="15"/>
        <v>1</v>
      </c>
    </row>
    <row r="105" spans="1:17" x14ac:dyDescent="0.35">
      <c r="A105" s="82">
        <v>102</v>
      </c>
      <c r="B105" s="83" t="str">
        <f>_xlfn.XLOOKUP(A105,'TAZs by City - CCAG Model'!$A:$A,'TAZs by City - CCAG Model'!$B:$B,"Unknown")</f>
        <v>Cupertino</v>
      </c>
      <c r="C105" s="82">
        <f>_xlfn.XLOOKUP(A105,'TAZs by City - CCAG Model'!$A:$A,'TAZs by City - CCAG Model'!$C:$C,999)</f>
        <v>3</v>
      </c>
      <c r="D105" s="82" t="str">
        <f t="shared" si="8"/>
        <v>NO</v>
      </c>
      <c r="E105" s="27">
        <v>1657.34</v>
      </c>
      <c r="F105" s="27">
        <v>1185.78</v>
      </c>
      <c r="G105" s="27">
        <v>32.979999999999997</v>
      </c>
      <c r="H105" s="27">
        <v>29.62</v>
      </c>
      <c r="I105" s="27">
        <v>119.36</v>
      </c>
      <c r="J105" s="27">
        <v>3094.12</v>
      </c>
      <c r="K105" s="47">
        <f t="shared" si="9"/>
        <v>0.53564179799102818</v>
      </c>
      <c r="L105" s="47">
        <f t="shared" si="10"/>
        <v>0.38323659069460786</v>
      </c>
      <c r="M105" s="84">
        <f t="shared" si="11"/>
        <v>0.91887838868563598</v>
      </c>
      <c r="N105" s="47">
        <f t="shared" si="12"/>
        <v>1.0658927255568626E-2</v>
      </c>
      <c r="O105" s="47">
        <f t="shared" si="13"/>
        <v>9.5729965224361051E-3</v>
      </c>
      <c r="P105" s="47">
        <f t="shared" si="14"/>
        <v>3.8576396519850557E-2</v>
      </c>
      <c r="Q105" s="47">
        <f t="shared" si="15"/>
        <v>1</v>
      </c>
    </row>
    <row r="106" spans="1:17" x14ac:dyDescent="0.35">
      <c r="A106" s="82">
        <v>103</v>
      </c>
      <c r="B106" s="83" t="str">
        <f>_xlfn.XLOOKUP(A106,'TAZs by City - CCAG Model'!$A:$A,'TAZs by City - CCAG Model'!$B:$B,"Unknown")</f>
        <v>Cupertino</v>
      </c>
      <c r="C106" s="82">
        <f>_xlfn.XLOOKUP(A106,'TAZs by City - CCAG Model'!$A:$A,'TAZs by City - CCAG Model'!$C:$C,999)</f>
        <v>3</v>
      </c>
      <c r="D106" s="82" t="str">
        <f t="shared" si="8"/>
        <v>NO</v>
      </c>
      <c r="E106" s="27">
        <v>3289.94</v>
      </c>
      <c r="F106" s="27">
        <v>2603.56</v>
      </c>
      <c r="G106" s="27">
        <v>16</v>
      </c>
      <c r="H106" s="27">
        <v>45.5</v>
      </c>
      <c r="I106" s="27">
        <v>84.36</v>
      </c>
      <c r="J106" s="27">
        <v>6079.92</v>
      </c>
      <c r="K106" s="47">
        <f t="shared" si="9"/>
        <v>0.54111567257463911</v>
      </c>
      <c r="L106" s="47">
        <f t="shared" si="10"/>
        <v>0.42822273977289171</v>
      </c>
      <c r="M106" s="84">
        <f t="shared" si="11"/>
        <v>0.96933841234753093</v>
      </c>
      <c r="N106" s="47">
        <f t="shared" si="12"/>
        <v>2.6316135738628141E-3</v>
      </c>
      <c r="O106" s="47">
        <f t="shared" si="13"/>
        <v>7.4836511006723776E-3</v>
      </c>
      <c r="P106" s="47">
        <f t="shared" si="14"/>
        <v>1.3875182568191686E-2</v>
      </c>
      <c r="Q106" s="47">
        <f t="shared" si="15"/>
        <v>1</v>
      </c>
    </row>
    <row r="107" spans="1:17" x14ac:dyDescent="0.35">
      <c r="A107" s="82">
        <v>104</v>
      </c>
      <c r="B107" s="83" t="str">
        <f>_xlfn.XLOOKUP(A107,'TAZs by City - CCAG Model'!$A:$A,'TAZs by City - CCAG Model'!$B:$B,"Unknown")</f>
        <v>Unincorporated</v>
      </c>
      <c r="C107" s="82">
        <f>_xlfn.XLOOKUP(A107,'TAZs by City - CCAG Model'!$A:$A,'TAZs by City - CCAG Model'!$C:$C,999)</f>
        <v>3</v>
      </c>
      <c r="D107" s="82" t="str">
        <f t="shared" si="8"/>
        <v>NO</v>
      </c>
      <c r="E107" s="27">
        <v>2491.3200000000002</v>
      </c>
      <c r="F107" s="27">
        <v>1509.76</v>
      </c>
      <c r="G107" s="27">
        <v>0</v>
      </c>
      <c r="H107" s="27">
        <v>18.54</v>
      </c>
      <c r="I107" s="27">
        <v>32.74</v>
      </c>
      <c r="J107" s="27">
        <v>4080.4</v>
      </c>
      <c r="K107" s="47">
        <f t="shared" si="9"/>
        <v>0.61055778845211262</v>
      </c>
      <c r="L107" s="47">
        <f t="shared" si="10"/>
        <v>0.37000294088814822</v>
      </c>
      <c r="M107" s="84">
        <f t="shared" si="11"/>
        <v>0.98056072934026073</v>
      </c>
      <c r="N107" s="47">
        <f t="shared" si="12"/>
        <v>0</v>
      </c>
      <c r="O107" s="47">
        <f t="shared" si="13"/>
        <v>4.5436721890010781E-3</v>
      </c>
      <c r="P107" s="47">
        <f t="shared" si="14"/>
        <v>8.0237231643956481E-3</v>
      </c>
      <c r="Q107" s="47">
        <f t="shared" si="15"/>
        <v>1</v>
      </c>
    </row>
    <row r="108" spans="1:17" x14ac:dyDescent="0.35">
      <c r="A108" s="82">
        <v>105</v>
      </c>
      <c r="B108" s="83" t="str">
        <f>_xlfn.XLOOKUP(A108,'TAZs by City - CCAG Model'!$A:$A,'TAZs by City - CCAG Model'!$B:$B,"Unknown")</f>
        <v>Cupertino</v>
      </c>
      <c r="C108" s="82">
        <f>_xlfn.XLOOKUP(A108,'TAZs by City - CCAG Model'!$A:$A,'TAZs by City - CCAG Model'!$C:$C,999)</f>
        <v>3</v>
      </c>
      <c r="D108" s="82" t="str">
        <f t="shared" si="8"/>
        <v>NO</v>
      </c>
      <c r="E108" s="27">
        <v>2535.3200000000002</v>
      </c>
      <c r="F108" s="27">
        <v>2027.42</v>
      </c>
      <c r="G108" s="27">
        <v>0</v>
      </c>
      <c r="H108" s="27">
        <v>51.52</v>
      </c>
      <c r="I108" s="27">
        <v>255.86</v>
      </c>
      <c r="J108" s="27">
        <v>4885.5200000000004</v>
      </c>
      <c r="K108" s="47">
        <f t="shared" si="9"/>
        <v>0.51894578263930957</v>
      </c>
      <c r="L108" s="47">
        <f t="shared" si="10"/>
        <v>0.4149855081956475</v>
      </c>
      <c r="M108" s="84">
        <f t="shared" si="11"/>
        <v>0.93393129083495707</v>
      </c>
      <c r="N108" s="47">
        <f t="shared" si="12"/>
        <v>0</v>
      </c>
      <c r="O108" s="47">
        <f t="shared" si="13"/>
        <v>1.0545448590938119E-2</v>
      </c>
      <c r="P108" s="47">
        <f t="shared" si="14"/>
        <v>5.2371088440943847E-2</v>
      </c>
      <c r="Q108" s="47">
        <f t="shared" si="15"/>
        <v>1</v>
      </c>
    </row>
    <row r="109" spans="1:17" x14ac:dyDescent="0.35">
      <c r="A109" s="82">
        <v>106</v>
      </c>
      <c r="B109" s="83" t="str">
        <f>_xlfn.XLOOKUP(A109,'TAZs by City - CCAG Model'!$A:$A,'TAZs by City - CCAG Model'!$B:$B,"Unknown")</f>
        <v>Cupertino</v>
      </c>
      <c r="C109" s="82">
        <f>_xlfn.XLOOKUP(A109,'TAZs by City - CCAG Model'!$A:$A,'TAZs by City - CCAG Model'!$C:$C,999)</f>
        <v>3</v>
      </c>
      <c r="D109" s="82" t="str">
        <f t="shared" si="8"/>
        <v>NO</v>
      </c>
      <c r="E109" s="27">
        <v>1565.12</v>
      </c>
      <c r="F109" s="27">
        <v>1174.08</v>
      </c>
      <c r="G109" s="27">
        <v>27.6</v>
      </c>
      <c r="H109" s="27">
        <v>32.06</v>
      </c>
      <c r="I109" s="27">
        <v>411.5</v>
      </c>
      <c r="J109" s="27">
        <v>3273.68</v>
      </c>
      <c r="K109" s="47">
        <f t="shared" si="9"/>
        <v>0.47809193323721316</v>
      </c>
      <c r="L109" s="47">
        <f t="shared" si="10"/>
        <v>0.35864226191930793</v>
      </c>
      <c r="M109" s="84">
        <f t="shared" si="11"/>
        <v>0.83673419515652114</v>
      </c>
      <c r="N109" s="47">
        <f t="shared" si="12"/>
        <v>8.4308790107768643E-3</v>
      </c>
      <c r="O109" s="47">
        <f t="shared" si="13"/>
        <v>9.7932601842574737E-3</v>
      </c>
      <c r="P109" s="47">
        <f t="shared" si="14"/>
        <v>0.12569951858458983</v>
      </c>
      <c r="Q109" s="47">
        <f t="shared" si="15"/>
        <v>1</v>
      </c>
    </row>
    <row r="110" spans="1:17" x14ac:dyDescent="0.35">
      <c r="A110" s="82">
        <v>107</v>
      </c>
      <c r="B110" s="83" t="str">
        <f>_xlfn.XLOOKUP(A110,'TAZs by City - CCAG Model'!$A:$A,'TAZs by City - CCAG Model'!$B:$B,"Unknown")</f>
        <v>Cupertino</v>
      </c>
      <c r="C110" s="82">
        <f>_xlfn.XLOOKUP(A110,'TAZs by City - CCAG Model'!$A:$A,'TAZs by City - CCAG Model'!$C:$C,999)</f>
        <v>3</v>
      </c>
      <c r="D110" s="82" t="str">
        <f t="shared" si="8"/>
        <v>NO</v>
      </c>
      <c r="E110" s="27">
        <v>9653.16</v>
      </c>
      <c r="F110" s="27">
        <v>6657.74</v>
      </c>
      <c r="G110" s="27">
        <v>234.94</v>
      </c>
      <c r="H110" s="27">
        <v>259.06</v>
      </c>
      <c r="I110" s="27">
        <v>958.64</v>
      </c>
      <c r="J110" s="27">
        <v>18033.54</v>
      </c>
      <c r="K110" s="47">
        <f t="shared" si="9"/>
        <v>0.53528924437464853</v>
      </c>
      <c r="L110" s="47">
        <f t="shared" si="10"/>
        <v>0.36918652688268633</v>
      </c>
      <c r="M110" s="84">
        <f t="shared" si="11"/>
        <v>0.90447577125733492</v>
      </c>
      <c r="N110" s="47">
        <f t="shared" si="12"/>
        <v>1.3027946814657576E-2</v>
      </c>
      <c r="O110" s="47">
        <f t="shared" si="13"/>
        <v>1.4365454591832773E-2</v>
      </c>
      <c r="P110" s="47">
        <f t="shared" si="14"/>
        <v>5.3158725352870258E-2</v>
      </c>
      <c r="Q110" s="47">
        <f t="shared" si="15"/>
        <v>1</v>
      </c>
    </row>
    <row r="111" spans="1:17" x14ac:dyDescent="0.35">
      <c r="A111" s="82">
        <v>108</v>
      </c>
      <c r="B111" s="83" t="str">
        <f>_xlfn.XLOOKUP(A111,'TAZs by City - CCAG Model'!$A:$A,'TAZs by City - CCAG Model'!$B:$B,"Unknown")</f>
        <v>Cupertino</v>
      </c>
      <c r="C111" s="82">
        <f>_xlfn.XLOOKUP(A111,'TAZs by City - CCAG Model'!$A:$A,'TAZs by City - CCAG Model'!$C:$C,999)</f>
        <v>3</v>
      </c>
      <c r="D111" s="82" t="str">
        <f t="shared" si="8"/>
        <v>NO</v>
      </c>
      <c r="E111" s="27">
        <v>5466.2</v>
      </c>
      <c r="F111" s="27">
        <v>4225.3999999999996</v>
      </c>
      <c r="G111" s="27">
        <v>135.38</v>
      </c>
      <c r="H111" s="27">
        <v>141</v>
      </c>
      <c r="I111" s="27">
        <v>599.32000000000005</v>
      </c>
      <c r="J111" s="27">
        <v>10732.46</v>
      </c>
      <c r="K111" s="47">
        <f t="shared" si="9"/>
        <v>0.50931473306213115</v>
      </c>
      <c r="L111" s="47">
        <f t="shared" si="10"/>
        <v>0.39370284165978725</v>
      </c>
      <c r="M111" s="84">
        <f t="shared" si="11"/>
        <v>0.90301757472191835</v>
      </c>
      <c r="N111" s="47">
        <f t="shared" si="12"/>
        <v>1.2614069840465281E-2</v>
      </c>
      <c r="O111" s="47">
        <f t="shared" si="13"/>
        <v>1.3137714932084536E-2</v>
      </c>
      <c r="P111" s="47">
        <f t="shared" si="14"/>
        <v>5.5841810731183723E-2</v>
      </c>
      <c r="Q111" s="47">
        <f t="shared" si="15"/>
        <v>1</v>
      </c>
    </row>
    <row r="112" spans="1:17" x14ac:dyDescent="0.35">
      <c r="A112" s="82">
        <v>109</v>
      </c>
      <c r="B112" s="83" t="str">
        <f>_xlfn.XLOOKUP(A112,'TAZs by City - CCAG Model'!$A:$A,'TAZs by City - CCAG Model'!$B:$B,"Unknown")</f>
        <v>Cupertino</v>
      </c>
      <c r="C112" s="82">
        <f>_xlfn.XLOOKUP(A112,'TAZs by City - CCAG Model'!$A:$A,'TAZs by City - CCAG Model'!$C:$C,999)</f>
        <v>3</v>
      </c>
      <c r="D112" s="82" t="str">
        <f t="shared" si="8"/>
        <v>NO</v>
      </c>
      <c r="E112" s="27">
        <v>2111.06</v>
      </c>
      <c r="F112" s="27">
        <v>1645.22</v>
      </c>
      <c r="G112" s="27">
        <v>55.88</v>
      </c>
      <c r="H112" s="27">
        <v>38.9</v>
      </c>
      <c r="I112" s="27">
        <v>199.68</v>
      </c>
      <c r="J112" s="27">
        <v>4136.9399999999996</v>
      </c>
      <c r="K112" s="47">
        <f t="shared" si="9"/>
        <v>0.51029504899756828</v>
      </c>
      <c r="L112" s="47">
        <f t="shared" si="10"/>
        <v>0.39769008010751911</v>
      </c>
      <c r="M112" s="84">
        <f t="shared" si="11"/>
        <v>0.90798512910508733</v>
      </c>
      <c r="N112" s="47">
        <f t="shared" si="12"/>
        <v>1.3507568395964169E-2</v>
      </c>
      <c r="O112" s="47">
        <f t="shared" si="13"/>
        <v>9.4030853722799953E-3</v>
      </c>
      <c r="P112" s="47">
        <f t="shared" si="14"/>
        <v>4.8267560080639323E-2</v>
      </c>
      <c r="Q112" s="47">
        <f t="shared" si="15"/>
        <v>1</v>
      </c>
    </row>
    <row r="113" spans="1:17" x14ac:dyDescent="0.35">
      <c r="A113" s="82">
        <v>110</v>
      </c>
      <c r="B113" s="83" t="str">
        <f>_xlfn.XLOOKUP(A113,'TAZs by City - CCAG Model'!$A:$A,'TAZs by City - CCAG Model'!$B:$B,"Unknown")</f>
        <v>Cupertino</v>
      </c>
      <c r="C113" s="82">
        <f>_xlfn.XLOOKUP(A113,'TAZs by City - CCAG Model'!$A:$A,'TAZs by City - CCAG Model'!$C:$C,999)</f>
        <v>3</v>
      </c>
      <c r="D113" s="82" t="str">
        <f t="shared" si="8"/>
        <v>NO</v>
      </c>
      <c r="E113" s="27">
        <v>20072</v>
      </c>
      <c r="F113" s="27">
        <v>11148</v>
      </c>
      <c r="G113" s="27">
        <v>583.88</v>
      </c>
      <c r="H113" s="27">
        <v>410.14</v>
      </c>
      <c r="I113" s="27">
        <v>2431.2199999999998</v>
      </c>
      <c r="J113" s="27">
        <v>35253.42</v>
      </c>
      <c r="K113" s="47">
        <f t="shared" si="9"/>
        <v>0.56936319937186242</v>
      </c>
      <c r="L113" s="47">
        <f t="shared" si="10"/>
        <v>0.31622463863080519</v>
      </c>
      <c r="M113" s="84">
        <f t="shared" si="11"/>
        <v>0.8855878380026676</v>
      </c>
      <c r="N113" s="47">
        <f t="shared" si="12"/>
        <v>1.6562364729436181E-2</v>
      </c>
      <c r="O113" s="47">
        <f t="shared" si="13"/>
        <v>1.1634048554721783E-2</v>
      </c>
      <c r="P113" s="47">
        <f t="shared" si="14"/>
        <v>6.8964089157874608E-2</v>
      </c>
      <c r="Q113" s="47">
        <f t="shared" si="15"/>
        <v>1</v>
      </c>
    </row>
    <row r="114" spans="1:17" x14ac:dyDescent="0.35">
      <c r="A114" s="82">
        <v>111</v>
      </c>
      <c r="B114" s="83" t="str">
        <f>_xlfn.XLOOKUP(A114,'TAZs by City - CCAG Model'!$A:$A,'TAZs by City - CCAG Model'!$B:$B,"Unknown")</f>
        <v>Cupertino</v>
      </c>
      <c r="C114" s="82">
        <f>_xlfn.XLOOKUP(A114,'TAZs by City - CCAG Model'!$A:$A,'TAZs by City - CCAG Model'!$C:$C,999)</f>
        <v>3</v>
      </c>
      <c r="D114" s="82" t="str">
        <f t="shared" si="8"/>
        <v>NO</v>
      </c>
      <c r="E114" s="27">
        <v>4560.28</v>
      </c>
      <c r="F114" s="27">
        <v>2677.56</v>
      </c>
      <c r="G114" s="27">
        <v>80.92</v>
      </c>
      <c r="H114" s="27">
        <v>76.78</v>
      </c>
      <c r="I114" s="27">
        <v>609.98</v>
      </c>
      <c r="J114" s="27">
        <v>8128.4</v>
      </c>
      <c r="K114" s="47">
        <f t="shared" si="9"/>
        <v>0.56103046109935539</v>
      </c>
      <c r="L114" s="47">
        <f t="shared" si="10"/>
        <v>0.32940800157472566</v>
      </c>
      <c r="M114" s="84">
        <f t="shared" si="11"/>
        <v>0.89043846267408111</v>
      </c>
      <c r="N114" s="47">
        <f t="shared" si="12"/>
        <v>9.9552187392352737E-3</v>
      </c>
      <c r="O114" s="47">
        <f t="shared" si="13"/>
        <v>9.4458934107573451E-3</v>
      </c>
      <c r="P114" s="47">
        <f t="shared" si="14"/>
        <v>7.5043058904581475E-2</v>
      </c>
      <c r="Q114" s="47">
        <f t="shared" si="15"/>
        <v>1</v>
      </c>
    </row>
    <row r="115" spans="1:17" x14ac:dyDescent="0.35">
      <c r="A115" s="82">
        <v>112</v>
      </c>
      <c r="B115" s="83" t="str">
        <f>_xlfn.XLOOKUP(A115,'TAZs by City - CCAG Model'!$A:$A,'TAZs by City - CCAG Model'!$B:$B,"Unknown")</f>
        <v>Cupertino</v>
      </c>
      <c r="C115" s="82">
        <f>_xlfn.XLOOKUP(A115,'TAZs by City - CCAG Model'!$A:$A,'TAZs by City - CCAG Model'!$C:$C,999)</f>
        <v>3</v>
      </c>
      <c r="D115" s="82" t="str">
        <f t="shared" si="8"/>
        <v>NO</v>
      </c>
      <c r="E115" s="27">
        <v>7239.56</v>
      </c>
      <c r="F115" s="27">
        <v>4516.8</v>
      </c>
      <c r="G115" s="27">
        <v>178.84</v>
      </c>
      <c r="H115" s="27">
        <v>140.46</v>
      </c>
      <c r="I115" s="27">
        <v>783.14</v>
      </c>
      <c r="J115" s="27">
        <v>13077.74</v>
      </c>
      <c r="K115" s="47">
        <f t="shared" si="9"/>
        <v>0.55357882936960057</v>
      </c>
      <c r="L115" s="47">
        <f t="shared" si="10"/>
        <v>0.34538077680088458</v>
      </c>
      <c r="M115" s="84">
        <f t="shared" si="11"/>
        <v>0.8989596061704852</v>
      </c>
      <c r="N115" s="47">
        <f t="shared" si="12"/>
        <v>1.3675145705603568E-2</v>
      </c>
      <c r="O115" s="47">
        <f t="shared" si="13"/>
        <v>1.0740387865181599E-2</v>
      </c>
      <c r="P115" s="47">
        <f t="shared" si="14"/>
        <v>5.9883435517145929E-2</v>
      </c>
      <c r="Q115" s="47">
        <f t="shared" si="15"/>
        <v>1</v>
      </c>
    </row>
    <row r="116" spans="1:17" x14ac:dyDescent="0.35">
      <c r="A116" s="82">
        <v>113</v>
      </c>
      <c r="B116" s="83" t="str">
        <f>_xlfn.XLOOKUP(A116,'TAZs by City - CCAG Model'!$A:$A,'TAZs by City - CCAG Model'!$B:$B,"Unknown")</f>
        <v>Cupertino</v>
      </c>
      <c r="C116" s="82">
        <f>_xlfn.XLOOKUP(A116,'TAZs by City - CCAG Model'!$A:$A,'TAZs by City - CCAG Model'!$C:$C,999)</f>
        <v>3</v>
      </c>
      <c r="D116" s="82" t="str">
        <f t="shared" si="8"/>
        <v>NO</v>
      </c>
      <c r="E116" s="27">
        <v>6540.28</v>
      </c>
      <c r="F116" s="27">
        <v>4140.74</v>
      </c>
      <c r="G116" s="27">
        <v>150.13999999999999</v>
      </c>
      <c r="H116" s="27">
        <v>115.4</v>
      </c>
      <c r="I116" s="27">
        <v>888.22</v>
      </c>
      <c r="J116" s="27">
        <v>12027.46</v>
      </c>
      <c r="K116" s="47">
        <f t="shared" si="9"/>
        <v>0.54377898575426564</v>
      </c>
      <c r="L116" s="47">
        <f t="shared" si="10"/>
        <v>0.34427385333229127</v>
      </c>
      <c r="M116" s="84">
        <f t="shared" si="11"/>
        <v>0.88805283908655708</v>
      </c>
      <c r="N116" s="47">
        <f t="shared" si="12"/>
        <v>1.2483101170155627E-2</v>
      </c>
      <c r="O116" s="47">
        <f t="shared" si="13"/>
        <v>9.5947107701875554E-3</v>
      </c>
      <c r="P116" s="47">
        <f t="shared" si="14"/>
        <v>7.3849341423708748E-2</v>
      </c>
      <c r="Q116" s="47">
        <f t="shared" si="15"/>
        <v>1</v>
      </c>
    </row>
    <row r="117" spans="1:17" x14ac:dyDescent="0.35">
      <c r="A117" s="82">
        <v>114</v>
      </c>
      <c r="B117" s="83" t="str">
        <f>_xlfn.XLOOKUP(A117,'TAZs by City - CCAG Model'!$A:$A,'TAZs by City - CCAG Model'!$B:$B,"Unknown")</f>
        <v>Cupertino</v>
      </c>
      <c r="C117" s="82">
        <f>_xlfn.XLOOKUP(A117,'TAZs by City - CCAG Model'!$A:$A,'TAZs by City - CCAG Model'!$C:$C,999)</f>
        <v>3</v>
      </c>
      <c r="D117" s="82" t="str">
        <f t="shared" si="8"/>
        <v>NO</v>
      </c>
      <c r="E117" s="27">
        <v>22639.62</v>
      </c>
      <c r="F117" s="27">
        <v>6995.24</v>
      </c>
      <c r="G117" s="27">
        <v>2796.06</v>
      </c>
      <c r="H117" s="27">
        <v>346.46</v>
      </c>
      <c r="I117" s="27">
        <v>800.3</v>
      </c>
      <c r="J117" s="27">
        <v>36402.58</v>
      </c>
      <c r="K117" s="47">
        <f t="shared" si="9"/>
        <v>0.62192350102657556</v>
      </c>
      <c r="L117" s="47">
        <f t="shared" si="10"/>
        <v>0.19216330271096169</v>
      </c>
      <c r="M117" s="84">
        <f t="shared" si="11"/>
        <v>0.81408680373753728</v>
      </c>
      <c r="N117" s="47">
        <f t="shared" si="12"/>
        <v>7.6809390982727044E-2</v>
      </c>
      <c r="O117" s="47">
        <f t="shared" si="13"/>
        <v>9.5174572791269178E-3</v>
      </c>
      <c r="P117" s="47">
        <f t="shared" si="14"/>
        <v>2.198470547966655E-2</v>
      </c>
      <c r="Q117" s="47">
        <f t="shared" si="15"/>
        <v>1</v>
      </c>
    </row>
    <row r="118" spans="1:17" x14ac:dyDescent="0.35">
      <c r="A118" s="82">
        <v>115</v>
      </c>
      <c r="B118" s="83" t="str">
        <f>_xlfn.XLOOKUP(A118,'TAZs by City - CCAG Model'!$A:$A,'TAZs by City - CCAG Model'!$B:$B,"Unknown")</f>
        <v>Cupertino</v>
      </c>
      <c r="C118" s="82">
        <f>_xlfn.XLOOKUP(A118,'TAZs by City - CCAG Model'!$A:$A,'TAZs by City - CCAG Model'!$C:$C,999)</f>
        <v>3</v>
      </c>
      <c r="D118" s="82" t="str">
        <f t="shared" si="8"/>
        <v>NO</v>
      </c>
      <c r="E118" s="27">
        <v>4197.4399999999996</v>
      </c>
      <c r="F118" s="27">
        <v>1253.8800000000001</v>
      </c>
      <c r="G118" s="27">
        <v>84.72</v>
      </c>
      <c r="H118" s="27">
        <v>44.98</v>
      </c>
      <c r="I118" s="27">
        <v>200.32</v>
      </c>
      <c r="J118" s="27">
        <v>5905</v>
      </c>
      <c r="K118" s="47">
        <f t="shared" si="9"/>
        <v>0.71082811176968663</v>
      </c>
      <c r="L118" s="47">
        <f t="shared" si="10"/>
        <v>0.21234208298052501</v>
      </c>
      <c r="M118" s="84">
        <f t="shared" si="11"/>
        <v>0.92317019475021167</v>
      </c>
      <c r="N118" s="47">
        <f t="shared" si="12"/>
        <v>1.4347163420829805E-2</v>
      </c>
      <c r="O118" s="47">
        <f t="shared" si="13"/>
        <v>7.6172734970364094E-3</v>
      </c>
      <c r="P118" s="47">
        <f t="shared" si="14"/>
        <v>3.3923793395427601E-2</v>
      </c>
      <c r="Q118" s="47">
        <f t="shared" si="15"/>
        <v>1</v>
      </c>
    </row>
    <row r="119" spans="1:17" x14ac:dyDescent="0.35">
      <c r="A119" s="82">
        <v>116</v>
      </c>
      <c r="B119" s="83" t="str">
        <f>_xlfn.XLOOKUP(A119,'TAZs by City - CCAG Model'!$A:$A,'TAZs by City - CCAG Model'!$B:$B,"Unknown")</f>
        <v>Cupertino</v>
      </c>
      <c r="C119" s="82">
        <f>_xlfn.XLOOKUP(A119,'TAZs by City - CCAG Model'!$A:$A,'TAZs by City - CCAG Model'!$C:$C,999)</f>
        <v>3</v>
      </c>
      <c r="D119" s="82" t="str">
        <f t="shared" si="8"/>
        <v>NO</v>
      </c>
      <c r="E119" s="27">
        <v>2269.8000000000002</v>
      </c>
      <c r="F119" s="27">
        <v>1660.18</v>
      </c>
      <c r="G119" s="27">
        <v>24.2</v>
      </c>
      <c r="H119" s="27">
        <v>38</v>
      </c>
      <c r="I119" s="27">
        <v>214.94</v>
      </c>
      <c r="J119" s="27">
        <v>4269.78</v>
      </c>
      <c r="K119" s="47">
        <f t="shared" si="9"/>
        <v>0.53159647569664015</v>
      </c>
      <c r="L119" s="47">
        <f t="shared" si="10"/>
        <v>0.38882096969867302</v>
      </c>
      <c r="M119" s="84">
        <f t="shared" si="11"/>
        <v>0.92041744539531323</v>
      </c>
      <c r="N119" s="47">
        <f t="shared" si="12"/>
        <v>5.6677393214638692E-3</v>
      </c>
      <c r="O119" s="47">
        <f t="shared" si="13"/>
        <v>8.899755959323432E-3</v>
      </c>
      <c r="P119" s="47">
        <f t="shared" si="14"/>
        <v>5.0339830155183639E-2</v>
      </c>
      <c r="Q119" s="47">
        <f t="shared" si="15"/>
        <v>1</v>
      </c>
    </row>
    <row r="120" spans="1:17" x14ac:dyDescent="0.35">
      <c r="A120" s="82">
        <v>117</v>
      </c>
      <c r="B120" s="83" t="str">
        <f>_xlfn.XLOOKUP(A120,'TAZs by City - CCAG Model'!$A:$A,'TAZs by City - CCAG Model'!$B:$B,"Unknown")</f>
        <v>Cupertino</v>
      </c>
      <c r="C120" s="82">
        <f>_xlfn.XLOOKUP(A120,'TAZs by City - CCAG Model'!$A:$A,'TAZs by City - CCAG Model'!$C:$C,999)</f>
        <v>3</v>
      </c>
      <c r="D120" s="82" t="str">
        <f t="shared" si="8"/>
        <v>NO</v>
      </c>
      <c r="E120" s="27">
        <v>9127.44</v>
      </c>
      <c r="F120" s="27">
        <v>5417.32</v>
      </c>
      <c r="G120" s="27">
        <v>149.44</v>
      </c>
      <c r="H120" s="27">
        <v>196.9</v>
      </c>
      <c r="I120" s="27">
        <v>1087.3599999999999</v>
      </c>
      <c r="J120" s="27">
        <v>16163.42</v>
      </c>
      <c r="K120" s="47">
        <f t="shared" si="9"/>
        <v>0.5646973227200679</v>
      </c>
      <c r="L120" s="47">
        <f t="shared" si="10"/>
        <v>0.33515926703630788</v>
      </c>
      <c r="M120" s="84">
        <f t="shared" si="11"/>
        <v>0.89985658975637584</v>
      </c>
      <c r="N120" s="47">
        <f t="shared" si="12"/>
        <v>9.2455680790327795E-3</v>
      </c>
      <c r="O120" s="47">
        <f t="shared" si="13"/>
        <v>1.2181827855738452E-2</v>
      </c>
      <c r="P120" s="47">
        <f t="shared" si="14"/>
        <v>6.7272891504396956E-2</v>
      </c>
      <c r="Q120" s="47">
        <f t="shared" si="15"/>
        <v>1</v>
      </c>
    </row>
    <row r="121" spans="1:17" x14ac:dyDescent="0.35">
      <c r="A121" s="82">
        <v>118</v>
      </c>
      <c r="B121" s="83" t="str">
        <f>_xlfn.XLOOKUP(A121,'TAZs by City - CCAG Model'!$A:$A,'TAZs by City - CCAG Model'!$B:$B,"Unknown")</f>
        <v>Cupertino</v>
      </c>
      <c r="C121" s="82">
        <f>_xlfn.XLOOKUP(A121,'TAZs by City - CCAG Model'!$A:$A,'TAZs by City - CCAG Model'!$C:$C,999)</f>
        <v>3</v>
      </c>
      <c r="D121" s="82" t="str">
        <f t="shared" si="8"/>
        <v>NO</v>
      </c>
      <c r="E121" s="27">
        <v>6140.94</v>
      </c>
      <c r="F121" s="27">
        <v>4984.9399999999996</v>
      </c>
      <c r="G121" s="27">
        <v>176.94</v>
      </c>
      <c r="H121" s="27">
        <v>168.28</v>
      </c>
      <c r="I121" s="27">
        <v>723.36</v>
      </c>
      <c r="J121" s="27">
        <v>12401.96</v>
      </c>
      <c r="K121" s="47">
        <f t="shared" si="9"/>
        <v>0.49515882973336472</v>
      </c>
      <c r="L121" s="47">
        <f t="shared" si="10"/>
        <v>0.40194775664491739</v>
      </c>
      <c r="M121" s="84">
        <f t="shared" si="11"/>
        <v>0.89710658637828211</v>
      </c>
      <c r="N121" s="47">
        <f t="shared" si="12"/>
        <v>1.4267099716496425E-2</v>
      </c>
      <c r="O121" s="47">
        <f t="shared" si="13"/>
        <v>1.3568822992494735E-2</v>
      </c>
      <c r="P121" s="47">
        <f t="shared" si="14"/>
        <v>5.8326264558182746E-2</v>
      </c>
      <c r="Q121" s="47">
        <f t="shared" si="15"/>
        <v>1</v>
      </c>
    </row>
    <row r="122" spans="1:17" x14ac:dyDescent="0.35">
      <c r="A122" s="82">
        <v>119</v>
      </c>
      <c r="B122" s="83" t="str">
        <f>_xlfn.XLOOKUP(A122,'TAZs by City - CCAG Model'!$A:$A,'TAZs by City - CCAG Model'!$B:$B,"Unknown")</f>
        <v>Cupertino</v>
      </c>
      <c r="C122" s="82">
        <f>_xlfn.XLOOKUP(A122,'TAZs by City - CCAG Model'!$A:$A,'TAZs by City - CCAG Model'!$C:$C,999)</f>
        <v>3</v>
      </c>
      <c r="D122" s="82" t="str">
        <f t="shared" si="8"/>
        <v>NO</v>
      </c>
      <c r="E122" s="27">
        <v>16574.919999999998</v>
      </c>
      <c r="F122" s="27">
        <v>9653.56</v>
      </c>
      <c r="G122" s="27">
        <v>472.02</v>
      </c>
      <c r="H122" s="27">
        <v>339.64</v>
      </c>
      <c r="I122" s="27">
        <v>1546.08</v>
      </c>
      <c r="J122" s="27">
        <v>29084.86</v>
      </c>
      <c r="K122" s="47">
        <f t="shared" si="9"/>
        <v>0.56988137470835332</v>
      </c>
      <c r="L122" s="47">
        <f t="shared" si="10"/>
        <v>0.33191014156506166</v>
      </c>
      <c r="M122" s="84">
        <f t="shared" si="11"/>
        <v>0.90179151627341492</v>
      </c>
      <c r="N122" s="47">
        <f t="shared" si="12"/>
        <v>1.6229062130606781E-2</v>
      </c>
      <c r="O122" s="47">
        <f t="shared" si="13"/>
        <v>1.1677553201218778E-2</v>
      </c>
      <c r="P122" s="47">
        <f t="shared" si="14"/>
        <v>5.3157553448770253E-2</v>
      </c>
      <c r="Q122" s="47">
        <f t="shared" si="15"/>
        <v>1</v>
      </c>
    </row>
    <row r="123" spans="1:17" x14ac:dyDescent="0.35">
      <c r="A123" s="82">
        <v>120</v>
      </c>
      <c r="B123" s="83" t="str">
        <f>_xlfn.XLOOKUP(A123,'TAZs by City - CCAG Model'!$A:$A,'TAZs by City - CCAG Model'!$B:$B,"Unknown")</f>
        <v>Cupertino</v>
      </c>
      <c r="C123" s="82">
        <f>_xlfn.XLOOKUP(A123,'TAZs by City - CCAG Model'!$A:$A,'TAZs by City - CCAG Model'!$C:$C,999)</f>
        <v>3</v>
      </c>
      <c r="D123" s="82" t="str">
        <f t="shared" si="8"/>
        <v>NO</v>
      </c>
      <c r="E123" s="27">
        <v>4587.6000000000004</v>
      </c>
      <c r="F123" s="27">
        <v>2919.82</v>
      </c>
      <c r="G123" s="27">
        <v>98.18</v>
      </c>
      <c r="H123" s="27">
        <v>96.64</v>
      </c>
      <c r="I123" s="27">
        <v>580.78</v>
      </c>
      <c r="J123" s="27">
        <v>8424.02</v>
      </c>
      <c r="K123" s="47">
        <f t="shared" si="9"/>
        <v>0.54458560164861913</v>
      </c>
      <c r="L123" s="47">
        <f t="shared" si="10"/>
        <v>0.34660648953824896</v>
      </c>
      <c r="M123" s="84">
        <f t="shared" si="11"/>
        <v>0.89119209118686804</v>
      </c>
      <c r="N123" s="47">
        <f t="shared" si="12"/>
        <v>1.1654768151072767E-2</v>
      </c>
      <c r="O123" s="47">
        <f t="shared" si="13"/>
        <v>1.1471957568951641E-2</v>
      </c>
      <c r="P123" s="47">
        <f t="shared" si="14"/>
        <v>6.8943331093705845E-2</v>
      </c>
      <c r="Q123" s="47">
        <f t="shared" si="15"/>
        <v>1</v>
      </c>
    </row>
    <row r="124" spans="1:17" x14ac:dyDescent="0.35">
      <c r="A124" s="82">
        <v>121</v>
      </c>
      <c r="B124" s="83" t="str">
        <f>_xlfn.XLOOKUP(A124,'TAZs by City - CCAG Model'!$A:$A,'TAZs by City - CCAG Model'!$B:$B,"Unknown")</f>
        <v>Cupertino</v>
      </c>
      <c r="C124" s="82">
        <f>_xlfn.XLOOKUP(A124,'TAZs by City - CCAG Model'!$A:$A,'TAZs by City - CCAG Model'!$C:$C,999)</f>
        <v>3</v>
      </c>
      <c r="D124" s="82" t="str">
        <f t="shared" si="8"/>
        <v>NO</v>
      </c>
      <c r="E124" s="27">
        <v>1781.38</v>
      </c>
      <c r="F124" s="27">
        <v>1502.62</v>
      </c>
      <c r="G124" s="27">
        <v>41.36</v>
      </c>
      <c r="H124" s="27">
        <v>45.16</v>
      </c>
      <c r="I124" s="27">
        <v>248.34</v>
      </c>
      <c r="J124" s="27">
        <v>3690.04</v>
      </c>
      <c r="K124" s="47">
        <f t="shared" si="9"/>
        <v>0.48275357448699746</v>
      </c>
      <c r="L124" s="47">
        <f t="shared" si="10"/>
        <v>0.40720967794387047</v>
      </c>
      <c r="M124" s="84">
        <f t="shared" si="11"/>
        <v>0.88996325243086793</v>
      </c>
      <c r="N124" s="47">
        <f t="shared" si="12"/>
        <v>1.1208550584817508E-2</v>
      </c>
      <c r="O124" s="47">
        <f t="shared" si="13"/>
        <v>1.2238349719786235E-2</v>
      </c>
      <c r="P124" s="47">
        <f t="shared" si="14"/>
        <v>6.7300083467929886E-2</v>
      </c>
      <c r="Q124" s="47">
        <f t="shared" si="15"/>
        <v>1</v>
      </c>
    </row>
    <row r="125" spans="1:17" x14ac:dyDescent="0.35">
      <c r="A125" s="82">
        <v>122</v>
      </c>
      <c r="B125" s="83" t="str">
        <f>_xlfn.XLOOKUP(A125,'TAZs by City - CCAG Model'!$A:$A,'TAZs by City - CCAG Model'!$B:$B,"Unknown")</f>
        <v>Cupertino</v>
      </c>
      <c r="C125" s="82">
        <f>_xlfn.XLOOKUP(A125,'TAZs by City - CCAG Model'!$A:$A,'TAZs by City - CCAG Model'!$C:$C,999)</f>
        <v>3</v>
      </c>
      <c r="D125" s="82" t="str">
        <f t="shared" si="8"/>
        <v>NO</v>
      </c>
      <c r="E125" s="27">
        <v>1962.84</v>
      </c>
      <c r="F125" s="27">
        <v>1677.04</v>
      </c>
      <c r="G125" s="27">
        <v>38.1</v>
      </c>
      <c r="H125" s="27">
        <v>47.56</v>
      </c>
      <c r="I125" s="27">
        <v>261.74</v>
      </c>
      <c r="J125" s="27">
        <v>4050.66</v>
      </c>
      <c r="K125" s="47">
        <f t="shared" si="9"/>
        <v>0.48457288441883545</v>
      </c>
      <c r="L125" s="47">
        <f t="shared" si="10"/>
        <v>0.41401648126478152</v>
      </c>
      <c r="M125" s="84">
        <f t="shared" si="11"/>
        <v>0.89858936568361703</v>
      </c>
      <c r="N125" s="47">
        <f t="shared" si="12"/>
        <v>9.4058745982136243E-3</v>
      </c>
      <c r="O125" s="47">
        <f t="shared" si="13"/>
        <v>1.174129648007979E-2</v>
      </c>
      <c r="P125" s="47">
        <f t="shared" si="14"/>
        <v>6.4616630376284359E-2</v>
      </c>
      <c r="Q125" s="47">
        <f t="shared" si="15"/>
        <v>1</v>
      </c>
    </row>
    <row r="126" spans="1:17" x14ac:dyDescent="0.35">
      <c r="A126" s="82">
        <v>123</v>
      </c>
      <c r="B126" s="83" t="str">
        <f>_xlfn.XLOOKUP(A126,'TAZs by City - CCAG Model'!$A:$A,'TAZs by City - CCAG Model'!$B:$B,"Unknown")</f>
        <v>Cupertino</v>
      </c>
      <c r="C126" s="82">
        <f>_xlfn.XLOOKUP(A126,'TAZs by City - CCAG Model'!$A:$A,'TAZs by City - CCAG Model'!$C:$C,999)</f>
        <v>3</v>
      </c>
      <c r="D126" s="82" t="str">
        <f t="shared" si="8"/>
        <v>NO</v>
      </c>
      <c r="E126" s="27">
        <v>2946.34</v>
      </c>
      <c r="F126" s="27">
        <v>2456.3000000000002</v>
      </c>
      <c r="G126" s="27">
        <v>27.48</v>
      </c>
      <c r="H126" s="27">
        <v>68.88</v>
      </c>
      <c r="I126" s="27">
        <v>265.04000000000002</v>
      </c>
      <c r="J126" s="27">
        <v>5815.76</v>
      </c>
      <c r="K126" s="47">
        <f t="shared" si="9"/>
        <v>0.50661306518838467</v>
      </c>
      <c r="L126" s="47">
        <f t="shared" si="10"/>
        <v>0.42235236667262749</v>
      </c>
      <c r="M126" s="84">
        <f t="shared" si="11"/>
        <v>0.92896543186101221</v>
      </c>
      <c r="N126" s="47">
        <f t="shared" si="12"/>
        <v>4.7250918194698538E-3</v>
      </c>
      <c r="O126" s="47">
        <f t="shared" si="13"/>
        <v>1.1843679931771598E-2</v>
      </c>
      <c r="P126" s="47">
        <f t="shared" si="14"/>
        <v>4.5572719644552048E-2</v>
      </c>
      <c r="Q126" s="47">
        <f t="shared" si="15"/>
        <v>1</v>
      </c>
    </row>
    <row r="127" spans="1:17" x14ac:dyDescent="0.35">
      <c r="A127" s="82">
        <v>124</v>
      </c>
      <c r="B127" s="83" t="str">
        <f>_xlfn.XLOOKUP(A127,'TAZs by City - CCAG Model'!$A:$A,'TAZs by City - CCAG Model'!$B:$B,"Unknown")</f>
        <v>Cupertino</v>
      </c>
      <c r="C127" s="82">
        <f>_xlfn.XLOOKUP(A127,'TAZs by City - CCAG Model'!$A:$A,'TAZs by City - CCAG Model'!$C:$C,999)</f>
        <v>3</v>
      </c>
      <c r="D127" s="82" t="str">
        <f t="shared" si="8"/>
        <v>NO</v>
      </c>
      <c r="E127" s="27">
        <v>5004.5600000000004</v>
      </c>
      <c r="F127" s="27">
        <v>3411.56</v>
      </c>
      <c r="G127" s="27">
        <v>81.400000000000006</v>
      </c>
      <c r="H127" s="27">
        <v>88.44</v>
      </c>
      <c r="I127" s="27">
        <v>512.94000000000005</v>
      </c>
      <c r="J127" s="27">
        <v>9219.98</v>
      </c>
      <c r="K127" s="47">
        <f t="shared" si="9"/>
        <v>0.54279510367701456</v>
      </c>
      <c r="L127" s="47">
        <f t="shared" si="10"/>
        <v>0.37001815622159701</v>
      </c>
      <c r="M127" s="84">
        <f t="shared" si="11"/>
        <v>0.91281325989861162</v>
      </c>
      <c r="N127" s="47">
        <f t="shared" si="12"/>
        <v>8.828652556730059E-3</v>
      </c>
      <c r="O127" s="47">
        <f t="shared" si="13"/>
        <v>9.592211696771576E-3</v>
      </c>
      <c r="P127" s="47">
        <f t="shared" si="14"/>
        <v>5.563352632001372E-2</v>
      </c>
      <c r="Q127" s="47">
        <f t="shared" si="15"/>
        <v>1</v>
      </c>
    </row>
    <row r="128" spans="1:17" x14ac:dyDescent="0.35">
      <c r="A128" s="82">
        <v>125</v>
      </c>
      <c r="B128" s="83" t="str">
        <f>_xlfn.XLOOKUP(A128,'TAZs by City - CCAG Model'!$A:$A,'TAZs by City - CCAG Model'!$B:$B,"Unknown")</f>
        <v>Cupertino</v>
      </c>
      <c r="C128" s="82">
        <f>_xlfn.XLOOKUP(A128,'TAZs by City - CCAG Model'!$A:$A,'TAZs by City - CCAG Model'!$C:$C,999)</f>
        <v>3</v>
      </c>
      <c r="D128" s="82" t="str">
        <f t="shared" si="8"/>
        <v>NO</v>
      </c>
      <c r="E128" s="27">
        <v>1385.3</v>
      </c>
      <c r="F128" s="27">
        <v>1112.82</v>
      </c>
      <c r="G128" s="27">
        <v>11.66</v>
      </c>
      <c r="H128" s="27">
        <v>29.82</v>
      </c>
      <c r="I128" s="27">
        <v>118.68</v>
      </c>
      <c r="J128" s="27">
        <v>2693.5</v>
      </c>
      <c r="K128" s="47">
        <f t="shared" si="9"/>
        <v>0.51431223315388896</v>
      </c>
      <c r="L128" s="47">
        <f t="shared" si="10"/>
        <v>0.41315017635047335</v>
      </c>
      <c r="M128" s="84">
        <f t="shared" si="11"/>
        <v>0.92746240950436232</v>
      </c>
      <c r="N128" s="47">
        <f t="shared" si="12"/>
        <v>4.3289400408390568E-3</v>
      </c>
      <c r="O128" s="47">
        <f t="shared" si="13"/>
        <v>1.1071097085576388E-2</v>
      </c>
      <c r="P128" s="47">
        <f t="shared" si="14"/>
        <v>4.4061629849638018E-2</v>
      </c>
      <c r="Q128" s="47">
        <f t="shared" si="15"/>
        <v>1</v>
      </c>
    </row>
    <row r="129" spans="1:17" x14ac:dyDescent="0.35">
      <c r="A129" s="82">
        <v>126</v>
      </c>
      <c r="B129" s="83" t="str">
        <f>_xlfn.XLOOKUP(A129,'TAZs by City - CCAG Model'!$A:$A,'TAZs by City - CCAG Model'!$B:$B,"Unknown")</f>
        <v>Cupertino</v>
      </c>
      <c r="C129" s="82">
        <f>_xlfn.XLOOKUP(A129,'TAZs by City - CCAG Model'!$A:$A,'TAZs by City - CCAG Model'!$C:$C,999)</f>
        <v>3</v>
      </c>
      <c r="D129" s="82" t="str">
        <f t="shared" si="8"/>
        <v>NO</v>
      </c>
      <c r="E129" s="27">
        <v>5898.14</v>
      </c>
      <c r="F129" s="27">
        <v>3820.12</v>
      </c>
      <c r="G129" s="27">
        <v>68.44</v>
      </c>
      <c r="H129" s="27">
        <v>131.06</v>
      </c>
      <c r="I129" s="27">
        <v>532.96</v>
      </c>
      <c r="J129" s="27">
        <v>10555.98</v>
      </c>
      <c r="K129" s="47">
        <f t="shared" si="9"/>
        <v>0.55874869031582108</v>
      </c>
      <c r="L129" s="47">
        <f t="shared" si="10"/>
        <v>0.36189155341332591</v>
      </c>
      <c r="M129" s="84">
        <f t="shared" si="11"/>
        <v>0.92064024372914699</v>
      </c>
      <c r="N129" s="47">
        <f t="shared" si="12"/>
        <v>6.4835287675800825E-3</v>
      </c>
      <c r="O129" s="47">
        <f t="shared" si="13"/>
        <v>1.2415711284030474E-2</v>
      </c>
      <c r="P129" s="47">
        <f t="shared" si="14"/>
        <v>5.0488917182488033E-2</v>
      </c>
      <c r="Q129" s="47">
        <f t="shared" si="15"/>
        <v>1</v>
      </c>
    </row>
    <row r="130" spans="1:17" x14ac:dyDescent="0.35">
      <c r="A130" s="82">
        <v>127</v>
      </c>
      <c r="B130" s="83" t="str">
        <f>_xlfn.XLOOKUP(A130,'TAZs by City - CCAG Model'!$A:$A,'TAZs by City - CCAG Model'!$B:$B,"Unknown")</f>
        <v>Cupertino</v>
      </c>
      <c r="C130" s="82">
        <f>_xlfn.XLOOKUP(A130,'TAZs by City - CCAG Model'!$A:$A,'TAZs by City - CCAG Model'!$C:$C,999)</f>
        <v>3</v>
      </c>
      <c r="D130" s="82" t="str">
        <f t="shared" si="8"/>
        <v>NO</v>
      </c>
      <c r="E130" s="27">
        <v>2780.08</v>
      </c>
      <c r="F130" s="27">
        <v>1609.72</v>
      </c>
      <c r="G130" s="27">
        <v>20.02</v>
      </c>
      <c r="H130" s="27">
        <v>46.2</v>
      </c>
      <c r="I130" s="27">
        <v>260.68</v>
      </c>
      <c r="J130" s="27">
        <v>4780.3599999999997</v>
      </c>
      <c r="K130" s="47">
        <f t="shared" si="9"/>
        <v>0.58156289484473978</v>
      </c>
      <c r="L130" s="47">
        <f t="shared" si="10"/>
        <v>0.33673614539490754</v>
      </c>
      <c r="M130" s="84">
        <f t="shared" si="11"/>
        <v>0.91829904023964737</v>
      </c>
      <c r="N130" s="47">
        <f t="shared" si="12"/>
        <v>4.1879691069291857E-3</v>
      </c>
      <c r="O130" s="47">
        <f t="shared" si="13"/>
        <v>9.6645440929135056E-3</v>
      </c>
      <c r="P130" s="47">
        <f t="shared" si="14"/>
        <v>5.4531457881833174E-2</v>
      </c>
      <c r="Q130" s="47">
        <f t="shared" si="15"/>
        <v>1</v>
      </c>
    </row>
    <row r="131" spans="1:17" x14ac:dyDescent="0.35">
      <c r="A131" s="82">
        <v>128</v>
      </c>
      <c r="B131" s="83" t="str">
        <f>_xlfn.XLOOKUP(A131,'TAZs by City - CCAG Model'!$A:$A,'TAZs by City - CCAG Model'!$B:$B,"Unknown")</f>
        <v>Cupertino</v>
      </c>
      <c r="C131" s="82">
        <f>_xlfn.XLOOKUP(A131,'TAZs by City - CCAG Model'!$A:$A,'TAZs by City - CCAG Model'!$C:$C,999)</f>
        <v>3</v>
      </c>
      <c r="D131" s="82" t="str">
        <f t="shared" si="8"/>
        <v>NO</v>
      </c>
      <c r="E131" s="27">
        <v>1877.58</v>
      </c>
      <c r="F131" s="27">
        <v>1310.68</v>
      </c>
      <c r="G131" s="27">
        <v>0.42</v>
      </c>
      <c r="H131" s="27">
        <v>35.68</v>
      </c>
      <c r="I131" s="27">
        <v>176.48</v>
      </c>
      <c r="J131" s="27">
        <v>3436.06</v>
      </c>
      <c r="K131" s="47">
        <f t="shared" si="9"/>
        <v>0.54643399707804863</v>
      </c>
      <c r="L131" s="47">
        <f t="shared" si="10"/>
        <v>0.38144851952527026</v>
      </c>
      <c r="M131" s="84">
        <f t="shared" si="11"/>
        <v>0.927882516603319</v>
      </c>
      <c r="N131" s="47">
        <f t="shared" si="12"/>
        <v>1.2223302270623912E-4</v>
      </c>
      <c r="O131" s="47">
        <f t="shared" si="13"/>
        <v>1.0383986309901456E-2</v>
      </c>
      <c r="P131" s="47">
        <f t="shared" si="14"/>
        <v>5.1361152017135904E-2</v>
      </c>
      <c r="Q131" s="47">
        <f t="shared" si="15"/>
        <v>1</v>
      </c>
    </row>
    <row r="132" spans="1:17" x14ac:dyDescent="0.35">
      <c r="A132" s="82">
        <v>129</v>
      </c>
      <c r="B132" s="83" t="str">
        <f>_xlfn.XLOOKUP(A132,'TAZs by City - CCAG Model'!$A:$A,'TAZs by City - CCAG Model'!$B:$B,"Unknown")</f>
        <v>Cupertino</v>
      </c>
      <c r="C132" s="82">
        <f>_xlfn.XLOOKUP(A132,'TAZs by City - CCAG Model'!$A:$A,'TAZs by City - CCAG Model'!$C:$C,999)</f>
        <v>3</v>
      </c>
      <c r="D132" s="82" t="str">
        <f t="shared" si="8"/>
        <v>NO</v>
      </c>
      <c r="E132" s="27">
        <v>6868.6</v>
      </c>
      <c r="F132" s="27">
        <v>5110.4399999999996</v>
      </c>
      <c r="G132" s="27">
        <v>2.2200000000000002</v>
      </c>
      <c r="H132" s="27">
        <v>137.80000000000001</v>
      </c>
      <c r="I132" s="27">
        <v>848.58</v>
      </c>
      <c r="J132" s="27">
        <v>12998.92</v>
      </c>
      <c r="K132" s="47">
        <f t="shared" si="9"/>
        <v>0.52839774381256288</v>
      </c>
      <c r="L132" s="47">
        <f t="shared" si="10"/>
        <v>0.39314343037729282</v>
      </c>
      <c r="M132" s="84">
        <f t="shared" si="11"/>
        <v>0.92154117418985582</v>
      </c>
      <c r="N132" s="47">
        <f t="shared" si="12"/>
        <v>1.7078341893018807E-4</v>
      </c>
      <c r="O132" s="47">
        <f t="shared" si="13"/>
        <v>1.0600880688549511E-2</v>
      </c>
      <c r="P132" s="47">
        <f t="shared" si="14"/>
        <v>6.5280807944044589E-2</v>
      </c>
      <c r="Q132" s="47">
        <f t="shared" si="15"/>
        <v>1</v>
      </c>
    </row>
    <row r="133" spans="1:17" x14ac:dyDescent="0.35">
      <c r="A133" s="82">
        <v>130</v>
      </c>
      <c r="B133" s="83" t="str">
        <f>_xlfn.XLOOKUP(A133,'TAZs by City - CCAG Model'!$A:$A,'TAZs by City - CCAG Model'!$B:$B,"Unknown")</f>
        <v>Unincorporated</v>
      </c>
      <c r="C133" s="82">
        <f>_xlfn.XLOOKUP(A133,'TAZs by City - CCAG Model'!$A:$A,'TAZs by City - CCAG Model'!$C:$C,999)</f>
        <v>3</v>
      </c>
      <c r="D133" s="82" t="str">
        <f t="shared" ref="D133:D196" si="16">IF(C133=2,"YES","NO")</f>
        <v>NO</v>
      </c>
      <c r="E133" s="27">
        <v>27.96</v>
      </c>
      <c r="F133" s="27">
        <v>7.78</v>
      </c>
      <c r="G133" s="27">
        <v>0</v>
      </c>
      <c r="H133" s="27">
        <v>0.14000000000000001</v>
      </c>
      <c r="I133" s="27">
        <v>3.62</v>
      </c>
      <c r="J133" s="27">
        <v>50.4</v>
      </c>
      <c r="K133" s="47">
        <f t="shared" ref="K133:K196" si="17">IFERROR(E133/$J133,0)</f>
        <v>0.55476190476190479</v>
      </c>
      <c r="L133" s="47">
        <f t="shared" ref="L133:L196" si="18">IFERROR(F133/$J133,0)</f>
        <v>0.15436507936507937</v>
      </c>
      <c r="M133" s="84">
        <f t="shared" ref="M133:M196" si="19">IFERROR((E133+F133)/J133,0)</f>
        <v>0.70912698412698416</v>
      </c>
      <c r="N133" s="47">
        <f t="shared" ref="N133:N196" si="20">IFERROR(G133/$J133,0)</f>
        <v>0</v>
      </c>
      <c r="O133" s="47">
        <f t="shared" ref="O133:O196" si="21">IFERROR(H133/$J133,0)</f>
        <v>2.7777777777777783E-3</v>
      </c>
      <c r="P133" s="47">
        <f t="shared" ref="P133:P196" si="22">IFERROR(I133/$J133,0)</f>
        <v>7.1825396825396834E-2</v>
      </c>
      <c r="Q133" s="47">
        <f t="shared" ref="Q133:Q196" si="23">IFERROR(J133/$J133,0)</f>
        <v>1</v>
      </c>
    </row>
    <row r="134" spans="1:17" x14ac:dyDescent="0.35">
      <c r="A134" s="82">
        <v>131</v>
      </c>
      <c r="B134" s="83" t="str">
        <f>_xlfn.XLOOKUP(A134,'TAZs by City - CCAG Model'!$A:$A,'TAZs by City - CCAG Model'!$B:$B,"Unknown")</f>
        <v>Cupertino</v>
      </c>
      <c r="C134" s="82">
        <f>_xlfn.XLOOKUP(A134,'TAZs by City - CCAG Model'!$A:$A,'TAZs by City - CCAG Model'!$C:$C,999)</f>
        <v>3</v>
      </c>
      <c r="D134" s="82" t="str">
        <f t="shared" si="16"/>
        <v>NO</v>
      </c>
      <c r="E134" s="27">
        <v>1175.02</v>
      </c>
      <c r="F134" s="27">
        <v>914.3</v>
      </c>
      <c r="G134" s="27">
        <v>0.04</v>
      </c>
      <c r="H134" s="27">
        <v>17.36</v>
      </c>
      <c r="I134" s="27">
        <v>75.42</v>
      </c>
      <c r="J134" s="27">
        <v>2201.7600000000002</v>
      </c>
      <c r="K134" s="47">
        <f t="shared" si="17"/>
        <v>0.53367306155075933</v>
      </c>
      <c r="L134" s="47">
        <f t="shared" si="18"/>
        <v>0.41525870212920568</v>
      </c>
      <c r="M134" s="84">
        <f t="shared" si="19"/>
        <v>0.9489317636799649</v>
      </c>
      <c r="N134" s="47">
        <f t="shared" si="20"/>
        <v>1.8167284354334713E-5</v>
      </c>
      <c r="O134" s="47">
        <f t="shared" si="21"/>
        <v>7.8846014097812642E-3</v>
      </c>
      <c r="P134" s="47">
        <f t="shared" si="22"/>
        <v>3.4254414650098097E-2</v>
      </c>
      <c r="Q134" s="47">
        <f t="shared" si="23"/>
        <v>1</v>
      </c>
    </row>
    <row r="135" spans="1:17" x14ac:dyDescent="0.35">
      <c r="A135" s="82">
        <v>132</v>
      </c>
      <c r="B135" s="83" t="str">
        <f>_xlfn.XLOOKUP(A135,'TAZs by City - CCAG Model'!$A:$A,'TAZs by City - CCAG Model'!$B:$B,"Unknown")</f>
        <v>Cupertino</v>
      </c>
      <c r="C135" s="82">
        <f>_xlfn.XLOOKUP(A135,'TAZs by City - CCAG Model'!$A:$A,'TAZs by City - CCAG Model'!$C:$C,999)</f>
        <v>3</v>
      </c>
      <c r="D135" s="82" t="str">
        <f t="shared" si="16"/>
        <v>NO</v>
      </c>
      <c r="E135" s="27">
        <v>7286</v>
      </c>
      <c r="F135" s="27">
        <v>4927.08</v>
      </c>
      <c r="G135" s="27">
        <v>103.86</v>
      </c>
      <c r="H135" s="27">
        <v>136.94</v>
      </c>
      <c r="I135" s="27">
        <v>1243.02</v>
      </c>
      <c r="J135" s="27">
        <v>13841.52</v>
      </c>
      <c r="K135" s="47">
        <f t="shared" si="17"/>
        <v>0.52638727538594021</v>
      </c>
      <c r="L135" s="47">
        <f t="shared" si="18"/>
        <v>0.35596379588368904</v>
      </c>
      <c r="M135" s="84">
        <f t="shared" si="19"/>
        <v>0.88235107126962931</v>
      </c>
      <c r="N135" s="47">
        <f t="shared" si="20"/>
        <v>7.5035111750732571E-3</v>
      </c>
      <c r="O135" s="47">
        <f t="shared" si="21"/>
        <v>9.8934221097104931E-3</v>
      </c>
      <c r="P135" s="47">
        <f t="shared" si="22"/>
        <v>8.9803720978620841E-2</v>
      </c>
      <c r="Q135" s="47">
        <f t="shared" si="23"/>
        <v>1</v>
      </c>
    </row>
    <row r="136" spans="1:17" x14ac:dyDescent="0.35">
      <c r="A136" s="82">
        <v>133</v>
      </c>
      <c r="B136" s="83" t="str">
        <f>_xlfn.XLOOKUP(A136,'TAZs by City - CCAG Model'!$A:$A,'TAZs by City - CCAG Model'!$B:$B,"Unknown")</f>
        <v>Cupertino</v>
      </c>
      <c r="C136" s="82">
        <f>_xlfn.XLOOKUP(A136,'TAZs by City - CCAG Model'!$A:$A,'TAZs by City - CCAG Model'!$C:$C,999)</f>
        <v>3</v>
      </c>
      <c r="D136" s="82" t="str">
        <f t="shared" si="16"/>
        <v>NO</v>
      </c>
      <c r="E136" s="27">
        <v>3765.12</v>
      </c>
      <c r="F136" s="27">
        <v>2151.98</v>
      </c>
      <c r="G136" s="27">
        <v>47.5</v>
      </c>
      <c r="H136" s="27">
        <v>58.54</v>
      </c>
      <c r="I136" s="27">
        <v>1117.58</v>
      </c>
      <c r="J136" s="27">
        <v>7232.84</v>
      </c>
      <c r="K136" s="47">
        <f t="shared" si="17"/>
        <v>0.52055900586768122</v>
      </c>
      <c r="L136" s="47">
        <f t="shared" si="18"/>
        <v>0.29752904806410757</v>
      </c>
      <c r="M136" s="84">
        <f t="shared" si="19"/>
        <v>0.81808805393178896</v>
      </c>
      <c r="N136" s="47">
        <f t="shared" si="20"/>
        <v>6.5672681823460768E-3</v>
      </c>
      <c r="O136" s="47">
        <f t="shared" si="21"/>
        <v>8.093639566200829E-3</v>
      </c>
      <c r="P136" s="47">
        <f t="shared" si="22"/>
        <v>0.15451468579423849</v>
      </c>
      <c r="Q136" s="47">
        <f t="shared" si="23"/>
        <v>1</v>
      </c>
    </row>
    <row r="137" spans="1:17" x14ac:dyDescent="0.35">
      <c r="A137" s="82">
        <v>134</v>
      </c>
      <c r="B137" s="83" t="str">
        <f>_xlfn.XLOOKUP(A137,'TAZs by City - CCAG Model'!$A:$A,'TAZs by City - CCAG Model'!$B:$B,"Unknown")</f>
        <v>Cupertino</v>
      </c>
      <c r="C137" s="82">
        <f>_xlfn.XLOOKUP(A137,'TAZs by City - CCAG Model'!$A:$A,'TAZs by City - CCAG Model'!$C:$C,999)</f>
        <v>3</v>
      </c>
      <c r="D137" s="82" t="str">
        <f t="shared" si="16"/>
        <v>NO</v>
      </c>
      <c r="E137" s="27">
        <v>3889.18</v>
      </c>
      <c r="F137" s="27">
        <v>2961.9</v>
      </c>
      <c r="G137" s="27">
        <v>41.62</v>
      </c>
      <c r="H137" s="27">
        <v>77.819999999999993</v>
      </c>
      <c r="I137" s="27">
        <v>967.48</v>
      </c>
      <c r="J137" s="27">
        <v>8012.4</v>
      </c>
      <c r="K137" s="47">
        <f t="shared" si="17"/>
        <v>0.48539513753681796</v>
      </c>
      <c r="L137" s="47">
        <f t="shared" si="18"/>
        <v>0.36966451999400929</v>
      </c>
      <c r="M137" s="84">
        <f t="shared" si="19"/>
        <v>0.85505965753082724</v>
      </c>
      <c r="N137" s="47">
        <f t="shared" si="20"/>
        <v>5.1944486046627729E-3</v>
      </c>
      <c r="O137" s="47">
        <f t="shared" si="21"/>
        <v>9.7124457091508163E-3</v>
      </c>
      <c r="P137" s="47">
        <f t="shared" si="22"/>
        <v>0.12074784084668765</v>
      </c>
      <c r="Q137" s="47">
        <f t="shared" si="23"/>
        <v>1</v>
      </c>
    </row>
    <row r="138" spans="1:17" x14ac:dyDescent="0.35">
      <c r="A138" s="82">
        <v>135</v>
      </c>
      <c r="B138" s="83" t="str">
        <f>_xlfn.XLOOKUP(A138,'TAZs by City - CCAG Model'!$A:$A,'TAZs by City - CCAG Model'!$B:$B,"Unknown")</f>
        <v>Cupertino</v>
      </c>
      <c r="C138" s="82">
        <f>_xlfn.XLOOKUP(A138,'TAZs by City - CCAG Model'!$A:$A,'TAZs by City - CCAG Model'!$C:$C,999)</f>
        <v>3</v>
      </c>
      <c r="D138" s="82" t="str">
        <f t="shared" si="16"/>
        <v>NO</v>
      </c>
      <c r="E138" s="27">
        <v>4413.8999999999996</v>
      </c>
      <c r="F138" s="27">
        <v>3399.92</v>
      </c>
      <c r="G138" s="27">
        <v>53.7</v>
      </c>
      <c r="H138" s="27">
        <v>89.22</v>
      </c>
      <c r="I138" s="27">
        <v>1219.82</v>
      </c>
      <c r="J138" s="27">
        <v>9259.2000000000007</v>
      </c>
      <c r="K138" s="47">
        <f t="shared" si="17"/>
        <v>0.47670425090720575</v>
      </c>
      <c r="L138" s="47">
        <f t="shared" si="18"/>
        <v>0.36719371003974421</v>
      </c>
      <c r="M138" s="84">
        <f t="shared" si="19"/>
        <v>0.84389796094694991</v>
      </c>
      <c r="N138" s="47">
        <f t="shared" si="20"/>
        <v>5.7996371176775533E-3</v>
      </c>
      <c r="O138" s="47">
        <f t="shared" si="21"/>
        <v>9.6358216692586825E-3</v>
      </c>
      <c r="P138" s="47">
        <f t="shared" si="22"/>
        <v>0.13174140314498012</v>
      </c>
      <c r="Q138" s="47">
        <f t="shared" si="23"/>
        <v>1</v>
      </c>
    </row>
    <row r="139" spans="1:17" x14ac:dyDescent="0.35">
      <c r="A139" s="82">
        <v>136</v>
      </c>
      <c r="B139" s="83" t="str">
        <f>_xlfn.XLOOKUP(A139,'TAZs by City - CCAG Model'!$A:$A,'TAZs by City - CCAG Model'!$B:$B,"Unknown")</f>
        <v>Cupertino</v>
      </c>
      <c r="C139" s="82">
        <f>_xlfn.XLOOKUP(A139,'TAZs by City - CCAG Model'!$A:$A,'TAZs by City - CCAG Model'!$C:$C,999)</f>
        <v>3</v>
      </c>
      <c r="D139" s="82" t="str">
        <f t="shared" si="16"/>
        <v>NO</v>
      </c>
      <c r="E139" s="27">
        <v>496.5</v>
      </c>
      <c r="F139" s="27">
        <v>196.96</v>
      </c>
      <c r="G139" s="27">
        <v>0</v>
      </c>
      <c r="H139" s="27">
        <v>2.08</v>
      </c>
      <c r="I139" s="27">
        <v>3.2</v>
      </c>
      <c r="J139" s="27">
        <v>732.5</v>
      </c>
      <c r="K139" s="47">
        <f t="shared" si="17"/>
        <v>0.67781569965870303</v>
      </c>
      <c r="L139" s="47">
        <f t="shared" si="18"/>
        <v>0.26888737201365187</v>
      </c>
      <c r="M139" s="84">
        <f t="shared" si="19"/>
        <v>0.94670307167235501</v>
      </c>
      <c r="N139" s="47">
        <f t="shared" si="20"/>
        <v>0</v>
      </c>
      <c r="O139" s="47">
        <f t="shared" si="21"/>
        <v>2.8395904436860071E-3</v>
      </c>
      <c r="P139" s="47">
        <f t="shared" si="22"/>
        <v>4.3686006825938567E-3</v>
      </c>
      <c r="Q139" s="47">
        <f t="shared" si="23"/>
        <v>1</v>
      </c>
    </row>
    <row r="140" spans="1:17" x14ac:dyDescent="0.35">
      <c r="A140" s="82">
        <v>137</v>
      </c>
      <c r="B140" s="83" t="str">
        <f>_xlfn.XLOOKUP(A140,'TAZs by City - CCAG Model'!$A:$A,'TAZs by City - CCAG Model'!$B:$B,"Unknown")</f>
        <v>Unincorporated</v>
      </c>
      <c r="C140" s="82">
        <f>_xlfn.XLOOKUP(A140,'TAZs by City - CCAG Model'!$A:$A,'TAZs by City - CCAG Model'!$C:$C,999)</f>
        <v>3</v>
      </c>
      <c r="D140" s="82" t="str">
        <f t="shared" si="16"/>
        <v>NO</v>
      </c>
      <c r="E140" s="27">
        <v>325.38</v>
      </c>
      <c r="F140" s="27">
        <v>150.34</v>
      </c>
      <c r="G140" s="27">
        <v>0.76</v>
      </c>
      <c r="H140" s="27">
        <v>2.94</v>
      </c>
      <c r="I140" s="27">
        <v>9.8000000000000007</v>
      </c>
      <c r="J140" s="27">
        <v>507.86</v>
      </c>
      <c r="K140" s="47">
        <f t="shared" si="17"/>
        <v>0.64068837868703976</v>
      </c>
      <c r="L140" s="47">
        <f t="shared" si="18"/>
        <v>0.29602646398613791</v>
      </c>
      <c r="M140" s="84">
        <f t="shared" si="19"/>
        <v>0.93671484267317773</v>
      </c>
      <c r="N140" s="47">
        <f t="shared" si="20"/>
        <v>1.4964754066081204E-3</v>
      </c>
      <c r="O140" s="47">
        <f t="shared" si="21"/>
        <v>5.7889969676682548E-3</v>
      </c>
      <c r="P140" s="47">
        <f t="shared" si="22"/>
        <v>1.9296656558894183E-2</v>
      </c>
      <c r="Q140" s="47">
        <f t="shared" si="23"/>
        <v>1</v>
      </c>
    </row>
    <row r="141" spans="1:17" x14ac:dyDescent="0.35">
      <c r="A141" s="82">
        <v>138</v>
      </c>
      <c r="B141" s="83" t="str">
        <f>_xlfn.XLOOKUP(A141,'TAZs by City - CCAG Model'!$A:$A,'TAZs by City - CCAG Model'!$B:$B,"Unknown")</f>
        <v>Gilroy</v>
      </c>
      <c r="C141" s="82">
        <f>_xlfn.XLOOKUP(A141,'TAZs by City - CCAG Model'!$A:$A,'TAZs by City - CCAG Model'!$C:$C,999)</f>
        <v>3</v>
      </c>
      <c r="D141" s="82" t="str">
        <f t="shared" si="16"/>
        <v>NO</v>
      </c>
      <c r="E141" s="27">
        <v>26.2</v>
      </c>
      <c r="F141" s="27">
        <v>13.96</v>
      </c>
      <c r="G141" s="27">
        <v>0.04</v>
      </c>
      <c r="H141" s="27">
        <v>0.06</v>
      </c>
      <c r="I141" s="27">
        <v>1.1200000000000001</v>
      </c>
      <c r="J141" s="27">
        <v>45.9</v>
      </c>
      <c r="K141" s="47">
        <f t="shared" si="17"/>
        <v>0.57080610021786493</v>
      </c>
      <c r="L141" s="47">
        <f t="shared" si="18"/>
        <v>0.30413943355119827</v>
      </c>
      <c r="M141" s="84">
        <f t="shared" si="19"/>
        <v>0.87494553376906314</v>
      </c>
      <c r="N141" s="47">
        <f t="shared" si="20"/>
        <v>8.7145969498910684E-4</v>
      </c>
      <c r="O141" s="47">
        <f t="shared" si="21"/>
        <v>1.30718954248366E-3</v>
      </c>
      <c r="P141" s="47">
        <f t="shared" si="22"/>
        <v>2.4400871459694991E-2</v>
      </c>
      <c r="Q141" s="47">
        <f t="shared" si="23"/>
        <v>1</v>
      </c>
    </row>
    <row r="142" spans="1:17" x14ac:dyDescent="0.35">
      <c r="A142" s="82">
        <v>139</v>
      </c>
      <c r="B142" s="83" t="str">
        <f>_xlfn.XLOOKUP(A142,'TAZs by City - CCAG Model'!$A:$A,'TAZs by City - CCAG Model'!$B:$B,"Unknown")</f>
        <v>Gilroy</v>
      </c>
      <c r="C142" s="82">
        <f>_xlfn.XLOOKUP(A142,'TAZs by City - CCAG Model'!$A:$A,'TAZs by City - CCAG Model'!$C:$C,999)</f>
        <v>3</v>
      </c>
      <c r="D142" s="82" t="str">
        <f t="shared" si="16"/>
        <v>NO</v>
      </c>
      <c r="E142" s="27">
        <v>230.64</v>
      </c>
      <c r="F142" s="27">
        <v>111.18</v>
      </c>
      <c r="G142" s="27">
        <v>1.28</v>
      </c>
      <c r="H142" s="27">
        <v>2.14</v>
      </c>
      <c r="I142" s="27">
        <v>12.3</v>
      </c>
      <c r="J142" s="27">
        <v>368.48</v>
      </c>
      <c r="K142" s="47">
        <f t="shared" si="17"/>
        <v>0.6259227095093356</v>
      </c>
      <c r="L142" s="47">
        <f t="shared" si="18"/>
        <v>0.3017260095527573</v>
      </c>
      <c r="M142" s="84">
        <f t="shared" si="19"/>
        <v>0.9276487190620929</v>
      </c>
      <c r="N142" s="47">
        <f t="shared" si="20"/>
        <v>3.4737299174989146E-3</v>
      </c>
      <c r="O142" s="47">
        <f t="shared" si="21"/>
        <v>5.8076422058184977E-3</v>
      </c>
      <c r="P142" s="47">
        <f t="shared" si="22"/>
        <v>3.3380373425966128E-2</v>
      </c>
      <c r="Q142" s="47">
        <f t="shared" si="23"/>
        <v>1</v>
      </c>
    </row>
    <row r="143" spans="1:17" x14ac:dyDescent="0.35">
      <c r="A143" s="82">
        <v>140</v>
      </c>
      <c r="B143" s="83" t="str">
        <f>_xlfn.XLOOKUP(A143,'TAZs by City - CCAG Model'!$A:$A,'TAZs by City - CCAG Model'!$B:$B,"Unknown")</f>
        <v>Gilroy</v>
      </c>
      <c r="C143" s="82">
        <f>_xlfn.XLOOKUP(A143,'TAZs by City - CCAG Model'!$A:$A,'TAZs by City - CCAG Model'!$C:$C,999)</f>
        <v>3</v>
      </c>
      <c r="D143" s="82" t="str">
        <f t="shared" si="16"/>
        <v>NO</v>
      </c>
      <c r="E143" s="27">
        <v>499.16</v>
      </c>
      <c r="F143" s="27">
        <v>249.82</v>
      </c>
      <c r="G143" s="27">
        <v>2.54</v>
      </c>
      <c r="H143" s="27">
        <v>4.9400000000000004</v>
      </c>
      <c r="I143" s="27">
        <v>30.78</v>
      </c>
      <c r="J143" s="27">
        <v>804.9</v>
      </c>
      <c r="K143" s="47">
        <f t="shared" si="17"/>
        <v>0.6201515716238043</v>
      </c>
      <c r="L143" s="47">
        <f t="shared" si="18"/>
        <v>0.31037395949807428</v>
      </c>
      <c r="M143" s="84">
        <f t="shared" si="19"/>
        <v>0.93052553112187852</v>
      </c>
      <c r="N143" s="47">
        <f t="shared" si="20"/>
        <v>3.1556715119890671E-3</v>
      </c>
      <c r="O143" s="47">
        <f t="shared" si="21"/>
        <v>6.1374083737110209E-3</v>
      </c>
      <c r="P143" s="47">
        <f t="shared" si="22"/>
        <v>3.824077525158405E-2</v>
      </c>
      <c r="Q143" s="47">
        <f t="shared" si="23"/>
        <v>1</v>
      </c>
    </row>
    <row r="144" spans="1:17" x14ac:dyDescent="0.35">
      <c r="A144" s="82">
        <v>141</v>
      </c>
      <c r="B144" s="83" t="str">
        <f>_xlfn.XLOOKUP(A144,'TAZs by City - CCAG Model'!$A:$A,'TAZs by City - CCAG Model'!$B:$B,"Unknown")</f>
        <v>Gilroy</v>
      </c>
      <c r="C144" s="82">
        <f>_xlfn.XLOOKUP(A144,'TAZs by City - CCAG Model'!$A:$A,'TAZs by City - CCAG Model'!$C:$C,999)</f>
        <v>3</v>
      </c>
      <c r="D144" s="82" t="str">
        <f t="shared" si="16"/>
        <v>NO</v>
      </c>
      <c r="E144" s="27">
        <v>620.55999999999995</v>
      </c>
      <c r="F144" s="27">
        <v>532.9</v>
      </c>
      <c r="G144" s="27">
        <v>18.04</v>
      </c>
      <c r="H144" s="27">
        <v>13.24</v>
      </c>
      <c r="I144" s="27">
        <v>143.52000000000001</v>
      </c>
      <c r="J144" s="27">
        <v>1366.24</v>
      </c>
      <c r="K144" s="47">
        <f t="shared" si="17"/>
        <v>0.45421009485888275</v>
      </c>
      <c r="L144" s="47">
        <f t="shared" si="18"/>
        <v>0.39004860053870477</v>
      </c>
      <c r="M144" s="84">
        <f t="shared" si="19"/>
        <v>0.84425869539758758</v>
      </c>
      <c r="N144" s="47">
        <f t="shared" si="20"/>
        <v>1.3204122262560018E-2</v>
      </c>
      <c r="O144" s="47">
        <f t="shared" si="21"/>
        <v>9.6908303079985946E-3</v>
      </c>
      <c r="P144" s="47">
        <f t="shared" si="22"/>
        <v>0.10504742944138659</v>
      </c>
      <c r="Q144" s="47">
        <f t="shared" si="23"/>
        <v>1</v>
      </c>
    </row>
    <row r="145" spans="1:17" x14ac:dyDescent="0.35">
      <c r="A145" s="82">
        <v>142</v>
      </c>
      <c r="B145" s="83" t="str">
        <f>_xlfn.XLOOKUP(A145,'TAZs by City - CCAG Model'!$A:$A,'TAZs by City - CCAG Model'!$B:$B,"Unknown")</f>
        <v>Unincorporated</v>
      </c>
      <c r="C145" s="82">
        <f>_xlfn.XLOOKUP(A145,'TAZs by City - CCAG Model'!$A:$A,'TAZs by City - CCAG Model'!$C:$C,999)</f>
        <v>3</v>
      </c>
      <c r="D145" s="82" t="str">
        <f t="shared" si="16"/>
        <v>NO</v>
      </c>
      <c r="E145" s="27">
        <v>755.86</v>
      </c>
      <c r="F145" s="27">
        <v>574.05999999999995</v>
      </c>
      <c r="G145" s="27">
        <v>13.48</v>
      </c>
      <c r="H145" s="27">
        <v>13.34</v>
      </c>
      <c r="I145" s="27">
        <v>150.63999999999999</v>
      </c>
      <c r="J145" s="27">
        <v>1545.4</v>
      </c>
      <c r="K145" s="47">
        <f t="shared" si="17"/>
        <v>0.48910314481687589</v>
      </c>
      <c r="L145" s="47">
        <f t="shared" si="18"/>
        <v>0.37146369871877827</v>
      </c>
      <c r="M145" s="84">
        <f t="shared" si="19"/>
        <v>0.86056684353565416</v>
      </c>
      <c r="N145" s="47">
        <f t="shared" si="20"/>
        <v>8.7226607997929334E-3</v>
      </c>
      <c r="O145" s="47">
        <f t="shared" si="21"/>
        <v>8.6320693671541344E-3</v>
      </c>
      <c r="P145" s="47">
        <f t="shared" si="22"/>
        <v>9.7476381519347732E-2</v>
      </c>
      <c r="Q145" s="47">
        <f t="shared" si="23"/>
        <v>1</v>
      </c>
    </row>
    <row r="146" spans="1:17" x14ac:dyDescent="0.35">
      <c r="A146" s="82">
        <v>143</v>
      </c>
      <c r="B146" s="83" t="str">
        <f>_xlfn.XLOOKUP(A146,'TAZs by City - CCAG Model'!$A:$A,'TAZs by City - CCAG Model'!$B:$B,"Unknown")</f>
        <v>Gilroy</v>
      </c>
      <c r="C146" s="82">
        <f>_xlfn.XLOOKUP(A146,'TAZs by City - CCAG Model'!$A:$A,'TAZs by City - CCAG Model'!$C:$C,999)</f>
        <v>3</v>
      </c>
      <c r="D146" s="82" t="str">
        <f t="shared" si="16"/>
        <v>NO</v>
      </c>
      <c r="E146" s="27">
        <v>3265.6</v>
      </c>
      <c r="F146" s="27">
        <v>2949.6</v>
      </c>
      <c r="G146" s="27">
        <v>56</v>
      </c>
      <c r="H146" s="27">
        <v>67.72</v>
      </c>
      <c r="I146" s="27">
        <v>802.38</v>
      </c>
      <c r="J146" s="27">
        <v>7218.74</v>
      </c>
      <c r="K146" s="47">
        <f t="shared" si="17"/>
        <v>0.45237811584847215</v>
      </c>
      <c r="L146" s="47">
        <f t="shared" si="18"/>
        <v>0.40860316343295366</v>
      </c>
      <c r="M146" s="84">
        <f t="shared" si="19"/>
        <v>0.86098127928142587</v>
      </c>
      <c r="N146" s="47">
        <f t="shared" si="20"/>
        <v>7.7575865040159361E-3</v>
      </c>
      <c r="O146" s="47">
        <f t="shared" si="21"/>
        <v>9.381138536642129E-3</v>
      </c>
      <c r="P146" s="47">
        <f t="shared" si="22"/>
        <v>0.11115236176950548</v>
      </c>
      <c r="Q146" s="47">
        <f t="shared" si="23"/>
        <v>1</v>
      </c>
    </row>
    <row r="147" spans="1:17" x14ac:dyDescent="0.35">
      <c r="A147" s="82">
        <v>144</v>
      </c>
      <c r="B147" s="83" t="str">
        <f>_xlfn.XLOOKUP(A147,'TAZs by City - CCAG Model'!$A:$A,'TAZs by City - CCAG Model'!$B:$B,"Unknown")</f>
        <v>Gilroy</v>
      </c>
      <c r="C147" s="82">
        <f>_xlfn.XLOOKUP(A147,'TAZs by City - CCAG Model'!$A:$A,'TAZs by City - CCAG Model'!$C:$C,999)</f>
        <v>3</v>
      </c>
      <c r="D147" s="82" t="str">
        <f t="shared" si="16"/>
        <v>NO</v>
      </c>
      <c r="E147" s="27">
        <v>1683.08</v>
      </c>
      <c r="F147" s="27">
        <v>1503.94</v>
      </c>
      <c r="G147" s="27">
        <v>48.48</v>
      </c>
      <c r="H147" s="27">
        <v>38.58</v>
      </c>
      <c r="I147" s="27">
        <v>486.06</v>
      </c>
      <c r="J147" s="27">
        <v>3830.18</v>
      </c>
      <c r="K147" s="47">
        <f t="shared" si="17"/>
        <v>0.4394258233294519</v>
      </c>
      <c r="L147" s="47">
        <f t="shared" si="18"/>
        <v>0.3926551754747819</v>
      </c>
      <c r="M147" s="84">
        <f t="shared" si="19"/>
        <v>0.83208099880423381</v>
      </c>
      <c r="N147" s="47">
        <f t="shared" si="20"/>
        <v>1.2657368583199744E-2</v>
      </c>
      <c r="O147" s="47">
        <f t="shared" si="21"/>
        <v>1.0072633662125539E-2</v>
      </c>
      <c r="P147" s="47">
        <f t="shared" si="22"/>
        <v>0.12690265209467963</v>
      </c>
      <c r="Q147" s="47">
        <f t="shared" si="23"/>
        <v>1</v>
      </c>
    </row>
    <row r="148" spans="1:17" x14ac:dyDescent="0.35">
      <c r="A148" s="82">
        <v>145</v>
      </c>
      <c r="B148" s="83" t="str">
        <f>_xlfn.XLOOKUP(A148,'TAZs by City - CCAG Model'!$A:$A,'TAZs by City - CCAG Model'!$B:$B,"Unknown")</f>
        <v>Gilroy</v>
      </c>
      <c r="C148" s="82">
        <f>_xlfn.XLOOKUP(A148,'TAZs by City - CCAG Model'!$A:$A,'TAZs by City - CCAG Model'!$C:$C,999)</f>
        <v>3</v>
      </c>
      <c r="D148" s="82" t="str">
        <f t="shared" si="16"/>
        <v>NO</v>
      </c>
      <c r="E148" s="27">
        <v>4721.46</v>
      </c>
      <c r="F148" s="27">
        <v>3188.48</v>
      </c>
      <c r="G148" s="27">
        <v>107.68</v>
      </c>
      <c r="H148" s="27">
        <v>92.8</v>
      </c>
      <c r="I148" s="27">
        <v>1426.12</v>
      </c>
      <c r="J148" s="27">
        <v>9681</v>
      </c>
      <c r="K148" s="47">
        <f t="shared" si="17"/>
        <v>0.48770374961264334</v>
      </c>
      <c r="L148" s="47">
        <f t="shared" si="18"/>
        <v>0.3293544055366181</v>
      </c>
      <c r="M148" s="84">
        <f t="shared" si="19"/>
        <v>0.8170581551492615</v>
      </c>
      <c r="N148" s="47">
        <f t="shared" si="20"/>
        <v>1.112281789071377E-2</v>
      </c>
      <c r="O148" s="47">
        <f t="shared" si="21"/>
        <v>9.5857865922941848E-3</v>
      </c>
      <c r="P148" s="47">
        <f t="shared" si="22"/>
        <v>0.14731122817890713</v>
      </c>
      <c r="Q148" s="47">
        <f t="shared" si="23"/>
        <v>1</v>
      </c>
    </row>
    <row r="149" spans="1:17" x14ac:dyDescent="0.35">
      <c r="A149" s="82">
        <v>146</v>
      </c>
      <c r="B149" s="83" t="str">
        <f>_xlfn.XLOOKUP(A149,'TAZs by City - CCAG Model'!$A:$A,'TAZs by City - CCAG Model'!$B:$B,"Unknown")</f>
        <v>Gilroy</v>
      </c>
      <c r="C149" s="82">
        <f>_xlfn.XLOOKUP(A149,'TAZs by City - CCAG Model'!$A:$A,'TAZs by City - CCAG Model'!$C:$C,999)</f>
        <v>3</v>
      </c>
      <c r="D149" s="82" t="str">
        <f t="shared" si="16"/>
        <v>NO</v>
      </c>
      <c r="E149" s="27">
        <v>3231.38</v>
      </c>
      <c r="F149" s="27">
        <v>2282.98</v>
      </c>
      <c r="G149" s="27">
        <v>64.760000000000005</v>
      </c>
      <c r="H149" s="27">
        <v>69.260000000000005</v>
      </c>
      <c r="I149" s="27">
        <v>803.12</v>
      </c>
      <c r="J149" s="27">
        <v>6551.4</v>
      </c>
      <c r="K149" s="47">
        <f t="shared" si="17"/>
        <v>0.4932350337332479</v>
      </c>
      <c r="L149" s="47">
        <f t="shared" si="18"/>
        <v>0.34847208230301924</v>
      </c>
      <c r="M149" s="84">
        <f t="shared" si="19"/>
        <v>0.84170711603626724</v>
      </c>
      <c r="N149" s="47">
        <f t="shared" si="20"/>
        <v>9.8849100955520977E-3</v>
      </c>
      <c r="O149" s="47">
        <f t="shared" si="21"/>
        <v>1.0571786183105902E-2</v>
      </c>
      <c r="P149" s="47">
        <f t="shared" si="22"/>
        <v>0.12258753854138048</v>
      </c>
      <c r="Q149" s="47">
        <f t="shared" si="23"/>
        <v>1</v>
      </c>
    </row>
    <row r="150" spans="1:17" x14ac:dyDescent="0.35">
      <c r="A150" s="82">
        <v>147</v>
      </c>
      <c r="B150" s="83" t="str">
        <f>_xlfn.XLOOKUP(A150,'TAZs by City - CCAG Model'!$A:$A,'TAZs by City - CCAG Model'!$B:$B,"Unknown")</f>
        <v>Gilroy</v>
      </c>
      <c r="C150" s="82">
        <f>_xlfn.XLOOKUP(A150,'TAZs by City - CCAG Model'!$A:$A,'TAZs by City - CCAG Model'!$C:$C,999)</f>
        <v>3</v>
      </c>
      <c r="D150" s="82" t="str">
        <f t="shared" si="16"/>
        <v>NO</v>
      </c>
      <c r="E150" s="27">
        <v>11995.38</v>
      </c>
      <c r="F150" s="27">
        <v>9946.32</v>
      </c>
      <c r="G150" s="27">
        <v>51.36</v>
      </c>
      <c r="H150" s="27">
        <v>207.66</v>
      </c>
      <c r="I150" s="27">
        <v>2449.12</v>
      </c>
      <c r="J150" s="27">
        <v>24716.66</v>
      </c>
      <c r="K150" s="47">
        <f t="shared" si="17"/>
        <v>0.48531557257331692</v>
      </c>
      <c r="L150" s="47">
        <f t="shared" si="18"/>
        <v>0.40241359471708554</v>
      </c>
      <c r="M150" s="84">
        <f t="shared" si="19"/>
        <v>0.88772916729040241</v>
      </c>
      <c r="N150" s="47">
        <f t="shared" si="20"/>
        <v>2.0779506616185198E-3</v>
      </c>
      <c r="O150" s="47">
        <f t="shared" si="21"/>
        <v>8.4016206073150666E-3</v>
      </c>
      <c r="P150" s="47">
        <f t="shared" si="22"/>
        <v>9.9087821736432019E-2</v>
      </c>
      <c r="Q150" s="47">
        <f t="shared" si="23"/>
        <v>1</v>
      </c>
    </row>
    <row r="151" spans="1:17" x14ac:dyDescent="0.35">
      <c r="A151" s="82">
        <v>148</v>
      </c>
      <c r="B151" s="83" t="str">
        <f>_xlfn.XLOOKUP(A151,'TAZs by City - CCAG Model'!$A:$A,'TAZs by City - CCAG Model'!$B:$B,"Unknown")</f>
        <v>Gilroy</v>
      </c>
      <c r="C151" s="82">
        <f>_xlfn.XLOOKUP(A151,'TAZs by City - CCAG Model'!$A:$A,'TAZs by City - CCAG Model'!$C:$C,999)</f>
        <v>3</v>
      </c>
      <c r="D151" s="82" t="str">
        <f t="shared" si="16"/>
        <v>NO</v>
      </c>
      <c r="E151" s="27">
        <v>3026.86</v>
      </c>
      <c r="F151" s="27">
        <v>2318.3000000000002</v>
      </c>
      <c r="G151" s="27">
        <v>30.26</v>
      </c>
      <c r="H151" s="27">
        <v>50.32</v>
      </c>
      <c r="I151" s="27">
        <v>516.41999999999996</v>
      </c>
      <c r="J151" s="27">
        <v>5994.9</v>
      </c>
      <c r="K151" s="47">
        <f t="shared" si="17"/>
        <v>0.50490583662780031</v>
      </c>
      <c r="L151" s="47">
        <f t="shared" si="18"/>
        <v>0.38671203856611458</v>
      </c>
      <c r="M151" s="84">
        <f t="shared" si="19"/>
        <v>0.89161787519391489</v>
      </c>
      <c r="N151" s="47">
        <f t="shared" si="20"/>
        <v>5.0476238135748726E-3</v>
      </c>
      <c r="O151" s="47">
        <f t="shared" si="21"/>
        <v>8.3938013978548439E-3</v>
      </c>
      <c r="P151" s="47">
        <f t="shared" si="22"/>
        <v>8.6143221738477702E-2</v>
      </c>
      <c r="Q151" s="47">
        <f t="shared" si="23"/>
        <v>1</v>
      </c>
    </row>
    <row r="152" spans="1:17" x14ac:dyDescent="0.35">
      <c r="A152" s="82">
        <v>149</v>
      </c>
      <c r="B152" s="83" t="str">
        <f>_xlfn.XLOOKUP(A152,'TAZs by City - CCAG Model'!$A:$A,'TAZs by City - CCAG Model'!$B:$B,"Unknown")</f>
        <v>Unincorporated</v>
      </c>
      <c r="C152" s="82">
        <f>_xlfn.XLOOKUP(A152,'TAZs by City - CCAG Model'!$A:$A,'TAZs by City - CCAG Model'!$C:$C,999)</f>
        <v>3</v>
      </c>
      <c r="D152" s="82" t="str">
        <f t="shared" si="16"/>
        <v>NO</v>
      </c>
      <c r="E152" s="27">
        <v>3040.94</v>
      </c>
      <c r="F152" s="27">
        <v>1385.4</v>
      </c>
      <c r="G152" s="27">
        <v>0</v>
      </c>
      <c r="H152" s="27">
        <v>8.66</v>
      </c>
      <c r="I152" s="27">
        <v>106.04</v>
      </c>
      <c r="J152" s="27">
        <v>4571.76</v>
      </c>
      <c r="K152" s="47">
        <f t="shared" si="17"/>
        <v>0.66515740108842103</v>
      </c>
      <c r="L152" s="47">
        <f t="shared" si="18"/>
        <v>0.30303428001469895</v>
      </c>
      <c r="M152" s="84">
        <f t="shared" si="19"/>
        <v>0.96819168110312004</v>
      </c>
      <c r="N152" s="47">
        <f t="shared" si="20"/>
        <v>0</v>
      </c>
      <c r="O152" s="47">
        <f t="shared" si="21"/>
        <v>1.8942376677690868E-3</v>
      </c>
      <c r="P152" s="47">
        <f t="shared" si="22"/>
        <v>2.319456839379145E-2</v>
      </c>
      <c r="Q152" s="47">
        <f t="shared" si="23"/>
        <v>1</v>
      </c>
    </row>
    <row r="153" spans="1:17" x14ac:dyDescent="0.35">
      <c r="A153" s="82">
        <v>150</v>
      </c>
      <c r="B153" s="83" t="str">
        <f>_xlfn.XLOOKUP(A153,'TAZs by City - CCAG Model'!$A:$A,'TAZs by City - CCAG Model'!$B:$B,"Unknown")</f>
        <v>Gilroy</v>
      </c>
      <c r="C153" s="82">
        <f>_xlfn.XLOOKUP(A153,'TAZs by City - CCAG Model'!$A:$A,'TAZs by City - CCAG Model'!$C:$C,999)</f>
        <v>3</v>
      </c>
      <c r="D153" s="82" t="str">
        <f t="shared" si="16"/>
        <v>NO</v>
      </c>
      <c r="E153" s="27">
        <v>8008.7</v>
      </c>
      <c r="F153" s="27">
        <v>5303.96</v>
      </c>
      <c r="G153" s="27">
        <v>167.2</v>
      </c>
      <c r="H153" s="27">
        <v>172.28</v>
      </c>
      <c r="I153" s="27">
        <v>2728.94</v>
      </c>
      <c r="J153" s="27">
        <v>16590.740000000002</v>
      </c>
      <c r="K153" s="47">
        <f t="shared" si="17"/>
        <v>0.48272108417104959</v>
      </c>
      <c r="L153" s="47">
        <f t="shared" si="18"/>
        <v>0.31969399797718484</v>
      </c>
      <c r="M153" s="84">
        <f t="shared" si="19"/>
        <v>0.80241508214823443</v>
      </c>
      <c r="N153" s="47">
        <f t="shared" si="20"/>
        <v>1.0077910931037432E-2</v>
      </c>
      <c r="O153" s="47">
        <f t="shared" si="21"/>
        <v>1.0384105832530676E-2</v>
      </c>
      <c r="P153" s="47">
        <f t="shared" si="22"/>
        <v>0.16448573119704124</v>
      </c>
      <c r="Q153" s="47">
        <f t="shared" si="23"/>
        <v>1</v>
      </c>
    </row>
    <row r="154" spans="1:17" x14ac:dyDescent="0.35">
      <c r="A154" s="82">
        <v>151</v>
      </c>
      <c r="B154" s="83" t="str">
        <f>_xlfn.XLOOKUP(A154,'TAZs by City - CCAG Model'!$A:$A,'TAZs by City - CCAG Model'!$B:$B,"Unknown")</f>
        <v>Gilroy</v>
      </c>
      <c r="C154" s="82">
        <f>_xlfn.XLOOKUP(A154,'TAZs by City - CCAG Model'!$A:$A,'TAZs by City - CCAG Model'!$C:$C,999)</f>
        <v>3</v>
      </c>
      <c r="D154" s="82" t="str">
        <f t="shared" si="16"/>
        <v>NO</v>
      </c>
      <c r="E154" s="27">
        <v>2467.7399999999998</v>
      </c>
      <c r="F154" s="27">
        <v>1921.32</v>
      </c>
      <c r="G154" s="27">
        <v>60.14</v>
      </c>
      <c r="H154" s="27">
        <v>57</v>
      </c>
      <c r="I154" s="27">
        <v>734.32</v>
      </c>
      <c r="J154" s="27">
        <v>5320.56</v>
      </c>
      <c r="K154" s="47">
        <f t="shared" si="17"/>
        <v>0.46381207993143569</v>
      </c>
      <c r="L154" s="47">
        <f t="shared" si="18"/>
        <v>0.36111236411204833</v>
      </c>
      <c r="M154" s="84">
        <f t="shared" si="19"/>
        <v>0.82492444404348397</v>
      </c>
      <c r="N154" s="47">
        <f t="shared" si="20"/>
        <v>1.1303321454884448E-2</v>
      </c>
      <c r="O154" s="47">
        <f t="shared" si="21"/>
        <v>1.0713158013442194E-2</v>
      </c>
      <c r="P154" s="47">
        <f t="shared" si="22"/>
        <v>0.13801554723562934</v>
      </c>
      <c r="Q154" s="47">
        <f t="shared" si="23"/>
        <v>1</v>
      </c>
    </row>
    <row r="155" spans="1:17" x14ac:dyDescent="0.35">
      <c r="A155" s="82">
        <v>152</v>
      </c>
      <c r="B155" s="83" t="str">
        <f>_xlfn.XLOOKUP(A155,'TAZs by City - CCAG Model'!$A:$A,'TAZs by City - CCAG Model'!$B:$B,"Unknown")</f>
        <v>Gilroy</v>
      </c>
      <c r="C155" s="82">
        <f>_xlfn.XLOOKUP(A155,'TAZs by City - CCAG Model'!$A:$A,'TAZs by City - CCAG Model'!$C:$C,999)</f>
        <v>3</v>
      </c>
      <c r="D155" s="82" t="str">
        <f t="shared" si="16"/>
        <v>NO</v>
      </c>
      <c r="E155" s="27">
        <v>276.72000000000003</v>
      </c>
      <c r="F155" s="27">
        <v>109.7</v>
      </c>
      <c r="G155" s="27">
        <v>1.08</v>
      </c>
      <c r="H155" s="27">
        <v>3.74</v>
      </c>
      <c r="I155" s="27">
        <v>23.14</v>
      </c>
      <c r="J155" s="27">
        <v>424.46</v>
      </c>
      <c r="K155" s="47">
        <f t="shared" si="17"/>
        <v>0.65193422230598885</v>
      </c>
      <c r="L155" s="47">
        <f t="shared" si="18"/>
        <v>0.25844602553833107</v>
      </c>
      <c r="M155" s="84">
        <f t="shared" si="19"/>
        <v>0.91038024784431992</v>
      </c>
      <c r="N155" s="47">
        <f t="shared" si="20"/>
        <v>2.5444093671959669E-3</v>
      </c>
      <c r="O155" s="47">
        <f t="shared" si="21"/>
        <v>8.811195401215664E-3</v>
      </c>
      <c r="P155" s="47">
        <f t="shared" si="22"/>
        <v>5.4516326626772846E-2</v>
      </c>
      <c r="Q155" s="47">
        <f t="shared" si="23"/>
        <v>1</v>
      </c>
    </row>
    <row r="156" spans="1:17" x14ac:dyDescent="0.35">
      <c r="A156" s="82">
        <v>153</v>
      </c>
      <c r="B156" s="83" t="str">
        <f>_xlfn.XLOOKUP(A156,'TAZs by City - CCAG Model'!$A:$A,'TAZs by City - CCAG Model'!$B:$B,"Unknown")</f>
        <v>Gilroy</v>
      </c>
      <c r="C156" s="82">
        <f>_xlfn.XLOOKUP(A156,'TAZs by City - CCAG Model'!$A:$A,'TAZs by City - CCAG Model'!$C:$C,999)</f>
        <v>3</v>
      </c>
      <c r="D156" s="82" t="str">
        <f t="shared" si="16"/>
        <v>NO</v>
      </c>
      <c r="E156" s="27">
        <v>4608.72</v>
      </c>
      <c r="F156" s="27">
        <v>2920.08</v>
      </c>
      <c r="G156" s="27">
        <v>106.94</v>
      </c>
      <c r="H156" s="27">
        <v>95.28</v>
      </c>
      <c r="I156" s="27">
        <v>1529.62</v>
      </c>
      <c r="J156" s="27">
        <v>9409.24</v>
      </c>
      <c r="K156" s="47">
        <f t="shared" si="17"/>
        <v>0.48980789096675187</v>
      </c>
      <c r="L156" s="47">
        <f t="shared" si="18"/>
        <v>0.31034174917421598</v>
      </c>
      <c r="M156" s="84">
        <f t="shared" si="19"/>
        <v>0.8001496401409679</v>
      </c>
      <c r="N156" s="47">
        <f t="shared" si="20"/>
        <v>1.1365423774927625E-2</v>
      </c>
      <c r="O156" s="47">
        <f t="shared" si="21"/>
        <v>1.0126216357537909E-2</v>
      </c>
      <c r="P156" s="47">
        <f t="shared" si="22"/>
        <v>0.16256573325794643</v>
      </c>
      <c r="Q156" s="47">
        <f t="shared" si="23"/>
        <v>1</v>
      </c>
    </row>
    <row r="157" spans="1:17" x14ac:dyDescent="0.35">
      <c r="A157" s="82">
        <v>154</v>
      </c>
      <c r="B157" s="83" t="str">
        <f>_xlfn.XLOOKUP(A157,'TAZs by City - CCAG Model'!$A:$A,'TAZs by City - CCAG Model'!$B:$B,"Unknown")</f>
        <v>Gilroy</v>
      </c>
      <c r="C157" s="82">
        <f>_xlfn.XLOOKUP(A157,'TAZs by City - CCAG Model'!$A:$A,'TAZs by City - CCAG Model'!$C:$C,999)</f>
        <v>3</v>
      </c>
      <c r="D157" s="82" t="str">
        <f t="shared" si="16"/>
        <v>NO</v>
      </c>
      <c r="E157" s="27">
        <v>1140.5</v>
      </c>
      <c r="F157" s="27">
        <v>701.66</v>
      </c>
      <c r="G157" s="27">
        <v>25.34</v>
      </c>
      <c r="H157" s="27">
        <v>21.8</v>
      </c>
      <c r="I157" s="27">
        <v>398.28</v>
      </c>
      <c r="J157" s="27">
        <v>2341.1799999999998</v>
      </c>
      <c r="K157" s="47">
        <f t="shared" si="17"/>
        <v>0.48714750681280383</v>
      </c>
      <c r="L157" s="47">
        <f t="shared" si="18"/>
        <v>0.29970356828607797</v>
      </c>
      <c r="M157" s="84">
        <f t="shared" si="19"/>
        <v>0.78685107509888175</v>
      </c>
      <c r="N157" s="47">
        <f t="shared" si="20"/>
        <v>1.0823601773464664E-2</v>
      </c>
      <c r="O157" s="47">
        <f t="shared" si="21"/>
        <v>9.3115437514415811E-3</v>
      </c>
      <c r="P157" s="47">
        <f t="shared" si="22"/>
        <v>0.17011934152863087</v>
      </c>
      <c r="Q157" s="47">
        <f t="shared" si="23"/>
        <v>1</v>
      </c>
    </row>
    <row r="158" spans="1:17" x14ac:dyDescent="0.35">
      <c r="A158" s="82">
        <v>155</v>
      </c>
      <c r="B158" s="83" t="str">
        <f>_xlfn.XLOOKUP(A158,'TAZs by City - CCAG Model'!$A:$A,'TAZs by City - CCAG Model'!$B:$B,"Unknown")</f>
        <v>Gilroy</v>
      </c>
      <c r="C158" s="82">
        <f>_xlfn.XLOOKUP(A158,'TAZs by City - CCAG Model'!$A:$A,'TAZs by City - CCAG Model'!$C:$C,999)</f>
        <v>3</v>
      </c>
      <c r="D158" s="82" t="str">
        <f t="shared" si="16"/>
        <v>NO</v>
      </c>
      <c r="E158" s="27">
        <v>1831.66</v>
      </c>
      <c r="F158" s="27">
        <v>1468.78</v>
      </c>
      <c r="G158" s="27">
        <v>52.2</v>
      </c>
      <c r="H158" s="27">
        <v>42.18</v>
      </c>
      <c r="I158" s="27">
        <v>738.28</v>
      </c>
      <c r="J158" s="27">
        <v>4210.92</v>
      </c>
      <c r="K158" s="47">
        <f t="shared" si="17"/>
        <v>0.43497857950281649</v>
      </c>
      <c r="L158" s="47">
        <f t="shared" si="18"/>
        <v>0.34880263695344482</v>
      </c>
      <c r="M158" s="84">
        <f t="shared" si="19"/>
        <v>0.78378121645626131</v>
      </c>
      <c r="N158" s="47">
        <f t="shared" si="20"/>
        <v>1.2396340942121912E-2</v>
      </c>
      <c r="O158" s="47">
        <f t="shared" si="21"/>
        <v>1.0016813427944487E-2</v>
      </c>
      <c r="P158" s="47">
        <f t="shared" si="22"/>
        <v>0.17532510710248592</v>
      </c>
      <c r="Q158" s="47">
        <f t="shared" si="23"/>
        <v>1</v>
      </c>
    </row>
    <row r="159" spans="1:17" x14ac:dyDescent="0.35">
      <c r="A159" s="82">
        <v>156</v>
      </c>
      <c r="B159" s="83" t="str">
        <f>_xlfn.XLOOKUP(A159,'TAZs by City - CCAG Model'!$A:$A,'TAZs by City - CCAG Model'!$B:$B,"Unknown")</f>
        <v>Gilroy</v>
      </c>
      <c r="C159" s="82">
        <f>_xlfn.XLOOKUP(A159,'TAZs by City - CCAG Model'!$A:$A,'TAZs by City - CCAG Model'!$C:$C,999)</f>
        <v>3</v>
      </c>
      <c r="D159" s="82" t="str">
        <f t="shared" si="16"/>
        <v>NO</v>
      </c>
      <c r="E159" s="27">
        <v>2016.84</v>
      </c>
      <c r="F159" s="27">
        <v>1680.34</v>
      </c>
      <c r="G159" s="27">
        <v>85.44</v>
      </c>
      <c r="H159" s="27">
        <v>49.58</v>
      </c>
      <c r="I159" s="27">
        <v>928.88</v>
      </c>
      <c r="J159" s="27">
        <v>4870.66</v>
      </c>
      <c r="K159" s="47">
        <f t="shared" si="17"/>
        <v>0.41407940607638388</v>
      </c>
      <c r="L159" s="47">
        <f t="shared" si="18"/>
        <v>0.34499225977588255</v>
      </c>
      <c r="M159" s="84">
        <f t="shared" si="19"/>
        <v>0.75907166585226638</v>
      </c>
      <c r="N159" s="47">
        <f t="shared" si="20"/>
        <v>1.7541770519806352E-2</v>
      </c>
      <c r="O159" s="47">
        <f t="shared" si="21"/>
        <v>1.0179318613904481E-2</v>
      </c>
      <c r="P159" s="47">
        <f t="shared" si="22"/>
        <v>0.19070926732722054</v>
      </c>
      <c r="Q159" s="47">
        <f t="shared" si="23"/>
        <v>1</v>
      </c>
    </row>
    <row r="160" spans="1:17" x14ac:dyDescent="0.35">
      <c r="A160" s="82">
        <v>157</v>
      </c>
      <c r="B160" s="83" t="str">
        <f>_xlfn.XLOOKUP(A160,'TAZs by City - CCAG Model'!$A:$A,'TAZs by City - CCAG Model'!$B:$B,"Unknown")</f>
        <v>Gilroy</v>
      </c>
      <c r="C160" s="82">
        <f>_xlfn.XLOOKUP(A160,'TAZs by City - CCAG Model'!$A:$A,'TAZs by City - CCAG Model'!$C:$C,999)</f>
        <v>3</v>
      </c>
      <c r="D160" s="82" t="str">
        <f t="shared" si="16"/>
        <v>NO</v>
      </c>
      <c r="E160" s="27">
        <v>2298.96</v>
      </c>
      <c r="F160" s="27">
        <v>2399.34</v>
      </c>
      <c r="G160" s="27">
        <v>65.680000000000007</v>
      </c>
      <c r="H160" s="27">
        <v>99.32</v>
      </c>
      <c r="I160" s="27">
        <v>783.34</v>
      </c>
      <c r="J160" s="27">
        <v>5732.9</v>
      </c>
      <c r="K160" s="47">
        <f t="shared" si="17"/>
        <v>0.40101170437300498</v>
      </c>
      <c r="L160" s="47">
        <f t="shared" si="18"/>
        <v>0.41852116729752836</v>
      </c>
      <c r="M160" s="84">
        <f t="shared" si="19"/>
        <v>0.81953287167053335</v>
      </c>
      <c r="N160" s="47">
        <f t="shared" si="20"/>
        <v>1.1456679865338661E-2</v>
      </c>
      <c r="O160" s="47">
        <f t="shared" si="21"/>
        <v>1.732456522876729E-2</v>
      </c>
      <c r="P160" s="47">
        <f t="shared" si="22"/>
        <v>0.13663939716373913</v>
      </c>
      <c r="Q160" s="47">
        <f t="shared" si="23"/>
        <v>1</v>
      </c>
    </row>
    <row r="161" spans="1:17" x14ac:dyDescent="0.35">
      <c r="A161" s="82">
        <v>158</v>
      </c>
      <c r="B161" s="83" t="str">
        <f>_xlfn.XLOOKUP(A161,'TAZs by City - CCAG Model'!$A:$A,'TAZs by City - CCAG Model'!$B:$B,"Unknown")</f>
        <v>Gilroy</v>
      </c>
      <c r="C161" s="82">
        <f>_xlfn.XLOOKUP(A161,'TAZs by City - CCAG Model'!$A:$A,'TAZs by City - CCAG Model'!$C:$C,999)</f>
        <v>3</v>
      </c>
      <c r="D161" s="82" t="str">
        <f t="shared" si="16"/>
        <v>NO</v>
      </c>
      <c r="E161" s="27">
        <v>2696.36</v>
      </c>
      <c r="F161" s="27">
        <v>1696.6</v>
      </c>
      <c r="G161" s="27">
        <v>78.2</v>
      </c>
      <c r="H161" s="27">
        <v>58.86</v>
      </c>
      <c r="I161" s="27">
        <v>924.92</v>
      </c>
      <c r="J161" s="27">
        <v>5568.78</v>
      </c>
      <c r="K161" s="47">
        <f t="shared" si="17"/>
        <v>0.48419222881852042</v>
      </c>
      <c r="L161" s="47">
        <f t="shared" si="18"/>
        <v>0.30466278071678177</v>
      </c>
      <c r="M161" s="84">
        <f t="shared" si="19"/>
        <v>0.78885500953530219</v>
      </c>
      <c r="N161" s="47">
        <f t="shared" si="20"/>
        <v>1.4042573059090143E-2</v>
      </c>
      <c r="O161" s="47">
        <f t="shared" si="21"/>
        <v>1.0569640028875265E-2</v>
      </c>
      <c r="P161" s="47">
        <f t="shared" si="22"/>
        <v>0.16609023879557103</v>
      </c>
      <c r="Q161" s="47">
        <f t="shared" si="23"/>
        <v>1</v>
      </c>
    </row>
    <row r="162" spans="1:17" x14ac:dyDescent="0.35">
      <c r="A162" s="82">
        <v>159</v>
      </c>
      <c r="B162" s="83" t="str">
        <f>_xlfn.XLOOKUP(A162,'TAZs by City - CCAG Model'!$A:$A,'TAZs by City - CCAG Model'!$B:$B,"Unknown")</f>
        <v>Gilroy</v>
      </c>
      <c r="C162" s="82">
        <f>_xlfn.XLOOKUP(A162,'TAZs by City - CCAG Model'!$A:$A,'TAZs by City - CCAG Model'!$C:$C,999)</f>
        <v>3</v>
      </c>
      <c r="D162" s="82" t="str">
        <f t="shared" si="16"/>
        <v>NO</v>
      </c>
      <c r="E162" s="27">
        <v>1929.04</v>
      </c>
      <c r="F162" s="27">
        <v>1188.24</v>
      </c>
      <c r="G162" s="27">
        <v>63.08</v>
      </c>
      <c r="H162" s="27">
        <v>39.46</v>
      </c>
      <c r="I162" s="27">
        <v>656.88</v>
      </c>
      <c r="J162" s="27">
        <v>3975.46</v>
      </c>
      <c r="K162" s="47">
        <f t="shared" si="17"/>
        <v>0.48523692855669531</v>
      </c>
      <c r="L162" s="47">
        <f t="shared" si="18"/>
        <v>0.29889371292881828</v>
      </c>
      <c r="M162" s="84">
        <f t="shared" si="19"/>
        <v>0.78413064148551359</v>
      </c>
      <c r="N162" s="47">
        <f t="shared" si="20"/>
        <v>1.5867346168745251E-2</v>
      </c>
      <c r="O162" s="47">
        <f t="shared" si="21"/>
        <v>9.9258953680831912E-3</v>
      </c>
      <c r="P162" s="47">
        <f t="shared" si="22"/>
        <v>0.16523370880350952</v>
      </c>
      <c r="Q162" s="47">
        <f t="shared" si="23"/>
        <v>1</v>
      </c>
    </row>
    <row r="163" spans="1:17" x14ac:dyDescent="0.35">
      <c r="A163" s="82">
        <v>160</v>
      </c>
      <c r="B163" s="83" t="str">
        <f>_xlfn.XLOOKUP(A163,'TAZs by City - CCAG Model'!$A:$A,'TAZs by City - CCAG Model'!$B:$B,"Unknown")</f>
        <v>Gilroy</v>
      </c>
      <c r="C163" s="82">
        <f>_xlfn.XLOOKUP(A163,'TAZs by City - CCAG Model'!$A:$A,'TAZs by City - CCAG Model'!$C:$C,999)</f>
        <v>3</v>
      </c>
      <c r="D163" s="82" t="str">
        <f t="shared" si="16"/>
        <v>NO</v>
      </c>
      <c r="E163" s="27">
        <v>1025.22</v>
      </c>
      <c r="F163" s="27">
        <v>845.86</v>
      </c>
      <c r="G163" s="27">
        <v>35.299999999999997</v>
      </c>
      <c r="H163" s="27">
        <v>26.14</v>
      </c>
      <c r="I163" s="27">
        <v>464.92</v>
      </c>
      <c r="J163" s="27">
        <v>2456.92</v>
      </c>
      <c r="K163" s="47">
        <f t="shared" si="17"/>
        <v>0.41727854386793223</v>
      </c>
      <c r="L163" s="47">
        <f t="shared" si="18"/>
        <v>0.34427657392182082</v>
      </c>
      <c r="M163" s="84">
        <f t="shared" si="19"/>
        <v>0.76155511778975293</v>
      </c>
      <c r="N163" s="47">
        <f t="shared" si="20"/>
        <v>1.4367582176057827E-2</v>
      </c>
      <c r="O163" s="47">
        <f t="shared" si="21"/>
        <v>1.0639337056151605E-2</v>
      </c>
      <c r="P163" s="47">
        <f t="shared" si="22"/>
        <v>0.18922879051820979</v>
      </c>
      <c r="Q163" s="47">
        <f t="shared" si="23"/>
        <v>1</v>
      </c>
    </row>
    <row r="164" spans="1:17" x14ac:dyDescent="0.35">
      <c r="A164" s="82">
        <v>161</v>
      </c>
      <c r="B164" s="83" t="str">
        <f>_xlfn.XLOOKUP(A164,'TAZs by City - CCAG Model'!$A:$A,'TAZs by City - CCAG Model'!$B:$B,"Unknown")</f>
        <v>Gilroy</v>
      </c>
      <c r="C164" s="82">
        <f>_xlfn.XLOOKUP(A164,'TAZs by City - CCAG Model'!$A:$A,'TAZs by City - CCAG Model'!$C:$C,999)</f>
        <v>3</v>
      </c>
      <c r="D164" s="82" t="str">
        <f t="shared" si="16"/>
        <v>NO</v>
      </c>
      <c r="E164" s="27">
        <v>1374.44</v>
      </c>
      <c r="F164" s="27">
        <v>896.72</v>
      </c>
      <c r="G164" s="27">
        <v>61.48</v>
      </c>
      <c r="H164" s="27">
        <v>31.48</v>
      </c>
      <c r="I164" s="27">
        <v>560.88</v>
      </c>
      <c r="J164" s="27">
        <v>3021.46</v>
      </c>
      <c r="K164" s="47">
        <f t="shared" si="17"/>
        <v>0.4548926677831247</v>
      </c>
      <c r="L164" s="47">
        <f t="shared" si="18"/>
        <v>0.29678367411781059</v>
      </c>
      <c r="M164" s="84">
        <f t="shared" si="19"/>
        <v>0.75167634190093524</v>
      </c>
      <c r="N164" s="47">
        <f t="shared" si="20"/>
        <v>2.0347778888351986E-2</v>
      </c>
      <c r="O164" s="47">
        <f t="shared" si="21"/>
        <v>1.0418804154283029E-2</v>
      </c>
      <c r="P164" s="47">
        <f t="shared" si="22"/>
        <v>0.18563211162815327</v>
      </c>
      <c r="Q164" s="47">
        <f t="shared" si="23"/>
        <v>1</v>
      </c>
    </row>
    <row r="165" spans="1:17" x14ac:dyDescent="0.35">
      <c r="A165" s="82">
        <v>162</v>
      </c>
      <c r="B165" s="83" t="str">
        <f>_xlfn.XLOOKUP(A165,'TAZs by City - CCAG Model'!$A:$A,'TAZs by City - CCAG Model'!$B:$B,"Unknown")</f>
        <v>Gilroy</v>
      </c>
      <c r="C165" s="82">
        <f>_xlfn.XLOOKUP(A165,'TAZs by City - CCAG Model'!$A:$A,'TAZs by City - CCAG Model'!$C:$C,999)</f>
        <v>3</v>
      </c>
      <c r="D165" s="82" t="str">
        <f t="shared" si="16"/>
        <v>NO</v>
      </c>
      <c r="E165" s="27">
        <v>1717.62</v>
      </c>
      <c r="F165" s="27">
        <v>1295.26</v>
      </c>
      <c r="G165" s="27">
        <v>82.84</v>
      </c>
      <c r="H165" s="27">
        <v>42.66</v>
      </c>
      <c r="I165" s="27">
        <v>608.88</v>
      </c>
      <c r="J165" s="27">
        <v>3866.18</v>
      </c>
      <c r="K165" s="47">
        <f t="shared" si="17"/>
        <v>0.44426798545334151</v>
      </c>
      <c r="L165" s="47">
        <f t="shared" si="18"/>
        <v>0.33502320119601259</v>
      </c>
      <c r="M165" s="84">
        <f t="shared" si="19"/>
        <v>0.77929118664935415</v>
      </c>
      <c r="N165" s="47">
        <f t="shared" si="20"/>
        <v>2.1426834756788356E-2</v>
      </c>
      <c r="O165" s="47">
        <f t="shared" si="21"/>
        <v>1.1034147401310854E-2</v>
      </c>
      <c r="P165" s="47">
        <f t="shared" si="22"/>
        <v>0.15748878738186015</v>
      </c>
      <c r="Q165" s="47">
        <f t="shared" si="23"/>
        <v>1</v>
      </c>
    </row>
    <row r="166" spans="1:17" x14ac:dyDescent="0.35">
      <c r="A166" s="82">
        <v>163</v>
      </c>
      <c r="B166" s="83" t="str">
        <f>_xlfn.XLOOKUP(A166,'TAZs by City - CCAG Model'!$A:$A,'TAZs by City - CCAG Model'!$B:$B,"Unknown")</f>
        <v>Gilroy</v>
      </c>
      <c r="C166" s="82">
        <f>_xlfn.XLOOKUP(A166,'TAZs by City - CCAG Model'!$A:$A,'TAZs by City - CCAG Model'!$C:$C,999)</f>
        <v>3</v>
      </c>
      <c r="D166" s="82" t="str">
        <f t="shared" si="16"/>
        <v>NO</v>
      </c>
      <c r="E166" s="27">
        <v>729.58</v>
      </c>
      <c r="F166" s="27">
        <v>668.22</v>
      </c>
      <c r="G166" s="27">
        <v>33.159999999999997</v>
      </c>
      <c r="H166" s="27">
        <v>19.3</v>
      </c>
      <c r="I166" s="27">
        <v>406.26</v>
      </c>
      <c r="J166" s="27">
        <v>1908.48</v>
      </c>
      <c r="K166" s="47">
        <f t="shared" si="17"/>
        <v>0.38228328303152248</v>
      </c>
      <c r="L166" s="47">
        <f t="shared" si="18"/>
        <v>0.35013204225352113</v>
      </c>
      <c r="M166" s="84">
        <f t="shared" si="19"/>
        <v>0.73241532528504372</v>
      </c>
      <c r="N166" s="47">
        <f t="shared" si="20"/>
        <v>1.7375083836351439E-2</v>
      </c>
      <c r="O166" s="47">
        <f t="shared" si="21"/>
        <v>1.011275989268947E-2</v>
      </c>
      <c r="P166" s="47">
        <f t="shared" si="22"/>
        <v>0.21287097585513079</v>
      </c>
      <c r="Q166" s="47">
        <f t="shared" si="23"/>
        <v>1</v>
      </c>
    </row>
    <row r="167" spans="1:17" x14ac:dyDescent="0.35">
      <c r="A167" s="82">
        <v>164</v>
      </c>
      <c r="B167" s="83" t="str">
        <f>_xlfn.XLOOKUP(A167,'TAZs by City - CCAG Model'!$A:$A,'TAZs by City - CCAG Model'!$B:$B,"Unknown")</f>
        <v>Gilroy</v>
      </c>
      <c r="C167" s="82">
        <f>_xlfn.XLOOKUP(A167,'TAZs by City - CCAG Model'!$A:$A,'TAZs by City - CCAG Model'!$C:$C,999)</f>
        <v>3</v>
      </c>
      <c r="D167" s="82" t="str">
        <f t="shared" si="16"/>
        <v>NO</v>
      </c>
      <c r="E167" s="27">
        <v>457.1</v>
      </c>
      <c r="F167" s="27">
        <v>396.46</v>
      </c>
      <c r="G167" s="27">
        <v>19.14</v>
      </c>
      <c r="H167" s="27">
        <v>11.42</v>
      </c>
      <c r="I167" s="27">
        <v>229.64</v>
      </c>
      <c r="J167" s="27">
        <v>1151.8800000000001</v>
      </c>
      <c r="K167" s="47">
        <f t="shared" si="17"/>
        <v>0.39682953085390837</v>
      </c>
      <c r="L167" s="47">
        <f t="shared" si="18"/>
        <v>0.34418515817619888</v>
      </c>
      <c r="M167" s="84">
        <f t="shared" si="19"/>
        <v>0.74101468903010714</v>
      </c>
      <c r="N167" s="47">
        <f t="shared" si="20"/>
        <v>1.6616314199395771E-2</v>
      </c>
      <c r="O167" s="47">
        <f t="shared" si="21"/>
        <v>9.9142271764419889E-3</v>
      </c>
      <c r="P167" s="47">
        <f t="shared" si="22"/>
        <v>0.19936104455325204</v>
      </c>
      <c r="Q167" s="47">
        <f t="shared" si="23"/>
        <v>1</v>
      </c>
    </row>
    <row r="168" spans="1:17" x14ac:dyDescent="0.35">
      <c r="A168" s="82">
        <v>165</v>
      </c>
      <c r="B168" s="83" t="str">
        <f>_xlfn.XLOOKUP(A168,'TAZs by City - CCAG Model'!$A:$A,'TAZs by City - CCAG Model'!$B:$B,"Unknown")</f>
        <v>Gilroy</v>
      </c>
      <c r="C168" s="82">
        <f>_xlfn.XLOOKUP(A168,'TAZs by City - CCAG Model'!$A:$A,'TAZs by City - CCAG Model'!$C:$C,999)</f>
        <v>3</v>
      </c>
      <c r="D168" s="82" t="str">
        <f t="shared" si="16"/>
        <v>NO</v>
      </c>
      <c r="E168" s="27">
        <v>4541.3999999999996</v>
      </c>
      <c r="F168" s="27">
        <v>3005.62</v>
      </c>
      <c r="G168" s="27">
        <v>173.94</v>
      </c>
      <c r="H168" s="27">
        <v>97.76</v>
      </c>
      <c r="I168" s="27">
        <v>1384.76</v>
      </c>
      <c r="J168" s="27">
        <v>9423.84</v>
      </c>
      <c r="K168" s="47">
        <f t="shared" si="17"/>
        <v>0.48190546528803541</v>
      </c>
      <c r="L168" s="47">
        <f t="shared" si="18"/>
        <v>0.31893792763883938</v>
      </c>
      <c r="M168" s="84">
        <f t="shared" si="19"/>
        <v>0.80084339292687479</v>
      </c>
      <c r="N168" s="47">
        <f t="shared" si="20"/>
        <v>1.8457444099220701E-2</v>
      </c>
      <c r="O168" s="47">
        <f t="shared" si="21"/>
        <v>1.0373690555017913E-2</v>
      </c>
      <c r="P168" s="47">
        <f t="shared" si="22"/>
        <v>0.14694222312772712</v>
      </c>
      <c r="Q168" s="47">
        <f t="shared" si="23"/>
        <v>1</v>
      </c>
    </row>
    <row r="169" spans="1:17" x14ac:dyDescent="0.35">
      <c r="A169" s="82">
        <v>166</v>
      </c>
      <c r="B169" s="83" t="str">
        <f>_xlfn.XLOOKUP(A169,'TAZs by City - CCAG Model'!$A:$A,'TAZs by City - CCAG Model'!$B:$B,"Unknown")</f>
        <v>Gilroy</v>
      </c>
      <c r="C169" s="82">
        <f>_xlfn.XLOOKUP(A169,'TAZs by City - CCAG Model'!$A:$A,'TAZs by City - CCAG Model'!$C:$C,999)</f>
        <v>3</v>
      </c>
      <c r="D169" s="82" t="str">
        <f t="shared" si="16"/>
        <v>NO</v>
      </c>
      <c r="E169" s="27">
        <v>243.6</v>
      </c>
      <c r="F169" s="27">
        <v>243.46</v>
      </c>
      <c r="G169" s="27">
        <v>12.88</v>
      </c>
      <c r="H169" s="27">
        <v>7.28</v>
      </c>
      <c r="I169" s="27">
        <v>129.74</v>
      </c>
      <c r="J169" s="27">
        <v>666.42</v>
      </c>
      <c r="K169" s="47">
        <f t="shared" si="17"/>
        <v>0.36553524804177545</v>
      </c>
      <c r="L169" s="47">
        <f t="shared" si="18"/>
        <v>0.36532517031301587</v>
      </c>
      <c r="M169" s="84">
        <f t="shared" si="19"/>
        <v>0.73086041835479132</v>
      </c>
      <c r="N169" s="47">
        <f t="shared" si="20"/>
        <v>1.9327151045886979E-2</v>
      </c>
      <c r="O169" s="47">
        <f t="shared" si="21"/>
        <v>1.0924041895501337E-2</v>
      </c>
      <c r="P169" s="47">
        <f t="shared" si="22"/>
        <v>0.19468203235197026</v>
      </c>
      <c r="Q169" s="47">
        <f t="shared" si="23"/>
        <v>1</v>
      </c>
    </row>
    <row r="170" spans="1:17" x14ac:dyDescent="0.35">
      <c r="A170" s="82">
        <v>167</v>
      </c>
      <c r="B170" s="83" t="str">
        <f>_xlfn.XLOOKUP(A170,'TAZs by City - CCAG Model'!$A:$A,'TAZs by City - CCAG Model'!$B:$B,"Unknown")</f>
        <v>Gilroy</v>
      </c>
      <c r="C170" s="82">
        <f>_xlfn.XLOOKUP(A170,'TAZs by City - CCAG Model'!$A:$A,'TAZs by City - CCAG Model'!$C:$C,999)</f>
        <v>3</v>
      </c>
      <c r="D170" s="82" t="str">
        <f t="shared" si="16"/>
        <v>NO</v>
      </c>
      <c r="E170" s="27">
        <v>6735.56</v>
      </c>
      <c r="F170" s="27">
        <v>2667.82</v>
      </c>
      <c r="G170" s="27">
        <v>111.26</v>
      </c>
      <c r="H170" s="27">
        <v>70.78</v>
      </c>
      <c r="I170" s="27">
        <v>1062.94</v>
      </c>
      <c r="J170" s="27">
        <v>10799.72</v>
      </c>
      <c r="K170" s="47">
        <f t="shared" si="17"/>
        <v>0.62367913242195172</v>
      </c>
      <c r="L170" s="47">
        <f t="shared" si="18"/>
        <v>0.24702677476823476</v>
      </c>
      <c r="M170" s="84">
        <f t="shared" si="19"/>
        <v>0.87070590719018659</v>
      </c>
      <c r="N170" s="47">
        <f t="shared" si="20"/>
        <v>1.0302118943824471E-2</v>
      </c>
      <c r="O170" s="47">
        <f t="shared" si="21"/>
        <v>6.5538736189456768E-3</v>
      </c>
      <c r="P170" s="47">
        <f t="shared" si="22"/>
        <v>9.8422922075757535E-2</v>
      </c>
      <c r="Q170" s="47">
        <f t="shared" si="23"/>
        <v>1</v>
      </c>
    </row>
    <row r="171" spans="1:17" x14ac:dyDescent="0.35">
      <c r="A171" s="82">
        <v>168</v>
      </c>
      <c r="B171" s="83" t="str">
        <f>_xlfn.XLOOKUP(A171,'TAZs by City - CCAG Model'!$A:$A,'TAZs by City - CCAG Model'!$B:$B,"Unknown")</f>
        <v>Gilroy</v>
      </c>
      <c r="C171" s="82">
        <f>_xlfn.XLOOKUP(A171,'TAZs by City - CCAG Model'!$A:$A,'TAZs by City - CCAG Model'!$C:$C,999)</f>
        <v>3</v>
      </c>
      <c r="D171" s="82" t="str">
        <f t="shared" si="16"/>
        <v>NO</v>
      </c>
      <c r="E171" s="27">
        <v>5249.1</v>
      </c>
      <c r="F171" s="27">
        <v>3732.36</v>
      </c>
      <c r="G171" s="27">
        <v>151.9</v>
      </c>
      <c r="H171" s="27">
        <v>110.3</v>
      </c>
      <c r="I171" s="27">
        <v>1544.12</v>
      </c>
      <c r="J171" s="27">
        <v>10977.56</v>
      </c>
      <c r="K171" s="47">
        <f t="shared" si="17"/>
        <v>0.47816636848261368</v>
      </c>
      <c r="L171" s="47">
        <f t="shared" si="18"/>
        <v>0.33999905261278468</v>
      </c>
      <c r="M171" s="84">
        <f t="shared" si="19"/>
        <v>0.81816542109539836</v>
      </c>
      <c r="N171" s="47">
        <f t="shared" si="20"/>
        <v>1.3837319039932372E-2</v>
      </c>
      <c r="O171" s="47">
        <f t="shared" si="21"/>
        <v>1.0047770178436739E-2</v>
      </c>
      <c r="P171" s="47">
        <f t="shared" si="22"/>
        <v>0.14066149490414992</v>
      </c>
      <c r="Q171" s="47">
        <f t="shared" si="23"/>
        <v>1</v>
      </c>
    </row>
    <row r="172" spans="1:17" x14ac:dyDescent="0.35">
      <c r="A172" s="82">
        <v>169</v>
      </c>
      <c r="B172" s="83" t="str">
        <f>_xlfn.XLOOKUP(A172,'TAZs by City - CCAG Model'!$A:$A,'TAZs by City - CCAG Model'!$B:$B,"Unknown")</f>
        <v>Gilroy</v>
      </c>
      <c r="C172" s="82">
        <f>_xlfn.XLOOKUP(A172,'TAZs by City - CCAG Model'!$A:$A,'TAZs by City - CCAG Model'!$C:$C,999)</f>
        <v>3</v>
      </c>
      <c r="D172" s="82" t="str">
        <f t="shared" si="16"/>
        <v>NO</v>
      </c>
      <c r="E172" s="27">
        <v>1963.8</v>
      </c>
      <c r="F172" s="27">
        <v>1683.36</v>
      </c>
      <c r="G172" s="27">
        <v>28.72</v>
      </c>
      <c r="H172" s="27">
        <v>38.020000000000003</v>
      </c>
      <c r="I172" s="27">
        <v>314.08</v>
      </c>
      <c r="J172" s="27">
        <v>4076.06</v>
      </c>
      <c r="K172" s="47">
        <f t="shared" si="17"/>
        <v>0.48178878622983962</v>
      </c>
      <c r="L172" s="47">
        <f t="shared" si="18"/>
        <v>0.41298705122103208</v>
      </c>
      <c r="M172" s="84">
        <f t="shared" si="19"/>
        <v>0.89477583745087164</v>
      </c>
      <c r="N172" s="47">
        <f t="shared" si="20"/>
        <v>7.0460199310118099E-3</v>
      </c>
      <c r="O172" s="47">
        <f t="shared" si="21"/>
        <v>9.3276350200929333E-3</v>
      </c>
      <c r="P172" s="47">
        <f t="shared" si="22"/>
        <v>7.7054802922429985E-2</v>
      </c>
      <c r="Q172" s="47">
        <f t="shared" si="23"/>
        <v>1</v>
      </c>
    </row>
    <row r="173" spans="1:17" x14ac:dyDescent="0.35">
      <c r="A173" s="82">
        <v>170</v>
      </c>
      <c r="B173" s="83" t="str">
        <f>_xlfn.XLOOKUP(A173,'TAZs by City - CCAG Model'!$A:$A,'TAZs by City - CCAG Model'!$B:$B,"Unknown")</f>
        <v>Gilroy</v>
      </c>
      <c r="C173" s="82">
        <f>_xlfn.XLOOKUP(A173,'TAZs by City - CCAG Model'!$A:$A,'TAZs by City - CCAG Model'!$C:$C,999)</f>
        <v>3</v>
      </c>
      <c r="D173" s="82" t="str">
        <f t="shared" si="16"/>
        <v>NO</v>
      </c>
      <c r="E173" s="27">
        <v>814.02</v>
      </c>
      <c r="F173" s="27">
        <v>518.74</v>
      </c>
      <c r="G173" s="27">
        <v>13.5</v>
      </c>
      <c r="H173" s="27">
        <v>13.68</v>
      </c>
      <c r="I173" s="27">
        <v>138.06</v>
      </c>
      <c r="J173" s="27">
        <v>1536.14</v>
      </c>
      <c r="K173" s="47">
        <f t="shared" si="17"/>
        <v>0.52991263817099998</v>
      </c>
      <c r="L173" s="47">
        <f t="shared" si="18"/>
        <v>0.33769057507779238</v>
      </c>
      <c r="M173" s="84">
        <f t="shared" si="19"/>
        <v>0.86760321324879242</v>
      </c>
      <c r="N173" s="47">
        <f t="shared" si="20"/>
        <v>8.7882614865832532E-3</v>
      </c>
      <c r="O173" s="47">
        <f t="shared" si="21"/>
        <v>8.9054383064043636E-3</v>
      </c>
      <c r="P173" s="47">
        <f t="shared" si="22"/>
        <v>8.9874620802791405E-2</v>
      </c>
      <c r="Q173" s="47">
        <f t="shared" si="23"/>
        <v>1</v>
      </c>
    </row>
    <row r="174" spans="1:17" x14ac:dyDescent="0.35">
      <c r="A174" s="82">
        <v>171</v>
      </c>
      <c r="B174" s="83" t="str">
        <f>_xlfn.XLOOKUP(A174,'TAZs by City - CCAG Model'!$A:$A,'TAZs by City - CCAG Model'!$B:$B,"Unknown")</f>
        <v>Unincorporated</v>
      </c>
      <c r="C174" s="82">
        <f>_xlfn.XLOOKUP(A174,'TAZs by City - CCAG Model'!$A:$A,'TAZs by City - CCAG Model'!$C:$C,999)</f>
        <v>3</v>
      </c>
      <c r="D174" s="82" t="str">
        <f t="shared" si="16"/>
        <v>NO</v>
      </c>
      <c r="E174" s="27">
        <v>490.36</v>
      </c>
      <c r="F174" s="27">
        <v>365.92</v>
      </c>
      <c r="G174" s="27">
        <v>7.84</v>
      </c>
      <c r="H174" s="27">
        <v>6.82</v>
      </c>
      <c r="I174" s="27">
        <v>30.24</v>
      </c>
      <c r="J174" s="27">
        <v>928.7</v>
      </c>
      <c r="K174" s="47">
        <f t="shared" si="17"/>
        <v>0.52800689135350487</v>
      </c>
      <c r="L174" s="47">
        <f t="shared" si="18"/>
        <v>0.39401313664261872</v>
      </c>
      <c r="M174" s="84">
        <f t="shared" si="19"/>
        <v>0.92202002799612359</v>
      </c>
      <c r="N174" s="47">
        <f t="shared" si="20"/>
        <v>8.441908043501669E-3</v>
      </c>
      <c r="O174" s="47">
        <f t="shared" si="21"/>
        <v>7.3435985786583398E-3</v>
      </c>
      <c r="P174" s="47">
        <f t="shared" si="22"/>
        <v>3.2561645310649291E-2</v>
      </c>
      <c r="Q174" s="47">
        <f t="shared" si="23"/>
        <v>1</v>
      </c>
    </row>
    <row r="175" spans="1:17" x14ac:dyDescent="0.35">
      <c r="A175" s="82">
        <v>172</v>
      </c>
      <c r="B175" s="83" t="str">
        <f>_xlfn.XLOOKUP(A175,'TAZs by City - CCAG Model'!$A:$A,'TAZs by City - CCAG Model'!$B:$B,"Unknown")</f>
        <v>Unincorporated</v>
      </c>
      <c r="C175" s="82">
        <f>_xlfn.XLOOKUP(A175,'TAZs by City - CCAG Model'!$A:$A,'TAZs by City - CCAG Model'!$C:$C,999)</f>
        <v>3</v>
      </c>
      <c r="D175" s="82" t="str">
        <f t="shared" si="16"/>
        <v>NO</v>
      </c>
      <c r="E175" s="27">
        <v>11246.48</v>
      </c>
      <c r="F175" s="27">
        <v>5804.74</v>
      </c>
      <c r="G175" s="27">
        <v>16.16</v>
      </c>
      <c r="H175" s="27">
        <v>197.04</v>
      </c>
      <c r="I175" s="27">
        <v>857.8</v>
      </c>
      <c r="J175" s="27">
        <v>18168.439999999999</v>
      </c>
      <c r="K175" s="47">
        <f t="shared" si="17"/>
        <v>0.61901186893316107</v>
      </c>
      <c r="L175" s="47">
        <f t="shared" si="18"/>
        <v>0.31949578499860198</v>
      </c>
      <c r="M175" s="84">
        <f t="shared" si="19"/>
        <v>0.93850765393176316</v>
      </c>
      <c r="N175" s="47">
        <f t="shared" si="20"/>
        <v>8.8945446059210376E-4</v>
      </c>
      <c r="O175" s="47">
        <f t="shared" si="21"/>
        <v>1.0845179883358175E-2</v>
      </c>
      <c r="P175" s="47">
        <f t="shared" si="22"/>
        <v>4.7213739869796198E-2</v>
      </c>
      <c r="Q175" s="47">
        <f t="shared" si="23"/>
        <v>1</v>
      </c>
    </row>
    <row r="176" spans="1:17" x14ac:dyDescent="0.35">
      <c r="A176" s="82">
        <v>173</v>
      </c>
      <c r="B176" s="83" t="str">
        <f>_xlfn.XLOOKUP(A176,'TAZs by City - CCAG Model'!$A:$A,'TAZs by City - CCAG Model'!$B:$B,"Unknown")</f>
        <v>Unincorporated</v>
      </c>
      <c r="C176" s="82">
        <f>_xlfn.XLOOKUP(A176,'TAZs by City - CCAG Model'!$A:$A,'TAZs by City - CCAG Model'!$C:$C,999)</f>
        <v>3</v>
      </c>
      <c r="D176" s="82" t="str">
        <f t="shared" si="16"/>
        <v>NO</v>
      </c>
      <c r="E176" s="27">
        <v>7287.22</v>
      </c>
      <c r="F176" s="27">
        <v>2919.58</v>
      </c>
      <c r="G176" s="27">
        <v>40.24</v>
      </c>
      <c r="H176" s="27">
        <v>69.2</v>
      </c>
      <c r="I176" s="27">
        <v>419.1</v>
      </c>
      <c r="J176" s="27">
        <v>10805.98</v>
      </c>
      <c r="K176" s="47">
        <f t="shared" si="17"/>
        <v>0.67436919187338873</v>
      </c>
      <c r="L176" s="47">
        <f t="shared" si="18"/>
        <v>0.27018188077342359</v>
      </c>
      <c r="M176" s="84">
        <f t="shared" si="19"/>
        <v>0.94455107264681215</v>
      </c>
      <c r="N176" s="47">
        <f t="shared" si="20"/>
        <v>3.7238640086322576E-3</v>
      </c>
      <c r="O176" s="47">
        <f t="shared" si="21"/>
        <v>6.4038615655405626E-3</v>
      </c>
      <c r="P176" s="47">
        <f t="shared" si="22"/>
        <v>3.8784080666445807E-2</v>
      </c>
      <c r="Q176" s="47">
        <f t="shared" si="23"/>
        <v>1</v>
      </c>
    </row>
    <row r="177" spans="1:17" x14ac:dyDescent="0.35">
      <c r="A177" s="82">
        <v>174</v>
      </c>
      <c r="B177" s="83" t="str">
        <f>_xlfn.XLOOKUP(A177,'TAZs by City - CCAG Model'!$A:$A,'TAZs by City - CCAG Model'!$B:$B,"Unknown")</f>
        <v>Gilroy</v>
      </c>
      <c r="C177" s="82">
        <f>_xlfn.XLOOKUP(A177,'TAZs by City - CCAG Model'!$A:$A,'TAZs by City - CCAG Model'!$C:$C,999)</f>
        <v>3</v>
      </c>
      <c r="D177" s="82" t="str">
        <f t="shared" si="16"/>
        <v>NO</v>
      </c>
      <c r="E177" s="27">
        <v>8373.68</v>
      </c>
      <c r="F177" s="27">
        <v>3545.06</v>
      </c>
      <c r="G177" s="27">
        <v>38.200000000000003</v>
      </c>
      <c r="H177" s="27">
        <v>70.88</v>
      </c>
      <c r="I177" s="27">
        <v>304.45999999999998</v>
      </c>
      <c r="J177" s="27">
        <v>12403.18</v>
      </c>
      <c r="K177" s="47">
        <f t="shared" si="17"/>
        <v>0.67512363764776451</v>
      </c>
      <c r="L177" s="47">
        <f t="shared" si="18"/>
        <v>0.28581863683345721</v>
      </c>
      <c r="M177" s="84">
        <f t="shared" si="19"/>
        <v>0.96094227448122171</v>
      </c>
      <c r="N177" s="47">
        <f t="shared" si="20"/>
        <v>3.0798553274240963E-3</v>
      </c>
      <c r="O177" s="47">
        <f t="shared" si="21"/>
        <v>5.7146634975869083E-3</v>
      </c>
      <c r="P177" s="47">
        <f t="shared" si="22"/>
        <v>2.4546930706480109E-2</v>
      </c>
      <c r="Q177" s="47">
        <f t="shared" si="23"/>
        <v>1</v>
      </c>
    </row>
    <row r="178" spans="1:17" x14ac:dyDescent="0.35">
      <c r="A178" s="82">
        <v>175</v>
      </c>
      <c r="B178" s="83" t="str">
        <f>_xlfn.XLOOKUP(A178,'TAZs by City - CCAG Model'!$A:$A,'TAZs by City - CCAG Model'!$B:$B,"Unknown")</f>
        <v>Unincorporated</v>
      </c>
      <c r="C178" s="82">
        <f>_xlfn.XLOOKUP(A178,'TAZs by City - CCAG Model'!$A:$A,'TAZs by City - CCAG Model'!$C:$C,999)</f>
        <v>3</v>
      </c>
      <c r="D178" s="82" t="str">
        <f t="shared" si="16"/>
        <v>NO</v>
      </c>
      <c r="E178" s="27">
        <v>631.78</v>
      </c>
      <c r="F178" s="27">
        <v>340.88</v>
      </c>
      <c r="G178" s="27">
        <v>0.5</v>
      </c>
      <c r="H178" s="27">
        <v>5.32</v>
      </c>
      <c r="I178" s="27">
        <v>6.44</v>
      </c>
      <c r="J178" s="27">
        <v>1008.26</v>
      </c>
      <c r="K178" s="47">
        <f t="shared" si="17"/>
        <v>0.62660424890405253</v>
      </c>
      <c r="L178" s="47">
        <f t="shared" si="18"/>
        <v>0.33808739809176203</v>
      </c>
      <c r="M178" s="84">
        <f t="shared" si="19"/>
        <v>0.96469164699581456</v>
      </c>
      <c r="N178" s="47">
        <f t="shared" si="20"/>
        <v>4.9590383432844705E-4</v>
      </c>
      <c r="O178" s="47">
        <f t="shared" si="21"/>
        <v>5.2764167972546771E-3</v>
      </c>
      <c r="P178" s="47">
        <f t="shared" si="22"/>
        <v>6.3872413861503982E-3</v>
      </c>
      <c r="Q178" s="47">
        <f t="shared" si="23"/>
        <v>1</v>
      </c>
    </row>
    <row r="179" spans="1:17" x14ac:dyDescent="0.35">
      <c r="A179" s="82">
        <v>176</v>
      </c>
      <c r="B179" s="83" t="str">
        <f>_xlfn.XLOOKUP(A179,'TAZs by City - CCAG Model'!$A:$A,'TAZs by City - CCAG Model'!$B:$B,"Unknown")</f>
        <v>Gilroy</v>
      </c>
      <c r="C179" s="82">
        <f>_xlfn.XLOOKUP(A179,'TAZs by City - CCAG Model'!$A:$A,'TAZs by City - CCAG Model'!$C:$C,999)</f>
        <v>3</v>
      </c>
      <c r="D179" s="82" t="str">
        <f t="shared" si="16"/>
        <v>NO</v>
      </c>
      <c r="E179" s="27">
        <v>4751.84</v>
      </c>
      <c r="F179" s="27">
        <v>1526.62</v>
      </c>
      <c r="G179" s="27">
        <v>1.02</v>
      </c>
      <c r="H179" s="27">
        <v>29.62</v>
      </c>
      <c r="I179" s="27">
        <v>45.56</v>
      </c>
      <c r="J179" s="27">
        <v>6390.9</v>
      </c>
      <c r="K179" s="47">
        <f t="shared" si="17"/>
        <v>0.74353220986089608</v>
      </c>
      <c r="L179" s="47">
        <f t="shared" si="18"/>
        <v>0.2388740240028791</v>
      </c>
      <c r="M179" s="84">
        <f t="shared" si="19"/>
        <v>0.98240623386377512</v>
      </c>
      <c r="N179" s="47">
        <f t="shared" si="20"/>
        <v>1.5960193399990614E-4</v>
      </c>
      <c r="O179" s="47">
        <f t="shared" si="21"/>
        <v>4.6347149853698229E-3</v>
      </c>
      <c r="P179" s="47">
        <f t="shared" si="22"/>
        <v>7.1288863853291402E-3</v>
      </c>
      <c r="Q179" s="47">
        <f t="shared" si="23"/>
        <v>1</v>
      </c>
    </row>
    <row r="180" spans="1:17" x14ac:dyDescent="0.35">
      <c r="A180" s="82">
        <v>177</v>
      </c>
      <c r="B180" s="83" t="str">
        <f>_xlfn.XLOOKUP(A180,'TAZs by City - CCAG Model'!$A:$A,'TAZs by City - CCAG Model'!$B:$B,"Unknown")</f>
        <v>Gilroy</v>
      </c>
      <c r="C180" s="82">
        <f>_xlfn.XLOOKUP(A180,'TAZs by City - CCAG Model'!$A:$A,'TAZs by City - CCAG Model'!$C:$C,999)</f>
        <v>3</v>
      </c>
      <c r="D180" s="82" t="str">
        <f t="shared" si="16"/>
        <v>NO</v>
      </c>
      <c r="E180" s="27">
        <v>4660.28</v>
      </c>
      <c r="F180" s="27">
        <v>4143.26</v>
      </c>
      <c r="G180" s="27">
        <v>221.34</v>
      </c>
      <c r="H180" s="27">
        <v>131.36000000000001</v>
      </c>
      <c r="I180" s="27">
        <v>1710.38</v>
      </c>
      <c r="J180" s="27">
        <v>11123.12</v>
      </c>
      <c r="K180" s="47">
        <f t="shared" si="17"/>
        <v>0.41897237465747017</v>
      </c>
      <c r="L180" s="47">
        <f t="shared" si="18"/>
        <v>0.37249081193046557</v>
      </c>
      <c r="M180" s="84">
        <f t="shared" si="19"/>
        <v>0.7914631865879358</v>
      </c>
      <c r="N180" s="47">
        <f t="shared" si="20"/>
        <v>1.9899093060220512E-2</v>
      </c>
      <c r="O180" s="47">
        <f t="shared" si="21"/>
        <v>1.180963614525421E-2</v>
      </c>
      <c r="P180" s="47">
        <f t="shared" si="22"/>
        <v>0.15376800753745351</v>
      </c>
      <c r="Q180" s="47">
        <f t="shared" si="23"/>
        <v>1</v>
      </c>
    </row>
    <row r="181" spans="1:17" x14ac:dyDescent="0.35">
      <c r="A181" s="82">
        <v>178</v>
      </c>
      <c r="B181" s="83" t="str">
        <f>_xlfn.XLOOKUP(A181,'TAZs by City - CCAG Model'!$A:$A,'TAZs by City - CCAG Model'!$B:$B,"Unknown")</f>
        <v>Gilroy</v>
      </c>
      <c r="C181" s="82">
        <f>_xlfn.XLOOKUP(A181,'TAZs by City - CCAG Model'!$A:$A,'TAZs by City - CCAG Model'!$C:$C,999)</f>
        <v>3</v>
      </c>
      <c r="D181" s="82" t="str">
        <f t="shared" si="16"/>
        <v>NO</v>
      </c>
      <c r="E181" s="27">
        <v>1943.82</v>
      </c>
      <c r="F181" s="27">
        <v>810.2</v>
      </c>
      <c r="G181" s="27">
        <v>79.22</v>
      </c>
      <c r="H181" s="27">
        <v>28.26</v>
      </c>
      <c r="I181" s="27">
        <v>569.24</v>
      </c>
      <c r="J181" s="27">
        <v>3549.72</v>
      </c>
      <c r="K181" s="47">
        <f t="shared" si="17"/>
        <v>0.54759812041513134</v>
      </c>
      <c r="L181" s="47">
        <f t="shared" si="18"/>
        <v>0.22824335440541793</v>
      </c>
      <c r="M181" s="84">
        <f t="shared" si="19"/>
        <v>0.77584147482054922</v>
      </c>
      <c r="N181" s="47">
        <f t="shared" si="20"/>
        <v>2.2317253191801046E-2</v>
      </c>
      <c r="O181" s="47">
        <f t="shared" si="21"/>
        <v>7.961191305229709E-3</v>
      </c>
      <c r="P181" s="47">
        <f t="shared" si="22"/>
        <v>0.16036194404065673</v>
      </c>
      <c r="Q181" s="47">
        <f t="shared" si="23"/>
        <v>1</v>
      </c>
    </row>
    <row r="182" spans="1:17" x14ac:dyDescent="0.35">
      <c r="A182" s="82">
        <v>179</v>
      </c>
      <c r="B182" s="83" t="str">
        <f>_xlfn.XLOOKUP(A182,'TAZs by City - CCAG Model'!$A:$A,'TAZs by City - CCAG Model'!$B:$B,"Unknown")</f>
        <v>Gilroy</v>
      </c>
      <c r="C182" s="82">
        <f>_xlfn.XLOOKUP(A182,'TAZs by City - CCAG Model'!$A:$A,'TAZs by City - CCAG Model'!$C:$C,999)</f>
        <v>3</v>
      </c>
      <c r="D182" s="82" t="str">
        <f t="shared" si="16"/>
        <v>NO</v>
      </c>
      <c r="E182" s="27">
        <v>748.34</v>
      </c>
      <c r="F182" s="27">
        <v>420.46</v>
      </c>
      <c r="G182" s="27">
        <v>25.52</v>
      </c>
      <c r="H182" s="27">
        <v>14.42</v>
      </c>
      <c r="I182" s="27">
        <v>229.86</v>
      </c>
      <c r="J182" s="27">
        <v>1492.16</v>
      </c>
      <c r="K182" s="47">
        <f t="shared" si="17"/>
        <v>0.50151458288655371</v>
      </c>
      <c r="L182" s="47">
        <f t="shared" si="18"/>
        <v>0.28177943384087495</v>
      </c>
      <c r="M182" s="84">
        <f t="shared" si="19"/>
        <v>0.7832940167274286</v>
      </c>
      <c r="N182" s="47">
        <f t="shared" si="20"/>
        <v>1.7102723568518122E-2</v>
      </c>
      <c r="O182" s="47">
        <f t="shared" si="21"/>
        <v>9.6638430195153321E-3</v>
      </c>
      <c r="P182" s="47">
        <f t="shared" si="22"/>
        <v>0.15404514261205232</v>
      </c>
      <c r="Q182" s="47">
        <f t="shared" si="23"/>
        <v>1</v>
      </c>
    </row>
    <row r="183" spans="1:17" x14ac:dyDescent="0.35">
      <c r="A183" s="82">
        <v>180</v>
      </c>
      <c r="B183" s="83" t="str">
        <f>_xlfn.XLOOKUP(A183,'TAZs by City - CCAG Model'!$A:$A,'TAZs by City - CCAG Model'!$B:$B,"Unknown")</f>
        <v>Gilroy</v>
      </c>
      <c r="C183" s="82">
        <f>_xlfn.XLOOKUP(A183,'TAZs by City - CCAG Model'!$A:$A,'TAZs by City - CCAG Model'!$C:$C,999)</f>
        <v>3</v>
      </c>
      <c r="D183" s="82" t="str">
        <f t="shared" si="16"/>
        <v>NO</v>
      </c>
      <c r="E183" s="27">
        <v>1913.64</v>
      </c>
      <c r="F183" s="27">
        <v>1345.56</v>
      </c>
      <c r="G183" s="27">
        <v>85.5</v>
      </c>
      <c r="H183" s="27">
        <v>44.4</v>
      </c>
      <c r="I183" s="27">
        <v>727.06</v>
      </c>
      <c r="J183" s="27">
        <v>4239.5600000000004</v>
      </c>
      <c r="K183" s="47">
        <f t="shared" si="17"/>
        <v>0.45137702969176047</v>
      </c>
      <c r="L183" s="47">
        <f t="shared" si="18"/>
        <v>0.31738199247091675</v>
      </c>
      <c r="M183" s="84">
        <f t="shared" si="19"/>
        <v>0.76875902216267711</v>
      </c>
      <c r="N183" s="47">
        <f t="shared" si="20"/>
        <v>2.0167187160931792E-2</v>
      </c>
      <c r="O183" s="47">
        <f t="shared" si="21"/>
        <v>1.0472784911641773E-2</v>
      </c>
      <c r="P183" s="47">
        <f t="shared" si="22"/>
        <v>0.17149421166347448</v>
      </c>
      <c r="Q183" s="47">
        <f t="shared" si="23"/>
        <v>1</v>
      </c>
    </row>
    <row r="184" spans="1:17" x14ac:dyDescent="0.35">
      <c r="A184" s="82">
        <v>181</v>
      </c>
      <c r="B184" s="83" t="str">
        <f>_xlfn.XLOOKUP(A184,'TAZs by City - CCAG Model'!$A:$A,'TAZs by City - CCAG Model'!$B:$B,"Unknown")</f>
        <v>Gilroy</v>
      </c>
      <c r="C184" s="82">
        <f>_xlfn.XLOOKUP(A184,'TAZs by City - CCAG Model'!$A:$A,'TAZs by City - CCAG Model'!$C:$C,999)</f>
        <v>3</v>
      </c>
      <c r="D184" s="82" t="str">
        <f t="shared" si="16"/>
        <v>NO</v>
      </c>
      <c r="E184" s="27">
        <v>1815.84</v>
      </c>
      <c r="F184" s="27">
        <v>1553.92</v>
      </c>
      <c r="G184" s="27">
        <v>36.4</v>
      </c>
      <c r="H184" s="27">
        <v>43.62</v>
      </c>
      <c r="I184" s="27">
        <v>493.36</v>
      </c>
      <c r="J184" s="27">
        <v>4004.14</v>
      </c>
      <c r="K184" s="47">
        <f t="shared" si="17"/>
        <v>0.45349063719050781</v>
      </c>
      <c r="L184" s="47">
        <f t="shared" si="18"/>
        <v>0.38807833891921861</v>
      </c>
      <c r="M184" s="84">
        <f t="shared" si="19"/>
        <v>0.84156897610972647</v>
      </c>
      <c r="N184" s="47">
        <f t="shared" si="20"/>
        <v>9.0905912380685981E-3</v>
      </c>
      <c r="O184" s="47">
        <f t="shared" si="21"/>
        <v>1.0893724994630557E-2</v>
      </c>
      <c r="P184" s="47">
        <f t="shared" si="22"/>
        <v>0.12321247508828363</v>
      </c>
      <c r="Q184" s="47">
        <f t="shared" si="23"/>
        <v>1</v>
      </c>
    </row>
    <row r="185" spans="1:17" x14ac:dyDescent="0.35">
      <c r="A185" s="82">
        <v>182</v>
      </c>
      <c r="B185" s="83" t="str">
        <f>_xlfn.XLOOKUP(A185,'TAZs by City - CCAG Model'!$A:$A,'TAZs by City - CCAG Model'!$B:$B,"Unknown")</f>
        <v>Unincorporated</v>
      </c>
      <c r="C185" s="82">
        <f>_xlfn.XLOOKUP(A185,'TAZs by City - CCAG Model'!$A:$A,'TAZs by City - CCAG Model'!$C:$C,999)</f>
        <v>3</v>
      </c>
      <c r="D185" s="82" t="str">
        <f t="shared" si="16"/>
        <v>NO</v>
      </c>
      <c r="E185" s="27">
        <v>889.48</v>
      </c>
      <c r="F185" s="27">
        <v>662.64</v>
      </c>
      <c r="G185" s="27">
        <v>0</v>
      </c>
      <c r="H185" s="27">
        <v>12.54</v>
      </c>
      <c r="I185" s="27">
        <v>53.36</v>
      </c>
      <c r="J185" s="27">
        <v>1635.96</v>
      </c>
      <c r="K185" s="47">
        <f t="shared" si="17"/>
        <v>0.54370522506662755</v>
      </c>
      <c r="L185" s="47">
        <f t="shared" si="18"/>
        <v>0.40504657815594514</v>
      </c>
      <c r="M185" s="84">
        <f t="shared" si="19"/>
        <v>0.94875180322257258</v>
      </c>
      <c r="N185" s="47">
        <f t="shared" si="20"/>
        <v>0</v>
      </c>
      <c r="O185" s="47">
        <f t="shared" si="21"/>
        <v>7.6652240886085224E-3</v>
      </c>
      <c r="P185" s="47">
        <f t="shared" si="22"/>
        <v>3.2616934399374069E-2</v>
      </c>
      <c r="Q185" s="47">
        <f t="shared" si="23"/>
        <v>1</v>
      </c>
    </row>
    <row r="186" spans="1:17" x14ac:dyDescent="0.35">
      <c r="A186" s="82">
        <v>183</v>
      </c>
      <c r="B186" s="83" t="str">
        <f>_xlfn.XLOOKUP(A186,'TAZs by City - CCAG Model'!$A:$A,'TAZs by City - CCAG Model'!$B:$B,"Unknown")</f>
        <v>Unincorporated</v>
      </c>
      <c r="C186" s="82">
        <f>_xlfn.XLOOKUP(A186,'TAZs by City - CCAG Model'!$A:$A,'TAZs by City - CCAG Model'!$C:$C,999)</f>
        <v>3</v>
      </c>
      <c r="D186" s="82" t="str">
        <f t="shared" si="16"/>
        <v>NO</v>
      </c>
      <c r="E186" s="27">
        <v>622.62</v>
      </c>
      <c r="F186" s="27">
        <v>373.4</v>
      </c>
      <c r="G186" s="27">
        <v>11.44</v>
      </c>
      <c r="H186" s="27">
        <v>6.54</v>
      </c>
      <c r="I186" s="27">
        <v>20.420000000000002</v>
      </c>
      <c r="J186" s="27">
        <v>1074.68</v>
      </c>
      <c r="K186" s="47">
        <f t="shared" si="17"/>
        <v>0.57935385417054375</v>
      </c>
      <c r="L186" s="47">
        <f t="shared" si="18"/>
        <v>0.34745226486023745</v>
      </c>
      <c r="M186" s="84">
        <f t="shared" si="19"/>
        <v>0.92680611903078114</v>
      </c>
      <c r="N186" s="47">
        <f t="shared" si="20"/>
        <v>1.0645029217999775E-2</v>
      </c>
      <c r="O186" s="47">
        <f t="shared" si="21"/>
        <v>6.0855324375628092E-3</v>
      </c>
      <c r="P186" s="47">
        <f t="shared" si="22"/>
        <v>1.900100495031079E-2</v>
      </c>
      <c r="Q186" s="47">
        <f t="shared" si="23"/>
        <v>1</v>
      </c>
    </row>
    <row r="187" spans="1:17" x14ac:dyDescent="0.35">
      <c r="A187" s="82">
        <v>184</v>
      </c>
      <c r="B187" s="83" t="str">
        <f>_xlfn.XLOOKUP(A187,'TAZs by City - CCAG Model'!$A:$A,'TAZs by City - CCAG Model'!$B:$B,"Unknown")</f>
        <v>Unincorporated</v>
      </c>
      <c r="C187" s="82">
        <f>_xlfn.XLOOKUP(A187,'TAZs by City - CCAG Model'!$A:$A,'TAZs by City - CCAG Model'!$C:$C,999)</f>
        <v>3</v>
      </c>
      <c r="D187" s="82" t="str">
        <f t="shared" si="16"/>
        <v>NO</v>
      </c>
      <c r="E187" s="27">
        <v>328.3</v>
      </c>
      <c r="F187" s="27">
        <v>214.16</v>
      </c>
      <c r="G187" s="27">
        <v>0.57999999999999996</v>
      </c>
      <c r="H187" s="27">
        <v>4.18</v>
      </c>
      <c r="I187" s="27">
        <v>17.84</v>
      </c>
      <c r="J187" s="27">
        <v>585</v>
      </c>
      <c r="K187" s="47">
        <f t="shared" si="17"/>
        <v>0.56119658119658122</v>
      </c>
      <c r="L187" s="47">
        <f t="shared" si="18"/>
        <v>0.3660854700854701</v>
      </c>
      <c r="M187" s="84">
        <f t="shared" si="19"/>
        <v>0.92728205128205132</v>
      </c>
      <c r="N187" s="47">
        <f t="shared" si="20"/>
        <v>9.9145299145299141E-4</v>
      </c>
      <c r="O187" s="47">
        <f t="shared" si="21"/>
        <v>7.145299145299145E-3</v>
      </c>
      <c r="P187" s="47">
        <f t="shared" si="22"/>
        <v>3.0495726495726495E-2</v>
      </c>
      <c r="Q187" s="47">
        <f t="shared" si="23"/>
        <v>1</v>
      </c>
    </row>
    <row r="188" spans="1:17" x14ac:dyDescent="0.35">
      <c r="A188" s="82">
        <v>185</v>
      </c>
      <c r="B188" s="83" t="str">
        <f>_xlfn.XLOOKUP(A188,'TAZs by City - CCAG Model'!$A:$A,'TAZs by City - CCAG Model'!$B:$B,"Unknown")</f>
        <v>Unincorporated</v>
      </c>
      <c r="C188" s="82">
        <f>_xlfn.XLOOKUP(A188,'TAZs by City - CCAG Model'!$A:$A,'TAZs by City - CCAG Model'!$C:$C,999)</f>
        <v>3</v>
      </c>
      <c r="D188" s="82" t="str">
        <f t="shared" si="16"/>
        <v>NO</v>
      </c>
      <c r="E188" s="27">
        <v>1785.52</v>
      </c>
      <c r="F188" s="27">
        <v>639.14</v>
      </c>
      <c r="G188" s="27">
        <v>10.14</v>
      </c>
      <c r="H188" s="27">
        <v>15.5</v>
      </c>
      <c r="I188" s="27">
        <v>54.9</v>
      </c>
      <c r="J188" s="27">
        <v>2550.62</v>
      </c>
      <c r="K188" s="47">
        <f t="shared" si="17"/>
        <v>0.70003371729226627</v>
      </c>
      <c r="L188" s="47">
        <f t="shared" si="18"/>
        <v>0.2505822113838988</v>
      </c>
      <c r="M188" s="84">
        <f t="shared" si="19"/>
        <v>0.95061592867616496</v>
      </c>
      <c r="N188" s="47">
        <f t="shared" si="20"/>
        <v>3.9755039951070723E-3</v>
      </c>
      <c r="O188" s="47">
        <f t="shared" si="21"/>
        <v>6.0769538386745182E-3</v>
      </c>
      <c r="P188" s="47">
        <f t="shared" si="22"/>
        <v>2.1524178435047166E-2</v>
      </c>
      <c r="Q188" s="47">
        <f t="shared" si="23"/>
        <v>1</v>
      </c>
    </row>
    <row r="189" spans="1:17" x14ac:dyDescent="0.35">
      <c r="A189" s="82">
        <v>186</v>
      </c>
      <c r="B189" s="83" t="str">
        <f>_xlfn.XLOOKUP(A189,'TAZs by City - CCAG Model'!$A:$A,'TAZs by City - CCAG Model'!$B:$B,"Unknown")</f>
        <v>Unincorporated</v>
      </c>
      <c r="C189" s="82">
        <f>_xlfn.XLOOKUP(A189,'TAZs by City - CCAG Model'!$A:$A,'TAZs by City - CCAG Model'!$C:$C,999)</f>
        <v>3</v>
      </c>
      <c r="D189" s="82" t="str">
        <f t="shared" si="16"/>
        <v>NO</v>
      </c>
      <c r="E189" s="27">
        <v>212.48</v>
      </c>
      <c r="F189" s="27">
        <v>140.94</v>
      </c>
      <c r="G189" s="27">
        <v>5.32</v>
      </c>
      <c r="H189" s="27">
        <v>3.34</v>
      </c>
      <c r="I189" s="27">
        <v>22.54</v>
      </c>
      <c r="J189" s="27">
        <v>408.88</v>
      </c>
      <c r="K189" s="47">
        <f t="shared" si="17"/>
        <v>0.51966347094502052</v>
      </c>
      <c r="L189" s="47">
        <f t="shared" si="18"/>
        <v>0.34469771081980044</v>
      </c>
      <c r="M189" s="84">
        <f t="shared" si="19"/>
        <v>0.86436118176482091</v>
      </c>
      <c r="N189" s="47">
        <f t="shared" si="20"/>
        <v>1.3011152416356878E-2</v>
      </c>
      <c r="O189" s="47">
        <f t="shared" si="21"/>
        <v>8.1686558403443552E-3</v>
      </c>
      <c r="P189" s="47">
        <f t="shared" si="22"/>
        <v>5.5126198395617297E-2</v>
      </c>
      <c r="Q189" s="47">
        <f t="shared" si="23"/>
        <v>1</v>
      </c>
    </row>
    <row r="190" spans="1:17" x14ac:dyDescent="0.35">
      <c r="A190" s="82">
        <v>187</v>
      </c>
      <c r="B190" s="83" t="str">
        <f>_xlfn.XLOOKUP(A190,'TAZs by City - CCAG Model'!$A:$A,'TAZs by City - CCAG Model'!$B:$B,"Unknown")</f>
        <v>Gilroy</v>
      </c>
      <c r="C190" s="82">
        <f>_xlfn.XLOOKUP(A190,'TAZs by City - CCAG Model'!$A:$A,'TAZs by City - CCAG Model'!$C:$C,999)</f>
        <v>3</v>
      </c>
      <c r="D190" s="82" t="str">
        <f t="shared" si="16"/>
        <v>NO</v>
      </c>
      <c r="E190" s="27">
        <v>5178.88</v>
      </c>
      <c r="F190" s="27">
        <v>2158.8000000000002</v>
      </c>
      <c r="G190" s="27">
        <v>156.13999999999999</v>
      </c>
      <c r="H190" s="27">
        <v>73.86</v>
      </c>
      <c r="I190" s="27">
        <v>1008.84</v>
      </c>
      <c r="J190" s="27">
        <v>8779.74</v>
      </c>
      <c r="K190" s="47">
        <f t="shared" si="17"/>
        <v>0.58986712590577861</v>
      </c>
      <c r="L190" s="47">
        <f t="shared" si="18"/>
        <v>0.24588427447737635</v>
      </c>
      <c r="M190" s="84">
        <f t="shared" si="19"/>
        <v>0.83575140038315487</v>
      </c>
      <c r="N190" s="47">
        <f t="shared" si="20"/>
        <v>1.7784125725818761E-2</v>
      </c>
      <c r="O190" s="47">
        <f t="shared" si="21"/>
        <v>8.4125498021581507E-3</v>
      </c>
      <c r="P190" s="47">
        <f t="shared" si="22"/>
        <v>0.11490545278106186</v>
      </c>
      <c r="Q190" s="47">
        <f t="shared" si="23"/>
        <v>1</v>
      </c>
    </row>
    <row r="191" spans="1:17" x14ac:dyDescent="0.35">
      <c r="A191" s="82">
        <v>188</v>
      </c>
      <c r="B191" s="83" t="str">
        <f>_xlfn.XLOOKUP(A191,'TAZs by City - CCAG Model'!$A:$A,'TAZs by City - CCAG Model'!$B:$B,"Unknown")</f>
        <v>Gilroy</v>
      </c>
      <c r="C191" s="82">
        <f>_xlfn.XLOOKUP(A191,'TAZs by City - CCAG Model'!$A:$A,'TAZs by City - CCAG Model'!$C:$C,999)</f>
        <v>3</v>
      </c>
      <c r="D191" s="82" t="str">
        <f t="shared" si="16"/>
        <v>NO</v>
      </c>
      <c r="E191" s="27">
        <v>769.32</v>
      </c>
      <c r="F191" s="27">
        <v>844.68</v>
      </c>
      <c r="G191" s="27">
        <v>35.6</v>
      </c>
      <c r="H191" s="27">
        <v>20.58</v>
      </c>
      <c r="I191" s="27">
        <v>202.64</v>
      </c>
      <c r="J191" s="27">
        <v>1931.62</v>
      </c>
      <c r="K191" s="47">
        <f t="shared" si="17"/>
        <v>0.39827709383833265</v>
      </c>
      <c r="L191" s="47">
        <f t="shared" si="18"/>
        <v>0.437290978556859</v>
      </c>
      <c r="M191" s="84">
        <f t="shared" si="19"/>
        <v>0.8355680723951916</v>
      </c>
      <c r="N191" s="47">
        <f t="shared" si="20"/>
        <v>1.8430126008221082E-2</v>
      </c>
      <c r="O191" s="47">
        <f t="shared" si="21"/>
        <v>1.0654269473291848E-2</v>
      </c>
      <c r="P191" s="47">
        <f t="shared" si="22"/>
        <v>0.10490676219960447</v>
      </c>
      <c r="Q191" s="47">
        <f t="shared" si="23"/>
        <v>1</v>
      </c>
    </row>
    <row r="192" spans="1:17" x14ac:dyDescent="0.35">
      <c r="A192" s="82">
        <v>189</v>
      </c>
      <c r="B192" s="83" t="str">
        <f>_xlfn.XLOOKUP(A192,'TAZs by City - CCAG Model'!$A:$A,'TAZs by City - CCAG Model'!$B:$B,"Unknown")</f>
        <v>Gilroy</v>
      </c>
      <c r="C192" s="82">
        <f>_xlfn.XLOOKUP(A192,'TAZs by City - CCAG Model'!$A:$A,'TAZs by City - CCAG Model'!$C:$C,999)</f>
        <v>3</v>
      </c>
      <c r="D192" s="82" t="str">
        <f t="shared" si="16"/>
        <v>NO</v>
      </c>
      <c r="E192" s="27">
        <v>4965.82</v>
      </c>
      <c r="F192" s="27">
        <v>3521.9</v>
      </c>
      <c r="G192" s="27">
        <v>185.46</v>
      </c>
      <c r="H192" s="27">
        <v>99.76</v>
      </c>
      <c r="I192" s="27">
        <v>1293.98</v>
      </c>
      <c r="J192" s="27">
        <v>10295.719999999999</v>
      </c>
      <c r="K192" s="47">
        <f t="shared" si="17"/>
        <v>0.48231886648044042</v>
      </c>
      <c r="L192" s="47">
        <f t="shared" si="18"/>
        <v>0.34207418228156944</v>
      </c>
      <c r="M192" s="84">
        <f t="shared" si="19"/>
        <v>0.82439304876200981</v>
      </c>
      <c r="N192" s="47">
        <f t="shared" si="20"/>
        <v>1.8013310385286314E-2</v>
      </c>
      <c r="O192" s="47">
        <f t="shared" si="21"/>
        <v>9.6894631944147679E-3</v>
      </c>
      <c r="P192" s="47">
        <f t="shared" si="22"/>
        <v>0.12568135108569387</v>
      </c>
      <c r="Q192" s="47">
        <f t="shared" si="23"/>
        <v>1</v>
      </c>
    </row>
    <row r="193" spans="1:17" x14ac:dyDescent="0.35">
      <c r="A193" s="82">
        <v>190</v>
      </c>
      <c r="B193" s="83" t="str">
        <f>_xlfn.XLOOKUP(A193,'TAZs by City - CCAG Model'!$A:$A,'TAZs by City - CCAG Model'!$B:$B,"Unknown")</f>
        <v>Gilroy</v>
      </c>
      <c r="C193" s="82">
        <f>_xlfn.XLOOKUP(A193,'TAZs by City - CCAG Model'!$A:$A,'TAZs by City - CCAG Model'!$C:$C,999)</f>
        <v>3</v>
      </c>
      <c r="D193" s="82" t="str">
        <f t="shared" si="16"/>
        <v>NO</v>
      </c>
      <c r="E193" s="27">
        <v>2666.34</v>
      </c>
      <c r="F193" s="27">
        <v>2627.32</v>
      </c>
      <c r="G193" s="27">
        <v>92.44</v>
      </c>
      <c r="H193" s="27">
        <v>67.48</v>
      </c>
      <c r="I193" s="27">
        <v>619</v>
      </c>
      <c r="J193" s="27">
        <v>6191.4</v>
      </c>
      <c r="K193" s="47">
        <f t="shared" si="17"/>
        <v>0.4306521949801338</v>
      </c>
      <c r="L193" s="47">
        <f t="shared" si="18"/>
        <v>0.42434990470652845</v>
      </c>
      <c r="M193" s="84">
        <f t="shared" si="19"/>
        <v>0.85500209968666219</v>
      </c>
      <c r="N193" s="47">
        <f t="shared" si="20"/>
        <v>1.4930387311431988E-2</v>
      </c>
      <c r="O193" s="47">
        <f t="shared" si="21"/>
        <v>1.0898988920115E-2</v>
      </c>
      <c r="P193" s="47">
        <f t="shared" si="22"/>
        <v>9.9977387989792305E-2</v>
      </c>
      <c r="Q193" s="47">
        <f t="shared" si="23"/>
        <v>1</v>
      </c>
    </row>
    <row r="194" spans="1:17" x14ac:dyDescent="0.35">
      <c r="A194" s="82">
        <v>191</v>
      </c>
      <c r="B194" s="83" t="str">
        <f>_xlfn.XLOOKUP(A194,'TAZs by City - CCAG Model'!$A:$A,'TAZs by City - CCAG Model'!$B:$B,"Unknown")</f>
        <v>Gilroy</v>
      </c>
      <c r="C194" s="82">
        <f>_xlfn.XLOOKUP(A194,'TAZs by City - CCAG Model'!$A:$A,'TAZs by City - CCAG Model'!$C:$C,999)</f>
        <v>3</v>
      </c>
      <c r="D194" s="82" t="str">
        <f t="shared" si="16"/>
        <v>NO</v>
      </c>
      <c r="E194" s="27">
        <v>2452.48</v>
      </c>
      <c r="F194" s="27">
        <v>1943.78</v>
      </c>
      <c r="G194" s="27">
        <v>73.42</v>
      </c>
      <c r="H194" s="27">
        <v>54.64</v>
      </c>
      <c r="I194" s="27">
        <v>734.42</v>
      </c>
      <c r="J194" s="27">
        <v>5366.72</v>
      </c>
      <c r="K194" s="47">
        <f t="shared" si="17"/>
        <v>0.4569793095223898</v>
      </c>
      <c r="L194" s="47">
        <f t="shared" si="18"/>
        <v>0.36219143163794643</v>
      </c>
      <c r="M194" s="84">
        <f t="shared" si="19"/>
        <v>0.81917074116033628</v>
      </c>
      <c r="N194" s="47">
        <f t="shared" si="20"/>
        <v>1.3680609385248345E-2</v>
      </c>
      <c r="O194" s="47">
        <f t="shared" si="21"/>
        <v>1.0181265279351261E-2</v>
      </c>
      <c r="P194" s="47">
        <f t="shared" si="22"/>
        <v>0.13684708723391567</v>
      </c>
      <c r="Q194" s="47">
        <f t="shared" si="23"/>
        <v>1</v>
      </c>
    </row>
    <row r="195" spans="1:17" x14ac:dyDescent="0.35">
      <c r="A195" s="82">
        <v>192</v>
      </c>
      <c r="B195" s="83" t="str">
        <f>_xlfn.XLOOKUP(A195,'TAZs by City - CCAG Model'!$A:$A,'TAZs by City - CCAG Model'!$B:$B,"Unknown")</f>
        <v>Gilroy</v>
      </c>
      <c r="C195" s="82">
        <f>_xlfn.XLOOKUP(A195,'TAZs by City - CCAG Model'!$A:$A,'TAZs by City - CCAG Model'!$C:$C,999)</f>
        <v>3</v>
      </c>
      <c r="D195" s="82" t="str">
        <f t="shared" si="16"/>
        <v>NO</v>
      </c>
      <c r="E195" s="27">
        <v>1635.58</v>
      </c>
      <c r="F195" s="27">
        <v>952.28</v>
      </c>
      <c r="G195" s="27">
        <v>52.56</v>
      </c>
      <c r="H195" s="27">
        <v>27.16</v>
      </c>
      <c r="I195" s="27">
        <v>454.96</v>
      </c>
      <c r="J195" s="27">
        <v>3213.74</v>
      </c>
      <c r="K195" s="47">
        <f t="shared" si="17"/>
        <v>0.50893351671261522</v>
      </c>
      <c r="L195" s="47">
        <f t="shared" si="18"/>
        <v>0.29631519662449357</v>
      </c>
      <c r="M195" s="84">
        <f t="shared" si="19"/>
        <v>0.80524871333710879</v>
      </c>
      <c r="N195" s="47">
        <f t="shared" si="20"/>
        <v>1.6354776677640383E-2</v>
      </c>
      <c r="O195" s="47">
        <f t="shared" si="21"/>
        <v>8.4512126058735315E-3</v>
      </c>
      <c r="P195" s="47">
        <f t="shared" si="22"/>
        <v>0.14156714606657664</v>
      </c>
      <c r="Q195" s="47">
        <f t="shared" si="23"/>
        <v>1</v>
      </c>
    </row>
    <row r="196" spans="1:17" x14ac:dyDescent="0.35">
      <c r="A196" s="82">
        <v>193</v>
      </c>
      <c r="B196" s="83" t="str">
        <f>_xlfn.XLOOKUP(A196,'TAZs by City - CCAG Model'!$A:$A,'TAZs by City - CCAG Model'!$B:$B,"Unknown")</f>
        <v>Gilroy</v>
      </c>
      <c r="C196" s="82">
        <f>_xlfn.XLOOKUP(A196,'TAZs by City - CCAG Model'!$A:$A,'TAZs by City - CCAG Model'!$C:$C,999)</f>
        <v>3</v>
      </c>
      <c r="D196" s="82" t="str">
        <f t="shared" si="16"/>
        <v>NO</v>
      </c>
      <c r="E196" s="27">
        <v>7915.34</v>
      </c>
      <c r="F196" s="27">
        <v>5186.2</v>
      </c>
      <c r="G196" s="27">
        <v>182.92</v>
      </c>
      <c r="H196" s="27">
        <v>143.76</v>
      </c>
      <c r="I196" s="27">
        <v>2341.2199999999998</v>
      </c>
      <c r="J196" s="27">
        <v>15996.7</v>
      </c>
      <c r="K196" s="47">
        <f t="shared" si="17"/>
        <v>0.49481080472847522</v>
      </c>
      <c r="L196" s="47">
        <f t="shared" si="18"/>
        <v>0.32420436715072481</v>
      </c>
      <c r="M196" s="84">
        <f t="shared" si="19"/>
        <v>0.81901517187920014</v>
      </c>
      <c r="N196" s="47">
        <f t="shared" si="20"/>
        <v>1.1434858439553157E-2</v>
      </c>
      <c r="O196" s="47">
        <f t="shared" si="21"/>
        <v>8.9868535385423231E-3</v>
      </c>
      <c r="P196" s="47">
        <f t="shared" si="22"/>
        <v>0.14635643601492807</v>
      </c>
      <c r="Q196" s="47">
        <f t="shared" si="23"/>
        <v>1</v>
      </c>
    </row>
    <row r="197" spans="1:17" x14ac:dyDescent="0.35">
      <c r="A197" s="82">
        <v>194</v>
      </c>
      <c r="B197" s="83" t="str">
        <f>_xlfn.XLOOKUP(A197,'TAZs by City - CCAG Model'!$A:$A,'TAZs by City - CCAG Model'!$B:$B,"Unknown")</f>
        <v>Los Altos</v>
      </c>
      <c r="C197" s="82">
        <f>_xlfn.XLOOKUP(A197,'TAZs by City - CCAG Model'!$A:$A,'TAZs by City - CCAG Model'!$C:$C,999)</f>
        <v>3</v>
      </c>
      <c r="D197" s="82" t="str">
        <f t="shared" ref="D197:D260" si="24">IF(C197=2,"YES","NO")</f>
        <v>NO</v>
      </c>
      <c r="E197" s="27">
        <v>11470.94</v>
      </c>
      <c r="F197" s="27">
        <v>4264.32</v>
      </c>
      <c r="G197" s="27">
        <v>182.56</v>
      </c>
      <c r="H197" s="27">
        <v>138.72</v>
      </c>
      <c r="I197" s="27">
        <v>1293.8800000000001</v>
      </c>
      <c r="J197" s="27">
        <v>17565.419999999998</v>
      </c>
      <c r="K197" s="47">
        <f t="shared" ref="K197:K260" si="25">IFERROR(E197/$J197,0)</f>
        <v>0.65304103175443584</v>
      </c>
      <c r="L197" s="47">
        <f t="shared" ref="L197:L260" si="26">IFERROR(F197/$J197,0)</f>
        <v>0.24276789282579067</v>
      </c>
      <c r="M197" s="84">
        <f t="shared" ref="M197:M260" si="27">IFERROR((E197+F197)/J197,0)</f>
        <v>0.89580892458022643</v>
      </c>
      <c r="N197" s="47">
        <f t="shared" ref="N197:N260" si="28">IFERROR(G197/$J197,0)</f>
        <v>1.0393147445378477E-2</v>
      </c>
      <c r="O197" s="47">
        <f t="shared" ref="O197:O260" si="29">IFERROR(H197/$J197,0)</f>
        <v>7.8973346495557761E-3</v>
      </c>
      <c r="P197" s="47">
        <f t="shared" ref="P197:P260" si="30">IFERROR(I197/$J197,0)</f>
        <v>7.366063549861035E-2</v>
      </c>
      <c r="Q197" s="47">
        <f t="shared" ref="Q197:Q260" si="31">IFERROR(J197/$J197,0)</f>
        <v>1</v>
      </c>
    </row>
    <row r="198" spans="1:17" x14ac:dyDescent="0.35">
      <c r="A198" s="82">
        <v>195</v>
      </c>
      <c r="B198" s="83" t="str">
        <f>_xlfn.XLOOKUP(A198,'TAZs by City - CCAG Model'!$A:$A,'TAZs by City - CCAG Model'!$B:$B,"Unknown")</f>
        <v>Los Altos</v>
      </c>
      <c r="C198" s="82">
        <f>_xlfn.XLOOKUP(A198,'TAZs by City - CCAG Model'!$A:$A,'TAZs by City - CCAG Model'!$C:$C,999)</f>
        <v>3</v>
      </c>
      <c r="D198" s="82" t="str">
        <f t="shared" si="24"/>
        <v>NO</v>
      </c>
      <c r="E198" s="27">
        <v>12985.92</v>
      </c>
      <c r="F198" s="27">
        <v>5484.82</v>
      </c>
      <c r="G198" s="27">
        <v>160.34</v>
      </c>
      <c r="H198" s="27">
        <v>199.78</v>
      </c>
      <c r="I198" s="27">
        <v>1569.12</v>
      </c>
      <c r="J198" s="27">
        <v>20595.599999999999</v>
      </c>
      <c r="K198" s="47">
        <f t="shared" si="25"/>
        <v>0.6305191400104877</v>
      </c>
      <c r="L198" s="47">
        <f t="shared" si="26"/>
        <v>0.26631027986560235</v>
      </c>
      <c r="M198" s="84">
        <f t="shared" si="27"/>
        <v>0.89682941987608999</v>
      </c>
      <c r="N198" s="47">
        <f t="shared" si="28"/>
        <v>7.7851579949115351E-3</v>
      </c>
      <c r="O198" s="47">
        <f t="shared" si="29"/>
        <v>9.7001301248810425E-3</v>
      </c>
      <c r="P198" s="47">
        <f t="shared" si="30"/>
        <v>7.6187146769212843E-2</v>
      </c>
      <c r="Q198" s="47">
        <f t="shared" si="31"/>
        <v>1</v>
      </c>
    </row>
    <row r="199" spans="1:17" x14ac:dyDescent="0.35">
      <c r="A199" s="82">
        <v>196</v>
      </c>
      <c r="B199" s="83" t="str">
        <f>_xlfn.XLOOKUP(A199,'TAZs by City - CCAG Model'!$A:$A,'TAZs by City - CCAG Model'!$B:$B,"Unknown")</f>
        <v>Los Altos</v>
      </c>
      <c r="C199" s="82">
        <f>_xlfn.XLOOKUP(A199,'TAZs by City - CCAG Model'!$A:$A,'TAZs by City - CCAG Model'!$C:$C,999)</f>
        <v>3</v>
      </c>
      <c r="D199" s="82" t="str">
        <f t="shared" si="24"/>
        <v>NO</v>
      </c>
      <c r="E199" s="27">
        <v>3196.18</v>
      </c>
      <c r="F199" s="27">
        <v>1791.22</v>
      </c>
      <c r="G199" s="27">
        <v>54.12</v>
      </c>
      <c r="H199" s="27">
        <v>96.18</v>
      </c>
      <c r="I199" s="27">
        <v>425.88</v>
      </c>
      <c r="J199" s="27">
        <v>5662.66</v>
      </c>
      <c r="K199" s="47">
        <f t="shared" si="25"/>
        <v>0.56443085051901398</v>
      </c>
      <c r="L199" s="47">
        <f t="shared" si="26"/>
        <v>0.31632130482847287</v>
      </c>
      <c r="M199" s="84">
        <f t="shared" si="27"/>
        <v>0.88075215534748685</v>
      </c>
      <c r="N199" s="47">
        <f t="shared" si="28"/>
        <v>9.5573458410005193E-3</v>
      </c>
      <c r="O199" s="47">
        <f t="shared" si="29"/>
        <v>1.6984950535614007E-2</v>
      </c>
      <c r="P199" s="47">
        <f t="shared" si="30"/>
        <v>7.5208470930622717E-2</v>
      </c>
      <c r="Q199" s="47">
        <f t="shared" si="31"/>
        <v>1</v>
      </c>
    </row>
    <row r="200" spans="1:17" x14ac:dyDescent="0.35">
      <c r="A200" s="82">
        <v>197</v>
      </c>
      <c r="B200" s="83" t="str">
        <f>_xlfn.XLOOKUP(A200,'TAZs by City - CCAG Model'!$A:$A,'TAZs by City - CCAG Model'!$B:$B,"Unknown")</f>
        <v>Los Altos</v>
      </c>
      <c r="C200" s="82">
        <f>_xlfn.XLOOKUP(A200,'TAZs by City - CCAG Model'!$A:$A,'TAZs by City - CCAG Model'!$C:$C,999)</f>
        <v>3</v>
      </c>
      <c r="D200" s="82" t="str">
        <f t="shared" si="24"/>
        <v>NO</v>
      </c>
      <c r="E200" s="27">
        <v>11254.6</v>
      </c>
      <c r="F200" s="27">
        <v>6276.5</v>
      </c>
      <c r="G200" s="27">
        <v>255.24</v>
      </c>
      <c r="H200" s="27">
        <v>246.1</v>
      </c>
      <c r="I200" s="27">
        <v>1525.54</v>
      </c>
      <c r="J200" s="27">
        <v>19854.78</v>
      </c>
      <c r="K200" s="47">
        <f t="shared" si="25"/>
        <v>0.56684586784643298</v>
      </c>
      <c r="L200" s="47">
        <f t="shared" si="26"/>
        <v>0.31612034986033594</v>
      </c>
      <c r="M200" s="84">
        <f t="shared" si="27"/>
        <v>0.88296621770676886</v>
      </c>
      <c r="N200" s="47">
        <f t="shared" si="28"/>
        <v>1.2855342642930319E-2</v>
      </c>
      <c r="O200" s="47">
        <f t="shared" si="29"/>
        <v>1.2395000095694841E-2</v>
      </c>
      <c r="P200" s="47">
        <f t="shared" si="30"/>
        <v>7.6834898195799708E-2</v>
      </c>
      <c r="Q200" s="47">
        <f t="shared" si="31"/>
        <v>1</v>
      </c>
    </row>
    <row r="201" spans="1:17" x14ac:dyDescent="0.35">
      <c r="A201" s="82">
        <v>198</v>
      </c>
      <c r="B201" s="83" t="str">
        <f>_xlfn.XLOOKUP(A201,'TAZs by City - CCAG Model'!$A:$A,'TAZs by City - CCAG Model'!$B:$B,"Unknown")</f>
        <v>Los Altos</v>
      </c>
      <c r="C201" s="82">
        <f>_xlfn.XLOOKUP(A201,'TAZs by City - CCAG Model'!$A:$A,'TAZs by City - CCAG Model'!$C:$C,999)</f>
        <v>3</v>
      </c>
      <c r="D201" s="82" t="str">
        <f t="shared" si="24"/>
        <v>NO</v>
      </c>
      <c r="E201" s="27">
        <v>2392.2600000000002</v>
      </c>
      <c r="F201" s="27">
        <v>1646.54</v>
      </c>
      <c r="G201" s="27">
        <v>53.92</v>
      </c>
      <c r="H201" s="27">
        <v>61.24</v>
      </c>
      <c r="I201" s="27">
        <v>323.14</v>
      </c>
      <c r="J201" s="27">
        <v>4568.84</v>
      </c>
      <c r="K201" s="47">
        <f t="shared" si="25"/>
        <v>0.52360336540566099</v>
      </c>
      <c r="L201" s="47">
        <f t="shared" si="26"/>
        <v>0.36038469283231628</v>
      </c>
      <c r="M201" s="84">
        <f t="shared" si="27"/>
        <v>0.88398805823797721</v>
      </c>
      <c r="N201" s="47">
        <f t="shared" si="28"/>
        <v>1.1801682702830477E-2</v>
      </c>
      <c r="O201" s="47">
        <f t="shared" si="29"/>
        <v>1.3403839924357168E-2</v>
      </c>
      <c r="P201" s="47">
        <f t="shared" si="30"/>
        <v>7.0726924120783394E-2</v>
      </c>
      <c r="Q201" s="47">
        <f t="shared" si="31"/>
        <v>1</v>
      </c>
    </row>
    <row r="202" spans="1:17" x14ac:dyDescent="0.35">
      <c r="A202" s="82">
        <v>199</v>
      </c>
      <c r="B202" s="83" t="str">
        <f>_xlfn.XLOOKUP(A202,'TAZs by City - CCAG Model'!$A:$A,'TAZs by City - CCAG Model'!$B:$B,"Unknown")</f>
        <v>Los Altos</v>
      </c>
      <c r="C202" s="82">
        <f>_xlfn.XLOOKUP(A202,'TAZs by City - CCAG Model'!$A:$A,'TAZs by City - CCAG Model'!$C:$C,999)</f>
        <v>3</v>
      </c>
      <c r="D202" s="82" t="str">
        <f t="shared" si="24"/>
        <v>NO</v>
      </c>
      <c r="E202" s="27">
        <v>17901.16</v>
      </c>
      <c r="F202" s="27">
        <v>8273.02</v>
      </c>
      <c r="G202" s="27">
        <v>513.66</v>
      </c>
      <c r="H202" s="27">
        <v>294.3</v>
      </c>
      <c r="I202" s="27">
        <v>2526.14</v>
      </c>
      <c r="J202" s="27">
        <v>30054.5</v>
      </c>
      <c r="K202" s="47">
        <f t="shared" si="25"/>
        <v>0.59562328436673373</v>
      </c>
      <c r="L202" s="47">
        <f t="shared" si="26"/>
        <v>0.27526726446954702</v>
      </c>
      <c r="M202" s="84">
        <f t="shared" si="27"/>
        <v>0.87089054883628081</v>
      </c>
      <c r="N202" s="47">
        <f t="shared" si="28"/>
        <v>1.7090951438220564E-2</v>
      </c>
      <c r="O202" s="47">
        <f t="shared" si="29"/>
        <v>9.7922108170157545E-3</v>
      </c>
      <c r="P202" s="47">
        <f t="shared" si="30"/>
        <v>8.4051972250411749E-2</v>
      </c>
      <c r="Q202" s="47">
        <f t="shared" si="31"/>
        <v>1</v>
      </c>
    </row>
    <row r="203" spans="1:17" x14ac:dyDescent="0.35">
      <c r="A203" s="82">
        <v>200</v>
      </c>
      <c r="B203" s="83" t="str">
        <f>_xlfn.XLOOKUP(A203,'TAZs by City - CCAG Model'!$A:$A,'TAZs by City - CCAG Model'!$B:$B,"Unknown")</f>
        <v>Los Altos</v>
      </c>
      <c r="C203" s="82">
        <f>_xlfn.XLOOKUP(A203,'TAZs by City - CCAG Model'!$A:$A,'TAZs by City - CCAG Model'!$C:$C,999)</f>
        <v>3</v>
      </c>
      <c r="D203" s="82" t="str">
        <f t="shared" si="24"/>
        <v>NO</v>
      </c>
      <c r="E203" s="27">
        <v>1731.7</v>
      </c>
      <c r="F203" s="27">
        <v>1284.72</v>
      </c>
      <c r="G203" s="27">
        <v>35.26</v>
      </c>
      <c r="H203" s="27">
        <v>44.36</v>
      </c>
      <c r="I203" s="27">
        <v>225.54</v>
      </c>
      <c r="J203" s="27">
        <v>3386.86</v>
      </c>
      <c r="K203" s="47">
        <f t="shared" si="25"/>
        <v>0.51129955179723996</v>
      </c>
      <c r="L203" s="47">
        <f t="shared" si="26"/>
        <v>0.37932480232427673</v>
      </c>
      <c r="M203" s="84">
        <f t="shared" si="27"/>
        <v>0.89062435412151664</v>
      </c>
      <c r="N203" s="47">
        <f t="shared" si="28"/>
        <v>1.0410823004198579E-2</v>
      </c>
      <c r="O203" s="47">
        <f t="shared" si="29"/>
        <v>1.3097677494788683E-2</v>
      </c>
      <c r="P203" s="47">
        <f t="shared" si="30"/>
        <v>6.6592655143702426E-2</v>
      </c>
      <c r="Q203" s="47">
        <f t="shared" si="31"/>
        <v>1</v>
      </c>
    </row>
    <row r="204" spans="1:17" x14ac:dyDescent="0.35">
      <c r="A204" s="82">
        <v>201</v>
      </c>
      <c r="B204" s="83" t="str">
        <f>_xlfn.XLOOKUP(A204,'TAZs by City - CCAG Model'!$A:$A,'TAZs by City - CCAG Model'!$B:$B,"Unknown")</f>
        <v>Los Altos</v>
      </c>
      <c r="C204" s="82">
        <f>_xlfn.XLOOKUP(A204,'TAZs by City - CCAG Model'!$A:$A,'TAZs by City - CCAG Model'!$C:$C,999)</f>
        <v>3</v>
      </c>
      <c r="D204" s="82" t="str">
        <f t="shared" si="24"/>
        <v>NO</v>
      </c>
      <c r="E204" s="27">
        <v>3695.7</v>
      </c>
      <c r="F204" s="27">
        <v>3074.02</v>
      </c>
      <c r="G204" s="27">
        <v>107.04</v>
      </c>
      <c r="H204" s="27">
        <v>121.18</v>
      </c>
      <c r="I204" s="27">
        <v>666.34</v>
      </c>
      <c r="J204" s="27">
        <v>7806.5</v>
      </c>
      <c r="K204" s="47">
        <f t="shared" si="25"/>
        <v>0.47341318132325622</v>
      </c>
      <c r="L204" s="47">
        <f t="shared" si="26"/>
        <v>0.39377698072119388</v>
      </c>
      <c r="M204" s="84">
        <f t="shared" si="27"/>
        <v>0.8671901620444501</v>
      </c>
      <c r="N204" s="47">
        <f t="shared" si="28"/>
        <v>1.3711650547620573E-2</v>
      </c>
      <c r="O204" s="47">
        <f t="shared" si="29"/>
        <v>1.5522961634535324E-2</v>
      </c>
      <c r="P204" s="47">
        <f t="shared" si="30"/>
        <v>8.5357074233010963E-2</v>
      </c>
      <c r="Q204" s="47">
        <f t="shared" si="31"/>
        <v>1</v>
      </c>
    </row>
    <row r="205" spans="1:17" x14ac:dyDescent="0.35">
      <c r="A205" s="82">
        <v>202</v>
      </c>
      <c r="B205" s="83" t="str">
        <f>_xlfn.XLOOKUP(A205,'TAZs by City - CCAG Model'!$A:$A,'TAZs by City - CCAG Model'!$B:$B,"Unknown")</f>
        <v>Los Altos</v>
      </c>
      <c r="C205" s="82">
        <f>_xlfn.XLOOKUP(A205,'TAZs by City - CCAG Model'!$A:$A,'TAZs by City - CCAG Model'!$C:$C,999)</f>
        <v>3</v>
      </c>
      <c r="D205" s="82" t="str">
        <f t="shared" si="24"/>
        <v>NO</v>
      </c>
      <c r="E205" s="27">
        <v>2920.5</v>
      </c>
      <c r="F205" s="27">
        <v>1861.18</v>
      </c>
      <c r="G205" s="27">
        <v>52.82</v>
      </c>
      <c r="H205" s="27">
        <v>70.239999999999995</v>
      </c>
      <c r="I205" s="27">
        <v>283.7</v>
      </c>
      <c r="J205" s="27">
        <v>5283.4</v>
      </c>
      <c r="K205" s="47">
        <f t="shared" si="25"/>
        <v>0.55276905023280465</v>
      </c>
      <c r="L205" s="47">
        <f t="shared" si="26"/>
        <v>0.35226937199530611</v>
      </c>
      <c r="M205" s="84">
        <f t="shared" si="27"/>
        <v>0.90503842222811082</v>
      </c>
      <c r="N205" s="47">
        <f t="shared" si="28"/>
        <v>9.9973501911647805E-3</v>
      </c>
      <c r="O205" s="47">
        <f t="shared" si="29"/>
        <v>1.3294469470416776E-2</v>
      </c>
      <c r="P205" s="47">
        <f t="shared" si="30"/>
        <v>5.3696483325131543E-2</v>
      </c>
      <c r="Q205" s="47">
        <f t="shared" si="31"/>
        <v>1</v>
      </c>
    </row>
    <row r="206" spans="1:17" x14ac:dyDescent="0.35">
      <c r="A206" s="82">
        <v>203</v>
      </c>
      <c r="B206" s="83" t="str">
        <f>_xlfn.XLOOKUP(A206,'TAZs by City - CCAG Model'!$A:$A,'TAZs by City - CCAG Model'!$B:$B,"Unknown")</f>
        <v>Los Altos</v>
      </c>
      <c r="C206" s="82">
        <f>_xlfn.XLOOKUP(A206,'TAZs by City - CCAG Model'!$A:$A,'TAZs by City - CCAG Model'!$C:$C,999)</f>
        <v>3</v>
      </c>
      <c r="D206" s="82" t="str">
        <f t="shared" si="24"/>
        <v>NO</v>
      </c>
      <c r="E206" s="27">
        <v>1281.18</v>
      </c>
      <c r="F206" s="27">
        <v>945.2</v>
      </c>
      <c r="G206" s="27">
        <v>16.62</v>
      </c>
      <c r="H206" s="27">
        <v>29.88</v>
      </c>
      <c r="I206" s="27">
        <v>92.2</v>
      </c>
      <c r="J206" s="27">
        <v>2413.8000000000002</v>
      </c>
      <c r="K206" s="47">
        <f t="shared" si="25"/>
        <v>0.53077305493412874</v>
      </c>
      <c r="L206" s="47">
        <f t="shared" si="26"/>
        <v>0.39158173833789045</v>
      </c>
      <c r="M206" s="84">
        <f t="shared" si="27"/>
        <v>0.92235479327201919</v>
      </c>
      <c r="N206" s="47">
        <f t="shared" si="28"/>
        <v>6.8854088988317174E-3</v>
      </c>
      <c r="O206" s="47">
        <f t="shared" si="29"/>
        <v>1.2378821774794928E-2</v>
      </c>
      <c r="P206" s="47">
        <f t="shared" si="30"/>
        <v>3.8197033722760787E-2</v>
      </c>
      <c r="Q206" s="47">
        <f t="shared" si="31"/>
        <v>1</v>
      </c>
    </row>
    <row r="207" spans="1:17" x14ac:dyDescent="0.35">
      <c r="A207" s="82">
        <v>204</v>
      </c>
      <c r="B207" s="83" t="str">
        <f>_xlfn.XLOOKUP(A207,'TAZs by City - CCAG Model'!$A:$A,'TAZs by City - CCAG Model'!$B:$B,"Unknown")</f>
        <v>Cupertino</v>
      </c>
      <c r="C207" s="82">
        <f>_xlfn.XLOOKUP(A207,'TAZs by City - CCAG Model'!$A:$A,'TAZs by City - CCAG Model'!$C:$C,999)</f>
        <v>3</v>
      </c>
      <c r="D207" s="82" t="str">
        <f t="shared" si="24"/>
        <v>NO</v>
      </c>
      <c r="E207" s="27">
        <v>2517.7399999999998</v>
      </c>
      <c r="F207" s="27">
        <v>1687.18</v>
      </c>
      <c r="G207" s="27">
        <v>41.7</v>
      </c>
      <c r="H207" s="27">
        <v>64.7</v>
      </c>
      <c r="I207" s="27">
        <v>150.06</v>
      </c>
      <c r="J207" s="27">
        <v>4537.72</v>
      </c>
      <c r="K207" s="47">
        <f t="shared" si="25"/>
        <v>0.55484692753188813</v>
      </c>
      <c r="L207" s="47">
        <f t="shared" si="26"/>
        <v>0.37181227576844761</v>
      </c>
      <c r="M207" s="84">
        <f t="shared" si="27"/>
        <v>0.9266592033003358</v>
      </c>
      <c r="N207" s="47">
        <f t="shared" si="28"/>
        <v>9.1896370864663311E-3</v>
      </c>
      <c r="O207" s="47">
        <f t="shared" si="29"/>
        <v>1.4258261858378217E-2</v>
      </c>
      <c r="P207" s="47">
        <f t="shared" si="30"/>
        <v>3.3069471011873804E-2</v>
      </c>
      <c r="Q207" s="47">
        <f t="shared" si="31"/>
        <v>1</v>
      </c>
    </row>
    <row r="208" spans="1:17" x14ac:dyDescent="0.35">
      <c r="A208" s="82">
        <v>205</v>
      </c>
      <c r="B208" s="83" t="str">
        <f>_xlfn.XLOOKUP(A208,'TAZs by City - CCAG Model'!$A:$A,'TAZs by City - CCAG Model'!$B:$B,"Unknown")</f>
        <v>Los Altos</v>
      </c>
      <c r="C208" s="82">
        <f>_xlfn.XLOOKUP(A208,'TAZs by City - CCAG Model'!$A:$A,'TAZs by City - CCAG Model'!$C:$C,999)</f>
        <v>3</v>
      </c>
      <c r="D208" s="82" t="str">
        <f t="shared" si="24"/>
        <v>NO</v>
      </c>
      <c r="E208" s="27">
        <v>2072.58</v>
      </c>
      <c r="F208" s="27">
        <v>1280.8800000000001</v>
      </c>
      <c r="G208" s="27">
        <v>14.28</v>
      </c>
      <c r="H208" s="27">
        <v>34.159999999999997</v>
      </c>
      <c r="I208" s="27">
        <v>85.56</v>
      </c>
      <c r="J208" s="27">
        <v>3537.92</v>
      </c>
      <c r="K208" s="47">
        <f t="shared" si="25"/>
        <v>0.58581878617945005</v>
      </c>
      <c r="L208" s="47">
        <f t="shared" si="26"/>
        <v>0.36204323444283648</v>
      </c>
      <c r="M208" s="84">
        <f t="shared" si="27"/>
        <v>0.94786202062228653</v>
      </c>
      <c r="N208" s="47">
        <f t="shared" si="28"/>
        <v>4.0362698986975394E-3</v>
      </c>
      <c r="O208" s="47">
        <f t="shared" si="29"/>
        <v>9.6553907380607807E-3</v>
      </c>
      <c r="P208" s="47">
        <f t="shared" si="30"/>
        <v>2.4183701157742401E-2</v>
      </c>
      <c r="Q208" s="47">
        <f t="shared" si="31"/>
        <v>1</v>
      </c>
    </row>
    <row r="209" spans="1:17" x14ac:dyDescent="0.35">
      <c r="A209" s="82">
        <v>206</v>
      </c>
      <c r="B209" s="83" t="str">
        <f>_xlfn.XLOOKUP(A209,'TAZs by City - CCAG Model'!$A:$A,'TAZs by City - CCAG Model'!$B:$B,"Unknown")</f>
        <v>Los Altos</v>
      </c>
      <c r="C209" s="82">
        <f>_xlfn.XLOOKUP(A209,'TAZs by City - CCAG Model'!$A:$A,'TAZs by City - CCAG Model'!$C:$C,999)</f>
        <v>3</v>
      </c>
      <c r="D209" s="82" t="str">
        <f t="shared" si="24"/>
        <v>NO</v>
      </c>
      <c r="E209" s="27">
        <v>2923.22</v>
      </c>
      <c r="F209" s="27">
        <v>1841.84</v>
      </c>
      <c r="G209" s="27">
        <v>33.380000000000003</v>
      </c>
      <c r="H209" s="27">
        <v>51.46</v>
      </c>
      <c r="I209" s="27">
        <v>119.56</v>
      </c>
      <c r="J209" s="27">
        <v>5040.08</v>
      </c>
      <c r="K209" s="47">
        <f t="shared" si="25"/>
        <v>0.57999476198790489</v>
      </c>
      <c r="L209" s="47">
        <f t="shared" si="26"/>
        <v>0.36543864383105029</v>
      </c>
      <c r="M209" s="84">
        <f t="shared" si="27"/>
        <v>0.94543340581895519</v>
      </c>
      <c r="N209" s="47">
        <f t="shared" si="28"/>
        <v>6.6229107474484539E-3</v>
      </c>
      <c r="O209" s="47">
        <f t="shared" si="29"/>
        <v>1.021015539435882E-2</v>
      </c>
      <c r="P209" s="47">
        <f t="shared" si="30"/>
        <v>2.3721845684989126E-2</v>
      </c>
      <c r="Q209" s="47">
        <f t="shared" si="31"/>
        <v>1</v>
      </c>
    </row>
    <row r="210" spans="1:17" x14ac:dyDescent="0.35">
      <c r="A210" s="82">
        <v>207</v>
      </c>
      <c r="B210" s="83" t="str">
        <f>_xlfn.XLOOKUP(A210,'TAZs by City - CCAG Model'!$A:$A,'TAZs by City - CCAG Model'!$B:$B,"Unknown")</f>
        <v>Los Altos</v>
      </c>
      <c r="C210" s="82">
        <f>_xlfn.XLOOKUP(A210,'TAZs by City - CCAG Model'!$A:$A,'TAZs by City - CCAG Model'!$C:$C,999)</f>
        <v>3</v>
      </c>
      <c r="D210" s="82" t="str">
        <f t="shared" si="24"/>
        <v>NO</v>
      </c>
      <c r="E210" s="27">
        <v>4204.16</v>
      </c>
      <c r="F210" s="27">
        <v>3028.94</v>
      </c>
      <c r="G210" s="27">
        <v>49.72</v>
      </c>
      <c r="H210" s="27">
        <v>82.86</v>
      </c>
      <c r="I210" s="27">
        <v>179.7</v>
      </c>
      <c r="J210" s="27">
        <v>7630.68</v>
      </c>
      <c r="K210" s="47">
        <f t="shared" si="25"/>
        <v>0.55095482971373455</v>
      </c>
      <c r="L210" s="47">
        <f t="shared" si="26"/>
        <v>0.39694234327740124</v>
      </c>
      <c r="M210" s="84">
        <f t="shared" si="27"/>
        <v>0.94789717299113585</v>
      </c>
      <c r="N210" s="47">
        <f t="shared" si="28"/>
        <v>6.5158019992975717E-3</v>
      </c>
      <c r="O210" s="47">
        <f t="shared" si="29"/>
        <v>1.0858796332699051E-2</v>
      </c>
      <c r="P210" s="47">
        <f t="shared" si="30"/>
        <v>2.3549670540502287E-2</v>
      </c>
      <c r="Q210" s="47">
        <f t="shared" si="31"/>
        <v>1</v>
      </c>
    </row>
    <row r="211" spans="1:17" x14ac:dyDescent="0.35">
      <c r="A211" s="82">
        <v>208</v>
      </c>
      <c r="B211" s="83" t="str">
        <f>_xlfn.XLOOKUP(A211,'TAZs by City - CCAG Model'!$A:$A,'TAZs by City - CCAG Model'!$B:$B,"Unknown")</f>
        <v>Unincorporated</v>
      </c>
      <c r="C211" s="82">
        <f>_xlfn.XLOOKUP(A211,'TAZs by City - CCAG Model'!$A:$A,'TAZs by City - CCAG Model'!$C:$C,999)</f>
        <v>3</v>
      </c>
      <c r="D211" s="82" t="str">
        <f t="shared" si="24"/>
        <v>NO</v>
      </c>
      <c r="E211" s="27">
        <v>3096.96</v>
      </c>
      <c r="F211" s="27">
        <v>1731.06</v>
      </c>
      <c r="G211" s="27">
        <v>19.16</v>
      </c>
      <c r="H211" s="27">
        <v>54.46</v>
      </c>
      <c r="I211" s="27">
        <v>132.34</v>
      </c>
      <c r="J211" s="27">
        <v>5093.3999999999996</v>
      </c>
      <c r="K211" s="47">
        <f t="shared" si="25"/>
        <v>0.60803392625750974</v>
      </c>
      <c r="L211" s="47">
        <f t="shared" si="26"/>
        <v>0.3398633525739192</v>
      </c>
      <c r="M211" s="84">
        <f t="shared" si="27"/>
        <v>0.94789727883142905</v>
      </c>
      <c r="N211" s="47">
        <f t="shared" si="28"/>
        <v>3.761730867397024E-3</v>
      </c>
      <c r="O211" s="47">
        <f t="shared" si="29"/>
        <v>1.0692268425805946E-2</v>
      </c>
      <c r="P211" s="47">
        <f t="shared" si="30"/>
        <v>2.598264420622767E-2</v>
      </c>
      <c r="Q211" s="47">
        <f t="shared" si="31"/>
        <v>1</v>
      </c>
    </row>
    <row r="212" spans="1:17" x14ac:dyDescent="0.35">
      <c r="A212" s="82">
        <v>209</v>
      </c>
      <c r="B212" s="83" t="str">
        <f>_xlfn.XLOOKUP(A212,'TAZs by City - CCAG Model'!$A:$A,'TAZs by City - CCAG Model'!$B:$B,"Unknown")</f>
        <v>Los Altos</v>
      </c>
      <c r="C212" s="82">
        <f>_xlfn.XLOOKUP(A212,'TAZs by City - CCAG Model'!$A:$A,'TAZs by City - CCAG Model'!$C:$C,999)</f>
        <v>3</v>
      </c>
      <c r="D212" s="82" t="str">
        <f t="shared" si="24"/>
        <v>NO</v>
      </c>
      <c r="E212" s="27">
        <v>900.8</v>
      </c>
      <c r="F212" s="27">
        <v>728.2</v>
      </c>
      <c r="G212" s="27">
        <v>13.88</v>
      </c>
      <c r="H212" s="27">
        <v>16.420000000000002</v>
      </c>
      <c r="I212" s="27">
        <v>65.099999999999994</v>
      </c>
      <c r="J212" s="27">
        <v>1762.72</v>
      </c>
      <c r="K212" s="47">
        <f t="shared" si="25"/>
        <v>0.51102841063810467</v>
      </c>
      <c r="L212" s="47">
        <f t="shared" si="26"/>
        <v>0.41311155486974677</v>
      </c>
      <c r="M212" s="84">
        <f t="shared" si="27"/>
        <v>0.92413996550785149</v>
      </c>
      <c r="N212" s="47">
        <f t="shared" si="28"/>
        <v>7.8741944267949528E-3</v>
      </c>
      <c r="O212" s="47">
        <f t="shared" si="29"/>
        <v>9.3151493146954711E-3</v>
      </c>
      <c r="P212" s="47">
        <f t="shared" si="30"/>
        <v>3.693156031587546E-2</v>
      </c>
      <c r="Q212" s="47">
        <f t="shared" si="31"/>
        <v>1</v>
      </c>
    </row>
    <row r="213" spans="1:17" x14ac:dyDescent="0.35">
      <c r="A213" s="82">
        <v>210</v>
      </c>
      <c r="B213" s="83" t="str">
        <f>_xlfn.XLOOKUP(A213,'TAZs by City - CCAG Model'!$A:$A,'TAZs by City - CCAG Model'!$B:$B,"Unknown")</f>
        <v>Los Altos</v>
      </c>
      <c r="C213" s="82">
        <f>_xlfn.XLOOKUP(A213,'TAZs by City - CCAG Model'!$A:$A,'TAZs by City - CCAG Model'!$C:$C,999)</f>
        <v>3</v>
      </c>
      <c r="D213" s="82" t="str">
        <f t="shared" si="24"/>
        <v>NO</v>
      </c>
      <c r="E213" s="27">
        <v>2962.92</v>
      </c>
      <c r="F213" s="27">
        <v>2244.04</v>
      </c>
      <c r="G213" s="27">
        <v>52.32</v>
      </c>
      <c r="H213" s="27">
        <v>65.02</v>
      </c>
      <c r="I213" s="27">
        <v>181.7</v>
      </c>
      <c r="J213" s="27">
        <v>5589.86</v>
      </c>
      <c r="K213" s="47">
        <f t="shared" si="25"/>
        <v>0.53005263101401467</v>
      </c>
      <c r="L213" s="47">
        <f t="shared" si="26"/>
        <v>0.40144833680986647</v>
      </c>
      <c r="M213" s="84">
        <f t="shared" si="27"/>
        <v>0.93150096782388114</v>
      </c>
      <c r="N213" s="47">
        <f t="shared" si="28"/>
        <v>9.3598050756190671E-3</v>
      </c>
      <c r="O213" s="47">
        <f t="shared" si="29"/>
        <v>1.163177610888287E-2</v>
      </c>
      <c r="P213" s="47">
        <f t="shared" si="30"/>
        <v>3.2505286357797869E-2</v>
      </c>
      <c r="Q213" s="47">
        <f t="shared" si="31"/>
        <v>1</v>
      </c>
    </row>
    <row r="214" spans="1:17" x14ac:dyDescent="0.35">
      <c r="A214" s="82">
        <v>211</v>
      </c>
      <c r="B214" s="83" t="str">
        <f>_xlfn.XLOOKUP(A214,'TAZs by City - CCAG Model'!$A:$A,'TAZs by City - CCAG Model'!$B:$B,"Unknown")</f>
        <v>Los Altos</v>
      </c>
      <c r="C214" s="82">
        <f>_xlfn.XLOOKUP(A214,'TAZs by City - CCAG Model'!$A:$A,'TAZs by City - CCAG Model'!$C:$C,999)</f>
        <v>3</v>
      </c>
      <c r="D214" s="82" t="str">
        <f t="shared" si="24"/>
        <v>NO</v>
      </c>
      <c r="E214" s="27">
        <v>7212.86</v>
      </c>
      <c r="F214" s="27">
        <v>4519.28</v>
      </c>
      <c r="G214" s="27">
        <v>73.64</v>
      </c>
      <c r="H214" s="27">
        <v>132.08000000000001</v>
      </c>
      <c r="I214" s="27">
        <v>435.66</v>
      </c>
      <c r="J214" s="27">
        <v>12486.48</v>
      </c>
      <c r="K214" s="47">
        <f t="shared" si="25"/>
        <v>0.57765359012307715</v>
      </c>
      <c r="L214" s="47">
        <f t="shared" si="26"/>
        <v>0.36193386767127322</v>
      </c>
      <c r="M214" s="84">
        <f t="shared" si="27"/>
        <v>0.93958745779435038</v>
      </c>
      <c r="N214" s="47">
        <f t="shared" si="28"/>
        <v>5.8975788212530678E-3</v>
      </c>
      <c r="O214" s="47">
        <f t="shared" si="29"/>
        <v>1.0577840992817833E-2</v>
      </c>
      <c r="P214" s="47">
        <f t="shared" si="30"/>
        <v>3.4890537605474087E-2</v>
      </c>
      <c r="Q214" s="47">
        <f t="shared" si="31"/>
        <v>1</v>
      </c>
    </row>
    <row r="215" spans="1:17" x14ac:dyDescent="0.35">
      <c r="A215" s="82">
        <v>212</v>
      </c>
      <c r="B215" s="83" t="str">
        <f>_xlfn.XLOOKUP(A215,'TAZs by City - CCAG Model'!$A:$A,'TAZs by City - CCAG Model'!$B:$B,"Unknown")</f>
        <v>Los Altos</v>
      </c>
      <c r="C215" s="82">
        <f>_xlfn.XLOOKUP(A215,'TAZs by City - CCAG Model'!$A:$A,'TAZs by City - CCAG Model'!$C:$C,999)</f>
        <v>3</v>
      </c>
      <c r="D215" s="82" t="str">
        <f t="shared" si="24"/>
        <v>NO</v>
      </c>
      <c r="E215" s="27">
        <v>7612.28</v>
      </c>
      <c r="F215" s="27">
        <v>4248.1000000000004</v>
      </c>
      <c r="G215" s="27">
        <v>22.32</v>
      </c>
      <c r="H215" s="27">
        <v>141.96</v>
      </c>
      <c r="I215" s="27">
        <v>2097.92</v>
      </c>
      <c r="J215" s="27">
        <v>14171.2</v>
      </c>
      <c r="K215" s="47">
        <f t="shared" si="25"/>
        <v>0.53716551879869023</v>
      </c>
      <c r="L215" s="47">
        <f t="shared" si="26"/>
        <v>0.29976995596703171</v>
      </c>
      <c r="M215" s="84">
        <f t="shared" si="27"/>
        <v>0.83693547476572205</v>
      </c>
      <c r="N215" s="47">
        <f t="shared" si="28"/>
        <v>1.5750254036355424E-3</v>
      </c>
      <c r="O215" s="47">
        <f t="shared" si="29"/>
        <v>1.0017500282262616E-2</v>
      </c>
      <c r="P215" s="47">
        <f t="shared" si="30"/>
        <v>0.14804109743705543</v>
      </c>
      <c r="Q215" s="47">
        <f t="shared" si="31"/>
        <v>1</v>
      </c>
    </row>
    <row r="216" spans="1:17" x14ac:dyDescent="0.35">
      <c r="A216" s="82">
        <v>213</v>
      </c>
      <c r="B216" s="83" t="str">
        <f>_xlfn.XLOOKUP(A216,'TAZs by City - CCAG Model'!$A:$A,'TAZs by City - CCAG Model'!$B:$B,"Unknown")</f>
        <v>Los Altos</v>
      </c>
      <c r="C216" s="82">
        <f>_xlfn.XLOOKUP(A216,'TAZs by City - CCAG Model'!$A:$A,'TAZs by City - CCAG Model'!$C:$C,999)</f>
        <v>3</v>
      </c>
      <c r="D216" s="82" t="str">
        <f t="shared" si="24"/>
        <v>NO</v>
      </c>
      <c r="E216" s="27">
        <v>3812.68</v>
      </c>
      <c r="F216" s="27">
        <v>2975.72</v>
      </c>
      <c r="G216" s="27">
        <v>51.9</v>
      </c>
      <c r="H216" s="27">
        <v>83.68</v>
      </c>
      <c r="I216" s="27">
        <v>1172.06</v>
      </c>
      <c r="J216" s="27">
        <v>8188.54</v>
      </c>
      <c r="K216" s="47">
        <f t="shared" si="25"/>
        <v>0.46561169634635718</v>
      </c>
      <c r="L216" s="47">
        <f t="shared" si="26"/>
        <v>0.36340055736431642</v>
      </c>
      <c r="M216" s="84">
        <f t="shared" si="27"/>
        <v>0.82901225371067366</v>
      </c>
      <c r="N216" s="47">
        <f t="shared" si="28"/>
        <v>6.338126210533257E-3</v>
      </c>
      <c r="O216" s="47">
        <f t="shared" si="29"/>
        <v>1.0219159947927227E-2</v>
      </c>
      <c r="P216" s="47">
        <f t="shared" si="30"/>
        <v>0.14313418509282486</v>
      </c>
      <c r="Q216" s="47">
        <f t="shared" si="31"/>
        <v>1</v>
      </c>
    </row>
    <row r="217" spans="1:17" x14ac:dyDescent="0.35">
      <c r="A217" s="82">
        <v>214</v>
      </c>
      <c r="B217" s="83" t="str">
        <f>_xlfn.XLOOKUP(A217,'TAZs by City - CCAG Model'!$A:$A,'TAZs by City - CCAG Model'!$B:$B,"Unknown")</f>
        <v>Los Altos</v>
      </c>
      <c r="C217" s="82">
        <f>_xlfn.XLOOKUP(A217,'TAZs by City - CCAG Model'!$A:$A,'TAZs by City - CCAG Model'!$C:$C,999)</f>
        <v>3</v>
      </c>
      <c r="D217" s="82" t="str">
        <f t="shared" si="24"/>
        <v>NO</v>
      </c>
      <c r="E217" s="27">
        <v>8967.98</v>
      </c>
      <c r="F217" s="27">
        <v>5286.24</v>
      </c>
      <c r="G217" s="27">
        <v>102.7</v>
      </c>
      <c r="H217" s="27">
        <v>169.66</v>
      </c>
      <c r="I217" s="27">
        <v>888.06</v>
      </c>
      <c r="J217" s="27">
        <v>15559.68</v>
      </c>
      <c r="K217" s="47">
        <f t="shared" si="25"/>
        <v>0.57636018221454421</v>
      </c>
      <c r="L217" s="47">
        <f t="shared" si="26"/>
        <v>0.33973963474827246</v>
      </c>
      <c r="M217" s="84">
        <f t="shared" si="27"/>
        <v>0.91609981696281662</v>
      </c>
      <c r="N217" s="47">
        <f t="shared" si="28"/>
        <v>6.6003928101349132E-3</v>
      </c>
      <c r="O217" s="47">
        <f t="shared" si="29"/>
        <v>1.0903823214873314E-2</v>
      </c>
      <c r="P217" s="47">
        <f t="shared" si="30"/>
        <v>5.707443854886475E-2</v>
      </c>
      <c r="Q217" s="47">
        <f t="shared" si="31"/>
        <v>1</v>
      </c>
    </row>
    <row r="218" spans="1:17" x14ac:dyDescent="0.35">
      <c r="A218" s="82">
        <v>215</v>
      </c>
      <c r="B218" s="83" t="str">
        <f>_xlfn.XLOOKUP(A218,'TAZs by City - CCAG Model'!$A:$A,'TAZs by City - CCAG Model'!$B:$B,"Unknown")</f>
        <v>Los Altos</v>
      </c>
      <c r="C218" s="82">
        <f>_xlfn.XLOOKUP(A218,'TAZs by City - CCAG Model'!$A:$A,'TAZs by City - CCAG Model'!$C:$C,999)</f>
        <v>3</v>
      </c>
      <c r="D218" s="82" t="str">
        <f t="shared" si="24"/>
        <v>NO</v>
      </c>
      <c r="E218" s="27">
        <v>7678.9</v>
      </c>
      <c r="F218" s="27">
        <v>4341.76</v>
      </c>
      <c r="G218" s="27">
        <v>132.5</v>
      </c>
      <c r="H218" s="27">
        <v>177.1</v>
      </c>
      <c r="I218" s="27">
        <v>947.66</v>
      </c>
      <c r="J218" s="27">
        <v>13453.36</v>
      </c>
      <c r="K218" s="47">
        <f t="shared" si="25"/>
        <v>0.57077934434223121</v>
      </c>
      <c r="L218" s="47">
        <f t="shared" si="26"/>
        <v>0.3227268132273276</v>
      </c>
      <c r="M218" s="84">
        <f t="shared" si="27"/>
        <v>0.89350615756955876</v>
      </c>
      <c r="N218" s="47">
        <f t="shared" si="28"/>
        <v>9.8488407356972524E-3</v>
      </c>
      <c r="O218" s="47">
        <f t="shared" si="29"/>
        <v>1.3163997692769686E-2</v>
      </c>
      <c r="P218" s="47">
        <f t="shared" si="30"/>
        <v>7.0440395559176291E-2</v>
      </c>
      <c r="Q218" s="47">
        <f t="shared" si="31"/>
        <v>1</v>
      </c>
    </row>
    <row r="219" spans="1:17" x14ac:dyDescent="0.35">
      <c r="A219" s="82">
        <v>216</v>
      </c>
      <c r="B219" s="83" t="str">
        <f>_xlfn.XLOOKUP(A219,'TAZs by City - CCAG Model'!$A:$A,'TAZs by City - CCAG Model'!$B:$B,"Unknown")</f>
        <v>Los Altos</v>
      </c>
      <c r="C219" s="82">
        <f>_xlfn.XLOOKUP(A219,'TAZs by City - CCAG Model'!$A:$A,'TAZs by City - CCAG Model'!$C:$C,999)</f>
        <v>3</v>
      </c>
      <c r="D219" s="82" t="str">
        <f t="shared" si="24"/>
        <v>NO</v>
      </c>
      <c r="E219" s="27">
        <v>4279.54</v>
      </c>
      <c r="F219" s="27">
        <v>3591.96</v>
      </c>
      <c r="G219" s="27">
        <v>83.64</v>
      </c>
      <c r="H219" s="27">
        <v>116.04</v>
      </c>
      <c r="I219" s="27">
        <v>507.54</v>
      </c>
      <c r="J219" s="27">
        <v>8690.6</v>
      </c>
      <c r="K219" s="47">
        <f t="shared" si="25"/>
        <v>0.49243320369134463</v>
      </c>
      <c r="L219" s="47">
        <f t="shared" si="26"/>
        <v>0.41331553632660573</v>
      </c>
      <c r="M219" s="84">
        <f t="shared" si="27"/>
        <v>0.90574874001795036</v>
      </c>
      <c r="N219" s="47">
        <f t="shared" si="28"/>
        <v>9.6241916553517597E-3</v>
      </c>
      <c r="O219" s="47">
        <f t="shared" si="29"/>
        <v>1.3352357719835225E-2</v>
      </c>
      <c r="P219" s="47">
        <f t="shared" si="30"/>
        <v>5.8401030999010423E-2</v>
      </c>
      <c r="Q219" s="47">
        <f t="shared" si="31"/>
        <v>1</v>
      </c>
    </row>
    <row r="220" spans="1:17" x14ac:dyDescent="0.35">
      <c r="A220" s="82">
        <v>217</v>
      </c>
      <c r="B220" s="83" t="str">
        <f>_xlfn.XLOOKUP(A220,'TAZs by City - CCAG Model'!$A:$A,'TAZs by City - CCAG Model'!$B:$B,"Unknown")</f>
        <v>Los Altos</v>
      </c>
      <c r="C220" s="82">
        <f>_xlfn.XLOOKUP(A220,'TAZs by City - CCAG Model'!$A:$A,'TAZs by City - CCAG Model'!$C:$C,999)</f>
        <v>3</v>
      </c>
      <c r="D220" s="82" t="str">
        <f t="shared" si="24"/>
        <v>NO</v>
      </c>
      <c r="E220" s="27">
        <v>4606.3599999999997</v>
      </c>
      <c r="F220" s="27">
        <v>3420.16</v>
      </c>
      <c r="G220" s="27">
        <v>73.84</v>
      </c>
      <c r="H220" s="27">
        <v>119.2</v>
      </c>
      <c r="I220" s="27">
        <v>610.58000000000004</v>
      </c>
      <c r="J220" s="27">
        <v>8934.2199999999993</v>
      </c>
      <c r="K220" s="47">
        <f t="shared" si="25"/>
        <v>0.51558613958465316</v>
      </c>
      <c r="L220" s="47">
        <f t="shared" si="26"/>
        <v>0.38281573545312297</v>
      </c>
      <c r="M220" s="84">
        <f t="shared" si="27"/>
        <v>0.89840187503777613</v>
      </c>
      <c r="N220" s="47">
        <f t="shared" si="28"/>
        <v>8.2648513244580959E-3</v>
      </c>
      <c r="O220" s="47">
        <f t="shared" si="29"/>
        <v>1.3341959342841346E-2</v>
      </c>
      <c r="P220" s="47">
        <f t="shared" si="30"/>
        <v>6.8341724291544212E-2</v>
      </c>
      <c r="Q220" s="47">
        <f t="shared" si="31"/>
        <v>1</v>
      </c>
    </row>
    <row r="221" spans="1:17" x14ac:dyDescent="0.35">
      <c r="A221" s="82">
        <v>218</v>
      </c>
      <c r="B221" s="83" t="str">
        <f>_xlfn.XLOOKUP(A221,'TAZs by City - CCAG Model'!$A:$A,'TAZs by City - CCAG Model'!$B:$B,"Unknown")</f>
        <v>Los Altos</v>
      </c>
      <c r="C221" s="82">
        <f>_xlfn.XLOOKUP(A221,'TAZs by City - CCAG Model'!$A:$A,'TAZs by City - CCAG Model'!$C:$C,999)</f>
        <v>3</v>
      </c>
      <c r="D221" s="82" t="str">
        <f t="shared" si="24"/>
        <v>NO</v>
      </c>
      <c r="E221" s="27">
        <v>7200.7</v>
      </c>
      <c r="F221" s="27">
        <v>5096.5200000000004</v>
      </c>
      <c r="G221" s="27">
        <v>113.78</v>
      </c>
      <c r="H221" s="27">
        <v>172.38</v>
      </c>
      <c r="I221" s="27">
        <v>1464.24</v>
      </c>
      <c r="J221" s="27">
        <v>14201.94</v>
      </c>
      <c r="K221" s="47">
        <f t="shared" si="25"/>
        <v>0.50702228005469674</v>
      </c>
      <c r="L221" s="47">
        <f t="shared" si="26"/>
        <v>0.35886083168919175</v>
      </c>
      <c r="M221" s="84">
        <f t="shared" si="27"/>
        <v>0.86588311174388854</v>
      </c>
      <c r="N221" s="47">
        <f t="shared" si="28"/>
        <v>8.01158151632805E-3</v>
      </c>
      <c r="O221" s="47">
        <f t="shared" si="29"/>
        <v>1.2137778359857878E-2</v>
      </c>
      <c r="P221" s="47">
        <f t="shared" si="30"/>
        <v>0.10310140727252755</v>
      </c>
      <c r="Q221" s="47">
        <f t="shared" si="31"/>
        <v>1</v>
      </c>
    </row>
    <row r="222" spans="1:17" x14ac:dyDescent="0.35">
      <c r="A222" s="82">
        <v>219</v>
      </c>
      <c r="B222" s="83" t="str">
        <f>_xlfn.XLOOKUP(A222,'TAZs by City - CCAG Model'!$A:$A,'TAZs by City - CCAG Model'!$B:$B,"Unknown")</f>
        <v>Los Altos Hills</v>
      </c>
      <c r="C222" s="82">
        <f>_xlfn.XLOOKUP(A222,'TAZs by City - CCAG Model'!$A:$A,'TAZs by City - CCAG Model'!$C:$C,999)</f>
        <v>3</v>
      </c>
      <c r="D222" s="82" t="str">
        <f t="shared" si="24"/>
        <v>NO</v>
      </c>
      <c r="E222" s="27">
        <v>1518.18</v>
      </c>
      <c r="F222" s="27">
        <v>921.96</v>
      </c>
      <c r="G222" s="27">
        <v>7.86</v>
      </c>
      <c r="H222" s="27">
        <v>25.1</v>
      </c>
      <c r="I222" s="27">
        <v>54.3</v>
      </c>
      <c r="J222" s="27">
        <v>2563.62</v>
      </c>
      <c r="K222" s="47">
        <f t="shared" si="25"/>
        <v>0.59220165235097255</v>
      </c>
      <c r="L222" s="47">
        <f t="shared" si="26"/>
        <v>0.35963208275797509</v>
      </c>
      <c r="M222" s="84">
        <f t="shared" si="27"/>
        <v>0.95183373510894764</v>
      </c>
      <c r="N222" s="47">
        <f t="shared" si="28"/>
        <v>3.0659770168745761E-3</v>
      </c>
      <c r="O222" s="47">
        <f t="shared" si="29"/>
        <v>9.7908426365842065E-3</v>
      </c>
      <c r="P222" s="47">
        <f t="shared" si="30"/>
        <v>2.1180986261614437E-2</v>
      </c>
      <c r="Q222" s="47">
        <f t="shared" si="31"/>
        <v>1</v>
      </c>
    </row>
    <row r="223" spans="1:17" x14ac:dyDescent="0.35">
      <c r="A223" s="82">
        <v>220</v>
      </c>
      <c r="B223" s="83" t="str">
        <f>_xlfn.XLOOKUP(A223,'TAZs by City - CCAG Model'!$A:$A,'TAZs by City - CCAG Model'!$B:$B,"Unknown")</f>
        <v>Los Altos Hills</v>
      </c>
      <c r="C223" s="82">
        <f>_xlfn.XLOOKUP(A223,'TAZs by City - CCAG Model'!$A:$A,'TAZs by City - CCAG Model'!$C:$C,999)</f>
        <v>3</v>
      </c>
      <c r="D223" s="82" t="str">
        <f t="shared" si="24"/>
        <v>NO</v>
      </c>
      <c r="E223" s="27">
        <v>1829.14</v>
      </c>
      <c r="F223" s="27">
        <v>1232.9000000000001</v>
      </c>
      <c r="G223" s="27">
        <v>17.7</v>
      </c>
      <c r="H223" s="27">
        <v>34.82</v>
      </c>
      <c r="I223" s="27">
        <v>118.46</v>
      </c>
      <c r="J223" s="27">
        <v>3282.18</v>
      </c>
      <c r="K223" s="47">
        <f t="shared" si="25"/>
        <v>0.55729423736662831</v>
      </c>
      <c r="L223" s="47">
        <f t="shared" si="26"/>
        <v>0.37563448683496947</v>
      </c>
      <c r="M223" s="84">
        <f t="shared" si="27"/>
        <v>0.93292872420159778</v>
      </c>
      <c r="N223" s="47">
        <f t="shared" si="28"/>
        <v>5.3927572528014922E-3</v>
      </c>
      <c r="O223" s="47">
        <f t="shared" si="29"/>
        <v>1.0608802686019658E-2</v>
      </c>
      <c r="P223" s="47">
        <f t="shared" si="30"/>
        <v>3.6091865772139249E-2</v>
      </c>
      <c r="Q223" s="47">
        <f t="shared" si="31"/>
        <v>1</v>
      </c>
    </row>
    <row r="224" spans="1:17" x14ac:dyDescent="0.35">
      <c r="A224" s="82">
        <v>221</v>
      </c>
      <c r="B224" s="83" t="str">
        <f>_xlfn.XLOOKUP(A224,'TAZs by City - CCAG Model'!$A:$A,'TAZs by City - CCAG Model'!$B:$B,"Unknown")</f>
        <v>Los Altos Hills</v>
      </c>
      <c r="C224" s="82">
        <f>_xlfn.XLOOKUP(A224,'TAZs by City - CCAG Model'!$A:$A,'TAZs by City - CCAG Model'!$C:$C,999)</f>
        <v>3</v>
      </c>
      <c r="D224" s="82" t="str">
        <f t="shared" si="24"/>
        <v>NO</v>
      </c>
      <c r="E224" s="27">
        <v>2129.5</v>
      </c>
      <c r="F224" s="27">
        <v>1626.92</v>
      </c>
      <c r="G224" s="27">
        <v>0</v>
      </c>
      <c r="H224" s="27">
        <v>27.42</v>
      </c>
      <c r="I224" s="27">
        <v>25.78</v>
      </c>
      <c r="J224" s="27">
        <v>3822.34</v>
      </c>
      <c r="K224" s="47">
        <f t="shared" si="25"/>
        <v>0.55711946085382247</v>
      </c>
      <c r="L224" s="47">
        <f t="shared" si="26"/>
        <v>0.4256345589351026</v>
      </c>
      <c r="M224" s="84">
        <f t="shared" si="27"/>
        <v>0.98275401978892507</v>
      </c>
      <c r="N224" s="47">
        <f t="shared" si="28"/>
        <v>0</v>
      </c>
      <c r="O224" s="47">
        <f t="shared" si="29"/>
        <v>7.173616161827572E-3</v>
      </c>
      <c r="P224" s="47">
        <f t="shared" si="30"/>
        <v>6.7445596153141796E-3</v>
      </c>
      <c r="Q224" s="47">
        <f t="shared" si="31"/>
        <v>1</v>
      </c>
    </row>
    <row r="225" spans="1:17" x14ac:dyDescent="0.35">
      <c r="A225" s="82">
        <v>222</v>
      </c>
      <c r="B225" s="83" t="str">
        <f>_xlfn.XLOOKUP(A225,'TAZs by City - CCAG Model'!$A:$A,'TAZs by City - CCAG Model'!$B:$B,"Unknown")</f>
        <v>Los Altos Hills</v>
      </c>
      <c r="C225" s="82">
        <f>_xlfn.XLOOKUP(A225,'TAZs by City - CCAG Model'!$A:$A,'TAZs by City - CCAG Model'!$C:$C,999)</f>
        <v>3</v>
      </c>
      <c r="D225" s="82" t="str">
        <f t="shared" si="24"/>
        <v>NO</v>
      </c>
      <c r="E225" s="27">
        <v>2019.72</v>
      </c>
      <c r="F225" s="27">
        <v>1555.26</v>
      </c>
      <c r="G225" s="27">
        <v>6.9</v>
      </c>
      <c r="H225" s="27">
        <v>30.98</v>
      </c>
      <c r="I225" s="27">
        <v>40.64</v>
      </c>
      <c r="J225" s="27">
        <v>3677.18</v>
      </c>
      <c r="K225" s="47">
        <f t="shared" si="25"/>
        <v>0.54925785520425985</v>
      </c>
      <c r="L225" s="47">
        <f t="shared" si="26"/>
        <v>0.42294910774017047</v>
      </c>
      <c r="M225" s="84">
        <f t="shared" si="27"/>
        <v>0.97220696294443032</v>
      </c>
      <c r="N225" s="47">
        <f t="shared" si="28"/>
        <v>1.8764379225384672E-3</v>
      </c>
      <c r="O225" s="47">
        <f t="shared" si="29"/>
        <v>8.4249343246727108E-3</v>
      </c>
      <c r="P225" s="47">
        <f t="shared" si="30"/>
        <v>1.1051947416226565E-2</v>
      </c>
      <c r="Q225" s="47">
        <f t="shared" si="31"/>
        <v>1</v>
      </c>
    </row>
    <row r="226" spans="1:17" x14ac:dyDescent="0.35">
      <c r="A226" s="82">
        <v>223</v>
      </c>
      <c r="B226" s="83" t="str">
        <f>_xlfn.XLOOKUP(A226,'TAZs by City - CCAG Model'!$A:$A,'TAZs by City - CCAG Model'!$B:$B,"Unknown")</f>
        <v>Los Gatos</v>
      </c>
      <c r="C226" s="82">
        <f>_xlfn.XLOOKUP(A226,'TAZs by City - CCAG Model'!$A:$A,'TAZs by City - CCAG Model'!$C:$C,999)</f>
        <v>3</v>
      </c>
      <c r="D226" s="82" t="str">
        <f t="shared" si="24"/>
        <v>NO</v>
      </c>
      <c r="E226" s="27">
        <v>781.06</v>
      </c>
      <c r="F226" s="27">
        <v>314.58</v>
      </c>
      <c r="G226" s="27">
        <v>8.14</v>
      </c>
      <c r="H226" s="27">
        <v>8.76</v>
      </c>
      <c r="I226" s="27">
        <v>294.89999999999998</v>
      </c>
      <c r="J226" s="27">
        <v>1453.12</v>
      </c>
      <c r="K226" s="47">
        <f t="shared" si="25"/>
        <v>0.53750550539528741</v>
      </c>
      <c r="L226" s="47">
        <f t="shared" si="26"/>
        <v>0.21648590618806432</v>
      </c>
      <c r="M226" s="84">
        <f t="shared" si="27"/>
        <v>0.7539914115833517</v>
      </c>
      <c r="N226" s="47">
        <f t="shared" si="28"/>
        <v>5.6017397049108134E-3</v>
      </c>
      <c r="O226" s="47">
        <f t="shared" si="29"/>
        <v>6.0284078396828896E-3</v>
      </c>
      <c r="P226" s="47">
        <f t="shared" si="30"/>
        <v>0.20294263378110547</v>
      </c>
      <c r="Q226" s="47">
        <f t="shared" si="31"/>
        <v>1</v>
      </c>
    </row>
    <row r="227" spans="1:17" x14ac:dyDescent="0.35">
      <c r="A227" s="82">
        <v>224</v>
      </c>
      <c r="B227" s="83" t="str">
        <f>_xlfn.XLOOKUP(A227,'TAZs by City - CCAG Model'!$A:$A,'TAZs by City - CCAG Model'!$B:$B,"Unknown")</f>
        <v>Los Gatos</v>
      </c>
      <c r="C227" s="82">
        <f>_xlfn.XLOOKUP(A227,'TAZs by City - CCAG Model'!$A:$A,'TAZs by City - CCAG Model'!$C:$C,999)</f>
        <v>3</v>
      </c>
      <c r="D227" s="82" t="str">
        <f t="shared" si="24"/>
        <v>NO</v>
      </c>
      <c r="E227" s="27">
        <v>277.88</v>
      </c>
      <c r="F227" s="27">
        <v>144.22</v>
      </c>
      <c r="G227" s="27">
        <v>2.3199999999999998</v>
      </c>
      <c r="H227" s="27">
        <v>2.2000000000000002</v>
      </c>
      <c r="I227" s="27">
        <v>28.98</v>
      </c>
      <c r="J227" s="27">
        <v>484.58</v>
      </c>
      <c r="K227" s="47">
        <f t="shared" si="25"/>
        <v>0.57344504519377604</v>
      </c>
      <c r="L227" s="47">
        <f t="shared" si="26"/>
        <v>0.29761855627553757</v>
      </c>
      <c r="M227" s="84">
        <f t="shared" si="27"/>
        <v>0.87106360146931372</v>
      </c>
      <c r="N227" s="47">
        <f t="shared" si="28"/>
        <v>4.7876511618308634E-3</v>
      </c>
      <c r="O227" s="47">
        <f t="shared" si="29"/>
        <v>4.5400140327706475E-3</v>
      </c>
      <c r="P227" s="47">
        <f t="shared" si="30"/>
        <v>5.9804366668042432E-2</v>
      </c>
      <c r="Q227" s="47">
        <f t="shared" si="31"/>
        <v>1</v>
      </c>
    </row>
    <row r="228" spans="1:17" x14ac:dyDescent="0.35">
      <c r="A228" s="82">
        <v>225</v>
      </c>
      <c r="B228" s="83" t="str">
        <f>_xlfn.XLOOKUP(A228,'TAZs by City - CCAG Model'!$A:$A,'TAZs by City - CCAG Model'!$B:$B,"Unknown")</f>
        <v>Los Gatos</v>
      </c>
      <c r="C228" s="82">
        <f>_xlfn.XLOOKUP(A228,'TAZs by City - CCAG Model'!$A:$A,'TAZs by City - CCAG Model'!$C:$C,999)</f>
        <v>3</v>
      </c>
      <c r="D228" s="82" t="str">
        <f t="shared" si="24"/>
        <v>NO</v>
      </c>
      <c r="E228" s="27">
        <v>1533.28</v>
      </c>
      <c r="F228" s="27">
        <v>458.44</v>
      </c>
      <c r="G228" s="27">
        <v>18.02</v>
      </c>
      <c r="H228" s="27">
        <v>14.8</v>
      </c>
      <c r="I228" s="27">
        <v>471.46</v>
      </c>
      <c r="J228" s="27">
        <v>2558.48</v>
      </c>
      <c r="K228" s="47">
        <f t="shared" si="25"/>
        <v>0.59929333041493382</v>
      </c>
      <c r="L228" s="47">
        <f t="shared" si="26"/>
        <v>0.17918451580625996</v>
      </c>
      <c r="M228" s="84">
        <f t="shared" si="27"/>
        <v>0.77847784622119387</v>
      </c>
      <c r="N228" s="47">
        <f t="shared" si="28"/>
        <v>7.0432444263781617E-3</v>
      </c>
      <c r="O228" s="47">
        <f t="shared" si="29"/>
        <v>5.7846846565148061E-3</v>
      </c>
      <c r="P228" s="47">
        <f t="shared" si="30"/>
        <v>0.18427347487570744</v>
      </c>
      <c r="Q228" s="47">
        <f t="shared" si="31"/>
        <v>1</v>
      </c>
    </row>
    <row r="229" spans="1:17" x14ac:dyDescent="0.35">
      <c r="A229" s="82">
        <v>226</v>
      </c>
      <c r="B229" s="83" t="str">
        <f>_xlfn.XLOOKUP(A229,'TAZs by City - CCAG Model'!$A:$A,'TAZs by City - CCAG Model'!$B:$B,"Unknown")</f>
        <v>Los Gatos</v>
      </c>
      <c r="C229" s="82">
        <f>_xlfn.XLOOKUP(A229,'TAZs by City - CCAG Model'!$A:$A,'TAZs by City - CCAG Model'!$C:$C,999)</f>
        <v>3</v>
      </c>
      <c r="D229" s="82" t="str">
        <f t="shared" si="24"/>
        <v>NO</v>
      </c>
      <c r="E229" s="27">
        <v>5793.44</v>
      </c>
      <c r="F229" s="27">
        <v>3789</v>
      </c>
      <c r="G229" s="27">
        <v>62.36</v>
      </c>
      <c r="H229" s="27">
        <v>94.1</v>
      </c>
      <c r="I229" s="27">
        <v>438.4</v>
      </c>
      <c r="J229" s="27">
        <v>10276.84</v>
      </c>
      <c r="K229" s="47">
        <f t="shared" si="25"/>
        <v>0.56373749129109718</v>
      </c>
      <c r="L229" s="47">
        <f t="shared" si="26"/>
        <v>0.36869310021368434</v>
      </c>
      <c r="M229" s="84">
        <f t="shared" si="27"/>
        <v>0.93243059150478147</v>
      </c>
      <c r="N229" s="47">
        <f t="shared" si="28"/>
        <v>6.0680131246569954E-3</v>
      </c>
      <c r="O229" s="47">
        <f t="shared" si="29"/>
        <v>9.1565111454493791E-3</v>
      </c>
      <c r="P229" s="47">
        <f t="shared" si="30"/>
        <v>4.2659027483156295E-2</v>
      </c>
      <c r="Q229" s="47">
        <f t="shared" si="31"/>
        <v>1</v>
      </c>
    </row>
    <row r="230" spans="1:17" x14ac:dyDescent="0.35">
      <c r="A230" s="82">
        <v>227</v>
      </c>
      <c r="B230" s="83" t="str">
        <f>_xlfn.XLOOKUP(A230,'TAZs by City - CCAG Model'!$A:$A,'TAZs by City - CCAG Model'!$B:$B,"Unknown")</f>
        <v>Los Gatos</v>
      </c>
      <c r="C230" s="82">
        <f>_xlfn.XLOOKUP(A230,'TAZs by City - CCAG Model'!$A:$A,'TAZs by City - CCAG Model'!$C:$C,999)</f>
        <v>3</v>
      </c>
      <c r="D230" s="82" t="str">
        <f t="shared" si="24"/>
        <v>NO</v>
      </c>
      <c r="E230" s="27">
        <v>15310.8</v>
      </c>
      <c r="F230" s="27">
        <v>7604.56</v>
      </c>
      <c r="G230" s="27">
        <v>166.32</v>
      </c>
      <c r="H230" s="27">
        <v>230.6</v>
      </c>
      <c r="I230" s="27">
        <v>1613.16</v>
      </c>
      <c r="J230" s="27">
        <v>25125.3</v>
      </c>
      <c r="K230" s="47">
        <f t="shared" si="25"/>
        <v>0.60937779847404805</v>
      </c>
      <c r="L230" s="47">
        <f t="shared" si="26"/>
        <v>0.30266544081065699</v>
      </c>
      <c r="M230" s="84">
        <f t="shared" si="27"/>
        <v>0.9120432392847051</v>
      </c>
      <c r="N230" s="47">
        <f t="shared" si="28"/>
        <v>6.6196224522692268E-3</v>
      </c>
      <c r="O230" s="47">
        <f t="shared" si="29"/>
        <v>9.1779998646782327E-3</v>
      </c>
      <c r="P230" s="47">
        <f t="shared" si="30"/>
        <v>6.4204606512161047E-2</v>
      </c>
      <c r="Q230" s="47">
        <f t="shared" si="31"/>
        <v>1</v>
      </c>
    </row>
    <row r="231" spans="1:17" x14ac:dyDescent="0.35">
      <c r="A231" s="82">
        <v>228</v>
      </c>
      <c r="B231" s="83" t="str">
        <f>_xlfn.XLOOKUP(A231,'TAZs by City - CCAG Model'!$A:$A,'TAZs by City - CCAG Model'!$B:$B,"Unknown")</f>
        <v>Los Gatos</v>
      </c>
      <c r="C231" s="82">
        <f>_xlfn.XLOOKUP(A231,'TAZs by City - CCAG Model'!$A:$A,'TAZs by City - CCAG Model'!$C:$C,999)</f>
        <v>3</v>
      </c>
      <c r="D231" s="82" t="str">
        <f t="shared" si="24"/>
        <v>NO</v>
      </c>
      <c r="E231" s="27">
        <v>3022.64</v>
      </c>
      <c r="F231" s="27">
        <v>1202.44</v>
      </c>
      <c r="G231" s="27">
        <v>28.44</v>
      </c>
      <c r="H231" s="27">
        <v>36.200000000000003</v>
      </c>
      <c r="I231" s="27">
        <v>244.24</v>
      </c>
      <c r="J231" s="27">
        <v>4605.22</v>
      </c>
      <c r="K231" s="47">
        <f t="shared" si="25"/>
        <v>0.65635083665926919</v>
      </c>
      <c r="L231" s="47">
        <f t="shared" si="26"/>
        <v>0.26110370405756944</v>
      </c>
      <c r="M231" s="84">
        <f t="shared" si="27"/>
        <v>0.91745454071683863</v>
      </c>
      <c r="N231" s="47">
        <f t="shared" si="28"/>
        <v>6.1756007313439965E-3</v>
      </c>
      <c r="O231" s="47">
        <f t="shared" si="29"/>
        <v>7.8606450940454532E-3</v>
      </c>
      <c r="P231" s="47">
        <f t="shared" si="30"/>
        <v>5.3035468446675726E-2</v>
      </c>
      <c r="Q231" s="47">
        <f t="shared" si="31"/>
        <v>1</v>
      </c>
    </row>
    <row r="232" spans="1:17" x14ac:dyDescent="0.35">
      <c r="A232" s="82">
        <v>229</v>
      </c>
      <c r="B232" s="83" t="str">
        <f>_xlfn.XLOOKUP(A232,'TAZs by City - CCAG Model'!$A:$A,'TAZs by City - CCAG Model'!$B:$B,"Unknown")</f>
        <v>Los Gatos</v>
      </c>
      <c r="C232" s="82">
        <f>_xlfn.XLOOKUP(A232,'TAZs by City - CCAG Model'!$A:$A,'TAZs by City - CCAG Model'!$C:$C,999)</f>
        <v>3</v>
      </c>
      <c r="D232" s="82" t="str">
        <f t="shared" si="24"/>
        <v>NO</v>
      </c>
      <c r="E232" s="27">
        <v>4709.8999999999996</v>
      </c>
      <c r="F232" s="27">
        <v>2939.56</v>
      </c>
      <c r="G232" s="27">
        <v>49.5</v>
      </c>
      <c r="H232" s="27">
        <v>82.22</v>
      </c>
      <c r="I232" s="27">
        <v>402.38</v>
      </c>
      <c r="J232" s="27">
        <v>8274.08</v>
      </c>
      <c r="K232" s="47">
        <f t="shared" si="25"/>
        <v>0.56923549204261981</v>
      </c>
      <c r="L232" s="47">
        <f t="shared" si="26"/>
        <v>0.35527333552491636</v>
      </c>
      <c r="M232" s="84">
        <f t="shared" si="27"/>
        <v>0.92450882756753616</v>
      </c>
      <c r="N232" s="47">
        <f t="shared" si="28"/>
        <v>5.9825382399009922E-3</v>
      </c>
      <c r="O232" s="47">
        <f t="shared" si="29"/>
        <v>9.9370564461547378E-3</v>
      </c>
      <c r="P232" s="47">
        <f t="shared" si="30"/>
        <v>4.8631388625684065E-2</v>
      </c>
      <c r="Q232" s="47">
        <f t="shared" si="31"/>
        <v>1</v>
      </c>
    </row>
    <row r="233" spans="1:17" x14ac:dyDescent="0.35">
      <c r="A233" s="82">
        <v>230</v>
      </c>
      <c r="B233" s="83" t="str">
        <f>_xlfn.XLOOKUP(A233,'TAZs by City - CCAG Model'!$A:$A,'TAZs by City - CCAG Model'!$B:$B,"Unknown")</f>
        <v>Los Gatos</v>
      </c>
      <c r="C233" s="82">
        <f>_xlfn.XLOOKUP(A233,'TAZs by City - CCAG Model'!$A:$A,'TAZs by City - CCAG Model'!$C:$C,999)</f>
        <v>3</v>
      </c>
      <c r="D233" s="82" t="str">
        <f t="shared" si="24"/>
        <v>NO</v>
      </c>
      <c r="E233" s="27">
        <v>9157.94</v>
      </c>
      <c r="F233" s="27">
        <v>5336.86</v>
      </c>
      <c r="G233" s="27">
        <v>90.64</v>
      </c>
      <c r="H233" s="27">
        <v>157.5</v>
      </c>
      <c r="I233" s="27">
        <v>549.16</v>
      </c>
      <c r="J233" s="27">
        <v>15420.58</v>
      </c>
      <c r="K233" s="47">
        <f t="shared" si="25"/>
        <v>0.59387779188590839</v>
      </c>
      <c r="L233" s="47">
        <f t="shared" si="26"/>
        <v>0.34608685276429291</v>
      </c>
      <c r="M233" s="84">
        <f t="shared" si="27"/>
        <v>0.93996464465020113</v>
      </c>
      <c r="N233" s="47">
        <f t="shared" si="28"/>
        <v>5.8778593282483539E-3</v>
      </c>
      <c r="O233" s="47">
        <f t="shared" si="29"/>
        <v>1.0213623612082036E-2</v>
      </c>
      <c r="P233" s="47">
        <f t="shared" si="30"/>
        <v>3.5612149478164892E-2</v>
      </c>
      <c r="Q233" s="47">
        <f t="shared" si="31"/>
        <v>1</v>
      </c>
    </row>
    <row r="234" spans="1:17" x14ac:dyDescent="0.35">
      <c r="A234" s="82">
        <v>231</v>
      </c>
      <c r="B234" s="83" t="str">
        <f>_xlfn.XLOOKUP(A234,'TAZs by City - CCAG Model'!$A:$A,'TAZs by City - CCAG Model'!$B:$B,"Unknown")</f>
        <v>Los Gatos</v>
      </c>
      <c r="C234" s="82">
        <f>_xlfn.XLOOKUP(A234,'TAZs by City - CCAG Model'!$A:$A,'TAZs by City - CCAG Model'!$C:$C,999)</f>
        <v>3</v>
      </c>
      <c r="D234" s="82" t="str">
        <f t="shared" si="24"/>
        <v>NO</v>
      </c>
      <c r="E234" s="27">
        <v>5671.56</v>
      </c>
      <c r="F234" s="27">
        <v>2158.3200000000002</v>
      </c>
      <c r="G234" s="27">
        <v>55.74</v>
      </c>
      <c r="H234" s="27">
        <v>81.12</v>
      </c>
      <c r="I234" s="27">
        <v>787.94</v>
      </c>
      <c r="J234" s="27">
        <v>8851.2199999999993</v>
      </c>
      <c r="K234" s="47">
        <f t="shared" si="25"/>
        <v>0.64076590571695213</v>
      </c>
      <c r="L234" s="47">
        <f t="shared" si="26"/>
        <v>0.24384435140014601</v>
      </c>
      <c r="M234" s="84">
        <f t="shared" si="27"/>
        <v>0.88461025711709818</v>
      </c>
      <c r="N234" s="47">
        <f t="shared" si="28"/>
        <v>6.2974369634920388E-3</v>
      </c>
      <c r="O234" s="47">
        <f t="shared" si="29"/>
        <v>9.1648382934781877E-3</v>
      </c>
      <c r="P234" s="47">
        <f t="shared" si="30"/>
        <v>8.9020496609506949E-2</v>
      </c>
      <c r="Q234" s="47">
        <f t="shared" si="31"/>
        <v>1</v>
      </c>
    </row>
    <row r="235" spans="1:17" x14ac:dyDescent="0.35">
      <c r="A235" s="82">
        <v>232</v>
      </c>
      <c r="B235" s="83" t="str">
        <f>_xlfn.XLOOKUP(A235,'TAZs by City - CCAG Model'!$A:$A,'TAZs by City - CCAG Model'!$B:$B,"Unknown")</f>
        <v>Los Gatos</v>
      </c>
      <c r="C235" s="82">
        <f>_xlfn.XLOOKUP(A235,'TAZs by City - CCAG Model'!$A:$A,'TAZs by City - CCAG Model'!$C:$C,999)</f>
        <v>3</v>
      </c>
      <c r="D235" s="82" t="str">
        <f t="shared" si="24"/>
        <v>NO</v>
      </c>
      <c r="E235" s="27">
        <v>5681.5</v>
      </c>
      <c r="F235" s="27">
        <v>2932.22</v>
      </c>
      <c r="G235" s="27">
        <v>76.400000000000006</v>
      </c>
      <c r="H235" s="27">
        <v>95.3</v>
      </c>
      <c r="I235" s="27">
        <v>1170.1400000000001</v>
      </c>
      <c r="J235" s="27">
        <v>10074.5</v>
      </c>
      <c r="K235" s="47">
        <f t="shared" si="25"/>
        <v>0.56394858305623108</v>
      </c>
      <c r="L235" s="47">
        <f t="shared" si="26"/>
        <v>0.29105365030522606</v>
      </c>
      <c r="M235" s="84">
        <f t="shared" si="27"/>
        <v>0.85500223336145709</v>
      </c>
      <c r="N235" s="47">
        <f t="shared" si="28"/>
        <v>7.5835029033698952E-3</v>
      </c>
      <c r="O235" s="47">
        <f t="shared" si="29"/>
        <v>9.4595265273710854E-3</v>
      </c>
      <c r="P235" s="47">
        <f t="shared" si="30"/>
        <v>0.11614869224279122</v>
      </c>
      <c r="Q235" s="47">
        <f t="shared" si="31"/>
        <v>1</v>
      </c>
    </row>
    <row r="236" spans="1:17" x14ac:dyDescent="0.35">
      <c r="A236" s="82">
        <v>233</v>
      </c>
      <c r="B236" s="83" t="str">
        <f>_xlfn.XLOOKUP(A236,'TAZs by City - CCAG Model'!$A:$A,'TAZs by City - CCAG Model'!$B:$B,"Unknown")</f>
        <v>Los Gatos</v>
      </c>
      <c r="C236" s="82">
        <f>_xlfn.XLOOKUP(A236,'TAZs by City - CCAG Model'!$A:$A,'TAZs by City - CCAG Model'!$C:$C,999)</f>
        <v>3</v>
      </c>
      <c r="D236" s="82" t="str">
        <f t="shared" si="24"/>
        <v>NO</v>
      </c>
      <c r="E236" s="27">
        <v>6041</v>
      </c>
      <c r="F236" s="27">
        <v>2772.72</v>
      </c>
      <c r="G236" s="27">
        <v>79.84</v>
      </c>
      <c r="H236" s="27">
        <v>110.14</v>
      </c>
      <c r="I236" s="27">
        <v>808.96</v>
      </c>
      <c r="J236" s="27">
        <v>9928.82</v>
      </c>
      <c r="K236" s="47">
        <f t="shared" si="25"/>
        <v>0.60843081050920456</v>
      </c>
      <c r="L236" s="47">
        <f t="shared" si="26"/>
        <v>0.27925977105033628</v>
      </c>
      <c r="M236" s="84">
        <f t="shared" si="27"/>
        <v>0.88769058155954073</v>
      </c>
      <c r="N236" s="47">
        <f t="shared" si="28"/>
        <v>8.0412375287294974E-3</v>
      </c>
      <c r="O236" s="47">
        <f t="shared" si="29"/>
        <v>1.109295968705244E-2</v>
      </c>
      <c r="P236" s="47">
        <f t="shared" si="30"/>
        <v>8.1475945782076828E-2</v>
      </c>
      <c r="Q236" s="47">
        <f t="shared" si="31"/>
        <v>1</v>
      </c>
    </row>
    <row r="237" spans="1:17" x14ac:dyDescent="0.35">
      <c r="A237" s="82">
        <v>234</v>
      </c>
      <c r="B237" s="83" t="str">
        <f>_xlfn.XLOOKUP(A237,'TAZs by City - CCAG Model'!$A:$A,'TAZs by City - CCAG Model'!$B:$B,"Unknown")</f>
        <v>Los Gatos</v>
      </c>
      <c r="C237" s="82">
        <f>_xlfn.XLOOKUP(A237,'TAZs by City - CCAG Model'!$A:$A,'TAZs by City - CCAG Model'!$C:$C,999)</f>
        <v>3</v>
      </c>
      <c r="D237" s="82" t="str">
        <f t="shared" si="24"/>
        <v>NO</v>
      </c>
      <c r="E237" s="27">
        <v>5010.5600000000004</v>
      </c>
      <c r="F237" s="27">
        <v>2792.96</v>
      </c>
      <c r="G237" s="27">
        <v>63.26</v>
      </c>
      <c r="H237" s="27">
        <v>96.62</v>
      </c>
      <c r="I237" s="27">
        <v>957.38</v>
      </c>
      <c r="J237" s="27">
        <v>9023.2800000000007</v>
      </c>
      <c r="K237" s="47">
        <f t="shared" si="25"/>
        <v>0.55529253220558383</v>
      </c>
      <c r="L237" s="47">
        <f t="shared" si="26"/>
        <v>0.30952824250161803</v>
      </c>
      <c r="M237" s="84">
        <f t="shared" si="27"/>
        <v>0.86482077470720176</v>
      </c>
      <c r="N237" s="47">
        <f t="shared" si="28"/>
        <v>7.010754404163452E-3</v>
      </c>
      <c r="O237" s="47">
        <f t="shared" si="29"/>
        <v>1.070785789646337E-2</v>
      </c>
      <c r="P237" s="47">
        <f t="shared" si="30"/>
        <v>0.10610110735785656</v>
      </c>
      <c r="Q237" s="47">
        <f t="shared" si="31"/>
        <v>1</v>
      </c>
    </row>
    <row r="238" spans="1:17" x14ac:dyDescent="0.35">
      <c r="A238" s="82">
        <v>235</v>
      </c>
      <c r="B238" s="83" t="str">
        <f>_xlfn.XLOOKUP(A238,'TAZs by City - CCAG Model'!$A:$A,'TAZs by City - CCAG Model'!$B:$B,"Unknown")</f>
        <v>Los Gatos</v>
      </c>
      <c r="C238" s="82">
        <f>_xlfn.XLOOKUP(A238,'TAZs by City - CCAG Model'!$A:$A,'TAZs by City - CCAG Model'!$C:$C,999)</f>
        <v>3</v>
      </c>
      <c r="D238" s="82" t="str">
        <f t="shared" si="24"/>
        <v>NO</v>
      </c>
      <c r="E238" s="27">
        <v>7345.6</v>
      </c>
      <c r="F238" s="27">
        <v>3279.3</v>
      </c>
      <c r="G238" s="27">
        <v>92.32</v>
      </c>
      <c r="H238" s="27">
        <v>110.42</v>
      </c>
      <c r="I238" s="27">
        <v>647.12</v>
      </c>
      <c r="J238" s="27">
        <v>11606.1</v>
      </c>
      <c r="K238" s="47">
        <f t="shared" si="25"/>
        <v>0.63290855670724877</v>
      </c>
      <c r="L238" s="47">
        <f t="shared" si="26"/>
        <v>0.28254969369555666</v>
      </c>
      <c r="M238" s="84">
        <f t="shared" si="27"/>
        <v>0.91545825040280548</v>
      </c>
      <c r="N238" s="47">
        <f t="shared" si="28"/>
        <v>7.9544377525611523E-3</v>
      </c>
      <c r="O238" s="47">
        <f t="shared" si="29"/>
        <v>9.5139624852448278E-3</v>
      </c>
      <c r="P238" s="47">
        <f t="shared" si="30"/>
        <v>5.5756886464876226E-2</v>
      </c>
      <c r="Q238" s="47">
        <f t="shared" si="31"/>
        <v>1</v>
      </c>
    </row>
    <row r="239" spans="1:17" x14ac:dyDescent="0.35">
      <c r="A239" s="82">
        <v>236</v>
      </c>
      <c r="B239" s="83" t="str">
        <f>_xlfn.XLOOKUP(A239,'TAZs by City - CCAG Model'!$A:$A,'TAZs by City - CCAG Model'!$B:$B,"Unknown")</f>
        <v>Los Gatos</v>
      </c>
      <c r="C239" s="82">
        <f>_xlfn.XLOOKUP(A239,'TAZs by City - CCAG Model'!$A:$A,'TAZs by City - CCAG Model'!$C:$C,999)</f>
        <v>3</v>
      </c>
      <c r="D239" s="82" t="str">
        <f t="shared" si="24"/>
        <v>NO</v>
      </c>
      <c r="E239" s="27">
        <v>3562.74</v>
      </c>
      <c r="F239" s="27">
        <v>1890.1</v>
      </c>
      <c r="G239" s="27">
        <v>65.459999999999994</v>
      </c>
      <c r="H239" s="27">
        <v>69.44</v>
      </c>
      <c r="I239" s="27">
        <v>360.24</v>
      </c>
      <c r="J239" s="27">
        <v>6052.88</v>
      </c>
      <c r="K239" s="47">
        <f t="shared" si="25"/>
        <v>0.58860245040377468</v>
      </c>
      <c r="L239" s="47">
        <f t="shared" si="26"/>
        <v>0.3122645748800571</v>
      </c>
      <c r="M239" s="84">
        <f t="shared" si="27"/>
        <v>0.90086702528383189</v>
      </c>
      <c r="N239" s="47">
        <f t="shared" si="28"/>
        <v>1.0814686562429784E-2</v>
      </c>
      <c r="O239" s="47">
        <f t="shared" si="29"/>
        <v>1.1472224792165052E-2</v>
      </c>
      <c r="P239" s="47">
        <f t="shared" si="30"/>
        <v>5.9515470321565934E-2</v>
      </c>
      <c r="Q239" s="47">
        <f t="shared" si="31"/>
        <v>1</v>
      </c>
    </row>
    <row r="240" spans="1:17" x14ac:dyDescent="0.35">
      <c r="A240" s="82">
        <v>237</v>
      </c>
      <c r="B240" s="83" t="str">
        <f>_xlfn.XLOOKUP(A240,'TAZs by City - CCAG Model'!$A:$A,'TAZs by City - CCAG Model'!$B:$B,"Unknown")</f>
        <v>Los Gatos</v>
      </c>
      <c r="C240" s="82">
        <f>_xlfn.XLOOKUP(A240,'TAZs by City - CCAG Model'!$A:$A,'TAZs by City - CCAG Model'!$C:$C,999)</f>
        <v>3</v>
      </c>
      <c r="D240" s="82" t="str">
        <f t="shared" si="24"/>
        <v>NO</v>
      </c>
      <c r="E240" s="27">
        <v>4693.2</v>
      </c>
      <c r="F240" s="27">
        <v>2537.1799999999998</v>
      </c>
      <c r="G240" s="27">
        <v>45.68</v>
      </c>
      <c r="H240" s="27">
        <v>63.9</v>
      </c>
      <c r="I240" s="27">
        <v>440.22</v>
      </c>
      <c r="J240" s="27">
        <v>7864.56</v>
      </c>
      <c r="K240" s="47">
        <f t="shared" si="25"/>
        <v>0.59675302877719794</v>
      </c>
      <c r="L240" s="47">
        <f t="shared" si="26"/>
        <v>0.32260927502619341</v>
      </c>
      <c r="M240" s="84">
        <f t="shared" si="27"/>
        <v>0.91936230380339123</v>
      </c>
      <c r="N240" s="47">
        <f t="shared" si="28"/>
        <v>5.8083351134710645E-3</v>
      </c>
      <c r="O240" s="47">
        <f t="shared" si="29"/>
        <v>8.125057218712808E-3</v>
      </c>
      <c r="P240" s="47">
        <f t="shared" si="30"/>
        <v>5.5975159449479693E-2</v>
      </c>
      <c r="Q240" s="47">
        <f t="shared" si="31"/>
        <v>1</v>
      </c>
    </row>
    <row r="241" spans="1:17" x14ac:dyDescent="0.35">
      <c r="A241" s="82">
        <v>238</v>
      </c>
      <c r="B241" s="83" t="str">
        <f>_xlfn.XLOOKUP(A241,'TAZs by City - CCAG Model'!$A:$A,'TAZs by City - CCAG Model'!$B:$B,"Unknown")</f>
        <v>Los Gatos</v>
      </c>
      <c r="C241" s="82">
        <f>_xlfn.XLOOKUP(A241,'TAZs by City - CCAG Model'!$A:$A,'TAZs by City - CCAG Model'!$C:$C,999)</f>
        <v>3</v>
      </c>
      <c r="D241" s="82" t="str">
        <f t="shared" si="24"/>
        <v>NO</v>
      </c>
      <c r="E241" s="27">
        <v>5123.5</v>
      </c>
      <c r="F241" s="27">
        <v>2814.92</v>
      </c>
      <c r="G241" s="27">
        <v>50.24</v>
      </c>
      <c r="H241" s="27">
        <v>74.12</v>
      </c>
      <c r="I241" s="27">
        <v>410.36</v>
      </c>
      <c r="J241" s="27">
        <v>8562.36</v>
      </c>
      <c r="K241" s="47">
        <f t="shared" si="25"/>
        <v>0.5983747471491504</v>
      </c>
      <c r="L241" s="47">
        <f t="shared" si="26"/>
        <v>0.32875515628868673</v>
      </c>
      <c r="M241" s="84">
        <f t="shared" si="27"/>
        <v>0.92712990343783719</v>
      </c>
      <c r="N241" s="47">
        <f t="shared" si="28"/>
        <v>5.8675411919143789E-3</v>
      </c>
      <c r="O241" s="47">
        <f t="shared" si="29"/>
        <v>8.6564919017654007E-3</v>
      </c>
      <c r="P241" s="47">
        <f t="shared" si="30"/>
        <v>4.7926039082682809E-2</v>
      </c>
      <c r="Q241" s="47">
        <f t="shared" si="31"/>
        <v>1</v>
      </c>
    </row>
    <row r="242" spans="1:17" x14ac:dyDescent="0.35">
      <c r="A242" s="82">
        <v>239</v>
      </c>
      <c r="B242" s="83" t="str">
        <f>_xlfn.XLOOKUP(A242,'TAZs by City - CCAG Model'!$A:$A,'TAZs by City - CCAG Model'!$B:$B,"Unknown")</f>
        <v>Los Gatos</v>
      </c>
      <c r="C242" s="82">
        <f>_xlfn.XLOOKUP(A242,'TAZs by City - CCAG Model'!$A:$A,'TAZs by City - CCAG Model'!$C:$C,999)</f>
        <v>3</v>
      </c>
      <c r="D242" s="82" t="str">
        <f t="shared" si="24"/>
        <v>NO</v>
      </c>
      <c r="E242" s="27">
        <v>6403.16</v>
      </c>
      <c r="F242" s="27">
        <v>4006.16</v>
      </c>
      <c r="G242" s="27">
        <v>42.8</v>
      </c>
      <c r="H242" s="27">
        <v>104.88</v>
      </c>
      <c r="I242" s="27">
        <v>588.98</v>
      </c>
      <c r="J242" s="27">
        <v>11227.54</v>
      </c>
      <c r="K242" s="47">
        <f t="shared" si="25"/>
        <v>0.5703083667481923</v>
      </c>
      <c r="L242" s="47">
        <f t="shared" si="26"/>
        <v>0.35681547338063363</v>
      </c>
      <c r="M242" s="84">
        <f t="shared" si="27"/>
        <v>0.92712384012882598</v>
      </c>
      <c r="N242" s="47">
        <f t="shared" si="28"/>
        <v>3.8120550004720529E-3</v>
      </c>
      <c r="O242" s="47">
        <f t="shared" si="29"/>
        <v>9.3413160852689001E-3</v>
      </c>
      <c r="P242" s="47">
        <f t="shared" si="30"/>
        <v>5.2458508275187617E-2</v>
      </c>
      <c r="Q242" s="47">
        <f t="shared" si="31"/>
        <v>1</v>
      </c>
    </row>
    <row r="243" spans="1:17" x14ac:dyDescent="0.35">
      <c r="A243" s="82">
        <v>240</v>
      </c>
      <c r="B243" s="83" t="str">
        <f>_xlfn.XLOOKUP(A243,'TAZs by City - CCAG Model'!$A:$A,'TAZs by City - CCAG Model'!$B:$B,"Unknown")</f>
        <v>Los Gatos</v>
      </c>
      <c r="C243" s="82">
        <f>_xlfn.XLOOKUP(A243,'TAZs by City - CCAG Model'!$A:$A,'TAZs by City - CCAG Model'!$C:$C,999)</f>
        <v>3</v>
      </c>
      <c r="D243" s="82" t="str">
        <f t="shared" si="24"/>
        <v>NO</v>
      </c>
      <c r="E243" s="27">
        <v>6495.88</v>
      </c>
      <c r="F243" s="27">
        <v>3914.8</v>
      </c>
      <c r="G243" s="27">
        <v>6.5</v>
      </c>
      <c r="H243" s="27">
        <v>97.2</v>
      </c>
      <c r="I243" s="27">
        <v>641.36</v>
      </c>
      <c r="J243" s="27">
        <v>11189.92</v>
      </c>
      <c r="K243" s="47">
        <f t="shared" si="25"/>
        <v>0.58051174628594304</v>
      </c>
      <c r="L243" s="47">
        <f t="shared" si="26"/>
        <v>0.34985057980754108</v>
      </c>
      <c r="M243" s="84">
        <f t="shared" si="27"/>
        <v>0.93036232609348413</v>
      </c>
      <c r="N243" s="47">
        <f t="shared" si="28"/>
        <v>5.8087993479846148E-4</v>
      </c>
      <c r="O243" s="47">
        <f t="shared" si="29"/>
        <v>8.6863891788323787E-3</v>
      </c>
      <c r="P243" s="47">
        <f t="shared" si="30"/>
        <v>5.7315869997283268E-2</v>
      </c>
      <c r="Q243" s="47">
        <f t="shared" si="31"/>
        <v>1</v>
      </c>
    </row>
    <row r="244" spans="1:17" x14ac:dyDescent="0.35">
      <c r="A244" s="82">
        <v>241</v>
      </c>
      <c r="B244" s="83" t="str">
        <f>_xlfn.XLOOKUP(A244,'TAZs by City - CCAG Model'!$A:$A,'TAZs by City - CCAG Model'!$B:$B,"Unknown")</f>
        <v>Los Gatos</v>
      </c>
      <c r="C244" s="82">
        <f>_xlfn.XLOOKUP(A244,'TAZs by City - CCAG Model'!$A:$A,'TAZs by City - CCAG Model'!$C:$C,999)</f>
        <v>3</v>
      </c>
      <c r="D244" s="82" t="str">
        <f t="shared" si="24"/>
        <v>NO</v>
      </c>
      <c r="E244" s="27">
        <v>2487.34</v>
      </c>
      <c r="F244" s="27">
        <v>2083.2399999999998</v>
      </c>
      <c r="G244" s="27">
        <v>6.66</v>
      </c>
      <c r="H244" s="27">
        <v>40.6</v>
      </c>
      <c r="I244" s="27">
        <v>293.2</v>
      </c>
      <c r="J244" s="27">
        <v>4933.66</v>
      </c>
      <c r="K244" s="47">
        <f t="shared" si="25"/>
        <v>0.50415715716121501</v>
      </c>
      <c r="L244" s="47">
        <f t="shared" si="26"/>
        <v>0.42225041855336604</v>
      </c>
      <c r="M244" s="84">
        <f t="shared" si="27"/>
        <v>0.9264075757145811</v>
      </c>
      <c r="N244" s="47">
        <f t="shared" si="28"/>
        <v>1.3499106140269091E-3</v>
      </c>
      <c r="O244" s="47">
        <f t="shared" si="29"/>
        <v>8.2291848242481251E-3</v>
      </c>
      <c r="P244" s="47">
        <f t="shared" si="30"/>
        <v>5.9428497302205667E-2</v>
      </c>
      <c r="Q244" s="47">
        <f t="shared" si="31"/>
        <v>1</v>
      </c>
    </row>
    <row r="245" spans="1:17" x14ac:dyDescent="0.35">
      <c r="A245" s="82">
        <v>242</v>
      </c>
      <c r="B245" s="83" t="str">
        <f>_xlfn.XLOOKUP(A245,'TAZs by City - CCAG Model'!$A:$A,'TAZs by City - CCAG Model'!$B:$B,"Unknown")</f>
        <v>Los Gatos</v>
      </c>
      <c r="C245" s="82">
        <f>_xlfn.XLOOKUP(A245,'TAZs by City - CCAG Model'!$A:$A,'TAZs by City - CCAG Model'!$C:$C,999)</f>
        <v>3</v>
      </c>
      <c r="D245" s="82" t="str">
        <f t="shared" si="24"/>
        <v>NO</v>
      </c>
      <c r="E245" s="27">
        <v>1028.46</v>
      </c>
      <c r="F245" s="27">
        <v>876.94</v>
      </c>
      <c r="G245" s="27">
        <v>2.38</v>
      </c>
      <c r="H245" s="27">
        <v>16.32</v>
      </c>
      <c r="I245" s="27">
        <v>90.42</v>
      </c>
      <c r="J245" s="27">
        <v>2033.38</v>
      </c>
      <c r="K245" s="47">
        <f t="shared" si="25"/>
        <v>0.50578839174182888</v>
      </c>
      <c r="L245" s="47">
        <f t="shared" si="26"/>
        <v>0.43127206916562572</v>
      </c>
      <c r="M245" s="84">
        <f t="shared" si="27"/>
        <v>0.93706046090745454</v>
      </c>
      <c r="N245" s="47">
        <f t="shared" si="28"/>
        <v>1.1704649401489144E-3</v>
      </c>
      <c r="O245" s="47">
        <f t="shared" si="29"/>
        <v>8.0260453038782705E-3</v>
      </c>
      <c r="P245" s="47">
        <f t="shared" si="30"/>
        <v>4.4467831885825572E-2</v>
      </c>
      <c r="Q245" s="47">
        <f t="shared" si="31"/>
        <v>1</v>
      </c>
    </row>
    <row r="246" spans="1:17" x14ac:dyDescent="0.35">
      <c r="A246" s="82">
        <v>243</v>
      </c>
      <c r="B246" s="83" t="str">
        <f>_xlfn.XLOOKUP(A246,'TAZs by City - CCAG Model'!$A:$A,'TAZs by City - CCAG Model'!$B:$B,"Unknown")</f>
        <v>Unincorporated</v>
      </c>
      <c r="C246" s="82">
        <f>_xlfn.XLOOKUP(A246,'TAZs by City - CCAG Model'!$A:$A,'TAZs by City - CCAG Model'!$C:$C,999)</f>
        <v>3</v>
      </c>
      <c r="D246" s="82" t="str">
        <f t="shared" si="24"/>
        <v>NO</v>
      </c>
      <c r="E246" s="27">
        <v>11652.02</v>
      </c>
      <c r="F246" s="27">
        <v>7014.82</v>
      </c>
      <c r="G246" s="27">
        <v>124.1</v>
      </c>
      <c r="H246" s="27">
        <v>200.18</v>
      </c>
      <c r="I246" s="27">
        <v>1797.76</v>
      </c>
      <c r="J246" s="27">
        <v>20949.84</v>
      </c>
      <c r="K246" s="47">
        <f t="shared" si="25"/>
        <v>0.55618658662786924</v>
      </c>
      <c r="L246" s="47">
        <f t="shared" si="26"/>
        <v>0.33483883409133436</v>
      </c>
      <c r="M246" s="84">
        <f t="shared" si="27"/>
        <v>0.89102542071920354</v>
      </c>
      <c r="N246" s="47">
        <f t="shared" si="28"/>
        <v>5.9236729254256828E-3</v>
      </c>
      <c r="O246" s="47">
        <f t="shared" si="29"/>
        <v>9.5552042402233146E-3</v>
      </c>
      <c r="P246" s="47">
        <f t="shared" si="30"/>
        <v>8.5812588544828983E-2</v>
      </c>
      <c r="Q246" s="47">
        <f t="shared" si="31"/>
        <v>1</v>
      </c>
    </row>
    <row r="247" spans="1:17" x14ac:dyDescent="0.35">
      <c r="A247" s="82">
        <v>244</v>
      </c>
      <c r="B247" s="83" t="str">
        <f>_xlfn.XLOOKUP(A247,'TAZs by City - CCAG Model'!$A:$A,'TAZs by City - CCAG Model'!$B:$B,"Unknown")</f>
        <v>Los Gatos</v>
      </c>
      <c r="C247" s="82">
        <f>_xlfn.XLOOKUP(A247,'TAZs by City - CCAG Model'!$A:$A,'TAZs by City - CCAG Model'!$C:$C,999)</f>
        <v>3</v>
      </c>
      <c r="D247" s="82" t="str">
        <f t="shared" si="24"/>
        <v>NO</v>
      </c>
      <c r="E247" s="27">
        <v>3495.62</v>
      </c>
      <c r="F247" s="27">
        <v>1252.44</v>
      </c>
      <c r="G247" s="27">
        <v>44.12</v>
      </c>
      <c r="H247" s="27">
        <v>37.9</v>
      </c>
      <c r="I247" s="27">
        <v>320.7</v>
      </c>
      <c r="J247" s="27">
        <v>5236.22</v>
      </c>
      <c r="K247" s="47">
        <f t="shared" si="25"/>
        <v>0.66758463166177118</v>
      </c>
      <c r="L247" s="47">
        <f t="shared" si="26"/>
        <v>0.23918781105453935</v>
      </c>
      <c r="M247" s="84">
        <f t="shared" si="27"/>
        <v>0.90677244271631052</v>
      </c>
      <c r="N247" s="47">
        <f t="shared" si="28"/>
        <v>8.425925572263961E-3</v>
      </c>
      <c r="O247" s="47">
        <f t="shared" si="29"/>
        <v>7.2380457658387147E-3</v>
      </c>
      <c r="P247" s="47">
        <f t="shared" si="30"/>
        <v>6.1246471691410974E-2</v>
      </c>
      <c r="Q247" s="47">
        <f t="shared" si="31"/>
        <v>1</v>
      </c>
    </row>
    <row r="248" spans="1:17" x14ac:dyDescent="0.35">
      <c r="A248" s="82">
        <v>245</v>
      </c>
      <c r="B248" s="83" t="str">
        <f>_xlfn.XLOOKUP(A248,'TAZs by City - CCAG Model'!$A:$A,'TAZs by City - CCAG Model'!$B:$B,"Unknown")</f>
        <v>Los Gatos</v>
      </c>
      <c r="C248" s="82">
        <f>_xlfn.XLOOKUP(A248,'TAZs by City - CCAG Model'!$A:$A,'TAZs by City - CCAG Model'!$C:$C,999)</f>
        <v>3</v>
      </c>
      <c r="D248" s="82" t="str">
        <f t="shared" si="24"/>
        <v>NO</v>
      </c>
      <c r="E248" s="27">
        <v>3578.6</v>
      </c>
      <c r="F248" s="27">
        <v>2419.7600000000002</v>
      </c>
      <c r="G248" s="27">
        <v>79.42</v>
      </c>
      <c r="H248" s="27">
        <v>83.84</v>
      </c>
      <c r="I248" s="27">
        <v>472.12</v>
      </c>
      <c r="J248" s="27">
        <v>6752.54</v>
      </c>
      <c r="K248" s="47">
        <f t="shared" si="25"/>
        <v>0.5299635396458221</v>
      </c>
      <c r="L248" s="47">
        <f t="shared" si="26"/>
        <v>0.35834811789341497</v>
      </c>
      <c r="M248" s="84">
        <f t="shared" si="27"/>
        <v>0.88831165753923713</v>
      </c>
      <c r="N248" s="47">
        <f t="shared" si="28"/>
        <v>1.1761500116993014E-2</v>
      </c>
      <c r="O248" s="47">
        <f t="shared" si="29"/>
        <v>1.2416068620104435E-2</v>
      </c>
      <c r="P248" s="47">
        <f t="shared" si="30"/>
        <v>6.9917394047277023E-2</v>
      </c>
      <c r="Q248" s="47">
        <f t="shared" si="31"/>
        <v>1</v>
      </c>
    </row>
    <row r="249" spans="1:17" x14ac:dyDescent="0.35">
      <c r="A249" s="82">
        <v>246</v>
      </c>
      <c r="B249" s="83" t="str">
        <f>_xlfn.XLOOKUP(A249,'TAZs by City - CCAG Model'!$A:$A,'TAZs by City - CCAG Model'!$B:$B,"Unknown")</f>
        <v>Los Gatos</v>
      </c>
      <c r="C249" s="82">
        <f>_xlfn.XLOOKUP(A249,'TAZs by City - CCAG Model'!$A:$A,'TAZs by City - CCAG Model'!$C:$C,999)</f>
        <v>3</v>
      </c>
      <c r="D249" s="82" t="str">
        <f t="shared" si="24"/>
        <v>NO</v>
      </c>
      <c r="E249" s="27">
        <v>4508.68</v>
      </c>
      <c r="F249" s="27">
        <v>2338.7399999999998</v>
      </c>
      <c r="G249" s="27">
        <v>49.12</v>
      </c>
      <c r="H249" s="27">
        <v>72.36</v>
      </c>
      <c r="I249" s="27">
        <v>690.78</v>
      </c>
      <c r="J249" s="27">
        <v>7752.46</v>
      </c>
      <c r="K249" s="47">
        <f t="shared" si="25"/>
        <v>0.58158055636533434</v>
      </c>
      <c r="L249" s="47">
        <f t="shared" si="26"/>
        <v>0.30167714506105153</v>
      </c>
      <c r="M249" s="84">
        <f t="shared" si="27"/>
        <v>0.88325770142638593</v>
      </c>
      <c r="N249" s="47">
        <f t="shared" si="28"/>
        <v>6.336053330168746E-3</v>
      </c>
      <c r="O249" s="47">
        <f t="shared" si="29"/>
        <v>9.3338114611362065E-3</v>
      </c>
      <c r="P249" s="47">
        <f t="shared" si="30"/>
        <v>8.9104619694909737E-2</v>
      </c>
      <c r="Q249" s="47">
        <f t="shared" si="31"/>
        <v>1</v>
      </c>
    </row>
    <row r="250" spans="1:17" x14ac:dyDescent="0.35">
      <c r="A250" s="82">
        <v>247</v>
      </c>
      <c r="B250" s="83" t="str">
        <f>_xlfn.XLOOKUP(A250,'TAZs by City - CCAG Model'!$A:$A,'TAZs by City - CCAG Model'!$B:$B,"Unknown")</f>
        <v>Unincorporated</v>
      </c>
      <c r="C250" s="82">
        <f>_xlfn.XLOOKUP(A250,'TAZs by City - CCAG Model'!$A:$A,'TAZs by City - CCAG Model'!$C:$C,999)</f>
        <v>3</v>
      </c>
      <c r="D250" s="82" t="str">
        <f t="shared" si="24"/>
        <v>NO</v>
      </c>
      <c r="E250" s="27">
        <v>2356.14</v>
      </c>
      <c r="F250" s="27">
        <v>1492.36</v>
      </c>
      <c r="G250" s="27">
        <v>4.0999999999999996</v>
      </c>
      <c r="H250" s="27">
        <v>27.48</v>
      </c>
      <c r="I250" s="27">
        <v>126.96</v>
      </c>
      <c r="J250" s="27">
        <v>4039.76</v>
      </c>
      <c r="K250" s="47">
        <f t="shared" si="25"/>
        <v>0.58323761807632135</v>
      </c>
      <c r="L250" s="47">
        <f t="shared" si="26"/>
        <v>0.3694179852268451</v>
      </c>
      <c r="M250" s="84">
        <f t="shared" si="27"/>
        <v>0.95265560330316645</v>
      </c>
      <c r="N250" s="47">
        <f t="shared" si="28"/>
        <v>1.0149117769372436E-3</v>
      </c>
      <c r="O250" s="47">
        <f t="shared" si="29"/>
        <v>6.8023843000574293E-3</v>
      </c>
      <c r="P250" s="47">
        <f t="shared" si="30"/>
        <v>3.1427609560964014E-2</v>
      </c>
      <c r="Q250" s="47">
        <f t="shared" si="31"/>
        <v>1</v>
      </c>
    </row>
    <row r="251" spans="1:17" x14ac:dyDescent="0.35">
      <c r="A251" s="82">
        <v>248</v>
      </c>
      <c r="B251" s="83" t="str">
        <f>_xlfn.XLOOKUP(A251,'TAZs by City - CCAG Model'!$A:$A,'TAZs by City - CCAG Model'!$B:$B,"Unknown")</f>
        <v>Unincorporated</v>
      </c>
      <c r="C251" s="82">
        <f>_xlfn.XLOOKUP(A251,'TAZs by City - CCAG Model'!$A:$A,'TAZs by City - CCAG Model'!$C:$C,999)</f>
        <v>3</v>
      </c>
      <c r="D251" s="82" t="str">
        <f t="shared" si="24"/>
        <v>NO</v>
      </c>
      <c r="E251" s="27">
        <v>1846.88</v>
      </c>
      <c r="F251" s="27">
        <v>1399.28</v>
      </c>
      <c r="G251" s="27">
        <v>4.0599999999999996</v>
      </c>
      <c r="H251" s="27">
        <v>20.5</v>
      </c>
      <c r="I251" s="27">
        <v>58.02</v>
      </c>
      <c r="J251" s="27">
        <v>3351.66</v>
      </c>
      <c r="K251" s="47">
        <f t="shared" si="25"/>
        <v>0.55103441279843424</v>
      </c>
      <c r="L251" s="47">
        <f t="shared" si="26"/>
        <v>0.41748864741650404</v>
      </c>
      <c r="M251" s="84">
        <f t="shared" si="27"/>
        <v>0.96852306021493828</v>
      </c>
      <c r="N251" s="47">
        <f t="shared" si="28"/>
        <v>1.2113400523919491E-3</v>
      </c>
      <c r="O251" s="47">
        <f t="shared" si="29"/>
        <v>6.1163721857228955E-3</v>
      </c>
      <c r="P251" s="47">
        <f t="shared" si="30"/>
        <v>1.7310825083689876E-2</v>
      </c>
      <c r="Q251" s="47">
        <f t="shared" si="31"/>
        <v>1</v>
      </c>
    </row>
    <row r="252" spans="1:17" x14ac:dyDescent="0.35">
      <c r="A252" s="82">
        <v>249</v>
      </c>
      <c r="B252" s="83" t="str">
        <f>_xlfn.XLOOKUP(A252,'TAZs by City - CCAG Model'!$A:$A,'TAZs by City - CCAG Model'!$B:$B,"Unknown")</f>
        <v>Los Gatos</v>
      </c>
      <c r="C252" s="82">
        <f>_xlfn.XLOOKUP(A252,'TAZs by City - CCAG Model'!$A:$A,'TAZs by City - CCAG Model'!$C:$C,999)</f>
        <v>3</v>
      </c>
      <c r="D252" s="82" t="str">
        <f t="shared" si="24"/>
        <v>NO</v>
      </c>
      <c r="E252" s="27">
        <v>7086.88</v>
      </c>
      <c r="F252" s="27">
        <v>2727.14</v>
      </c>
      <c r="G252" s="27">
        <v>79.08</v>
      </c>
      <c r="H252" s="27">
        <v>115.9</v>
      </c>
      <c r="I252" s="27">
        <v>478</v>
      </c>
      <c r="J252" s="27">
        <v>10606.9</v>
      </c>
      <c r="K252" s="47">
        <f t="shared" si="25"/>
        <v>0.66813866445427039</v>
      </c>
      <c r="L252" s="47">
        <f t="shared" si="26"/>
        <v>0.25710999443758309</v>
      </c>
      <c r="M252" s="84">
        <f t="shared" si="27"/>
        <v>0.92524865889185348</v>
      </c>
      <c r="N252" s="47">
        <f t="shared" si="28"/>
        <v>7.4555242342248911E-3</v>
      </c>
      <c r="O252" s="47">
        <f t="shared" si="29"/>
        <v>1.0926849503625E-2</v>
      </c>
      <c r="P252" s="47">
        <f t="shared" si="30"/>
        <v>4.5065004855330021E-2</v>
      </c>
      <c r="Q252" s="47">
        <f t="shared" si="31"/>
        <v>1</v>
      </c>
    </row>
    <row r="253" spans="1:17" x14ac:dyDescent="0.35">
      <c r="A253" s="82">
        <v>250</v>
      </c>
      <c r="B253" s="83" t="str">
        <f>_xlfn.XLOOKUP(A253,'TAZs by City - CCAG Model'!$A:$A,'TAZs by City - CCAG Model'!$B:$B,"Unknown")</f>
        <v>Los Gatos</v>
      </c>
      <c r="C253" s="82">
        <f>_xlfn.XLOOKUP(A253,'TAZs by City - CCAG Model'!$A:$A,'TAZs by City - CCAG Model'!$C:$C,999)</f>
        <v>3</v>
      </c>
      <c r="D253" s="82" t="str">
        <f t="shared" si="24"/>
        <v>NO</v>
      </c>
      <c r="E253" s="27">
        <v>2435.5</v>
      </c>
      <c r="F253" s="27">
        <v>865.94</v>
      </c>
      <c r="G253" s="27">
        <v>40.92</v>
      </c>
      <c r="H253" s="27">
        <v>27.24</v>
      </c>
      <c r="I253" s="27">
        <v>126.74</v>
      </c>
      <c r="J253" s="27">
        <v>3584.08</v>
      </c>
      <c r="K253" s="47">
        <f t="shared" si="25"/>
        <v>0.67953282292805961</v>
      </c>
      <c r="L253" s="47">
        <f t="shared" si="26"/>
        <v>0.24160733019352248</v>
      </c>
      <c r="M253" s="84">
        <f t="shared" si="27"/>
        <v>0.92114015312158215</v>
      </c>
      <c r="N253" s="47">
        <f t="shared" si="28"/>
        <v>1.1417155867056539E-2</v>
      </c>
      <c r="O253" s="47">
        <f t="shared" si="29"/>
        <v>7.6002767795361704E-3</v>
      </c>
      <c r="P253" s="47">
        <f t="shared" si="30"/>
        <v>3.5361933885404345E-2</v>
      </c>
      <c r="Q253" s="47">
        <f t="shared" si="31"/>
        <v>1</v>
      </c>
    </row>
    <row r="254" spans="1:17" x14ac:dyDescent="0.35">
      <c r="A254" s="82">
        <v>251</v>
      </c>
      <c r="B254" s="83" t="str">
        <f>_xlfn.XLOOKUP(A254,'TAZs by City - CCAG Model'!$A:$A,'TAZs by City - CCAG Model'!$B:$B,"Unknown")</f>
        <v>Los Gatos</v>
      </c>
      <c r="C254" s="82">
        <f>_xlfn.XLOOKUP(A254,'TAZs by City - CCAG Model'!$A:$A,'TAZs by City - CCAG Model'!$C:$C,999)</f>
        <v>3</v>
      </c>
      <c r="D254" s="82" t="str">
        <f t="shared" si="24"/>
        <v>NO</v>
      </c>
      <c r="E254" s="27">
        <v>8018.76</v>
      </c>
      <c r="F254" s="27">
        <v>4445.46</v>
      </c>
      <c r="G254" s="27">
        <v>144.54</v>
      </c>
      <c r="H254" s="27">
        <v>137.94</v>
      </c>
      <c r="I254" s="27">
        <v>941.42</v>
      </c>
      <c r="J254" s="27">
        <v>13869.36</v>
      </c>
      <c r="K254" s="47">
        <f t="shared" si="25"/>
        <v>0.57816366436519062</v>
      </c>
      <c r="L254" s="47">
        <f t="shared" si="26"/>
        <v>0.32052380210766757</v>
      </c>
      <c r="M254" s="84">
        <f t="shared" si="27"/>
        <v>0.89868746647285824</v>
      </c>
      <c r="N254" s="47">
        <f t="shared" si="28"/>
        <v>1.0421533509837511E-2</v>
      </c>
      <c r="O254" s="47">
        <f t="shared" si="29"/>
        <v>9.94566439979927E-3</v>
      </c>
      <c r="P254" s="47">
        <f t="shared" si="30"/>
        <v>6.7877681450333682E-2</v>
      </c>
      <c r="Q254" s="47">
        <f t="shared" si="31"/>
        <v>1</v>
      </c>
    </row>
    <row r="255" spans="1:17" x14ac:dyDescent="0.35">
      <c r="A255" s="82">
        <v>252</v>
      </c>
      <c r="B255" s="83" t="str">
        <f>_xlfn.XLOOKUP(A255,'TAZs by City - CCAG Model'!$A:$A,'TAZs by City - CCAG Model'!$B:$B,"Unknown")</f>
        <v>Milpitas</v>
      </c>
      <c r="C255" s="82">
        <f>_xlfn.XLOOKUP(A255,'TAZs by City - CCAG Model'!$A:$A,'TAZs by City - CCAG Model'!$C:$C,999)</f>
        <v>3</v>
      </c>
      <c r="D255" s="82" t="str">
        <f t="shared" si="24"/>
        <v>NO</v>
      </c>
      <c r="E255" s="27">
        <v>614.86</v>
      </c>
      <c r="F255" s="27">
        <v>256.88</v>
      </c>
      <c r="G255" s="27">
        <v>20.94</v>
      </c>
      <c r="H255" s="27">
        <v>5.96</v>
      </c>
      <c r="I255" s="27">
        <v>41.58</v>
      </c>
      <c r="J255" s="27">
        <v>1004.92</v>
      </c>
      <c r="K255" s="47">
        <f t="shared" si="25"/>
        <v>0.61184969947856549</v>
      </c>
      <c r="L255" s="47">
        <f t="shared" si="26"/>
        <v>0.25562233809656493</v>
      </c>
      <c r="M255" s="84">
        <f t="shared" si="27"/>
        <v>0.86747203757513036</v>
      </c>
      <c r="N255" s="47">
        <f t="shared" si="28"/>
        <v>2.08374796003662E-2</v>
      </c>
      <c r="O255" s="47">
        <f t="shared" si="29"/>
        <v>5.9308203638100548E-3</v>
      </c>
      <c r="P255" s="47">
        <f t="shared" si="30"/>
        <v>4.1376427974366116E-2</v>
      </c>
      <c r="Q255" s="47">
        <f t="shared" si="31"/>
        <v>1</v>
      </c>
    </row>
    <row r="256" spans="1:17" x14ac:dyDescent="0.35">
      <c r="A256" s="82">
        <v>253</v>
      </c>
      <c r="B256" s="83" t="str">
        <f>_xlfn.XLOOKUP(A256,'TAZs by City - CCAG Model'!$A:$A,'TAZs by City - CCAG Model'!$B:$B,"Unknown")</f>
        <v>Milpitas</v>
      </c>
      <c r="C256" s="82">
        <f>_xlfn.XLOOKUP(A256,'TAZs by City - CCAG Model'!$A:$A,'TAZs by City - CCAG Model'!$C:$C,999)</f>
        <v>3</v>
      </c>
      <c r="D256" s="82" t="str">
        <f t="shared" si="24"/>
        <v>NO</v>
      </c>
      <c r="E256" s="27">
        <v>1540.68</v>
      </c>
      <c r="F256" s="27">
        <v>984.1</v>
      </c>
      <c r="G256" s="27">
        <v>81.52</v>
      </c>
      <c r="H256" s="27">
        <v>25.02</v>
      </c>
      <c r="I256" s="27">
        <v>148.94</v>
      </c>
      <c r="J256" s="27">
        <v>2904.4</v>
      </c>
      <c r="K256" s="47">
        <f t="shared" si="25"/>
        <v>0.53046412339898086</v>
      </c>
      <c r="L256" s="47">
        <f t="shared" si="26"/>
        <v>0.33883073956755266</v>
      </c>
      <c r="M256" s="84">
        <f t="shared" si="27"/>
        <v>0.86929486296653358</v>
      </c>
      <c r="N256" s="47">
        <f t="shared" si="28"/>
        <v>2.8067759261809665E-2</v>
      </c>
      <c r="O256" s="47">
        <f t="shared" si="29"/>
        <v>8.614515906899876E-3</v>
      </c>
      <c r="P256" s="47">
        <f t="shared" si="30"/>
        <v>5.1280815314694944E-2</v>
      </c>
      <c r="Q256" s="47">
        <f t="shared" si="31"/>
        <v>1</v>
      </c>
    </row>
    <row r="257" spans="1:17" x14ac:dyDescent="0.35">
      <c r="A257" s="82">
        <v>254</v>
      </c>
      <c r="B257" s="83" t="str">
        <f>_xlfn.XLOOKUP(A257,'TAZs by City - CCAG Model'!$A:$A,'TAZs by City - CCAG Model'!$B:$B,"Unknown")</f>
        <v>Milpitas</v>
      </c>
      <c r="C257" s="82">
        <f>_xlfn.XLOOKUP(A257,'TAZs by City - CCAG Model'!$A:$A,'TAZs by City - CCAG Model'!$C:$C,999)</f>
        <v>3</v>
      </c>
      <c r="D257" s="82" t="str">
        <f t="shared" si="24"/>
        <v>NO</v>
      </c>
      <c r="E257" s="27">
        <v>4033.14</v>
      </c>
      <c r="F257" s="27">
        <v>2048.2800000000002</v>
      </c>
      <c r="G257" s="27">
        <v>249.6</v>
      </c>
      <c r="H257" s="27">
        <v>81.319999999999993</v>
      </c>
      <c r="I257" s="27">
        <v>355.76</v>
      </c>
      <c r="J257" s="27">
        <v>7063.82</v>
      </c>
      <c r="K257" s="47">
        <f t="shared" si="25"/>
        <v>0.57095735735055542</v>
      </c>
      <c r="L257" s="47">
        <f t="shared" si="26"/>
        <v>0.28996775116013718</v>
      </c>
      <c r="M257" s="84">
        <f t="shared" si="27"/>
        <v>0.86092510851069259</v>
      </c>
      <c r="N257" s="47">
        <f t="shared" si="28"/>
        <v>3.5334988717153043E-2</v>
      </c>
      <c r="O257" s="47">
        <f t="shared" si="29"/>
        <v>1.1512184625316047E-2</v>
      </c>
      <c r="P257" s="47">
        <f t="shared" si="30"/>
        <v>5.0363684238839607E-2</v>
      </c>
      <c r="Q257" s="47">
        <f t="shared" si="31"/>
        <v>1</v>
      </c>
    </row>
    <row r="258" spans="1:17" x14ac:dyDescent="0.35">
      <c r="A258" s="82">
        <v>255</v>
      </c>
      <c r="B258" s="83" t="str">
        <f>_xlfn.XLOOKUP(A258,'TAZs by City - CCAG Model'!$A:$A,'TAZs by City - CCAG Model'!$B:$B,"Unknown")</f>
        <v>Milpitas</v>
      </c>
      <c r="C258" s="82">
        <f>_xlfn.XLOOKUP(A258,'TAZs by City - CCAG Model'!$A:$A,'TAZs by City - CCAG Model'!$C:$C,999)</f>
        <v>3</v>
      </c>
      <c r="D258" s="82" t="str">
        <f t="shared" si="24"/>
        <v>NO</v>
      </c>
      <c r="E258" s="27">
        <v>4836</v>
      </c>
      <c r="F258" s="27">
        <v>2447.56</v>
      </c>
      <c r="G258" s="27">
        <v>213.72</v>
      </c>
      <c r="H258" s="27">
        <v>92.78</v>
      </c>
      <c r="I258" s="27">
        <v>503.66</v>
      </c>
      <c r="J258" s="27">
        <v>8355.7000000000007</v>
      </c>
      <c r="K258" s="47">
        <f t="shared" si="25"/>
        <v>0.57876659047117529</v>
      </c>
      <c r="L258" s="47">
        <f t="shared" si="26"/>
        <v>0.2929210000359036</v>
      </c>
      <c r="M258" s="84">
        <f t="shared" si="27"/>
        <v>0.87168759050707889</v>
      </c>
      <c r="N258" s="47">
        <f t="shared" si="28"/>
        <v>2.557774932082291E-2</v>
      </c>
      <c r="O258" s="47">
        <f t="shared" si="29"/>
        <v>1.1103797407757578E-2</v>
      </c>
      <c r="P258" s="47">
        <f t="shared" si="30"/>
        <v>6.0277415417020717E-2</v>
      </c>
      <c r="Q258" s="47">
        <f t="shared" si="31"/>
        <v>1</v>
      </c>
    </row>
    <row r="259" spans="1:17" x14ac:dyDescent="0.35">
      <c r="A259" s="82">
        <v>256</v>
      </c>
      <c r="B259" s="83" t="str">
        <f>_xlfn.XLOOKUP(A259,'TAZs by City - CCAG Model'!$A:$A,'TAZs by City - CCAG Model'!$B:$B,"Unknown")</f>
        <v>Milpitas</v>
      </c>
      <c r="C259" s="82">
        <f>_xlfn.XLOOKUP(A259,'TAZs by City - CCAG Model'!$A:$A,'TAZs by City - CCAG Model'!$C:$C,999)</f>
        <v>3</v>
      </c>
      <c r="D259" s="82" t="str">
        <f t="shared" si="24"/>
        <v>NO</v>
      </c>
      <c r="E259" s="27">
        <v>1206.78</v>
      </c>
      <c r="F259" s="27">
        <v>547.84</v>
      </c>
      <c r="G259" s="27">
        <v>20.46</v>
      </c>
      <c r="H259" s="27">
        <v>9.3000000000000007</v>
      </c>
      <c r="I259" s="27">
        <v>39.42</v>
      </c>
      <c r="J259" s="27">
        <v>1885.56</v>
      </c>
      <c r="K259" s="47">
        <f t="shared" si="25"/>
        <v>0.64001145548272131</v>
      </c>
      <c r="L259" s="47">
        <f t="shared" si="26"/>
        <v>0.29054498398353806</v>
      </c>
      <c r="M259" s="84">
        <f t="shared" si="27"/>
        <v>0.93055643946625932</v>
      </c>
      <c r="N259" s="47">
        <f t="shared" si="28"/>
        <v>1.0850887799910903E-2</v>
      </c>
      <c r="O259" s="47">
        <f t="shared" si="29"/>
        <v>4.932221727232229E-3</v>
      </c>
      <c r="P259" s="47">
        <f t="shared" si="30"/>
        <v>2.0906255966397252E-2</v>
      </c>
      <c r="Q259" s="47">
        <f t="shared" si="31"/>
        <v>1</v>
      </c>
    </row>
    <row r="260" spans="1:17" x14ac:dyDescent="0.35">
      <c r="A260" s="82">
        <v>257</v>
      </c>
      <c r="B260" s="83" t="str">
        <f>_xlfn.XLOOKUP(A260,'TAZs by City - CCAG Model'!$A:$A,'TAZs by City - CCAG Model'!$B:$B,"Unknown")</f>
        <v>Milpitas</v>
      </c>
      <c r="C260" s="82">
        <f>_xlfn.XLOOKUP(A260,'TAZs by City - CCAG Model'!$A:$A,'TAZs by City - CCAG Model'!$C:$C,999)</f>
        <v>3</v>
      </c>
      <c r="D260" s="82" t="str">
        <f t="shared" si="24"/>
        <v>NO</v>
      </c>
      <c r="E260" s="27">
        <v>6723.68</v>
      </c>
      <c r="F260" s="27">
        <v>4242.4799999999996</v>
      </c>
      <c r="G260" s="27">
        <v>193.82</v>
      </c>
      <c r="H260" s="27">
        <v>118.08</v>
      </c>
      <c r="I260" s="27">
        <v>985.4</v>
      </c>
      <c r="J260" s="27">
        <v>12499.62</v>
      </c>
      <c r="K260" s="47">
        <f t="shared" si="25"/>
        <v>0.53791075248687559</v>
      </c>
      <c r="L260" s="47">
        <f t="shared" si="26"/>
        <v>0.33940871802502792</v>
      </c>
      <c r="M260" s="84">
        <f t="shared" si="27"/>
        <v>0.87731947051190351</v>
      </c>
      <c r="N260" s="47">
        <f t="shared" si="28"/>
        <v>1.5506071384570089E-2</v>
      </c>
      <c r="O260" s="47">
        <f t="shared" si="29"/>
        <v>9.4466871792902498E-3</v>
      </c>
      <c r="P260" s="47">
        <f t="shared" si="30"/>
        <v>7.8834396565655593E-2</v>
      </c>
      <c r="Q260" s="47">
        <f t="shared" si="31"/>
        <v>1</v>
      </c>
    </row>
    <row r="261" spans="1:17" x14ac:dyDescent="0.35">
      <c r="A261" s="82">
        <v>258</v>
      </c>
      <c r="B261" s="83" t="str">
        <f>_xlfn.XLOOKUP(A261,'TAZs by City - CCAG Model'!$A:$A,'TAZs by City - CCAG Model'!$B:$B,"Unknown")</f>
        <v>Milpitas</v>
      </c>
      <c r="C261" s="82">
        <f>_xlfn.XLOOKUP(A261,'TAZs by City - CCAG Model'!$A:$A,'TAZs by City - CCAG Model'!$C:$C,999)</f>
        <v>3</v>
      </c>
      <c r="D261" s="82" t="str">
        <f t="shared" ref="D261:D324" si="32">IF(C261=2,"YES","NO")</f>
        <v>NO</v>
      </c>
      <c r="E261" s="27">
        <v>2356.6799999999998</v>
      </c>
      <c r="F261" s="27">
        <v>625.58000000000004</v>
      </c>
      <c r="G261" s="27">
        <v>45.14</v>
      </c>
      <c r="H261" s="27">
        <v>17.079999999999998</v>
      </c>
      <c r="I261" s="27">
        <v>39.14</v>
      </c>
      <c r="J261" s="27">
        <v>3172.94</v>
      </c>
      <c r="K261" s="47">
        <f t="shared" ref="K261:K324" si="33">IFERROR(E261/$J261,0)</f>
        <v>0.74274332322703862</v>
      </c>
      <c r="L261" s="47">
        <f t="shared" ref="L261:L324" si="34">IFERROR(F261/$J261,0)</f>
        <v>0.19716099264404621</v>
      </c>
      <c r="M261" s="84">
        <f t="shared" ref="M261:M324" si="35">IFERROR((E261+F261)/J261,0)</f>
        <v>0.93990431587108481</v>
      </c>
      <c r="N261" s="47">
        <f t="shared" ref="N261:N324" si="36">IFERROR(G261/$J261,0)</f>
        <v>1.4226553291269296E-2</v>
      </c>
      <c r="O261" s="47">
        <f t="shared" ref="O261:O324" si="37">IFERROR(H261/$J261,0)</f>
        <v>5.3830201642640577E-3</v>
      </c>
      <c r="P261" s="47">
        <f t="shared" ref="P261:P324" si="38">IFERROR(I261/$J261,0)</f>
        <v>1.2335562601246793E-2</v>
      </c>
      <c r="Q261" s="47">
        <f t="shared" ref="Q261:Q324" si="39">IFERROR(J261/$J261,0)</f>
        <v>1</v>
      </c>
    </row>
    <row r="262" spans="1:17" x14ac:dyDescent="0.35">
      <c r="A262" s="82">
        <v>259</v>
      </c>
      <c r="B262" s="83" t="str">
        <f>_xlfn.XLOOKUP(A262,'TAZs by City - CCAG Model'!$A:$A,'TAZs by City - CCAG Model'!$B:$B,"Unknown")</f>
        <v>Milpitas</v>
      </c>
      <c r="C262" s="82">
        <f>_xlfn.XLOOKUP(A262,'TAZs by City - CCAG Model'!$A:$A,'TAZs by City - CCAG Model'!$C:$C,999)</f>
        <v>3</v>
      </c>
      <c r="D262" s="82" t="str">
        <f t="shared" si="32"/>
        <v>NO</v>
      </c>
      <c r="E262" s="27">
        <v>6861.04</v>
      </c>
      <c r="F262" s="27">
        <v>3573.5</v>
      </c>
      <c r="G262" s="27">
        <v>203.9</v>
      </c>
      <c r="H262" s="27">
        <v>73.56</v>
      </c>
      <c r="I262" s="27">
        <v>296.64</v>
      </c>
      <c r="J262" s="27">
        <v>11253.18</v>
      </c>
      <c r="K262" s="47">
        <f t="shared" si="33"/>
        <v>0.60969788095453903</v>
      </c>
      <c r="L262" s="47">
        <f t="shared" si="34"/>
        <v>0.31755468232090839</v>
      </c>
      <c r="M262" s="84">
        <f t="shared" si="35"/>
        <v>0.92725256327544747</v>
      </c>
      <c r="N262" s="47">
        <f t="shared" si="36"/>
        <v>1.8119322715890087E-2</v>
      </c>
      <c r="O262" s="47">
        <f t="shared" si="37"/>
        <v>6.5368189258502929E-3</v>
      </c>
      <c r="P262" s="47">
        <f t="shared" si="38"/>
        <v>2.6360548751552894E-2</v>
      </c>
      <c r="Q262" s="47">
        <f t="shared" si="39"/>
        <v>1</v>
      </c>
    </row>
    <row r="263" spans="1:17" x14ac:dyDescent="0.35">
      <c r="A263" s="82">
        <v>260</v>
      </c>
      <c r="B263" s="83" t="str">
        <f>_xlfn.XLOOKUP(A263,'TAZs by City - CCAG Model'!$A:$A,'TAZs by City - CCAG Model'!$B:$B,"Unknown")</f>
        <v>Milpitas</v>
      </c>
      <c r="C263" s="82">
        <f>_xlfn.XLOOKUP(A263,'TAZs by City - CCAG Model'!$A:$A,'TAZs by City - CCAG Model'!$C:$C,999)</f>
        <v>3</v>
      </c>
      <c r="D263" s="82" t="str">
        <f t="shared" si="32"/>
        <v>NO</v>
      </c>
      <c r="E263" s="27">
        <v>1554.08</v>
      </c>
      <c r="F263" s="27">
        <v>403.44</v>
      </c>
      <c r="G263" s="27">
        <v>62.9</v>
      </c>
      <c r="H263" s="27">
        <v>10.82</v>
      </c>
      <c r="I263" s="27">
        <v>33.44</v>
      </c>
      <c r="J263" s="27">
        <v>2176.1</v>
      </c>
      <c r="K263" s="47">
        <f t="shared" si="33"/>
        <v>0.71415835669316663</v>
      </c>
      <c r="L263" s="47">
        <f t="shared" si="34"/>
        <v>0.18539589173291668</v>
      </c>
      <c r="M263" s="84">
        <f t="shared" si="35"/>
        <v>0.89955424842608334</v>
      </c>
      <c r="N263" s="47">
        <f t="shared" si="36"/>
        <v>2.8904921648821285E-2</v>
      </c>
      <c r="O263" s="47">
        <f t="shared" si="37"/>
        <v>4.9721979688433443E-3</v>
      </c>
      <c r="P263" s="47">
        <f t="shared" si="38"/>
        <v>1.5366940857497357E-2</v>
      </c>
      <c r="Q263" s="47">
        <f t="shared" si="39"/>
        <v>1</v>
      </c>
    </row>
    <row r="264" spans="1:17" x14ac:dyDescent="0.35">
      <c r="A264" s="82">
        <v>261</v>
      </c>
      <c r="B264" s="83" t="str">
        <f>_xlfn.XLOOKUP(A264,'TAZs by City - CCAG Model'!$A:$A,'TAZs by City - CCAG Model'!$B:$B,"Unknown")</f>
        <v>Milpitas</v>
      </c>
      <c r="C264" s="82">
        <f>_xlfn.XLOOKUP(A264,'TAZs by City - CCAG Model'!$A:$A,'TAZs by City - CCAG Model'!$C:$C,999)</f>
        <v>3</v>
      </c>
      <c r="D264" s="82" t="str">
        <f t="shared" si="32"/>
        <v>NO</v>
      </c>
      <c r="E264" s="27">
        <v>9983.02</v>
      </c>
      <c r="F264" s="27">
        <v>5251.62</v>
      </c>
      <c r="G264" s="27">
        <v>11.5</v>
      </c>
      <c r="H264" s="27">
        <v>110.56</v>
      </c>
      <c r="I264" s="27">
        <v>407.74</v>
      </c>
      <c r="J264" s="27">
        <v>15808</v>
      </c>
      <c r="K264" s="47">
        <f t="shared" si="33"/>
        <v>0.63151695344129555</v>
      </c>
      <c r="L264" s="47">
        <f t="shared" si="34"/>
        <v>0.33221280364372469</v>
      </c>
      <c r="M264" s="84">
        <f t="shared" si="35"/>
        <v>0.96372975708502018</v>
      </c>
      <c r="N264" s="47">
        <f t="shared" si="36"/>
        <v>7.2747975708502028E-4</v>
      </c>
      <c r="O264" s="47">
        <f t="shared" si="37"/>
        <v>6.993927125506073E-3</v>
      </c>
      <c r="P264" s="47">
        <f t="shared" si="38"/>
        <v>2.5793269230769231E-2</v>
      </c>
      <c r="Q264" s="47">
        <f t="shared" si="39"/>
        <v>1</v>
      </c>
    </row>
    <row r="265" spans="1:17" x14ac:dyDescent="0.35">
      <c r="A265" s="82">
        <v>262</v>
      </c>
      <c r="B265" s="83" t="str">
        <f>_xlfn.XLOOKUP(A265,'TAZs by City - CCAG Model'!$A:$A,'TAZs by City - CCAG Model'!$B:$B,"Unknown")</f>
        <v>Milpitas</v>
      </c>
      <c r="C265" s="82">
        <f>_xlfn.XLOOKUP(A265,'TAZs by City - CCAG Model'!$A:$A,'TAZs by City - CCAG Model'!$C:$C,999)</f>
        <v>3</v>
      </c>
      <c r="D265" s="82" t="str">
        <f t="shared" si="32"/>
        <v>NO</v>
      </c>
      <c r="E265" s="27">
        <v>5931.4</v>
      </c>
      <c r="F265" s="27">
        <v>4434.96</v>
      </c>
      <c r="G265" s="27">
        <v>155.84</v>
      </c>
      <c r="H265" s="27">
        <v>111.5</v>
      </c>
      <c r="I265" s="27">
        <v>585.17999999999995</v>
      </c>
      <c r="J265" s="27">
        <v>11406.42</v>
      </c>
      <c r="K265" s="47">
        <f t="shared" si="33"/>
        <v>0.52000540046745602</v>
      </c>
      <c r="L265" s="47">
        <f t="shared" si="34"/>
        <v>0.38881261605306483</v>
      </c>
      <c r="M265" s="84">
        <f t="shared" si="35"/>
        <v>0.90881801652052097</v>
      </c>
      <c r="N265" s="47">
        <f t="shared" si="36"/>
        <v>1.3662481304388231E-2</v>
      </c>
      <c r="O265" s="47">
        <f t="shared" si="37"/>
        <v>9.7751967751494341E-3</v>
      </c>
      <c r="P265" s="47">
        <f t="shared" si="38"/>
        <v>5.1302687433918789E-2</v>
      </c>
      <c r="Q265" s="47">
        <f t="shared" si="39"/>
        <v>1</v>
      </c>
    </row>
    <row r="266" spans="1:17" x14ac:dyDescent="0.35">
      <c r="A266" s="82">
        <v>263</v>
      </c>
      <c r="B266" s="83" t="str">
        <f>_xlfn.XLOOKUP(A266,'TAZs by City - CCAG Model'!$A:$A,'TAZs by City - CCAG Model'!$B:$B,"Unknown")</f>
        <v>Milpitas</v>
      </c>
      <c r="C266" s="82">
        <f>_xlfn.XLOOKUP(A266,'TAZs by City - CCAG Model'!$A:$A,'TAZs by City - CCAG Model'!$C:$C,999)</f>
        <v>3</v>
      </c>
      <c r="D266" s="82" t="str">
        <f t="shared" si="32"/>
        <v>NO</v>
      </c>
      <c r="E266" s="27">
        <v>2615.64</v>
      </c>
      <c r="F266" s="27">
        <v>1611.98</v>
      </c>
      <c r="G266" s="27">
        <v>3.14</v>
      </c>
      <c r="H266" s="27">
        <v>27.06</v>
      </c>
      <c r="I266" s="27">
        <v>67.900000000000006</v>
      </c>
      <c r="J266" s="27">
        <v>4357.5600000000004</v>
      </c>
      <c r="K266" s="47">
        <f t="shared" si="33"/>
        <v>0.60025335279376524</v>
      </c>
      <c r="L266" s="47">
        <f t="shared" si="34"/>
        <v>0.36992720696903769</v>
      </c>
      <c r="M266" s="84">
        <f t="shared" si="35"/>
        <v>0.97018055976280293</v>
      </c>
      <c r="N266" s="47">
        <f t="shared" si="36"/>
        <v>7.2058675038324193E-4</v>
      </c>
      <c r="O266" s="47">
        <f t="shared" si="37"/>
        <v>6.2098972819651359E-3</v>
      </c>
      <c r="P266" s="47">
        <f t="shared" si="38"/>
        <v>1.5582114761472017E-2</v>
      </c>
      <c r="Q266" s="47">
        <f t="shared" si="39"/>
        <v>1</v>
      </c>
    </row>
    <row r="267" spans="1:17" x14ac:dyDescent="0.35">
      <c r="A267" s="82">
        <v>264</v>
      </c>
      <c r="B267" s="83" t="str">
        <f>_xlfn.XLOOKUP(A267,'TAZs by City - CCAG Model'!$A:$A,'TAZs by City - CCAG Model'!$B:$B,"Unknown")</f>
        <v>Milpitas</v>
      </c>
      <c r="C267" s="82">
        <f>_xlfn.XLOOKUP(A267,'TAZs by City - CCAG Model'!$A:$A,'TAZs by City - CCAG Model'!$C:$C,999)</f>
        <v>3</v>
      </c>
      <c r="D267" s="82" t="str">
        <f t="shared" si="32"/>
        <v>NO</v>
      </c>
      <c r="E267" s="27">
        <v>4254.58</v>
      </c>
      <c r="F267" s="27">
        <v>3348.94</v>
      </c>
      <c r="G267" s="27">
        <v>113.36</v>
      </c>
      <c r="H267" s="27">
        <v>77.72</v>
      </c>
      <c r="I267" s="27">
        <v>441.82</v>
      </c>
      <c r="J267" s="27">
        <v>8384.18</v>
      </c>
      <c r="K267" s="47">
        <f t="shared" si="33"/>
        <v>0.50745332280556954</v>
      </c>
      <c r="L267" s="47">
        <f t="shared" si="34"/>
        <v>0.39943560372033998</v>
      </c>
      <c r="M267" s="84">
        <f t="shared" si="35"/>
        <v>0.90688892652590958</v>
      </c>
      <c r="N267" s="47">
        <f t="shared" si="36"/>
        <v>1.3520702084163269E-2</v>
      </c>
      <c r="O267" s="47">
        <f t="shared" si="37"/>
        <v>9.2698391494457407E-3</v>
      </c>
      <c r="P267" s="47">
        <f t="shared" si="38"/>
        <v>5.2696864809677273E-2</v>
      </c>
      <c r="Q267" s="47">
        <f t="shared" si="39"/>
        <v>1</v>
      </c>
    </row>
    <row r="268" spans="1:17" x14ac:dyDescent="0.35">
      <c r="A268" s="82">
        <v>265</v>
      </c>
      <c r="B268" s="83" t="str">
        <f>_xlfn.XLOOKUP(A268,'TAZs by City - CCAG Model'!$A:$A,'TAZs by City - CCAG Model'!$B:$B,"Unknown")</f>
        <v>Milpitas</v>
      </c>
      <c r="C268" s="82">
        <f>_xlfn.XLOOKUP(A268,'TAZs by City - CCAG Model'!$A:$A,'TAZs by City - CCAG Model'!$C:$C,999)</f>
        <v>3</v>
      </c>
      <c r="D268" s="82" t="str">
        <f t="shared" si="32"/>
        <v>NO</v>
      </c>
      <c r="E268" s="27">
        <v>1536.42</v>
      </c>
      <c r="F268" s="27">
        <v>1138.72</v>
      </c>
      <c r="G268" s="27">
        <v>40.54</v>
      </c>
      <c r="H268" s="27">
        <v>23.5</v>
      </c>
      <c r="I268" s="27">
        <v>310.06</v>
      </c>
      <c r="J268" s="27">
        <v>3119.82</v>
      </c>
      <c r="K268" s="47">
        <f t="shared" si="33"/>
        <v>0.49247071946458448</v>
      </c>
      <c r="L268" s="47">
        <f t="shared" si="34"/>
        <v>0.36499541640222832</v>
      </c>
      <c r="M268" s="84">
        <f t="shared" si="35"/>
        <v>0.85746613586681286</v>
      </c>
      <c r="N268" s="47">
        <f t="shared" si="36"/>
        <v>1.2994339417017647E-2</v>
      </c>
      <c r="O268" s="47">
        <f t="shared" si="37"/>
        <v>7.5324858485425437E-3</v>
      </c>
      <c r="P268" s="47">
        <f t="shared" si="38"/>
        <v>9.9383938816983028E-2</v>
      </c>
      <c r="Q268" s="47">
        <f t="shared" si="39"/>
        <v>1</v>
      </c>
    </row>
    <row r="269" spans="1:17" x14ac:dyDescent="0.35">
      <c r="A269" s="82">
        <v>266</v>
      </c>
      <c r="B269" s="83" t="str">
        <f>_xlfn.XLOOKUP(A269,'TAZs by City - CCAG Model'!$A:$A,'TAZs by City - CCAG Model'!$B:$B,"Unknown")</f>
        <v>Milpitas</v>
      </c>
      <c r="C269" s="82">
        <f>_xlfn.XLOOKUP(A269,'TAZs by City - CCAG Model'!$A:$A,'TAZs by City - CCAG Model'!$C:$C,999)</f>
        <v>3</v>
      </c>
      <c r="D269" s="82" t="str">
        <f t="shared" si="32"/>
        <v>NO</v>
      </c>
      <c r="E269" s="27">
        <v>2552.5</v>
      </c>
      <c r="F269" s="27">
        <v>1640.56</v>
      </c>
      <c r="G269" s="27">
        <v>66.34</v>
      </c>
      <c r="H269" s="27">
        <v>42.34</v>
      </c>
      <c r="I269" s="27">
        <v>804.72</v>
      </c>
      <c r="J269" s="27">
        <v>5215.8999999999996</v>
      </c>
      <c r="K269" s="47">
        <f t="shared" si="33"/>
        <v>0.48936904465192971</v>
      </c>
      <c r="L269" s="47">
        <f t="shared" si="34"/>
        <v>0.31453056998792156</v>
      </c>
      <c r="M269" s="84">
        <f t="shared" si="35"/>
        <v>0.80389961463985116</v>
      </c>
      <c r="N269" s="47">
        <f t="shared" si="36"/>
        <v>1.2718802124273856E-2</v>
      </c>
      <c r="O269" s="47">
        <f t="shared" si="37"/>
        <v>8.1174869150098753E-3</v>
      </c>
      <c r="P269" s="47">
        <f t="shared" si="38"/>
        <v>0.15428209896662132</v>
      </c>
      <c r="Q269" s="47">
        <f t="shared" si="39"/>
        <v>1</v>
      </c>
    </row>
    <row r="270" spans="1:17" x14ac:dyDescent="0.35">
      <c r="A270" s="82">
        <v>267</v>
      </c>
      <c r="B270" s="83" t="str">
        <f>_xlfn.XLOOKUP(A270,'TAZs by City - CCAG Model'!$A:$A,'TAZs by City - CCAG Model'!$B:$B,"Unknown")</f>
        <v>Milpitas</v>
      </c>
      <c r="C270" s="82">
        <f>_xlfn.XLOOKUP(A270,'TAZs by City - CCAG Model'!$A:$A,'TAZs by City - CCAG Model'!$C:$C,999)</f>
        <v>3</v>
      </c>
      <c r="D270" s="82" t="str">
        <f t="shared" si="32"/>
        <v>NO</v>
      </c>
      <c r="E270" s="27">
        <v>2461.66</v>
      </c>
      <c r="F270" s="27">
        <v>1921.26</v>
      </c>
      <c r="G270" s="27">
        <v>60.32</v>
      </c>
      <c r="H270" s="27">
        <v>37.22</v>
      </c>
      <c r="I270" s="27">
        <v>888.74</v>
      </c>
      <c r="J270" s="27">
        <v>5453.92</v>
      </c>
      <c r="K270" s="47">
        <f t="shared" si="33"/>
        <v>0.45135608883151934</v>
      </c>
      <c r="L270" s="47">
        <f t="shared" si="34"/>
        <v>0.35227139378648753</v>
      </c>
      <c r="M270" s="84">
        <f t="shared" si="35"/>
        <v>0.80362748261800687</v>
      </c>
      <c r="N270" s="47">
        <f t="shared" si="36"/>
        <v>1.1059934872532051E-2</v>
      </c>
      <c r="O270" s="47">
        <f t="shared" si="37"/>
        <v>6.8244492035086689E-3</v>
      </c>
      <c r="P270" s="47">
        <f t="shared" si="38"/>
        <v>0.16295435209904069</v>
      </c>
      <c r="Q270" s="47">
        <f t="shared" si="39"/>
        <v>1</v>
      </c>
    </row>
    <row r="271" spans="1:17" x14ac:dyDescent="0.35">
      <c r="A271" s="82">
        <v>268</v>
      </c>
      <c r="B271" s="83" t="str">
        <f>_xlfn.XLOOKUP(A271,'TAZs by City - CCAG Model'!$A:$A,'TAZs by City - CCAG Model'!$B:$B,"Unknown")</f>
        <v>Milpitas</v>
      </c>
      <c r="C271" s="82">
        <f>_xlfn.XLOOKUP(A271,'TAZs by City - CCAG Model'!$A:$A,'TAZs by City - CCAG Model'!$C:$C,999)</f>
        <v>3</v>
      </c>
      <c r="D271" s="82" t="str">
        <f t="shared" si="32"/>
        <v>NO</v>
      </c>
      <c r="E271" s="27">
        <v>8516.2000000000007</v>
      </c>
      <c r="F271" s="27">
        <v>5399.18</v>
      </c>
      <c r="G271" s="27">
        <v>168.14</v>
      </c>
      <c r="H271" s="27">
        <v>138.68</v>
      </c>
      <c r="I271" s="27">
        <v>1191.24</v>
      </c>
      <c r="J271" s="27">
        <v>15624.1</v>
      </c>
      <c r="K271" s="47">
        <f t="shared" si="33"/>
        <v>0.54506819592808553</v>
      </c>
      <c r="L271" s="47">
        <f t="shared" si="34"/>
        <v>0.34556742468366181</v>
      </c>
      <c r="M271" s="84">
        <f t="shared" si="35"/>
        <v>0.89063562061174728</v>
      </c>
      <c r="N271" s="47">
        <f t="shared" si="36"/>
        <v>1.0761579867000338E-2</v>
      </c>
      <c r="O271" s="47">
        <f t="shared" si="37"/>
        <v>8.8760312594005422E-3</v>
      </c>
      <c r="P271" s="47">
        <f t="shared" si="38"/>
        <v>7.6243751640094462E-2</v>
      </c>
      <c r="Q271" s="47">
        <f t="shared" si="39"/>
        <v>1</v>
      </c>
    </row>
    <row r="272" spans="1:17" x14ac:dyDescent="0.35">
      <c r="A272" s="82">
        <v>269</v>
      </c>
      <c r="B272" s="83" t="str">
        <f>_xlfn.XLOOKUP(A272,'TAZs by City - CCAG Model'!$A:$A,'TAZs by City - CCAG Model'!$B:$B,"Unknown")</f>
        <v>Milpitas</v>
      </c>
      <c r="C272" s="82">
        <f>_xlfn.XLOOKUP(A272,'TAZs by City - CCAG Model'!$A:$A,'TAZs by City - CCAG Model'!$C:$C,999)</f>
        <v>3</v>
      </c>
      <c r="D272" s="82" t="str">
        <f t="shared" si="32"/>
        <v>NO</v>
      </c>
      <c r="E272" s="27">
        <v>5977.5</v>
      </c>
      <c r="F272" s="27">
        <v>3663.98</v>
      </c>
      <c r="G272" s="27">
        <v>159.54</v>
      </c>
      <c r="H272" s="27">
        <v>107.22</v>
      </c>
      <c r="I272" s="27">
        <v>1679.82</v>
      </c>
      <c r="J272" s="27">
        <v>11795.64</v>
      </c>
      <c r="K272" s="47">
        <f t="shared" si="33"/>
        <v>0.50675503830228796</v>
      </c>
      <c r="L272" s="47">
        <f t="shared" si="34"/>
        <v>0.31062155169198113</v>
      </c>
      <c r="M272" s="84">
        <f t="shared" si="35"/>
        <v>0.8173765899942691</v>
      </c>
      <c r="N272" s="47">
        <f t="shared" si="36"/>
        <v>1.3525336480258807E-2</v>
      </c>
      <c r="O272" s="47">
        <f t="shared" si="37"/>
        <v>9.0897992817685191E-3</v>
      </c>
      <c r="P272" s="47">
        <f t="shared" si="38"/>
        <v>0.14241024649785852</v>
      </c>
      <c r="Q272" s="47">
        <f t="shared" si="39"/>
        <v>1</v>
      </c>
    </row>
    <row r="273" spans="1:17" x14ac:dyDescent="0.35">
      <c r="A273" s="82">
        <v>270</v>
      </c>
      <c r="B273" s="83" t="str">
        <f>_xlfn.XLOOKUP(A273,'TAZs by City - CCAG Model'!$A:$A,'TAZs by City - CCAG Model'!$B:$B,"Unknown")</f>
        <v>Milpitas</v>
      </c>
      <c r="C273" s="82">
        <f>_xlfn.XLOOKUP(A273,'TAZs by City - CCAG Model'!$A:$A,'TAZs by City - CCAG Model'!$C:$C,999)</f>
        <v>3</v>
      </c>
      <c r="D273" s="82" t="str">
        <f t="shared" si="32"/>
        <v>NO</v>
      </c>
      <c r="E273" s="27">
        <v>6816.2</v>
      </c>
      <c r="F273" s="27">
        <v>5777.32</v>
      </c>
      <c r="G273" s="27">
        <v>242.4</v>
      </c>
      <c r="H273" s="27">
        <v>175.38</v>
      </c>
      <c r="I273" s="27">
        <v>2011.6</v>
      </c>
      <c r="J273" s="27">
        <v>15306</v>
      </c>
      <c r="K273" s="47">
        <f t="shared" si="33"/>
        <v>0.445328629295701</v>
      </c>
      <c r="L273" s="47">
        <f t="shared" si="34"/>
        <v>0.37745459297007705</v>
      </c>
      <c r="M273" s="84">
        <f t="shared" si="35"/>
        <v>0.82278322226577816</v>
      </c>
      <c r="N273" s="47">
        <f t="shared" si="36"/>
        <v>1.5836926695413565E-2</v>
      </c>
      <c r="O273" s="47">
        <f t="shared" si="37"/>
        <v>1.1458251666013327E-2</v>
      </c>
      <c r="P273" s="47">
        <f t="shared" si="38"/>
        <v>0.13142558473801122</v>
      </c>
      <c r="Q273" s="47">
        <f t="shared" si="39"/>
        <v>1</v>
      </c>
    </row>
    <row r="274" spans="1:17" x14ac:dyDescent="0.35">
      <c r="A274" s="82">
        <v>271</v>
      </c>
      <c r="B274" s="83" t="str">
        <f>_xlfn.XLOOKUP(A274,'TAZs by City - CCAG Model'!$A:$A,'TAZs by City - CCAG Model'!$B:$B,"Unknown")</f>
        <v>Milpitas</v>
      </c>
      <c r="C274" s="82">
        <f>_xlfn.XLOOKUP(A274,'TAZs by City - CCAG Model'!$A:$A,'TAZs by City - CCAG Model'!$C:$C,999)</f>
        <v>3</v>
      </c>
      <c r="D274" s="82" t="str">
        <f t="shared" si="32"/>
        <v>NO</v>
      </c>
      <c r="E274" s="27">
        <v>5955.44</v>
      </c>
      <c r="F274" s="27">
        <v>4628.2</v>
      </c>
      <c r="G274" s="27">
        <v>182.34</v>
      </c>
      <c r="H274" s="27">
        <v>129.6</v>
      </c>
      <c r="I274" s="27">
        <v>989.74</v>
      </c>
      <c r="J274" s="27">
        <v>12107.8</v>
      </c>
      <c r="K274" s="47">
        <f t="shared" si="33"/>
        <v>0.49186805199953748</v>
      </c>
      <c r="L274" s="47">
        <f t="shared" si="34"/>
        <v>0.38224945902641272</v>
      </c>
      <c r="M274" s="84">
        <f t="shared" si="35"/>
        <v>0.87411751102595026</v>
      </c>
      <c r="N274" s="47">
        <f t="shared" si="36"/>
        <v>1.5059713573068602E-2</v>
      </c>
      <c r="O274" s="47">
        <f t="shared" si="37"/>
        <v>1.0703843803168207E-2</v>
      </c>
      <c r="P274" s="47">
        <f t="shared" si="38"/>
        <v>8.1743999735707562E-2</v>
      </c>
      <c r="Q274" s="47">
        <f t="shared" si="39"/>
        <v>1</v>
      </c>
    </row>
    <row r="275" spans="1:17" x14ac:dyDescent="0.35">
      <c r="A275" s="82">
        <v>272</v>
      </c>
      <c r="B275" s="83" t="str">
        <f>_xlfn.XLOOKUP(A275,'TAZs by City - CCAG Model'!$A:$A,'TAZs by City - CCAG Model'!$B:$B,"Unknown")</f>
        <v>Milpitas</v>
      </c>
      <c r="C275" s="82">
        <f>_xlfn.XLOOKUP(A275,'TAZs by City - CCAG Model'!$A:$A,'TAZs by City - CCAG Model'!$C:$C,999)</f>
        <v>3</v>
      </c>
      <c r="D275" s="82" t="str">
        <f t="shared" si="32"/>
        <v>NO</v>
      </c>
      <c r="E275" s="27">
        <v>7521.76</v>
      </c>
      <c r="F275" s="27">
        <v>5809.2</v>
      </c>
      <c r="G275" s="27">
        <v>241.78</v>
      </c>
      <c r="H275" s="27">
        <v>144.58000000000001</v>
      </c>
      <c r="I275" s="27">
        <v>1120.9000000000001</v>
      </c>
      <c r="J275" s="27">
        <v>15114.84</v>
      </c>
      <c r="K275" s="47">
        <f t="shared" si="33"/>
        <v>0.49764072924357783</v>
      </c>
      <c r="L275" s="47">
        <f t="shared" si="34"/>
        <v>0.38433751200806621</v>
      </c>
      <c r="M275" s="84">
        <f t="shared" si="35"/>
        <v>0.88197824125164404</v>
      </c>
      <c r="N275" s="47">
        <f t="shared" si="36"/>
        <v>1.5996199761294197E-2</v>
      </c>
      <c r="O275" s="47">
        <f t="shared" si="37"/>
        <v>9.5654337062119083E-3</v>
      </c>
      <c r="P275" s="47">
        <f t="shared" si="38"/>
        <v>7.4158906081705139E-2</v>
      </c>
      <c r="Q275" s="47">
        <f t="shared" si="39"/>
        <v>1</v>
      </c>
    </row>
    <row r="276" spans="1:17" x14ac:dyDescent="0.35">
      <c r="A276" s="82">
        <v>273</v>
      </c>
      <c r="B276" s="83" t="str">
        <f>_xlfn.XLOOKUP(A276,'TAZs by City - CCAG Model'!$A:$A,'TAZs by City - CCAG Model'!$B:$B,"Unknown")</f>
        <v>Milpitas</v>
      </c>
      <c r="C276" s="82">
        <f>_xlfn.XLOOKUP(A276,'TAZs by City - CCAG Model'!$A:$A,'TAZs by City - CCAG Model'!$C:$C,999)</f>
        <v>3</v>
      </c>
      <c r="D276" s="82" t="str">
        <f t="shared" si="32"/>
        <v>NO</v>
      </c>
      <c r="E276" s="27">
        <v>8426.2999999999993</v>
      </c>
      <c r="F276" s="27">
        <v>2631</v>
      </c>
      <c r="G276" s="27">
        <v>93.12</v>
      </c>
      <c r="H276" s="27">
        <v>99.14</v>
      </c>
      <c r="I276" s="27">
        <v>410.76</v>
      </c>
      <c r="J276" s="27">
        <v>11783.46</v>
      </c>
      <c r="K276" s="47">
        <f t="shared" si="33"/>
        <v>0.71509556615798753</v>
      </c>
      <c r="L276" s="47">
        <f t="shared" si="34"/>
        <v>0.22327907083318482</v>
      </c>
      <c r="M276" s="84">
        <f t="shared" si="35"/>
        <v>0.93837463699117241</v>
      </c>
      <c r="N276" s="47">
        <f t="shared" si="36"/>
        <v>7.9026024614162575E-3</v>
      </c>
      <c r="O276" s="47">
        <f t="shared" si="37"/>
        <v>8.4134880586856503E-3</v>
      </c>
      <c r="P276" s="47">
        <f t="shared" si="38"/>
        <v>3.4859031218334856E-2</v>
      </c>
      <c r="Q276" s="47">
        <f t="shared" si="39"/>
        <v>1</v>
      </c>
    </row>
    <row r="277" spans="1:17" x14ac:dyDescent="0.35">
      <c r="A277" s="82">
        <v>274</v>
      </c>
      <c r="B277" s="83" t="str">
        <f>_xlfn.XLOOKUP(A277,'TAZs by City - CCAG Model'!$A:$A,'TAZs by City - CCAG Model'!$B:$B,"Unknown")</f>
        <v>Milpitas</v>
      </c>
      <c r="C277" s="82">
        <f>_xlfn.XLOOKUP(A277,'TAZs by City - CCAG Model'!$A:$A,'TAZs by City - CCAG Model'!$C:$C,999)</f>
        <v>3</v>
      </c>
      <c r="D277" s="82" t="str">
        <f t="shared" si="32"/>
        <v>NO</v>
      </c>
      <c r="E277" s="27">
        <v>4064.06</v>
      </c>
      <c r="F277" s="27">
        <v>2879.66</v>
      </c>
      <c r="G277" s="27">
        <v>98.14</v>
      </c>
      <c r="H277" s="27">
        <v>76.22</v>
      </c>
      <c r="I277" s="27">
        <v>624.82000000000005</v>
      </c>
      <c r="J277" s="27">
        <v>7880.62</v>
      </c>
      <c r="K277" s="47">
        <f t="shared" si="33"/>
        <v>0.51570307919935232</v>
      </c>
      <c r="L277" s="47">
        <f t="shared" si="34"/>
        <v>0.36541033573500559</v>
      </c>
      <c r="M277" s="84">
        <f t="shared" si="35"/>
        <v>0.88111341493435791</v>
      </c>
      <c r="N277" s="47">
        <f t="shared" si="36"/>
        <v>1.245333488989445E-2</v>
      </c>
      <c r="O277" s="47">
        <f t="shared" si="37"/>
        <v>9.6718278511081623E-3</v>
      </c>
      <c r="P277" s="47">
        <f t="shared" si="38"/>
        <v>7.9285639962337992E-2</v>
      </c>
      <c r="Q277" s="47">
        <f t="shared" si="39"/>
        <v>1</v>
      </c>
    </row>
    <row r="278" spans="1:17" x14ac:dyDescent="0.35">
      <c r="A278" s="82">
        <v>275</v>
      </c>
      <c r="B278" s="83" t="str">
        <f>_xlfn.XLOOKUP(A278,'TAZs by City - CCAG Model'!$A:$A,'TAZs by City - CCAG Model'!$B:$B,"Unknown")</f>
        <v>Milpitas</v>
      </c>
      <c r="C278" s="82">
        <f>_xlfn.XLOOKUP(A278,'TAZs by City - CCAG Model'!$A:$A,'TAZs by City - CCAG Model'!$C:$C,999)</f>
        <v>3</v>
      </c>
      <c r="D278" s="82" t="str">
        <f t="shared" si="32"/>
        <v>NO</v>
      </c>
      <c r="E278" s="27">
        <v>5017.76</v>
      </c>
      <c r="F278" s="27">
        <v>3775.78</v>
      </c>
      <c r="G278" s="27">
        <v>120.72</v>
      </c>
      <c r="H278" s="27">
        <v>95</v>
      </c>
      <c r="I278" s="27">
        <v>726.84</v>
      </c>
      <c r="J278" s="27">
        <v>9891.14</v>
      </c>
      <c r="K278" s="47">
        <f t="shared" si="33"/>
        <v>0.50729845093689918</v>
      </c>
      <c r="L278" s="47">
        <f t="shared" si="34"/>
        <v>0.38173355144098664</v>
      </c>
      <c r="M278" s="84">
        <f t="shared" si="35"/>
        <v>0.88903200237788582</v>
      </c>
      <c r="N278" s="47">
        <f t="shared" si="36"/>
        <v>1.2204862129137795E-2</v>
      </c>
      <c r="O278" s="47">
        <f t="shared" si="37"/>
        <v>9.6045551877741095E-3</v>
      </c>
      <c r="P278" s="47">
        <f t="shared" si="38"/>
        <v>7.3483946238755093E-2</v>
      </c>
      <c r="Q278" s="47">
        <f t="shared" si="39"/>
        <v>1</v>
      </c>
    </row>
    <row r="279" spans="1:17" x14ac:dyDescent="0.35">
      <c r="A279" s="82">
        <v>276</v>
      </c>
      <c r="B279" s="83" t="str">
        <f>_xlfn.XLOOKUP(A279,'TAZs by City - CCAG Model'!$A:$A,'TAZs by City - CCAG Model'!$B:$B,"Unknown")</f>
        <v>Milpitas</v>
      </c>
      <c r="C279" s="82">
        <f>_xlfn.XLOOKUP(A279,'TAZs by City - CCAG Model'!$A:$A,'TAZs by City - CCAG Model'!$C:$C,999)</f>
        <v>3</v>
      </c>
      <c r="D279" s="82" t="str">
        <f t="shared" si="32"/>
        <v>NO</v>
      </c>
      <c r="E279" s="27">
        <v>2760</v>
      </c>
      <c r="F279" s="27">
        <v>1858.5</v>
      </c>
      <c r="G279" s="27">
        <v>64.52</v>
      </c>
      <c r="H279" s="27">
        <v>52.3</v>
      </c>
      <c r="I279" s="27">
        <v>265.32</v>
      </c>
      <c r="J279" s="27">
        <v>5107.96</v>
      </c>
      <c r="K279" s="47">
        <f t="shared" si="33"/>
        <v>0.54033312711924131</v>
      </c>
      <c r="L279" s="47">
        <f t="shared" si="34"/>
        <v>0.36384388288083697</v>
      </c>
      <c r="M279" s="84">
        <f t="shared" si="35"/>
        <v>0.90417701000007833</v>
      </c>
      <c r="N279" s="47">
        <f t="shared" si="36"/>
        <v>1.2631265710772988E-2</v>
      </c>
      <c r="O279" s="47">
        <f t="shared" si="37"/>
        <v>1.0238921213165334E-2</v>
      </c>
      <c r="P279" s="47">
        <f t="shared" si="38"/>
        <v>5.1942458437419244E-2</v>
      </c>
      <c r="Q279" s="47">
        <f t="shared" si="39"/>
        <v>1</v>
      </c>
    </row>
    <row r="280" spans="1:17" x14ac:dyDescent="0.35">
      <c r="A280" s="82">
        <v>277</v>
      </c>
      <c r="B280" s="83" t="str">
        <f>_xlfn.XLOOKUP(A280,'TAZs by City - CCAG Model'!$A:$A,'TAZs by City - CCAG Model'!$B:$B,"Unknown")</f>
        <v>Milpitas</v>
      </c>
      <c r="C280" s="82">
        <f>_xlfn.XLOOKUP(A280,'TAZs by City - CCAG Model'!$A:$A,'TAZs by City - CCAG Model'!$C:$C,999)</f>
        <v>3</v>
      </c>
      <c r="D280" s="82" t="str">
        <f t="shared" si="32"/>
        <v>NO</v>
      </c>
      <c r="E280" s="27">
        <v>3343.76</v>
      </c>
      <c r="F280" s="27">
        <v>2711.88</v>
      </c>
      <c r="G280" s="27">
        <v>59.34</v>
      </c>
      <c r="H280" s="27">
        <v>61.94</v>
      </c>
      <c r="I280" s="27">
        <v>298.08</v>
      </c>
      <c r="J280" s="27">
        <v>6558.86</v>
      </c>
      <c r="K280" s="47">
        <f t="shared" si="33"/>
        <v>0.50980810689662537</v>
      </c>
      <c r="L280" s="47">
        <f t="shared" si="34"/>
        <v>0.41346819416788899</v>
      </c>
      <c r="M280" s="84">
        <f t="shared" si="35"/>
        <v>0.9232763010645143</v>
      </c>
      <c r="N280" s="47">
        <f t="shared" si="36"/>
        <v>9.0473039522112088E-3</v>
      </c>
      <c r="O280" s="47">
        <f t="shared" si="37"/>
        <v>9.4437143040101475E-3</v>
      </c>
      <c r="P280" s="47">
        <f t="shared" si="38"/>
        <v>4.5446922178549322E-2</v>
      </c>
      <c r="Q280" s="47">
        <f t="shared" si="39"/>
        <v>1</v>
      </c>
    </row>
    <row r="281" spans="1:17" x14ac:dyDescent="0.35">
      <c r="A281" s="82">
        <v>278</v>
      </c>
      <c r="B281" s="83" t="str">
        <f>_xlfn.XLOOKUP(A281,'TAZs by City - CCAG Model'!$A:$A,'TAZs by City - CCAG Model'!$B:$B,"Unknown")</f>
        <v>Milpitas</v>
      </c>
      <c r="C281" s="82">
        <f>_xlfn.XLOOKUP(A281,'TAZs by City - CCAG Model'!$A:$A,'TAZs by City - CCAG Model'!$C:$C,999)</f>
        <v>3</v>
      </c>
      <c r="D281" s="82" t="str">
        <f t="shared" si="32"/>
        <v>NO</v>
      </c>
      <c r="E281" s="27">
        <v>5188.72</v>
      </c>
      <c r="F281" s="27">
        <v>1509.32</v>
      </c>
      <c r="G281" s="27">
        <v>78.56</v>
      </c>
      <c r="H281" s="27">
        <v>51.74</v>
      </c>
      <c r="I281" s="27">
        <v>244.32</v>
      </c>
      <c r="J281" s="27">
        <v>7185.72</v>
      </c>
      <c r="K281" s="47">
        <f t="shared" si="33"/>
        <v>0.72208769615292556</v>
      </c>
      <c r="L281" s="47">
        <f t="shared" si="34"/>
        <v>0.21004436576988805</v>
      </c>
      <c r="M281" s="84">
        <f t="shared" si="35"/>
        <v>0.9321320619228135</v>
      </c>
      <c r="N281" s="47">
        <f t="shared" si="36"/>
        <v>1.093279448684335E-2</v>
      </c>
      <c r="O281" s="47">
        <f t="shared" si="37"/>
        <v>7.2003918883563516E-3</v>
      </c>
      <c r="P281" s="47">
        <f t="shared" si="38"/>
        <v>3.4000768190243981E-2</v>
      </c>
      <c r="Q281" s="47">
        <f t="shared" si="39"/>
        <v>1</v>
      </c>
    </row>
    <row r="282" spans="1:17" x14ac:dyDescent="0.35">
      <c r="A282" s="82">
        <v>279</v>
      </c>
      <c r="B282" s="83" t="str">
        <f>_xlfn.XLOOKUP(A282,'TAZs by City - CCAG Model'!$A:$A,'TAZs by City - CCAG Model'!$B:$B,"Unknown")</f>
        <v>Milpitas</v>
      </c>
      <c r="C282" s="82">
        <f>_xlfn.XLOOKUP(A282,'TAZs by City - CCAG Model'!$A:$A,'TAZs by City - CCAG Model'!$C:$C,999)</f>
        <v>3</v>
      </c>
      <c r="D282" s="82" t="str">
        <f t="shared" si="32"/>
        <v>NO</v>
      </c>
      <c r="E282" s="27">
        <v>7948</v>
      </c>
      <c r="F282" s="27">
        <v>2289.52</v>
      </c>
      <c r="G282" s="27">
        <v>207.32</v>
      </c>
      <c r="H282" s="27">
        <v>83.44</v>
      </c>
      <c r="I282" s="27">
        <v>420.24</v>
      </c>
      <c r="J282" s="27">
        <v>11185.74</v>
      </c>
      <c r="K282" s="47">
        <f t="shared" si="33"/>
        <v>0.71054753641690227</v>
      </c>
      <c r="L282" s="47">
        <f t="shared" si="34"/>
        <v>0.2046820326594396</v>
      </c>
      <c r="M282" s="84">
        <f t="shared" si="35"/>
        <v>0.9152295690763419</v>
      </c>
      <c r="N282" s="47">
        <f t="shared" si="36"/>
        <v>1.8534312437085074E-2</v>
      </c>
      <c r="O282" s="47">
        <f t="shared" si="37"/>
        <v>7.45949753883069E-3</v>
      </c>
      <c r="P282" s="47">
        <f t="shared" si="38"/>
        <v>3.7569262292883619E-2</v>
      </c>
      <c r="Q282" s="47">
        <f t="shared" si="39"/>
        <v>1</v>
      </c>
    </row>
    <row r="283" spans="1:17" x14ac:dyDescent="0.35">
      <c r="A283" s="82">
        <v>280</v>
      </c>
      <c r="B283" s="83" t="str">
        <f>_xlfn.XLOOKUP(A283,'TAZs by City - CCAG Model'!$A:$A,'TAZs by City - CCAG Model'!$B:$B,"Unknown")</f>
        <v>Milpitas</v>
      </c>
      <c r="C283" s="82">
        <f>_xlfn.XLOOKUP(A283,'TAZs by City - CCAG Model'!$A:$A,'TAZs by City - CCAG Model'!$C:$C,999)</f>
        <v>3</v>
      </c>
      <c r="D283" s="82" t="str">
        <f t="shared" si="32"/>
        <v>NO</v>
      </c>
      <c r="E283" s="27">
        <v>12542.74</v>
      </c>
      <c r="F283" s="27">
        <v>6854.64</v>
      </c>
      <c r="G283" s="27">
        <v>512.82000000000005</v>
      </c>
      <c r="H283" s="27">
        <v>188.76</v>
      </c>
      <c r="I283" s="27">
        <v>1434.7</v>
      </c>
      <c r="J283" s="27">
        <v>22083.3</v>
      </c>
      <c r="K283" s="47">
        <f t="shared" si="33"/>
        <v>0.56797398939470101</v>
      </c>
      <c r="L283" s="47">
        <f t="shared" si="34"/>
        <v>0.31039926098001658</v>
      </c>
      <c r="M283" s="84">
        <f t="shared" si="35"/>
        <v>0.87837325037471758</v>
      </c>
      <c r="N283" s="47">
        <f t="shared" si="36"/>
        <v>2.3222072788034401E-2</v>
      </c>
      <c r="O283" s="47">
        <f t="shared" si="37"/>
        <v>8.5476355436008202E-3</v>
      </c>
      <c r="P283" s="47">
        <f t="shared" si="38"/>
        <v>6.4967645234181484E-2</v>
      </c>
      <c r="Q283" s="47">
        <f t="shared" si="39"/>
        <v>1</v>
      </c>
    </row>
    <row r="284" spans="1:17" x14ac:dyDescent="0.35">
      <c r="A284" s="82">
        <v>281</v>
      </c>
      <c r="B284" s="83" t="str">
        <f>_xlfn.XLOOKUP(A284,'TAZs by City - CCAG Model'!$A:$A,'TAZs by City - CCAG Model'!$B:$B,"Unknown")</f>
        <v>Milpitas</v>
      </c>
      <c r="C284" s="82">
        <f>_xlfn.XLOOKUP(A284,'TAZs by City - CCAG Model'!$A:$A,'TAZs by City - CCAG Model'!$C:$C,999)</f>
        <v>3</v>
      </c>
      <c r="D284" s="82" t="str">
        <f t="shared" si="32"/>
        <v>NO</v>
      </c>
      <c r="E284" s="27">
        <v>2492.62</v>
      </c>
      <c r="F284" s="27">
        <v>1573.14</v>
      </c>
      <c r="G284" s="27">
        <v>128.46</v>
      </c>
      <c r="H284" s="27">
        <v>41.06</v>
      </c>
      <c r="I284" s="27">
        <v>227.38</v>
      </c>
      <c r="J284" s="27">
        <v>4630.4799999999996</v>
      </c>
      <c r="K284" s="47">
        <f t="shared" si="33"/>
        <v>0.53830704376220173</v>
      </c>
      <c r="L284" s="47">
        <f t="shared" si="34"/>
        <v>0.33973583732140084</v>
      </c>
      <c r="M284" s="84">
        <f t="shared" si="35"/>
        <v>0.87804288108360273</v>
      </c>
      <c r="N284" s="47">
        <f t="shared" si="36"/>
        <v>2.7742264300893216E-2</v>
      </c>
      <c r="O284" s="47">
        <f t="shared" si="37"/>
        <v>8.867331248596259E-3</v>
      </c>
      <c r="P284" s="47">
        <f t="shared" si="38"/>
        <v>4.9105060382508947E-2</v>
      </c>
      <c r="Q284" s="47">
        <f t="shared" si="39"/>
        <v>1</v>
      </c>
    </row>
    <row r="285" spans="1:17" x14ac:dyDescent="0.35">
      <c r="A285" s="82">
        <v>282</v>
      </c>
      <c r="B285" s="83" t="str">
        <f>_xlfn.XLOOKUP(A285,'TAZs by City - CCAG Model'!$A:$A,'TAZs by City - CCAG Model'!$B:$B,"Unknown")</f>
        <v>Milpitas</v>
      </c>
      <c r="C285" s="82">
        <f>_xlfn.XLOOKUP(A285,'TAZs by City - CCAG Model'!$A:$A,'TAZs by City - CCAG Model'!$C:$C,999)</f>
        <v>3</v>
      </c>
      <c r="D285" s="82" t="str">
        <f t="shared" si="32"/>
        <v>NO</v>
      </c>
      <c r="E285" s="27">
        <v>2001.92</v>
      </c>
      <c r="F285" s="27">
        <v>1241.46</v>
      </c>
      <c r="G285" s="27">
        <v>173.44</v>
      </c>
      <c r="H285" s="27">
        <v>41.02</v>
      </c>
      <c r="I285" s="27">
        <v>221.18</v>
      </c>
      <c r="J285" s="27">
        <v>3888.34</v>
      </c>
      <c r="K285" s="47">
        <f t="shared" si="33"/>
        <v>0.51485209626730177</v>
      </c>
      <c r="L285" s="47">
        <f t="shared" si="34"/>
        <v>0.31927763518622343</v>
      </c>
      <c r="M285" s="84">
        <f t="shared" si="35"/>
        <v>0.8341297314535252</v>
      </c>
      <c r="N285" s="47">
        <f t="shared" si="36"/>
        <v>4.4605152841572494E-2</v>
      </c>
      <c r="O285" s="47">
        <f t="shared" si="37"/>
        <v>1.0549488985016743E-2</v>
      </c>
      <c r="P285" s="47">
        <f t="shared" si="38"/>
        <v>5.6882885755875259E-2</v>
      </c>
      <c r="Q285" s="47">
        <f t="shared" si="39"/>
        <v>1</v>
      </c>
    </row>
    <row r="286" spans="1:17" x14ac:dyDescent="0.35">
      <c r="A286" s="82">
        <v>283</v>
      </c>
      <c r="B286" s="83" t="str">
        <f>_xlfn.XLOOKUP(A286,'TAZs by City - CCAG Model'!$A:$A,'TAZs by City - CCAG Model'!$B:$B,"Unknown")</f>
        <v>Milpitas</v>
      </c>
      <c r="C286" s="82">
        <f>_xlfn.XLOOKUP(A286,'TAZs by City - CCAG Model'!$A:$A,'TAZs by City - CCAG Model'!$C:$C,999)</f>
        <v>3</v>
      </c>
      <c r="D286" s="82" t="str">
        <f t="shared" si="32"/>
        <v>NO</v>
      </c>
      <c r="E286" s="27">
        <v>2526.06</v>
      </c>
      <c r="F286" s="27">
        <v>1476.66</v>
      </c>
      <c r="G286" s="27">
        <v>149.08000000000001</v>
      </c>
      <c r="H286" s="27">
        <v>51.5</v>
      </c>
      <c r="I286" s="27">
        <v>246.68</v>
      </c>
      <c r="J286" s="27">
        <v>4645.68</v>
      </c>
      <c r="K286" s="47">
        <f t="shared" si="33"/>
        <v>0.54374386526837837</v>
      </c>
      <c r="L286" s="47">
        <f t="shared" si="34"/>
        <v>0.31785658934752287</v>
      </c>
      <c r="M286" s="84">
        <f t="shared" si="35"/>
        <v>0.86160045461590118</v>
      </c>
      <c r="N286" s="47">
        <f t="shared" si="36"/>
        <v>3.2090027724681856E-2</v>
      </c>
      <c r="O286" s="47">
        <f t="shared" si="37"/>
        <v>1.1085567667166054E-2</v>
      </c>
      <c r="P286" s="47">
        <f t="shared" si="38"/>
        <v>5.309879285701985E-2</v>
      </c>
      <c r="Q286" s="47">
        <f t="shared" si="39"/>
        <v>1</v>
      </c>
    </row>
    <row r="287" spans="1:17" x14ac:dyDescent="0.35">
      <c r="A287" s="82">
        <v>284</v>
      </c>
      <c r="B287" s="83" t="str">
        <f>_xlfn.XLOOKUP(A287,'TAZs by City - CCAG Model'!$A:$A,'TAZs by City - CCAG Model'!$B:$B,"Unknown")</f>
        <v>Milpitas</v>
      </c>
      <c r="C287" s="82">
        <f>_xlfn.XLOOKUP(A287,'TAZs by City - CCAG Model'!$A:$A,'TAZs by City - CCAG Model'!$C:$C,999)</f>
        <v>3</v>
      </c>
      <c r="D287" s="82" t="str">
        <f t="shared" si="32"/>
        <v>NO</v>
      </c>
      <c r="E287" s="27">
        <v>3549.18</v>
      </c>
      <c r="F287" s="27">
        <v>1939.92</v>
      </c>
      <c r="G287" s="27">
        <v>110.2</v>
      </c>
      <c r="H287" s="27">
        <v>57.96</v>
      </c>
      <c r="I287" s="27">
        <v>226.38</v>
      </c>
      <c r="J287" s="27">
        <v>6042.6</v>
      </c>
      <c r="K287" s="47">
        <f t="shared" si="33"/>
        <v>0.587359745804786</v>
      </c>
      <c r="L287" s="47">
        <f t="shared" si="34"/>
        <v>0.32104061165723363</v>
      </c>
      <c r="M287" s="84">
        <f t="shared" si="35"/>
        <v>0.90840035746201964</v>
      </c>
      <c r="N287" s="47">
        <f t="shared" si="36"/>
        <v>1.8237182669711714E-2</v>
      </c>
      <c r="O287" s="47">
        <f t="shared" si="37"/>
        <v>9.5918975275543633E-3</v>
      </c>
      <c r="P287" s="47">
        <f t="shared" si="38"/>
        <v>3.7464005560520305E-2</v>
      </c>
      <c r="Q287" s="47">
        <f t="shared" si="39"/>
        <v>1</v>
      </c>
    </row>
    <row r="288" spans="1:17" x14ac:dyDescent="0.35">
      <c r="A288" s="82">
        <v>285</v>
      </c>
      <c r="B288" s="83" t="str">
        <f>_xlfn.XLOOKUP(A288,'TAZs by City - CCAG Model'!$A:$A,'TAZs by City - CCAG Model'!$B:$B,"Unknown")</f>
        <v>Milpitas</v>
      </c>
      <c r="C288" s="82">
        <f>_xlfn.XLOOKUP(A288,'TAZs by City - CCAG Model'!$A:$A,'TAZs by City - CCAG Model'!$C:$C,999)</f>
        <v>3</v>
      </c>
      <c r="D288" s="82" t="str">
        <f t="shared" si="32"/>
        <v>NO</v>
      </c>
      <c r="E288" s="27">
        <v>1789.72</v>
      </c>
      <c r="F288" s="27">
        <v>468.58</v>
      </c>
      <c r="G288" s="27">
        <v>76.92</v>
      </c>
      <c r="H288" s="27">
        <v>13</v>
      </c>
      <c r="I288" s="27">
        <v>47.1</v>
      </c>
      <c r="J288" s="27">
        <v>2521.5</v>
      </c>
      <c r="K288" s="47">
        <f t="shared" si="33"/>
        <v>0.70978385881419792</v>
      </c>
      <c r="L288" s="47">
        <f t="shared" si="34"/>
        <v>0.18583382906999801</v>
      </c>
      <c r="M288" s="84">
        <f t="shared" si="35"/>
        <v>0.89561768788419593</v>
      </c>
      <c r="N288" s="47">
        <f t="shared" si="36"/>
        <v>3.0505651397977396E-2</v>
      </c>
      <c r="O288" s="47">
        <f t="shared" si="37"/>
        <v>5.1556613127106878E-3</v>
      </c>
      <c r="P288" s="47">
        <f t="shared" si="38"/>
        <v>1.8679357525282572E-2</v>
      </c>
      <c r="Q288" s="47">
        <f t="shared" si="39"/>
        <v>1</v>
      </c>
    </row>
    <row r="289" spans="1:17" x14ac:dyDescent="0.35">
      <c r="A289" s="82">
        <v>286</v>
      </c>
      <c r="B289" s="83" t="str">
        <f>_xlfn.XLOOKUP(A289,'TAZs by City - CCAG Model'!$A:$A,'TAZs by City - CCAG Model'!$B:$B,"Unknown")</f>
        <v>Milpitas</v>
      </c>
      <c r="C289" s="82">
        <f>_xlfn.XLOOKUP(A289,'TAZs by City - CCAG Model'!$A:$A,'TAZs by City - CCAG Model'!$C:$C,999)</f>
        <v>3</v>
      </c>
      <c r="D289" s="82" t="str">
        <f t="shared" si="32"/>
        <v>NO</v>
      </c>
      <c r="E289" s="27">
        <v>11575.88</v>
      </c>
      <c r="F289" s="27">
        <v>3588.92</v>
      </c>
      <c r="G289" s="27">
        <v>326.36</v>
      </c>
      <c r="H289" s="27">
        <v>126.02</v>
      </c>
      <c r="I289" s="27">
        <v>344.24</v>
      </c>
      <c r="J289" s="27">
        <v>16311.68</v>
      </c>
      <c r="K289" s="47">
        <f t="shared" si="33"/>
        <v>0.70966816416212175</v>
      </c>
      <c r="L289" s="47">
        <f t="shared" si="34"/>
        <v>0.22002148153960843</v>
      </c>
      <c r="M289" s="84">
        <f t="shared" si="35"/>
        <v>0.92968964570173018</v>
      </c>
      <c r="N289" s="47">
        <f t="shared" si="36"/>
        <v>2.0007749048534546E-2</v>
      </c>
      <c r="O289" s="47">
        <f t="shared" si="37"/>
        <v>7.7257523443324044E-3</v>
      </c>
      <c r="P289" s="47">
        <f t="shared" si="38"/>
        <v>2.1103896103896104E-2</v>
      </c>
      <c r="Q289" s="47">
        <f t="shared" si="39"/>
        <v>1</v>
      </c>
    </row>
    <row r="290" spans="1:17" x14ac:dyDescent="0.35">
      <c r="A290" s="82">
        <v>287</v>
      </c>
      <c r="B290" s="83" t="str">
        <f>_xlfn.XLOOKUP(A290,'TAZs by City - CCAG Model'!$A:$A,'TAZs by City - CCAG Model'!$B:$B,"Unknown")</f>
        <v>Milpitas</v>
      </c>
      <c r="C290" s="82">
        <f>_xlfn.XLOOKUP(A290,'TAZs by City - CCAG Model'!$A:$A,'TAZs by City - CCAG Model'!$C:$C,999)</f>
        <v>3</v>
      </c>
      <c r="D290" s="82" t="str">
        <f t="shared" si="32"/>
        <v>NO</v>
      </c>
      <c r="E290" s="27">
        <v>4543.54</v>
      </c>
      <c r="F290" s="27">
        <v>1573.6</v>
      </c>
      <c r="G290" s="27">
        <v>239.2</v>
      </c>
      <c r="H290" s="27">
        <v>57.22</v>
      </c>
      <c r="I290" s="27">
        <v>382.66</v>
      </c>
      <c r="J290" s="27">
        <v>7078.06</v>
      </c>
      <c r="K290" s="47">
        <f t="shared" si="33"/>
        <v>0.6419188308660847</v>
      </c>
      <c r="L290" s="47">
        <f t="shared" si="34"/>
        <v>0.22232080541843383</v>
      </c>
      <c r="M290" s="84">
        <f t="shared" si="35"/>
        <v>0.8642396362845185</v>
      </c>
      <c r="N290" s="47">
        <f t="shared" si="36"/>
        <v>3.37945708287299E-2</v>
      </c>
      <c r="O290" s="47">
        <f t="shared" si="37"/>
        <v>8.0841360485782825E-3</v>
      </c>
      <c r="P290" s="47">
        <f t="shared" si="38"/>
        <v>5.4062836426930543E-2</v>
      </c>
      <c r="Q290" s="47">
        <f t="shared" si="39"/>
        <v>1</v>
      </c>
    </row>
    <row r="291" spans="1:17" x14ac:dyDescent="0.35">
      <c r="A291" s="82">
        <v>288</v>
      </c>
      <c r="B291" s="83" t="str">
        <f>_xlfn.XLOOKUP(A291,'TAZs by City - CCAG Model'!$A:$A,'TAZs by City - CCAG Model'!$B:$B,"Unknown")</f>
        <v>Milpitas</v>
      </c>
      <c r="C291" s="82">
        <f>_xlfn.XLOOKUP(A291,'TAZs by City - CCAG Model'!$A:$A,'TAZs by City - CCAG Model'!$C:$C,999)</f>
        <v>3</v>
      </c>
      <c r="D291" s="82" t="str">
        <f t="shared" si="32"/>
        <v>NO</v>
      </c>
      <c r="E291" s="27">
        <v>1165.74</v>
      </c>
      <c r="F291" s="27">
        <v>298.22000000000003</v>
      </c>
      <c r="G291" s="27">
        <v>21.8</v>
      </c>
      <c r="H291" s="27">
        <v>7.56</v>
      </c>
      <c r="I291" s="27">
        <v>24.52</v>
      </c>
      <c r="J291" s="27">
        <v>1588.88</v>
      </c>
      <c r="K291" s="47">
        <f t="shared" si="33"/>
        <v>0.73368662202306023</v>
      </c>
      <c r="L291" s="47">
        <f t="shared" si="34"/>
        <v>0.18769195911585521</v>
      </c>
      <c r="M291" s="84">
        <f t="shared" si="35"/>
        <v>0.92137858113891546</v>
      </c>
      <c r="N291" s="47">
        <f t="shared" si="36"/>
        <v>1.3720356477518755E-2</v>
      </c>
      <c r="O291" s="47">
        <f t="shared" si="37"/>
        <v>4.7580685766074214E-3</v>
      </c>
      <c r="P291" s="47">
        <f t="shared" si="38"/>
        <v>1.5432254166456874E-2</v>
      </c>
      <c r="Q291" s="47">
        <f t="shared" si="39"/>
        <v>1</v>
      </c>
    </row>
    <row r="292" spans="1:17" x14ac:dyDescent="0.35">
      <c r="A292" s="82">
        <v>289</v>
      </c>
      <c r="B292" s="83" t="str">
        <f>_xlfn.XLOOKUP(A292,'TAZs by City - CCAG Model'!$A:$A,'TAZs by City - CCAG Model'!$B:$B,"Unknown")</f>
        <v>Milpitas</v>
      </c>
      <c r="C292" s="82">
        <f>_xlfn.XLOOKUP(A292,'TAZs by City - CCAG Model'!$A:$A,'TAZs by City - CCAG Model'!$C:$C,999)</f>
        <v>3</v>
      </c>
      <c r="D292" s="82" t="str">
        <f t="shared" si="32"/>
        <v>NO</v>
      </c>
      <c r="E292" s="27">
        <v>3772.18</v>
      </c>
      <c r="F292" s="27">
        <v>1136.3800000000001</v>
      </c>
      <c r="G292" s="27">
        <v>123.26</v>
      </c>
      <c r="H292" s="27">
        <v>45.64</v>
      </c>
      <c r="I292" s="27">
        <v>102.34</v>
      </c>
      <c r="J292" s="27">
        <v>5350.22</v>
      </c>
      <c r="K292" s="47">
        <f t="shared" si="33"/>
        <v>0.70505138106470377</v>
      </c>
      <c r="L292" s="47">
        <f t="shared" si="34"/>
        <v>0.21239874248161758</v>
      </c>
      <c r="M292" s="84">
        <f t="shared" si="35"/>
        <v>0.91745012354632127</v>
      </c>
      <c r="N292" s="47">
        <f t="shared" si="36"/>
        <v>2.3038304966898557E-2</v>
      </c>
      <c r="O292" s="47">
        <f t="shared" si="37"/>
        <v>8.5304903349768795E-3</v>
      </c>
      <c r="P292" s="47">
        <f t="shared" si="38"/>
        <v>1.9128185383030977E-2</v>
      </c>
      <c r="Q292" s="47">
        <f t="shared" si="39"/>
        <v>1</v>
      </c>
    </row>
    <row r="293" spans="1:17" x14ac:dyDescent="0.35">
      <c r="A293" s="82">
        <v>290</v>
      </c>
      <c r="B293" s="83" t="str">
        <f>_xlfn.XLOOKUP(A293,'TAZs by City - CCAG Model'!$A:$A,'TAZs by City - CCAG Model'!$B:$B,"Unknown")</f>
        <v>Milpitas</v>
      </c>
      <c r="C293" s="82">
        <f>_xlfn.XLOOKUP(A293,'TAZs by City - CCAG Model'!$A:$A,'TAZs by City - CCAG Model'!$C:$C,999)</f>
        <v>3</v>
      </c>
      <c r="D293" s="82" t="str">
        <f t="shared" si="32"/>
        <v>NO</v>
      </c>
      <c r="E293" s="27">
        <v>3596.76</v>
      </c>
      <c r="F293" s="27">
        <v>966.42</v>
      </c>
      <c r="G293" s="27">
        <v>163.47999999999999</v>
      </c>
      <c r="H293" s="27">
        <v>28.96</v>
      </c>
      <c r="I293" s="27">
        <v>95.26</v>
      </c>
      <c r="J293" s="27">
        <v>5054.92</v>
      </c>
      <c r="K293" s="47">
        <f t="shared" si="33"/>
        <v>0.71153648326778662</v>
      </c>
      <c r="L293" s="47">
        <f t="shared" si="34"/>
        <v>0.19118403456434521</v>
      </c>
      <c r="M293" s="84">
        <f t="shared" si="35"/>
        <v>0.90272051783213192</v>
      </c>
      <c r="N293" s="47">
        <f t="shared" si="36"/>
        <v>3.2340768993376748E-2</v>
      </c>
      <c r="O293" s="47">
        <f t="shared" si="37"/>
        <v>5.7290718745301606E-3</v>
      </c>
      <c r="P293" s="47">
        <f t="shared" si="38"/>
        <v>1.8845006449162403E-2</v>
      </c>
      <c r="Q293" s="47">
        <f t="shared" si="39"/>
        <v>1</v>
      </c>
    </row>
    <row r="294" spans="1:17" x14ac:dyDescent="0.35">
      <c r="A294" s="82">
        <v>291</v>
      </c>
      <c r="B294" s="83" t="str">
        <f>_xlfn.XLOOKUP(A294,'TAZs by City - CCAG Model'!$A:$A,'TAZs by City - CCAG Model'!$B:$B,"Unknown")</f>
        <v>Milpitas</v>
      </c>
      <c r="C294" s="82">
        <f>_xlfn.XLOOKUP(A294,'TAZs by City - CCAG Model'!$A:$A,'TAZs by City - CCAG Model'!$C:$C,999)</f>
        <v>3</v>
      </c>
      <c r="D294" s="82" t="str">
        <f t="shared" si="32"/>
        <v>NO</v>
      </c>
      <c r="E294" s="27">
        <v>1665.36</v>
      </c>
      <c r="F294" s="27">
        <v>495.48</v>
      </c>
      <c r="G294" s="27">
        <v>0.96</v>
      </c>
      <c r="H294" s="27">
        <v>9.5399999999999991</v>
      </c>
      <c r="I294" s="27">
        <v>22.64</v>
      </c>
      <c r="J294" s="27">
        <v>2228.6999999999998</v>
      </c>
      <c r="K294" s="47">
        <f t="shared" si="33"/>
        <v>0.74723381343384032</v>
      </c>
      <c r="L294" s="47">
        <f t="shared" si="34"/>
        <v>0.2223179431955849</v>
      </c>
      <c r="M294" s="84">
        <f t="shared" si="35"/>
        <v>0.96955175662942539</v>
      </c>
      <c r="N294" s="47">
        <f t="shared" si="36"/>
        <v>4.3074438013191547E-4</v>
      </c>
      <c r="O294" s="47">
        <f t="shared" si="37"/>
        <v>4.2805222775609102E-3</v>
      </c>
      <c r="P294" s="47">
        <f t="shared" si="38"/>
        <v>1.0158388298111007E-2</v>
      </c>
      <c r="Q294" s="47">
        <f t="shared" si="39"/>
        <v>1</v>
      </c>
    </row>
    <row r="295" spans="1:17" x14ac:dyDescent="0.35">
      <c r="A295" s="82">
        <v>292</v>
      </c>
      <c r="B295" s="83" t="str">
        <f>_xlfn.XLOOKUP(A295,'TAZs by City - CCAG Model'!$A:$A,'TAZs by City - CCAG Model'!$B:$B,"Unknown")</f>
        <v>Milpitas</v>
      </c>
      <c r="C295" s="82">
        <f>_xlfn.XLOOKUP(A295,'TAZs by City - CCAG Model'!$A:$A,'TAZs by City - CCAG Model'!$C:$C,999)</f>
        <v>3</v>
      </c>
      <c r="D295" s="82" t="str">
        <f t="shared" si="32"/>
        <v>NO</v>
      </c>
      <c r="E295" s="27">
        <v>3692.5</v>
      </c>
      <c r="F295" s="27">
        <v>2688.22</v>
      </c>
      <c r="G295" s="27">
        <v>85.64</v>
      </c>
      <c r="H295" s="27">
        <v>70.92</v>
      </c>
      <c r="I295" s="27">
        <v>341.78</v>
      </c>
      <c r="J295" s="27">
        <v>7006.22</v>
      </c>
      <c r="K295" s="47">
        <f t="shared" si="33"/>
        <v>0.52703169469414324</v>
      </c>
      <c r="L295" s="47">
        <f t="shared" si="34"/>
        <v>0.38369049216267825</v>
      </c>
      <c r="M295" s="84">
        <f t="shared" si="35"/>
        <v>0.91072218685682138</v>
      </c>
      <c r="N295" s="47">
        <f t="shared" si="36"/>
        <v>1.2223424328667954E-2</v>
      </c>
      <c r="O295" s="47">
        <f t="shared" si="37"/>
        <v>1.0122434065730166E-2</v>
      </c>
      <c r="P295" s="47">
        <f t="shared" si="38"/>
        <v>4.8782367667586798E-2</v>
      </c>
      <c r="Q295" s="47">
        <f t="shared" si="39"/>
        <v>1</v>
      </c>
    </row>
    <row r="296" spans="1:17" x14ac:dyDescent="0.35">
      <c r="A296" s="82">
        <v>293</v>
      </c>
      <c r="B296" s="83" t="str">
        <f>_xlfn.XLOOKUP(A296,'TAZs by City - CCAG Model'!$A:$A,'TAZs by City - CCAG Model'!$B:$B,"Unknown")</f>
        <v>Milpitas</v>
      </c>
      <c r="C296" s="82">
        <f>_xlfn.XLOOKUP(A296,'TAZs by City - CCAG Model'!$A:$A,'TAZs by City - CCAG Model'!$C:$C,999)</f>
        <v>3</v>
      </c>
      <c r="D296" s="82" t="str">
        <f t="shared" si="32"/>
        <v>NO</v>
      </c>
      <c r="E296" s="27">
        <v>2915.4</v>
      </c>
      <c r="F296" s="27">
        <v>2146.42</v>
      </c>
      <c r="G296" s="27">
        <v>102.62</v>
      </c>
      <c r="H296" s="27">
        <v>54.9</v>
      </c>
      <c r="I296" s="27">
        <v>351.78</v>
      </c>
      <c r="J296" s="27">
        <v>5713.16</v>
      </c>
      <c r="K296" s="47">
        <f t="shared" si="33"/>
        <v>0.51029552821905921</v>
      </c>
      <c r="L296" s="47">
        <f t="shared" si="34"/>
        <v>0.37569751240994476</v>
      </c>
      <c r="M296" s="84">
        <f t="shared" si="35"/>
        <v>0.88599304062900386</v>
      </c>
      <c r="N296" s="47">
        <f t="shared" si="36"/>
        <v>1.7962038521588754E-2</v>
      </c>
      <c r="O296" s="47">
        <f t="shared" si="37"/>
        <v>9.6093930504309345E-3</v>
      </c>
      <c r="P296" s="47">
        <f t="shared" si="38"/>
        <v>6.1573630005111006E-2</v>
      </c>
      <c r="Q296" s="47">
        <f t="shared" si="39"/>
        <v>1</v>
      </c>
    </row>
    <row r="297" spans="1:17" x14ac:dyDescent="0.35">
      <c r="A297" s="82">
        <v>294</v>
      </c>
      <c r="B297" s="83" t="str">
        <f>_xlfn.XLOOKUP(A297,'TAZs by City - CCAG Model'!$A:$A,'TAZs by City - CCAG Model'!$B:$B,"Unknown")</f>
        <v>Milpitas</v>
      </c>
      <c r="C297" s="82">
        <f>_xlfn.XLOOKUP(A297,'TAZs by City - CCAG Model'!$A:$A,'TAZs by City - CCAG Model'!$C:$C,999)</f>
        <v>3</v>
      </c>
      <c r="D297" s="82" t="str">
        <f t="shared" si="32"/>
        <v>NO</v>
      </c>
      <c r="E297" s="27">
        <v>1567.58</v>
      </c>
      <c r="F297" s="27">
        <v>1251</v>
      </c>
      <c r="G297" s="27">
        <v>52.12</v>
      </c>
      <c r="H297" s="27">
        <v>27.3</v>
      </c>
      <c r="I297" s="27">
        <v>190.06</v>
      </c>
      <c r="J297" s="27">
        <v>3175.1</v>
      </c>
      <c r="K297" s="47">
        <f t="shared" si="33"/>
        <v>0.49371043431702938</v>
      </c>
      <c r="L297" s="47">
        <f t="shared" si="34"/>
        <v>0.39400333847752828</v>
      </c>
      <c r="M297" s="84">
        <f t="shared" si="35"/>
        <v>0.88771377279455765</v>
      </c>
      <c r="N297" s="47">
        <f t="shared" si="36"/>
        <v>1.6415231016345941E-2</v>
      </c>
      <c r="O297" s="47">
        <f t="shared" si="37"/>
        <v>8.5981543888381477E-3</v>
      </c>
      <c r="P297" s="47">
        <f t="shared" si="38"/>
        <v>5.9859531983244625E-2</v>
      </c>
      <c r="Q297" s="47">
        <f t="shared" si="39"/>
        <v>1</v>
      </c>
    </row>
    <row r="298" spans="1:17" x14ac:dyDescent="0.35">
      <c r="A298" s="82">
        <v>295</v>
      </c>
      <c r="B298" s="83" t="str">
        <f>_xlfn.XLOOKUP(A298,'TAZs by City - CCAG Model'!$A:$A,'TAZs by City - CCAG Model'!$B:$B,"Unknown")</f>
        <v>Milpitas</v>
      </c>
      <c r="C298" s="82">
        <f>_xlfn.XLOOKUP(A298,'TAZs by City - CCAG Model'!$A:$A,'TAZs by City - CCAG Model'!$C:$C,999)</f>
        <v>3</v>
      </c>
      <c r="D298" s="82" t="str">
        <f t="shared" si="32"/>
        <v>NO</v>
      </c>
      <c r="E298" s="27">
        <v>3970.76</v>
      </c>
      <c r="F298" s="27">
        <v>2870.82</v>
      </c>
      <c r="G298" s="27">
        <v>115.7</v>
      </c>
      <c r="H298" s="27">
        <v>72.42</v>
      </c>
      <c r="I298" s="27">
        <v>438.74</v>
      </c>
      <c r="J298" s="27">
        <v>7627.6</v>
      </c>
      <c r="K298" s="47">
        <f t="shared" si="33"/>
        <v>0.5205779013057843</v>
      </c>
      <c r="L298" s="47">
        <f t="shared" si="34"/>
        <v>0.37637264670407466</v>
      </c>
      <c r="M298" s="84">
        <f t="shared" si="35"/>
        <v>0.89695054800985885</v>
      </c>
      <c r="N298" s="47">
        <f t="shared" si="36"/>
        <v>1.5168598248466097E-2</v>
      </c>
      <c r="O298" s="47">
        <f t="shared" si="37"/>
        <v>9.4944674602758395E-3</v>
      </c>
      <c r="P298" s="47">
        <f t="shared" si="38"/>
        <v>5.7520058734071004E-2</v>
      </c>
      <c r="Q298" s="47">
        <f t="shared" si="39"/>
        <v>1</v>
      </c>
    </row>
    <row r="299" spans="1:17" x14ac:dyDescent="0.35">
      <c r="A299" s="82">
        <v>296</v>
      </c>
      <c r="B299" s="83" t="str">
        <f>_xlfn.XLOOKUP(A299,'TAZs by City - CCAG Model'!$A:$A,'TAZs by City - CCAG Model'!$B:$B,"Unknown")</f>
        <v>Milpitas</v>
      </c>
      <c r="C299" s="82">
        <f>_xlfn.XLOOKUP(A299,'TAZs by City - CCAG Model'!$A:$A,'TAZs by City - CCAG Model'!$C:$C,999)</f>
        <v>3</v>
      </c>
      <c r="D299" s="82" t="str">
        <f t="shared" si="32"/>
        <v>NO</v>
      </c>
      <c r="E299" s="27">
        <v>2521.16</v>
      </c>
      <c r="F299" s="27">
        <v>1993.66</v>
      </c>
      <c r="G299" s="27">
        <v>116.44</v>
      </c>
      <c r="H299" s="27">
        <v>81.08</v>
      </c>
      <c r="I299" s="27">
        <v>502.62</v>
      </c>
      <c r="J299" s="27">
        <v>5375.98</v>
      </c>
      <c r="K299" s="47">
        <f t="shared" si="33"/>
        <v>0.46896751848035151</v>
      </c>
      <c r="L299" s="47">
        <f t="shared" si="34"/>
        <v>0.37084587368256583</v>
      </c>
      <c r="M299" s="84">
        <f t="shared" si="35"/>
        <v>0.83981339216291728</v>
      </c>
      <c r="N299" s="47">
        <f t="shared" si="36"/>
        <v>2.1659306768254349E-2</v>
      </c>
      <c r="O299" s="47">
        <f t="shared" si="37"/>
        <v>1.5081901346359176E-2</v>
      </c>
      <c r="P299" s="47">
        <f t="shared" si="38"/>
        <v>9.3493651390072138E-2</v>
      </c>
      <c r="Q299" s="47">
        <f t="shared" si="39"/>
        <v>1</v>
      </c>
    </row>
    <row r="300" spans="1:17" x14ac:dyDescent="0.35">
      <c r="A300" s="82">
        <v>297</v>
      </c>
      <c r="B300" s="83" t="str">
        <f>_xlfn.XLOOKUP(A300,'TAZs by City - CCAG Model'!$A:$A,'TAZs by City - CCAG Model'!$B:$B,"Unknown")</f>
        <v>Milpitas</v>
      </c>
      <c r="C300" s="82">
        <f>_xlfn.XLOOKUP(A300,'TAZs by City - CCAG Model'!$A:$A,'TAZs by City - CCAG Model'!$C:$C,999)</f>
        <v>3</v>
      </c>
      <c r="D300" s="82" t="str">
        <f t="shared" si="32"/>
        <v>NO</v>
      </c>
      <c r="E300" s="27">
        <v>1566.5</v>
      </c>
      <c r="F300" s="27">
        <v>1304.42</v>
      </c>
      <c r="G300" s="27">
        <v>45.06</v>
      </c>
      <c r="H300" s="27">
        <v>25.7</v>
      </c>
      <c r="I300" s="27">
        <v>187.2</v>
      </c>
      <c r="J300" s="27">
        <v>3203</v>
      </c>
      <c r="K300" s="47">
        <f t="shared" si="33"/>
        <v>0.48907274430221664</v>
      </c>
      <c r="L300" s="47">
        <f t="shared" si="34"/>
        <v>0.40724945363721515</v>
      </c>
      <c r="M300" s="84">
        <f t="shared" si="35"/>
        <v>0.8963221979394318</v>
      </c>
      <c r="N300" s="47">
        <f t="shared" si="36"/>
        <v>1.4068061192631908E-2</v>
      </c>
      <c r="O300" s="47">
        <f t="shared" si="37"/>
        <v>8.0237277552294723E-3</v>
      </c>
      <c r="P300" s="47">
        <f t="shared" si="38"/>
        <v>5.8445207617858257E-2</v>
      </c>
      <c r="Q300" s="47">
        <f t="shared" si="39"/>
        <v>1</v>
      </c>
    </row>
    <row r="301" spans="1:17" x14ac:dyDescent="0.35">
      <c r="A301" s="82">
        <v>298</v>
      </c>
      <c r="B301" s="83" t="str">
        <f>_xlfn.XLOOKUP(A301,'TAZs by City - CCAG Model'!$A:$A,'TAZs by City - CCAG Model'!$B:$B,"Unknown")</f>
        <v>Milpitas</v>
      </c>
      <c r="C301" s="82">
        <f>_xlfn.XLOOKUP(A301,'TAZs by City - CCAG Model'!$A:$A,'TAZs by City - CCAG Model'!$C:$C,999)</f>
        <v>3</v>
      </c>
      <c r="D301" s="82" t="str">
        <f t="shared" si="32"/>
        <v>NO</v>
      </c>
      <c r="E301" s="27">
        <v>3199.54</v>
      </c>
      <c r="F301" s="27">
        <v>2255.9</v>
      </c>
      <c r="G301" s="27">
        <v>101.1</v>
      </c>
      <c r="H301" s="27">
        <v>62.08</v>
      </c>
      <c r="I301" s="27">
        <v>307.72000000000003</v>
      </c>
      <c r="J301" s="27">
        <v>6066.38</v>
      </c>
      <c r="K301" s="47">
        <f t="shared" si="33"/>
        <v>0.52742162541746473</v>
      </c>
      <c r="L301" s="47">
        <f t="shared" si="34"/>
        <v>0.37186922019392127</v>
      </c>
      <c r="M301" s="84">
        <f t="shared" si="35"/>
        <v>0.89929084561138606</v>
      </c>
      <c r="N301" s="47">
        <f t="shared" si="36"/>
        <v>1.6665622661290586E-2</v>
      </c>
      <c r="O301" s="47">
        <f t="shared" si="37"/>
        <v>1.0233450591621361E-2</v>
      </c>
      <c r="P301" s="47">
        <f t="shared" si="38"/>
        <v>5.0725473841071615E-2</v>
      </c>
      <c r="Q301" s="47">
        <f t="shared" si="39"/>
        <v>1</v>
      </c>
    </row>
    <row r="302" spans="1:17" x14ac:dyDescent="0.35">
      <c r="A302" s="82">
        <v>299</v>
      </c>
      <c r="B302" s="83" t="str">
        <f>_xlfn.XLOOKUP(A302,'TAZs by City - CCAG Model'!$A:$A,'TAZs by City - CCAG Model'!$B:$B,"Unknown")</f>
        <v>Milpitas</v>
      </c>
      <c r="C302" s="82">
        <f>_xlfn.XLOOKUP(A302,'TAZs by City - CCAG Model'!$A:$A,'TAZs by City - CCAG Model'!$C:$C,999)</f>
        <v>3</v>
      </c>
      <c r="D302" s="82" t="str">
        <f t="shared" si="32"/>
        <v>NO</v>
      </c>
      <c r="E302" s="27">
        <v>1125.96</v>
      </c>
      <c r="F302" s="27">
        <v>708.74</v>
      </c>
      <c r="G302" s="27">
        <v>25.2</v>
      </c>
      <c r="H302" s="27">
        <v>15.46</v>
      </c>
      <c r="I302" s="27">
        <v>118.92</v>
      </c>
      <c r="J302" s="27">
        <v>2053.5</v>
      </c>
      <c r="K302" s="47">
        <f t="shared" si="33"/>
        <v>0.54831263696128563</v>
      </c>
      <c r="L302" s="47">
        <f t="shared" si="34"/>
        <v>0.34513757000243489</v>
      </c>
      <c r="M302" s="84">
        <f t="shared" si="35"/>
        <v>0.89345020696372046</v>
      </c>
      <c r="N302" s="47">
        <f t="shared" si="36"/>
        <v>1.227173119065011E-2</v>
      </c>
      <c r="O302" s="47">
        <f t="shared" si="37"/>
        <v>7.5286096907718533E-3</v>
      </c>
      <c r="P302" s="47">
        <f t="shared" si="38"/>
        <v>5.7910883856829805E-2</v>
      </c>
      <c r="Q302" s="47">
        <f t="shared" si="39"/>
        <v>1</v>
      </c>
    </row>
    <row r="303" spans="1:17" x14ac:dyDescent="0.35">
      <c r="A303" s="82">
        <v>300</v>
      </c>
      <c r="B303" s="83" t="str">
        <f>_xlfn.XLOOKUP(A303,'TAZs by City - CCAG Model'!$A:$A,'TAZs by City - CCAG Model'!$B:$B,"Unknown")</f>
        <v>Milpitas</v>
      </c>
      <c r="C303" s="82">
        <f>_xlfn.XLOOKUP(A303,'TAZs by City - CCAG Model'!$A:$A,'TAZs by City - CCAG Model'!$C:$C,999)</f>
        <v>3</v>
      </c>
      <c r="D303" s="82" t="str">
        <f t="shared" si="32"/>
        <v>NO</v>
      </c>
      <c r="E303" s="27">
        <v>727.68</v>
      </c>
      <c r="F303" s="27">
        <v>196.5</v>
      </c>
      <c r="G303" s="27">
        <v>10.220000000000001</v>
      </c>
      <c r="H303" s="27">
        <v>5.0599999999999996</v>
      </c>
      <c r="I303" s="27">
        <v>29.06</v>
      </c>
      <c r="J303" s="27">
        <v>1027.96</v>
      </c>
      <c r="K303" s="47">
        <f t="shared" si="33"/>
        <v>0.70788746643838274</v>
      </c>
      <c r="L303" s="47">
        <f t="shared" si="34"/>
        <v>0.1911552978715125</v>
      </c>
      <c r="M303" s="84">
        <f t="shared" si="35"/>
        <v>0.89904276430989527</v>
      </c>
      <c r="N303" s="47">
        <f t="shared" si="36"/>
        <v>9.9420210903147978E-3</v>
      </c>
      <c r="O303" s="47">
        <f t="shared" si="37"/>
        <v>4.9223705202537061E-3</v>
      </c>
      <c r="P303" s="47">
        <f t="shared" si="38"/>
        <v>2.8269582474026226E-2</v>
      </c>
      <c r="Q303" s="47">
        <f t="shared" si="39"/>
        <v>1</v>
      </c>
    </row>
    <row r="304" spans="1:17" x14ac:dyDescent="0.35">
      <c r="A304" s="82">
        <v>301</v>
      </c>
      <c r="B304" s="83" t="str">
        <f>_xlfn.XLOOKUP(A304,'TAZs by City - CCAG Model'!$A:$A,'TAZs by City - CCAG Model'!$B:$B,"Unknown")</f>
        <v>Milpitas</v>
      </c>
      <c r="C304" s="82">
        <f>_xlfn.XLOOKUP(A304,'TAZs by City - CCAG Model'!$A:$A,'TAZs by City - CCAG Model'!$C:$C,999)</f>
        <v>3</v>
      </c>
      <c r="D304" s="82" t="str">
        <f t="shared" si="32"/>
        <v>NO</v>
      </c>
      <c r="E304" s="27">
        <v>2554.14</v>
      </c>
      <c r="F304" s="27">
        <v>1793.04</v>
      </c>
      <c r="G304" s="27">
        <v>98.46</v>
      </c>
      <c r="H304" s="27">
        <v>50.7</v>
      </c>
      <c r="I304" s="27">
        <v>199</v>
      </c>
      <c r="J304" s="27">
        <v>4835.42</v>
      </c>
      <c r="K304" s="47">
        <f t="shared" si="33"/>
        <v>0.52821471557796429</v>
      </c>
      <c r="L304" s="47">
        <f t="shared" si="34"/>
        <v>0.37081370387680901</v>
      </c>
      <c r="M304" s="84">
        <f t="shared" si="35"/>
        <v>0.89902841945477341</v>
      </c>
      <c r="N304" s="47">
        <f t="shared" si="36"/>
        <v>2.0362243610689452E-2</v>
      </c>
      <c r="O304" s="47">
        <f t="shared" si="37"/>
        <v>1.048512848935563E-2</v>
      </c>
      <c r="P304" s="47">
        <f t="shared" si="38"/>
        <v>4.1154646338890932E-2</v>
      </c>
      <c r="Q304" s="47">
        <f t="shared" si="39"/>
        <v>1</v>
      </c>
    </row>
    <row r="305" spans="1:17" x14ac:dyDescent="0.35">
      <c r="A305" s="82">
        <v>302</v>
      </c>
      <c r="B305" s="83" t="str">
        <f>_xlfn.XLOOKUP(A305,'TAZs by City - CCAG Model'!$A:$A,'TAZs by City - CCAG Model'!$B:$B,"Unknown")</f>
        <v>Milpitas</v>
      </c>
      <c r="C305" s="82">
        <f>_xlfn.XLOOKUP(A305,'TAZs by City - CCAG Model'!$A:$A,'TAZs by City - CCAG Model'!$C:$C,999)</f>
        <v>3</v>
      </c>
      <c r="D305" s="82" t="str">
        <f t="shared" si="32"/>
        <v>NO</v>
      </c>
      <c r="E305" s="27">
        <v>5593.1</v>
      </c>
      <c r="F305" s="27">
        <v>2578.1799999999998</v>
      </c>
      <c r="G305" s="27">
        <v>33.28</v>
      </c>
      <c r="H305" s="27">
        <v>66.599999999999994</v>
      </c>
      <c r="I305" s="27">
        <v>268.54000000000002</v>
      </c>
      <c r="J305" s="27">
        <v>8612.36</v>
      </c>
      <c r="K305" s="47">
        <f t="shared" si="33"/>
        <v>0.64942710244346502</v>
      </c>
      <c r="L305" s="47">
        <f t="shared" si="34"/>
        <v>0.29935813180127163</v>
      </c>
      <c r="M305" s="84">
        <f t="shared" si="35"/>
        <v>0.9487852342447366</v>
      </c>
      <c r="N305" s="47">
        <f t="shared" si="36"/>
        <v>3.8642137579014343E-3</v>
      </c>
      <c r="O305" s="47">
        <f t="shared" si="37"/>
        <v>7.7330720034926538E-3</v>
      </c>
      <c r="P305" s="47">
        <f t="shared" si="38"/>
        <v>3.1180768105374138E-2</v>
      </c>
      <c r="Q305" s="47">
        <f t="shared" si="39"/>
        <v>1</v>
      </c>
    </row>
    <row r="306" spans="1:17" x14ac:dyDescent="0.35">
      <c r="A306" s="82">
        <v>303</v>
      </c>
      <c r="B306" s="83" t="str">
        <f>_xlfn.XLOOKUP(A306,'TAZs by City - CCAG Model'!$A:$A,'TAZs by City - CCAG Model'!$B:$B,"Unknown")</f>
        <v>Milpitas</v>
      </c>
      <c r="C306" s="82">
        <f>_xlfn.XLOOKUP(A306,'TAZs by City - CCAG Model'!$A:$A,'TAZs by City - CCAG Model'!$C:$C,999)</f>
        <v>3</v>
      </c>
      <c r="D306" s="82" t="str">
        <f t="shared" si="32"/>
        <v>NO</v>
      </c>
      <c r="E306" s="27">
        <v>2575.6799999999998</v>
      </c>
      <c r="F306" s="27">
        <v>1260.0999999999999</v>
      </c>
      <c r="G306" s="27">
        <v>76.760000000000005</v>
      </c>
      <c r="H306" s="27">
        <v>37</v>
      </c>
      <c r="I306" s="27">
        <v>184</v>
      </c>
      <c r="J306" s="27">
        <v>4261.8599999999997</v>
      </c>
      <c r="K306" s="47">
        <f t="shared" si="33"/>
        <v>0.60435584463121739</v>
      </c>
      <c r="L306" s="47">
        <f t="shared" si="34"/>
        <v>0.29566902713838561</v>
      </c>
      <c r="M306" s="84">
        <f t="shared" si="35"/>
        <v>0.900024871769603</v>
      </c>
      <c r="N306" s="47">
        <f t="shared" si="36"/>
        <v>1.8010915421904992E-2</v>
      </c>
      <c r="O306" s="47">
        <f t="shared" si="37"/>
        <v>8.6816554274424789E-3</v>
      </c>
      <c r="P306" s="47">
        <f t="shared" si="38"/>
        <v>4.3173637801335568E-2</v>
      </c>
      <c r="Q306" s="47">
        <f t="shared" si="39"/>
        <v>1</v>
      </c>
    </row>
    <row r="307" spans="1:17" x14ac:dyDescent="0.35">
      <c r="A307" s="82">
        <v>304</v>
      </c>
      <c r="B307" s="83" t="str">
        <f>_xlfn.XLOOKUP(A307,'TAZs by City - CCAG Model'!$A:$A,'TAZs by City - CCAG Model'!$B:$B,"Unknown")</f>
        <v>Milpitas</v>
      </c>
      <c r="C307" s="82">
        <f>_xlfn.XLOOKUP(A307,'TAZs by City - CCAG Model'!$A:$A,'TAZs by City - CCAG Model'!$C:$C,999)</f>
        <v>3</v>
      </c>
      <c r="D307" s="82" t="str">
        <f t="shared" si="32"/>
        <v>NO</v>
      </c>
      <c r="E307" s="27">
        <v>562.6</v>
      </c>
      <c r="F307" s="27">
        <v>139.6</v>
      </c>
      <c r="G307" s="27">
        <v>9.5</v>
      </c>
      <c r="H307" s="27">
        <v>3.84</v>
      </c>
      <c r="I307" s="27">
        <v>20.34</v>
      </c>
      <c r="J307" s="27">
        <v>791.16</v>
      </c>
      <c r="K307" s="47">
        <f t="shared" si="33"/>
        <v>0.7111077405328885</v>
      </c>
      <c r="L307" s="47">
        <f t="shared" si="34"/>
        <v>0.1764497699580363</v>
      </c>
      <c r="M307" s="84">
        <f t="shared" si="35"/>
        <v>0.88755751049092479</v>
      </c>
      <c r="N307" s="47">
        <f t="shared" si="36"/>
        <v>1.2007684918347743E-2</v>
      </c>
      <c r="O307" s="47">
        <f t="shared" si="37"/>
        <v>4.8536326406795087E-3</v>
      </c>
      <c r="P307" s="47">
        <f t="shared" si="38"/>
        <v>2.5709085393599274E-2</v>
      </c>
      <c r="Q307" s="47">
        <f t="shared" si="39"/>
        <v>1</v>
      </c>
    </row>
    <row r="308" spans="1:17" x14ac:dyDescent="0.35">
      <c r="A308" s="82">
        <v>305</v>
      </c>
      <c r="B308" s="83" t="str">
        <f>_xlfn.XLOOKUP(A308,'TAZs by City - CCAG Model'!$A:$A,'TAZs by City - CCAG Model'!$B:$B,"Unknown")</f>
        <v>Milpitas</v>
      </c>
      <c r="C308" s="82">
        <f>_xlfn.XLOOKUP(A308,'TAZs by City - CCAG Model'!$A:$A,'TAZs by City - CCAG Model'!$C:$C,999)</f>
        <v>3</v>
      </c>
      <c r="D308" s="82" t="str">
        <f t="shared" si="32"/>
        <v>NO</v>
      </c>
      <c r="E308" s="27">
        <v>1557.98</v>
      </c>
      <c r="F308" s="27">
        <v>999.68</v>
      </c>
      <c r="G308" s="27">
        <v>49.02</v>
      </c>
      <c r="H308" s="27">
        <v>25.72</v>
      </c>
      <c r="I308" s="27">
        <v>111.94</v>
      </c>
      <c r="J308" s="27">
        <v>2838.8</v>
      </c>
      <c r="K308" s="47">
        <f t="shared" si="33"/>
        <v>0.54881640129632236</v>
      </c>
      <c r="L308" s="47">
        <f t="shared" si="34"/>
        <v>0.35214879526560516</v>
      </c>
      <c r="M308" s="84">
        <f t="shared" si="35"/>
        <v>0.90096519656192742</v>
      </c>
      <c r="N308" s="47">
        <f t="shared" si="36"/>
        <v>1.7267859659010849E-2</v>
      </c>
      <c r="O308" s="47">
        <f t="shared" si="37"/>
        <v>9.0601662674369438E-3</v>
      </c>
      <c r="P308" s="47">
        <f t="shared" si="38"/>
        <v>3.9432154431449908E-2</v>
      </c>
      <c r="Q308" s="47">
        <f t="shared" si="39"/>
        <v>1</v>
      </c>
    </row>
    <row r="309" spans="1:17" x14ac:dyDescent="0.35">
      <c r="A309" s="82">
        <v>306</v>
      </c>
      <c r="B309" s="83" t="str">
        <f>_xlfn.XLOOKUP(A309,'TAZs by City - CCAG Model'!$A:$A,'TAZs by City - CCAG Model'!$B:$B,"Unknown")</f>
        <v>Milpitas</v>
      </c>
      <c r="C309" s="82">
        <f>_xlfn.XLOOKUP(A309,'TAZs by City - CCAG Model'!$A:$A,'TAZs by City - CCAG Model'!$C:$C,999)</f>
        <v>3</v>
      </c>
      <c r="D309" s="82" t="str">
        <f t="shared" si="32"/>
        <v>NO</v>
      </c>
      <c r="E309" s="27">
        <v>3641.62</v>
      </c>
      <c r="F309" s="27">
        <v>1516.1</v>
      </c>
      <c r="G309" s="27">
        <v>81.260000000000005</v>
      </c>
      <c r="H309" s="27">
        <v>46.48</v>
      </c>
      <c r="I309" s="27">
        <v>820.76</v>
      </c>
      <c r="J309" s="27">
        <v>6237.3</v>
      </c>
      <c r="K309" s="47">
        <f t="shared" si="33"/>
        <v>0.58384557420678818</v>
      </c>
      <c r="L309" s="47">
        <f t="shared" si="34"/>
        <v>0.24306991807352538</v>
      </c>
      <c r="M309" s="84">
        <f t="shared" si="35"/>
        <v>0.82691549228031347</v>
      </c>
      <c r="N309" s="47">
        <f t="shared" si="36"/>
        <v>1.3028073044426275E-2</v>
      </c>
      <c r="O309" s="47">
        <f t="shared" si="37"/>
        <v>7.4519423468487958E-3</v>
      </c>
      <c r="P309" s="47">
        <f t="shared" si="38"/>
        <v>0.13158898882529299</v>
      </c>
      <c r="Q309" s="47">
        <f t="shared" si="39"/>
        <v>1</v>
      </c>
    </row>
    <row r="310" spans="1:17" x14ac:dyDescent="0.35">
      <c r="A310" s="82">
        <v>307</v>
      </c>
      <c r="B310" s="83" t="str">
        <f>_xlfn.XLOOKUP(A310,'TAZs by City - CCAG Model'!$A:$A,'TAZs by City - CCAG Model'!$B:$B,"Unknown")</f>
        <v>Milpitas</v>
      </c>
      <c r="C310" s="82">
        <f>_xlfn.XLOOKUP(A310,'TAZs by City - CCAG Model'!$A:$A,'TAZs by City - CCAG Model'!$C:$C,999)</f>
        <v>3</v>
      </c>
      <c r="D310" s="82" t="str">
        <f t="shared" si="32"/>
        <v>NO</v>
      </c>
      <c r="E310" s="27">
        <v>5495.28</v>
      </c>
      <c r="F310" s="27">
        <v>4232.42</v>
      </c>
      <c r="G310" s="27">
        <v>212.8</v>
      </c>
      <c r="H310" s="27">
        <v>141.6</v>
      </c>
      <c r="I310" s="27">
        <v>870.02</v>
      </c>
      <c r="J310" s="27">
        <v>11207.08</v>
      </c>
      <c r="K310" s="47">
        <f t="shared" si="33"/>
        <v>0.49034003504927243</v>
      </c>
      <c r="L310" s="47">
        <f t="shared" si="34"/>
        <v>0.37765591037094409</v>
      </c>
      <c r="M310" s="84">
        <f t="shared" si="35"/>
        <v>0.86799594542021663</v>
      </c>
      <c r="N310" s="47">
        <f t="shared" si="36"/>
        <v>1.8987996873405029E-2</v>
      </c>
      <c r="O310" s="47">
        <f t="shared" si="37"/>
        <v>1.2634870099972518E-2</v>
      </c>
      <c r="P310" s="47">
        <f t="shared" si="38"/>
        <v>7.7631283081766173E-2</v>
      </c>
      <c r="Q310" s="47">
        <f t="shared" si="39"/>
        <v>1</v>
      </c>
    </row>
    <row r="311" spans="1:17" x14ac:dyDescent="0.35">
      <c r="A311" s="82">
        <v>308</v>
      </c>
      <c r="B311" s="83" t="str">
        <f>_xlfn.XLOOKUP(A311,'TAZs by City - CCAG Model'!$A:$A,'TAZs by City - CCAG Model'!$B:$B,"Unknown")</f>
        <v>Milpitas</v>
      </c>
      <c r="C311" s="82">
        <f>_xlfn.XLOOKUP(A311,'TAZs by City - CCAG Model'!$A:$A,'TAZs by City - CCAG Model'!$C:$C,999)</f>
        <v>3</v>
      </c>
      <c r="D311" s="82" t="str">
        <f t="shared" si="32"/>
        <v>NO</v>
      </c>
      <c r="E311" s="27">
        <v>6505.56</v>
      </c>
      <c r="F311" s="27">
        <v>4237.26</v>
      </c>
      <c r="G311" s="27">
        <v>188.22</v>
      </c>
      <c r="H311" s="27">
        <v>125.14</v>
      </c>
      <c r="I311" s="27">
        <v>830.22</v>
      </c>
      <c r="J311" s="27">
        <v>12116.4</v>
      </c>
      <c r="K311" s="47">
        <f t="shared" si="33"/>
        <v>0.53692185797761716</v>
      </c>
      <c r="L311" s="47">
        <f t="shared" si="34"/>
        <v>0.3497127859760325</v>
      </c>
      <c r="M311" s="84">
        <f t="shared" si="35"/>
        <v>0.88663464395364955</v>
      </c>
      <c r="N311" s="47">
        <f t="shared" si="36"/>
        <v>1.5534317123898187E-2</v>
      </c>
      <c r="O311" s="47">
        <f t="shared" si="37"/>
        <v>1.0328150275659437E-2</v>
      </c>
      <c r="P311" s="47">
        <f t="shared" si="38"/>
        <v>6.8520352579974256E-2</v>
      </c>
      <c r="Q311" s="47">
        <f t="shared" si="39"/>
        <v>1</v>
      </c>
    </row>
    <row r="312" spans="1:17" x14ac:dyDescent="0.35">
      <c r="A312" s="82">
        <v>309</v>
      </c>
      <c r="B312" s="83" t="str">
        <f>_xlfn.XLOOKUP(A312,'TAZs by City - CCAG Model'!$A:$A,'TAZs by City - CCAG Model'!$B:$B,"Unknown")</f>
        <v>Unincorporated</v>
      </c>
      <c r="C312" s="82">
        <f>_xlfn.XLOOKUP(A312,'TAZs by City - CCAG Model'!$A:$A,'TAZs by City - CCAG Model'!$C:$C,999)</f>
        <v>3</v>
      </c>
      <c r="D312" s="82" t="str">
        <f t="shared" si="32"/>
        <v>NO</v>
      </c>
      <c r="E312" s="27">
        <v>1198.56</v>
      </c>
      <c r="F312" s="27">
        <v>766</v>
      </c>
      <c r="G312" s="27">
        <v>2.82</v>
      </c>
      <c r="H312" s="27">
        <v>12.34</v>
      </c>
      <c r="I312" s="27">
        <v>42.3</v>
      </c>
      <c r="J312" s="27">
        <v>2049.3000000000002</v>
      </c>
      <c r="K312" s="47">
        <f t="shared" si="33"/>
        <v>0.58486312399355866</v>
      </c>
      <c r="L312" s="47">
        <f t="shared" si="34"/>
        <v>0.37378617088762012</v>
      </c>
      <c r="M312" s="84">
        <f t="shared" si="35"/>
        <v>0.95864929488117878</v>
      </c>
      <c r="N312" s="47">
        <f t="shared" si="36"/>
        <v>1.376079636949202E-3</v>
      </c>
      <c r="O312" s="47">
        <f t="shared" si="37"/>
        <v>6.0215683404089195E-3</v>
      </c>
      <c r="P312" s="47">
        <f t="shared" si="38"/>
        <v>2.0641194554238029E-2</v>
      </c>
      <c r="Q312" s="47">
        <f t="shared" si="39"/>
        <v>1</v>
      </c>
    </row>
    <row r="313" spans="1:17" x14ac:dyDescent="0.35">
      <c r="A313" s="82">
        <v>310</v>
      </c>
      <c r="B313" s="83" t="str">
        <f>_xlfn.XLOOKUP(A313,'TAZs by City - CCAG Model'!$A:$A,'TAZs by City - CCAG Model'!$B:$B,"Unknown")</f>
        <v>Unincorporated</v>
      </c>
      <c r="C313" s="82">
        <f>_xlfn.XLOOKUP(A313,'TAZs by City - CCAG Model'!$A:$A,'TAZs by City - CCAG Model'!$C:$C,999)</f>
        <v>3</v>
      </c>
      <c r="D313" s="82" t="str">
        <f t="shared" si="32"/>
        <v>NO</v>
      </c>
      <c r="E313" s="27">
        <v>320.58</v>
      </c>
      <c r="F313" s="27">
        <v>230.76</v>
      </c>
      <c r="G313" s="27">
        <v>0.76</v>
      </c>
      <c r="H313" s="27">
        <v>2.48</v>
      </c>
      <c r="I313" s="27">
        <v>3.16</v>
      </c>
      <c r="J313" s="27">
        <v>576.1</v>
      </c>
      <c r="K313" s="47">
        <f t="shared" si="33"/>
        <v>0.55646589133830926</v>
      </c>
      <c r="L313" s="47">
        <f t="shared" si="34"/>
        <v>0.40055545912168022</v>
      </c>
      <c r="M313" s="84">
        <f t="shared" si="35"/>
        <v>0.95702135045998937</v>
      </c>
      <c r="N313" s="47">
        <f t="shared" si="36"/>
        <v>1.3192154139906266E-3</v>
      </c>
      <c r="O313" s="47">
        <f t="shared" si="37"/>
        <v>4.3048081930220448E-3</v>
      </c>
      <c r="P313" s="47">
        <f t="shared" si="38"/>
        <v>5.4851588265926055E-3</v>
      </c>
      <c r="Q313" s="47">
        <f t="shared" si="39"/>
        <v>1</v>
      </c>
    </row>
    <row r="314" spans="1:17" x14ac:dyDescent="0.35">
      <c r="A314" s="82">
        <v>311</v>
      </c>
      <c r="B314" s="83" t="str">
        <f>_xlfn.XLOOKUP(A314,'TAZs by City - CCAG Model'!$A:$A,'TAZs by City - CCAG Model'!$B:$B,"Unknown")</f>
        <v>Milpitas</v>
      </c>
      <c r="C314" s="82">
        <f>_xlfn.XLOOKUP(A314,'TAZs by City - CCAG Model'!$A:$A,'TAZs by City - CCAG Model'!$C:$C,999)</f>
        <v>3</v>
      </c>
      <c r="D314" s="82" t="str">
        <f t="shared" si="32"/>
        <v>NO</v>
      </c>
      <c r="E314" s="27">
        <v>3529.06</v>
      </c>
      <c r="F314" s="27">
        <v>2598.3000000000002</v>
      </c>
      <c r="G314" s="27">
        <v>10.78</v>
      </c>
      <c r="H314" s="27">
        <v>59.6</v>
      </c>
      <c r="I314" s="27">
        <v>184.02</v>
      </c>
      <c r="J314" s="27">
        <v>6414.32</v>
      </c>
      <c r="K314" s="47">
        <f t="shared" si="33"/>
        <v>0.55018458698661743</v>
      </c>
      <c r="L314" s="47">
        <f t="shared" si="34"/>
        <v>0.40507801294603329</v>
      </c>
      <c r="M314" s="84">
        <f t="shared" si="35"/>
        <v>0.95526259993265084</v>
      </c>
      <c r="N314" s="47">
        <f t="shared" si="36"/>
        <v>1.6806146247770612E-3</v>
      </c>
      <c r="O314" s="47">
        <f t="shared" si="37"/>
        <v>9.2917097993240137E-3</v>
      </c>
      <c r="P314" s="47">
        <f t="shared" si="38"/>
        <v>2.8688933511268541E-2</v>
      </c>
      <c r="Q314" s="47">
        <f t="shared" si="39"/>
        <v>1</v>
      </c>
    </row>
    <row r="315" spans="1:17" x14ac:dyDescent="0.35">
      <c r="A315" s="82">
        <v>312</v>
      </c>
      <c r="B315" s="83" t="str">
        <f>_xlfn.XLOOKUP(A315,'TAZs by City - CCAG Model'!$A:$A,'TAZs by City - CCAG Model'!$B:$B,"Unknown")</f>
        <v>Milpitas</v>
      </c>
      <c r="C315" s="82">
        <f>_xlfn.XLOOKUP(A315,'TAZs by City - CCAG Model'!$A:$A,'TAZs by City - CCAG Model'!$C:$C,999)</f>
        <v>3</v>
      </c>
      <c r="D315" s="82" t="str">
        <f t="shared" si="32"/>
        <v>NO</v>
      </c>
      <c r="E315" s="27">
        <v>8674.58</v>
      </c>
      <c r="F315" s="27">
        <v>2294.5</v>
      </c>
      <c r="G315" s="27">
        <v>311.22000000000003</v>
      </c>
      <c r="H315" s="27">
        <v>93.16</v>
      </c>
      <c r="I315" s="27">
        <v>492.6</v>
      </c>
      <c r="J315" s="27">
        <v>12206.9</v>
      </c>
      <c r="K315" s="47">
        <f t="shared" si="33"/>
        <v>0.71062923428552704</v>
      </c>
      <c r="L315" s="47">
        <f t="shared" si="34"/>
        <v>0.18796746102614095</v>
      </c>
      <c r="M315" s="84">
        <f t="shared" si="35"/>
        <v>0.89859669531166797</v>
      </c>
      <c r="N315" s="47">
        <f t="shared" si="36"/>
        <v>2.5495416526718499E-2</v>
      </c>
      <c r="O315" s="47">
        <f t="shared" si="37"/>
        <v>7.6317492565680066E-3</v>
      </c>
      <c r="P315" s="47">
        <f t="shared" si="38"/>
        <v>4.0354225888636755E-2</v>
      </c>
      <c r="Q315" s="47">
        <f t="shared" si="39"/>
        <v>1</v>
      </c>
    </row>
    <row r="316" spans="1:17" x14ac:dyDescent="0.35">
      <c r="A316" s="82">
        <v>313</v>
      </c>
      <c r="B316" s="83" t="str">
        <f>_xlfn.XLOOKUP(A316,'TAZs by City - CCAG Model'!$A:$A,'TAZs by City - CCAG Model'!$B:$B,"Unknown")</f>
        <v>Milpitas</v>
      </c>
      <c r="C316" s="82">
        <f>_xlfn.XLOOKUP(A316,'TAZs by City - CCAG Model'!$A:$A,'TAZs by City - CCAG Model'!$C:$C,999)</f>
        <v>3</v>
      </c>
      <c r="D316" s="82" t="str">
        <f t="shared" si="32"/>
        <v>NO</v>
      </c>
      <c r="E316" s="27">
        <v>525.41999999999996</v>
      </c>
      <c r="F316" s="27">
        <v>167.86</v>
      </c>
      <c r="G316" s="27">
        <v>10.76</v>
      </c>
      <c r="H316" s="27">
        <v>3.76</v>
      </c>
      <c r="I316" s="27">
        <v>24.96</v>
      </c>
      <c r="J316" s="27">
        <v>788.94</v>
      </c>
      <c r="K316" s="47">
        <f t="shared" si="33"/>
        <v>0.6659822039698835</v>
      </c>
      <c r="L316" s="47">
        <f t="shared" si="34"/>
        <v>0.21276649681851598</v>
      </c>
      <c r="M316" s="84">
        <f t="shared" si="35"/>
        <v>0.87874870078839951</v>
      </c>
      <c r="N316" s="47">
        <f t="shared" si="36"/>
        <v>1.3638552995158058E-2</v>
      </c>
      <c r="O316" s="47">
        <f t="shared" si="37"/>
        <v>4.7658884072299531E-3</v>
      </c>
      <c r="P316" s="47">
        <f t="shared" si="38"/>
        <v>3.1637386873526505E-2</v>
      </c>
      <c r="Q316" s="47">
        <f t="shared" si="39"/>
        <v>1</v>
      </c>
    </row>
    <row r="317" spans="1:17" x14ac:dyDescent="0.35">
      <c r="A317" s="82">
        <v>314</v>
      </c>
      <c r="B317" s="83" t="str">
        <f>_xlfn.XLOOKUP(A317,'TAZs by City - CCAG Model'!$A:$A,'TAZs by City - CCAG Model'!$B:$B,"Unknown")</f>
        <v>Milpitas</v>
      </c>
      <c r="C317" s="82">
        <f>_xlfn.XLOOKUP(A317,'TAZs by City - CCAG Model'!$A:$A,'TAZs by City - CCAG Model'!$C:$C,999)</f>
        <v>3</v>
      </c>
      <c r="D317" s="82" t="str">
        <f t="shared" si="32"/>
        <v>NO</v>
      </c>
      <c r="E317" s="27">
        <v>477.16</v>
      </c>
      <c r="F317" s="27">
        <v>151.13999999999999</v>
      </c>
      <c r="G317" s="27">
        <v>8.82</v>
      </c>
      <c r="H317" s="27">
        <v>3.2</v>
      </c>
      <c r="I317" s="27">
        <v>21</v>
      </c>
      <c r="J317" s="27">
        <v>713.8</v>
      </c>
      <c r="K317" s="47">
        <f t="shared" si="33"/>
        <v>0.66847856542448869</v>
      </c>
      <c r="L317" s="47">
        <f t="shared" si="34"/>
        <v>0.21173998318856821</v>
      </c>
      <c r="M317" s="84">
        <f t="shared" si="35"/>
        <v>0.88021854861305682</v>
      </c>
      <c r="N317" s="47">
        <f t="shared" si="36"/>
        <v>1.235640235360045E-2</v>
      </c>
      <c r="O317" s="47">
        <f t="shared" si="37"/>
        <v>4.4830484729616142E-3</v>
      </c>
      <c r="P317" s="47">
        <f t="shared" si="38"/>
        <v>2.9420005603810594E-2</v>
      </c>
      <c r="Q317" s="47">
        <f t="shared" si="39"/>
        <v>1</v>
      </c>
    </row>
    <row r="318" spans="1:17" x14ac:dyDescent="0.35">
      <c r="A318" s="82">
        <v>315</v>
      </c>
      <c r="B318" s="83" t="str">
        <f>_xlfn.XLOOKUP(A318,'TAZs by City - CCAG Model'!$A:$A,'TAZs by City - CCAG Model'!$B:$B,"Unknown")</f>
        <v>Milpitas</v>
      </c>
      <c r="C318" s="82">
        <f>_xlfn.XLOOKUP(A318,'TAZs by City - CCAG Model'!$A:$A,'TAZs by City - CCAG Model'!$C:$C,999)</f>
        <v>3</v>
      </c>
      <c r="D318" s="82" t="str">
        <f t="shared" si="32"/>
        <v>NO</v>
      </c>
      <c r="E318" s="27">
        <v>2182.86</v>
      </c>
      <c r="F318" s="27">
        <v>1430.92</v>
      </c>
      <c r="G318" s="27">
        <v>192.02</v>
      </c>
      <c r="H318" s="27">
        <v>38.4</v>
      </c>
      <c r="I318" s="27">
        <v>202.16</v>
      </c>
      <c r="J318" s="27">
        <v>4273.42</v>
      </c>
      <c r="K318" s="47">
        <f t="shared" si="33"/>
        <v>0.51079931296245162</v>
      </c>
      <c r="L318" s="47">
        <f t="shared" si="34"/>
        <v>0.33484188308193441</v>
      </c>
      <c r="M318" s="84">
        <f t="shared" si="35"/>
        <v>0.84564119604438603</v>
      </c>
      <c r="N318" s="47">
        <f t="shared" si="36"/>
        <v>4.4933566089923292E-2</v>
      </c>
      <c r="O318" s="47">
        <f t="shared" si="37"/>
        <v>8.9857771995263749E-3</v>
      </c>
      <c r="P318" s="47">
        <f t="shared" si="38"/>
        <v>4.7306372881673227E-2</v>
      </c>
      <c r="Q318" s="47">
        <f t="shared" si="39"/>
        <v>1</v>
      </c>
    </row>
    <row r="319" spans="1:17" x14ac:dyDescent="0.35">
      <c r="A319" s="82">
        <v>316</v>
      </c>
      <c r="B319" s="83" t="str">
        <f>_xlfn.XLOOKUP(A319,'TAZs by City - CCAG Model'!$A:$A,'TAZs by City - CCAG Model'!$B:$B,"Unknown")</f>
        <v>Milpitas</v>
      </c>
      <c r="C319" s="82">
        <f>_xlfn.XLOOKUP(A319,'TAZs by City - CCAG Model'!$A:$A,'TAZs by City - CCAG Model'!$C:$C,999)</f>
        <v>3</v>
      </c>
      <c r="D319" s="82" t="str">
        <f t="shared" si="32"/>
        <v>NO</v>
      </c>
      <c r="E319" s="27">
        <v>7877.96</v>
      </c>
      <c r="F319" s="27">
        <v>2312.62</v>
      </c>
      <c r="G319" s="27">
        <v>156.36000000000001</v>
      </c>
      <c r="H319" s="27">
        <v>80.28</v>
      </c>
      <c r="I319" s="27">
        <v>392.56</v>
      </c>
      <c r="J319" s="27">
        <v>11006.36</v>
      </c>
      <c r="K319" s="47">
        <f t="shared" si="33"/>
        <v>0.71576433989075405</v>
      </c>
      <c r="L319" s="47">
        <f t="shared" si="34"/>
        <v>0.21011669616476289</v>
      </c>
      <c r="M319" s="84">
        <f t="shared" si="35"/>
        <v>0.92588103605551697</v>
      </c>
      <c r="N319" s="47">
        <f t="shared" si="36"/>
        <v>1.4206331611904391E-2</v>
      </c>
      <c r="O319" s="47">
        <f t="shared" si="37"/>
        <v>7.2939645804789227E-3</v>
      </c>
      <c r="P319" s="47">
        <f t="shared" si="38"/>
        <v>3.5666650918196388E-2</v>
      </c>
      <c r="Q319" s="47">
        <f t="shared" si="39"/>
        <v>1</v>
      </c>
    </row>
    <row r="320" spans="1:17" x14ac:dyDescent="0.35">
      <c r="A320" s="82">
        <v>317</v>
      </c>
      <c r="B320" s="83" t="str">
        <f>_xlfn.XLOOKUP(A320,'TAZs by City - CCAG Model'!$A:$A,'TAZs by City - CCAG Model'!$B:$B,"Unknown")</f>
        <v>Milpitas</v>
      </c>
      <c r="C320" s="82">
        <f>_xlfn.XLOOKUP(A320,'TAZs by City - CCAG Model'!$A:$A,'TAZs by City - CCAG Model'!$C:$C,999)</f>
        <v>3</v>
      </c>
      <c r="D320" s="82" t="str">
        <f t="shared" si="32"/>
        <v>NO</v>
      </c>
      <c r="E320" s="27">
        <v>5055.4799999999996</v>
      </c>
      <c r="F320" s="27">
        <v>1671.92</v>
      </c>
      <c r="G320" s="27">
        <v>300.72000000000003</v>
      </c>
      <c r="H320" s="27">
        <v>63.76</v>
      </c>
      <c r="I320" s="27">
        <v>390.18</v>
      </c>
      <c r="J320" s="27">
        <v>7823.88</v>
      </c>
      <c r="K320" s="47">
        <f t="shared" si="33"/>
        <v>0.64616021718124506</v>
      </c>
      <c r="L320" s="47">
        <f t="shared" si="34"/>
        <v>0.21369448406672906</v>
      </c>
      <c r="M320" s="84">
        <f t="shared" si="35"/>
        <v>0.85985470124797414</v>
      </c>
      <c r="N320" s="47">
        <f t="shared" si="36"/>
        <v>3.8436172333931505E-2</v>
      </c>
      <c r="O320" s="47">
        <f t="shared" si="37"/>
        <v>8.1494092445180653E-3</v>
      </c>
      <c r="P320" s="47">
        <f t="shared" si="38"/>
        <v>4.987039678522677E-2</v>
      </c>
      <c r="Q320" s="47">
        <f t="shared" si="39"/>
        <v>1</v>
      </c>
    </row>
    <row r="321" spans="1:17" x14ac:dyDescent="0.35">
      <c r="A321" s="82">
        <v>318</v>
      </c>
      <c r="B321" s="83" t="str">
        <f>_xlfn.XLOOKUP(A321,'TAZs by City - CCAG Model'!$A:$A,'TAZs by City - CCAG Model'!$B:$B,"Unknown")</f>
        <v>Milpitas</v>
      </c>
      <c r="C321" s="82">
        <f>_xlfn.XLOOKUP(A321,'TAZs by City - CCAG Model'!$A:$A,'TAZs by City - CCAG Model'!$C:$C,999)</f>
        <v>3</v>
      </c>
      <c r="D321" s="82" t="str">
        <f t="shared" si="32"/>
        <v>NO</v>
      </c>
      <c r="E321" s="27">
        <v>3676.24</v>
      </c>
      <c r="F321" s="27">
        <v>2992.16</v>
      </c>
      <c r="G321" s="27">
        <v>100.08</v>
      </c>
      <c r="H321" s="27">
        <v>66.94</v>
      </c>
      <c r="I321" s="27">
        <v>386.2</v>
      </c>
      <c r="J321" s="27">
        <v>7354.14</v>
      </c>
      <c r="K321" s="47">
        <f t="shared" si="33"/>
        <v>0.49988713840095506</v>
      </c>
      <c r="L321" s="47">
        <f t="shared" si="34"/>
        <v>0.40686742433513634</v>
      </c>
      <c r="M321" s="84">
        <f t="shared" si="35"/>
        <v>0.90675456273609145</v>
      </c>
      <c r="N321" s="47">
        <f t="shared" si="36"/>
        <v>1.3608661243870798E-2</v>
      </c>
      <c r="O321" s="47">
        <f t="shared" si="37"/>
        <v>9.1023559518856045E-3</v>
      </c>
      <c r="P321" s="47">
        <f t="shared" si="38"/>
        <v>5.251463801341829E-2</v>
      </c>
      <c r="Q321" s="47">
        <f t="shared" si="39"/>
        <v>1</v>
      </c>
    </row>
    <row r="322" spans="1:17" x14ac:dyDescent="0.35">
      <c r="A322" s="82">
        <v>319</v>
      </c>
      <c r="B322" s="83" t="str">
        <f>_xlfn.XLOOKUP(A322,'TAZs by City - CCAG Model'!$A:$A,'TAZs by City - CCAG Model'!$B:$B,"Unknown")</f>
        <v>Milpitas</v>
      </c>
      <c r="C322" s="82">
        <f>_xlfn.XLOOKUP(A322,'TAZs by City - CCAG Model'!$A:$A,'TAZs by City - CCAG Model'!$C:$C,999)</f>
        <v>3</v>
      </c>
      <c r="D322" s="82" t="str">
        <f t="shared" si="32"/>
        <v>NO</v>
      </c>
      <c r="E322" s="27">
        <v>5859.42</v>
      </c>
      <c r="F322" s="27">
        <v>2906.12</v>
      </c>
      <c r="G322" s="27">
        <v>425.2</v>
      </c>
      <c r="H322" s="27">
        <v>130.52000000000001</v>
      </c>
      <c r="I322" s="27">
        <v>767.64</v>
      </c>
      <c r="J322" s="27">
        <v>10560.6</v>
      </c>
      <c r="K322" s="47">
        <f t="shared" si="33"/>
        <v>0.5548377933071984</v>
      </c>
      <c r="L322" s="47">
        <f t="shared" si="34"/>
        <v>0.27518512205745882</v>
      </c>
      <c r="M322" s="84">
        <f t="shared" si="35"/>
        <v>0.83002291536465733</v>
      </c>
      <c r="N322" s="47">
        <f t="shared" si="36"/>
        <v>4.0262863852432627E-2</v>
      </c>
      <c r="O322" s="47">
        <f t="shared" si="37"/>
        <v>1.2359146260629131E-2</v>
      </c>
      <c r="P322" s="47">
        <f t="shared" si="38"/>
        <v>7.2689051758422815E-2</v>
      </c>
      <c r="Q322" s="47">
        <f t="shared" si="39"/>
        <v>1</v>
      </c>
    </row>
    <row r="323" spans="1:17" x14ac:dyDescent="0.35">
      <c r="A323" s="82">
        <v>320</v>
      </c>
      <c r="B323" s="83" t="str">
        <f>_xlfn.XLOOKUP(A323,'TAZs by City - CCAG Model'!$A:$A,'TAZs by City - CCAG Model'!$B:$B,"Unknown")</f>
        <v>Milpitas</v>
      </c>
      <c r="C323" s="82">
        <f>_xlfn.XLOOKUP(A323,'TAZs by City - CCAG Model'!$A:$A,'TAZs by City - CCAG Model'!$C:$C,999)</f>
        <v>3</v>
      </c>
      <c r="D323" s="82" t="str">
        <f t="shared" si="32"/>
        <v>NO</v>
      </c>
      <c r="E323" s="27">
        <v>3730.1</v>
      </c>
      <c r="F323" s="27">
        <v>1969.24</v>
      </c>
      <c r="G323" s="27">
        <v>68.099999999999994</v>
      </c>
      <c r="H323" s="27">
        <v>53.48</v>
      </c>
      <c r="I323" s="27">
        <v>241.5</v>
      </c>
      <c r="J323" s="27">
        <v>6174.16</v>
      </c>
      <c r="K323" s="47">
        <f t="shared" si="33"/>
        <v>0.60414696088212805</v>
      </c>
      <c r="L323" s="47">
        <f t="shared" si="34"/>
        <v>0.31894865050468407</v>
      </c>
      <c r="M323" s="84">
        <f t="shared" si="35"/>
        <v>0.92309561138681218</v>
      </c>
      <c r="N323" s="47">
        <f t="shared" si="36"/>
        <v>1.1029840496520983E-2</v>
      </c>
      <c r="O323" s="47">
        <f t="shared" si="37"/>
        <v>8.6619070448449662E-3</v>
      </c>
      <c r="P323" s="47">
        <f t="shared" si="38"/>
        <v>3.9114632597794678E-2</v>
      </c>
      <c r="Q323" s="47">
        <f t="shared" si="39"/>
        <v>1</v>
      </c>
    </row>
    <row r="324" spans="1:17" x14ac:dyDescent="0.35">
      <c r="A324" s="82">
        <v>321</v>
      </c>
      <c r="B324" s="83" t="str">
        <f>_xlfn.XLOOKUP(A324,'TAZs by City - CCAG Model'!$A:$A,'TAZs by City - CCAG Model'!$B:$B,"Unknown")</f>
        <v>Milpitas</v>
      </c>
      <c r="C324" s="82">
        <f>_xlfn.XLOOKUP(A324,'TAZs by City - CCAG Model'!$A:$A,'TAZs by City - CCAG Model'!$C:$C,999)</f>
        <v>3</v>
      </c>
      <c r="D324" s="82" t="str">
        <f t="shared" si="32"/>
        <v>NO</v>
      </c>
      <c r="E324" s="27">
        <v>3406.24</v>
      </c>
      <c r="F324" s="27">
        <v>2353.1</v>
      </c>
      <c r="G324" s="27">
        <v>89.36</v>
      </c>
      <c r="H324" s="27">
        <v>57.18</v>
      </c>
      <c r="I324" s="27">
        <v>276.86</v>
      </c>
      <c r="J324" s="27">
        <v>6311.6</v>
      </c>
      <c r="K324" s="47">
        <f t="shared" si="33"/>
        <v>0.53967932061600854</v>
      </c>
      <c r="L324" s="47">
        <f t="shared" si="34"/>
        <v>0.37282147157614548</v>
      </c>
      <c r="M324" s="84">
        <f t="shared" si="35"/>
        <v>0.91250079219215408</v>
      </c>
      <c r="N324" s="47">
        <f t="shared" si="36"/>
        <v>1.4158058178591799E-2</v>
      </c>
      <c r="O324" s="47">
        <f t="shared" si="37"/>
        <v>9.0595094746181628E-3</v>
      </c>
      <c r="P324" s="47">
        <f t="shared" si="38"/>
        <v>4.3865263958425757E-2</v>
      </c>
      <c r="Q324" s="47">
        <f t="shared" si="39"/>
        <v>1</v>
      </c>
    </row>
    <row r="325" spans="1:17" x14ac:dyDescent="0.35">
      <c r="A325" s="82">
        <v>322</v>
      </c>
      <c r="B325" s="83" t="str">
        <f>_xlfn.XLOOKUP(A325,'TAZs by City - CCAG Model'!$A:$A,'TAZs by City - CCAG Model'!$B:$B,"Unknown")</f>
        <v>Milpitas</v>
      </c>
      <c r="C325" s="82">
        <f>_xlfn.XLOOKUP(A325,'TAZs by City - CCAG Model'!$A:$A,'TAZs by City - CCAG Model'!$C:$C,999)</f>
        <v>3</v>
      </c>
      <c r="D325" s="82" t="str">
        <f t="shared" ref="D325:D388" si="40">IF(C325=2,"YES","NO")</f>
        <v>NO</v>
      </c>
      <c r="E325" s="27">
        <v>9214.3799999999992</v>
      </c>
      <c r="F325" s="27">
        <v>6208.84</v>
      </c>
      <c r="G325" s="27">
        <v>538.54</v>
      </c>
      <c r="H325" s="27">
        <v>189.64</v>
      </c>
      <c r="I325" s="27">
        <v>839.06</v>
      </c>
      <c r="J325" s="27">
        <v>17570.419999999998</v>
      </c>
      <c r="K325" s="47">
        <f t="shared" ref="K325:K388" si="41">IFERROR(E325/$J325,0)</f>
        <v>0.52442571093918078</v>
      </c>
      <c r="L325" s="47">
        <f t="shared" ref="L325:L388" si="42">IFERROR(F325/$J325,0)</f>
        <v>0.35336890068649474</v>
      </c>
      <c r="M325" s="84">
        <f t="shared" ref="M325:M388" si="43">IFERROR((E325+F325)/J325,0)</f>
        <v>0.87779461162567551</v>
      </c>
      <c r="N325" s="47">
        <f t="shared" ref="N325:N388" si="44">IFERROR(G325/$J325,0)</f>
        <v>3.0650377167990295E-2</v>
      </c>
      <c r="O325" s="47">
        <f t="shared" ref="O325:O388" si="45">IFERROR(H325/$J325,0)</f>
        <v>1.0793139833879896E-2</v>
      </c>
      <c r="P325" s="47">
        <f t="shared" ref="P325:P388" si="46">IFERROR(I325/$J325,0)</f>
        <v>4.7754123122839408E-2</v>
      </c>
      <c r="Q325" s="47">
        <f t="shared" ref="Q325:Q388" si="47">IFERROR(J325/$J325,0)</f>
        <v>1</v>
      </c>
    </row>
    <row r="326" spans="1:17" x14ac:dyDescent="0.35">
      <c r="A326" s="82">
        <v>323</v>
      </c>
      <c r="B326" s="83" t="str">
        <f>_xlfn.XLOOKUP(A326,'TAZs by City - CCAG Model'!$A:$A,'TAZs by City - CCAG Model'!$B:$B,"Unknown")</f>
        <v>Monte Sereno</v>
      </c>
      <c r="C326" s="82">
        <f>_xlfn.XLOOKUP(A326,'TAZs by City - CCAG Model'!$A:$A,'TAZs by City - CCAG Model'!$C:$C,999)</f>
        <v>3</v>
      </c>
      <c r="D326" s="82" t="str">
        <f t="shared" si="40"/>
        <v>NO</v>
      </c>
      <c r="E326" s="27">
        <v>5646.98</v>
      </c>
      <c r="F326" s="27">
        <v>3882.8</v>
      </c>
      <c r="G326" s="27">
        <v>41.22</v>
      </c>
      <c r="H326" s="27">
        <v>92.42</v>
      </c>
      <c r="I326" s="27">
        <v>374.62</v>
      </c>
      <c r="J326" s="27">
        <v>10117.700000000001</v>
      </c>
      <c r="K326" s="47">
        <f t="shared" si="41"/>
        <v>0.55812882374452688</v>
      </c>
      <c r="L326" s="47">
        <f t="shared" si="42"/>
        <v>0.38376310821629422</v>
      </c>
      <c r="M326" s="84">
        <f t="shared" si="43"/>
        <v>0.94189193196082099</v>
      </c>
      <c r="N326" s="47">
        <f t="shared" si="44"/>
        <v>4.0740484497464834E-3</v>
      </c>
      <c r="O326" s="47">
        <f t="shared" si="45"/>
        <v>9.1344870869861719E-3</v>
      </c>
      <c r="P326" s="47">
        <f t="shared" si="46"/>
        <v>3.7026201607084613E-2</v>
      </c>
      <c r="Q326" s="47">
        <f t="shared" si="47"/>
        <v>1</v>
      </c>
    </row>
    <row r="327" spans="1:17" x14ac:dyDescent="0.35">
      <c r="A327" s="82">
        <v>324</v>
      </c>
      <c r="B327" s="83" t="str">
        <f>_xlfn.XLOOKUP(A327,'TAZs by City - CCAG Model'!$A:$A,'TAZs by City - CCAG Model'!$B:$B,"Unknown")</f>
        <v>Monte Sereno</v>
      </c>
      <c r="C327" s="82">
        <f>_xlfn.XLOOKUP(A327,'TAZs by City - CCAG Model'!$A:$A,'TAZs by City - CCAG Model'!$C:$C,999)</f>
        <v>3</v>
      </c>
      <c r="D327" s="82" t="str">
        <f t="shared" si="40"/>
        <v>NO</v>
      </c>
      <c r="E327" s="27">
        <v>2663.58</v>
      </c>
      <c r="F327" s="27">
        <v>1685.06</v>
      </c>
      <c r="G327" s="27">
        <v>4.7</v>
      </c>
      <c r="H327" s="27">
        <v>37.68</v>
      </c>
      <c r="I327" s="27">
        <v>169.46</v>
      </c>
      <c r="J327" s="27">
        <v>4594.82</v>
      </c>
      <c r="K327" s="47">
        <f t="shared" si="41"/>
        <v>0.57969191393786923</v>
      </c>
      <c r="L327" s="47">
        <f t="shared" si="42"/>
        <v>0.3667303615810848</v>
      </c>
      <c r="M327" s="84">
        <f t="shared" si="43"/>
        <v>0.94642227551895386</v>
      </c>
      <c r="N327" s="47">
        <f t="shared" si="44"/>
        <v>1.0228909946417924E-3</v>
      </c>
      <c r="O327" s="47">
        <f t="shared" si="45"/>
        <v>8.2005388676814322E-3</v>
      </c>
      <c r="P327" s="47">
        <f t="shared" si="46"/>
        <v>3.6880661266382585E-2</v>
      </c>
      <c r="Q327" s="47">
        <f t="shared" si="47"/>
        <v>1</v>
      </c>
    </row>
    <row r="328" spans="1:17" x14ac:dyDescent="0.35">
      <c r="A328" s="82">
        <v>325</v>
      </c>
      <c r="B328" s="83" t="str">
        <f>_xlfn.XLOOKUP(A328,'TAZs by City - CCAG Model'!$A:$A,'TAZs by City - CCAG Model'!$B:$B,"Unknown")</f>
        <v>Morgan Hill</v>
      </c>
      <c r="C328" s="82">
        <f>_xlfn.XLOOKUP(A328,'TAZs by City - CCAG Model'!$A:$A,'TAZs by City - CCAG Model'!$C:$C,999)</f>
        <v>3</v>
      </c>
      <c r="D328" s="82" t="str">
        <f t="shared" si="40"/>
        <v>NO</v>
      </c>
      <c r="E328" s="27">
        <v>631.17999999999995</v>
      </c>
      <c r="F328" s="27">
        <v>229.18</v>
      </c>
      <c r="G328" s="27">
        <v>11.6</v>
      </c>
      <c r="H328" s="27">
        <v>7.04</v>
      </c>
      <c r="I328" s="27">
        <v>99.42</v>
      </c>
      <c r="J328" s="27">
        <v>1020.72</v>
      </c>
      <c r="K328" s="47">
        <f t="shared" si="41"/>
        <v>0.61836742691433488</v>
      </c>
      <c r="L328" s="47">
        <f t="shared" si="42"/>
        <v>0.22452778430911513</v>
      </c>
      <c r="M328" s="84">
        <f t="shared" si="43"/>
        <v>0.84289521122345001</v>
      </c>
      <c r="N328" s="47">
        <f t="shared" si="44"/>
        <v>1.1364527000548632E-2</v>
      </c>
      <c r="O328" s="47">
        <f t="shared" si="45"/>
        <v>6.897092248608825E-3</v>
      </c>
      <c r="P328" s="47">
        <f t="shared" si="46"/>
        <v>9.7401833999529744E-2</v>
      </c>
      <c r="Q328" s="47">
        <f t="shared" si="47"/>
        <v>1</v>
      </c>
    </row>
    <row r="329" spans="1:17" x14ac:dyDescent="0.35">
      <c r="A329" s="82">
        <v>326</v>
      </c>
      <c r="B329" s="83" t="str">
        <f>_xlfn.XLOOKUP(A329,'TAZs by City - CCAG Model'!$A:$A,'TAZs by City - CCAG Model'!$B:$B,"Unknown")</f>
        <v>Morgan Hill</v>
      </c>
      <c r="C329" s="82">
        <f>_xlfn.XLOOKUP(A329,'TAZs by City - CCAG Model'!$A:$A,'TAZs by City - CCAG Model'!$C:$C,999)</f>
        <v>3</v>
      </c>
      <c r="D329" s="82" t="str">
        <f t="shared" si="40"/>
        <v>NO</v>
      </c>
      <c r="E329" s="27">
        <v>1118.6199999999999</v>
      </c>
      <c r="F329" s="27">
        <v>414.84</v>
      </c>
      <c r="G329" s="27">
        <v>26.94</v>
      </c>
      <c r="H329" s="27">
        <v>11.48</v>
      </c>
      <c r="I329" s="27">
        <v>140.58000000000001</v>
      </c>
      <c r="J329" s="27">
        <v>1776.96</v>
      </c>
      <c r="K329" s="47">
        <f t="shared" si="41"/>
        <v>0.62951332613001976</v>
      </c>
      <c r="L329" s="47">
        <f t="shared" si="42"/>
        <v>0.23345488924905455</v>
      </c>
      <c r="M329" s="84">
        <f t="shared" si="43"/>
        <v>0.8629682153790742</v>
      </c>
      <c r="N329" s="47">
        <f t="shared" si="44"/>
        <v>1.5160723933009185E-2</v>
      </c>
      <c r="O329" s="47">
        <f t="shared" si="45"/>
        <v>6.4604718170358363E-3</v>
      </c>
      <c r="P329" s="47">
        <f t="shared" si="46"/>
        <v>7.9112641815235016E-2</v>
      </c>
      <c r="Q329" s="47">
        <f t="shared" si="47"/>
        <v>1</v>
      </c>
    </row>
    <row r="330" spans="1:17" x14ac:dyDescent="0.35">
      <c r="A330" s="82">
        <v>327</v>
      </c>
      <c r="B330" s="83" t="str">
        <f>_xlfn.XLOOKUP(A330,'TAZs by City - CCAG Model'!$A:$A,'TAZs by City - CCAG Model'!$B:$B,"Unknown")</f>
        <v>Morgan Hill</v>
      </c>
      <c r="C330" s="82">
        <f>_xlfn.XLOOKUP(A330,'TAZs by City - CCAG Model'!$A:$A,'TAZs by City - CCAG Model'!$C:$C,999)</f>
        <v>3</v>
      </c>
      <c r="D330" s="82" t="str">
        <f t="shared" si="40"/>
        <v>NO</v>
      </c>
      <c r="E330" s="27">
        <v>1817.28</v>
      </c>
      <c r="F330" s="27">
        <v>1295.04</v>
      </c>
      <c r="G330" s="27">
        <v>46.56</v>
      </c>
      <c r="H330" s="27">
        <v>28.54</v>
      </c>
      <c r="I330" s="27">
        <v>298.86</v>
      </c>
      <c r="J330" s="27">
        <v>3568.68</v>
      </c>
      <c r="K330" s="47">
        <f t="shared" si="41"/>
        <v>0.50923030364168265</v>
      </c>
      <c r="L330" s="47">
        <f t="shared" si="42"/>
        <v>0.3628904805138034</v>
      </c>
      <c r="M330" s="84">
        <f t="shared" si="43"/>
        <v>0.872120784155486</v>
      </c>
      <c r="N330" s="47">
        <f t="shared" si="44"/>
        <v>1.3046840848717173E-2</v>
      </c>
      <c r="O330" s="47">
        <f t="shared" si="45"/>
        <v>7.9973547642265483E-3</v>
      </c>
      <c r="P330" s="47">
        <f t="shared" si="46"/>
        <v>8.3745250344665262E-2</v>
      </c>
      <c r="Q330" s="47">
        <f t="shared" si="47"/>
        <v>1</v>
      </c>
    </row>
    <row r="331" spans="1:17" x14ac:dyDescent="0.35">
      <c r="A331" s="82">
        <v>328</v>
      </c>
      <c r="B331" s="83" t="str">
        <f>_xlfn.XLOOKUP(A331,'TAZs by City - CCAG Model'!$A:$A,'TAZs by City - CCAG Model'!$B:$B,"Unknown")</f>
        <v>Morgan Hill</v>
      </c>
      <c r="C331" s="82">
        <f>_xlfn.XLOOKUP(A331,'TAZs by City - CCAG Model'!$A:$A,'TAZs by City - CCAG Model'!$C:$C,999)</f>
        <v>3</v>
      </c>
      <c r="D331" s="82" t="str">
        <f t="shared" si="40"/>
        <v>NO</v>
      </c>
      <c r="E331" s="27">
        <v>415.26</v>
      </c>
      <c r="F331" s="27">
        <v>255.72</v>
      </c>
      <c r="G331" s="27">
        <v>10.08</v>
      </c>
      <c r="H331" s="27">
        <v>7.36</v>
      </c>
      <c r="I331" s="27">
        <v>82.26</v>
      </c>
      <c r="J331" s="27">
        <v>808.4</v>
      </c>
      <c r="K331" s="47">
        <f t="shared" si="41"/>
        <v>0.51368134586838199</v>
      </c>
      <c r="L331" s="47">
        <f t="shared" si="42"/>
        <v>0.31632855022266204</v>
      </c>
      <c r="M331" s="84">
        <f t="shared" si="43"/>
        <v>0.83000989609104403</v>
      </c>
      <c r="N331" s="47">
        <f t="shared" si="44"/>
        <v>1.2469074715487383E-2</v>
      </c>
      <c r="O331" s="47">
        <f t="shared" si="45"/>
        <v>9.104403760514598E-3</v>
      </c>
      <c r="P331" s="47">
        <f t="shared" si="46"/>
        <v>0.10175655616031669</v>
      </c>
      <c r="Q331" s="47">
        <f t="shared" si="47"/>
        <v>1</v>
      </c>
    </row>
    <row r="332" spans="1:17" x14ac:dyDescent="0.35">
      <c r="A332" s="82">
        <v>329</v>
      </c>
      <c r="B332" s="83" t="str">
        <f>_xlfn.XLOOKUP(A332,'TAZs by City - CCAG Model'!$A:$A,'TAZs by City - CCAG Model'!$B:$B,"Unknown")</f>
        <v>Unincorporated</v>
      </c>
      <c r="C332" s="82">
        <f>_xlfn.XLOOKUP(A332,'TAZs by City - CCAG Model'!$A:$A,'TAZs by City - CCAG Model'!$C:$C,999)</f>
        <v>3</v>
      </c>
      <c r="D332" s="82" t="str">
        <f t="shared" si="40"/>
        <v>NO</v>
      </c>
      <c r="E332" s="27">
        <v>610.28</v>
      </c>
      <c r="F332" s="27">
        <v>454.58</v>
      </c>
      <c r="G332" s="27">
        <v>1.56</v>
      </c>
      <c r="H332" s="27">
        <v>8.44</v>
      </c>
      <c r="I332" s="27">
        <v>24.88</v>
      </c>
      <c r="J332" s="27">
        <v>1120.04</v>
      </c>
      <c r="K332" s="47">
        <f t="shared" si="41"/>
        <v>0.54487339737866503</v>
      </c>
      <c r="L332" s="47">
        <f t="shared" si="42"/>
        <v>0.40586050498196491</v>
      </c>
      <c r="M332" s="84">
        <f t="shared" si="43"/>
        <v>0.95073390236062993</v>
      </c>
      <c r="N332" s="47">
        <f t="shared" si="44"/>
        <v>1.3928073997357237E-3</v>
      </c>
      <c r="O332" s="47">
        <f t="shared" si="45"/>
        <v>7.5354451626727615E-3</v>
      </c>
      <c r="P332" s="47">
        <f t="shared" si="46"/>
        <v>2.2213492375272311E-2</v>
      </c>
      <c r="Q332" s="47">
        <f t="shared" si="47"/>
        <v>1</v>
      </c>
    </row>
    <row r="333" spans="1:17" x14ac:dyDescent="0.35">
      <c r="A333" s="82">
        <v>330</v>
      </c>
      <c r="B333" s="83" t="str">
        <f>_xlfn.XLOOKUP(A333,'TAZs by City - CCAG Model'!$A:$A,'TAZs by City - CCAG Model'!$B:$B,"Unknown")</f>
        <v>Morgan Hill</v>
      </c>
      <c r="C333" s="82">
        <f>_xlfn.XLOOKUP(A333,'TAZs by City - CCAG Model'!$A:$A,'TAZs by City - CCAG Model'!$C:$C,999)</f>
        <v>3</v>
      </c>
      <c r="D333" s="82" t="str">
        <f t="shared" si="40"/>
        <v>NO</v>
      </c>
      <c r="E333" s="27">
        <v>1868.42</v>
      </c>
      <c r="F333" s="27">
        <v>1175.3</v>
      </c>
      <c r="G333" s="27">
        <v>82.34</v>
      </c>
      <c r="H333" s="27">
        <v>36.56</v>
      </c>
      <c r="I333" s="27">
        <v>639.70000000000005</v>
      </c>
      <c r="J333" s="27">
        <v>3926.72</v>
      </c>
      <c r="K333" s="47">
        <f t="shared" si="41"/>
        <v>0.47582206014179779</v>
      </c>
      <c r="L333" s="47">
        <f t="shared" si="42"/>
        <v>0.29930832857957784</v>
      </c>
      <c r="M333" s="84">
        <f t="shared" si="43"/>
        <v>0.77513038872137574</v>
      </c>
      <c r="N333" s="47">
        <f t="shared" si="44"/>
        <v>2.0969154918099586E-2</v>
      </c>
      <c r="O333" s="47">
        <f t="shared" si="45"/>
        <v>9.3105696357265108E-3</v>
      </c>
      <c r="P333" s="47">
        <f t="shared" si="46"/>
        <v>0.16290950207807026</v>
      </c>
      <c r="Q333" s="47">
        <f t="shared" si="47"/>
        <v>1</v>
      </c>
    </row>
    <row r="334" spans="1:17" x14ac:dyDescent="0.35">
      <c r="A334" s="82">
        <v>331</v>
      </c>
      <c r="B334" s="83" t="str">
        <f>_xlfn.XLOOKUP(A334,'TAZs by City - CCAG Model'!$A:$A,'TAZs by City - CCAG Model'!$B:$B,"Unknown")</f>
        <v>Unincorporated</v>
      </c>
      <c r="C334" s="82">
        <f>_xlfn.XLOOKUP(A334,'TAZs by City - CCAG Model'!$A:$A,'TAZs by City - CCAG Model'!$C:$C,999)</f>
        <v>3</v>
      </c>
      <c r="D334" s="82" t="str">
        <f t="shared" si="40"/>
        <v>NO</v>
      </c>
      <c r="E334" s="27">
        <v>861.12</v>
      </c>
      <c r="F334" s="27">
        <v>615.64</v>
      </c>
      <c r="G334" s="27">
        <v>2.72</v>
      </c>
      <c r="H334" s="27">
        <v>9.1199999999999992</v>
      </c>
      <c r="I334" s="27">
        <v>32.86</v>
      </c>
      <c r="J334" s="27">
        <v>1543.94</v>
      </c>
      <c r="K334" s="47">
        <f t="shared" si="41"/>
        <v>0.55774188116118495</v>
      </c>
      <c r="L334" s="47">
        <f t="shared" si="42"/>
        <v>0.39874606526160339</v>
      </c>
      <c r="M334" s="84">
        <f t="shared" si="43"/>
        <v>0.95648794642278845</v>
      </c>
      <c r="N334" s="47">
        <f t="shared" si="44"/>
        <v>1.7617264919621229E-3</v>
      </c>
      <c r="O334" s="47">
        <f t="shared" si="45"/>
        <v>5.9069652965788822E-3</v>
      </c>
      <c r="P334" s="47">
        <f t="shared" si="46"/>
        <v>2.1283210487454175E-2</v>
      </c>
      <c r="Q334" s="47">
        <f t="shared" si="47"/>
        <v>1</v>
      </c>
    </row>
    <row r="335" spans="1:17" x14ac:dyDescent="0.35">
      <c r="A335" s="82">
        <v>332</v>
      </c>
      <c r="B335" s="83" t="str">
        <f>_xlfn.XLOOKUP(A335,'TAZs by City - CCAG Model'!$A:$A,'TAZs by City - CCAG Model'!$B:$B,"Unknown")</f>
        <v>Morgan Hill</v>
      </c>
      <c r="C335" s="82">
        <f>_xlfn.XLOOKUP(A335,'TAZs by City - CCAG Model'!$A:$A,'TAZs by City - CCAG Model'!$C:$C,999)</f>
        <v>3</v>
      </c>
      <c r="D335" s="82" t="str">
        <f t="shared" si="40"/>
        <v>NO</v>
      </c>
      <c r="E335" s="27">
        <v>13487.24</v>
      </c>
      <c r="F335" s="27">
        <v>6298.2</v>
      </c>
      <c r="G335" s="27">
        <v>232.28</v>
      </c>
      <c r="H335" s="27">
        <v>157.04</v>
      </c>
      <c r="I335" s="27">
        <v>1526.88</v>
      </c>
      <c r="J335" s="27">
        <v>21970.62</v>
      </c>
      <c r="K335" s="47">
        <f t="shared" si="41"/>
        <v>0.61387616735440331</v>
      </c>
      <c r="L335" s="47">
        <f t="shared" si="42"/>
        <v>0.28666464578605427</v>
      </c>
      <c r="M335" s="84">
        <f t="shared" si="43"/>
        <v>0.90054081314045753</v>
      </c>
      <c r="N335" s="47">
        <f t="shared" si="44"/>
        <v>1.0572300645134276E-2</v>
      </c>
      <c r="O335" s="47">
        <f t="shared" si="45"/>
        <v>7.1477272830716655E-3</v>
      </c>
      <c r="P335" s="47">
        <f t="shared" si="46"/>
        <v>6.9496445707949994E-2</v>
      </c>
      <c r="Q335" s="47">
        <f t="shared" si="47"/>
        <v>1</v>
      </c>
    </row>
    <row r="336" spans="1:17" x14ac:dyDescent="0.35">
      <c r="A336" s="82">
        <v>333</v>
      </c>
      <c r="B336" s="83" t="str">
        <f>_xlfn.XLOOKUP(A336,'TAZs by City - CCAG Model'!$A:$A,'TAZs by City - CCAG Model'!$B:$B,"Unknown")</f>
        <v>Morgan Hill</v>
      </c>
      <c r="C336" s="82">
        <f>_xlfn.XLOOKUP(A336,'TAZs by City - CCAG Model'!$A:$A,'TAZs by City - CCAG Model'!$C:$C,999)</f>
        <v>3</v>
      </c>
      <c r="D336" s="82" t="str">
        <f t="shared" si="40"/>
        <v>NO</v>
      </c>
      <c r="E336" s="27">
        <v>5185.34</v>
      </c>
      <c r="F336" s="27">
        <v>3987.4</v>
      </c>
      <c r="G336" s="27">
        <v>68.84</v>
      </c>
      <c r="H336" s="27">
        <v>86.9</v>
      </c>
      <c r="I336" s="27">
        <v>495.06</v>
      </c>
      <c r="J336" s="27">
        <v>9932.84</v>
      </c>
      <c r="K336" s="47">
        <f t="shared" si="41"/>
        <v>0.52204002077955547</v>
      </c>
      <c r="L336" s="47">
        <f t="shared" si="42"/>
        <v>0.40143604447469206</v>
      </c>
      <c r="M336" s="84">
        <f t="shared" si="43"/>
        <v>0.92347606525424752</v>
      </c>
      <c r="N336" s="47">
        <f t="shared" si="44"/>
        <v>6.9305455438726489E-3</v>
      </c>
      <c r="O336" s="47">
        <f t="shared" si="45"/>
        <v>8.7487566496591111E-3</v>
      </c>
      <c r="P336" s="47">
        <f t="shared" si="46"/>
        <v>4.9840730344996996E-2</v>
      </c>
      <c r="Q336" s="47">
        <f t="shared" si="47"/>
        <v>1</v>
      </c>
    </row>
    <row r="337" spans="1:17" x14ac:dyDescent="0.35">
      <c r="A337" s="82">
        <v>334</v>
      </c>
      <c r="B337" s="83" t="str">
        <f>_xlfn.XLOOKUP(A337,'TAZs by City - CCAG Model'!$A:$A,'TAZs by City - CCAG Model'!$B:$B,"Unknown")</f>
        <v>Morgan Hill</v>
      </c>
      <c r="C337" s="82">
        <f>_xlfn.XLOOKUP(A337,'TAZs by City - CCAG Model'!$A:$A,'TAZs by City - CCAG Model'!$C:$C,999)</f>
        <v>3</v>
      </c>
      <c r="D337" s="82" t="str">
        <f t="shared" si="40"/>
        <v>NO</v>
      </c>
      <c r="E337" s="27">
        <v>2645</v>
      </c>
      <c r="F337" s="27">
        <v>1985.36</v>
      </c>
      <c r="G337" s="27">
        <v>29.94</v>
      </c>
      <c r="H337" s="27">
        <v>32.78</v>
      </c>
      <c r="I337" s="27">
        <v>170.02</v>
      </c>
      <c r="J337" s="27">
        <v>4920.66</v>
      </c>
      <c r="K337" s="47">
        <f t="shared" si="41"/>
        <v>0.5375295183979385</v>
      </c>
      <c r="L337" s="47">
        <f t="shared" si="42"/>
        <v>0.40347433067921784</v>
      </c>
      <c r="M337" s="84">
        <f t="shared" si="43"/>
        <v>0.94100384907715628</v>
      </c>
      <c r="N337" s="47">
        <f t="shared" si="44"/>
        <v>6.0845496335857393E-3</v>
      </c>
      <c r="O337" s="47">
        <f t="shared" si="45"/>
        <v>6.6617079822625424E-3</v>
      </c>
      <c r="P337" s="47">
        <f t="shared" si="46"/>
        <v>3.4552275507757094E-2</v>
      </c>
      <c r="Q337" s="47">
        <f t="shared" si="47"/>
        <v>1</v>
      </c>
    </row>
    <row r="338" spans="1:17" x14ac:dyDescent="0.35">
      <c r="A338" s="82">
        <v>335</v>
      </c>
      <c r="B338" s="83" t="str">
        <f>_xlfn.XLOOKUP(A338,'TAZs by City - CCAG Model'!$A:$A,'TAZs by City - CCAG Model'!$B:$B,"Unknown")</f>
        <v>Morgan Hill</v>
      </c>
      <c r="C338" s="82">
        <f>_xlfn.XLOOKUP(A338,'TAZs by City - CCAG Model'!$A:$A,'TAZs by City - CCAG Model'!$C:$C,999)</f>
        <v>3</v>
      </c>
      <c r="D338" s="82" t="str">
        <f t="shared" si="40"/>
        <v>NO</v>
      </c>
      <c r="E338" s="27">
        <v>3307.64</v>
      </c>
      <c r="F338" s="27">
        <v>2238.12</v>
      </c>
      <c r="G338" s="27">
        <v>79.56</v>
      </c>
      <c r="H338" s="27">
        <v>52.46</v>
      </c>
      <c r="I338" s="27">
        <v>748.2</v>
      </c>
      <c r="J338" s="27">
        <v>6545.58</v>
      </c>
      <c r="K338" s="47">
        <f t="shared" si="41"/>
        <v>0.50532420350832163</v>
      </c>
      <c r="L338" s="47">
        <f t="shared" si="42"/>
        <v>0.34192844637144454</v>
      </c>
      <c r="M338" s="84">
        <f t="shared" si="43"/>
        <v>0.84725264987976623</v>
      </c>
      <c r="N338" s="47">
        <f t="shared" si="44"/>
        <v>1.2154767033631856E-2</v>
      </c>
      <c r="O338" s="47">
        <f t="shared" si="45"/>
        <v>8.0145686096572046E-3</v>
      </c>
      <c r="P338" s="47">
        <f t="shared" si="46"/>
        <v>0.11430614246560275</v>
      </c>
      <c r="Q338" s="47">
        <f t="shared" si="47"/>
        <v>1</v>
      </c>
    </row>
    <row r="339" spans="1:17" x14ac:dyDescent="0.35">
      <c r="A339" s="82">
        <v>336</v>
      </c>
      <c r="B339" s="83" t="str">
        <f>_xlfn.XLOOKUP(A339,'TAZs by City - CCAG Model'!$A:$A,'TAZs by City - CCAG Model'!$B:$B,"Unknown")</f>
        <v>Morgan Hill</v>
      </c>
      <c r="C339" s="82">
        <f>_xlfn.XLOOKUP(A339,'TAZs by City - CCAG Model'!$A:$A,'TAZs by City - CCAG Model'!$C:$C,999)</f>
        <v>3</v>
      </c>
      <c r="D339" s="82" t="str">
        <f t="shared" si="40"/>
        <v>NO</v>
      </c>
      <c r="E339" s="27">
        <v>20822.439999999999</v>
      </c>
      <c r="F339" s="27">
        <v>9695.42</v>
      </c>
      <c r="G339" s="27">
        <v>171.98</v>
      </c>
      <c r="H339" s="27">
        <v>227.24</v>
      </c>
      <c r="I339" s="27">
        <v>2540.14</v>
      </c>
      <c r="J339" s="27">
        <v>33659</v>
      </c>
      <c r="K339" s="47">
        <f t="shared" si="41"/>
        <v>0.6186291927864761</v>
      </c>
      <c r="L339" s="47">
        <f t="shared" si="42"/>
        <v>0.28804836745001339</v>
      </c>
      <c r="M339" s="84">
        <f t="shared" si="43"/>
        <v>0.90667756023648949</v>
      </c>
      <c r="N339" s="47">
        <f t="shared" si="44"/>
        <v>5.1094803767194504E-3</v>
      </c>
      <c r="O339" s="47">
        <f t="shared" si="45"/>
        <v>6.7512403814730089E-3</v>
      </c>
      <c r="P339" s="47">
        <f t="shared" si="46"/>
        <v>7.5466888499361243E-2</v>
      </c>
      <c r="Q339" s="47">
        <f t="shared" si="47"/>
        <v>1</v>
      </c>
    </row>
    <row r="340" spans="1:17" x14ac:dyDescent="0.35">
      <c r="A340" s="82">
        <v>337</v>
      </c>
      <c r="B340" s="83" t="str">
        <f>_xlfn.XLOOKUP(A340,'TAZs by City - CCAG Model'!$A:$A,'TAZs by City - CCAG Model'!$B:$B,"Unknown")</f>
        <v>Morgan Hill</v>
      </c>
      <c r="C340" s="82">
        <f>_xlfn.XLOOKUP(A340,'TAZs by City - CCAG Model'!$A:$A,'TAZs by City - CCAG Model'!$C:$C,999)</f>
        <v>3</v>
      </c>
      <c r="D340" s="82" t="str">
        <f t="shared" si="40"/>
        <v>NO</v>
      </c>
      <c r="E340" s="27">
        <v>9133.84</v>
      </c>
      <c r="F340" s="27">
        <v>6456.64</v>
      </c>
      <c r="G340" s="27">
        <v>166.52</v>
      </c>
      <c r="H340" s="27">
        <v>162.84</v>
      </c>
      <c r="I340" s="27">
        <v>2297.14</v>
      </c>
      <c r="J340" s="27">
        <v>18424.72</v>
      </c>
      <c r="K340" s="47">
        <f t="shared" si="41"/>
        <v>0.49573833415107527</v>
      </c>
      <c r="L340" s="47">
        <f t="shared" si="42"/>
        <v>0.35043354797250648</v>
      </c>
      <c r="M340" s="84">
        <f t="shared" si="43"/>
        <v>0.84617188212358174</v>
      </c>
      <c r="N340" s="47">
        <f t="shared" si="44"/>
        <v>9.0378578344745535E-3</v>
      </c>
      <c r="O340" s="47">
        <f t="shared" si="45"/>
        <v>8.8381261696242868E-3</v>
      </c>
      <c r="P340" s="47">
        <f t="shared" si="46"/>
        <v>0.1246770642918861</v>
      </c>
      <c r="Q340" s="47">
        <f t="shared" si="47"/>
        <v>1</v>
      </c>
    </row>
    <row r="341" spans="1:17" x14ac:dyDescent="0.35">
      <c r="A341" s="82">
        <v>338</v>
      </c>
      <c r="B341" s="83" t="str">
        <f>_xlfn.XLOOKUP(A341,'TAZs by City - CCAG Model'!$A:$A,'TAZs by City - CCAG Model'!$B:$B,"Unknown")</f>
        <v>Morgan Hill</v>
      </c>
      <c r="C341" s="82">
        <f>_xlfn.XLOOKUP(A341,'TAZs by City - CCAG Model'!$A:$A,'TAZs by City - CCAG Model'!$C:$C,999)</f>
        <v>3</v>
      </c>
      <c r="D341" s="82" t="str">
        <f t="shared" si="40"/>
        <v>NO</v>
      </c>
      <c r="E341" s="27">
        <v>5686.18</v>
      </c>
      <c r="F341" s="27">
        <v>4221.34</v>
      </c>
      <c r="G341" s="27">
        <v>87.78</v>
      </c>
      <c r="H341" s="27">
        <v>76</v>
      </c>
      <c r="I341" s="27">
        <v>509.66</v>
      </c>
      <c r="J341" s="27">
        <v>10708.86</v>
      </c>
      <c r="K341" s="47">
        <f t="shared" si="41"/>
        <v>0.53097902110962325</v>
      </c>
      <c r="L341" s="47">
        <f t="shared" si="42"/>
        <v>0.39419135183390203</v>
      </c>
      <c r="M341" s="84">
        <f t="shared" si="43"/>
        <v>0.92517037294352522</v>
      </c>
      <c r="N341" s="47">
        <f t="shared" si="44"/>
        <v>8.1969509359539668E-3</v>
      </c>
      <c r="O341" s="47">
        <f t="shared" si="45"/>
        <v>7.0969272172761617E-3</v>
      </c>
      <c r="P341" s="47">
        <f t="shared" si="46"/>
        <v>4.7592367441539059E-2</v>
      </c>
      <c r="Q341" s="47">
        <f t="shared" si="47"/>
        <v>1</v>
      </c>
    </row>
    <row r="342" spans="1:17" x14ac:dyDescent="0.35">
      <c r="A342" s="82">
        <v>339</v>
      </c>
      <c r="B342" s="83" t="str">
        <f>_xlfn.XLOOKUP(A342,'TAZs by City - CCAG Model'!$A:$A,'TAZs by City - CCAG Model'!$B:$B,"Unknown")</f>
        <v>Morgan Hill</v>
      </c>
      <c r="C342" s="82">
        <f>_xlfn.XLOOKUP(A342,'TAZs by City - CCAG Model'!$A:$A,'TAZs by City - CCAG Model'!$C:$C,999)</f>
        <v>3</v>
      </c>
      <c r="D342" s="82" t="str">
        <f t="shared" si="40"/>
        <v>NO</v>
      </c>
      <c r="E342" s="27">
        <v>70.36</v>
      </c>
      <c r="F342" s="27">
        <v>35.979999999999997</v>
      </c>
      <c r="G342" s="27">
        <v>0.72</v>
      </c>
      <c r="H342" s="27">
        <v>0.7</v>
      </c>
      <c r="I342" s="27">
        <v>11.14</v>
      </c>
      <c r="J342" s="27">
        <v>131.54</v>
      </c>
      <c r="K342" s="47">
        <f t="shared" si="41"/>
        <v>0.53489432872130149</v>
      </c>
      <c r="L342" s="47">
        <f t="shared" si="42"/>
        <v>0.27352896457351378</v>
      </c>
      <c r="M342" s="84">
        <f t="shared" si="43"/>
        <v>0.80842329329481533</v>
      </c>
      <c r="N342" s="47">
        <f t="shared" si="44"/>
        <v>5.473620191576707E-3</v>
      </c>
      <c r="O342" s="47">
        <f t="shared" si="45"/>
        <v>5.3215751862551314E-3</v>
      </c>
      <c r="P342" s="47">
        <f t="shared" si="46"/>
        <v>8.468906796411739E-2</v>
      </c>
      <c r="Q342" s="47">
        <f t="shared" si="47"/>
        <v>1</v>
      </c>
    </row>
    <row r="343" spans="1:17" x14ac:dyDescent="0.35">
      <c r="A343" s="82">
        <v>340</v>
      </c>
      <c r="B343" s="83" t="str">
        <f>_xlfn.XLOOKUP(A343,'TAZs by City - CCAG Model'!$A:$A,'TAZs by City - CCAG Model'!$B:$B,"Unknown")</f>
        <v>Morgan Hill</v>
      </c>
      <c r="C343" s="82">
        <f>_xlfn.XLOOKUP(A343,'TAZs by City - CCAG Model'!$A:$A,'TAZs by City - CCAG Model'!$C:$C,999)</f>
        <v>3</v>
      </c>
      <c r="D343" s="82" t="str">
        <f t="shared" si="40"/>
        <v>NO</v>
      </c>
      <c r="E343" s="27">
        <v>2308.7199999999998</v>
      </c>
      <c r="F343" s="27">
        <v>931.3</v>
      </c>
      <c r="G343" s="27">
        <v>50.96</v>
      </c>
      <c r="H343" s="27">
        <v>30.66</v>
      </c>
      <c r="I343" s="27">
        <v>699.04</v>
      </c>
      <c r="J343" s="27">
        <v>4118.3599999999997</v>
      </c>
      <c r="K343" s="47">
        <f t="shared" si="41"/>
        <v>0.56059208034266061</v>
      </c>
      <c r="L343" s="47">
        <f t="shared" si="42"/>
        <v>0.22613370370730096</v>
      </c>
      <c r="M343" s="84">
        <f t="shared" si="43"/>
        <v>0.78672578404996163</v>
      </c>
      <c r="N343" s="47">
        <f t="shared" si="44"/>
        <v>1.2373857554949059E-2</v>
      </c>
      <c r="O343" s="47">
        <f t="shared" si="45"/>
        <v>7.4447110014666034E-3</v>
      </c>
      <c r="P343" s="47">
        <f t="shared" si="46"/>
        <v>0.16973746831262931</v>
      </c>
      <c r="Q343" s="47">
        <f t="shared" si="47"/>
        <v>1</v>
      </c>
    </row>
    <row r="344" spans="1:17" x14ac:dyDescent="0.35">
      <c r="A344" s="82">
        <v>341</v>
      </c>
      <c r="B344" s="83" t="str">
        <f>_xlfn.XLOOKUP(A344,'TAZs by City - CCAG Model'!$A:$A,'TAZs by City - CCAG Model'!$B:$B,"Unknown")</f>
        <v>Morgan Hill</v>
      </c>
      <c r="C344" s="82">
        <f>_xlfn.XLOOKUP(A344,'TAZs by City - CCAG Model'!$A:$A,'TAZs by City - CCAG Model'!$C:$C,999)</f>
        <v>3</v>
      </c>
      <c r="D344" s="82" t="str">
        <f t="shared" si="40"/>
        <v>NO</v>
      </c>
      <c r="E344" s="27">
        <v>2623.18</v>
      </c>
      <c r="F344" s="27">
        <v>1241</v>
      </c>
      <c r="G344" s="27">
        <v>104.62</v>
      </c>
      <c r="H344" s="27">
        <v>41.4</v>
      </c>
      <c r="I344" s="27">
        <v>836.6</v>
      </c>
      <c r="J344" s="27">
        <v>5000.5600000000004</v>
      </c>
      <c r="K344" s="47">
        <f t="shared" si="41"/>
        <v>0.52457724734829692</v>
      </c>
      <c r="L344" s="47">
        <f t="shared" si="42"/>
        <v>0.24817220471307211</v>
      </c>
      <c r="M344" s="84">
        <f t="shared" si="43"/>
        <v>0.77274945206136902</v>
      </c>
      <c r="N344" s="47">
        <f t="shared" si="44"/>
        <v>2.0921656774441261E-2</v>
      </c>
      <c r="O344" s="47">
        <f t="shared" si="45"/>
        <v>8.2790727438526879E-3</v>
      </c>
      <c r="P344" s="47">
        <f t="shared" si="46"/>
        <v>0.16730126225862701</v>
      </c>
      <c r="Q344" s="47">
        <f t="shared" si="47"/>
        <v>1</v>
      </c>
    </row>
    <row r="345" spans="1:17" x14ac:dyDescent="0.35">
      <c r="A345" s="82">
        <v>342</v>
      </c>
      <c r="B345" s="83" t="str">
        <f>_xlfn.XLOOKUP(A345,'TAZs by City - CCAG Model'!$A:$A,'TAZs by City - CCAG Model'!$B:$B,"Unknown")</f>
        <v>Morgan Hill</v>
      </c>
      <c r="C345" s="82">
        <f>_xlfn.XLOOKUP(A345,'TAZs by City - CCAG Model'!$A:$A,'TAZs by City - CCAG Model'!$C:$C,999)</f>
        <v>3</v>
      </c>
      <c r="D345" s="82" t="str">
        <f t="shared" si="40"/>
        <v>NO</v>
      </c>
      <c r="E345" s="27">
        <v>3087.08</v>
      </c>
      <c r="F345" s="27">
        <v>1830.72</v>
      </c>
      <c r="G345" s="27">
        <v>124.52</v>
      </c>
      <c r="H345" s="27">
        <v>58.76</v>
      </c>
      <c r="I345" s="27">
        <v>1246.82</v>
      </c>
      <c r="J345" s="27">
        <v>6518.48</v>
      </c>
      <c r="K345" s="47">
        <f t="shared" si="41"/>
        <v>0.4735889348437059</v>
      </c>
      <c r="L345" s="47">
        <f t="shared" si="42"/>
        <v>0.28085075048170743</v>
      </c>
      <c r="M345" s="84">
        <f t="shared" si="43"/>
        <v>0.75443968532541339</v>
      </c>
      <c r="N345" s="47">
        <f t="shared" si="44"/>
        <v>1.9102612879076105E-2</v>
      </c>
      <c r="O345" s="47">
        <f t="shared" si="45"/>
        <v>9.0143714485585603E-3</v>
      </c>
      <c r="P345" s="47">
        <f t="shared" si="46"/>
        <v>0.19127465298658583</v>
      </c>
      <c r="Q345" s="47">
        <f t="shared" si="47"/>
        <v>1</v>
      </c>
    </row>
    <row r="346" spans="1:17" x14ac:dyDescent="0.35">
      <c r="A346" s="82">
        <v>343</v>
      </c>
      <c r="B346" s="83" t="str">
        <f>_xlfn.XLOOKUP(A346,'TAZs by City - CCAG Model'!$A:$A,'TAZs by City - CCAG Model'!$B:$B,"Unknown")</f>
        <v>Morgan Hill</v>
      </c>
      <c r="C346" s="82">
        <f>_xlfn.XLOOKUP(A346,'TAZs by City - CCAG Model'!$A:$A,'TAZs by City - CCAG Model'!$C:$C,999)</f>
        <v>3</v>
      </c>
      <c r="D346" s="82" t="str">
        <f t="shared" si="40"/>
        <v>NO</v>
      </c>
      <c r="E346" s="27">
        <v>2458.7399999999998</v>
      </c>
      <c r="F346" s="27">
        <v>2010.64</v>
      </c>
      <c r="G346" s="27">
        <v>98.46</v>
      </c>
      <c r="H346" s="27">
        <v>51.84</v>
      </c>
      <c r="I346" s="27">
        <v>807.8</v>
      </c>
      <c r="J346" s="27">
        <v>5557.5</v>
      </c>
      <c r="K346" s="47">
        <f t="shared" si="41"/>
        <v>0.44241835357624826</v>
      </c>
      <c r="L346" s="47">
        <f t="shared" si="42"/>
        <v>0.36178857399910036</v>
      </c>
      <c r="M346" s="84">
        <f t="shared" si="43"/>
        <v>0.80420692757534862</v>
      </c>
      <c r="N346" s="47">
        <f t="shared" si="44"/>
        <v>1.77165991902834E-2</v>
      </c>
      <c r="O346" s="47">
        <f t="shared" si="45"/>
        <v>9.3279352226720656E-3</v>
      </c>
      <c r="P346" s="47">
        <f t="shared" si="46"/>
        <v>0.14535312640575798</v>
      </c>
      <c r="Q346" s="47">
        <f t="shared" si="47"/>
        <v>1</v>
      </c>
    </row>
    <row r="347" spans="1:17" x14ac:dyDescent="0.35">
      <c r="A347" s="82">
        <v>344</v>
      </c>
      <c r="B347" s="83" t="str">
        <f>_xlfn.XLOOKUP(A347,'TAZs by City - CCAG Model'!$A:$A,'TAZs by City - CCAG Model'!$B:$B,"Unknown")</f>
        <v>Morgan Hill</v>
      </c>
      <c r="C347" s="82">
        <f>_xlfn.XLOOKUP(A347,'TAZs by City - CCAG Model'!$A:$A,'TAZs by City - CCAG Model'!$C:$C,999)</f>
        <v>3</v>
      </c>
      <c r="D347" s="82" t="str">
        <f t="shared" si="40"/>
        <v>NO</v>
      </c>
      <c r="E347" s="27">
        <v>7923.22</v>
      </c>
      <c r="F347" s="27">
        <v>4918.5200000000004</v>
      </c>
      <c r="G347" s="27">
        <v>253.68</v>
      </c>
      <c r="H347" s="27">
        <v>144.24</v>
      </c>
      <c r="I347" s="27">
        <v>1755.16</v>
      </c>
      <c r="J347" s="27">
        <v>15297.2</v>
      </c>
      <c r="K347" s="47">
        <f t="shared" si="41"/>
        <v>0.51795230499699285</v>
      </c>
      <c r="L347" s="47">
        <f t="shared" si="42"/>
        <v>0.32153073765133489</v>
      </c>
      <c r="M347" s="84">
        <f t="shared" si="43"/>
        <v>0.83948304264832785</v>
      </c>
      <c r="N347" s="47">
        <f t="shared" si="44"/>
        <v>1.6583427032398085E-2</v>
      </c>
      <c r="O347" s="47">
        <f t="shared" si="45"/>
        <v>9.4291765813351459E-3</v>
      </c>
      <c r="P347" s="47">
        <f t="shared" si="46"/>
        <v>0.1147373375519703</v>
      </c>
      <c r="Q347" s="47">
        <f t="shared" si="47"/>
        <v>1</v>
      </c>
    </row>
    <row r="348" spans="1:17" x14ac:dyDescent="0.35">
      <c r="A348" s="82">
        <v>345</v>
      </c>
      <c r="B348" s="83" t="str">
        <f>_xlfn.XLOOKUP(A348,'TAZs by City - CCAG Model'!$A:$A,'TAZs by City - CCAG Model'!$B:$B,"Unknown")</f>
        <v>Morgan Hill</v>
      </c>
      <c r="C348" s="82">
        <f>_xlfn.XLOOKUP(A348,'TAZs by City - CCAG Model'!$A:$A,'TAZs by City - CCAG Model'!$C:$C,999)</f>
        <v>3</v>
      </c>
      <c r="D348" s="82" t="str">
        <f t="shared" si="40"/>
        <v>NO</v>
      </c>
      <c r="E348" s="27">
        <v>2754.78</v>
      </c>
      <c r="F348" s="27">
        <v>1592.4</v>
      </c>
      <c r="G348" s="27">
        <v>96.22</v>
      </c>
      <c r="H348" s="27">
        <v>46.82</v>
      </c>
      <c r="I348" s="27">
        <v>593.64</v>
      </c>
      <c r="J348" s="27">
        <v>5226.4399999999996</v>
      </c>
      <c r="K348" s="47">
        <f t="shared" si="41"/>
        <v>0.52708535829359959</v>
      </c>
      <c r="L348" s="47">
        <f t="shared" si="42"/>
        <v>0.30468158057874961</v>
      </c>
      <c r="M348" s="84">
        <f t="shared" si="43"/>
        <v>0.8317669388723492</v>
      </c>
      <c r="N348" s="47">
        <f t="shared" si="44"/>
        <v>1.8410237178653158E-2</v>
      </c>
      <c r="O348" s="47">
        <f t="shared" si="45"/>
        <v>8.9582966608245766E-3</v>
      </c>
      <c r="P348" s="47">
        <f t="shared" si="46"/>
        <v>0.1135840074697117</v>
      </c>
      <c r="Q348" s="47">
        <f t="shared" si="47"/>
        <v>1</v>
      </c>
    </row>
    <row r="349" spans="1:17" x14ac:dyDescent="0.35">
      <c r="A349" s="82">
        <v>346</v>
      </c>
      <c r="B349" s="83" t="str">
        <f>_xlfn.XLOOKUP(A349,'TAZs by City - CCAG Model'!$A:$A,'TAZs by City - CCAG Model'!$B:$B,"Unknown")</f>
        <v>Unincorporated</v>
      </c>
      <c r="C349" s="82">
        <f>_xlfn.XLOOKUP(A349,'TAZs by City - CCAG Model'!$A:$A,'TAZs by City - CCAG Model'!$C:$C,999)</f>
        <v>3</v>
      </c>
      <c r="D349" s="82" t="str">
        <f t="shared" si="40"/>
        <v>NO</v>
      </c>
      <c r="E349" s="27">
        <v>8180.02</v>
      </c>
      <c r="F349" s="27">
        <v>5821.76</v>
      </c>
      <c r="G349" s="27">
        <v>216.02</v>
      </c>
      <c r="H349" s="27">
        <v>154.02000000000001</v>
      </c>
      <c r="I349" s="27">
        <v>1666.74</v>
      </c>
      <c r="J349" s="27">
        <v>16299.7</v>
      </c>
      <c r="K349" s="47">
        <f t="shared" si="41"/>
        <v>0.50185095431204252</v>
      </c>
      <c r="L349" s="47">
        <f t="shared" si="42"/>
        <v>0.35716976386068455</v>
      </c>
      <c r="M349" s="84">
        <f t="shared" si="43"/>
        <v>0.85902071817272707</v>
      </c>
      <c r="N349" s="47">
        <f t="shared" si="44"/>
        <v>1.3253004656527421E-2</v>
      </c>
      <c r="O349" s="47">
        <f t="shared" si="45"/>
        <v>9.4492536672454094E-3</v>
      </c>
      <c r="P349" s="47">
        <f t="shared" si="46"/>
        <v>0.10225586973993386</v>
      </c>
      <c r="Q349" s="47">
        <f t="shared" si="47"/>
        <v>1</v>
      </c>
    </row>
    <row r="350" spans="1:17" x14ac:dyDescent="0.35">
      <c r="A350" s="82">
        <v>347</v>
      </c>
      <c r="B350" s="83" t="str">
        <f>_xlfn.XLOOKUP(A350,'TAZs by City - CCAG Model'!$A:$A,'TAZs by City - CCAG Model'!$B:$B,"Unknown")</f>
        <v>Unincorporated</v>
      </c>
      <c r="C350" s="82">
        <f>_xlfn.XLOOKUP(A350,'TAZs by City - CCAG Model'!$A:$A,'TAZs by City - CCAG Model'!$C:$C,999)</f>
        <v>3</v>
      </c>
      <c r="D350" s="82" t="str">
        <f t="shared" si="40"/>
        <v>NO</v>
      </c>
      <c r="E350" s="27">
        <v>4514.92</v>
      </c>
      <c r="F350" s="27">
        <v>2558.36</v>
      </c>
      <c r="G350" s="27">
        <v>9</v>
      </c>
      <c r="H350" s="27">
        <v>49.06</v>
      </c>
      <c r="I350" s="27">
        <v>320.42</v>
      </c>
      <c r="J350" s="27">
        <v>7491.24</v>
      </c>
      <c r="K350" s="47">
        <f t="shared" si="41"/>
        <v>0.60269327908330261</v>
      </c>
      <c r="L350" s="47">
        <f t="shared" si="42"/>
        <v>0.34151355449832071</v>
      </c>
      <c r="M350" s="84">
        <f t="shared" si="43"/>
        <v>0.94420683358162349</v>
      </c>
      <c r="N350" s="47">
        <f t="shared" si="44"/>
        <v>1.2014032389831323E-3</v>
      </c>
      <c r="O350" s="47">
        <f t="shared" si="45"/>
        <v>6.5489825449458307E-3</v>
      </c>
      <c r="P350" s="47">
        <f t="shared" si="46"/>
        <v>4.2772625092775032E-2</v>
      </c>
      <c r="Q350" s="47">
        <f t="shared" si="47"/>
        <v>1</v>
      </c>
    </row>
    <row r="351" spans="1:17" x14ac:dyDescent="0.35">
      <c r="A351" s="82">
        <v>348</v>
      </c>
      <c r="B351" s="83" t="str">
        <f>_xlfn.XLOOKUP(A351,'TAZs by City - CCAG Model'!$A:$A,'TAZs by City - CCAG Model'!$B:$B,"Unknown")</f>
        <v>Morgan Hill</v>
      </c>
      <c r="C351" s="82">
        <f>_xlfn.XLOOKUP(A351,'TAZs by City - CCAG Model'!$A:$A,'TAZs by City - CCAG Model'!$C:$C,999)</f>
        <v>3</v>
      </c>
      <c r="D351" s="82" t="str">
        <f t="shared" si="40"/>
        <v>NO</v>
      </c>
      <c r="E351" s="27">
        <v>13509.64</v>
      </c>
      <c r="F351" s="27">
        <v>8425.74</v>
      </c>
      <c r="G351" s="27">
        <v>232.82</v>
      </c>
      <c r="H351" s="27">
        <v>190.86</v>
      </c>
      <c r="I351" s="27">
        <v>1923.34</v>
      </c>
      <c r="J351" s="27">
        <v>24554.36</v>
      </c>
      <c r="K351" s="47">
        <f t="shared" si="41"/>
        <v>0.55019312252487951</v>
      </c>
      <c r="L351" s="47">
        <f t="shared" si="42"/>
        <v>0.34314639029483968</v>
      </c>
      <c r="M351" s="84">
        <f t="shared" si="43"/>
        <v>0.89333951281971902</v>
      </c>
      <c r="N351" s="47">
        <f t="shared" si="44"/>
        <v>9.4818191148130105E-3</v>
      </c>
      <c r="O351" s="47">
        <f t="shared" si="45"/>
        <v>7.7729576335933822E-3</v>
      </c>
      <c r="P351" s="47">
        <f t="shared" si="46"/>
        <v>7.8329877056457581E-2</v>
      </c>
      <c r="Q351" s="47">
        <f t="shared" si="47"/>
        <v>1</v>
      </c>
    </row>
    <row r="352" spans="1:17" x14ac:dyDescent="0.35">
      <c r="A352" s="82">
        <v>349</v>
      </c>
      <c r="B352" s="83" t="str">
        <f>_xlfn.XLOOKUP(A352,'TAZs by City - CCAG Model'!$A:$A,'TAZs by City - CCAG Model'!$B:$B,"Unknown")</f>
        <v>Morgan Hill</v>
      </c>
      <c r="C352" s="82">
        <f>_xlfn.XLOOKUP(A352,'TAZs by City - CCAG Model'!$A:$A,'TAZs by City - CCAG Model'!$C:$C,999)</f>
        <v>3</v>
      </c>
      <c r="D352" s="82" t="str">
        <f t="shared" si="40"/>
        <v>NO</v>
      </c>
      <c r="E352" s="27">
        <v>5188.12</v>
      </c>
      <c r="F352" s="27">
        <v>1996.16</v>
      </c>
      <c r="G352" s="27">
        <v>119.32</v>
      </c>
      <c r="H352" s="27">
        <v>54.02</v>
      </c>
      <c r="I352" s="27">
        <v>621.17999999999995</v>
      </c>
      <c r="J352" s="27">
        <v>8143.86</v>
      </c>
      <c r="K352" s="47">
        <f t="shared" si="41"/>
        <v>0.63705908500391706</v>
      </c>
      <c r="L352" s="47">
        <f t="shared" si="42"/>
        <v>0.24511226862937233</v>
      </c>
      <c r="M352" s="84">
        <f t="shared" si="43"/>
        <v>0.88217135363328936</v>
      </c>
      <c r="N352" s="47">
        <f t="shared" si="44"/>
        <v>1.4651528881881565E-2</v>
      </c>
      <c r="O352" s="47">
        <f t="shared" si="45"/>
        <v>6.6332181545360564E-3</v>
      </c>
      <c r="P352" s="47">
        <f t="shared" si="46"/>
        <v>7.6275869182427E-2</v>
      </c>
      <c r="Q352" s="47">
        <f t="shared" si="47"/>
        <v>1</v>
      </c>
    </row>
    <row r="353" spans="1:17" x14ac:dyDescent="0.35">
      <c r="A353" s="82">
        <v>350</v>
      </c>
      <c r="B353" s="83" t="str">
        <f>_xlfn.XLOOKUP(A353,'TAZs by City - CCAG Model'!$A:$A,'TAZs by City - CCAG Model'!$B:$B,"Unknown")</f>
        <v>Unincorporated</v>
      </c>
      <c r="C353" s="82">
        <f>_xlfn.XLOOKUP(A353,'TAZs by City - CCAG Model'!$A:$A,'TAZs by City - CCAG Model'!$C:$C,999)</f>
        <v>3</v>
      </c>
      <c r="D353" s="82" t="str">
        <f t="shared" si="40"/>
        <v>NO</v>
      </c>
      <c r="E353" s="27">
        <v>475.54</v>
      </c>
      <c r="F353" s="27">
        <v>299.94</v>
      </c>
      <c r="G353" s="27">
        <v>5.72</v>
      </c>
      <c r="H353" s="27">
        <v>6.12</v>
      </c>
      <c r="I353" s="27">
        <v>41.6</v>
      </c>
      <c r="J353" s="27">
        <v>862.12</v>
      </c>
      <c r="K353" s="47">
        <f t="shared" si="41"/>
        <v>0.55159374565025754</v>
      </c>
      <c r="L353" s="47">
        <f t="shared" si="42"/>
        <v>0.34790980373961861</v>
      </c>
      <c r="M353" s="84">
        <f t="shared" si="43"/>
        <v>0.89950354938987609</v>
      </c>
      <c r="N353" s="47">
        <f t="shared" si="44"/>
        <v>6.6348072194126109E-3</v>
      </c>
      <c r="O353" s="47">
        <f t="shared" si="45"/>
        <v>7.0987797522386676E-3</v>
      </c>
      <c r="P353" s="47">
        <f t="shared" si="46"/>
        <v>4.8253143413909898E-2</v>
      </c>
      <c r="Q353" s="47">
        <f t="shared" si="47"/>
        <v>1</v>
      </c>
    </row>
    <row r="354" spans="1:17" x14ac:dyDescent="0.35">
      <c r="A354" s="82">
        <v>351</v>
      </c>
      <c r="B354" s="83" t="str">
        <f>_xlfn.XLOOKUP(A354,'TAZs by City - CCAG Model'!$A:$A,'TAZs by City - CCAG Model'!$B:$B,"Unknown")</f>
        <v>Morgan Hill</v>
      </c>
      <c r="C354" s="82">
        <f>_xlfn.XLOOKUP(A354,'TAZs by City - CCAG Model'!$A:$A,'TAZs by City - CCAG Model'!$C:$C,999)</f>
        <v>3</v>
      </c>
      <c r="D354" s="82" t="str">
        <f t="shared" si="40"/>
        <v>NO</v>
      </c>
      <c r="E354" s="27">
        <v>5366.02</v>
      </c>
      <c r="F354" s="27">
        <v>4233.38</v>
      </c>
      <c r="G354" s="27">
        <v>116.02</v>
      </c>
      <c r="H354" s="27">
        <v>101.74</v>
      </c>
      <c r="I354" s="27">
        <v>1549.4</v>
      </c>
      <c r="J354" s="27">
        <v>11513.38</v>
      </c>
      <c r="K354" s="47">
        <f t="shared" si="41"/>
        <v>0.46606817459338618</v>
      </c>
      <c r="L354" s="47">
        <f t="shared" si="42"/>
        <v>0.36769219812079512</v>
      </c>
      <c r="M354" s="84">
        <f t="shared" si="43"/>
        <v>0.83376037271418146</v>
      </c>
      <c r="N354" s="47">
        <f t="shared" si="44"/>
        <v>1.0076971315113373E-2</v>
      </c>
      <c r="O354" s="47">
        <f t="shared" si="45"/>
        <v>8.8366752421964699E-3</v>
      </c>
      <c r="P354" s="47">
        <f t="shared" si="46"/>
        <v>0.13457386102082969</v>
      </c>
      <c r="Q354" s="47">
        <f t="shared" si="47"/>
        <v>1</v>
      </c>
    </row>
    <row r="355" spans="1:17" x14ac:dyDescent="0.35">
      <c r="A355" s="82">
        <v>352</v>
      </c>
      <c r="B355" s="83" t="str">
        <f>_xlfn.XLOOKUP(A355,'TAZs by City - CCAG Model'!$A:$A,'TAZs by City - CCAG Model'!$B:$B,"Unknown")</f>
        <v>Unincorporated</v>
      </c>
      <c r="C355" s="82">
        <f>_xlfn.XLOOKUP(A355,'TAZs by City - CCAG Model'!$A:$A,'TAZs by City - CCAG Model'!$C:$C,999)</f>
        <v>3</v>
      </c>
      <c r="D355" s="82" t="str">
        <f t="shared" si="40"/>
        <v>NO</v>
      </c>
      <c r="E355" s="27">
        <v>4690.9799999999996</v>
      </c>
      <c r="F355" s="27">
        <v>3795</v>
      </c>
      <c r="G355" s="27">
        <v>0</v>
      </c>
      <c r="H355" s="27">
        <v>61.7</v>
      </c>
      <c r="I355" s="27">
        <v>332.56</v>
      </c>
      <c r="J355" s="27">
        <v>8893.4599999999991</v>
      </c>
      <c r="K355" s="47">
        <f t="shared" si="41"/>
        <v>0.52746400163715812</v>
      </c>
      <c r="L355" s="47">
        <f t="shared" si="42"/>
        <v>0.4267180602375229</v>
      </c>
      <c r="M355" s="84">
        <f t="shared" si="43"/>
        <v>0.95418206187468102</v>
      </c>
      <c r="N355" s="47">
        <f t="shared" si="44"/>
        <v>0</v>
      </c>
      <c r="O355" s="47">
        <f t="shared" si="45"/>
        <v>6.9376822968788311E-3</v>
      </c>
      <c r="P355" s="47">
        <f t="shared" si="46"/>
        <v>3.7393770253647068E-2</v>
      </c>
      <c r="Q355" s="47">
        <f t="shared" si="47"/>
        <v>1</v>
      </c>
    </row>
    <row r="356" spans="1:17" x14ac:dyDescent="0.35">
      <c r="A356" s="82">
        <v>353</v>
      </c>
      <c r="B356" s="83" t="str">
        <f>_xlfn.XLOOKUP(A356,'TAZs by City - CCAG Model'!$A:$A,'TAZs by City - CCAG Model'!$B:$B,"Unknown")</f>
        <v>Morgan Hill</v>
      </c>
      <c r="C356" s="82">
        <f>_xlfn.XLOOKUP(A356,'TAZs by City - CCAG Model'!$A:$A,'TAZs by City - CCAG Model'!$C:$C,999)</f>
        <v>3</v>
      </c>
      <c r="D356" s="82" t="str">
        <f t="shared" si="40"/>
        <v>NO</v>
      </c>
      <c r="E356" s="27">
        <v>8140.36</v>
      </c>
      <c r="F356" s="27">
        <v>6712.12</v>
      </c>
      <c r="G356" s="27">
        <v>0</v>
      </c>
      <c r="H356" s="27">
        <v>120.86</v>
      </c>
      <c r="I356" s="27">
        <v>772.2</v>
      </c>
      <c r="J356" s="27">
        <v>15768.18</v>
      </c>
      <c r="K356" s="47">
        <f t="shared" si="41"/>
        <v>0.51625235125423474</v>
      </c>
      <c r="L356" s="47">
        <f t="shared" si="42"/>
        <v>0.42567499863649449</v>
      </c>
      <c r="M356" s="84">
        <f t="shared" si="43"/>
        <v>0.94192734989072924</v>
      </c>
      <c r="N356" s="47">
        <f t="shared" si="44"/>
        <v>0</v>
      </c>
      <c r="O356" s="47">
        <f t="shared" si="45"/>
        <v>7.6648034205596335E-3</v>
      </c>
      <c r="P356" s="47">
        <f t="shared" si="46"/>
        <v>4.8972043698131303E-2</v>
      </c>
      <c r="Q356" s="47">
        <f t="shared" si="47"/>
        <v>1</v>
      </c>
    </row>
    <row r="357" spans="1:17" x14ac:dyDescent="0.35">
      <c r="A357" s="82">
        <v>354</v>
      </c>
      <c r="B357" s="83" t="str">
        <f>_xlfn.XLOOKUP(A357,'TAZs by City - CCAG Model'!$A:$A,'TAZs by City - CCAG Model'!$B:$B,"Unknown")</f>
        <v>Morgan Hill</v>
      </c>
      <c r="C357" s="82">
        <f>_xlfn.XLOOKUP(A357,'TAZs by City - CCAG Model'!$A:$A,'TAZs by City - CCAG Model'!$C:$C,999)</f>
        <v>3</v>
      </c>
      <c r="D357" s="82" t="str">
        <f t="shared" si="40"/>
        <v>NO</v>
      </c>
      <c r="E357" s="27">
        <v>5296.74</v>
      </c>
      <c r="F357" s="27">
        <v>2501.02</v>
      </c>
      <c r="G357" s="27">
        <v>168.26</v>
      </c>
      <c r="H357" s="27">
        <v>62.56</v>
      </c>
      <c r="I357" s="27">
        <v>507.46</v>
      </c>
      <c r="J357" s="27">
        <v>8747.52</v>
      </c>
      <c r="K357" s="47">
        <f t="shared" si="41"/>
        <v>0.60551333406496921</v>
      </c>
      <c r="L357" s="47">
        <f t="shared" si="42"/>
        <v>0.28591189274217149</v>
      </c>
      <c r="M357" s="84">
        <f t="shared" si="43"/>
        <v>0.89142522680714076</v>
      </c>
      <c r="N357" s="47">
        <f t="shared" si="44"/>
        <v>1.9235166081357915E-2</v>
      </c>
      <c r="O357" s="47">
        <f t="shared" si="45"/>
        <v>7.1517412935323378E-3</v>
      </c>
      <c r="P357" s="47">
        <f t="shared" si="46"/>
        <v>5.8011870793093348E-2</v>
      </c>
      <c r="Q357" s="47">
        <f t="shared" si="47"/>
        <v>1</v>
      </c>
    </row>
    <row r="358" spans="1:17" x14ac:dyDescent="0.35">
      <c r="A358" s="82">
        <v>355</v>
      </c>
      <c r="B358" s="83" t="str">
        <f>_xlfn.XLOOKUP(A358,'TAZs by City - CCAG Model'!$A:$A,'TAZs by City - CCAG Model'!$B:$B,"Unknown")</f>
        <v>Unincorporated</v>
      </c>
      <c r="C358" s="82">
        <f>_xlfn.XLOOKUP(A358,'TAZs by City - CCAG Model'!$A:$A,'TAZs by City - CCAG Model'!$C:$C,999)</f>
        <v>3</v>
      </c>
      <c r="D358" s="82" t="str">
        <f t="shared" si="40"/>
        <v>NO</v>
      </c>
      <c r="E358" s="27">
        <v>1606.04</v>
      </c>
      <c r="F358" s="27">
        <v>1321.34</v>
      </c>
      <c r="G358" s="27">
        <v>0</v>
      </c>
      <c r="H358" s="27">
        <v>28.86</v>
      </c>
      <c r="I358" s="27">
        <v>369.22</v>
      </c>
      <c r="J358" s="27">
        <v>3338.1</v>
      </c>
      <c r="K358" s="47">
        <f t="shared" si="41"/>
        <v>0.48112399269045264</v>
      </c>
      <c r="L358" s="47">
        <f t="shared" si="42"/>
        <v>0.39583595458494353</v>
      </c>
      <c r="M358" s="84">
        <f t="shared" si="43"/>
        <v>0.87695994727539628</v>
      </c>
      <c r="N358" s="47">
        <f t="shared" si="44"/>
        <v>0</v>
      </c>
      <c r="O358" s="47">
        <f t="shared" si="45"/>
        <v>8.6456367394625692E-3</v>
      </c>
      <c r="P358" s="47">
        <f t="shared" si="46"/>
        <v>0.11060783080195322</v>
      </c>
      <c r="Q358" s="47">
        <f t="shared" si="47"/>
        <v>1</v>
      </c>
    </row>
    <row r="359" spans="1:17" x14ac:dyDescent="0.35">
      <c r="A359" s="82">
        <v>356</v>
      </c>
      <c r="B359" s="83" t="str">
        <f>_xlfn.XLOOKUP(A359,'TAZs by City - CCAG Model'!$A:$A,'TAZs by City - CCAG Model'!$B:$B,"Unknown")</f>
        <v>Unincorporated</v>
      </c>
      <c r="C359" s="82">
        <f>_xlfn.XLOOKUP(A359,'TAZs by City - CCAG Model'!$A:$A,'TAZs by City - CCAG Model'!$C:$C,999)</f>
        <v>3</v>
      </c>
      <c r="D359" s="82" t="str">
        <f t="shared" si="40"/>
        <v>NO</v>
      </c>
      <c r="E359" s="27">
        <v>1029.76</v>
      </c>
      <c r="F359" s="27">
        <v>778.58</v>
      </c>
      <c r="G359" s="27">
        <v>4.0999999999999996</v>
      </c>
      <c r="H359" s="27">
        <v>17.899999999999999</v>
      </c>
      <c r="I359" s="27">
        <v>240.4</v>
      </c>
      <c r="J359" s="27">
        <v>2092.46</v>
      </c>
      <c r="K359" s="47">
        <f t="shared" si="41"/>
        <v>0.49212888179463404</v>
      </c>
      <c r="L359" s="47">
        <f t="shared" si="42"/>
        <v>0.37208835533295737</v>
      </c>
      <c r="M359" s="84">
        <f t="shared" si="43"/>
        <v>0.86421723712759146</v>
      </c>
      <c r="N359" s="47">
        <f t="shared" si="44"/>
        <v>1.9594161895567894E-3</v>
      </c>
      <c r="O359" s="47">
        <f t="shared" si="45"/>
        <v>8.554524339772324E-3</v>
      </c>
      <c r="P359" s="47">
        <f t="shared" si="46"/>
        <v>0.11488869560230543</v>
      </c>
      <c r="Q359" s="47">
        <f t="shared" si="47"/>
        <v>1</v>
      </c>
    </row>
    <row r="360" spans="1:17" x14ac:dyDescent="0.35">
      <c r="A360" s="82">
        <v>357</v>
      </c>
      <c r="B360" s="83" t="str">
        <f>_xlfn.XLOOKUP(A360,'TAZs by City - CCAG Model'!$A:$A,'TAZs by City - CCAG Model'!$B:$B,"Unknown")</f>
        <v>Morgan Hill</v>
      </c>
      <c r="C360" s="82">
        <f>_xlfn.XLOOKUP(A360,'TAZs by City - CCAG Model'!$A:$A,'TAZs by City - CCAG Model'!$C:$C,999)</f>
        <v>3</v>
      </c>
      <c r="D360" s="82" t="str">
        <f t="shared" si="40"/>
        <v>NO</v>
      </c>
      <c r="E360" s="27">
        <v>2293.9</v>
      </c>
      <c r="F360" s="27">
        <v>1865.42</v>
      </c>
      <c r="G360" s="27">
        <v>60.54</v>
      </c>
      <c r="H360" s="27">
        <v>39.56</v>
      </c>
      <c r="I360" s="27">
        <v>606.76</v>
      </c>
      <c r="J360" s="27">
        <v>4957.12</v>
      </c>
      <c r="K360" s="47">
        <f t="shared" si="41"/>
        <v>0.46274853140533218</v>
      </c>
      <c r="L360" s="47">
        <f t="shared" si="42"/>
        <v>0.37631124523917114</v>
      </c>
      <c r="M360" s="84">
        <f t="shared" si="43"/>
        <v>0.83905977664450326</v>
      </c>
      <c r="N360" s="47">
        <f t="shared" si="44"/>
        <v>1.2212736427603125E-2</v>
      </c>
      <c r="O360" s="47">
        <f t="shared" si="45"/>
        <v>7.9804402556323036E-3</v>
      </c>
      <c r="P360" s="47">
        <f t="shared" si="46"/>
        <v>0.1224017171260732</v>
      </c>
      <c r="Q360" s="47">
        <f t="shared" si="47"/>
        <v>1</v>
      </c>
    </row>
    <row r="361" spans="1:17" x14ac:dyDescent="0.35">
      <c r="A361" s="82">
        <v>358</v>
      </c>
      <c r="B361" s="83" t="str">
        <f>_xlfn.XLOOKUP(A361,'TAZs by City - CCAG Model'!$A:$A,'TAZs by City - CCAG Model'!$B:$B,"Unknown")</f>
        <v>Morgan Hill</v>
      </c>
      <c r="C361" s="82">
        <f>_xlfn.XLOOKUP(A361,'TAZs by City - CCAG Model'!$A:$A,'TAZs by City - CCAG Model'!$C:$C,999)</f>
        <v>3</v>
      </c>
      <c r="D361" s="82" t="str">
        <f t="shared" si="40"/>
        <v>NO</v>
      </c>
      <c r="E361" s="27">
        <v>6873.04</v>
      </c>
      <c r="F361" s="27">
        <v>5237.18</v>
      </c>
      <c r="G361" s="27">
        <v>183.56</v>
      </c>
      <c r="H361" s="27">
        <v>113.82</v>
      </c>
      <c r="I361" s="27">
        <v>1229.24</v>
      </c>
      <c r="J361" s="27">
        <v>13856.56</v>
      </c>
      <c r="K361" s="47">
        <f t="shared" si="41"/>
        <v>0.49601344056533514</v>
      </c>
      <c r="L361" s="47">
        <f t="shared" si="42"/>
        <v>0.37795672230337113</v>
      </c>
      <c r="M361" s="84">
        <f t="shared" si="43"/>
        <v>0.87397016286870632</v>
      </c>
      <c r="N361" s="47">
        <f t="shared" si="44"/>
        <v>1.3247155138071788E-2</v>
      </c>
      <c r="O361" s="47">
        <f t="shared" si="45"/>
        <v>8.214159935799362E-3</v>
      </c>
      <c r="P361" s="47">
        <f t="shared" si="46"/>
        <v>8.8711772618889545E-2</v>
      </c>
      <c r="Q361" s="47">
        <f t="shared" si="47"/>
        <v>1</v>
      </c>
    </row>
    <row r="362" spans="1:17" x14ac:dyDescent="0.35">
      <c r="A362" s="82">
        <v>359</v>
      </c>
      <c r="B362" s="83" t="str">
        <f>_xlfn.XLOOKUP(A362,'TAZs by City - CCAG Model'!$A:$A,'TAZs by City - CCAG Model'!$B:$B,"Unknown")</f>
        <v>Mountain View</v>
      </c>
      <c r="C362" s="82">
        <f>_xlfn.XLOOKUP(A362,'TAZs by City - CCAG Model'!$A:$A,'TAZs by City - CCAG Model'!$C:$C,999)</f>
        <v>3</v>
      </c>
      <c r="D362" s="82" t="str">
        <f t="shared" si="40"/>
        <v>NO</v>
      </c>
      <c r="E362" s="27">
        <v>2328.6999999999998</v>
      </c>
      <c r="F362" s="27">
        <v>930.4</v>
      </c>
      <c r="G362" s="27">
        <v>63.58</v>
      </c>
      <c r="H362" s="27">
        <v>36.82</v>
      </c>
      <c r="I362" s="27">
        <v>119.6</v>
      </c>
      <c r="J362" s="27">
        <v>3593.08</v>
      </c>
      <c r="K362" s="47">
        <f t="shared" si="41"/>
        <v>0.64810691662863051</v>
      </c>
      <c r="L362" s="47">
        <f t="shared" si="42"/>
        <v>0.25894218887416925</v>
      </c>
      <c r="M362" s="84">
        <f t="shared" si="43"/>
        <v>0.90704910550279982</v>
      </c>
      <c r="N362" s="47">
        <f t="shared" si="44"/>
        <v>1.7695125073752881E-2</v>
      </c>
      <c r="O362" s="47">
        <f t="shared" si="45"/>
        <v>1.0247475703296337E-2</v>
      </c>
      <c r="P362" s="47">
        <f t="shared" si="46"/>
        <v>3.3286205706524762E-2</v>
      </c>
      <c r="Q362" s="47">
        <f t="shared" si="47"/>
        <v>1</v>
      </c>
    </row>
    <row r="363" spans="1:17" x14ac:dyDescent="0.35">
      <c r="A363" s="82">
        <v>360</v>
      </c>
      <c r="B363" s="83" t="str">
        <f>_xlfn.XLOOKUP(A363,'TAZs by City - CCAG Model'!$A:$A,'TAZs by City - CCAG Model'!$B:$B,"Unknown")</f>
        <v>Mountain View</v>
      </c>
      <c r="C363" s="82">
        <f>_xlfn.XLOOKUP(A363,'TAZs by City - CCAG Model'!$A:$A,'TAZs by City - CCAG Model'!$C:$C,999)</f>
        <v>3</v>
      </c>
      <c r="D363" s="82" t="str">
        <f t="shared" si="40"/>
        <v>NO</v>
      </c>
      <c r="E363" s="27">
        <v>751.02</v>
      </c>
      <c r="F363" s="27">
        <v>394.62</v>
      </c>
      <c r="G363" s="27">
        <v>30.04</v>
      </c>
      <c r="H363" s="27">
        <v>17.3</v>
      </c>
      <c r="I363" s="27">
        <v>229.12</v>
      </c>
      <c r="J363" s="27">
        <v>1485.52</v>
      </c>
      <c r="K363" s="47">
        <f t="shared" si="41"/>
        <v>0.50556034250632775</v>
      </c>
      <c r="L363" s="47">
        <f t="shared" si="42"/>
        <v>0.2656443534923798</v>
      </c>
      <c r="M363" s="84">
        <f t="shared" si="43"/>
        <v>0.77120469599870745</v>
      </c>
      <c r="N363" s="47">
        <f t="shared" si="44"/>
        <v>2.0221875168291239E-2</v>
      </c>
      <c r="O363" s="47">
        <f t="shared" si="45"/>
        <v>1.164575367548064E-2</v>
      </c>
      <c r="P363" s="47">
        <f t="shared" si="46"/>
        <v>0.15423555388012278</v>
      </c>
      <c r="Q363" s="47">
        <f t="shared" si="47"/>
        <v>1</v>
      </c>
    </row>
    <row r="364" spans="1:17" x14ac:dyDescent="0.35">
      <c r="A364" s="82">
        <v>361</v>
      </c>
      <c r="B364" s="83" t="str">
        <f>_xlfn.XLOOKUP(A364,'TAZs by City - CCAG Model'!$A:$A,'TAZs by City - CCAG Model'!$B:$B,"Unknown")</f>
        <v>Mountain View</v>
      </c>
      <c r="C364" s="82">
        <f>_xlfn.XLOOKUP(A364,'TAZs by City - CCAG Model'!$A:$A,'TAZs by City - CCAG Model'!$C:$C,999)</f>
        <v>3</v>
      </c>
      <c r="D364" s="82" t="str">
        <f t="shared" si="40"/>
        <v>NO</v>
      </c>
      <c r="E364" s="27">
        <v>4742.34</v>
      </c>
      <c r="F364" s="27">
        <v>1175.8399999999999</v>
      </c>
      <c r="G364" s="27">
        <v>121.68</v>
      </c>
      <c r="H364" s="27">
        <v>44.6</v>
      </c>
      <c r="I364" s="27">
        <v>100.94</v>
      </c>
      <c r="J364" s="27">
        <v>6342.84</v>
      </c>
      <c r="K364" s="47">
        <f t="shared" si="41"/>
        <v>0.7476682369411809</v>
      </c>
      <c r="L364" s="47">
        <f t="shared" si="42"/>
        <v>0.1853806812090483</v>
      </c>
      <c r="M364" s="84">
        <f t="shared" si="43"/>
        <v>0.93304891815022928</v>
      </c>
      <c r="N364" s="47">
        <f t="shared" si="44"/>
        <v>1.9183835631988194E-2</v>
      </c>
      <c r="O364" s="47">
        <f t="shared" si="45"/>
        <v>7.031550535722169E-3</v>
      </c>
      <c r="P364" s="47">
        <f t="shared" si="46"/>
        <v>1.5914006974793626E-2</v>
      </c>
      <c r="Q364" s="47">
        <f t="shared" si="47"/>
        <v>1</v>
      </c>
    </row>
    <row r="365" spans="1:17" x14ac:dyDescent="0.35">
      <c r="A365" s="82">
        <v>362</v>
      </c>
      <c r="B365" s="83" t="str">
        <f>_xlfn.XLOOKUP(A365,'TAZs by City - CCAG Model'!$A:$A,'TAZs by City - CCAG Model'!$B:$B,"Unknown")</f>
        <v>Mountain View</v>
      </c>
      <c r="C365" s="82">
        <f>_xlfn.XLOOKUP(A365,'TAZs by City - CCAG Model'!$A:$A,'TAZs by City - CCAG Model'!$C:$C,999)</f>
        <v>3</v>
      </c>
      <c r="D365" s="82" t="str">
        <f t="shared" si="40"/>
        <v>NO</v>
      </c>
      <c r="E365" s="27">
        <v>16714.22</v>
      </c>
      <c r="F365" s="27">
        <v>8532.26</v>
      </c>
      <c r="G365" s="27">
        <v>925.96</v>
      </c>
      <c r="H365" s="27">
        <v>607.4</v>
      </c>
      <c r="I365" s="27">
        <v>2931.62</v>
      </c>
      <c r="J365" s="27">
        <v>30670.84</v>
      </c>
      <c r="K365" s="47">
        <f t="shared" si="41"/>
        <v>0.54495475180986241</v>
      </c>
      <c r="L365" s="47">
        <f t="shared" si="42"/>
        <v>0.27818801180534997</v>
      </c>
      <c r="M365" s="84">
        <f t="shared" si="43"/>
        <v>0.82314276361521244</v>
      </c>
      <c r="N365" s="47">
        <f t="shared" si="44"/>
        <v>3.0190239328300107E-2</v>
      </c>
      <c r="O365" s="47">
        <f t="shared" si="45"/>
        <v>1.9803826696627808E-2</v>
      </c>
      <c r="P365" s="47">
        <f t="shared" si="46"/>
        <v>9.5583296707882792E-2</v>
      </c>
      <c r="Q365" s="47">
        <f t="shared" si="47"/>
        <v>1</v>
      </c>
    </row>
    <row r="366" spans="1:17" x14ac:dyDescent="0.35">
      <c r="A366" s="82">
        <v>363</v>
      </c>
      <c r="B366" s="83" t="str">
        <f>_xlfn.XLOOKUP(A366,'TAZs by City - CCAG Model'!$A:$A,'TAZs by City - CCAG Model'!$B:$B,"Unknown")</f>
        <v>Mountain View</v>
      </c>
      <c r="C366" s="82">
        <f>_xlfn.XLOOKUP(A366,'TAZs by City - CCAG Model'!$A:$A,'TAZs by City - CCAG Model'!$C:$C,999)</f>
        <v>3</v>
      </c>
      <c r="D366" s="82" t="str">
        <f t="shared" si="40"/>
        <v>NO</v>
      </c>
      <c r="E366" s="27">
        <v>7713.7</v>
      </c>
      <c r="F366" s="27">
        <v>4123.7</v>
      </c>
      <c r="G366" s="27">
        <v>447.72</v>
      </c>
      <c r="H366" s="27">
        <v>322.42</v>
      </c>
      <c r="I366" s="27">
        <v>1578.48</v>
      </c>
      <c r="J366" s="27">
        <v>14679.1</v>
      </c>
      <c r="K366" s="47">
        <f t="shared" si="41"/>
        <v>0.52548861987451545</v>
      </c>
      <c r="L366" s="47">
        <f t="shared" si="42"/>
        <v>0.28092321736346232</v>
      </c>
      <c r="M366" s="84">
        <f t="shared" si="43"/>
        <v>0.80641183723797771</v>
      </c>
      <c r="N366" s="47">
        <f t="shared" si="44"/>
        <v>3.0500507524303264E-2</v>
      </c>
      <c r="O366" s="47">
        <f t="shared" si="45"/>
        <v>2.1964561860059541E-2</v>
      </c>
      <c r="P366" s="47">
        <f t="shared" si="46"/>
        <v>0.10753247814920533</v>
      </c>
      <c r="Q366" s="47">
        <f t="shared" si="47"/>
        <v>1</v>
      </c>
    </row>
    <row r="367" spans="1:17" x14ac:dyDescent="0.35">
      <c r="A367" s="82">
        <v>364</v>
      </c>
      <c r="B367" s="83" t="str">
        <f>_xlfn.XLOOKUP(A367,'TAZs by City - CCAG Model'!$A:$A,'TAZs by City - CCAG Model'!$B:$B,"Unknown")</f>
        <v>Mountain View</v>
      </c>
      <c r="C367" s="82">
        <f>_xlfn.XLOOKUP(A367,'TAZs by City - CCAG Model'!$A:$A,'TAZs by City - CCAG Model'!$C:$C,999)</f>
        <v>3</v>
      </c>
      <c r="D367" s="82" t="str">
        <f t="shared" si="40"/>
        <v>NO</v>
      </c>
      <c r="E367" s="27">
        <v>5923.06</v>
      </c>
      <c r="F367" s="27">
        <v>3343.58</v>
      </c>
      <c r="G367" s="27">
        <v>386.88</v>
      </c>
      <c r="H367" s="27">
        <v>272.8</v>
      </c>
      <c r="I367" s="27">
        <v>1182.92</v>
      </c>
      <c r="J367" s="27">
        <v>11541.5</v>
      </c>
      <c r="K367" s="47">
        <f t="shared" si="41"/>
        <v>0.51319672486245294</v>
      </c>
      <c r="L367" s="47">
        <f t="shared" si="42"/>
        <v>0.28970064549668589</v>
      </c>
      <c r="M367" s="84">
        <f t="shared" si="43"/>
        <v>0.80289737035913866</v>
      </c>
      <c r="N367" s="47">
        <f t="shared" si="44"/>
        <v>3.3520772863146038E-2</v>
      </c>
      <c r="O367" s="47">
        <f t="shared" si="45"/>
        <v>2.3636442403500414E-2</v>
      </c>
      <c r="P367" s="47">
        <f t="shared" si="46"/>
        <v>0.10249274357752459</v>
      </c>
      <c r="Q367" s="47">
        <f t="shared" si="47"/>
        <v>1</v>
      </c>
    </row>
    <row r="368" spans="1:17" x14ac:dyDescent="0.35">
      <c r="A368" s="82">
        <v>365</v>
      </c>
      <c r="B368" s="83" t="str">
        <f>_xlfn.XLOOKUP(A368,'TAZs by City - CCAG Model'!$A:$A,'TAZs by City - CCAG Model'!$B:$B,"Unknown")</f>
        <v>Mountain View</v>
      </c>
      <c r="C368" s="82">
        <f>_xlfn.XLOOKUP(A368,'TAZs by City - CCAG Model'!$A:$A,'TAZs by City - CCAG Model'!$C:$C,999)</f>
        <v>3</v>
      </c>
      <c r="D368" s="82" t="str">
        <f t="shared" si="40"/>
        <v>NO</v>
      </c>
      <c r="E368" s="27">
        <v>2542.56</v>
      </c>
      <c r="F368" s="27">
        <v>1782.98</v>
      </c>
      <c r="G368" s="27">
        <v>67.86</v>
      </c>
      <c r="H368" s="27">
        <v>60.8</v>
      </c>
      <c r="I368" s="27">
        <v>685.88</v>
      </c>
      <c r="J368" s="27">
        <v>5238.1000000000004</v>
      </c>
      <c r="K368" s="47">
        <f t="shared" si="41"/>
        <v>0.4853973769114755</v>
      </c>
      <c r="L368" s="47">
        <f t="shared" si="42"/>
        <v>0.34038678146656226</v>
      </c>
      <c r="M368" s="84">
        <f t="shared" si="43"/>
        <v>0.82578415837803776</v>
      </c>
      <c r="N368" s="47">
        <f t="shared" si="44"/>
        <v>1.2955079131746244E-2</v>
      </c>
      <c r="O368" s="47">
        <f t="shared" si="45"/>
        <v>1.1607262175216203E-2</v>
      </c>
      <c r="P368" s="47">
        <f t="shared" si="46"/>
        <v>0.13094060823581069</v>
      </c>
      <c r="Q368" s="47">
        <f t="shared" si="47"/>
        <v>1</v>
      </c>
    </row>
    <row r="369" spans="1:17" x14ac:dyDescent="0.35">
      <c r="A369" s="82">
        <v>366</v>
      </c>
      <c r="B369" s="83" t="str">
        <f>_xlfn.XLOOKUP(A369,'TAZs by City - CCAG Model'!$A:$A,'TAZs by City - CCAG Model'!$B:$B,"Unknown")</f>
        <v>Mountain View</v>
      </c>
      <c r="C369" s="82">
        <f>_xlfn.XLOOKUP(A369,'TAZs by City - CCAG Model'!$A:$A,'TAZs by City - CCAG Model'!$C:$C,999)</f>
        <v>3</v>
      </c>
      <c r="D369" s="82" t="str">
        <f t="shared" si="40"/>
        <v>NO</v>
      </c>
      <c r="E369" s="27">
        <v>8366.56</v>
      </c>
      <c r="F369" s="27">
        <v>4327.46</v>
      </c>
      <c r="G369" s="27">
        <v>273.2</v>
      </c>
      <c r="H369" s="27">
        <v>173.9</v>
      </c>
      <c r="I369" s="27">
        <v>1820.98</v>
      </c>
      <c r="J369" s="27">
        <v>15278.64</v>
      </c>
      <c r="K369" s="47">
        <f t="shared" si="41"/>
        <v>0.54759847735138734</v>
      </c>
      <c r="L369" s="47">
        <f t="shared" si="42"/>
        <v>0.28323594246608336</v>
      </c>
      <c r="M369" s="84">
        <f t="shared" si="43"/>
        <v>0.83083441981747075</v>
      </c>
      <c r="N369" s="47">
        <f t="shared" si="44"/>
        <v>1.7881172669818781E-2</v>
      </c>
      <c r="O369" s="47">
        <f t="shared" si="45"/>
        <v>1.1381903101323155E-2</v>
      </c>
      <c r="P369" s="47">
        <f t="shared" si="46"/>
        <v>0.11918469183121011</v>
      </c>
      <c r="Q369" s="47">
        <f t="shared" si="47"/>
        <v>1</v>
      </c>
    </row>
    <row r="370" spans="1:17" x14ac:dyDescent="0.35">
      <c r="A370" s="82">
        <v>367</v>
      </c>
      <c r="B370" s="83" t="str">
        <f>_xlfn.XLOOKUP(A370,'TAZs by City - CCAG Model'!$A:$A,'TAZs by City - CCAG Model'!$B:$B,"Unknown")</f>
        <v>Mountain View</v>
      </c>
      <c r="C370" s="82">
        <f>_xlfn.XLOOKUP(A370,'TAZs by City - CCAG Model'!$A:$A,'TAZs by City - CCAG Model'!$C:$C,999)</f>
        <v>3</v>
      </c>
      <c r="D370" s="82" t="str">
        <f t="shared" si="40"/>
        <v>NO</v>
      </c>
      <c r="E370" s="27">
        <v>2468.98</v>
      </c>
      <c r="F370" s="27">
        <v>1302.4000000000001</v>
      </c>
      <c r="G370" s="27">
        <v>85.82</v>
      </c>
      <c r="H370" s="27">
        <v>58.74</v>
      </c>
      <c r="I370" s="27">
        <v>192.4</v>
      </c>
      <c r="J370" s="27">
        <v>4241.78</v>
      </c>
      <c r="K370" s="47">
        <f t="shared" si="41"/>
        <v>0.58206224745272039</v>
      </c>
      <c r="L370" s="47">
        <f t="shared" si="42"/>
        <v>0.30704091206993295</v>
      </c>
      <c r="M370" s="84">
        <f t="shared" si="43"/>
        <v>0.88910315952265329</v>
      </c>
      <c r="N370" s="47">
        <f t="shared" si="44"/>
        <v>2.023207238470642E-2</v>
      </c>
      <c r="O370" s="47">
        <f t="shared" si="45"/>
        <v>1.384796005450542E-2</v>
      </c>
      <c r="P370" s="47">
        <f t="shared" si="46"/>
        <v>4.5358316555785545E-2</v>
      </c>
      <c r="Q370" s="47">
        <f t="shared" si="47"/>
        <v>1</v>
      </c>
    </row>
    <row r="371" spans="1:17" x14ac:dyDescent="0.35">
      <c r="A371" s="82">
        <v>368</v>
      </c>
      <c r="B371" s="83" t="str">
        <f>_xlfn.XLOOKUP(A371,'TAZs by City - CCAG Model'!$A:$A,'TAZs by City - CCAG Model'!$B:$B,"Unknown")</f>
        <v>Mountain View</v>
      </c>
      <c r="C371" s="82">
        <f>_xlfn.XLOOKUP(A371,'TAZs by City - CCAG Model'!$A:$A,'TAZs by City - CCAG Model'!$C:$C,999)</f>
        <v>3</v>
      </c>
      <c r="D371" s="82" t="str">
        <f t="shared" si="40"/>
        <v>NO</v>
      </c>
      <c r="E371" s="27">
        <v>3692.64</v>
      </c>
      <c r="F371" s="27">
        <v>938.54</v>
      </c>
      <c r="G371" s="27">
        <v>61.8</v>
      </c>
      <c r="H371" s="27">
        <v>35.840000000000003</v>
      </c>
      <c r="I371" s="27">
        <v>64.92</v>
      </c>
      <c r="J371" s="27">
        <v>4891.2</v>
      </c>
      <c r="K371" s="47">
        <f t="shared" si="41"/>
        <v>0.75495583905789987</v>
      </c>
      <c r="L371" s="47">
        <f t="shared" si="42"/>
        <v>0.19188338240104677</v>
      </c>
      <c r="M371" s="84">
        <f t="shared" si="43"/>
        <v>0.94683922145894672</v>
      </c>
      <c r="N371" s="47">
        <f t="shared" si="44"/>
        <v>1.2634936211972522E-2</v>
      </c>
      <c r="O371" s="47">
        <f t="shared" si="45"/>
        <v>7.3274452077199881E-3</v>
      </c>
      <c r="P371" s="47">
        <f t="shared" si="46"/>
        <v>1.3272816486751719E-2</v>
      </c>
      <c r="Q371" s="47">
        <f t="shared" si="47"/>
        <v>1</v>
      </c>
    </row>
    <row r="372" spans="1:17" x14ac:dyDescent="0.35">
      <c r="A372" s="82">
        <v>369</v>
      </c>
      <c r="B372" s="83" t="str">
        <f>_xlfn.XLOOKUP(A372,'TAZs by City - CCAG Model'!$A:$A,'TAZs by City - CCAG Model'!$B:$B,"Unknown")</f>
        <v>Unincorporated</v>
      </c>
      <c r="C372" s="82">
        <f>_xlfn.XLOOKUP(A372,'TAZs by City - CCAG Model'!$A:$A,'TAZs by City - CCAG Model'!$C:$C,999)</f>
        <v>3</v>
      </c>
      <c r="D372" s="82" t="str">
        <f t="shared" si="40"/>
        <v>NO</v>
      </c>
      <c r="E372" s="27">
        <v>5132.34</v>
      </c>
      <c r="F372" s="27">
        <v>1383.7</v>
      </c>
      <c r="G372" s="27">
        <v>29.52</v>
      </c>
      <c r="H372" s="27">
        <v>50.48</v>
      </c>
      <c r="I372" s="27">
        <v>126.66</v>
      </c>
      <c r="J372" s="27">
        <v>6788.24</v>
      </c>
      <c r="K372" s="47">
        <f t="shared" si="41"/>
        <v>0.75606342733904519</v>
      </c>
      <c r="L372" s="47">
        <f t="shared" si="42"/>
        <v>0.2038378136306318</v>
      </c>
      <c r="M372" s="84">
        <f t="shared" si="43"/>
        <v>0.95990124096967699</v>
      </c>
      <c r="N372" s="47">
        <f t="shared" si="44"/>
        <v>4.3486971586154883E-3</v>
      </c>
      <c r="O372" s="47">
        <f t="shared" si="45"/>
        <v>7.4363899921039917E-3</v>
      </c>
      <c r="P372" s="47">
        <f t="shared" si="46"/>
        <v>1.8658739231376616E-2</v>
      </c>
      <c r="Q372" s="47">
        <f t="shared" si="47"/>
        <v>1</v>
      </c>
    </row>
    <row r="373" spans="1:17" x14ac:dyDescent="0.35">
      <c r="A373" s="82">
        <v>370</v>
      </c>
      <c r="B373" s="83" t="str">
        <f>_xlfn.XLOOKUP(A373,'TAZs by City - CCAG Model'!$A:$A,'TAZs by City - CCAG Model'!$B:$B,"Unknown")</f>
        <v>Mountain View</v>
      </c>
      <c r="C373" s="82">
        <f>_xlfn.XLOOKUP(A373,'TAZs by City - CCAG Model'!$A:$A,'TAZs by City - CCAG Model'!$C:$C,999)</f>
        <v>3</v>
      </c>
      <c r="D373" s="82" t="str">
        <f t="shared" si="40"/>
        <v>NO</v>
      </c>
      <c r="E373" s="27">
        <v>9357.16</v>
      </c>
      <c r="F373" s="27">
        <v>2675.7</v>
      </c>
      <c r="G373" s="27">
        <v>128.47999999999999</v>
      </c>
      <c r="H373" s="27">
        <v>98.06</v>
      </c>
      <c r="I373" s="27">
        <v>282.14</v>
      </c>
      <c r="J373" s="27">
        <v>12704.36</v>
      </c>
      <c r="K373" s="47">
        <f t="shared" si="41"/>
        <v>0.73653139552090774</v>
      </c>
      <c r="L373" s="47">
        <f t="shared" si="42"/>
        <v>0.21061273452578483</v>
      </c>
      <c r="M373" s="84">
        <f t="shared" si="43"/>
        <v>0.94714413004669262</v>
      </c>
      <c r="N373" s="47">
        <f t="shared" si="44"/>
        <v>1.0113063546687907E-2</v>
      </c>
      <c r="O373" s="47">
        <f t="shared" si="45"/>
        <v>7.7186099890116464E-3</v>
      </c>
      <c r="P373" s="47">
        <f t="shared" si="46"/>
        <v>2.2208123825206462E-2</v>
      </c>
      <c r="Q373" s="47">
        <f t="shared" si="47"/>
        <v>1</v>
      </c>
    </row>
    <row r="374" spans="1:17" x14ac:dyDescent="0.35">
      <c r="A374" s="82">
        <v>371</v>
      </c>
      <c r="B374" s="83" t="str">
        <f>_xlfn.XLOOKUP(A374,'TAZs by City - CCAG Model'!$A:$A,'TAZs by City - CCAG Model'!$B:$B,"Unknown")</f>
        <v>Mountain View</v>
      </c>
      <c r="C374" s="82">
        <f>_xlfn.XLOOKUP(A374,'TAZs by City - CCAG Model'!$A:$A,'TAZs by City - CCAG Model'!$C:$C,999)</f>
        <v>3</v>
      </c>
      <c r="D374" s="82" t="str">
        <f t="shared" si="40"/>
        <v>NO</v>
      </c>
      <c r="E374" s="27">
        <v>1772.04</v>
      </c>
      <c r="F374" s="27">
        <v>879.24</v>
      </c>
      <c r="G374" s="27">
        <v>61.92</v>
      </c>
      <c r="H374" s="27">
        <v>34.44</v>
      </c>
      <c r="I374" s="27">
        <v>168.84</v>
      </c>
      <c r="J374" s="27">
        <v>3027.42</v>
      </c>
      <c r="K374" s="47">
        <f t="shared" si="41"/>
        <v>0.5853300830410052</v>
      </c>
      <c r="L374" s="47">
        <f t="shared" si="42"/>
        <v>0.2904255108310046</v>
      </c>
      <c r="M374" s="84">
        <f t="shared" si="43"/>
        <v>0.87575559387200974</v>
      </c>
      <c r="N374" s="47">
        <f t="shared" si="44"/>
        <v>2.0453059040371008E-2</v>
      </c>
      <c r="O374" s="47">
        <f t="shared" si="45"/>
        <v>1.137602314842341E-2</v>
      </c>
      <c r="P374" s="47">
        <f t="shared" si="46"/>
        <v>5.5770259825197691E-2</v>
      </c>
      <c r="Q374" s="47">
        <f t="shared" si="47"/>
        <v>1</v>
      </c>
    </row>
    <row r="375" spans="1:17" x14ac:dyDescent="0.35">
      <c r="A375" s="82">
        <v>372</v>
      </c>
      <c r="B375" s="83" t="str">
        <f>_xlfn.XLOOKUP(A375,'TAZs by City - CCAG Model'!$A:$A,'TAZs by City - CCAG Model'!$B:$B,"Unknown")</f>
        <v>Mountain View</v>
      </c>
      <c r="C375" s="82">
        <f>_xlfn.XLOOKUP(A375,'TAZs by City - CCAG Model'!$A:$A,'TAZs by City - CCAG Model'!$C:$C,999)</f>
        <v>3</v>
      </c>
      <c r="D375" s="82" t="str">
        <f t="shared" si="40"/>
        <v>NO</v>
      </c>
      <c r="E375" s="27">
        <v>1039.2</v>
      </c>
      <c r="F375" s="27">
        <v>630.98</v>
      </c>
      <c r="G375" s="27">
        <v>34.659999999999997</v>
      </c>
      <c r="H375" s="27">
        <v>23.64</v>
      </c>
      <c r="I375" s="27">
        <v>106.12</v>
      </c>
      <c r="J375" s="27">
        <v>1907.82</v>
      </c>
      <c r="K375" s="47">
        <f t="shared" si="41"/>
        <v>0.54470547535931069</v>
      </c>
      <c r="L375" s="47">
        <f t="shared" si="42"/>
        <v>0.33073350735394325</v>
      </c>
      <c r="M375" s="84">
        <f t="shared" si="43"/>
        <v>0.87543898271325393</v>
      </c>
      <c r="N375" s="47">
        <f t="shared" si="44"/>
        <v>1.816733234791542E-2</v>
      </c>
      <c r="O375" s="47">
        <f t="shared" si="45"/>
        <v>1.2391106079189862E-2</v>
      </c>
      <c r="P375" s="47">
        <f t="shared" si="46"/>
        <v>5.5623696155821835E-2</v>
      </c>
      <c r="Q375" s="47">
        <f t="shared" si="47"/>
        <v>1</v>
      </c>
    </row>
    <row r="376" spans="1:17" x14ac:dyDescent="0.35">
      <c r="A376" s="82">
        <v>373</v>
      </c>
      <c r="B376" s="83" t="str">
        <f>_xlfn.XLOOKUP(A376,'TAZs by City - CCAG Model'!$A:$A,'TAZs by City - CCAG Model'!$B:$B,"Unknown")</f>
        <v>Mountain View</v>
      </c>
      <c r="C376" s="82">
        <f>_xlfn.XLOOKUP(A376,'TAZs by City - CCAG Model'!$A:$A,'TAZs by City - CCAG Model'!$C:$C,999)</f>
        <v>3</v>
      </c>
      <c r="D376" s="82" t="str">
        <f t="shared" si="40"/>
        <v>NO</v>
      </c>
      <c r="E376" s="27">
        <v>1571.68</v>
      </c>
      <c r="F376" s="27">
        <v>1030.7</v>
      </c>
      <c r="G376" s="27">
        <v>64.02</v>
      </c>
      <c r="H376" s="27">
        <v>37.020000000000003</v>
      </c>
      <c r="I376" s="27">
        <v>180.42</v>
      </c>
      <c r="J376" s="27">
        <v>2977.8</v>
      </c>
      <c r="K376" s="47">
        <f t="shared" si="41"/>
        <v>0.52779904627577401</v>
      </c>
      <c r="L376" s="47">
        <f t="shared" si="42"/>
        <v>0.346128013970045</v>
      </c>
      <c r="M376" s="84">
        <f t="shared" si="43"/>
        <v>0.87392706024581901</v>
      </c>
      <c r="N376" s="47">
        <f t="shared" si="44"/>
        <v>2.1499093290348575E-2</v>
      </c>
      <c r="O376" s="47">
        <f t="shared" si="45"/>
        <v>1.2431996776143463E-2</v>
      </c>
      <c r="P376" s="47">
        <f t="shared" si="46"/>
        <v>6.0588353818255079E-2</v>
      </c>
      <c r="Q376" s="47">
        <f t="shared" si="47"/>
        <v>1</v>
      </c>
    </row>
    <row r="377" spans="1:17" x14ac:dyDescent="0.35">
      <c r="A377" s="82">
        <v>374</v>
      </c>
      <c r="B377" s="83" t="str">
        <f>_xlfn.XLOOKUP(A377,'TAZs by City - CCAG Model'!$A:$A,'TAZs by City - CCAG Model'!$B:$B,"Unknown")</f>
        <v>Mountain View</v>
      </c>
      <c r="C377" s="82">
        <f>_xlfn.XLOOKUP(A377,'TAZs by City - CCAG Model'!$A:$A,'TAZs by City - CCAG Model'!$C:$C,999)</f>
        <v>3</v>
      </c>
      <c r="D377" s="82" t="str">
        <f t="shared" si="40"/>
        <v>NO</v>
      </c>
      <c r="E377" s="27">
        <v>1029.8</v>
      </c>
      <c r="F377" s="27">
        <v>247.38</v>
      </c>
      <c r="G377" s="27">
        <v>21.12</v>
      </c>
      <c r="H377" s="27">
        <v>7.1</v>
      </c>
      <c r="I377" s="27">
        <v>30.74</v>
      </c>
      <c r="J377" s="27">
        <v>1408.2</v>
      </c>
      <c r="K377" s="47">
        <f t="shared" si="41"/>
        <v>0.73128816929413432</v>
      </c>
      <c r="L377" s="47">
        <f t="shared" si="42"/>
        <v>0.17567106945036215</v>
      </c>
      <c r="M377" s="84">
        <f t="shared" si="43"/>
        <v>0.90695923874449635</v>
      </c>
      <c r="N377" s="47">
        <f t="shared" si="44"/>
        <v>1.4997869620792501E-2</v>
      </c>
      <c r="O377" s="47">
        <f t="shared" si="45"/>
        <v>5.0418974577474789E-3</v>
      </c>
      <c r="P377" s="47">
        <f t="shared" si="46"/>
        <v>2.1829285612839082E-2</v>
      </c>
      <c r="Q377" s="47">
        <f t="shared" si="47"/>
        <v>1</v>
      </c>
    </row>
    <row r="378" spans="1:17" x14ac:dyDescent="0.35">
      <c r="A378" s="82">
        <v>375</v>
      </c>
      <c r="B378" s="83" t="str">
        <f>_xlfn.XLOOKUP(A378,'TAZs by City - CCAG Model'!$A:$A,'TAZs by City - CCAG Model'!$B:$B,"Unknown")</f>
        <v>Mountain View</v>
      </c>
      <c r="C378" s="82">
        <f>_xlfn.XLOOKUP(A378,'TAZs by City - CCAG Model'!$A:$A,'TAZs by City - CCAG Model'!$C:$C,999)</f>
        <v>3</v>
      </c>
      <c r="D378" s="82" t="str">
        <f t="shared" si="40"/>
        <v>NO</v>
      </c>
      <c r="E378" s="27">
        <v>4497.7</v>
      </c>
      <c r="F378" s="27">
        <v>2614.02</v>
      </c>
      <c r="G378" s="27">
        <v>143.46</v>
      </c>
      <c r="H378" s="27">
        <v>110.64</v>
      </c>
      <c r="I378" s="27">
        <v>840</v>
      </c>
      <c r="J378" s="27">
        <v>8389.9599999999991</v>
      </c>
      <c r="K378" s="47">
        <f t="shared" si="41"/>
        <v>0.53608122088782306</v>
      </c>
      <c r="L378" s="47">
        <f t="shared" si="42"/>
        <v>0.31156525180096212</v>
      </c>
      <c r="M378" s="84">
        <f t="shared" si="43"/>
        <v>0.84764647268878512</v>
      </c>
      <c r="N378" s="47">
        <f t="shared" si="44"/>
        <v>1.7099008815298286E-2</v>
      </c>
      <c r="O378" s="47">
        <f t="shared" si="45"/>
        <v>1.3187190403768315E-2</v>
      </c>
      <c r="P378" s="47">
        <f t="shared" si="46"/>
        <v>0.1001196668398896</v>
      </c>
      <c r="Q378" s="47">
        <f t="shared" si="47"/>
        <v>1</v>
      </c>
    </row>
    <row r="379" spans="1:17" x14ac:dyDescent="0.35">
      <c r="A379" s="82">
        <v>376</v>
      </c>
      <c r="B379" s="83" t="str">
        <f>_xlfn.XLOOKUP(A379,'TAZs by City - CCAG Model'!$A:$A,'TAZs by City - CCAG Model'!$B:$B,"Unknown")</f>
        <v>Mountain View</v>
      </c>
      <c r="C379" s="82">
        <f>_xlfn.XLOOKUP(A379,'TAZs by City - CCAG Model'!$A:$A,'TAZs by City - CCAG Model'!$C:$C,999)</f>
        <v>3</v>
      </c>
      <c r="D379" s="82" t="str">
        <f t="shared" si="40"/>
        <v>NO</v>
      </c>
      <c r="E379" s="27">
        <v>6895.7</v>
      </c>
      <c r="F379" s="27">
        <v>4178.32</v>
      </c>
      <c r="G379" s="27">
        <v>297.42</v>
      </c>
      <c r="H379" s="27">
        <v>163.04</v>
      </c>
      <c r="I379" s="27">
        <v>2212.2600000000002</v>
      </c>
      <c r="J379" s="27">
        <v>14083.32</v>
      </c>
      <c r="K379" s="47">
        <f t="shared" si="41"/>
        <v>0.48963596651925823</v>
      </c>
      <c r="L379" s="47">
        <f t="shared" si="42"/>
        <v>0.29668572467287541</v>
      </c>
      <c r="M379" s="84">
        <f t="shared" si="43"/>
        <v>0.78632169119213369</v>
      </c>
      <c r="N379" s="47">
        <f t="shared" si="44"/>
        <v>2.1118599875597516E-2</v>
      </c>
      <c r="O379" s="47">
        <f t="shared" si="45"/>
        <v>1.1576815694026693E-2</v>
      </c>
      <c r="P379" s="47">
        <f t="shared" si="46"/>
        <v>0.15708369901415292</v>
      </c>
      <c r="Q379" s="47">
        <f t="shared" si="47"/>
        <v>1</v>
      </c>
    </row>
    <row r="380" spans="1:17" x14ac:dyDescent="0.35">
      <c r="A380" s="82">
        <v>377</v>
      </c>
      <c r="B380" s="83" t="str">
        <f>_xlfn.XLOOKUP(A380,'TAZs by City - CCAG Model'!$A:$A,'TAZs by City - CCAG Model'!$B:$B,"Unknown")</f>
        <v>Mountain View</v>
      </c>
      <c r="C380" s="82">
        <f>_xlfn.XLOOKUP(A380,'TAZs by City - CCAG Model'!$A:$A,'TAZs by City - CCAG Model'!$C:$C,999)</f>
        <v>3</v>
      </c>
      <c r="D380" s="82" t="str">
        <f t="shared" si="40"/>
        <v>NO</v>
      </c>
      <c r="E380" s="27">
        <v>4912.42</v>
      </c>
      <c r="F380" s="27">
        <v>2966.04</v>
      </c>
      <c r="G380" s="27">
        <v>214</v>
      </c>
      <c r="H380" s="27">
        <v>118.52</v>
      </c>
      <c r="I380" s="27">
        <v>1500.9</v>
      </c>
      <c r="J380" s="27">
        <v>9961.82</v>
      </c>
      <c r="K380" s="47">
        <f t="shared" si="41"/>
        <v>0.49312475029663255</v>
      </c>
      <c r="L380" s="47">
        <f t="shared" si="42"/>
        <v>0.2977407742761865</v>
      </c>
      <c r="M380" s="84">
        <f t="shared" si="43"/>
        <v>0.790865524572819</v>
      </c>
      <c r="N380" s="47">
        <f t="shared" si="44"/>
        <v>2.1482018346045201E-2</v>
      </c>
      <c r="O380" s="47">
        <f t="shared" si="45"/>
        <v>1.1897424366230267E-2</v>
      </c>
      <c r="P380" s="47">
        <f t="shared" si="46"/>
        <v>0.15066523988588432</v>
      </c>
      <c r="Q380" s="47">
        <f t="shared" si="47"/>
        <v>1</v>
      </c>
    </row>
    <row r="381" spans="1:17" x14ac:dyDescent="0.35">
      <c r="A381" s="82">
        <v>378</v>
      </c>
      <c r="B381" s="83" t="str">
        <f>_xlfn.XLOOKUP(A381,'TAZs by City - CCAG Model'!$A:$A,'TAZs by City - CCAG Model'!$B:$B,"Unknown")</f>
        <v>Mountain View</v>
      </c>
      <c r="C381" s="82">
        <f>_xlfn.XLOOKUP(A381,'TAZs by City - CCAG Model'!$A:$A,'TAZs by City - CCAG Model'!$C:$C,999)</f>
        <v>3</v>
      </c>
      <c r="D381" s="82" t="str">
        <f t="shared" si="40"/>
        <v>NO</v>
      </c>
      <c r="E381" s="27">
        <v>5180.08</v>
      </c>
      <c r="F381" s="27">
        <v>2363.42</v>
      </c>
      <c r="G381" s="27">
        <v>234.62</v>
      </c>
      <c r="H381" s="27">
        <v>96.88</v>
      </c>
      <c r="I381" s="27">
        <v>614.55999999999995</v>
      </c>
      <c r="J381" s="27">
        <v>8766.4</v>
      </c>
      <c r="K381" s="47">
        <f t="shared" si="41"/>
        <v>0.59090162438401173</v>
      </c>
      <c r="L381" s="47">
        <f t="shared" si="42"/>
        <v>0.2695998357364483</v>
      </c>
      <c r="M381" s="84">
        <f t="shared" si="43"/>
        <v>0.86050146012046003</v>
      </c>
      <c r="N381" s="47">
        <f t="shared" si="44"/>
        <v>2.6763551743018799E-2</v>
      </c>
      <c r="O381" s="47">
        <f t="shared" si="45"/>
        <v>1.1051286731155321E-2</v>
      </c>
      <c r="P381" s="47">
        <f t="shared" si="46"/>
        <v>7.0104033582770578E-2</v>
      </c>
      <c r="Q381" s="47">
        <f t="shared" si="47"/>
        <v>1</v>
      </c>
    </row>
    <row r="382" spans="1:17" x14ac:dyDescent="0.35">
      <c r="A382" s="82">
        <v>379</v>
      </c>
      <c r="B382" s="83" t="str">
        <f>_xlfn.XLOOKUP(A382,'TAZs by City - CCAG Model'!$A:$A,'TAZs by City - CCAG Model'!$B:$B,"Unknown")</f>
        <v>Mountain View</v>
      </c>
      <c r="C382" s="82">
        <f>_xlfn.XLOOKUP(A382,'TAZs by City - CCAG Model'!$A:$A,'TAZs by City - CCAG Model'!$C:$C,999)</f>
        <v>3</v>
      </c>
      <c r="D382" s="82" t="str">
        <f t="shared" si="40"/>
        <v>NO</v>
      </c>
      <c r="E382" s="27">
        <v>9292.02</v>
      </c>
      <c r="F382" s="27">
        <v>3232.54</v>
      </c>
      <c r="G382" s="27">
        <v>630.29999999999995</v>
      </c>
      <c r="H382" s="27">
        <v>130.19999999999999</v>
      </c>
      <c r="I382" s="27">
        <v>965.26</v>
      </c>
      <c r="J382" s="27">
        <v>14908.62</v>
      </c>
      <c r="K382" s="47">
        <f t="shared" si="41"/>
        <v>0.62326492995327532</v>
      </c>
      <c r="L382" s="47">
        <f t="shared" si="42"/>
        <v>0.21682355576840778</v>
      </c>
      <c r="M382" s="84">
        <f t="shared" si="43"/>
        <v>0.84008848572168315</v>
      </c>
      <c r="N382" s="47">
        <f t="shared" si="44"/>
        <v>4.2277554864232902E-2</v>
      </c>
      <c r="O382" s="47">
        <f t="shared" si="45"/>
        <v>8.7332026706697184E-3</v>
      </c>
      <c r="P382" s="47">
        <f t="shared" si="46"/>
        <v>6.4745093777962004E-2</v>
      </c>
      <c r="Q382" s="47">
        <f t="shared" si="47"/>
        <v>1</v>
      </c>
    </row>
    <row r="383" spans="1:17" x14ac:dyDescent="0.35">
      <c r="A383" s="82">
        <v>380</v>
      </c>
      <c r="B383" s="83" t="str">
        <f>_xlfn.XLOOKUP(A383,'TAZs by City - CCAG Model'!$A:$A,'TAZs by City - CCAG Model'!$B:$B,"Unknown")</f>
        <v>Mountain View</v>
      </c>
      <c r="C383" s="82">
        <f>_xlfn.XLOOKUP(A383,'TAZs by City - CCAG Model'!$A:$A,'TAZs by City - CCAG Model'!$C:$C,999)</f>
        <v>3</v>
      </c>
      <c r="D383" s="82" t="str">
        <f t="shared" si="40"/>
        <v>NO</v>
      </c>
      <c r="E383" s="27">
        <v>6607.94</v>
      </c>
      <c r="F383" s="27">
        <v>2815.6</v>
      </c>
      <c r="G383" s="27">
        <v>313.94</v>
      </c>
      <c r="H383" s="27">
        <v>147.58000000000001</v>
      </c>
      <c r="I383" s="27">
        <v>681.6</v>
      </c>
      <c r="J383" s="27">
        <v>10916.66</v>
      </c>
      <c r="K383" s="47">
        <f t="shared" si="41"/>
        <v>0.60530785056967973</v>
      </c>
      <c r="L383" s="47">
        <f t="shared" si="42"/>
        <v>0.25791771475890979</v>
      </c>
      <c r="M383" s="84">
        <f t="shared" si="43"/>
        <v>0.86322556532858941</v>
      </c>
      <c r="N383" s="47">
        <f t="shared" si="44"/>
        <v>2.8757880157484067E-2</v>
      </c>
      <c r="O383" s="47">
        <f t="shared" si="45"/>
        <v>1.3518786881701914E-2</v>
      </c>
      <c r="P383" s="47">
        <f t="shared" si="46"/>
        <v>6.2436679350643884E-2</v>
      </c>
      <c r="Q383" s="47">
        <f t="shared" si="47"/>
        <v>1</v>
      </c>
    </row>
    <row r="384" spans="1:17" x14ac:dyDescent="0.35">
      <c r="A384" s="82">
        <v>381</v>
      </c>
      <c r="B384" s="83" t="str">
        <f>_xlfn.XLOOKUP(A384,'TAZs by City - CCAG Model'!$A:$A,'TAZs by City - CCAG Model'!$B:$B,"Unknown")</f>
        <v>Mountain View</v>
      </c>
      <c r="C384" s="82">
        <f>_xlfn.XLOOKUP(A384,'TAZs by City - CCAG Model'!$A:$A,'TAZs by City - CCAG Model'!$C:$C,999)</f>
        <v>3</v>
      </c>
      <c r="D384" s="82" t="str">
        <f t="shared" si="40"/>
        <v>NO</v>
      </c>
      <c r="E384" s="27">
        <v>15666.06</v>
      </c>
      <c r="F384" s="27">
        <v>5050.92</v>
      </c>
      <c r="G384" s="27">
        <v>278.32</v>
      </c>
      <c r="H384" s="27">
        <v>232.66</v>
      </c>
      <c r="I384" s="27">
        <v>530</v>
      </c>
      <c r="J384" s="27">
        <v>22060.6</v>
      </c>
      <c r="K384" s="47">
        <f t="shared" si="41"/>
        <v>0.71013753025756332</v>
      </c>
      <c r="L384" s="47">
        <f t="shared" si="42"/>
        <v>0.22895660136170368</v>
      </c>
      <c r="M384" s="84">
        <f t="shared" si="43"/>
        <v>0.93909413161926703</v>
      </c>
      <c r="N384" s="47">
        <f t="shared" si="44"/>
        <v>1.2616157312131131E-2</v>
      </c>
      <c r="O384" s="47">
        <f t="shared" si="45"/>
        <v>1.0546403996264834E-2</v>
      </c>
      <c r="P384" s="47">
        <f t="shared" si="46"/>
        <v>2.402473187492634E-2</v>
      </c>
      <c r="Q384" s="47">
        <f t="shared" si="47"/>
        <v>1</v>
      </c>
    </row>
    <row r="385" spans="1:17" x14ac:dyDescent="0.35">
      <c r="A385" s="82">
        <v>382</v>
      </c>
      <c r="B385" s="83" t="str">
        <f>_xlfn.XLOOKUP(A385,'TAZs by City - CCAG Model'!$A:$A,'TAZs by City - CCAG Model'!$B:$B,"Unknown")</f>
        <v>Mountain View</v>
      </c>
      <c r="C385" s="82">
        <f>_xlfn.XLOOKUP(A385,'TAZs by City - CCAG Model'!$A:$A,'TAZs by City - CCAG Model'!$C:$C,999)</f>
        <v>3</v>
      </c>
      <c r="D385" s="82" t="str">
        <f t="shared" si="40"/>
        <v>NO</v>
      </c>
      <c r="E385" s="27">
        <v>9487.82</v>
      </c>
      <c r="F385" s="27">
        <v>5184.4799999999996</v>
      </c>
      <c r="G385" s="27">
        <v>545.64</v>
      </c>
      <c r="H385" s="27">
        <v>364.26</v>
      </c>
      <c r="I385" s="27">
        <v>1269.76</v>
      </c>
      <c r="J385" s="27">
        <v>17438.080000000002</v>
      </c>
      <c r="K385" s="47">
        <f t="shared" si="41"/>
        <v>0.54408627555327183</v>
      </c>
      <c r="L385" s="47">
        <f t="shared" si="42"/>
        <v>0.29730796050941383</v>
      </c>
      <c r="M385" s="84">
        <f t="shared" si="43"/>
        <v>0.84139423606268571</v>
      </c>
      <c r="N385" s="47">
        <f t="shared" si="44"/>
        <v>3.1290142033985391E-2</v>
      </c>
      <c r="O385" s="47">
        <f t="shared" si="45"/>
        <v>2.0888767570741731E-2</v>
      </c>
      <c r="P385" s="47">
        <f t="shared" si="46"/>
        <v>7.2815355818989236E-2</v>
      </c>
      <c r="Q385" s="47">
        <f t="shared" si="47"/>
        <v>1</v>
      </c>
    </row>
    <row r="386" spans="1:17" x14ac:dyDescent="0.35">
      <c r="A386" s="82">
        <v>383</v>
      </c>
      <c r="B386" s="83" t="str">
        <f>_xlfn.XLOOKUP(A386,'TAZs by City - CCAG Model'!$A:$A,'TAZs by City - CCAG Model'!$B:$B,"Unknown")</f>
        <v>Mountain View</v>
      </c>
      <c r="C386" s="82">
        <f>_xlfn.XLOOKUP(A386,'TAZs by City - CCAG Model'!$A:$A,'TAZs by City - CCAG Model'!$C:$C,999)</f>
        <v>3</v>
      </c>
      <c r="D386" s="82" t="str">
        <f t="shared" si="40"/>
        <v>NO</v>
      </c>
      <c r="E386" s="27">
        <v>4749.78</v>
      </c>
      <c r="F386" s="27">
        <v>2796.18</v>
      </c>
      <c r="G386" s="27">
        <v>227.66</v>
      </c>
      <c r="H386" s="27">
        <v>183.94</v>
      </c>
      <c r="I386" s="27">
        <v>677.06</v>
      </c>
      <c r="J386" s="27">
        <v>8905.14</v>
      </c>
      <c r="K386" s="47">
        <f t="shared" si="41"/>
        <v>0.53337510696069912</v>
      </c>
      <c r="L386" s="47">
        <f t="shared" si="42"/>
        <v>0.31399618647208244</v>
      </c>
      <c r="M386" s="84">
        <f t="shared" si="43"/>
        <v>0.8473712934327815</v>
      </c>
      <c r="N386" s="47">
        <f t="shared" si="44"/>
        <v>2.5565010769061463E-2</v>
      </c>
      <c r="O386" s="47">
        <f t="shared" si="45"/>
        <v>2.0655486606611463E-2</v>
      </c>
      <c r="P386" s="47">
        <f t="shared" si="46"/>
        <v>7.603024769964313E-2</v>
      </c>
      <c r="Q386" s="47">
        <f t="shared" si="47"/>
        <v>1</v>
      </c>
    </row>
    <row r="387" spans="1:17" x14ac:dyDescent="0.35">
      <c r="A387" s="82">
        <v>384</v>
      </c>
      <c r="B387" s="83" t="str">
        <f>_xlfn.XLOOKUP(A387,'TAZs by City - CCAG Model'!$A:$A,'TAZs by City - CCAG Model'!$B:$B,"Unknown")</f>
        <v>Mountain View</v>
      </c>
      <c r="C387" s="82">
        <f>_xlfn.XLOOKUP(A387,'TAZs by City - CCAG Model'!$A:$A,'TAZs by City - CCAG Model'!$C:$C,999)</f>
        <v>3</v>
      </c>
      <c r="D387" s="82" t="str">
        <f t="shared" si="40"/>
        <v>NO</v>
      </c>
      <c r="E387" s="27">
        <v>7632.74</v>
      </c>
      <c r="F387" s="27">
        <v>4581.32</v>
      </c>
      <c r="G387" s="27">
        <v>517.1</v>
      </c>
      <c r="H387" s="27">
        <v>415.06</v>
      </c>
      <c r="I387" s="27">
        <v>1456.32</v>
      </c>
      <c r="J387" s="27">
        <v>15163.96</v>
      </c>
      <c r="K387" s="47">
        <f t="shared" si="41"/>
        <v>0.50334741057085353</v>
      </c>
      <c r="L387" s="47">
        <f t="shared" si="42"/>
        <v>0.30211897156151823</v>
      </c>
      <c r="M387" s="84">
        <f t="shared" si="43"/>
        <v>0.80546638213237176</v>
      </c>
      <c r="N387" s="47">
        <f t="shared" si="44"/>
        <v>3.4100591138462519E-2</v>
      </c>
      <c r="O387" s="47">
        <f t="shared" si="45"/>
        <v>2.7371478162696288E-2</v>
      </c>
      <c r="P387" s="47">
        <f t="shared" si="46"/>
        <v>9.6038238032809378E-2</v>
      </c>
      <c r="Q387" s="47">
        <f t="shared" si="47"/>
        <v>1</v>
      </c>
    </row>
    <row r="388" spans="1:17" x14ac:dyDescent="0.35">
      <c r="A388" s="82">
        <v>385</v>
      </c>
      <c r="B388" s="83" t="str">
        <f>_xlfn.XLOOKUP(A388,'TAZs by City - CCAG Model'!$A:$A,'TAZs by City - CCAG Model'!$B:$B,"Unknown")</f>
        <v>Mountain View</v>
      </c>
      <c r="C388" s="82">
        <f>_xlfn.XLOOKUP(A388,'TAZs by City - CCAG Model'!$A:$A,'TAZs by City - CCAG Model'!$C:$C,999)</f>
        <v>3</v>
      </c>
      <c r="D388" s="82" t="str">
        <f t="shared" si="40"/>
        <v>NO</v>
      </c>
      <c r="E388" s="27">
        <v>2926</v>
      </c>
      <c r="F388" s="27">
        <v>1672.92</v>
      </c>
      <c r="G388" s="27">
        <v>97.5</v>
      </c>
      <c r="H388" s="27">
        <v>109.3</v>
      </c>
      <c r="I388" s="27">
        <v>231.42</v>
      </c>
      <c r="J388" s="27">
        <v>5178.8599999999997</v>
      </c>
      <c r="K388" s="47">
        <f t="shared" si="41"/>
        <v>0.56498920611872117</v>
      </c>
      <c r="L388" s="47">
        <f t="shared" si="42"/>
        <v>0.32302862019826761</v>
      </c>
      <c r="M388" s="84">
        <f t="shared" si="43"/>
        <v>0.88801782631698878</v>
      </c>
      <c r="N388" s="47">
        <f t="shared" si="44"/>
        <v>1.8826537114345631E-2</v>
      </c>
      <c r="O388" s="47">
        <f t="shared" si="45"/>
        <v>2.1105030836902329E-2</v>
      </c>
      <c r="P388" s="47">
        <f t="shared" si="46"/>
        <v>4.4685509938480666E-2</v>
      </c>
      <c r="Q388" s="47">
        <f t="shared" si="47"/>
        <v>1</v>
      </c>
    </row>
    <row r="389" spans="1:17" x14ac:dyDescent="0.35">
      <c r="A389" s="82">
        <v>386</v>
      </c>
      <c r="B389" s="83" t="str">
        <f>_xlfn.XLOOKUP(A389,'TAZs by City - CCAG Model'!$A:$A,'TAZs by City - CCAG Model'!$B:$B,"Unknown")</f>
        <v>Mountain View</v>
      </c>
      <c r="C389" s="82">
        <f>_xlfn.XLOOKUP(A389,'TAZs by City - CCAG Model'!$A:$A,'TAZs by City - CCAG Model'!$C:$C,999)</f>
        <v>3</v>
      </c>
      <c r="D389" s="82" t="str">
        <f t="shared" ref="D389:D452" si="48">IF(C389=2,"YES","NO")</f>
        <v>NO</v>
      </c>
      <c r="E389" s="27">
        <v>2602.3200000000002</v>
      </c>
      <c r="F389" s="27">
        <v>1487.7</v>
      </c>
      <c r="G389" s="27">
        <v>121.72</v>
      </c>
      <c r="H389" s="27">
        <v>96.52</v>
      </c>
      <c r="I389" s="27">
        <v>223.84</v>
      </c>
      <c r="J389" s="27">
        <v>4696.3</v>
      </c>
      <c r="K389" s="47">
        <f t="shared" ref="K389:K452" si="49">IFERROR(E389/$J389,0)</f>
        <v>0.55412132955731108</v>
      </c>
      <c r="L389" s="47">
        <f t="shared" ref="L389:L452" si="50">IFERROR(F389/$J389,0)</f>
        <v>0.31678129591380449</v>
      </c>
      <c r="M389" s="84">
        <f t="shared" ref="M389:M452" si="51">IFERROR((E389+F389)/J389,0)</f>
        <v>0.87090262547111563</v>
      </c>
      <c r="N389" s="47">
        <f t="shared" ref="N389:N452" si="52">IFERROR(G389/$J389,0)</f>
        <v>2.5918276089687626E-2</v>
      </c>
      <c r="O389" s="47">
        <f t="shared" ref="O389:O452" si="53">IFERROR(H389/$J389,0)</f>
        <v>2.0552349722121669E-2</v>
      </c>
      <c r="P389" s="47">
        <f t="shared" ref="P389:P452" si="54">IFERROR(I389/$J389,0)</f>
        <v>4.7663053893490619E-2</v>
      </c>
      <c r="Q389" s="47">
        <f t="shared" ref="Q389:Q452" si="55">IFERROR(J389/$J389,0)</f>
        <v>1</v>
      </c>
    </row>
    <row r="390" spans="1:17" x14ac:dyDescent="0.35">
      <c r="A390" s="82">
        <v>387</v>
      </c>
      <c r="B390" s="83" t="str">
        <f>_xlfn.XLOOKUP(A390,'TAZs by City - CCAG Model'!$A:$A,'TAZs by City - CCAG Model'!$B:$B,"Unknown")</f>
        <v>Mountain View</v>
      </c>
      <c r="C390" s="82">
        <f>_xlfn.XLOOKUP(A390,'TAZs by City - CCAG Model'!$A:$A,'TAZs by City - CCAG Model'!$C:$C,999)</f>
        <v>3</v>
      </c>
      <c r="D390" s="82" t="str">
        <f t="shared" si="48"/>
        <v>NO</v>
      </c>
      <c r="E390" s="27">
        <v>3170.52</v>
      </c>
      <c r="F390" s="27">
        <v>1587.02</v>
      </c>
      <c r="G390" s="27">
        <v>79.92</v>
      </c>
      <c r="H390" s="27">
        <v>92.78</v>
      </c>
      <c r="I390" s="27">
        <v>153.96</v>
      </c>
      <c r="J390" s="27">
        <v>5212.28</v>
      </c>
      <c r="K390" s="47">
        <f t="shared" si="49"/>
        <v>0.60827891057272443</v>
      </c>
      <c r="L390" s="47">
        <f t="shared" si="50"/>
        <v>0.30447711941798983</v>
      </c>
      <c r="M390" s="84">
        <f t="shared" si="51"/>
        <v>0.91275602999071426</v>
      </c>
      <c r="N390" s="47">
        <f t="shared" si="52"/>
        <v>1.533302124981774E-2</v>
      </c>
      <c r="O390" s="47">
        <f t="shared" si="53"/>
        <v>1.7800271666142266E-2</v>
      </c>
      <c r="P390" s="47">
        <f t="shared" si="54"/>
        <v>2.9537937332606849E-2</v>
      </c>
      <c r="Q390" s="47">
        <f t="shared" si="55"/>
        <v>1</v>
      </c>
    </row>
    <row r="391" spans="1:17" x14ac:dyDescent="0.35">
      <c r="A391" s="82">
        <v>388</v>
      </c>
      <c r="B391" s="83" t="str">
        <f>_xlfn.XLOOKUP(A391,'TAZs by City - CCAG Model'!$A:$A,'TAZs by City - CCAG Model'!$B:$B,"Unknown")</f>
        <v>Mountain View</v>
      </c>
      <c r="C391" s="82">
        <f>_xlfn.XLOOKUP(A391,'TAZs by City - CCAG Model'!$A:$A,'TAZs by City - CCAG Model'!$C:$C,999)</f>
        <v>3</v>
      </c>
      <c r="D391" s="82" t="str">
        <f t="shared" si="48"/>
        <v>NO</v>
      </c>
      <c r="E391" s="27">
        <v>4630.0200000000004</v>
      </c>
      <c r="F391" s="27">
        <v>2344.48</v>
      </c>
      <c r="G391" s="27">
        <v>124.06</v>
      </c>
      <c r="H391" s="27">
        <v>81.44</v>
      </c>
      <c r="I391" s="27">
        <v>1695.38</v>
      </c>
      <c r="J391" s="27">
        <v>9048.76</v>
      </c>
      <c r="K391" s="47">
        <f t="shared" si="49"/>
        <v>0.51167452778060207</v>
      </c>
      <c r="L391" s="47">
        <f t="shared" si="50"/>
        <v>0.2590940637170176</v>
      </c>
      <c r="M391" s="84">
        <f t="shared" si="51"/>
        <v>0.77076859149761956</v>
      </c>
      <c r="N391" s="47">
        <f t="shared" si="52"/>
        <v>1.3710165812774348E-2</v>
      </c>
      <c r="O391" s="47">
        <f t="shared" si="53"/>
        <v>9.0001281943603312E-3</v>
      </c>
      <c r="P391" s="47">
        <f t="shared" si="54"/>
        <v>0.18736047812075909</v>
      </c>
      <c r="Q391" s="47">
        <f t="shared" si="55"/>
        <v>1</v>
      </c>
    </row>
    <row r="392" spans="1:17" x14ac:dyDescent="0.35">
      <c r="A392" s="82">
        <v>389</v>
      </c>
      <c r="B392" s="83" t="str">
        <f>_xlfn.XLOOKUP(A392,'TAZs by City - CCAG Model'!$A:$A,'TAZs by City - CCAG Model'!$B:$B,"Unknown")</f>
        <v>Mountain View</v>
      </c>
      <c r="C392" s="82">
        <f>_xlfn.XLOOKUP(A392,'TAZs by City - CCAG Model'!$A:$A,'TAZs by City - CCAG Model'!$C:$C,999)</f>
        <v>3</v>
      </c>
      <c r="D392" s="82" t="str">
        <f t="shared" si="48"/>
        <v>NO</v>
      </c>
      <c r="E392" s="27">
        <v>3390.8</v>
      </c>
      <c r="F392" s="27">
        <v>1343.96</v>
      </c>
      <c r="G392" s="27">
        <v>140.16</v>
      </c>
      <c r="H392" s="27">
        <v>70.459999999999994</v>
      </c>
      <c r="I392" s="27">
        <v>770.08</v>
      </c>
      <c r="J392" s="27">
        <v>5907.34</v>
      </c>
      <c r="K392" s="47">
        <f t="shared" si="49"/>
        <v>0.57399777226298132</v>
      </c>
      <c r="L392" s="47">
        <f t="shared" si="50"/>
        <v>0.22750679662927814</v>
      </c>
      <c r="M392" s="84">
        <f t="shared" si="51"/>
        <v>0.80150456889225952</v>
      </c>
      <c r="N392" s="47">
        <f t="shared" si="52"/>
        <v>2.3726414934640633E-2</v>
      </c>
      <c r="O392" s="47">
        <f t="shared" si="53"/>
        <v>1.192753422013969E-2</v>
      </c>
      <c r="P392" s="47">
        <f t="shared" si="54"/>
        <v>0.13035985739774586</v>
      </c>
      <c r="Q392" s="47">
        <f t="shared" si="55"/>
        <v>1</v>
      </c>
    </row>
    <row r="393" spans="1:17" x14ac:dyDescent="0.35">
      <c r="A393" s="82">
        <v>390</v>
      </c>
      <c r="B393" s="83" t="str">
        <f>_xlfn.XLOOKUP(A393,'TAZs by City - CCAG Model'!$A:$A,'TAZs by City - CCAG Model'!$B:$B,"Unknown")</f>
        <v>Mountain View</v>
      </c>
      <c r="C393" s="82">
        <f>_xlfn.XLOOKUP(A393,'TAZs by City - CCAG Model'!$A:$A,'TAZs by City - CCAG Model'!$C:$C,999)</f>
        <v>3</v>
      </c>
      <c r="D393" s="82" t="str">
        <f t="shared" si="48"/>
        <v>NO</v>
      </c>
      <c r="E393" s="27">
        <v>5543.2</v>
      </c>
      <c r="F393" s="27">
        <v>3285.2</v>
      </c>
      <c r="G393" s="27">
        <v>146.30000000000001</v>
      </c>
      <c r="H393" s="27">
        <v>175.04</v>
      </c>
      <c r="I393" s="27">
        <v>1481.56</v>
      </c>
      <c r="J393" s="27">
        <v>10820.2</v>
      </c>
      <c r="K393" s="47">
        <f t="shared" si="49"/>
        <v>0.51230106652372409</v>
      </c>
      <c r="L393" s="47">
        <f t="shared" si="50"/>
        <v>0.30361730836768264</v>
      </c>
      <c r="M393" s="84">
        <f t="shared" si="51"/>
        <v>0.81591837489140673</v>
      </c>
      <c r="N393" s="47">
        <f t="shared" si="52"/>
        <v>1.3521007005415796E-2</v>
      </c>
      <c r="O393" s="47">
        <f t="shared" si="53"/>
        <v>1.6177150145098979E-2</v>
      </c>
      <c r="P393" s="47">
        <f t="shared" si="54"/>
        <v>0.13692538030720319</v>
      </c>
      <c r="Q393" s="47">
        <f t="shared" si="55"/>
        <v>1</v>
      </c>
    </row>
    <row r="394" spans="1:17" x14ac:dyDescent="0.35">
      <c r="A394" s="82">
        <v>391</v>
      </c>
      <c r="B394" s="83" t="str">
        <f>_xlfn.XLOOKUP(A394,'TAZs by City - CCAG Model'!$A:$A,'TAZs by City - CCAG Model'!$B:$B,"Unknown")</f>
        <v>Mountain View</v>
      </c>
      <c r="C394" s="82">
        <f>_xlfn.XLOOKUP(A394,'TAZs by City - CCAG Model'!$A:$A,'TAZs by City - CCAG Model'!$C:$C,999)</f>
        <v>3</v>
      </c>
      <c r="D394" s="82" t="str">
        <f t="shared" si="48"/>
        <v>NO</v>
      </c>
      <c r="E394" s="27">
        <v>6026.8</v>
      </c>
      <c r="F394" s="27">
        <v>3308.32</v>
      </c>
      <c r="G394" s="27">
        <v>137.72</v>
      </c>
      <c r="H394" s="27">
        <v>133.63999999999999</v>
      </c>
      <c r="I394" s="27">
        <v>1528.1</v>
      </c>
      <c r="J394" s="27">
        <v>11318.08</v>
      </c>
      <c r="K394" s="47">
        <f t="shared" si="49"/>
        <v>0.53249314371342138</v>
      </c>
      <c r="L394" s="47">
        <f t="shared" si="50"/>
        <v>0.29230399502389098</v>
      </c>
      <c r="M394" s="84">
        <f t="shared" si="51"/>
        <v>0.82479713873731242</v>
      </c>
      <c r="N394" s="47">
        <f t="shared" si="52"/>
        <v>1.2168141592920354E-2</v>
      </c>
      <c r="O394" s="47">
        <f t="shared" si="53"/>
        <v>1.1807656422290706E-2</v>
      </c>
      <c r="P394" s="47">
        <f t="shared" si="54"/>
        <v>0.13501406598999122</v>
      </c>
      <c r="Q394" s="47">
        <f t="shared" si="55"/>
        <v>1</v>
      </c>
    </row>
    <row r="395" spans="1:17" x14ac:dyDescent="0.35">
      <c r="A395" s="82">
        <v>392</v>
      </c>
      <c r="B395" s="83" t="str">
        <f>_xlfn.XLOOKUP(A395,'TAZs by City - CCAG Model'!$A:$A,'TAZs by City - CCAG Model'!$B:$B,"Unknown")</f>
        <v>Mountain View</v>
      </c>
      <c r="C395" s="82">
        <f>_xlfn.XLOOKUP(A395,'TAZs by City - CCAG Model'!$A:$A,'TAZs by City - CCAG Model'!$C:$C,999)</f>
        <v>3</v>
      </c>
      <c r="D395" s="82" t="str">
        <f t="shared" si="48"/>
        <v>NO</v>
      </c>
      <c r="E395" s="27">
        <v>6572.94</v>
      </c>
      <c r="F395" s="27">
        <v>2847.62</v>
      </c>
      <c r="G395" s="27">
        <v>159.18</v>
      </c>
      <c r="H395" s="27">
        <v>122.2</v>
      </c>
      <c r="I395" s="27">
        <v>566.02</v>
      </c>
      <c r="J395" s="27">
        <v>10467.719999999999</v>
      </c>
      <c r="K395" s="47">
        <f t="shared" si="49"/>
        <v>0.62792470566656344</v>
      </c>
      <c r="L395" s="47">
        <f t="shared" si="50"/>
        <v>0.27203822799998473</v>
      </c>
      <c r="M395" s="84">
        <f t="shared" si="51"/>
        <v>0.89996293366654823</v>
      </c>
      <c r="N395" s="47">
        <f t="shared" si="52"/>
        <v>1.5206749893959717E-2</v>
      </c>
      <c r="O395" s="47">
        <f t="shared" si="53"/>
        <v>1.1673984401569779E-2</v>
      </c>
      <c r="P395" s="47">
        <f t="shared" si="54"/>
        <v>5.4072902217483849E-2</v>
      </c>
      <c r="Q395" s="47">
        <f t="shared" si="55"/>
        <v>1</v>
      </c>
    </row>
    <row r="396" spans="1:17" x14ac:dyDescent="0.35">
      <c r="A396" s="82">
        <v>393</v>
      </c>
      <c r="B396" s="83" t="str">
        <f>_xlfn.XLOOKUP(A396,'TAZs by City - CCAG Model'!$A:$A,'TAZs by City - CCAG Model'!$B:$B,"Unknown")</f>
        <v>Mountain View</v>
      </c>
      <c r="C396" s="82">
        <f>_xlfn.XLOOKUP(A396,'TAZs by City - CCAG Model'!$A:$A,'TAZs by City - CCAG Model'!$C:$C,999)</f>
        <v>3</v>
      </c>
      <c r="D396" s="82" t="str">
        <f t="shared" si="48"/>
        <v>NO</v>
      </c>
      <c r="E396" s="27">
        <v>9757.98</v>
      </c>
      <c r="F396" s="27">
        <v>3631.6</v>
      </c>
      <c r="G396" s="27">
        <v>129.12</v>
      </c>
      <c r="H396" s="27">
        <v>135.52000000000001</v>
      </c>
      <c r="I396" s="27">
        <v>1649.5</v>
      </c>
      <c r="J396" s="27">
        <v>15471.28</v>
      </c>
      <c r="K396" s="47">
        <f t="shared" si="49"/>
        <v>0.63071575202568886</v>
      </c>
      <c r="L396" s="47">
        <f t="shared" si="50"/>
        <v>0.2347317093349742</v>
      </c>
      <c r="M396" s="84">
        <f t="shared" si="51"/>
        <v>0.86544746136066308</v>
      </c>
      <c r="N396" s="47">
        <f t="shared" si="52"/>
        <v>8.3457865154014411E-3</v>
      </c>
      <c r="O396" s="47">
        <f t="shared" si="53"/>
        <v>8.7594562311586379E-3</v>
      </c>
      <c r="P396" s="47">
        <f t="shared" si="54"/>
        <v>0.1066169056471087</v>
      </c>
      <c r="Q396" s="47">
        <f t="shared" si="55"/>
        <v>1</v>
      </c>
    </row>
    <row r="397" spans="1:17" x14ac:dyDescent="0.35">
      <c r="A397" s="82">
        <v>394</v>
      </c>
      <c r="B397" s="83" t="str">
        <f>_xlfn.XLOOKUP(A397,'TAZs by City - CCAG Model'!$A:$A,'TAZs by City - CCAG Model'!$B:$B,"Unknown")</f>
        <v>Mountain View</v>
      </c>
      <c r="C397" s="82">
        <f>_xlfn.XLOOKUP(A397,'TAZs by City - CCAG Model'!$A:$A,'TAZs by City - CCAG Model'!$C:$C,999)</f>
        <v>3</v>
      </c>
      <c r="D397" s="82" t="str">
        <f t="shared" si="48"/>
        <v>NO</v>
      </c>
      <c r="E397" s="27">
        <v>4818.16</v>
      </c>
      <c r="F397" s="27">
        <v>3617.24</v>
      </c>
      <c r="G397" s="27">
        <v>119.42</v>
      </c>
      <c r="H397" s="27">
        <v>119.74</v>
      </c>
      <c r="I397" s="27">
        <v>1634.58</v>
      </c>
      <c r="J397" s="27">
        <v>10466.459999999999</v>
      </c>
      <c r="K397" s="47">
        <f t="shared" si="49"/>
        <v>0.46034284753393223</v>
      </c>
      <c r="L397" s="47">
        <f t="shared" si="50"/>
        <v>0.34560300235227576</v>
      </c>
      <c r="M397" s="84">
        <f t="shared" si="51"/>
        <v>0.80594584988620799</v>
      </c>
      <c r="N397" s="47">
        <f t="shared" si="52"/>
        <v>1.1409779428765792E-2</v>
      </c>
      <c r="O397" s="47">
        <f t="shared" si="53"/>
        <v>1.144035328086096E-2</v>
      </c>
      <c r="P397" s="47">
        <f t="shared" si="54"/>
        <v>0.15617314736787796</v>
      </c>
      <c r="Q397" s="47">
        <f t="shared" si="55"/>
        <v>1</v>
      </c>
    </row>
    <row r="398" spans="1:17" x14ac:dyDescent="0.35">
      <c r="A398" s="82">
        <v>395</v>
      </c>
      <c r="B398" s="83" t="str">
        <f>_xlfn.XLOOKUP(A398,'TAZs by City - CCAG Model'!$A:$A,'TAZs by City - CCAG Model'!$B:$B,"Unknown")</f>
        <v>Mountain View</v>
      </c>
      <c r="C398" s="82">
        <f>_xlfn.XLOOKUP(A398,'TAZs by City - CCAG Model'!$A:$A,'TAZs by City - CCAG Model'!$C:$C,999)</f>
        <v>3</v>
      </c>
      <c r="D398" s="82" t="str">
        <f t="shared" si="48"/>
        <v>NO</v>
      </c>
      <c r="E398" s="27">
        <v>12002.78</v>
      </c>
      <c r="F398" s="27">
        <v>6235.2</v>
      </c>
      <c r="G398" s="27">
        <v>420.1</v>
      </c>
      <c r="H398" s="27">
        <v>308.45999999999998</v>
      </c>
      <c r="I398" s="27">
        <v>1223.96</v>
      </c>
      <c r="J398" s="27">
        <v>20651.439999999999</v>
      </c>
      <c r="K398" s="47">
        <f t="shared" si="49"/>
        <v>0.58120789639850789</v>
      </c>
      <c r="L398" s="47">
        <f t="shared" si="50"/>
        <v>0.30192567685352695</v>
      </c>
      <c r="M398" s="84">
        <f t="shared" si="51"/>
        <v>0.88313357325203479</v>
      </c>
      <c r="N398" s="47">
        <f t="shared" si="52"/>
        <v>2.0342407115436022E-2</v>
      </c>
      <c r="O398" s="47">
        <f t="shared" si="53"/>
        <v>1.493648869037704E-2</v>
      </c>
      <c r="P398" s="47">
        <f t="shared" si="54"/>
        <v>5.9267537760078724E-2</v>
      </c>
      <c r="Q398" s="47">
        <f t="shared" si="55"/>
        <v>1</v>
      </c>
    </row>
    <row r="399" spans="1:17" x14ac:dyDescent="0.35">
      <c r="A399" s="82">
        <v>396</v>
      </c>
      <c r="B399" s="83" t="str">
        <f>_xlfn.XLOOKUP(A399,'TAZs by City - CCAG Model'!$A:$A,'TAZs by City - CCAG Model'!$B:$B,"Unknown")</f>
        <v>Mountain View</v>
      </c>
      <c r="C399" s="82">
        <f>_xlfn.XLOOKUP(A399,'TAZs by City - CCAG Model'!$A:$A,'TAZs by City - CCAG Model'!$C:$C,999)</f>
        <v>3</v>
      </c>
      <c r="D399" s="82" t="str">
        <f t="shared" si="48"/>
        <v>NO</v>
      </c>
      <c r="E399" s="27">
        <v>5622.84</v>
      </c>
      <c r="F399" s="27">
        <v>2979.78</v>
      </c>
      <c r="G399" s="27">
        <v>149.47999999999999</v>
      </c>
      <c r="H399" s="27">
        <v>130.54</v>
      </c>
      <c r="I399" s="27">
        <v>2406.46</v>
      </c>
      <c r="J399" s="27">
        <v>11486.18</v>
      </c>
      <c r="K399" s="47">
        <f t="shared" si="49"/>
        <v>0.48953089713029047</v>
      </c>
      <c r="L399" s="47">
        <f t="shared" si="50"/>
        <v>0.25942306319420383</v>
      </c>
      <c r="M399" s="84">
        <f t="shared" si="51"/>
        <v>0.74895396032449435</v>
      </c>
      <c r="N399" s="47">
        <f t="shared" si="52"/>
        <v>1.3013900182654284E-2</v>
      </c>
      <c r="O399" s="47">
        <f t="shared" si="53"/>
        <v>1.1364962067458458E-2</v>
      </c>
      <c r="P399" s="47">
        <f t="shared" si="54"/>
        <v>0.2095091666681177</v>
      </c>
      <c r="Q399" s="47">
        <f t="shared" si="55"/>
        <v>1</v>
      </c>
    </row>
    <row r="400" spans="1:17" x14ac:dyDescent="0.35">
      <c r="A400" s="82">
        <v>397</v>
      </c>
      <c r="B400" s="83" t="str">
        <f>_xlfn.XLOOKUP(A400,'TAZs by City - CCAG Model'!$A:$A,'TAZs by City - CCAG Model'!$B:$B,"Unknown")</f>
        <v>Mountain View</v>
      </c>
      <c r="C400" s="82">
        <f>_xlfn.XLOOKUP(A400,'TAZs by City - CCAG Model'!$A:$A,'TAZs by City - CCAG Model'!$C:$C,999)</f>
        <v>3</v>
      </c>
      <c r="D400" s="82" t="str">
        <f t="shared" si="48"/>
        <v>NO</v>
      </c>
      <c r="E400" s="27">
        <v>5476.06</v>
      </c>
      <c r="F400" s="27">
        <v>2997.06</v>
      </c>
      <c r="G400" s="27">
        <v>174.12</v>
      </c>
      <c r="H400" s="27">
        <v>155.19999999999999</v>
      </c>
      <c r="I400" s="27">
        <v>1832.14</v>
      </c>
      <c r="J400" s="27">
        <v>10857.48</v>
      </c>
      <c r="K400" s="47">
        <f t="shared" si="49"/>
        <v>0.50435828571639096</v>
      </c>
      <c r="L400" s="47">
        <f t="shared" si="50"/>
        <v>0.27603642834248832</v>
      </c>
      <c r="M400" s="84">
        <f t="shared" si="51"/>
        <v>0.78039471405887928</v>
      </c>
      <c r="N400" s="47">
        <f t="shared" si="52"/>
        <v>1.6036870434023364E-2</v>
      </c>
      <c r="O400" s="47">
        <f t="shared" si="53"/>
        <v>1.4294292966692086E-2</v>
      </c>
      <c r="P400" s="47">
        <f t="shared" si="54"/>
        <v>0.16874449688141266</v>
      </c>
      <c r="Q400" s="47">
        <f t="shared" si="55"/>
        <v>1</v>
      </c>
    </row>
    <row r="401" spans="1:17" x14ac:dyDescent="0.35">
      <c r="A401" s="82">
        <v>398</v>
      </c>
      <c r="B401" s="83" t="str">
        <f>_xlfn.XLOOKUP(A401,'TAZs by City - CCAG Model'!$A:$A,'TAZs by City - CCAG Model'!$B:$B,"Unknown")</f>
        <v>Mountain View</v>
      </c>
      <c r="C401" s="82">
        <f>_xlfn.XLOOKUP(A401,'TAZs by City - CCAG Model'!$A:$A,'TAZs by City - CCAG Model'!$C:$C,999)</f>
        <v>3</v>
      </c>
      <c r="D401" s="82" t="str">
        <f t="shared" si="48"/>
        <v>NO</v>
      </c>
      <c r="E401" s="27">
        <v>2753.88</v>
      </c>
      <c r="F401" s="27">
        <v>1987.28</v>
      </c>
      <c r="G401" s="27">
        <v>75.86</v>
      </c>
      <c r="H401" s="27">
        <v>56.1</v>
      </c>
      <c r="I401" s="27">
        <v>906.12</v>
      </c>
      <c r="J401" s="27">
        <v>5883.76</v>
      </c>
      <c r="K401" s="47">
        <f t="shared" si="49"/>
        <v>0.46804764300379348</v>
      </c>
      <c r="L401" s="47">
        <f t="shared" si="50"/>
        <v>0.33775680857138973</v>
      </c>
      <c r="M401" s="84">
        <f t="shared" si="51"/>
        <v>0.80580445157518321</v>
      </c>
      <c r="N401" s="47">
        <f t="shared" si="52"/>
        <v>1.2893115966660774E-2</v>
      </c>
      <c r="O401" s="47">
        <f t="shared" si="53"/>
        <v>9.534719295144602E-3</v>
      </c>
      <c r="P401" s="47">
        <f t="shared" si="54"/>
        <v>0.15400356234788637</v>
      </c>
      <c r="Q401" s="47">
        <f t="shared" si="55"/>
        <v>1</v>
      </c>
    </row>
    <row r="402" spans="1:17" x14ac:dyDescent="0.35">
      <c r="A402" s="82">
        <v>399</v>
      </c>
      <c r="B402" s="83" t="str">
        <f>_xlfn.XLOOKUP(A402,'TAZs by City - CCAG Model'!$A:$A,'TAZs by City - CCAG Model'!$B:$B,"Unknown")</f>
        <v>Mountain View</v>
      </c>
      <c r="C402" s="82">
        <f>_xlfn.XLOOKUP(A402,'TAZs by City - CCAG Model'!$A:$A,'TAZs by City - CCAG Model'!$C:$C,999)</f>
        <v>3</v>
      </c>
      <c r="D402" s="82" t="str">
        <f t="shared" si="48"/>
        <v>NO</v>
      </c>
      <c r="E402" s="27">
        <v>5659.14</v>
      </c>
      <c r="F402" s="27">
        <v>3653.2</v>
      </c>
      <c r="G402" s="27">
        <v>80.84</v>
      </c>
      <c r="H402" s="27">
        <v>143.28</v>
      </c>
      <c r="I402" s="27">
        <v>1866.92</v>
      </c>
      <c r="J402" s="27">
        <v>11526.3</v>
      </c>
      <c r="K402" s="47">
        <f t="shared" si="49"/>
        <v>0.49097628900861512</v>
      </c>
      <c r="L402" s="47">
        <f t="shared" si="50"/>
        <v>0.31694472640830101</v>
      </c>
      <c r="M402" s="84">
        <f t="shared" si="51"/>
        <v>0.80792101541691619</v>
      </c>
      <c r="N402" s="47">
        <f t="shared" si="52"/>
        <v>7.0135255893044608E-3</v>
      </c>
      <c r="O402" s="47">
        <f t="shared" si="53"/>
        <v>1.24307019598657E-2</v>
      </c>
      <c r="P402" s="47">
        <f t="shared" si="54"/>
        <v>0.16197045018783132</v>
      </c>
      <c r="Q402" s="47">
        <f t="shared" si="55"/>
        <v>1</v>
      </c>
    </row>
    <row r="403" spans="1:17" x14ac:dyDescent="0.35">
      <c r="A403" s="82">
        <v>400</v>
      </c>
      <c r="B403" s="83" t="str">
        <f>_xlfn.XLOOKUP(A403,'TAZs by City - CCAG Model'!$A:$A,'TAZs by City - CCAG Model'!$B:$B,"Unknown")</f>
        <v>Mountain View</v>
      </c>
      <c r="C403" s="82">
        <f>_xlfn.XLOOKUP(A403,'TAZs by City - CCAG Model'!$A:$A,'TAZs by City - CCAG Model'!$C:$C,999)</f>
        <v>3</v>
      </c>
      <c r="D403" s="82" t="str">
        <f t="shared" si="48"/>
        <v>NO</v>
      </c>
      <c r="E403" s="27">
        <v>9363.14</v>
      </c>
      <c r="F403" s="27">
        <v>5800.16</v>
      </c>
      <c r="G403" s="27">
        <v>672.96</v>
      </c>
      <c r="H403" s="27">
        <v>490.36</v>
      </c>
      <c r="I403" s="27">
        <v>1729.16</v>
      </c>
      <c r="J403" s="27">
        <v>18776.16</v>
      </c>
      <c r="K403" s="47">
        <f t="shared" si="49"/>
        <v>0.49867171988308578</v>
      </c>
      <c r="L403" s="47">
        <f t="shared" si="50"/>
        <v>0.30891087421496194</v>
      </c>
      <c r="M403" s="84">
        <f t="shared" si="51"/>
        <v>0.80758259409804767</v>
      </c>
      <c r="N403" s="47">
        <f t="shared" si="52"/>
        <v>3.5841194365621089E-2</v>
      </c>
      <c r="O403" s="47">
        <f t="shared" si="53"/>
        <v>2.6116096155976515E-2</v>
      </c>
      <c r="P403" s="47">
        <f t="shared" si="54"/>
        <v>9.2093377985701025E-2</v>
      </c>
      <c r="Q403" s="47">
        <f t="shared" si="55"/>
        <v>1</v>
      </c>
    </row>
    <row r="404" spans="1:17" x14ac:dyDescent="0.35">
      <c r="A404" s="82">
        <v>401</v>
      </c>
      <c r="B404" s="83" t="str">
        <f>_xlfn.XLOOKUP(A404,'TAZs by City - CCAG Model'!$A:$A,'TAZs by City - CCAG Model'!$B:$B,"Unknown")</f>
        <v>Mountain View</v>
      </c>
      <c r="C404" s="82">
        <f>_xlfn.XLOOKUP(A404,'TAZs by City - CCAG Model'!$A:$A,'TAZs by City - CCAG Model'!$C:$C,999)</f>
        <v>3</v>
      </c>
      <c r="D404" s="82" t="str">
        <f t="shared" si="48"/>
        <v>NO</v>
      </c>
      <c r="E404" s="27">
        <v>5839.72</v>
      </c>
      <c r="F404" s="27">
        <v>1874.62</v>
      </c>
      <c r="G404" s="27">
        <v>121.04</v>
      </c>
      <c r="H404" s="27">
        <v>83.04</v>
      </c>
      <c r="I404" s="27">
        <v>932.08</v>
      </c>
      <c r="J404" s="27">
        <v>9015.98</v>
      </c>
      <c r="K404" s="47">
        <f t="shared" si="49"/>
        <v>0.64770773670749049</v>
      </c>
      <c r="L404" s="47">
        <f t="shared" si="50"/>
        <v>0.2079219341657812</v>
      </c>
      <c r="M404" s="84">
        <f t="shared" si="51"/>
        <v>0.85562967087327169</v>
      </c>
      <c r="N404" s="47">
        <f t="shared" si="52"/>
        <v>1.3425051963291846E-2</v>
      </c>
      <c r="O404" s="47">
        <f t="shared" si="53"/>
        <v>9.2103132438181995E-3</v>
      </c>
      <c r="P404" s="47">
        <f t="shared" si="54"/>
        <v>0.10338088593807884</v>
      </c>
      <c r="Q404" s="47">
        <f t="shared" si="55"/>
        <v>1</v>
      </c>
    </row>
    <row r="405" spans="1:17" x14ac:dyDescent="0.35">
      <c r="A405" s="82">
        <v>402</v>
      </c>
      <c r="B405" s="83" t="str">
        <f>_xlfn.XLOOKUP(A405,'TAZs by City - CCAG Model'!$A:$A,'TAZs by City - CCAG Model'!$B:$B,"Unknown")</f>
        <v>Mountain View</v>
      </c>
      <c r="C405" s="82">
        <f>_xlfn.XLOOKUP(A405,'TAZs by City - CCAG Model'!$A:$A,'TAZs by City - CCAG Model'!$C:$C,999)</f>
        <v>3</v>
      </c>
      <c r="D405" s="82" t="str">
        <f t="shared" si="48"/>
        <v>NO</v>
      </c>
      <c r="E405" s="27">
        <v>1884.46</v>
      </c>
      <c r="F405" s="27">
        <v>483.04</v>
      </c>
      <c r="G405" s="27">
        <v>34.08</v>
      </c>
      <c r="H405" s="27">
        <v>15.54</v>
      </c>
      <c r="I405" s="27">
        <v>57.62</v>
      </c>
      <c r="J405" s="27">
        <v>2559.1999999999998</v>
      </c>
      <c r="K405" s="47">
        <f t="shared" si="49"/>
        <v>0.73634729603000948</v>
      </c>
      <c r="L405" s="47">
        <f t="shared" si="50"/>
        <v>0.18874648327602378</v>
      </c>
      <c r="M405" s="84">
        <f t="shared" si="51"/>
        <v>0.9250937793060332</v>
      </c>
      <c r="N405" s="47">
        <f t="shared" si="52"/>
        <v>1.3316661456705221E-2</v>
      </c>
      <c r="O405" s="47">
        <f t="shared" si="53"/>
        <v>6.072210065645514E-3</v>
      </c>
      <c r="P405" s="47">
        <f t="shared" si="54"/>
        <v>2.2514848390121914E-2</v>
      </c>
      <c r="Q405" s="47">
        <f t="shared" si="55"/>
        <v>1</v>
      </c>
    </row>
    <row r="406" spans="1:17" x14ac:dyDescent="0.35">
      <c r="A406" s="82">
        <v>403</v>
      </c>
      <c r="B406" s="83" t="str">
        <f>_xlfn.XLOOKUP(A406,'TAZs by City - CCAG Model'!$A:$A,'TAZs by City - CCAG Model'!$B:$B,"Unknown")</f>
        <v>Mountain View</v>
      </c>
      <c r="C406" s="82">
        <f>_xlfn.XLOOKUP(A406,'TAZs by City - CCAG Model'!$A:$A,'TAZs by City - CCAG Model'!$C:$C,999)</f>
        <v>3</v>
      </c>
      <c r="D406" s="82" t="str">
        <f t="shared" si="48"/>
        <v>NO</v>
      </c>
      <c r="E406" s="27">
        <v>4194.72</v>
      </c>
      <c r="F406" s="27">
        <v>1039.92</v>
      </c>
      <c r="G406" s="27">
        <v>97.68</v>
      </c>
      <c r="H406" s="27">
        <v>41.92</v>
      </c>
      <c r="I406" s="27">
        <v>95.36</v>
      </c>
      <c r="J406" s="27">
        <v>5604.74</v>
      </c>
      <c r="K406" s="47">
        <f t="shared" si="49"/>
        <v>0.74842365569143265</v>
      </c>
      <c r="L406" s="47">
        <f t="shared" si="50"/>
        <v>0.18554295114492378</v>
      </c>
      <c r="M406" s="84">
        <f t="shared" si="51"/>
        <v>0.93396660683635646</v>
      </c>
      <c r="N406" s="47">
        <f t="shared" si="52"/>
        <v>1.7428105496419103E-2</v>
      </c>
      <c r="O406" s="47">
        <f t="shared" si="53"/>
        <v>7.4793835218047583E-3</v>
      </c>
      <c r="P406" s="47">
        <f t="shared" si="54"/>
        <v>1.7014170148838305E-2</v>
      </c>
      <c r="Q406" s="47">
        <f t="shared" si="55"/>
        <v>1</v>
      </c>
    </row>
    <row r="407" spans="1:17" x14ac:dyDescent="0.35">
      <c r="A407" s="82">
        <v>404</v>
      </c>
      <c r="B407" s="83" t="str">
        <f>_xlfn.XLOOKUP(A407,'TAZs by City - CCAG Model'!$A:$A,'TAZs by City - CCAG Model'!$B:$B,"Unknown")</f>
        <v>Mountain View</v>
      </c>
      <c r="C407" s="82">
        <f>_xlfn.XLOOKUP(A407,'TAZs by City - CCAG Model'!$A:$A,'TAZs by City - CCAG Model'!$C:$C,999)</f>
        <v>3</v>
      </c>
      <c r="D407" s="82" t="str">
        <f t="shared" si="48"/>
        <v>NO</v>
      </c>
      <c r="E407" s="27">
        <v>1137.6400000000001</v>
      </c>
      <c r="F407" s="27">
        <v>559.29999999999995</v>
      </c>
      <c r="G407" s="27">
        <v>32.479999999999997</v>
      </c>
      <c r="H407" s="27">
        <v>24.2</v>
      </c>
      <c r="I407" s="27">
        <v>305.32</v>
      </c>
      <c r="J407" s="27">
        <v>2141.64</v>
      </c>
      <c r="K407" s="47">
        <f t="shared" si="49"/>
        <v>0.53120038848732754</v>
      </c>
      <c r="L407" s="47">
        <f t="shared" si="50"/>
        <v>0.26115500270820491</v>
      </c>
      <c r="M407" s="84">
        <f t="shared" si="51"/>
        <v>0.79235539119553244</v>
      </c>
      <c r="N407" s="47">
        <f t="shared" si="52"/>
        <v>1.5165947591565343E-2</v>
      </c>
      <c r="O407" s="47">
        <f t="shared" si="53"/>
        <v>1.1299751592237724E-2</v>
      </c>
      <c r="P407" s="47">
        <f t="shared" si="54"/>
        <v>0.14256364281578604</v>
      </c>
      <c r="Q407" s="47">
        <f t="shared" si="55"/>
        <v>1</v>
      </c>
    </row>
    <row r="408" spans="1:17" x14ac:dyDescent="0.35">
      <c r="A408" s="82">
        <v>405</v>
      </c>
      <c r="B408" s="83" t="str">
        <f>_xlfn.XLOOKUP(A408,'TAZs by City - CCAG Model'!$A:$A,'TAZs by City - CCAG Model'!$B:$B,"Unknown")</f>
        <v>Mountain View</v>
      </c>
      <c r="C408" s="82">
        <f>_xlfn.XLOOKUP(A408,'TAZs by City - CCAG Model'!$A:$A,'TAZs by City - CCAG Model'!$C:$C,999)</f>
        <v>3</v>
      </c>
      <c r="D408" s="82" t="str">
        <f t="shared" si="48"/>
        <v>NO</v>
      </c>
      <c r="E408" s="27">
        <v>5396.7</v>
      </c>
      <c r="F408" s="27">
        <v>1528.62</v>
      </c>
      <c r="G408" s="27">
        <v>126.08</v>
      </c>
      <c r="H408" s="27">
        <v>50.16</v>
      </c>
      <c r="I408" s="27">
        <v>132.88</v>
      </c>
      <c r="J408" s="27">
        <v>7398.2</v>
      </c>
      <c r="K408" s="47">
        <f t="shared" si="49"/>
        <v>0.72946122029682892</v>
      </c>
      <c r="L408" s="47">
        <f t="shared" si="50"/>
        <v>0.2066205293179422</v>
      </c>
      <c r="M408" s="84">
        <f t="shared" si="51"/>
        <v>0.9360817496147712</v>
      </c>
      <c r="N408" s="47">
        <f t="shared" si="52"/>
        <v>1.7041983185099079E-2</v>
      </c>
      <c r="O408" s="47">
        <f t="shared" si="53"/>
        <v>6.7800275742748231E-3</v>
      </c>
      <c r="P408" s="47">
        <f t="shared" si="54"/>
        <v>1.7961125679219269E-2</v>
      </c>
      <c r="Q408" s="47">
        <f t="shared" si="55"/>
        <v>1</v>
      </c>
    </row>
    <row r="409" spans="1:17" x14ac:dyDescent="0.35">
      <c r="A409" s="82">
        <v>406</v>
      </c>
      <c r="B409" s="83" t="str">
        <f>_xlfn.XLOOKUP(A409,'TAZs by City - CCAG Model'!$A:$A,'TAZs by City - CCAG Model'!$B:$B,"Unknown")</f>
        <v>Mountain View</v>
      </c>
      <c r="C409" s="82">
        <f>_xlfn.XLOOKUP(A409,'TAZs by City - CCAG Model'!$A:$A,'TAZs by City - CCAG Model'!$C:$C,999)</f>
        <v>3</v>
      </c>
      <c r="D409" s="82" t="str">
        <f t="shared" si="48"/>
        <v>NO</v>
      </c>
      <c r="E409" s="27">
        <v>8071.12</v>
      </c>
      <c r="F409" s="27">
        <v>3862.8</v>
      </c>
      <c r="G409" s="27">
        <v>248.16</v>
      </c>
      <c r="H409" s="27">
        <v>165.72</v>
      </c>
      <c r="I409" s="27">
        <v>461.96</v>
      </c>
      <c r="J409" s="27">
        <v>13095.94</v>
      </c>
      <c r="K409" s="47">
        <f t="shared" si="49"/>
        <v>0.61630703867000003</v>
      </c>
      <c r="L409" s="47">
        <f t="shared" si="50"/>
        <v>0.29496164460130392</v>
      </c>
      <c r="M409" s="84">
        <f t="shared" si="51"/>
        <v>0.91126868327130395</v>
      </c>
      <c r="N409" s="47">
        <f t="shared" si="52"/>
        <v>1.8949384313000823E-2</v>
      </c>
      <c r="O409" s="47">
        <f t="shared" si="53"/>
        <v>1.2654303547511672E-2</v>
      </c>
      <c r="P409" s="47">
        <f t="shared" si="54"/>
        <v>3.5275054711612908E-2</v>
      </c>
      <c r="Q409" s="47">
        <f t="shared" si="55"/>
        <v>1</v>
      </c>
    </row>
    <row r="410" spans="1:17" x14ac:dyDescent="0.35">
      <c r="A410" s="82">
        <v>407</v>
      </c>
      <c r="B410" s="83" t="str">
        <f>_xlfn.XLOOKUP(A410,'TAZs by City - CCAG Model'!$A:$A,'TAZs by City - CCAG Model'!$B:$B,"Unknown")</f>
        <v>Mountain View</v>
      </c>
      <c r="C410" s="82">
        <f>_xlfn.XLOOKUP(A410,'TAZs by City - CCAG Model'!$A:$A,'TAZs by City - CCAG Model'!$C:$C,999)</f>
        <v>3</v>
      </c>
      <c r="D410" s="82" t="str">
        <f t="shared" si="48"/>
        <v>NO</v>
      </c>
      <c r="E410" s="27">
        <v>4359.5200000000004</v>
      </c>
      <c r="F410" s="27">
        <v>2200.36</v>
      </c>
      <c r="G410" s="27">
        <v>174.32</v>
      </c>
      <c r="H410" s="27">
        <v>112.38</v>
      </c>
      <c r="I410" s="27">
        <v>1394.56</v>
      </c>
      <c r="J410" s="27">
        <v>8465.02</v>
      </c>
      <c r="K410" s="47">
        <f t="shared" si="49"/>
        <v>0.51500409922244728</v>
      </c>
      <c r="L410" s="47">
        <f t="shared" si="50"/>
        <v>0.25993559377296216</v>
      </c>
      <c r="M410" s="84">
        <f t="shared" si="51"/>
        <v>0.77493969299540943</v>
      </c>
      <c r="N410" s="47">
        <f t="shared" si="52"/>
        <v>2.0592981469624405E-2</v>
      </c>
      <c r="O410" s="47">
        <f t="shared" si="53"/>
        <v>1.3275810334765895E-2</v>
      </c>
      <c r="P410" s="47">
        <f t="shared" si="54"/>
        <v>0.16474385175699524</v>
      </c>
      <c r="Q410" s="47">
        <f t="shared" si="55"/>
        <v>1</v>
      </c>
    </row>
    <row r="411" spans="1:17" x14ac:dyDescent="0.35">
      <c r="A411" s="82">
        <v>408</v>
      </c>
      <c r="B411" s="83" t="str">
        <f>_xlfn.XLOOKUP(A411,'TAZs by City - CCAG Model'!$A:$A,'TAZs by City - CCAG Model'!$B:$B,"Unknown")</f>
        <v>Mountain View</v>
      </c>
      <c r="C411" s="82">
        <f>_xlfn.XLOOKUP(A411,'TAZs by City - CCAG Model'!$A:$A,'TAZs by City - CCAG Model'!$C:$C,999)</f>
        <v>3</v>
      </c>
      <c r="D411" s="82" t="str">
        <f t="shared" si="48"/>
        <v>NO</v>
      </c>
      <c r="E411" s="27">
        <v>10852.92</v>
      </c>
      <c r="F411" s="27">
        <v>6584.22</v>
      </c>
      <c r="G411" s="27">
        <v>471.9</v>
      </c>
      <c r="H411" s="27">
        <v>338.56</v>
      </c>
      <c r="I411" s="27">
        <v>1893.46</v>
      </c>
      <c r="J411" s="27">
        <v>20658.060000000001</v>
      </c>
      <c r="K411" s="47">
        <f t="shared" si="49"/>
        <v>0.52536007737415802</v>
      </c>
      <c r="L411" s="47">
        <f t="shared" si="50"/>
        <v>0.31872402345621997</v>
      </c>
      <c r="M411" s="84">
        <f t="shared" si="51"/>
        <v>0.84408410083037799</v>
      </c>
      <c r="N411" s="47">
        <f t="shared" si="52"/>
        <v>2.2843384131907833E-2</v>
      </c>
      <c r="O411" s="47">
        <f t="shared" si="53"/>
        <v>1.6388760609660345E-2</v>
      </c>
      <c r="P411" s="47">
        <f t="shared" si="54"/>
        <v>9.1657203048108093E-2</v>
      </c>
      <c r="Q411" s="47">
        <f t="shared" si="55"/>
        <v>1</v>
      </c>
    </row>
    <row r="412" spans="1:17" x14ac:dyDescent="0.35">
      <c r="A412" s="82">
        <v>409</v>
      </c>
      <c r="B412" s="83" t="str">
        <f>_xlfn.XLOOKUP(A412,'TAZs by City - CCAG Model'!$A:$A,'TAZs by City - CCAG Model'!$B:$B,"Unknown")</f>
        <v>Mountain View</v>
      </c>
      <c r="C412" s="82">
        <f>_xlfn.XLOOKUP(A412,'TAZs by City - CCAG Model'!$A:$A,'TAZs by City - CCAG Model'!$C:$C,999)</f>
        <v>3</v>
      </c>
      <c r="D412" s="82" t="str">
        <f t="shared" si="48"/>
        <v>NO</v>
      </c>
      <c r="E412" s="27">
        <v>15579.26</v>
      </c>
      <c r="F412" s="27">
        <v>8846.2199999999993</v>
      </c>
      <c r="G412" s="27">
        <v>449.76</v>
      </c>
      <c r="H412" s="27">
        <v>399.64</v>
      </c>
      <c r="I412" s="27">
        <v>2620.8200000000002</v>
      </c>
      <c r="J412" s="27">
        <v>28388.38</v>
      </c>
      <c r="K412" s="47">
        <f t="shared" si="49"/>
        <v>0.54879003310509444</v>
      </c>
      <c r="L412" s="47">
        <f t="shared" si="50"/>
        <v>0.31161411817088536</v>
      </c>
      <c r="M412" s="84">
        <f t="shared" si="51"/>
        <v>0.8604041512759798</v>
      </c>
      <c r="N412" s="47">
        <f t="shared" si="52"/>
        <v>1.5843102001593608E-2</v>
      </c>
      <c r="O412" s="47">
        <f t="shared" si="53"/>
        <v>1.4077590901629468E-2</v>
      </c>
      <c r="P412" s="47">
        <f t="shared" si="54"/>
        <v>9.2320167617877452E-2</v>
      </c>
      <c r="Q412" s="47">
        <f t="shared" si="55"/>
        <v>1</v>
      </c>
    </row>
    <row r="413" spans="1:17" x14ac:dyDescent="0.35">
      <c r="A413" s="82">
        <v>410</v>
      </c>
      <c r="B413" s="83" t="str">
        <f>_xlfn.XLOOKUP(A413,'TAZs by City - CCAG Model'!$A:$A,'TAZs by City - CCAG Model'!$B:$B,"Unknown")</f>
        <v>Mountain View</v>
      </c>
      <c r="C413" s="82">
        <f>_xlfn.XLOOKUP(A413,'TAZs by City - CCAG Model'!$A:$A,'TAZs by City - CCAG Model'!$C:$C,999)</f>
        <v>3</v>
      </c>
      <c r="D413" s="82" t="str">
        <f t="shared" si="48"/>
        <v>NO</v>
      </c>
      <c r="E413" s="27">
        <v>9599.9599999999991</v>
      </c>
      <c r="F413" s="27">
        <v>5996.92</v>
      </c>
      <c r="G413" s="27">
        <v>330.4</v>
      </c>
      <c r="H413" s="27">
        <v>342.74</v>
      </c>
      <c r="I413" s="27">
        <v>1576.22</v>
      </c>
      <c r="J413" s="27">
        <v>18220.759999999998</v>
      </c>
      <c r="K413" s="47">
        <f t="shared" si="49"/>
        <v>0.52686935122354939</v>
      </c>
      <c r="L413" s="47">
        <f t="shared" si="50"/>
        <v>0.32912567862152842</v>
      </c>
      <c r="M413" s="84">
        <f t="shared" si="51"/>
        <v>0.8559950298450778</v>
      </c>
      <c r="N413" s="47">
        <f t="shared" si="52"/>
        <v>1.813316239278713E-2</v>
      </c>
      <c r="O413" s="47">
        <f t="shared" si="53"/>
        <v>1.8810411859878515E-2</v>
      </c>
      <c r="P413" s="47">
        <f t="shared" si="54"/>
        <v>8.6506819693580303E-2</v>
      </c>
      <c r="Q413" s="47">
        <f t="shared" si="55"/>
        <v>1</v>
      </c>
    </row>
    <row r="414" spans="1:17" x14ac:dyDescent="0.35">
      <c r="A414" s="82">
        <v>411</v>
      </c>
      <c r="B414" s="83" t="str">
        <f>_xlfn.XLOOKUP(A414,'TAZs by City - CCAG Model'!$A:$A,'TAZs by City - CCAG Model'!$B:$B,"Unknown")</f>
        <v>Mountain View</v>
      </c>
      <c r="C414" s="82">
        <f>_xlfn.XLOOKUP(A414,'TAZs by City - CCAG Model'!$A:$A,'TAZs by City - CCAG Model'!$C:$C,999)</f>
        <v>3</v>
      </c>
      <c r="D414" s="82" t="str">
        <f t="shared" si="48"/>
        <v>NO</v>
      </c>
      <c r="E414" s="27">
        <v>4991.18</v>
      </c>
      <c r="F414" s="27">
        <v>3355.14</v>
      </c>
      <c r="G414" s="27">
        <v>369.88</v>
      </c>
      <c r="H414" s="27">
        <v>258.18</v>
      </c>
      <c r="I414" s="27">
        <v>943.4</v>
      </c>
      <c r="J414" s="27">
        <v>10323.26</v>
      </c>
      <c r="K414" s="47">
        <f t="shared" si="49"/>
        <v>0.48348874289710808</v>
      </c>
      <c r="L414" s="47">
        <f t="shared" si="50"/>
        <v>0.32500779792429907</v>
      </c>
      <c r="M414" s="84">
        <f t="shared" si="51"/>
        <v>0.80849654082140709</v>
      </c>
      <c r="N414" s="47">
        <f t="shared" si="52"/>
        <v>3.5829766953462377E-2</v>
      </c>
      <c r="O414" s="47">
        <f t="shared" si="53"/>
        <v>2.5009541559546114E-2</v>
      </c>
      <c r="P414" s="47">
        <f t="shared" si="54"/>
        <v>9.1385860668044785E-2</v>
      </c>
      <c r="Q414" s="47">
        <f t="shared" si="55"/>
        <v>1</v>
      </c>
    </row>
    <row r="415" spans="1:17" x14ac:dyDescent="0.35">
      <c r="A415" s="82">
        <v>412</v>
      </c>
      <c r="B415" s="83" t="str">
        <f>_xlfn.XLOOKUP(A415,'TAZs by City - CCAG Model'!$A:$A,'TAZs by City - CCAG Model'!$B:$B,"Unknown")</f>
        <v>Mountain View</v>
      </c>
      <c r="C415" s="82">
        <f>_xlfn.XLOOKUP(A415,'TAZs by City - CCAG Model'!$A:$A,'TAZs by City - CCAG Model'!$C:$C,999)</f>
        <v>3</v>
      </c>
      <c r="D415" s="82" t="str">
        <f t="shared" si="48"/>
        <v>NO</v>
      </c>
      <c r="E415" s="27">
        <v>2907.78</v>
      </c>
      <c r="F415" s="27">
        <v>1730.74</v>
      </c>
      <c r="G415" s="27">
        <v>160.63999999999999</v>
      </c>
      <c r="H415" s="27">
        <v>97.38</v>
      </c>
      <c r="I415" s="27">
        <v>401.46</v>
      </c>
      <c r="J415" s="27">
        <v>5502.96</v>
      </c>
      <c r="K415" s="47">
        <f t="shared" si="49"/>
        <v>0.52840289589602685</v>
      </c>
      <c r="L415" s="47">
        <f t="shared" si="50"/>
        <v>0.31451073604024016</v>
      </c>
      <c r="M415" s="84">
        <f t="shared" si="51"/>
        <v>0.84291363193626712</v>
      </c>
      <c r="N415" s="47">
        <f t="shared" si="52"/>
        <v>2.9191562359166701E-2</v>
      </c>
      <c r="O415" s="47">
        <f t="shared" si="53"/>
        <v>1.7695930917179116E-2</v>
      </c>
      <c r="P415" s="47">
        <f t="shared" si="54"/>
        <v>7.2953465044267085E-2</v>
      </c>
      <c r="Q415" s="47">
        <f t="shared" si="55"/>
        <v>1</v>
      </c>
    </row>
    <row r="416" spans="1:17" x14ac:dyDescent="0.35">
      <c r="A416" s="82">
        <v>413</v>
      </c>
      <c r="B416" s="83" t="str">
        <f>_xlfn.XLOOKUP(A416,'TAZs by City - CCAG Model'!$A:$A,'TAZs by City - CCAG Model'!$B:$B,"Unknown")</f>
        <v>Mountain View</v>
      </c>
      <c r="C416" s="82">
        <f>_xlfn.XLOOKUP(A416,'TAZs by City - CCAG Model'!$A:$A,'TAZs by City - CCAG Model'!$C:$C,999)</f>
        <v>3</v>
      </c>
      <c r="D416" s="82" t="str">
        <f t="shared" si="48"/>
        <v>NO</v>
      </c>
      <c r="E416" s="27">
        <v>6104.42</v>
      </c>
      <c r="F416" s="27">
        <v>2616.06</v>
      </c>
      <c r="G416" s="27">
        <v>309</v>
      </c>
      <c r="H416" s="27">
        <v>101.5</v>
      </c>
      <c r="I416" s="27">
        <v>604.70000000000005</v>
      </c>
      <c r="J416" s="27">
        <v>10080.879999999999</v>
      </c>
      <c r="K416" s="47">
        <f t="shared" si="49"/>
        <v>0.60554435723865385</v>
      </c>
      <c r="L416" s="47">
        <f t="shared" si="50"/>
        <v>0.25950710652244646</v>
      </c>
      <c r="M416" s="84">
        <f t="shared" si="51"/>
        <v>0.8650514637611002</v>
      </c>
      <c r="N416" s="47">
        <f t="shared" si="52"/>
        <v>3.0652085929006201E-2</v>
      </c>
      <c r="O416" s="47">
        <f t="shared" si="53"/>
        <v>1.0068565442699448E-2</v>
      </c>
      <c r="P416" s="47">
        <f t="shared" si="54"/>
        <v>5.9984842593106963E-2</v>
      </c>
      <c r="Q416" s="47">
        <f t="shared" si="55"/>
        <v>1</v>
      </c>
    </row>
    <row r="417" spans="1:17" x14ac:dyDescent="0.35">
      <c r="A417" s="82">
        <v>414</v>
      </c>
      <c r="B417" s="83" t="str">
        <f>_xlfn.XLOOKUP(A417,'TAZs by City - CCAG Model'!$A:$A,'TAZs by City - CCAG Model'!$B:$B,"Unknown")</f>
        <v>Mountain View</v>
      </c>
      <c r="C417" s="82">
        <f>_xlfn.XLOOKUP(A417,'TAZs by City - CCAG Model'!$A:$A,'TAZs by City - CCAG Model'!$C:$C,999)</f>
        <v>3</v>
      </c>
      <c r="D417" s="82" t="str">
        <f t="shared" si="48"/>
        <v>NO</v>
      </c>
      <c r="E417" s="27">
        <v>4025.56</v>
      </c>
      <c r="F417" s="27">
        <v>2598.86</v>
      </c>
      <c r="G417" s="27">
        <v>167.06</v>
      </c>
      <c r="H417" s="27">
        <v>105.96</v>
      </c>
      <c r="I417" s="27">
        <v>370.86</v>
      </c>
      <c r="J417" s="27">
        <v>7466.48</v>
      </c>
      <c r="K417" s="47">
        <f t="shared" si="49"/>
        <v>0.53915097877446938</v>
      </c>
      <c r="L417" s="47">
        <f t="shared" si="50"/>
        <v>0.34807030890057972</v>
      </c>
      <c r="M417" s="84">
        <f t="shared" si="51"/>
        <v>0.88722128767504904</v>
      </c>
      <c r="N417" s="47">
        <f t="shared" si="52"/>
        <v>2.2374666509519883E-2</v>
      </c>
      <c r="O417" s="47">
        <f t="shared" si="53"/>
        <v>1.4191426214226784E-2</v>
      </c>
      <c r="P417" s="47">
        <f t="shared" si="54"/>
        <v>4.9669991749793752E-2</v>
      </c>
      <c r="Q417" s="47">
        <f t="shared" si="55"/>
        <v>1</v>
      </c>
    </row>
    <row r="418" spans="1:17" x14ac:dyDescent="0.35">
      <c r="A418" s="82">
        <v>415</v>
      </c>
      <c r="B418" s="83" t="str">
        <f>_xlfn.XLOOKUP(A418,'TAZs by City - CCAG Model'!$A:$A,'TAZs by City - CCAG Model'!$B:$B,"Unknown")</f>
        <v>Mountain View</v>
      </c>
      <c r="C418" s="82">
        <f>_xlfn.XLOOKUP(A418,'TAZs by City - CCAG Model'!$A:$A,'TAZs by City - CCAG Model'!$C:$C,999)</f>
        <v>3</v>
      </c>
      <c r="D418" s="82" t="str">
        <f t="shared" si="48"/>
        <v>NO</v>
      </c>
      <c r="E418" s="27">
        <v>1675.08</v>
      </c>
      <c r="F418" s="27">
        <v>431.72</v>
      </c>
      <c r="G418" s="27">
        <v>47.8</v>
      </c>
      <c r="H418" s="27">
        <v>14.96</v>
      </c>
      <c r="I418" s="27">
        <v>131.22</v>
      </c>
      <c r="J418" s="27">
        <v>2398.48</v>
      </c>
      <c r="K418" s="47">
        <f t="shared" si="49"/>
        <v>0.69839231513291744</v>
      </c>
      <c r="L418" s="47">
        <f t="shared" si="50"/>
        <v>0.17999733164337414</v>
      </c>
      <c r="M418" s="84">
        <f t="shared" si="51"/>
        <v>0.87838964677629172</v>
      </c>
      <c r="N418" s="47">
        <f t="shared" si="52"/>
        <v>1.9929288549414628E-2</v>
      </c>
      <c r="O418" s="47">
        <f t="shared" si="53"/>
        <v>6.2372836129548715E-3</v>
      </c>
      <c r="P418" s="47">
        <f t="shared" si="54"/>
        <v>5.4709649444648276E-2</v>
      </c>
      <c r="Q418" s="47">
        <f t="shared" si="55"/>
        <v>1</v>
      </c>
    </row>
    <row r="419" spans="1:17" x14ac:dyDescent="0.35">
      <c r="A419" s="82">
        <v>416</v>
      </c>
      <c r="B419" s="83" t="str">
        <f>_xlfn.XLOOKUP(A419,'TAZs by City - CCAG Model'!$A:$A,'TAZs by City - CCAG Model'!$B:$B,"Unknown")</f>
        <v>Mountain View</v>
      </c>
      <c r="C419" s="82">
        <f>_xlfn.XLOOKUP(A419,'TAZs by City - CCAG Model'!$A:$A,'TAZs by City - CCAG Model'!$C:$C,999)</f>
        <v>3</v>
      </c>
      <c r="D419" s="82" t="str">
        <f t="shared" si="48"/>
        <v>NO</v>
      </c>
      <c r="E419" s="27">
        <v>5053.78</v>
      </c>
      <c r="F419" s="27">
        <v>2904.32</v>
      </c>
      <c r="G419" s="27">
        <v>207.52</v>
      </c>
      <c r="H419" s="27">
        <v>130.4</v>
      </c>
      <c r="I419" s="27">
        <v>1482.28</v>
      </c>
      <c r="J419" s="27">
        <v>10027.459999999999</v>
      </c>
      <c r="K419" s="47">
        <f t="shared" si="49"/>
        <v>0.50399403238706508</v>
      </c>
      <c r="L419" s="47">
        <f t="shared" si="50"/>
        <v>0.28963665773785191</v>
      </c>
      <c r="M419" s="84">
        <f t="shared" si="51"/>
        <v>0.79363069012491705</v>
      </c>
      <c r="N419" s="47">
        <f t="shared" si="52"/>
        <v>2.0695171060268504E-2</v>
      </c>
      <c r="O419" s="47">
        <f t="shared" si="53"/>
        <v>1.3004290219058467E-2</v>
      </c>
      <c r="P419" s="47">
        <f t="shared" si="54"/>
        <v>0.14782208056676369</v>
      </c>
      <c r="Q419" s="47">
        <f t="shared" si="55"/>
        <v>1</v>
      </c>
    </row>
    <row r="420" spans="1:17" x14ac:dyDescent="0.35">
      <c r="A420" s="82">
        <v>417</v>
      </c>
      <c r="B420" s="83" t="str">
        <f>_xlfn.XLOOKUP(A420,'TAZs by City - CCAG Model'!$A:$A,'TAZs by City - CCAG Model'!$B:$B,"Unknown")</f>
        <v>Mountain View</v>
      </c>
      <c r="C420" s="82">
        <f>_xlfn.XLOOKUP(A420,'TAZs by City - CCAG Model'!$A:$A,'TAZs by City - CCAG Model'!$C:$C,999)</f>
        <v>3</v>
      </c>
      <c r="D420" s="82" t="str">
        <f t="shared" si="48"/>
        <v>NO</v>
      </c>
      <c r="E420" s="27">
        <v>5178.8</v>
      </c>
      <c r="F420" s="27">
        <v>3015.34</v>
      </c>
      <c r="G420" s="27">
        <v>193.06</v>
      </c>
      <c r="H420" s="27">
        <v>135.1</v>
      </c>
      <c r="I420" s="27">
        <v>1507.12</v>
      </c>
      <c r="J420" s="27">
        <v>10261.780000000001</v>
      </c>
      <c r="K420" s="47">
        <f t="shared" si="49"/>
        <v>0.50466878065988552</v>
      </c>
      <c r="L420" s="47">
        <f t="shared" si="50"/>
        <v>0.2938418091208348</v>
      </c>
      <c r="M420" s="84">
        <f t="shared" si="51"/>
        <v>0.7985105897807202</v>
      </c>
      <c r="N420" s="47">
        <f t="shared" si="52"/>
        <v>1.8813500191974492E-2</v>
      </c>
      <c r="O420" s="47">
        <f t="shared" si="53"/>
        <v>1.3165357277197523E-2</v>
      </c>
      <c r="P420" s="47">
        <f t="shared" si="54"/>
        <v>0.14686730762109496</v>
      </c>
      <c r="Q420" s="47">
        <f t="shared" si="55"/>
        <v>1</v>
      </c>
    </row>
    <row r="421" spans="1:17" x14ac:dyDescent="0.35">
      <c r="A421" s="82">
        <v>418</v>
      </c>
      <c r="B421" s="83" t="str">
        <f>_xlfn.XLOOKUP(A421,'TAZs by City - CCAG Model'!$A:$A,'TAZs by City - CCAG Model'!$B:$B,"Unknown")</f>
        <v>Mountain View</v>
      </c>
      <c r="C421" s="82">
        <f>_xlfn.XLOOKUP(A421,'TAZs by City - CCAG Model'!$A:$A,'TAZs by City - CCAG Model'!$C:$C,999)</f>
        <v>3</v>
      </c>
      <c r="D421" s="82" t="str">
        <f t="shared" si="48"/>
        <v>NO</v>
      </c>
      <c r="E421" s="27">
        <v>1419.48</v>
      </c>
      <c r="F421" s="27">
        <v>677.2</v>
      </c>
      <c r="G421" s="27">
        <v>63.4</v>
      </c>
      <c r="H421" s="27">
        <v>33</v>
      </c>
      <c r="I421" s="27">
        <v>137.63999999999999</v>
      </c>
      <c r="J421" s="27">
        <v>2446.5</v>
      </c>
      <c r="K421" s="47">
        <f t="shared" si="49"/>
        <v>0.58020846106683022</v>
      </c>
      <c r="L421" s="47">
        <f t="shared" si="50"/>
        <v>0.27680359697527079</v>
      </c>
      <c r="M421" s="84">
        <f t="shared" si="51"/>
        <v>0.85701205804210112</v>
      </c>
      <c r="N421" s="47">
        <f t="shared" si="52"/>
        <v>2.5914571837318618E-2</v>
      </c>
      <c r="O421" s="47">
        <f t="shared" si="53"/>
        <v>1.34886572654813E-2</v>
      </c>
      <c r="P421" s="47">
        <f t="shared" si="54"/>
        <v>5.6259963212752909E-2</v>
      </c>
      <c r="Q421" s="47">
        <f t="shared" si="55"/>
        <v>1</v>
      </c>
    </row>
    <row r="422" spans="1:17" x14ac:dyDescent="0.35">
      <c r="A422" s="82">
        <v>419</v>
      </c>
      <c r="B422" s="83" t="str">
        <f>_xlfn.XLOOKUP(A422,'TAZs by City - CCAG Model'!$A:$A,'TAZs by City - CCAG Model'!$B:$B,"Unknown")</f>
        <v>Mountain View</v>
      </c>
      <c r="C422" s="82">
        <f>_xlfn.XLOOKUP(A422,'TAZs by City - CCAG Model'!$A:$A,'TAZs by City - CCAG Model'!$C:$C,999)</f>
        <v>3</v>
      </c>
      <c r="D422" s="82" t="str">
        <f t="shared" si="48"/>
        <v>NO</v>
      </c>
      <c r="E422" s="27">
        <v>2793.56</v>
      </c>
      <c r="F422" s="27">
        <v>1077.8800000000001</v>
      </c>
      <c r="G422" s="27">
        <v>105.32</v>
      </c>
      <c r="H422" s="27">
        <v>47.72</v>
      </c>
      <c r="I422" s="27">
        <v>277.44</v>
      </c>
      <c r="J422" s="27">
        <v>4458.5</v>
      </c>
      <c r="K422" s="47">
        <f t="shared" si="49"/>
        <v>0.62656947403835372</v>
      </c>
      <c r="L422" s="47">
        <f t="shared" si="50"/>
        <v>0.24175843893686219</v>
      </c>
      <c r="M422" s="84">
        <f t="shared" si="51"/>
        <v>0.86832791297521594</v>
      </c>
      <c r="N422" s="47">
        <f t="shared" si="52"/>
        <v>2.3622294493663785E-2</v>
      </c>
      <c r="O422" s="47">
        <f t="shared" si="53"/>
        <v>1.0703151284064146E-2</v>
      </c>
      <c r="P422" s="47">
        <f t="shared" si="54"/>
        <v>6.2227206459571603E-2</v>
      </c>
      <c r="Q422" s="47">
        <f t="shared" si="55"/>
        <v>1</v>
      </c>
    </row>
    <row r="423" spans="1:17" x14ac:dyDescent="0.35">
      <c r="A423" s="82">
        <v>420</v>
      </c>
      <c r="B423" s="83" t="str">
        <f>_xlfn.XLOOKUP(A423,'TAZs by City - CCAG Model'!$A:$A,'TAZs by City - CCAG Model'!$B:$B,"Unknown")</f>
        <v>Palo Alto</v>
      </c>
      <c r="C423" s="82">
        <f>_xlfn.XLOOKUP(A423,'TAZs by City - CCAG Model'!$A:$A,'TAZs by City - CCAG Model'!$C:$C,999)</f>
        <v>3</v>
      </c>
      <c r="D423" s="82" t="str">
        <f t="shared" si="48"/>
        <v>NO</v>
      </c>
      <c r="E423" s="27">
        <v>4065.9</v>
      </c>
      <c r="F423" s="27">
        <v>2817.16</v>
      </c>
      <c r="G423" s="27">
        <v>1335.28</v>
      </c>
      <c r="H423" s="27">
        <v>363.08</v>
      </c>
      <c r="I423" s="27">
        <v>584.58000000000004</v>
      </c>
      <c r="J423" s="27">
        <v>10537.08</v>
      </c>
      <c r="K423" s="47">
        <f t="shared" si="49"/>
        <v>0.38586591351683769</v>
      </c>
      <c r="L423" s="47">
        <f t="shared" si="50"/>
        <v>0.26735680093536346</v>
      </c>
      <c r="M423" s="84">
        <f t="shared" si="51"/>
        <v>0.65322271445220115</v>
      </c>
      <c r="N423" s="47">
        <f t="shared" si="52"/>
        <v>0.12672201406841363</v>
      </c>
      <c r="O423" s="47">
        <f t="shared" si="53"/>
        <v>3.4457363899676192E-2</v>
      </c>
      <c r="P423" s="47">
        <f t="shared" si="54"/>
        <v>5.5478367821066181E-2</v>
      </c>
      <c r="Q423" s="47">
        <f t="shared" si="55"/>
        <v>1</v>
      </c>
    </row>
    <row r="424" spans="1:17" x14ac:dyDescent="0.35">
      <c r="A424" s="82">
        <v>421</v>
      </c>
      <c r="B424" s="83" t="str">
        <f>_xlfn.XLOOKUP(A424,'TAZs by City - CCAG Model'!$A:$A,'TAZs by City - CCAG Model'!$B:$B,"Unknown")</f>
        <v>Palo Alto</v>
      </c>
      <c r="C424" s="82">
        <f>_xlfn.XLOOKUP(A424,'TAZs by City - CCAG Model'!$A:$A,'TAZs by City - CCAG Model'!$C:$C,999)</f>
        <v>3</v>
      </c>
      <c r="D424" s="82" t="str">
        <f t="shared" si="48"/>
        <v>NO</v>
      </c>
      <c r="E424" s="27">
        <v>10251.799999999999</v>
      </c>
      <c r="F424" s="27">
        <v>3209.92</v>
      </c>
      <c r="G424" s="27">
        <v>803.82</v>
      </c>
      <c r="H424" s="27">
        <v>123.52</v>
      </c>
      <c r="I424" s="27">
        <v>515.29999999999995</v>
      </c>
      <c r="J424" s="27">
        <v>15732.34</v>
      </c>
      <c r="K424" s="47">
        <f t="shared" si="49"/>
        <v>0.65163859921664535</v>
      </c>
      <c r="L424" s="47">
        <f t="shared" si="50"/>
        <v>0.20403322074147903</v>
      </c>
      <c r="M424" s="84">
        <f t="shared" si="51"/>
        <v>0.85567181995812447</v>
      </c>
      <c r="N424" s="47">
        <f t="shared" si="52"/>
        <v>5.1093480054461071E-2</v>
      </c>
      <c r="O424" s="47">
        <f t="shared" si="53"/>
        <v>7.8513431568349012E-3</v>
      </c>
      <c r="P424" s="47">
        <f t="shared" si="54"/>
        <v>3.2754186599069174E-2</v>
      </c>
      <c r="Q424" s="47">
        <f t="shared" si="55"/>
        <v>1</v>
      </c>
    </row>
    <row r="425" spans="1:17" x14ac:dyDescent="0.35">
      <c r="A425" s="82">
        <v>422</v>
      </c>
      <c r="B425" s="83" t="str">
        <f>_xlfn.XLOOKUP(A425,'TAZs by City - CCAG Model'!$A:$A,'TAZs by City - CCAG Model'!$B:$B,"Unknown")</f>
        <v>Palo Alto</v>
      </c>
      <c r="C425" s="82">
        <f>_xlfn.XLOOKUP(A425,'TAZs by City - CCAG Model'!$A:$A,'TAZs by City - CCAG Model'!$C:$C,999)</f>
        <v>3</v>
      </c>
      <c r="D425" s="82" t="str">
        <f t="shared" si="48"/>
        <v>NO</v>
      </c>
      <c r="E425" s="27">
        <v>5626.96</v>
      </c>
      <c r="F425" s="27">
        <v>1927.2</v>
      </c>
      <c r="G425" s="27">
        <v>476.88</v>
      </c>
      <c r="H425" s="27">
        <v>69.180000000000007</v>
      </c>
      <c r="I425" s="27">
        <v>285.72000000000003</v>
      </c>
      <c r="J425" s="27">
        <v>8899.2800000000007</v>
      </c>
      <c r="K425" s="47">
        <f t="shared" si="49"/>
        <v>0.63229384849111381</v>
      </c>
      <c r="L425" s="47">
        <f t="shared" si="50"/>
        <v>0.21655684504813871</v>
      </c>
      <c r="M425" s="84">
        <f t="shared" si="51"/>
        <v>0.84885069353925258</v>
      </c>
      <c r="N425" s="47">
        <f t="shared" si="52"/>
        <v>5.3586357548026355E-2</v>
      </c>
      <c r="O425" s="47">
        <f t="shared" si="53"/>
        <v>7.7736625884341206E-3</v>
      </c>
      <c r="P425" s="47">
        <f t="shared" si="54"/>
        <v>3.2105968123263905E-2</v>
      </c>
      <c r="Q425" s="47">
        <f t="shared" si="55"/>
        <v>1</v>
      </c>
    </row>
    <row r="426" spans="1:17" x14ac:dyDescent="0.35">
      <c r="A426" s="82">
        <v>423</v>
      </c>
      <c r="B426" s="83" t="str">
        <f>_xlfn.XLOOKUP(A426,'TAZs by City - CCAG Model'!$A:$A,'TAZs by City - CCAG Model'!$B:$B,"Unknown")</f>
        <v>Palo Alto</v>
      </c>
      <c r="C426" s="82">
        <f>_xlfn.XLOOKUP(A426,'TAZs by City - CCAG Model'!$A:$A,'TAZs by City - CCAG Model'!$C:$C,999)</f>
        <v>3</v>
      </c>
      <c r="D426" s="82" t="str">
        <f t="shared" si="48"/>
        <v>NO</v>
      </c>
      <c r="E426" s="27">
        <v>5627.42</v>
      </c>
      <c r="F426" s="27">
        <v>1848.34</v>
      </c>
      <c r="G426" s="27">
        <v>595.38</v>
      </c>
      <c r="H426" s="27">
        <v>65.540000000000006</v>
      </c>
      <c r="I426" s="27">
        <v>333.84</v>
      </c>
      <c r="J426" s="27">
        <v>9102.1</v>
      </c>
      <c r="K426" s="47">
        <f t="shared" si="49"/>
        <v>0.61825512793750892</v>
      </c>
      <c r="L426" s="47">
        <f t="shared" si="50"/>
        <v>0.20306742400105468</v>
      </c>
      <c r="M426" s="84">
        <f t="shared" si="51"/>
        <v>0.82132255193856363</v>
      </c>
      <c r="N426" s="47">
        <f t="shared" si="52"/>
        <v>6.5411278715900717E-2</v>
      </c>
      <c r="O426" s="47">
        <f t="shared" si="53"/>
        <v>7.2005361400116459E-3</v>
      </c>
      <c r="P426" s="47">
        <f t="shared" si="54"/>
        <v>3.6677250304874696E-2</v>
      </c>
      <c r="Q426" s="47">
        <f t="shared" si="55"/>
        <v>1</v>
      </c>
    </row>
    <row r="427" spans="1:17" x14ac:dyDescent="0.35">
      <c r="A427" s="82">
        <v>424</v>
      </c>
      <c r="B427" s="83" t="str">
        <f>_xlfn.XLOOKUP(A427,'TAZs by City - CCAG Model'!$A:$A,'TAZs by City - CCAG Model'!$B:$B,"Unknown")</f>
        <v>Palo Alto</v>
      </c>
      <c r="C427" s="82">
        <f>_xlfn.XLOOKUP(A427,'TAZs by City - CCAG Model'!$A:$A,'TAZs by City - CCAG Model'!$C:$C,999)</f>
        <v>3</v>
      </c>
      <c r="D427" s="82" t="str">
        <f t="shared" si="48"/>
        <v>NO</v>
      </c>
      <c r="E427" s="27">
        <v>6161.76</v>
      </c>
      <c r="F427" s="27">
        <v>2401.6999999999998</v>
      </c>
      <c r="G427" s="27">
        <v>1584.44</v>
      </c>
      <c r="H427" s="27">
        <v>434.32</v>
      </c>
      <c r="I427" s="27">
        <v>821.94</v>
      </c>
      <c r="J427" s="27">
        <v>13021.86</v>
      </c>
      <c r="K427" s="47">
        <f t="shared" si="49"/>
        <v>0.47318585824144938</v>
      </c>
      <c r="L427" s="47">
        <f t="shared" si="50"/>
        <v>0.18443601758888514</v>
      </c>
      <c r="M427" s="84">
        <f t="shared" si="51"/>
        <v>0.65762187583033438</v>
      </c>
      <c r="N427" s="47">
        <f t="shared" si="52"/>
        <v>0.1216753981382076</v>
      </c>
      <c r="O427" s="47">
        <f t="shared" si="53"/>
        <v>3.33531461711307E-2</v>
      </c>
      <c r="P427" s="47">
        <f t="shared" si="54"/>
        <v>6.3120015113048364E-2</v>
      </c>
      <c r="Q427" s="47">
        <f t="shared" si="55"/>
        <v>1</v>
      </c>
    </row>
    <row r="428" spans="1:17" x14ac:dyDescent="0.35">
      <c r="A428" s="82">
        <v>425</v>
      </c>
      <c r="B428" s="83" t="str">
        <f>_xlfn.XLOOKUP(A428,'TAZs by City - CCAG Model'!$A:$A,'TAZs by City - CCAG Model'!$B:$B,"Unknown")</f>
        <v>Palo Alto</v>
      </c>
      <c r="C428" s="82">
        <f>_xlfn.XLOOKUP(A428,'TAZs by City - CCAG Model'!$A:$A,'TAZs by City - CCAG Model'!$C:$C,999)</f>
        <v>3</v>
      </c>
      <c r="D428" s="82" t="str">
        <f t="shared" si="48"/>
        <v>NO</v>
      </c>
      <c r="E428" s="27">
        <v>279.62</v>
      </c>
      <c r="F428" s="27">
        <v>67.72</v>
      </c>
      <c r="G428" s="27">
        <v>13.82</v>
      </c>
      <c r="H428" s="27">
        <v>16.88</v>
      </c>
      <c r="I428" s="27">
        <v>67.459999999999994</v>
      </c>
      <c r="J428" s="27">
        <v>492.98</v>
      </c>
      <c r="K428" s="47">
        <f t="shared" si="49"/>
        <v>0.56720353766887088</v>
      </c>
      <c r="L428" s="47">
        <f t="shared" si="50"/>
        <v>0.1373686559292466</v>
      </c>
      <c r="M428" s="84">
        <f t="shared" si="51"/>
        <v>0.70457219359811762</v>
      </c>
      <c r="N428" s="47">
        <f t="shared" si="52"/>
        <v>2.803359162643515E-2</v>
      </c>
      <c r="O428" s="47">
        <f t="shared" si="53"/>
        <v>3.4240739989451902E-2</v>
      </c>
      <c r="P428" s="47">
        <f t="shared" si="54"/>
        <v>0.13684125116637591</v>
      </c>
      <c r="Q428" s="47">
        <f t="shared" si="55"/>
        <v>1</v>
      </c>
    </row>
    <row r="429" spans="1:17" x14ac:dyDescent="0.35">
      <c r="A429" s="82">
        <v>426</v>
      </c>
      <c r="B429" s="83" t="str">
        <f>_xlfn.XLOOKUP(A429,'TAZs by City - CCAG Model'!$A:$A,'TAZs by City - CCAG Model'!$B:$B,"Unknown")</f>
        <v>Palo Alto</v>
      </c>
      <c r="C429" s="82">
        <f>_xlfn.XLOOKUP(A429,'TAZs by City - CCAG Model'!$A:$A,'TAZs by City - CCAG Model'!$C:$C,999)</f>
        <v>3</v>
      </c>
      <c r="D429" s="82" t="str">
        <f t="shared" si="48"/>
        <v>NO</v>
      </c>
      <c r="E429" s="27">
        <v>3537.76</v>
      </c>
      <c r="F429" s="27">
        <v>1724.88</v>
      </c>
      <c r="G429" s="27">
        <v>1219.98</v>
      </c>
      <c r="H429" s="27">
        <v>225.46</v>
      </c>
      <c r="I429" s="27">
        <v>754.32</v>
      </c>
      <c r="J429" s="27">
        <v>8725.82</v>
      </c>
      <c r="K429" s="47">
        <f t="shared" si="49"/>
        <v>0.40543582150445462</v>
      </c>
      <c r="L429" s="47">
        <f t="shared" si="50"/>
        <v>0.19767540471841044</v>
      </c>
      <c r="M429" s="84">
        <f t="shared" si="51"/>
        <v>0.60311122622286506</v>
      </c>
      <c r="N429" s="47">
        <f t="shared" si="52"/>
        <v>0.13981264798036175</v>
      </c>
      <c r="O429" s="47">
        <f t="shared" si="53"/>
        <v>2.5838259326917128E-2</v>
      </c>
      <c r="P429" s="47">
        <f t="shared" si="54"/>
        <v>8.6446889805198837E-2</v>
      </c>
      <c r="Q429" s="47">
        <f t="shared" si="55"/>
        <v>1</v>
      </c>
    </row>
    <row r="430" spans="1:17" x14ac:dyDescent="0.35">
      <c r="A430" s="82">
        <v>427</v>
      </c>
      <c r="B430" s="83" t="str">
        <f>_xlfn.XLOOKUP(A430,'TAZs by City - CCAG Model'!$A:$A,'TAZs by City - CCAG Model'!$B:$B,"Unknown")</f>
        <v>Palo Alto</v>
      </c>
      <c r="C430" s="82">
        <f>_xlfn.XLOOKUP(A430,'TAZs by City - CCAG Model'!$A:$A,'TAZs by City - CCAG Model'!$C:$C,999)</f>
        <v>3</v>
      </c>
      <c r="D430" s="82" t="str">
        <f t="shared" si="48"/>
        <v>NO</v>
      </c>
      <c r="E430" s="27">
        <v>3214.7</v>
      </c>
      <c r="F430" s="27">
        <v>1539.88</v>
      </c>
      <c r="G430" s="27">
        <v>992.98</v>
      </c>
      <c r="H430" s="27">
        <v>234.28</v>
      </c>
      <c r="I430" s="27">
        <v>689.54</v>
      </c>
      <c r="J430" s="27">
        <v>7710.78</v>
      </c>
      <c r="K430" s="47">
        <f t="shared" si="49"/>
        <v>0.41690983272768772</v>
      </c>
      <c r="L430" s="47">
        <f t="shared" si="50"/>
        <v>0.19970482882406193</v>
      </c>
      <c r="M430" s="84">
        <f t="shared" si="51"/>
        <v>0.6166146615517496</v>
      </c>
      <c r="N430" s="47">
        <f t="shared" si="52"/>
        <v>0.12877815214543795</v>
      </c>
      <c r="O430" s="47">
        <f t="shared" si="53"/>
        <v>3.0383437213874601E-2</v>
      </c>
      <c r="P430" s="47">
        <f t="shared" si="54"/>
        <v>8.9425453715447717E-2</v>
      </c>
      <c r="Q430" s="47">
        <f t="shared" si="55"/>
        <v>1</v>
      </c>
    </row>
    <row r="431" spans="1:17" x14ac:dyDescent="0.35">
      <c r="A431" s="82">
        <v>428</v>
      </c>
      <c r="B431" s="83" t="str">
        <f>_xlfn.XLOOKUP(A431,'TAZs by City - CCAG Model'!$A:$A,'TAZs by City - CCAG Model'!$B:$B,"Unknown")</f>
        <v>Unincorporated</v>
      </c>
      <c r="C431" s="82">
        <f>_xlfn.XLOOKUP(A431,'TAZs by City - CCAG Model'!$A:$A,'TAZs by City - CCAG Model'!$C:$C,999)</f>
        <v>3</v>
      </c>
      <c r="D431" s="82" t="str">
        <f t="shared" si="48"/>
        <v>NO</v>
      </c>
      <c r="E431" s="27">
        <v>9008.56</v>
      </c>
      <c r="F431" s="27">
        <v>3147.14</v>
      </c>
      <c r="G431" s="27">
        <v>1599.3</v>
      </c>
      <c r="H431" s="27">
        <v>1631.2</v>
      </c>
      <c r="I431" s="27">
        <v>811.86</v>
      </c>
      <c r="J431" s="27">
        <v>17824.259999999998</v>
      </c>
      <c r="K431" s="47">
        <f t="shared" si="49"/>
        <v>0.50541004226823438</v>
      </c>
      <c r="L431" s="47">
        <f t="shared" si="50"/>
        <v>0.17656497380536415</v>
      </c>
      <c r="M431" s="84">
        <f t="shared" si="51"/>
        <v>0.68197501607359856</v>
      </c>
      <c r="N431" s="47">
        <f t="shared" si="52"/>
        <v>8.9726025091644762E-2</v>
      </c>
      <c r="O431" s="47">
        <f t="shared" si="53"/>
        <v>9.1515720708741921E-2</v>
      </c>
      <c r="P431" s="47">
        <f t="shared" si="54"/>
        <v>4.554803397167681E-2</v>
      </c>
      <c r="Q431" s="47">
        <f t="shared" si="55"/>
        <v>1</v>
      </c>
    </row>
    <row r="432" spans="1:17" x14ac:dyDescent="0.35">
      <c r="A432" s="82">
        <v>429</v>
      </c>
      <c r="B432" s="83" t="str">
        <f>_xlfn.XLOOKUP(A432,'TAZs by City - CCAG Model'!$A:$A,'TAZs by City - CCAG Model'!$B:$B,"Unknown")</f>
        <v>Palo Alto</v>
      </c>
      <c r="C432" s="82">
        <f>_xlfn.XLOOKUP(A432,'TAZs by City - CCAG Model'!$A:$A,'TAZs by City - CCAG Model'!$C:$C,999)</f>
        <v>3</v>
      </c>
      <c r="D432" s="82" t="str">
        <f t="shared" si="48"/>
        <v>NO</v>
      </c>
      <c r="E432" s="27">
        <v>8314.86</v>
      </c>
      <c r="F432" s="27">
        <v>3879.64</v>
      </c>
      <c r="G432" s="27">
        <v>1453.12</v>
      </c>
      <c r="H432" s="27">
        <v>939.44</v>
      </c>
      <c r="I432" s="27">
        <v>1143.74</v>
      </c>
      <c r="J432" s="27">
        <v>17219.099999999999</v>
      </c>
      <c r="K432" s="47">
        <f t="shared" si="49"/>
        <v>0.48288586511490156</v>
      </c>
      <c r="L432" s="47">
        <f t="shared" si="50"/>
        <v>0.22531026592562911</v>
      </c>
      <c r="M432" s="84">
        <f t="shared" si="51"/>
        <v>0.70819613104053059</v>
      </c>
      <c r="N432" s="47">
        <f t="shared" si="52"/>
        <v>8.4390008769331726E-2</v>
      </c>
      <c r="O432" s="47">
        <f t="shared" si="53"/>
        <v>5.455801987328026E-2</v>
      </c>
      <c r="P432" s="47">
        <f t="shared" si="54"/>
        <v>6.6422751479461764E-2</v>
      </c>
      <c r="Q432" s="47">
        <f t="shared" si="55"/>
        <v>1</v>
      </c>
    </row>
    <row r="433" spans="1:17" x14ac:dyDescent="0.35">
      <c r="A433" s="82">
        <v>430</v>
      </c>
      <c r="B433" s="83" t="str">
        <f>_xlfn.XLOOKUP(A433,'TAZs by City - CCAG Model'!$A:$A,'TAZs by City - CCAG Model'!$B:$B,"Unknown")</f>
        <v>Palo Alto</v>
      </c>
      <c r="C433" s="82">
        <f>_xlfn.XLOOKUP(A433,'TAZs by City - CCAG Model'!$A:$A,'TAZs by City - CCAG Model'!$C:$C,999)</f>
        <v>3</v>
      </c>
      <c r="D433" s="82" t="str">
        <f t="shared" si="48"/>
        <v>NO</v>
      </c>
      <c r="E433" s="27">
        <v>3071.8</v>
      </c>
      <c r="F433" s="27">
        <v>1337.4</v>
      </c>
      <c r="G433" s="27">
        <v>1394.94</v>
      </c>
      <c r="H433" s="27">
        <v>264</v>
      </c>
      <c r="I433" s="27">
        <v>598.04</v>
      </c>
      <c r="J433" s="27">
        <v>8100.04</v>
      </c>
      <c r="K433" s="47">
        <f t="shared" si="49"/>
        <v>0.3792326951471845</v>
      </c>
      <c r="L433" s="47">
        <f t="shared" si="50"/>
        <v>0.16511029575162592</v>
      </c>
      <c r="M433" s="84">
        <f t="shared" si="51"/>
        <v>0.54434299089881044</v>
      </c>
      <c r="N433" s="47">
        <f t="shared" si="52"/>
        <v>0.17221396437548459</v>
      </c>
      <c r="O433" s="47">
        <f t="shared" si="53"/>
        <v>3.2592431642312875E-2</v>
      </c>
      <c r="P433" s="47">
        <f t="shared" si="54"/>
        <v>7.3831734164275728E-2</v>
      </c>
      <c r="Q433" s="47">
        <f t="shared" si="55"/>
        <v>1</v>
      </c>
    </row>
    <row r="434" spans="1:17" x14ac:dyDescent="0.35">
      <c r="A434" s="82">
        <v>431</v>
      </c>
      <c r="B434" s="83" t="str">
        <f>_xlfn.XLOOKUP(A434,'TAZs by City - CCAG Model'!$A:$A,'TAZs by City - CCAG Model'!$B:$B,"Unknown")</f>
        <v>Palo Alto</v>
      </c>
      <c r="C434" s="82">
        <f>_xlfn.XLOOKUP(A434,'TAZs by City - CCAG Model'!$A:$A,'TAZs by City - CCAG Model'!$C:$C,999)</f>
        <v>3</v>
      </c>
      <c r="D434" s="82" t="str">
        <f t="shared" si="48"/>
        <v>NO</v>
      </c>
      <c r="E434" s="27">
        <v>3478.4</v>
      </c>
      <c r="F434" s="27">
        <v>1560.3</v>
      </c>
      <c r="G434" s="27">
        <v>1447.5</v>
      </c>
      <c r="H434" s="27">
        <v>244.66</v>
      </c>
      <c r="I434" s="27">
        <v>620.54</v>
      </c>
      <c r="J434" s="27">
        <v>8839.02</v>
      </c>
      <c r="K434" s="47">
        <f t="shared" si="49"/>
        <v>0.39352778927980703</v>
      </c>
      <c r="L434" s="47">
        <f t="shared" si="50"/>
        <v>0.17652409430004681</v>
      </c>
      <c r="M434" s="84">
        <f t="shared" si="51"/>
        <v>0.57005188357985381</v>
      </c>
      <c r="N434" s="47">
        <f t="shared" si="52"/>
        <v>0.16376249855753239</v>
      </c>
      <c r="O434" s="47">
        <f t="shared" si="53"/>
        <v>2.7679539134428929E-2</v>
      </c>
      <c r="P434" s="47">
        <f t="shared" si="54"/>
        <v>7.0204615443793542E-2</v>
      </c>
      <c r="Q434" s="47">
        <f t="shared" si="55"/>
        <v>1</v>
      </c>
    </row>
    <row r="435" spans="1:17" x14ac:dyDescent="0.35">
      <c r="A435" s="82">
        <v>432</v>
      </c>
      <c r="B435" s="83" t="str">
        <f>_xlfn.XLOOKUP(A435,'TAZs by City - CCAG Model'!$A:$A,'TAZs by City - CCAG Model'!$B:$B,"Unknown")</f>
        <v>Palo Alto</v>
      </c>
      <c r="C435" s="82">
        <f>_xlfn.XLOOKUP(A435,'TAZs by City - CCAG Model'!$A:$A,'TAZs by City - CCAG Model'!$C:$C,999)</f>
        <v>3</v>
      </c>
      <c r="D435" s="82" t="str">
        <f t="shared" si="48"/>
        <v>NO</v>
      </c>
      <c r="E435" s="27">
        <v>2320.2199999999998</v>
      </c>
      <c r="F435" s="27">
        <v>1144.06</v>
      </c>
      <c r="G435" s="27">
        <v>537.64</v>
      </c>
      <c r="H435" s="27">
        <v>102.98</v>
      </c>
      <c r="I435" s="27">
        <v>447.22</v>
      </c>
      <c r="J435" s="27">
        <v>5138.0600000000004</v>
      </c>
      <c r="K435" s="47">
        <f t="shared" si="49"/>
        <v>0.45157510811473583</v>
      </c>
      <c r="L435" s="47">
        <f t="shared" si="50"/>
        <v>0.22266380696216079</v>
      </c>
      <c r="M435" s="84">
        <f t="shared" si="51"/>
        <v>0.67423891507689659</v>
      </c>
      <c r="N435" s="47">
        <f t="shared" si="52"/>
        <v>0.10463871577988579</v>
      </c>
      <c r="O435" s="47">
        <f t="shared" si="53"/>
        <v>2.0042584166008182E-2</v>
      </c>
      <c r="P435" s="47">
        <f t="shared" si="54"/>
        <v>8.7040634013616031E-2</v>
      </c>
      <c r="Q435" s="47">
        <f t="shared" si="55"/>
        <v>1</v>
      </c>
    </row>
    <row r="436" spans="1:17" x14ac:dyDescent="0.35">
      <c r="A436" s="82">
        <v>433</v>
      </c>
      <c r="B436" s="83" t="str">
        <f>_xlfn.XLOOKUP(A436,'TAZs by City - CCAG Model'!$A:$A,'TAZs by City - CCAG Model'!$B:$B,"Unknown")</f>
        <v>Palo Alto</v>
      </c>
      <c r="C436" s="82">
        <f>_xlfn.XLOOKUP(A436,'TAZs by City - CCAG Model'!$A:$A,'TAZs by City - CCAG Model'!$C:$C,999)</f>
        <v>3</v>
      </c>
      <c r="D436" s="82" t="str">
        <f t="shared" si="48"/>
        <v>NO</v>
      </c>
      <c r="E436" s="27">
        <v>2366.04</v>
      </c>
      <c r="F436" s="27">
        <v>994.86</v>
      </c>
      <c r="G436" s="27">
        <v>932.62</v>
      </c>
      <c r="H436" s="27">
        <v>185.12</v>
      </c>
      <c r="I436" s="27">
        <v>478.02</v>
      </c>
      <c r="J436" s="27">
        <v>5931.78</v>
      </c>
      <c r="K436" s="47">
        <f t="shared" si="49"/>
        <v>0.39887521115078445</v>
      </c>
      <c r="L436" s="47">
        <f t="shared" si="50"/>
        <v>0.16771694162629094</v>
      </c>
      <c r="M436" s="84">
        <f t="shared" si="51"/>
        <v>0.56659215277707542</v>
      </c>
      <c r="N436" s="47">
        <f t="shared" si="52"/>
        <v>0.15722430703768517</v>
      </c>
      <c r="O436" s="47">
        <f t="shared" si="53"/>
        <v>3.1208170228835191E-2</v>
      </c>
      <c r="P436" s="47">
        <f t="shared" si="54"/>
        <v>8.0586265842630705E-2</v>
      </c>
      <c r="Q436" s="47">
        <f t="shared" si="55"/>
        <v>1</v>
      </c>
    </row>
    <row r="437" spans="1:17" x14ac:dyDescent="0.35">
      <c r="A437" s="82">
        <v>434</v>
      </c>
      <c r="B437" s="83" t="str">
        <f>_xlfn.XLOOKUP(A437,'TAZs by City - CCAG Model'!$A:$A,'TAZs by City - CCAG Model'!$B:$B,"Unknown")</f>
        <v>Palo Alto</v>
      </c>
      <c r="C437" s="82">
        <f>_xlfn.XLOOKUP(A437,'TAZs by City - CCAG Model'!$A:$A,'TAZs by City - CCAG Model'!$C:$C,999)</f>
        <v>3</v>
      </c>
      <c r="D437" s="82" t="str">
        <f t="shared" si="48"/>
        <v>NO</v>
      </c>
      <c r="E437" s="27">
        <v>2730.06</v>
      </c>
      <c r="F437" s="27">
        <v>1110.6400000000001</v>
      </c>
      <c r="G437" s="27">
        <v>632.76</v>
      </c>
      <c r="H437" s="27">
        <v>153.08000000000001</v>
      </c>
      <c r="I437" s="27">
        <v>509.26</v>
      </c>
      <c r="J437" s="27">
        <v>5816.48</v>
      </c>
      <c r="K437" s="47">
        <f t="shared" si="49"/>
        <v>0.46936635215800626</v>
      </c>
      <c r="L437" s="47">
        <f t="shared" si="50"/>
        <v>0.19094710202734302</v>
      </c>
      <c r="M437" s="84">
        <f t="shared" si="51"/>
        <v>0.66031345418534926</v>
      </c>
      <c r="N437" s="47">
        <f t="shared" si="52"/>
        <v>0.10878744532775837</v>
      </c>
      <c r="O437" s="47">
        <f t="shared" si="53"/>
        <v>2.6318323109509534E-2</v>
      </c>
      <c r="P437" s="47">
        <f t="shared" si="54"/>
        <v>8.7554672241630688E-2</v>
      </c>
      <c r="Q437" s="47">
        <f t="shared" si="55"/>
        <v>1</v>
      </c>
    </row>
    <row r="438" spans="1:17" x14ac:dyDescent="0.35">
      <c r="A438" s="82">
        <v>435</v>
      </c>
      <c r="B438" s="83" t="str">
        <f>_xlfn.XLOOKUP(A438,'TAZs by City - CCAG Model'!$A:$A,'TAZs by City - CCAG Model'!$B:$B,"Unknown")</f>
        <v>Palo Alto</v>
      </c>
      <c r="C438" s="82">
        <f>_xlfn.XLOOKUP(A438,'TAZs by City - CCAG Model'!$A:$A,'TAZs by City - CCAG Model'!$C:$C,999)</f>
        <v>3</v>
      </c>
      <c r="D438" s="82" t="str">
        <f t="shared" si="48"/>
        <v>NO</v>
      </c>
      <c r="E438" s="27">
        <v>1870.44</v>
      </c>
      <c r="F438" s="27">
        <v>857.32</v>
      </c>
      <c r="G438" s="27">
        <v>317.88</v>
      </c>
      <c r="H438" s="27">
        <v>93.9</v>
      </c>
      <c r="I438" s="27">
        <v>360.18</v>
      </c>
      <c r="J438" s="27">
        <v>3869.54</v>
      </c>
      <c r="K438" s="47">
        <f t="shared" si="49"/>
        <v>0.48337528491758713</v>
      </c>
      <c r="L438" s="47">
        <f t="shared" si="50"/>
        <v>0.22155605058999261</v>
      </c>
      <c r="M438" s="84">
        <f t="shared" si="51"/>
        <v>0.7049313355075798</v>
      </c>
      <c r="N438" s="47">
        <f t="shared" si="52"/>
        <v>8.2149299399928669E-2</v>
      </c>
      <c r="O438" s="47">
        <f t="shared" si="53"/>
        <v>2.4266450275743371E-2</v>
      </c>
      <c r="P438" s="47">
        <f t="shared" si="54"/>
        <v>9.3080831313282722E-2</v>
      </c>
      <c r="Q438" s="47">
        <f t="shared" si="55"/>
        <v>1</v>
      </c>
    </row>
    <row r="439" spans="1:17" x14ac:dyDescent="0.35">
      <c r="A439" s="82">
        <v>436</v>
      </c>
      <c r="B439" s="83" t="str">
        <f>_xlfn.XLOOKUP(A439,'TAZs by City - CCAG Model'!$A:$A,'TAZs by City - CCAG Model'!$B:$B,"Unknown")</f>
        <v>Palo Alto</v>
      </c>
      <c r="C439" s="82">
        <f>_xlfn.XLOOKUP(A439,'TAZs by City - CCAG Model'!$A:$A,'TAZs by City - CCAG Model'!$C:$C,999)</f>
        <v>3</v>
      </c>
      <c r="D439" s="82" t="str">
        <f t="shared" si="48"/>
        <v>NO</v>
      </c>
      <c r="E439" s="27">
        <v>6275.66</v>
      </c>
      <c r="F439" s="27">
        <v>2818.72</v>
      </c>
      <c r="G439" s="27">
        <v>1978.54</v>
      </c>
      <c r="H439" s="27">
        <v>590.20000000000005</v>
      </c>
      <c r="I439" s="27">
        <v>1257.8</v>
      </c>
      <c r="J439" s="27">
        <v>14932.52</v>
      </c>
      <c r="K439" s="47">
        <f t="shared" si="49"/>
        <v>0.4202679788809926</v>
      </c>
      <c r="L439" s="47">
        <f t="shared" si="50"/>
        <v>0.18876385231695653</v>
      </c>
      <c r="M439" s="84">
        <f t="shared" si="51"/>
        <v>0.60903183119794913</v>
      </c>
      <c r="N439" s="47">
        <f t="shared" si="52"/>
        <v>0.13249873430606487</v>
      </c>
      <c r="O439" s="47">
        <f t="shared" si="53"/>
        <v>3.9524474100821563E-2</v>
      </c>
      <c r="P439" s="47">
        <f t="shared" si="54"/>
        <v>8.4232266221642427E-2</v>
      </c>
      <c r="Q439" s="47">
        <f t="shared" si="55"/>
        <v>1</v>
      </c>
    </row>
    <row r="440" spans="1:17" x14ac:dyDescent="0.35">
      <c r="A440" s="82">
        <v>437</v>
      </c>
      <c r="B440" s="83" t="str">
        <f>_xlfn.XLOOKUP(A440,'TAZs by City - CCAG Model'!$A:$A,'TAZs by City - CCAG Model'!$B:$B,"Unknown")</f>
        <v>Palo Alto</v>
      </c>
      <c r="C440" s="82">
        <f>_xlfn.XLOOKUP(A440,'TAZs by City - CCAG Model'!$A:$A,'TAZs by City - CCAG Model'!$C:$C,999)</f>
        <v>3</v>
      </c>
      <c r="D440" s="82" t="str">
        <f t="shared" si="48"/>
        <v>NO</v>
      </c>
      <c r="E440" s="27">
        <v>3194.36</v>
      </c>
      <c r="F440" s="27">
        <v>1431.06</v>
      </c>
      <c r="G440" s="27">
        <v>846.22</v>
      </c>
      <c r="H440" s="27">
        <v>275</v>
      </c>
      <c r="I440" s="27">
        <v>606.32000000000005</v>
      </c>
      <c r="J440" s="27">
        <v>7244.98</v>
      </c>
      <c r="K440" s="47">
        <f t="shared" si="49"/>
        <v>0.44090666916954918</v>
      </c>
      <c r="L440" s="47">
        <f t="shared" si="50"/>
        <v>0.19752435479463021</v>
      </c>
      <c r="M440" s="84">
        <f t="shared" si="51"/>
        <v>0.63843102396417939</v>
      </c>
      <c r="N440" s="47">
        <f t="shared" si="52"/>
        <v>0.11680087453657569</v>
      </c>
      <c r="O440" s="47">
        <f t="shared" si="53"/>
        <v>3.7957316652357909E-2</v>
      </c>
      <c r="P440" s="47">
        <f t="shared" si="54"/>
        <v>8.3688291755118729E-2</v>
      </c>
      <c r="Q440" s="47">
        <f t="shared" si="55"/>
        <v>1</v>
      </c>
    </row>
    <row r="441" spans="1:17" x14ac:dyDescent="0.35">
      <c r="A441" s="82">
        <v>438</v>
      </c>
      <c r="B441" s="83" t="str">
        <f>_xlfn.XLOOKUP(A441,'TAZs by City - CCAG Model'!$A:$A,'TAZs by City - CCAG Model'!$B:$B,"Unknown")</f>
        <v>Palo Alto</v>
      </c>
      <c r="C441" s="82">
        <f>_xlfn.XLOOKUP(A441,'TAZs by City - CCAG Model'!$A:$A,'TAZs by City - CCAG Model'!$C:$C,999)</f>
        <v>3</v>
      </c>
      <c r="D441" s="82" t="str">
        <f t="shared" si="48"/>
        <v>NO</v>
      </c>
      <c r="E441" s="27">
        <v>3850.44</v>
      </c>
      <c r="F441" s="27">
        <v>1267</v>
      </c>
      <c r="G441" s="27">
        <v>243.72</v>
      </c>
      <c r="H441" s="27">
        <v>179.64</v>
      </c>
      <c r="I441" s="27">
        <v>63.9</v>
      </c>
      <c r="J441" s="27">
        <v>5887.32</v>
      </c>
      <c r="K441" s="47">
        <f t="shared" si="49"/>
        <v>0.65402254336438315</v>
      </c>
      <c r="L441" s="47">
        <f t="shared" si="50"/>
        <v>0.21520827812994708</v>
      </c>
      <c r="M441" s="84">
        <f t="shared" si="51"/>
        <v>0.86923082149433029</v>
      </c>
      <c r="N441" s="47">
        <f t="shared" si="52"/>
        <v>4.1397443998287847E-2</v>
      </c>
      <c r="O441" s="47">
        <f t="shared" si="53"/>
        <v>3.0513034793420435E-2</v>
      </c>
      <c r="P441" s="47">
        <f t="shared" si="54"/>
        <v>1.085383502170767E-2</v>
      </c>
      <c r="Q441" s="47">
        <f t="shared" si="55"/>
        <v>1</v>
      </c>
    </row>
    <row r="442" spans="1:17" x14ac:dyDescent="0.35">
      <c r="A442" s="82">
        <v>439</v>
      </c>
      <c r="B442" s="83" t="str">
        <f>_xlfn.XLOOKUP(A442,'TAZs by City - CCAG Model'!$A:$A,'TAZs by City - CCAG Model'!$B:$B,"Unknown")</f>
        <v>Palo Alto</v>
      </c>
      <c r="C442" s="82">
        <f>_xlfn.XLOOKUP(A442,'TAZs by City - CCAG Model'!$A:$A,'TAZs by City - CCAG Model'!$C:$C,999)</f>
        <v>3</v>
      </c>
      <c r="D442" s="82" t="str">
        <f t="shared" si="48"/>
        <v>NO</v>
      </c>
      <c r="E442" s="27">
        <v>1285.98</v>
      </c>
      <c r="F442" s="27">
        <v>856.04</v>
      </c>
      <c r="G442" s="27">
        <v>187.42</v>
      </c>
      <c r="H442" s="27">
        <v>66.900000000000006</v>
      </c>
      <c r="I442" s="27">
        <v>312.88</v>
      </c>
      <c r="J442" s="27">
        <v>2929.48</v>
      </c>
      <c r="K442" s="47">
        <f t="shared" si="49"/>
        <v>0.43897893141444899</v>
      </c>
      <c r="L442" s="47">
        <f t="shared" si="50"/>
        <v>0.29221568332946463</v>
      </c>
      <c r="M442" s="84">
        <f t="shared" si="51"/>
        <v>0.73119461474391356</v>
      </c>
      <c r="N442" s="47">
        <f t="shared" si="52"/>
        <v>6.3977224626896242E-2</v>
      </c>
      <c r="O442" s="47">
        <f t="shared" si="53"/>
        <v>2.283681745565766E-2</v>
      </c>
      <c r="P442" s="47">
        <f t="shared" si="54"/>
        <v>0.10680393790024167</v>
      </c>
      <c r="Q442" s="47">
        <f t="shared" si="55"/>
        <v>1</v>
      </c>
    </row>
    <row r="443" spans="1:17" x14ac:dyDescent="0.35">
      <c r="A443" s="82">
        <v>440</v>
      </c>
      <c r="B443" s="83" t="str">
        <f>_xlfn.XLOOKUP(A443,'TAZs by City - CCAG Model'!$A:$A,'TAZs by City - CCAG Model'!$B:$B,"Unknown")</f>
        <v>Palo Alto</v>
      </c>
      <c r="C443" s="82">
        <f>_xlfn.XLOOKUP(A443,'TAZs by City - CCAG Model'!$A:$A,'TAZs by City - CCAG Model'!$C:$C,999)</f>
        <v>3</v>
      </c>
      <c r="D443" s="82" t="str">
        <f t="shared" si="48"/>
        <v>NO</v>
      </c>
      <c r="E443" s="27">
        <v>1743.3</v>
      </c>
      <c r="F443" s="27">
        <v>596.14</v>
      </c>
      <c r="G443" s="27">
        <v>293.64</v>
      </c>
      <c r="H443" s="27">
        <v>103.04</v>
      </c>
      <c r="I443" s="27">
        <v>535.46</v>
      </c>
      <c r="J443" s="27">
        <v>3617.7</v>
      </c>
      <c r="K443" s="47">
        <f t="shared" si="49"/>
        <v>0.48188075296459076</v>
      </c>
      <c r="L443" s="47">
        <f t="shared" si="50"/>
        <v>0.16478425518976145</v>
      </c>
      <c r="M443" s="84">
        <f t="shared" si="51"/>
        <v>0.64666500815435224</v>
      </c>
      <c r="N443" s="47">
        <f t="shared" si="52"/>
        <v>8.1167592669375566E-2</v>
      </c>
      <c r="O443" s="47">
        <f t="shared" si="53"/>
        <v>2.8482184813555578E-2</v>
      </c>
      <c r="P443" s="47">
        <f t="shared" si="54"/>
        <v>0.14801116731625066</v>
      </c>
      <c r="Q443" s="47">
        <f t="shared" si="55"/>
        <v>1</v>
      </c>
    </row>
    <row r="444" spans="1:17" x14ac:dyDescent="0.35">
      <c r="A444" s="82">
        <v>441</v>
      </c>
      <c r="B444" s="83" t="str">
        <f>_xlfn.XLOOKUP(A444,'TAZs by City - CCAG Model'!$A:$A,'TAZs by City - CCAG Model'!$B:$B,"Unknown")</f>
        <v>Palo Alto</v>
      </c>
      <c r="C444" s="82">
        <f>_xlfn.XLOOKUP(A444,'TAZs by City - CCAG Model'!$A:$A,'TAZs by City - CCAG Model'!$C:$C,999)</f>
        <v>3</v>
      </c>
      <c r="D444" s="82" t="str">
        <f t="shared" si="48"/>
        <v>NO</v>
      </c>
      <c r="E444" s="27">
        <v>814.7</v>
      </c>
      <c r="F444" s="27">
        <v>415.12</v>
      </c>
      <c r="G444" s="27">
        <v>196.48</v>
      </c>
      <c r="H444" s="27">
        <v>68.66</v>
      </c>
      <c r="I444" s="27">
        <v>282.44</v>
      </c>
      <c r="J444" s="27">
        <v>2022.86</v>
      </c>
      <c r="K444" s="47">
        <f t="shared" si="49"/>
        <v>0.40274660629010417</v>
      </c>
      <c r="L444" s="47">
        <f t="shared" si="50"/>
        <v>0.20521439941469011</v>
      </c>
      <c r="M444" s="84">
        <f t="shared" si="51"/>
        <v>0.60796100570479428</v>
      </c>
      <c r="N444" s="47">
        <f t="shared" si="52"/>
        <v>9.7129806313832889E-2</v>
      </c>
      <c r="O444" s="47">
        <f t="shared" si="53"/>
        <v>3.3942042454742298E-2</v>
      </c>
      <c r="P444" s="47">
        <f t="shared" si="54"/>
        <v>0.13962409657613478</v>
      </c>
      <c r="Q444" s="47">
        <f t="shared" si="55"/>
        <v>1</v>
      </c>
    </row>
    <row r="445" spans="1:17" x14ac:dyDescent="0.35">
      <c r="A445" s="82">
        <v>442</v>
      </c>
      <c r="B445" s="83" t="str">
        <f>_xlfn.XLOOKUP(A445,'TAZs by City - CCAG Model'!$A:$A,'TAZs by City - CCAG Model'!$B:$B,"Unknown")</f>
        <v>Palo Alto</v>
      </c>
      <c r="C445" s="82">
        <f>_xlfn.XLOOKUP(A445,'TAZs by City - CCAG Model'!$A:$A,'TAZs by City - CCAG Model'!$C:$C,999)</f>
        <v>3</v>
      </c>
      <c r="D445" s="82" t="str">
        <f t="shared" si="48"/>
        <v>NO</v>
      </c>
      <c r="E445" s="27">
        <v>2524.2199999999998</v>
      </c>
      <c r="F445" s="27">
        <v>868.46</v>
      </c>
      <c r="G445" s="27">
        <v>678.02</v>
      </c>
      <c r="H445" s="27">
        <v>158.94</v>
      </c>
      <c r="I445" s="27">
        <v>889.7</v>
      </c>
      <c r="J445" s="27">
        <v>5845.82</v>
      </c>
      <c r="K445" s="47">
        <f t="shared" si="49"/>
        <v>0.43179913168725687</v>
      </c>
      <c r="L445" s="47">
        <f t="shared" si="50"/>
        <v>0.14856085202760264</v>
      </c>
      <c r="M445" s="84">
        <f t="shared" si="51"/>
        <v>0.58035998371485953</v>
      </c>
      <c r="N445" s="47">
        <f t="shared" si="52"/>
        <v>0.11598372854449847</v>
      </c>
      <c r="O445" s="47">
        <f t="shared" si="53"/>
        <v>2.7188657878620966E-2</v>
      </c>
      <c r="P445" s="47">
        <f t="shared" si="54"/>
        <v>0.15219421740662561</v>
      </c>
      <c r="Q445" s="47">
        <f t="shared" si="55"/>
        <v>1</v>
      </c>
    </row>
    <row r="446" spans="1:17" x14ac:dyDescent="0.35">
      <c r="A446" s="82">
        <v>443</v>
      </c>
      <c r="B446" s="83" t="str">
        <f>_xlfn.XLOOKUP(A446,'TAZs by City - CCAG Model'!$A:$A,'TAZs by City - CCAG Model'!$B:$B,"Unknown")</f>
        <v>Palo Alto</v>
      </c>
      <c r="C446" s="82">
        <f>_xlfn.XLOOKUP(A446,'TAZs by City - CCAG Model'!$A:$A,'TAZs by City - CCAG Model'!$C:$C,999)</f>
        <v>3</v>
      </c>
      <c r="D446" s="82" t="str">
        <f t="shared" si="48"/>
        <v>NO</v>
      </c>
      <c r="E446" s="27">
        <v>10038.68</v>
      </c>
      <c r="F446" s="27">
        <v>3398.68</v>
      </c>
      <c r="G446" s="27">
        <v>2140.06</v>
      </c>
      <c r="H446" s="27">
        <v>1473.28</v>
      </c>
      <c r="I446" s="27">
        <v>954.54</v>
      </c>
      <c r="J446" s="27">
        <v>20165.98</v>
      </c>
      <c r="K446" s="47">
        <f t="shared" si="49"/>
        <v>0.49780273510139356</v>
      </c>
      <c r="L446" s="47">
        <f t="shared" si="50"/>
        <v>0.16853532533504445</v>
      </c>
      <c r="M446" s="84">
        <f t="shared" si="51"/>
        <v>0.66633806043643806</v>
      </c>
      <c r="N446" s="47">
        <f t="shared" si="52"/>
        <v>0.10612229110611039</v>
      </c>
      <c r="O446" s="47">
        <f t="shared" si="53"/>
        <v>7.3057694195868494E-2</v>
      </c>
      <c r="P446" s="47">
        <f t="shared" si="54"/>
        <v>4.7334173692525731E-2</v>
      </c>
      <c r="Q446" s="47">
        <f t="shared" si="55"/>
        <v>1</v>
      </c>
    </row>
    <row r="447" spans="1:17" x14ac:dyDescent="0.35">
      <c r="A447" s="82">
        <v>444</v>
      </c>
      <c r="B447" s="83" t="str">
        <f>_xlfn.XLOOKUP(A447,'TAZs by City - CCAG Model'!$A:$A,'TAZs by City - CCAG Model'!$B:$B,"Unknown")</f>
        <v>Palo Alto</v>
      </c>
      <c r="C447" s="82">
        <f>_xlfn.XLOOKUP(A447,'TAZs by City - CCAG Model'!$A:$A,'TAZs by City - CCAG Model'!$C:$C,999)</f>
        <v>3</v>
      </c>
      <c r="D447" s="82" t="str">
        <f t="shared" si="48"/>
        <v>NO</v>
      </c>
      <c r="E447" s="27">
        <v>10938.92</v>
      </c>
      <c r="F447" s="27">
        <v>3742.8</v>
      </c>
      <c r="G447" s="27">
        <v>2309.7199999999998</v>
      </c>
      <c r="H447" s="27">
        <v>1354.8</v>
      </c>
      <c r="I447" s="27">
        <v>961.48</v>
      </c>
      <c r="J447" s="27">
        <v>21635.360000000001</v>
      </c>
      <c r="K447" s="47">
        <f t="shared" si="49"/>
        <v>0.50560378935224559</v>
      </c>
      <c r="L447" s="47">
        <f t="shared" si="50"/>
        <v>0.17299457924434813</v>
      </c>
      <c r="M447" s="84">
        <f t="shared" si="51"/>
        <v>0.67859836859659373</v>
      </c>
      <c r="N447" s="47">
        <f t="shared" si="52"/>
        <v>0.1067567167821566</v>
      </c>
      <c r="O447" s="47">
        <f t="shared" si="53"/>
        <v>6.261971143535397E-2</v>
      </c>
      <c r="P447" s="47">
        <f t="shared" si="54"/>
        <v>4.4440212688857499E-2</v>
      </c>
      <c r="Q447" s="47">
        <f t="shared" si="55"/>
        <v>1</v>
      </c>
    </row>
    <row r="448" spans="1:17" x14ac:dyDescent="0.35">
      <c r="A448" s="82">
        <v>445</v>
      </c>
      <c r="B448" s="83" t="str">
        <f>_xlfn.XLOOKUP(A448,'TAZs by City - CCAG Model'!$A:$A,'TAZs by City - CCAG Model'!$B:$B,"Unknown")</f>
        <v>Unincorporated</v>
      </c>
      <c r="C448" s="82">
        <f>_xlfn.XLOOKUP(A448,'TAZs by City - CCAG Model'!$A:$A,'TAZs by City - CCAG Model'!$C:$C,999)</f>
        <v>3</v>
      </c>
      <c r="D448" s="82" t="str">
        <f t="shared" si="48"/>
        <v>NO</v>
      </c>
      <c r="E448" s="27">
        <v>4060.92</v>
      </c>
      <c r="F448" s="27">
        <v>1364</v>
      </c>
      <c r="G448" s="27">
        <v>935.4</v>
      </c>
      <c r="H448" s="27">
        <v>823.82</v>
      </c>
      <c r="I448" s="27">
        <v>339.22</v>
      </c>
      <c r="J448" s="27">
        <v>8494.66</v>
      </c>
      <c r="K448" s="47">
        <f t="shared" si="49"/>
        <v>0.47805562553415915</v>
      </c>
      <c r="L448" s="47">
        <f t="shared" si="50"/>
        <v>0.16057146489677043</v>
      </c>
      <c r="M448" s="84">
        <f t="shared" si="51"/>
        <v>0.63862709043092958</v>
      </c>
      <c r="N448" s="47">
        <f t="shared" si="52"/>
        <v>0.11011623773052717</v>
      </c>
      <c r="O448" s="47">
        <f t="shared" si="53"/>
        <v>9.6980926841097825E-2</v>
      </c>
      <c r="P448" s="47">
        <f t="shared" si="54"/>
        <v>3.9933322816922634E-2</v>
      </c>
      <c r="Q448" s="47">
        <f t="shared" si="55"/>
        <v>1</v>
      </c>
    </row>
    <row r="449" spans="1:17" x14ac:dyDescent="0.35">
      <c r="A449" s="82">
        <v>446</v>
      </c>
      <c r="B449" s="83" t="str">
        <f>_xlfn.XLOOKUP(A449,'TAZs by City - CCAG Model'!$A:$A,'TAZs by City - CCAG Model'!$B:$B,"Unknown")</f>
        <v>Unincorporated</v>
      </c>
      <c r="C449" s="82">
        <f>_xlfn.XLOOKUP(A449,'TAZs by City - CCAG Model'!$A:$A,'TAZs by City - CCAG Model'!$C:$C,999)</f>
        <v>3</v>
      </c>
      <c r="D449" s="82" t="str">
        <f t="shared" si="48"/>
        <v>NO</v>
      </c>
      <c r="E449" s="27">
        <v>1.92</v>
      </c>
      <c r="F449" s="27">
        <v>0</v>
      </c>
      <c r="G449" s="27">
        <v>0</v>
      </c>
      <c r="H449" s="27">
        <v>0.62</v>
      </c>
      <c r="I449" s="27">
        <v>0.04</v>
      </c>
      <c r="J449" s="27">
        <v>5</v>
      </c>
      <c r="K449" s="47">
        <f t="shared" si="49"/>
        <v>0.38400000000000001</v>
      </c>
      <c r="L449" s="47">
        <f t="shared" si="50"/>
        <v>0</v>
      </c>
      <c r="M449" s="84">
        <f t="shared" si="51"/>
        <v>0.38400000000000001</v>
      </c>
      <c r="N449" s="47">
        <f t="shared" si="52"/>
        <v>0</v>
      </c>
      <c r="O449" s="47">
        <f t="shared" si="53"/>
        <v>0.124</v>
      </c>
      <c r="P449" s="47">
        <f t="shared" si="54"/>
        <v>8.0000000000000002E-3</v>
      </c>
      <c r="Q449" s="47">
        <f t="shared" si="55"/>
        <v>1</v>
      </c>
    </row>
    <row r="450" spans="1:17" x14ac:dyDescent="0.35">
      <c r="A450" s="82">
        <v>447</v>
      </c>
      <c r="B450" s="83" t="str">
        <f>_xlfn.XLOOKUP(A450,'TAZs by City - CCAG Model'!$A:$A,'TAZs by City - CCAG Model'!$B:$B,"Unknown")</f>
        <v>Unincorporated</v>
      </c>
      <c r="C450" s="82">
        <f>_xlfn.XLOOKUP(A450,'TAZs by City - CCAG Model'!$A:$A,'TAZs by City - CCAG Model'!$C:$C,999)</f>
        <v>3</v>
      </c>
      <c r="D450" s="82" t="str">
        <f t="shared" si="48"/>
        <v>NO</v>
      </c>
      <c r="E450" s="27">
        <v>4740.82</v>
      </c>
      <c r="F450" s="27">
        <v>1610.16</v>
      </c>
      <c r="G450" s="27">
        <v>1087.76</v>
      </c>
      <c r="H450" s="27">
        <v>970.66</v>
      </c>
      <c r="I450" s="27">
        <v>263.54000000000002</v>
      </c>
      <c r="J450" s="27">
        <v>9798.6200000000008</v>
      </c>
      <c r="K450" s="47">
        <f t="shared" si="49"/>
        <v>0.48382527335481929</v>
      </c>
      <c r="L450" s="47">
        <f t="shared" si="50"/>
        <v>0.16432518048459885</v>
      </c>
      <c r="M450" s="84">
        <f t="shared" si="51"/>
        <v>0.64815045383941816</v>
      </c>
      <c r="N450" s="47">
        <f t="shared" si="52"/>
        <v>0.11101155060610575</v>
      </c>
      <c r="O450" s="47">
        <f t="shared" si="53"/>
        <v>9.906088816588457E-2</v>
      </c>
      <c r="P450" s="47">
        <f t="shared" si="54"/>
        <v>2.6895624077676244E-2</v>
      </c>
      <c r="Q450" s="47">
        <f t="shared" si="55"/>
        <v>1</v>
      </c>
    </row>
    <row r="451" spans="1:17" x14ac:dyDescent="0.35">
      <c r="A451" s="82">
        <v>448</v>
      </c>
      <c r="B451" s="83" t="str">
        <f>_xlfn.XLOOKUP(A451,'TAZs by City - CCAG Model'!$A:$A,'TAZs by City - CCAG Model'!$B:$B,"Unknown")</f>
        <v>Unincorporated</v>
      </c>
      <c r="C451" s="82">
        <f>_xlfn.XLOOKUP(A451,'TAZs by City - CCAG Model'!$A:$A,'TAZs by City - CCAG Model'!$C:$C,999)</f>
        <v>3</v>
      </c>
      <c r="D451" s="82" t="str">
        <f t="shared" si="48"/>
        <v>NO</v>
      </c>
      <c r="E451" s="27">
        <v>15901.6</v>
      </c>
      <c r="F451" s="27">
        <v>5427.12</v>
      </c>
      <c r="G451" s="27">
        <v>3601.22</v>
      </c>
      <c r="H451" s="27">
        <v>2559.2199999999998</v>
      </c>
      <c r="I451" s="27">
        <v>1149.8599999999999</v>
      </c>
      <c r="J451" s="27">
        <v>32251.74</v>
      </c>
      <c r="K451" s="47">
        <f t="shared" si="49"/>
        <v>0.49304626665103957</v>
      </c>
      <c r="L451" s="47">
        <f t="shared" si="50"/>
        <v>0.1682737117439245</v>
      </c>
      <c r="M451" s="84">
        <f t="shared" si="51"/>
        <v>0.66131997839496415</v>
      </c>
      <c r="N451" s="47">
        <f t="shared" si="52"/>
        <v>0.11165971200313532</v>
      </c>
      <c r="O451" s="47">
        <f t="shared" si="53"/>
        <v>7.9351377631098341E-2</v>
      </c>
      <c r="P451" s="47">
        <f t="shared" si="54"/>
        <v>3.5652650058570476E-2</v>
      </c>
      <c r="Q451" s="47">
        <f t="shared" si="55"/>
        <v>1</v>
      </c>
    </row>
    <row r="452" spans="1:17" x14ac:dyDescent="0.35">
      <c r="A452" s="82">
        <v>449</v>
      </c>
      <c r="B452" s="83" t="str">
        <f>_xlfn.XLOOKUP(A452,'TAZs by City - CCAG Model'!$A:$A,'TAZs by City - CCAG Model'!$B:$B,"Unknown")</f>
        <v>Unincorporated</v>
      </c>
      <c r="C452" s="82">
        <f>_xlfn.XLOOKUP(A452,'TAZs by City - CCAG Model'!$A:$A,'TAZs by City - CCAG Model'!$C:$C,999)</f>
        <v>3</v>
      </c>
      <c r="D452" s="82" t="str">
        <f t="shared" si="48"/>
        <v>NO</v>
      </c>
      <c r="E452" s="27">
        <v>714.66</v>
      </c>
      <c r="F452" s="27">
        <v>241.82</v>
      </c>
      <c r="G452" s="27">
        <v>185.9</v>
      </c>
      <c r="H452" s="27">
        <v>191.88</v>
      </c>
      <c r="I452" s="27">
        <v>55.06</v>
      </c>
      <c r="J452" s="27">
        <v>1622.08</v>
      </c>
      <c r="K452" s="47">
        <f t="shared" si="49"/>
        <v>0.44058246202406787</v>
      </c>
      <c r="L452" s="47">
        <f t="shared" si="50"/>
        <v>0.14908019333201816</v>
      </c>
      <c r="M452" s="84">
        <f t="shared" si="51"/>
        <v>0.58966265535608609</v>
      </c>
      <c r="N452" s="47">
        <f t="shared" si="52"/>
        <v>0.11460593805484318</v>
      </c>
      <c r="O452" s="47">
        <f t="shared" si="53"/>
        <v>0.11829256263562833</v>
      </c>
      <c r="P452" s="47">
        <f t="shared" si="54"/>
        <v>3.3944071809035317E-2</v>
      </c>
      <c r="Q452" s="47">
        <f t="shared" si="55"/>
        <v>1</v>
      </c>
    </row>
    <row r="453" spans="1:17" x14ac:dyDescent="0.35">
      <c r="A453" s="82">
        <v>450</v>
      </c>
      <c r="B453" s="83" t="str">
        <f>_xlfn.XLOOKUP(A453,'TAZs by City - CCAG Model'!$A:$A,'TAZs by City - CCAG Model'!$B:$B,"Unknown")</f>
        <v>Unincorporated</v>
      </c>
      <c r="C453" s="82">
        <f>_xlfn.XLOOKUP(A453,'TAZs by City - CCAG Model'!$A:$A,'TAZs by City - CCAG Model'!$C:$C,999)</f>
        <v>3</v>
      </c>
      <c r="D453" s="82" t="str">
        <f t="shared" ref="D453:D516" si="56">IF(C453=2,"YES","NO")</f>
        <v>NO</v>
      </c>
      <c r="E453" s="27">
        <v>8890.0400000000009</v>
      </c>
      <c r="F453" s="27">
        <v>3252.44</v>
      </c>
      <c r="G453" s="27">
        <v>2189.3000000000002</v>
      </c>
      <c r="H453" s="27">
        <v>1265.3</v>
      </c>
      <c r="I453" s="27">
        <v>855.9</v>
      </c>
      <c r="J453" s="27">
        <v>18661.64</v>
      </c>
      <c r="K453" s="47">
        <f t="shared" ref="K453:K516" si="57">IFERROR(E453/$J453,0)</f>
        <v>0.47638042530024161</v>
      </c>
      <c r="L453" s="47">
        <f t="shared" ref="L453:L516" si="58">IFERROR(F453/$J453,0)</f>
        <v>0.17428478954689941</v>
      </c>
      <c r="M453" s="84">
        <f t="shared" ref="M453:M516" si="59">IFERROR((E453+F453)/J453,0)</f>
        <v>0.65066521484714113</v>
      </c>
      <c r="N453" s="47">
        <f t="shared" ref="N453:N516" si="60">IFERROR(G453/$J453,0)</f>
        <v>0.11731551996501917</v>
      </c>
      <c r="O453" s="47">
        <f t="shared" ref="O453:O516" si="61">IFERROR(H453/$J453,0)</f>
        <v>6.780218673171276E-2</v>
      </c>
      <c r="P453" s="47">
        <f t="shared" ref="P453:P516" si="62">IFERROR(I453/$J453,0)</f>
        <v>4.5864136270981543E-2</v>
      </c>
      <c r="Q453" s="47">
        <f t="shared" ref="Q453:Q516" si="63">IFERROR(J453/$J453,0)</f>
        <v>1</v>
      </c>
    </row>
    <row r="454" spans="1:17" x14ac:dyDescent="0.35">
      <c r="A454" s="82">
        <v>451</v>
      </c>
      <c r="B454" s="83" t="str">
        <f>_xlfn.XLOOKUP(A454,'TAZs by City - CCAG Model'!$A:$A,'TAZs by City - CCAG Model'!$B:$B,"Unknown")</f>
        <v>Los Altos Hills</v>
      </c>
      <c r="C454" s="82">
        <f>_xlfn.XLOOKUP(A454,'TAZs by City - CCAG Model'!$A:$A,'TAZs by City - CCAG Model'!$C:$C,999)</f>
        <v>3</v>
      </c>
      <c r="D454" s="82" t="str">
        <f t="shared" si="56"/>
        <v>NO</v>
      </c>
      <c r="E454" s="27">
        <v>5041.12</v>
      </c>
      <c r="F454" s="27">
        <v>3806.72</v>
      </c>
      <c r="G454" s="27">
        <v>0</v>
      </c>
      <c r="H454" s="27">
        <v>65.84</v>
      </c>
      <c r="I454" s="27">
        <v>105.92</v>
      </c>
      <c r="J454" s="27">
        <v>9029.74</v>
      </c>
      <c r="K454" s="47">
        <f t="shared" si="57"/>
        <v>0.55827964038831679</v>
      </c>
      <c r="L454" s="47">
        <f t="shared" si="58"/>
        <v>0.42157581502900415</v>
      </c>
      <c r="M454" s="84">
        <f t="shared" si="59"/>
        <v>0.979855455417321</v>
      </c>
      <c r="N454" s="47">
        <f t="shared" si="60"/>
        <v>0</v>
      </c>
      <c r="O454" s="47">
        <f t="shared" si="61"/>
        <v>7.2914613266827182E-3</v>
      </c>
      <c r="P454" s="47">
        <f t="shared" si="62"/>
        <v>1.1730127334784833E-2</v>
      </c>
      <c r="Q454" s="47">
        <f t="shared" si="63"/>
        <v>1</v>
      </c>
    </row>
    <row r="455" spans="1:17" x14ac:dyDescent="0.35">
      <c r="A455" s="82">
        <v>452</v>
      </c>
      <c r="B455" s="83" t="str">
        <f>_xlfn.XLOOKUP(A455,'TAZs by City - CCAG Model'!$A:$A,'TAZs by City - CCAG Model'!$B:$B,"Unknown")</f>
        <v>Los Altos Hills</v>
      </c>
      <c r="C455" s="82">
        <f>_xlfn.XLOOKUP(A455,'TAZs by City - CCAG Model'!$A:$A,'TAZs by City - CCAG Model'!$C:$C,999)</f>
        <v>3</v>
      </c>
      <c r="D455" s="82" t="str">
        <f t="shared" si="56"/>
        <v>NO</v>
      </c>
      <c r="E455" s="27">
        <v>14501.86</v>
      </c>
      <c r="F455" s="27">
        <v>4891.74</v>
      </c>
      <c r="G455" s="27">
        <v>1230.92</v>
      </c>
      <c r="H455" s="27">
        <v>1134.44</v>
      </c>
      <c r="I455" s="27">
        <v>41.78</v>
      </c>
      <c r="J455" s="27">
        <v>23064.639999999999</v>
      </c>
      <c r="K455" s="47">
        <f t="shared" si="57"/>
        <v>0.62874859525229965</v>
      </c>
      <c r="L455" s="47">
        <f t="shared" si="58"/>
        <v>0.21208828752584041</v>
      </c>
      <c r="M455" s="84">
        <f t="shared" si="59"/>
        <v>0.84083688277813995</v>
      </c>
      <c r="N455" s="47">
        <f t="shared" si="60"/>
        <v>5.3368272819345981E-2</v>
      </c>
      <c r="O455" s="47">
        <f t="shared" si="61"/>
        <v>4.9185246333781935E-2</v>
      </c>
      <c r="P455" s="47">
        <f t="shared" si="62"/>
        <v>1.8114308309169361E-3</v>
      </c>
      <c r="Q455" s="47">
        <f t="shared" si="63"/>
        <v>1</v>
      </c>
    </row>
    <row r="456" spans="1:17" x14ac:dyDescent="0.35">
      <c r="A456" s="82">
        <v>453</v>
      </c>
      <c r="B456" s="83" t="str">
        <f>_xlfn.XLOOKUP(A456,'TAZs by City - CCAG Model'!$A:$A,'TAZs by City - CCAG Model'!$B:$B,"Unknown")</f>
        <v>Los Altos Hills</v>
      </c>
      <c r="C456" s="82">
        <f>_xlfn.XLOOKUP(A456,'TAZs by City - CCAG Model'!$A:$A,'TAZs by City - CCAG Model'!$C:$C,999)</f>
        <v>3</v>
      </c>
      <c r="D456" s="82" t="str">
        <f t="shared" si="56"/>
        <v>NO</v>
      </c>
      <c r="E456" s="27">
        <v>2406.7800000000002</v>
      </c>
      <c r="F456" s="27">
        <v>1407.8</v>
      </c>
      <c r="G456" s="27">
        <v>0</v>
      </c>
      <c r="H456" s="27">
        <v>88.34</v>
      </c>
      <c r="I456" s="27">
        <v>130.30000000000001</v>
      </c>
      <c r="J456" s="27">
        <v>4061.42</v>
      </c>
      <c r="K456" s="47">
        <f t="shared" si="57"/>
        <v>0.59259569313195881</v>
      </c>
      <c r="L456" s="47">
        <f t="shared" si="58"/>
        <v>0.34662753421217207</v>
      </c>
      <c r="M456" s="84">
        <f t="shared" si="59"/>
        <v>0.93922322734413088</v>
      </c>
      <c r="N456" s="47">
        <f t="shared" si="60"/>
        <v>0</v>
      </c>
      <c r="O456" s="47">
        <f t="shared" si="61"/>
        <v>2.1751013192430235E-2</v>
      </c>
      <c r="P456" s="47">
        <f t="shared" si="62"/>
        <v>3.2082375129880686E-2</v>
      </c>
      <c r="Q456" s="47">
        <f t="shared" si="63"/>
        <v>1</v>
      </c>
    </row>
    <row r="457" spans="1:17" x14ac:dyDescent="0.35">
      <c r="A457" s="82">
        <v>454</v>
      </c>
      <c r="B457" s="83" t="str">
        <f>_xlfn.XLOOKUP(A457,'TAZs by City - CCAG Model'!$A:$A,'TAZs by City - CCAG Model'!$B:$B,"Unknown")</f>
        <v>Los Altos Hills</v>
      </c>
      <c r="C457" s="82">
        <f>_xlfn.XLOOKUP(A457,'TAZs by City - CCAG Model'!$A:$A,'TAZs by City - CCAG Model'!$C:$C,999)</f>
        <v>3</v>
      </c>
      <c r="D457" s="82" t="str">
        <f t="shared" si="56"/>
        <v>NO</v>
      </c>
      <c r="E457" s="27">
        <v>4985.32</v>
      </c>
      <c r="F457" s="27">
        <v>2421.46</v>
      </c>
      <c r="G457" s="27">
        <v>7.36</v>
      </c>
      <c r="H457" s="27">
        <v>196.06</v>
      </c>
      <c r="I457" s="27">
        <v>194.32</v>
      </c>
      <c r="J457" s="27">
        <v>7846.76</v>
      </c>
      <c r="K457" s="47">
        <f t="shared" si="57"/>
        <v>0.63533483883794073</v>
      </c>
      <c r="L457" s="47">
        <f t="shared" si="58"/>
        <v>0.30859361061125867</v>
      </c>
      <c r="M457" s="84">
        <f t="shared" si="59"/>
        <v>0.9439284494491994</v>
      </c>
      <c r="N457" s="47">
        <f t="shared" si="60"/>
        <v>9.3796675315671694E-4</v>
      </c>
      <c r="O457" s="47">
        <f t="shared" si="61"/>
        <v>2.4986108916291563E-2</v>
      </c>
      <c r="P457" s="47">
        <f t="shared" si="62"/>
        <v>2.4764361341496361E-2</v>
      </c>
      <c r="Q457" s="47">
        <f t="shared" si="63"/>
        <v>1</v>
      </c>
    </row>
    <row r="458" spans="1:17" x14ac:dyDescent="0.35">
      <c r="A458" s="82">
        <v>455</v>
      </c>
      <c r="B458" s="83" t="str">
        <f>_xlfn.XLOOKUP(A458,'TAZs by City - CCAG Model'!$A:$A,'TAZs by City - CCAG Model'!$B:$B,"Unknown")</f>
        <v>Los Altos Hills</v>
      </c>
      <c r="C458" s="82">
        <f>_xlfn.XLOOKUP(A458,'TAZs by City - CCAG Model'!$A:$A,'TAZs by City - CCAG Model'!$C:$C,999)</f>
        <v>3</v>
      </c>
      <c r="D458" s="82" t="str">
        <f t="shared" si="56"/>
        <v>NO</v>
      </c>
      <c r="E458" s="27">
        <v>3139.78</v>
      </c>
      <c r="F458" s="27">
        <v>1882.62</v>
      </c>
      <c r="G458" s="27">
        <v>174.72</v>
      </c>
      <c r="H458" s="27">
        <v>125.04</v>
      </c>
      <c r="I458" s="27">
        <v>226.08</v>
      </c>
      <c r="J458" s="27">
        <v>5760.34</v>
      </c>
      <c r="K458" s="47">
        <f t="shared" si="57"/>
        <v>0.54506852026095687</v>
      </c>
      <c r="L458" s="47">
        <f t="shared" si="58"/>
        <v>0.32682445827850437</v>
      </c>
      <c r="M458" s="84">
        <f t="shared" si="59"/>
        <v>0.87189297853946113</v>
      </c>
      <c r="N458" s="47">
        <f t="shared" si="60"/>
        <v>3.0331542929757618E-2</v>
      </c>
      <c r="O458" s="47">
        <f t="shared" si="61"/>
        <v>2.1707052014290823E-2</v>
      </c>
      <c r="P458" s="47">
        <f t="shared" si="62"/>
        <v>3.9247683296472081E-2</v>
      </c>
      <c r="Q458" s="47">
        <f t="shared" si="63"/>
        <v>1</v>
      </c>
    </row>
    <row r="459" spans="1:17" x14ac:dyDescent="0.35">
      <c r="A459" s="82">
        <v>456</v>
      </c>
      <c r="B459" s="83" t="str">
        <f>_xlfn.XLOOKUP(A459,'TAZs by City - CCAG Model'!$A:$A,'TAZs by City - CCAG Model'!$B:$B,"Unknown")</f>
        <v>Mountain View</v>
      </c>
      <c r="C459" s="82">
        <f>_xlfn.XLOOKUP(A459,'TAZs by City - CCAG Model'!$A:$A,'TAZs by City - CCAG Model'!$C:$C,999)</f>
        <v>3</v>
      </c>
      <c r="D459" s="82" t="str">
        <f t="shared" si="56"/>
        <v>NO</v>
      </c>
      <c r="E459" s="27">
        <v>9376.52</v>
      </c>
      <c r="F459" s="27">
        <v>3855.22</v>
      </c>
      <c r="G459" s="27">
        <v>209.68</v>
      </c>
      <c r="H459" s="27">
        <v>445.62</v>
      </c>
      <c r="I459" s="27">
        <v>487.36</v>
      </c>
      <c r="J459" s="27">
        <v>14622.1</v>
      </c>
      <c r="K459" s="47">
        <f t="shared" si="57"/>
        <v>0.64125672782979193</v>
      </c>
      <c r="L459" s="47">
        <f t="shared" si="58"/>
        <v>0.2636570670423537</v>
      </c>
      <c r="M459" s="84">
        <f t="shared" si="59"/>
        <v>0.90491379487214552</v>
      </c>
      <c r="N459" s="47">
        <f t="shared" si="60"/>
        <v>1.4339937491878731E-2</v>
      </c>
      <c r="O459" s="47">
        <f t="shared" si="61"/>
        <v>3.0475786651712133E-2</v>
      </c>
      <c r="P459" s="47">
        <f t="shared" si="62"/>
        <v>3.3330369782726146E-2</v>
      </c>
      <c r="Q459" s="47">
        <f t="shared" si="63"/>
        <v>1</v>
      </c>
    </row>
    <row r="460" spans="1:17" x14ac:dyDescent="0.35">
      <c r="A460" s="82">
        <v>457</v>
      </c>
      <c r="B460" s="83" t="str">
        <f>_xlfn.XLOOKUP(A460,'TAZs by City - CCAG Model'!$A:$A,'TAZs by City - CCAG Model'!$B:$B,"Unknown")</f>
        <v>Palo Alto</v>
      </c>
      <c r="C460" s="82">
        <f>_xlfn.XLOOKUP(A460,'TAZs by City - CCAG Model'!$A:$A,'TAZs by City - CCAG Model'!$C:$C,999)</f>
        <v>3</v>
      </c>
      <c r="D460" s="82" t="str">
        <f t="shared" si="56"/>
        <v>NO</v>
      </c>
      <c r="E460" s="27">
        <v>1850.64</v>
      </c>
      <c r="F460" s="27">
        <v>935.08</v>
      </c>
      <c r="G460" s="27">
        <v>400.16</v>
      </c>
      <c r="H460" s="27">
        <v>145.16</v>
      </c>
      <c r="I460" s="27">
        <v>290.83999999999997</v>
      </c>
      <c r="J460" s="27">
        <v>4073.68</v>
      </c>
      <c r="K460" s="47">
        <f t="shared" si="57"/>
        <v>0.45429194242061238</v>
      </c>
      <c r="L460" s="47">
        <f t="shared" si="58"/>
        <v>0.22954183931973057</v>
      </c>
      <c r="M460" s="84">
        <f t="shared" si="59"/>
        <v>0.68383378174034293</v>
      </c>
      <c r="N460" s="47">
        <f t="shared" si="60"/>
        <v>9.8230592486400509E-2</v>
      </c>
      <c r="O460" s="47">
        <f t="shared" si="61"/>
        <v>3.5633628561889986E-2</v>
      </c>
      <c r="P460" s="47">
        <f t="shared" si="62"/>
        <v>7.1394905834527997E-2</v>
      </c>
      <c r="Q460" s="47">
        <f t="shared" si="63"/>
        <v>1</v>
      </c>
    </row>
    <row r="461" spans="1:17" x14ac:dyDescent="0.35">
      <c r="A461" s="82">
        <v>458</v>
      </c>
      <c r="B461" s="83" t="str">
        <f>_xlfn.XLOOKUP(A461,'TAZs by City - CCAG Model'!$A:$A,'TAZs by City - CCAG Model'!$B:$B,"Unknown")</f>
        <v>Palo Alto</v>
      </c>
      <c r="C461" s="82">
        <f>_xlfn.XLOOKUP(A461,'TAZs by City - CCAG Model'!$A:$A,'TAZs by City - CCAG Model'!$C:$C,999)</f>
        <v>3</v>
      </c>
      <c r="D461" s="82" t="str">
        <f t="shared" si="56"/>
        <v>NO</v>
      </c>
      <c r="E461" s="27">
        <v>5543.78</v>
      </c>
      <c r="F461" s="27">
        <v>1837.1</v>
      </c>
      <c r="G461" s="27">
        <v>342.44</v>
      </c>
      <c r="H461" s="27">
        <v>287.26</v>
      </c>
      <c r="I461" s="27">
        <v>223.14</v>
      </c>
      <c r="J461" s="27">
        <v>8607.7800000000007</v>
      </c>
      <c r="K461" s="47">
        <f t="shared" si="57"/>
        <v>0.64404294719428234</v>
      </c>
      <c r="L461" s="47">
        <f t="shared" si="58"/>
        <v>0.21342320551872837</v>
      </c>
      <c r="M461" s="84">
        <f t="shared" si="59"/>
        <v>0.85746615271301063</v>
      </c>
      <c r="N461" s="47">
        <f t="shared" si="60"/>
        <v>3.9782615262007159E-2</v>
      </c>
      <c r="O461" s="47">
        <f t="shared" si="61"/>
        <v>3.3372135440264503E-2</v>
      </c>
      <c r="P461" s="47">
        <f t="shared" si="62"/>
        <v>2.5923060301262343E-2</v>
      </c>
      <c r="Q461" s="47">
        <f t="shared" si="63"/>
        <v>1</v>
      </c>
    </row>
    <row r="462" spans="1:17" x14ac:dyDescent="0.35">
      <c r="A462" s="82">
        <v>459</v>
      </c>
      <c r="B462" s="83" t="str">
        <f>_xlfn.XLOOKUP(A462,'TAZs by City - CCAG Model'!$A:$A,'TAZs by City - CCAG Model'!$B:$B,"Unknown")</f>
        <v>Unincorporated</v>
      </c>
      <c r="C462" s="82">
        <f>_xlfn.XLOOKUP(A462,'TAZs by City - CCAG Model'!$A:$A,'TAZs by City - CCAG Model'!$C:$C,999)</f>
        <v>3</v>
      </c>
      <c r="D462" s="82" t="str">
        <f t="shared" si="56"/>
        <v>NO</v>
      </c>
      <c r="E462" s="27">
        <v>393.66</v>
      </c>
      <c r="F462" s="27">
        <v>198.26</v>
      </c>
      <c r="G462" s="27">
        <v>236.36</v>
      </c>
      <c r="H462" s="27">
        <v>208.8</v>
      </c>
      <c r="I462" s="27">
        <v>81.12</v>
      </c>
      <c r="J462" s="27">
        <v>1386.3</v>
      </c>
      <c r="K462" s="47">
        <f t="shared" si="57"/>
        <v>0.28396450984635363</v>
      </c>
      <c r="L462" s="47">
        <f t="shared" si="58"/>
        <v>0.14301377768159851</v>
      </c>
      <c r="M462" s="84">
        <f t="shared" si="59"/>
        <v>0.42697828752795219</v>
      </c>
      <c r="N462" s="47">
        <f t="shared" si="60"/>
        <v>0.17049700641996685</v>
      </c>
      <c r="O462" s="47">
        <f t="shared" si="61"/>
        <v>0.15061674962129409</v>
      </c>
      <c r="P462" s="47">
        <f t="shared" si="62"/>
        <v>5.8515472841376329E-2</v>
      </c>
      <c r="Q462" s="47">
        <f t="shared" si="63"/>
        <v>1</v>
      </c>
    </row>
    <row r="463" spans="1:17" x14ac:dyDescent="0.35">
      <c r="A463" s="82">
        <v>460</v>
      </c>
      <c r="B463" s="83" t="str">
        <f>_xlfn.XLOOKUP(A463,'TAZs by City - CCAG Model'!$A:$A,'TAZs by City - CCAG Model'!$B:$B,"Unknown")</f>
        <v>Palo Alto</v>
      </c>
      <c r="C463" s="82">
        <f>_xlfn.XLOOKUP(A463,'TAZs by City - CCAG Model'!$A:$A,'TAZs by City - CCAG Model'!$C:$C,999)</f>
        <v>3</v>
      </c>
      <c r="D463" s="82" t="str">
        <f t="shared" si="56"/>
        <v>NO</v>
      </c>
      <c r="E463" s="27">
        <v>2585.2800000000002</v>
      </c>
      <c r="F463" s="27">
        <v>1529.36</v>
      </c>
      <c r="G463" s="27">
        <v>497.2</v>
      </c>
      <c r="H463" s="27">
        <v>181.14</v>
      </c>
      <c r="I463" s="27">
        <v>611.38</v>
      </c>
      <c r="J463" s="27">
        <v>5943.54</v>
      </c>
      <c r="K463" s="47">
        <f t="shared" si="57"/>
        <v>0.43497309684127644</v>
      </c>
      <c r="L463" s="47">
        <f t="shared" si="58"/>
        <v>0.25731466432462807</v>
      </c>
      <c r="M463" s="84">
        <f t="shared" si="59"/>
        <v>0.69228776116590451</v>
      </c>
      <c r="N463" s="47">
        <f t="shared" si="60"/>
        <v>8.3653849389421123E-2</v>
      </c>
      <c r="O463" s="47">
        <f t="shared" si="61"/>
        <v>3.0476786561544129E-2</v>
      </c>
      <c r="P463" s="47">
        <f t="shared" si="62"/>
        <v>0.10286462276690322</v>
      </c>
      <c r="Q463" s="47">
        <f t="shared" si="63"/>
        <v>1</v>
      </c>
    </row>
    <row r="464" spans="1:17" x14ac:dyDescent="0.35">
      <c r="A464" s="82">
        <v>461</v>
      </c>
      <c r="B464" s="83" t="str">
        <f>_xlfn.XLOOKUP(A464,'TAZs by City - CCAG Model'!$A:$A,'TAZs by City - CCAG Model'!$B:$B,"Unknown")</f>
        <v>Unincorporated</v>
      </c>
      <c r="C464" s="82">
        <f>_xlfn.XLOOKUP(A464,'TAZs by City - CCAG Model'!$A:$A,'TAZs by City - CCAG Model'!$C:$C,999)</f>
        <v>3</v>
      </c>
      <c r="D464" s="82" t="str">
        <f t="shared" si="56"/>
        <v>NO</v>
      </c>
      <c r="E464" s="27">
        <v>6048.04</v>
      </c>
      <c r="F464" s="27">
        <v>2720.14</v>
      </c>
      <c r="G464" s="27">
        <v>1827.4</v>
      </c>
      <c r="H464" s="27">
        <v>1956.94</v>
      </c>
      <c r="I464" s="27">
        <v>1207.76</v>
      </c>
      <c r="J464" s="27">
        <v>15625.76</v>
      </c>
      <c r="K464" s="47">
        <f t="shared" si="57"/>
        <v>0.38705573360911727</v>
      </c>
      <c r="L464" s="47">
        <f t="shared" si="58"/>
        <v>0.17408049272483386</v>
      </c>
      <c r="M464" s="84">
        <f t="shared" si="59"/>
        <v>0.5611362263339511</v>
      </c>
      <c r="N464" s="47">
        <f t="shared" si="60"/>
        <v>0.11694791165357718</v>
      </c>
      <c r="O464" s="47">
        <f t="shared" si="61"/>
        <v>0.12523806842035204</v>
      </c>
      <c r="P464" s="47">
        <f t="shared" si="62"/>
        <v>7.7292880474293724E-2</v>
      </c>
      <c r="Q464" s="47">
        <f t="shared" si="63"/>
        <v>1</v>
      </c>
    </row>
    <row r="465" spans="1:17" x14ac:dyDescent="0.35">
      <c r="A465" s="82">
        <v>462</v>
      </c>
      <c r="B465" s="83" t="str">
        <f>_xlfn.XLOOKUP(A465,'TAZs by City - CCAG Model'!$A:$A,'TAZs by City - CCAG Model'!$B:$B,"Unknown")</f>
        <v>Unincorporated</v>
      </c>
      <c r="C465" s="82">
        <f>_xlfn.XLOOKUP(A465,'TAZs by City - CCAG Model'!$A:$A,'TAZs by City - CCAG Model'!$C:$C,999)</f>
        <v>3</v>
      </c>
      <c r="D465" s="82" t="str">
        <f t="shared" si="56"/>
        <v>NO</v>
      </c>
      <c r="E465" s="27">
        <v>1238.44</v>
      </c>
      <c r="F465" s="27">
        <v>1337.72</v>
      </c>
      <c r="G465" s="27">
        <v>1036.96</v>
      </c>
      <c r="H465" s="27">
        <v>834.24</v>
      </c>
      <c r="I465" s="27">
        <v>423.16</v>
      </c>
      <c r="J465" s="27">
        <v>5950.12</v>
      </c>
      <c r="K465" s="47">
        <f t="shared" si="57"/>
        <v>0.20813697875000842</v>
      </c>
      <c r="L465" s="47">
        <f t="shared" si="58"/>
        <v>0.22482235652390203</v>
      </c>
      <c r="M465" s="84">
        <f t="shared" si="59"/>
        <v>0.43295933527391045</v>
      </c>
      <c r="N465" s="47">
        <f t="shared" si="60"/>
        <v>0.17427547679710662</v>
      </c>
      <c r="O465" s="47">
        <f t="shared" si="61"/>
        <v>0.14020557568586853</v>
      </c>
      <c r="P465" s="47">
        <f t="shared" si="62"/>
        <v>7.1117893420636902E-2</v>
      </c>
      <c r="Q465" s="47">
        <f t="shared" si="63"/>
        <v>1</v>
      </c>
    </row>
    <row r="466" spans="1:17" x14ac:dyDescent="0.35">
      <c r="A466" s="82">
        <v>463</v>
      </c>
      <c r="B466" s="83" t="str">
        <f>_xlfn.XLOOKUP(A466,'TAZs by City - CCAG Model'!$A:$A,'TAZs by City - CCAG Model'!$B:$B,"Unknown")</f>
        <v>Unincorporated</v>
      </c>
      <c r="C466" s="82">
        <f>_xlfn.XLOOKUP(A466,'TAZs by City - CCAG Model'!$A:$A,'TAZs by City - CCAG Model'!$C:$C,999)</f>
        <v>3</v>
      </c>
      <c r="D466" s="82" t="str">
        <f t="shared" si="56"/>
        <v>NO</v>
      </c>
      <c r="E466" s="27">
        <v>0.72</v>
      </c>
      <c r="F466" s="27">
        <v>0</v>
      </c>
      <c r="G466" s="27">
        <v>0</v>
      </c>
      <c r="H466" s="27">
        <v>0.46</v>
      </c>
      <c r="I466" s="27">
        <v>0.02</v>
      </c>
      <c r="J466" s="27">
        <v>2.7</v>
      </c>
      <c r="K466" s="47">
        <f t="shared" si="57"/>
        <v>0.26666666666666666</v>
      </c>
      <c r="L466" s="47">
        <f t="shared" si="58"/>
        <v>0</v>
      </c>
      <c r="M466" s="84">
        <f t="shared" si="59"/>
        <v>0.26666666666666666</v>
      </c>
      <c r="N466" s="47">
        <f t="shared" si="60"/>
        <v>0</v>
      </c>
      <c r="O466" s="47">
        <f t="shared" si="61"/>
        <v>0.17037037037037037</v>
      </c>
      <c r="P466" s="47">
        <f t="shared" si="62"/>
        <v>7.4074074074074068E-3</v>
      </c>
      <c r="Q466" s="47">
        <f t="shared" si="63"/>
        <v>1</v>
      </c>
    </row>
    <row r="467" spans="1:17" x14ac:dyDescent="0.35">
      <c r="A467" s="82">
        <v>464</v>
      </c>
      <c r="B467" s="83" t="str">
        <f>_xlfn.XLOOKUP(A467,'TAZs by City - CCAG Model'!$A:$A,'TAZs by City - CCAG Model'!$B:$B,"Unknown")</f>
        <v>Unincorporated</v>
      </c>
      <c r="C467" s="82">
        <f>_xlfn.XLOOKUP(A467,'TAZs by City - CCAG Model'!$A:$A,'TAZs by City - CCAG Model'!$C:$C,999)</f>
        <v>3</v>
      </c>
      <c r="D467" s="82" t="str">
        <f t="shared" si="56"/>
        <v>NO</v>
      </c>
      <c r="E467" s="27">
        <v>3.68</v>
      </c>
      <c r="F467" s="27">
        <v>0.56000000000000005</v>
      </c>
      <c r="G467" s="27">
        <v>1.36</v>
      </c>
      <c r="H467" s="27">
        <v>1.02</v>
      </c>
      <c r="I467" s="27">
        <v>0.3</v>
      </c>
      <c r="J467" s="27">
        <v>12.72</v>
      </c>
      <c r="K467" s="47">
        <f t="shared" si="57"/>
        <v>0.28930817610062892</v>
      </c>
      <c r="L467" s="47">
        <f t="shared" si="58"/>
        <v>4.4025157232704407E-2</v>
      </c>
      <c r="M467" s="84">
        <f t="shared" si="59"/>
        <v>0.33333333333333331</v>
      </c>
      <c r="N467" s="47">
        <f t="shared" si="60"/>
        <v>0.1069182389937107</v>
      </c>
      <c r="O467" s="47">
        <f t="shared" si="61"/>
        <v>8.0188679245283015E-2</v>
      </c>
      <c r="P467" s="47">
        <f t="shared" si="62"/>
        <v>2.3584905660377357E-2</v>
      </c>
      <c r="Q467" s="47">
        <f t="shared" si="63"/>
        <v>1</v>
      </c>
    </row>
    <row r="468" spans="1:17" x14ac:dyDescent="0.35">
      <c r="A468" s="82">
        <v>465</v>
      </c>
      <c r="B468" s="83" t="str">
        <f>_xlfn.XLOOKUP(A468,'TAZs by City - CCAG Model'!$A:$A,'TAZs by City - CCAG Model'!$B:$B,"Unknown")</f>
        <v>Palo Alto</v>
      </c>
      <c r="C468" s="82">
        <f>_xlfn.XLOOKUP(A468,'TAZs by City - CCAG Model'!$A:$A,'TAZs by City - CCAG Model'!$C:$C,999)</f>
        <v>3</v>
      </c>
      <c r="D468" s="82" t="str">
        <f t="shared" si="56"/>
        <v>NO</v>
      </c>
      <c r="E468" s="27">
        <v>1457.5</v>
      </c>
      <c r="F468" s="27">
        <v>929.38</v>
      </c>
      <c r="G468" s="27">
        <v>437.4</v>
      </c>
      <c r="H468" s="27">
        <v>123.02</v>
      </c>
      <c r="I468" s="27">
        <v>313.33999999999997</v>
      </c>
      <c r="J468" s="27">
        <v>3729.58</v>
      </c>
      <c r="K468" s="47">
        <f t="shared" si="57"/>
        <v>0.39079467393111289</v>
      </c>
      <c r="L468" s="47">
        <f t="shared" si="58"/>
        <v>0.24919159798154217</v>
      </c>
      <c r="M468" s="84">
        <f t="shared" si="59"/>
        <v>0.63998627191265511</v>
      </c>
      <c r="N468" s="47">
        <f t="shared" si="60"/>
        <v>0.11727862118522729</v>
      </c>
      <c r="O468" s="47">
        <f t="shared" si="61"/>
        <v>3.2984947366727621E-2</v>
      </c>
      <c r="P468" s="47">
        <f t="shared" si="62"/>
        <v>8.4014822044305257E-2</v>
      </c>
      <c r="Q468" s="47">
        <f t="shared" si="63"/>
        <v>1</v>
      </c>
    </row>
    <row r="469" spans="1:17" x14ac:dyDescent="0.35">
      <c r="A469" s="82">
        <v>466</v>
      </c>
      <c r="B469" s="83" t="str">
        <f>_xlfn.XLOOKUP(A469,'TAZs by City - CCAG Model'!$A:$A,'TAZs by City - CCAG Model'!$B:$B,"Unknown")</f>
        <v>Palo Alto</v>
      </c>
      <c r="C469" s="82">
        <f>_xlfn.XLOOKUP(A469,'TAZs by City - CCAG Model'!$A:$A,'TAZs by City - CCAG Model'!$C:$C,999)</f>
        <v>3</v>
      </c>
      <c r="D469" s="82" t="str">
        <f t="shared" si="56"/>
        <v>NO</v>
      </c>
      <c r="E469" s="27">
        <v>10418.36</v>
      </c>
      <c r="F469" s="27">
        <v>4953.8599999999997</v>
      </c>
      <c r="G469" s="27">
        <v>2459.1999999999998</v>
      </c>
      <c r="H469" s="27">
        <v>761.8</v>
      </c>
      <c r="I469" s="27">
        <v>1988.36</v>
      </c>
      <c r="J469" s="27">
        <v>23067.62</v>
      </c>
      <c r="K469" s="47">
        <f t="shared" si="57"/>
        <v>0.45164433955475253</v>
      </c>
      <c r="L469" s="47">
        <f t="shared" si="58"/>
        <v>0.21475384109847484</v>
      </c>
      <c r="M469" s="84">
        <f t="shared" si="59"/>
        <v>0.66639818065322742</v>
      </c>
      <c r="N469" s="47">
        <f t="shared" si="60"/>
        <v>0.10660831069698565</v>
      </c>
      <c r="O469" s="47">
        <f t="shared" si="61"/>
        <v>3.3024646669227255E-2</v>
      </c>
      <c r="P469" s="47">
        <f t="shared" si="62"/>
        <v>8.6197015556871495E-2</v>
      </c>
      <c r="Q469" s="47">
        <f t="shared" si="63"/>
        <v>1</v>
      </c>
    </row>
    <row r="470" spans="1:17" x14ac:dyDescent="0.35">
      <c r="A470" s="82">
        <v>467</v>
      </c>
      <c r="B470" s="83" t="str">
        <f>_xlfn.XLOOKUP(A470,'TAZs by City - CCAG Model'!$A:$A,'TAZs by City - CCAG Model'!$B:$B,"Unknown")</f>
        <v>Palo Alto</v>
      </c>
      <c r="C470" s="82">
        <f>_xlfn.XLOOKUP(A470,'TAZs by City - CCAG Model'!$A:$A,'TAZs by City - CCAG Model'!$C:$C,999)</f>
        <v>3</v>
      </c>
      <c r="D470" s="82" t="str">
        <f t="shared" si="56"/>
        <v>NO</v>
      </c>
      <c r="E470" s="27">
        <v>4909.82</v>
      </c>
      <c r="F470" s="27">
        <v>2451.36</v>
      </c>
      <c r="G470" s="27">
        <v>507.42</v>
      </c>
      <c r="H470" s="27">
        <v>328.98</v>
      </c>
      <c r="I470" s="27">
        <v>1432.68</v>
      </c>
      <c r="J470" s="27">
        <v>10185.56</v>
      </c>
      <c r="K470" s="47">
        <f t="shared" si="57"/>
        <v>0.4820373155722415</v>
      </c>
      <c r="L470" s="47">
        <f t="shared" si="58"/>
        <v>0.24067012515757605</v>
      </c>
      <c r="M470" s="84">
        <f t="shared" si="59"/>
        <v>0.72270744072981752</v>
      </c>
      <c r="N470" s="47">
        <f t="shared" si="60"/>
        <v>4.981758489469406E-2</v>
      </c>
      <c r="O470" s="47">
        <f t="shared" si="61"/>
        <v>3.2298665954547424E-2</v>
      </c>
      <c r="P470" s="47">
        <f t="shared" si="62"/>
        <v>0.14065795106012827</v>
      </c>
      <c r="Q470" s="47">
        <f t="shared" si="63"/>
        <v>1</v>
      </c>
    </row>
    <row r="471" spans="1:17" x14ac:dyDescent="0.35">
      <c r="A471" s="82">
        <v>468</v>
      </c>
      <c r="B471" s="83" t="str">
        <f>_xlfn.XLOOKUP(A471,'TAZs by City - CCAG Model'!$A:$A,'TAZs by City - CCAG Model'!$B:$B,"Unknown")</f>
        <v>Palo Alto</v>
      </c>
      <c r="C471" s="82">
        <f>_xlfn.XLOOKUP(A471,'TAZs by City - CCAG Model'!$A:$A,'TAZs by City - CCAG Model'!$C:$C,999)</f>
        <v>3</v>
      </c>
      <c r="D471" s="82" t="str">
        <f t="shared" si="56"/>
        <v>NO</v>
      </c>
      <c r="E471" s="27">
        <v>1808.76</v>
      </c>
      <c r="F471" s="27">
        <v>1220.68</v>
      </c>
      <c r="G471" s="27">
        <v>251.18</v>
      </c>
      <c r="H471" s="27">
        <v>89.02</v>
      </c>
      <c r="I471" s="27">
        <v>434.96</v>
      </c>
      <c r="J471" s="27">
        <v>4086.46</v>
      </c>
      <c r="K471" s="47">
        <f t="shared" si="57"/>
        <v>0.44262271012074017</v>
      </c>
      <c r="L471" s="47">
        <f t="shared" si="58"/>
        <v>0.29871331176617416</v>
      </c>
      <c r="M471" s="84">
        <f t="shared" si="59"/>
        <v>0.74133602188691439</v>
      </c>
      <c r="N471" s="47">
        <f t="shared" si="60"/>
        <v>6.1466403684362507E-2</v>
      </c>
      <c r="O471" s="47">
        <f t="shared" si="61"/>
        <v>2.1784135902468148E-2</v>
      </c>
      <c r="P471" s="47">
        <f t="shared" si="62"/>
        <v>0.10643931422306838</v>
      </c>
      <c r="Q471" s="47">
        <f t="shared" si="63"/>
        <v>1</v>
      </c>
    </row>
    <row r="472" spans="1:17" x14ac:dyDescent="0.35">
      <c r="A472" s="82">
        <v>469</v>
      </c>
      <c r="B472" s="83" t="str">
        <f>_xlfn.XLOOKUP(A472,'TAZs by City - CCAG Model'!$A:$A,'TAZs by City - CCAG Model'!$B:$B,"Unknown")</f>
        <v>Palo Alto</v>
      </c>
      <c r="C472" s="82">
        <f>_xlfn.XLOOKUP(A472,'TAZs by City - CCAG Model'!$A:$A,'TAZs by City - CCAG Model'!$C:$C,999)</f>
        <v>3</v>
      </c>
      <c r="D472" s="82" t="str">
        <f t="shared" si="56"/>
        <v>NO</v>
      </c>
      <c r="E472" s="27">
        <v>3230.7</v>
      </c>
      <c r="F472" s="27">
        <v>2138.2600000000002</v>
      </c>
      <c r="G472" s="27">
        <v>585.96</v>
      </c>
      <c r="H472" s="27">
        <v>194.74</v>
      </c>
      <c r="I472" s="27">
        <v>1085.6400000000001</v>
      </c>
      <c r="J472" s="27">
        <v>7855.32</v>
      </c>
      <c r="K472" s="47">
        <f t="shared" si="57"/>
        <v>0.41127541589648797</v>
      </c>
      <c r="L472" s="47">
        <f t="shared" si="58"/>
        <v>0.27220533345554354</v>
      </c>
      <c r="M472" s="84">
        <f t="shared" si="59"/>
        <v>0.68348074935203151</v>
      </c>
      <c r="N472" s="47">
        <f t="shared" si="60"/>
        <v>7.4594033088403788E-2</v>
      </c>
      <c r="O472" s="47">
        <f t="shared" si="61"/>
        <v>2.4790842384524121E-2</v>
      </c>
      <c r="P472" s="47">
        <f t="shared" si="62"/>
        <v>0.13820442706344238</v>
      </c>
      <c r="Q472" s="47">
        <f t="shared" si="63"/>
        <v>1</v>
      </c>
    </row>
    <row r="473" spans="1:17" x14ac:dyDescent="0.35">
      <c r="A473" s="82">
        <v>470</v>
      </c>
      <c r="B473" s="83" t="str">
        <f>_xlfn.XLOOKUP(A473,'TAZs by City - CCAG Model'!$A:$A,'TAZs by City - CCAG Model'!$B:$B,"Unknown")</f>
        <v>Palo Alto</v>
      </c>
      <c r="C473" s="82">
        <f>_xlfn.XLOOKUP(A473,'TAZs by City - CCAG Model'!$A:$A,'TAZs by City - CCAG Model'!$C:$C,999)</f>
        <v>3</v>
      </c>
      <c r="D473" s="82" t="str">
        <f t="shared" si="56"/>
        <v>NO</v>
      </c>
      <c r="E473" s="27">
        <v>564.54</v>
      </c>
      <c r="F473" s="27">
        <v>357.38</v>
      </c>
      <c r="G473" s="27">
        <v>90.66</v>
      </c>
      <c r="H473" s="27">
        <v>37.799999999999997</v>
      </c>
      <c r="I473" s="27">
        <v>253.56</v>
      </c>
      <c r="J473" s="27">
        <v>1421.56</v>
      </c>
      <c r="K473" s="47">
        <f t="shared" si="57"/>
        <v>0.39712709980584709</v>
      </c>
      <c r="L473" s="47">
        <f t="shared" si="58"/>
        <v>0.25139987056473173</v>
      </c>
      <c r="M473" s="84">
        <f t="shared" si="59"/>
        <v>0.64852697037057883</v>
      </c>
      <c r="N473" s="47">
        <f t="shared" si="60"/>
        <v>6.3775007737977993E-2</v>
      </c>
      <c r="O473" s="47">
        <f t="shared" si="61"/>
        <v>2.6590506204451445E-2</v>
      </c>
      <c r="P473" s="47">
        <f t="shared" si="62"/>
        <v>0.17836742733335209</v>
      </c>
      <c r="Q473" s="47">
        <f t="shared" si="63"/>
        <v>1</v>
      </c>
    </row>
    <row r="474" spans="1:17" x14ac:dyDescent="0.35">
      <c r="A474" s="82">
        <v>471</v>
      </c>
      <c r="B474" s="83" t="str">
        <f>_xlfn.XLOOKUP(A474,'TAZs by City - CCAG Model'!$A:$A,'TAZs by City - CCAG Model'!$B:$B,"Unknown")</f>
        <v>Palo Alto</v>
      </c>
      <c r="C474" s="82">
        <f>_xlfn.XLOOKUP(A474,'TAZs by City - CCAG Model'!$A:$A,'TAZs by City - CCAG Model'!$C:$C,999)</f>
        <v>3</v>
      </c>
      <c r="D474" s="82" t="str">
        <f t="shared" si="56"/>
        <v>NO</v>
      </c>
      <c r="E474" s="27">
        <v>1638.28</v>
      </c>
      <c r="F474" s="27">
        <v>997.42</v>
      </c>
      <c r="G474" s="27">
        <v>372.82</v>
      </c>
      <c r="H474" s="27">
        <v>105.16</v>
      </c>
      <c r="I474" s="27">
        <v>684.76</v>
      </c>
      <c r="J474" s="27">
        <v>4205.78</v>
      </c>
      <c r="K474" s="47">
        <f t="shared" si="57"/>
        <v>0.38953059836700921</v>
      </c>
      <c r="L474" s="47">
        <f t="shared" si="58"/>
        <v>0.23715458250312665</v>
      </c>
      <c r="M474" s="84">
        <f t="shared" si="59"/>
        <v>0.62668518087013581</v>
      </c>
      <c r="N474" s="47">
        <f t="shared" si="60"/>
        <v>8.8644674709566357E-2</v>
      </c>
      <c r="O474" s="47">
        <f t="shared" si="61"/>
        <v>2.5003685404372079E-2</v>
      </c>
      <c r="P474" s="47">
        <f t="shared" si="62"/>
        <v>0.16281403211770468</v>
      </c>
      <c r="Q474" s="47">
        <f t="shared" si="63"/>
        <v>1</v>
      </c>
    </row>
    <row r="475" spans="1:17" x14ac:dyDescent="0.35">
      <c r="A475" s="82">
        <v>472</v>
      </c>
      <c r="B475" s="83" t="str">
        <f>_xlfn.XLOOKUP(A475,'TAZs by City - CCAG Model'!$A:$A,'TAZs by City - CCAG Model'!$B:$B,"Unknown")</f>
        <v>Palo Alto</v>
      </c>
      <c r="C475" s="82">
        <f>_xlfn.XLOOKUP(A475,'TAZs by City - CCAG Model'!$A:$A,'TAZs by City - CCAG Model'!$C:$C,999)</f>
        <v>3</v>
      </c>
      <c r="D475" s="82" t="str">
        <f t="shared" si="56"/>
        <v>NO</v>
      </c>
      <c r="E475" s="27">
        <v>5258.28</v>
      </c>
      <c r="F475" s="27">
        <v>2747.26</v>
      </c>
      <c r="G475" s="27">
        <v>501.56</v>
      </c>
      <c r="H475" s="27">
        <v>304.36</v>
      </c>
      <c r="I475" s="27">
        <v>799.68</v>
      </c>
      <c r="J475" s="27">
        <v>10159.98</v>
      </c>
      <c r="K475" s="47">
        <f t="shared" si="57"/>
        <v>0.51754826289028133</v>
      </c>
      <c r="L475" s="47">
        <f t="shared" si="58"/>
        <v>0.27040013858294998</v>
      </c>
      <c r="M475" s="84">
        <f t="shared" si="59"/>
        <v>0.78794840147323131</v>
      </c>
      <c r="N475" s="47">
        <f t="shared" si="60"/>
        <v>4.9366238909919119E-2</v>
      </c>
      <c r="O475" s="47">
        <f t="shared" si="61"/>
        <v>2.9956751883369853E-2</v>
      </c>
      <c r="P475" s="47">
        <f t="shared" si="62"/>
        <v>7.8708816355937711E-2</v>
      </c>
      <c r="Q475" s="47">
        <f t="shared" si="63"/>
        <v>1</v>
      </c>
    </row>
    <row r="476" spans="1:17" x14ac:dyDescent="0.35">
      <c r="A476" s="82">
        <v>473</v>
      </c>
      <c r="B476" s="83" t="str">
        <f>_xlfn.XLOOKUP(A476,'TAZs by City - CCAG Model'!$A:$A,'TAZs by City - CCAG Model'!$B:$B,"Unknown")</f>
        <v>Palo Alto</v>
      </c>
      <c r="C476" s="82">
        <f>_xlfn.XLOOKUP(A476,'TAZs by City - CCAG Model'!$A:$A,'TAZs by City - CCAG Model'!$C:$C,999)</f>
        <v>3</v>
      </c>
      <c r="D476" s="82" t="str">
        <f t="shared" si="56"/>
        <v>NO</v>
      </c>
      <c r="E476" s="27">
        <v>8491.4599999999991</v>
      </c>
      <c r="F476" s="27">
        <v>3612.66</v>
      </c>
      <c r="G476" s="27">
        <v>246.12</v>
      </c>
      <c r="H476" s="27">
        <v>498.88</v>
      </c>
      <c r="I476" s="27">
        <v>491.3</v>
      </c>
      <c r="J476" s="27">
        <v>13623.6</v>
      </c>
      <c r="K476" s="47">
        <f t="shared" si="57"/>
        <v>0.62329046654335118</v>
      </c>
      <c r="L476" s="47">
        <f t="shared" si="58"/>
        <v>0.26517660530256321</v>
      </c>
      <c r="M476" s="84">
        <f t="shared" si="59"/>
        <v>0.88846707184591434</v>
      </c>
      <c r="N476" s="47">
        <f t="shared" si="60"/>
        <v>1.8065709504095834E-2</v>
      </c>
      <c r="O476" s="47">
        <f t="shared" si="61"/>
        <v>3.6618808538125019E-2</v>
      </c>
      <c r="P476" s="47">
        <f t="shared" si="62"/>
        <v>3.6062421092809535E-2</v>
      </c>
      <c r="Q476" s="47">
        <f t="shared" si="63"/>
        <v>1</v>
      </c>
    </row>
    <row r="477" spans="1:17" x14ac:dyDescent="0.35">
      <c r="A477" s="82">
        <v>474</v>
      </c>
      <c r="B477" s="83" t="str">
        <f>_xlfn.XLOOKUP(A477,'TAZs by City - CCAG Model'!$A:$A,'TAZs by City - CCAG Model'!$B:$B,"Unknown")</f>
        <v>Palo Alto</v>
      </c>
      <c r="C477" s="82">
        <f>_xlfn.XLOOKUP(A477,'TAZs by City - CCAG Model'!$A:$A,'TAZs by City - CCAG Model'!$C:$C,999)</f>
        <v>3</v>
      </c>
      <c r="D477" s="82" t="str">
        <f t="shared" si="56"/>
        <v>NO</v>
      </c>
      <c r="E477" s="27">
        <v>2163.7800000000002</v>
      </c>
      <c r="F477" s="27">
        <v>1493.08</v>
      </c>
      <c r="G477" s="27">
        <v>137.6</v>
      </c>
      <c r="H477" s="27">
        <v>131.96</v>
      </c>
      <c r="I477" s="27">
        <v>761.82</v>
      </c>
      <c r="J477" s="27">
        <v>4865.3599999999997</v>
      </c>
      <c r="K477" s="47">
        <f t="shared" si="57"/>
        <v>0.4447317361921832</v>
      </c>
      <c r="L477" s="47">
        <f t="shared" si="58"/>
        <v>0.30687965535952122</v>
      </c>
      <c r="M477" s="84">
        <f t="shared" si="59"/>
        <v>0.75161139155170442</v>
      </c>
      <c r="N477" s="47">
        <f t="shared" si="60"/>
        <v>2.8281566009503923E-2</v>
      </c>
      <c r="O477" s="47">
        <f t="shared" si="61"/>
        <v>2.7122350658532978E-2</v>
      </c>
      <c r="P477" s="47">
        <f t="shared" si="62"/>
        <v>0.15658039692849041</v>
      </c>
      <c r="Q477" s="47">
        <f t="shared" si="63"/>
        <v>1</v>
      </c>
    </row>
    <row r="478" spans="1:17" x14ac:dyDescent="0.35">
      <c r="A478" s="82">
        <v>475</v>
      </c>
      <c r="B478" s="83" t="str">
        <f>_xlfn.XLOOKUP(A478,'TAZs by City - CCAG Model'!$A:$A,'TAZs by City - CCAG Model'!$B:$B,"Unknown")</f>
        <v>Palo Alto</v>
      </c>
      <c r="C478" s="82">
        <f>_xlfn.XLOOKUP(A478,'TAZs by City - CCAG Model'!$A:$A,'TAZs by City - CCAG Model'!$C:$C,999)</f>
        <v>3</v>
      </c>
      <c r="D478" s="82" t="str">
        <f t="shared" si="56"/>
        <v>NO</v>
      </c>
      <c r="E478" s="27">
        <v>5427.92</v>
      </c>
      <c r="F478" s="27">
        <v>3302.08</v>
      </c>
      <c r="G478" s="27">
        <v>724.6</v>
      </c>
      <c r="H478" s="27">
        <v>371.9</v>
      </c>
      <c r="I478" s="27">
        <v>2044.52</v>
      </c>
      <c r="J478" s="27">
        <v>12644.96</v>
      </c>
      <c r="K478" s="47">
        <f t="shared" si="57"/>
        <v>0.4292556085586669</v>
      </c>
      <c r="L478" s="47">
        <f t="shared" si="58"/>
        <v>0.26113803444218092</v>
      </c>
      <c r="M478" s="84">
        <f t="shared" si="59"/>
        <v>0.69039364300084782</v>
      </c>
      <c r="N478" s="47">
        <f t="shared" si="60"/>
        <v>5.7303463197985606E-2</v>
      </c>
      <c r="O478" s="47">
        <f t="shared" si="61"/>
        <v>2.9410927357619163E-2</v>
      </c>
      <c r="P478" s="47">
        <f t="shared" si="62"/>
        <v>0.16168655337778848</v>
      </c>
      <c r="Q478" s="47">
        <f t="shared" si="63"/>
        <v>1</v>
      </c>
    </row>
    <row r="479" spans="1:17" x14ac:dyDescent="0.35">
      <c r="A479" s="82">
        <v>476</v>
      </c>
      <c r="B479" s="83" t="str">
        <f>_xlfn.XLOOKUP(A479,'TAZs by City - CCAG Model'!$A:$A,'TAZs by City - CCAG Model'!$B:$B,"Unknown")</f>
        <v>Palo Alto</v>
      </c>
      <c r="C479" s="82">
        <f>_xlfn.XLOOKUP(A479,'TAZs by City - CCAG Model'!$A:$A,'TAZs by City - CCAG Model'!$C:$C,999)</f>
        <v>3</v>
      </c>
      <c r="D479" s="82" t="str">
        <f t="shared" si="56"/>
        <v>NO</v>
      </c>
      <c r="E479" s="27">
        <v>499.14</v>
      </c>
      <c r="F479" s="27">
        <v>339.5</v>
      </c>
      <c r="G479" s="27">
        <v>48.32</v>
      </c>
      <c r="H479" s="27">
        <v>17.38</v>
      </c>
      <c r="I479" s="27">
        <v>50.16</v>
      </c>
      <c r="J479" s="27">
        <v>1030.6600000000001</v>
      </c>
      <c r="K479" s="47">
        <f t="shared" si="57"/>
        <v>0.48429161896260642</v>
      </c>
      <c r="L479" s="47">
        <f t="shared" si="58"/>
        <v>0.32940057827023456</v>
      </c>
      <c r="M479" s="84">
        <f t="shared" si="59"/>
        <v>0.81369219723284103</v>
      </c>
      <c r="N479" s="47">
        <f t="shared" si="60"/>
        <v>4.6882580094308499E-2</v>
      </c>
      <c r="O479" s="47">
        <f t="shared" si="61"/>
        <v>1.6862981002464437E-2</v>
      </c>
      <c r="P479" s="47">
        <f t="shared" si="62"/>
        <v>4.8667843905846733E-2</v>
      </c>
      <c r="Q479" s="47">
        <f t="shared" si="63"/>
        <v>1</v>
      </c>
    </row>
    <row r="480" spans="1:17" x14ac:dyDescent="0.35">
      <c r="A480" s="82">
        <v>477</v>
      </c>
      <c r="B480" s="83" t="str">
        <f>_xlfn.XLOOKUP(A480,'TAZs by City - CCAG Model'!$A:$A,'TAZs by City - CCAG Model'!$B:$B,"Unknown")</f>
        <v>Palo Alto</v>
      </c>
      <c r="C480" s="82">
        <f>_xlfn.XLOOKUP(A480,'TAZs by City - CCAG Model'!$A:$A,'TAZs by City - CCAG Model'!$C:$C,999)</f>
        <v>3</v>
      </c>
      <c r="D480" s="82" t="str">
        <f t="shared" si="56"/>
        <v>NO</v>
      </c>
      <c r="E480" s="27">
        <v>2897.76</v>
      </c>
      <c r="F480" s="27">
        <v>810.22</v>
      </c>
      <c r="G480" s="27">
        <v>53</v>
      </c>
      <c r="H480" s="27">
        <v>178.92</v>
      </c>
      <c r="I480" s="27">
        <v>72.099999999999994</v>
      </c>
      <c r="J480" s="27">
        <v>4106.72</v>
      </c>
      <c r="K480" s="47">
        <f t="shared" si="57"/>
        <v>0.7056142128024312</v>
      </c>
      <c r="L480" s="47">
        <f t="shared" si="58"/>
        <v>0.19729126894455914</v>
      </c>
      <c r="M480" s="84">
        <f t="shared" si="59"/>
        <v>0.90290548174699037</v>
      </c>
      <c r="N480" s="47">
        <f t="shared" si="60"/>
        <v>1.2905676549655198E-2</v>
      </c>
      <c r="O480" s="47">
        <f t="shared" si="61"/>
        <v>4.3567616004986945E-2</v>
      </c>
      <c r="P480" s="47">
        <f t="shared" si="62"/>
        <v>1.7556590174153581E-2</v>
      </c>
      <c r="Q480" s="47">
        <f t="shared" si="63"/>
        <v>1</v>
      </c>
    </row>
    <row r="481" spans="1:17" x14ac:dyDescent="0.35">
      <c r="A481" s="82">
        <v>478</v>
      </c>
      <c r="B481" s="83" t="str">
        <f>_xlfn.XLOOKUP(A481,'TAZs by City - CCAG Model'!$A:$A,'TAZs by City - CCAG Model'!$B:$B,"Unknown")</f>
        <v>Unincorporated</v>
      </c>
      <c r="C481" s="82">
        <f>_xlfn.XLOOKUP(A481,'TAZs by City - CCAG Model'!$A:$A,'TAZs by City - CCAG Model'!$C:$C,999)</f>
        <v>3</v>
      </c>
      <c r="D481" s="82" t="str">
        <f t="shared" si="56"/>
        <v>NO</v>
      </c>
      <c r="E481" s="27">
        <v>569.66</v>
      </c>
      <c r="F481" s="27">
        <v>377.34</v>
      </c>
      <c r="G481" s="27">
        <v>0</v>
      </c>
      <c r="H481" s="27">
        <v>9.8800000000000008</v>
      </c>
      <c r="I481" s="27">
        <v>6.54</v>
      </c>
      <c r="J481" s="27">
        <v>984.98</v>
      </c>
      <c r="K481" s="47">
        <f t="shared" si="57"/>
        <v>0.57834676846230371</v>
      </c>
      <c r="L481" s="47">
        <f t="shared" si="58"/>
        <v>0.38309407297610099</v>
      </c>
      <c r="M481" s="84">
        <f t="shared" si="59"/>
        <v>0.9614408414384048</v>
      </c>
      <c r="N481" s="47">
        <f t="shared" si="60"/>
        <v>0</v>
      </c>
      <c r="O481" s="47">
        <f t="shared" si="61"/>
        <v>1.0030660521025808E-2</v>
      </c>
      <c r="P481" s="47">
        <f t="shared" si="62"/>
        <v>6.639728725456354E-3</v>
      </c>
      <c r="Q481" s="47">
        <f t="shared" si="63"/>
        <v>1</v>
      </c>
    </row>
    <row r="482" spans="1:17" x14ac:dyDescent="0.35">
      <c r="A482" s="82">
        <v>479</v>
      </c>
      <c r="B482" s="83" t="str">
        <f>_xlfn.XLOOKUP(A482,'TAZs by City - CCAG Model'!$A:$A,'TAZs by City - CCAG Model'!$B:$B,"Unknown")</f>
        <v>Palo Alto</v>
      </c>
      <c r="C482" s="82">
        <f>_xlfn.XLOOKUP(A482,'TAZs by City - CCAG Model'!$A:$A,'TAZs by City - CCAG Model'!$C:$C,999)</f>
        <v>3</v>
      </c>
      <c r="D482" s="82" t="str">
        <f t="shared" si="56"/>
        <v>NO</v>
      </c>
      <c r="E482" s="27">
        <v>1624.74</v>
      </c>
      <c r="F482" s="27">
        <v>1139.96</v>
      </c>
      <c r="G482" s="27">
        <v>1.32</v>
      </c>
      <c r="H482" s="27">
        <v>22.8</v>
      </c>
      <c r="I482" s="27">
        <v>31.9</v>
      </c>
      <c r="J482" s="27">
        <v>2842.72</v>
      </c>
      <c r="K482" s="47">
        <f t="shared" si="57"/>
        <v>0.57154415489390442</v>
      </c>
      <c r="L482" s="47">
        <f t="shared" si="58"/>
        <v>0.40101029999437166</v>
      </c>
      <c r="M482" s="84">
        <f t="shared" si="59"/>
        <v>0.97255445488827608</v>
      </c>
      <c r="N482" s="47">
        <f t="shared" si="60"/>
        <v>4.6434400855518661E-4</v>
      </c>
      <c r="O482" s="47">
        <f t="shared" si="61"/>
        <v>8.0204874204986773E-3</v>
      </c>
      <c r="P482" s="47">
        <f t="shared" si="62"/>
        <v>1.1221646873417009E-2</v>
      </c>
      <c r="Q482" s="47">
        <f t="shared" si="63"/>
        <v>1</v>
      </c>
    </row>
    <row r="483" spans="1:17" x14ac:dyDescent="0.35">
      <c r="A483" s="82">
        <v>480</v>
      </c>
      <c r="B483" s="83" t="str">
        <f>_xlfn.XLOOKUP(A483,'TAZs by City - CCAG Model'!$A:$A,'TAZs by City - CCAG Model'!$B:$B,"Unknown")</f>
        <v>Palo Alto</v>
      </c>
      <c r="C483" s="82">
        <f>_xlfn.XLOOKUP(A483,'TAZs by City - CCAG Model'!$A:$A,'TAZs by City - CCAG Model'!$C:$C,999)</f>
        <v>3</v>
      </c>
      <c r="D483" s="82" t="str">
        <f t="shared" si="56"/>
        <v>NO</v>
      </c>
      <c r="E483" s="27">
        <v>11446.3</v>
      </c>
      <c r="F483" s="27">
        <v>3633.2</v>
      </c>
      <c r="G483" s="27">
        <v>88</v>
      </c>
      <c r="H483" s="27">
        <v>512.72</v>
      </c>
      <c r="I483" s="27">
        <v>466.38</v>
      </c>
      <c r="J483" s="27">
        <v>16262.78</v>
      </c>
      <c r="K483" s="47">
        <f t="shared" si="57"/>
        <v>0.70383415381626013</v>
      </c>
      <c r="L483" s="47">
        <f t="shared" si="58"/>
        <v>0.22340583836219882</v>
      </c>
      <c r="M483" s="84">
        <f t="shared" si="59"/>
        <v>0.92723999217845898</v>
      </c>
      <c r="N483" s="47">
        <f t="shared" si="60"/>
        <v>5.4111289705696076E-3</v>
      </c>
      <c r="O483" s="47">
        <f t="shared" si="61"/>
        <v>3.1527205065800555E-2</v>
      </c>
      <c r="P483" s="47">
        <f t="shared" si="62"/>
        <v>2.8677753741980151E-2</v>
      </c>
      <c r="Q483" s="47">
        <f t="shared" si="63"/>
        <v>1</v>
      </c>
    </row>
    <row r="484" spans="1:17" x14ac:dyDescent="0.35">
      <c r="A484" s="82">
        <v>481</v>
      </c>
      <c r="B484" s="83" t="str">
        <f>_xlfn.XLOOKUP(A484,'TAZs by City - CCAG Model'!$A:$A,'TAZs by City - CCAG Model'!$B:$B,"Unknown")</f>
        <v>Unincorporated</v>
      </c>
      <c r="C484" s="82">
        <f>_xlfn.XLOOKUP(A484,'TAZs by City - CCAG Model'!$A:$A,'TAZs by City - CCAG Model'!$C:$C,999)</f>
        <v>3</v>
      </c>
      <c r="D484" s="82" t="str">
        <f t="shared" si="56"/>
        <v>NO</v>
      </c>
      <c r="E484" s="27">
        <v>447.56</v>
      </c>
      <c r="F484" s="27">
        <v>278.94</v>
      </c>
      <c r="G484" s="27">
        <v>58</v>
      </c>
      <c r="H484" s="27">
        <v>10.4</v>
      </c>
      <c r="I484" s="27">
        <v>9.02</v>
      </c>
      <c r="J484" s="27">
        <v>886.44</v>
      </c>
      <c r="K484" s="47">
        <f t="shared" si="57"/>
        <v>0.50489598844817474</v>
      </c>
      <c r="L484" s="47">
        <f t="shared" si="58"/>
        <v>0.31467442804927576</v>
      </c>
      <c r="M484" s="84">
        <f t="shared" si="59"/>
        <v>0.81957041649745044</v>
      </c>
      <c r="N484" s="47">
        <f t="shared" si="60"/>
        <v>6.5430260367311935E-2</v>
      </c>
      <c r="O484" s="47">
        <f t="shared" si="61"/>
        <v>1.1732322548621452E-2</v>
      </c>
      <c r="P484" s="47">
        <f t="shared" si="62"/>
        <v>1.0175533595054374E-2</v>
      </c>
      <c r="Q484" s="47">
        <f t="shared" si="63"/>
        <v>1</v>
      </c>
    </row>
    <row r="485" spans="1:17" x14ac:dyDescent="0.35">
      <c r="A485" s="82">
        <v>482</v>
      </c>
      <c r="B485" s="83" t="str">
        <f>_xlfn.XLOOKUP(A485,'TAZs by City - CCAG Model'!$A:$A,'TAZs by City - CCAG Model'!$B:$B,"Unknown")</f>
        <v>Palo Alto</v>
      </c>
      <c r="C485" s="82">
        <f>_xlfn.XLOOKUP(A485,'TAZs by City - CCAG Model'!$A:$A,'TAZs by City - CCAG Model'!$C:$C,999)</f>
        <v>3</v>
      </c>
      <c r="D485" s="82" t="str">
        <f t="shared" si="56"/>
        <v>NO</v>
      </c>
      <c r="E485" s="27">
        <v>3598.44</v>
      </c>
      <c r="F485" s="27">
        <v>2228.56</v>
      </c>
      <c r="G485" s="27">
        <v>166.12</v>
      </c>
      <c r="H485" s="27">
        <v>194.86</v>
      </c>
      <c r="I485" s="27">
        <v>379.4</v>
      </c>
      <c r="J485" s="27">
        <v>6779.28</v>
      </c>
      <c r="K485" s="47">
        <f t="shared" si="57"/>
        <v>0.53079973094487909</v>
      </c>
      <c r="L485" s="47">
        <f t="shared" si="58"/>
        <v>0.3287310746863974</v>
      </c>
      <c r="M485" s="84">
        <f t="shared" si="59"/>
        <v>0.85953080563127648</v>
      </c>
      <c r="N485" s="47">
        <f t="shared" si="60"/>
        <v>2.450407712913466E-2</v>
      </c>
      <c r="O485" s="47">
        <f t="shared" si="61"/>
        <v>2.8743465382754515E-2</v>
      </c>
      <c r="P485" s="47">
        <f t="shared" si="62"/>
        <v>5.5964645213060972E-2</v>
      </c>
      <c r="Q485" s="47">
        <f t="shared" si="63"/>
        <v>1</v>
      </c>
    </row>
    <row r="486" spans="1:17" x14ac:dyDescent="0.35">
      <c r="A486" s="82">
        <v>483</v>
      </c>
      <c r="B486" s="83" t="str">
        <f>_xlfn.XLOOKUP(A486,'TAZs by City - CCAG Model'!$A:$A,'TAZs by City - CCAG Model'!$B:$B,"Unknown")</f>
        <v>Palo Alto</v>
      </c>
      <c r="C486" s="82">
        <f>_xlfn.XLOOKUP(A486,'TAZs by City - CCAG Model'!$A:$A,'TAZs by City - CCAG Model'!$C:$C,999)</f>
        <v>3</v>
      </c>
      <c r="D486" s="82" t="str">
        <f t="shared" si="56"/>
        <v>NO</v>
      </c>
      <c r="E486" s="27">
        <v>2466.34</v>
      </c>
      <c r="F486" s="27">
        <v>1528.3</v>
      </c>
      <c r="G486" s="27">
        <v>341.78</v>
      </c>
      <c r="H486" s="27">
        <v>139.72</v>
      </c>
      <c r="I486" s="27">
        <v>483.38</v>
      </c>
      <c r="J486" s="27">
        <v>5348.22</v>
      </c>
      <c r="K486" s="47">
        <f t="shared" si="57"/>
        <v>0.46115156070617891</v>
      </c>
      <c r="L486" s="47">
        <f t="shared" si="58"/>
        <v>0.28575862623452286</v>
      </c>
      <c r="M486" s="84">
        <f t="shared" si="59"/>
        <v>0.74691018694070177</v>
      </c>
      <c r="N486" s="47">
        <f t="shared" si="60"/>
        <v>6.3905374124475056E-2</v>
      </c>
      <c r="O486" s="47">
        <f t="shared" si="61"/>
        <v>2.6124579766726126E-2</v>
      </c>
      <c r="P486" s="47">
        <f t="shared" si="62"/>
        <v>9.0381472714286246E-2</v>
      </c>
      <c r="Q486" s="47">
        <f t="shared" si="63"/>
        <v>1</v>
      </c>
    </row>
    <row r="487" spans="1:17" x14ac:dyDescent="0.35">
      <c r="A487" s="82">
        <v>484</v>
      </c>
      <c r="B487" s="83" t="str">
        <f>_xlfn.XLOOKUP(A487,'TAZs by City - CCAG Model'!$A:$A,'TAZs by City - CCAG Model'!$B:$B,"Unknown")</f>
        <v>Palo Alto</v>
      </c>
      <c r="C487" s="82">
        <f>_xlfn.XLOOKUP(A487,'TAZs by City - CCAG Model'!$A:$A,'TAZs by City - CCAG Model'!$C:$C,999)</f>
        <v>3</v>
      </c>
      <c r="D487" s="82" t="str">
        <f t="shared" si="56"/>
        <v>NO</v>
      </c>
      <c r="E487" s="27">
        <v>1021.18</v>
      </c>
      <c r="F487" s="27">
        <v>492.36</v>
      </c>
      <c r="G487" s="27">
        <v>37.520000000000003</v>
      </c>
      <c r="H487" s="27">
        <v>58</v>
      </c>
      <c r="I487" s="27">
        <v>321.22000000000003</v>
      </c>
      <c r="J487" s="27">
        <v>2015.42</v>
      </c>
      <c r="K487" s="47">
        <f t="shared" si="57"/>
        <v>0.50668347044288531</v>
      </c>
      <c r="L487" s="47">
        <f t="shared" si="58"/>
        <v>0.24429647418404105</v>
      </c>
      <c r="M487" s="84">
        <f t="shared" si="59"/>
        <v>0.7509799446269263</v>
      </c>
      <c r="N487" s="47">
        <f t="shared" si="60"/>
        <v>1.8616467039128323E-2</v>
      </c>
      <c r="O487" s="47">
        <f t="shared" si="61"/>
        <v>2.8778120689484078E-2</v>
      </c>
      <c r="P487" s="47">
        <f t="shared" si="62"/>
        <v>0.15938117117027717</v>
      </c>
      <c r="Q487" s="47">
        <f t="shared" si="63"/>
        <v>1</v>
      </c>
    </row>
    <row r="488" spans="1:17" x14ac:dyDescent="0.35">
      <c r="A488" s="82">
        <v>485</v>
      </c>
      <c r="B488" s="83" t="str">
        <f>_xlfn.XLOOKUP(A488,'TAZs by City - CCAG Model'!$A:$A,'TAZs by City - CCAG Model'!$B:$B,"Unknown")</f>
        <v>Palo Alto</v>
      </c>
      <c r="C488" s="82">
        <f>_xlfn.XLOOKUP(A488,'TAZs by City - CCAG Model'!$A:$A,'TAZs by City - CCAG Model'!$C:$C,999)</f>
        <v>3</v>
      </c>
      <c r="D488" s="82" t="str">
        <f t="shared" si="56"/>
        <v>NO</v>
      </c>
      <c r="E488" s="27">
        <v>1410.94</v>
      </c>
      <c r="F488" s="27">
        <v>920.14</v>
      </c>
      <c r="G488" s="27">
        <v>284.74</v>
      </c>
      <c r="H488" s="27">
        <v>68.06</v>
      </c>
      <c r="I488" s="27">
        <v>465.94</v>
      </c>
      <c r="J488" s="27">
        <v>3461.22</v>
      </c>
      <c r="K488" s="47">
        <f t="shared" si="57"/>
        <v>0.40764239198895191</v>
      </c>
      <c r="L488" s="47">
        <f t="shared" si="58"/>
        <v>0.26584267974875914</v>
      </c>
      <c r="M488" s="84">
        <f t="shared" si="59"/>
        <v>0.67348507173771099</v>
      </c>
      <c r="N488" s="47">
        <f t="shared" si="60"/>
        <v>8.2265790674964326E-2</v>
      </c>
      <c r="O488" s="47">
        <f t="shared" si="61"/>
        <v>1.9663586827765932E-2</v>
      </c>
      <c r="P488" s="47">
        <f t="shared" si="62"/>
        <v>0.13461727367806728</v>
      </c>
      <c r="Q488" s="47">
        <f t="shared" si="63"/>
        <v>1</v>
      </c>
    </row>
    <row r="489" spans="1:17" x14ac:dyDescent="0.35">
      <c r="A489" s="82">
        <v>486</v>
      </c>
      <c r="B489" s="83" t="str">
        <f>_xlfn.XLOOKUP(A489,'TAZs by City - CCAG Model'!$A:$A,'TAZs by City - CCAG Model'!$B:$B,"Unknown")</f>
        <v>Palo Alto</v>
      </c>
      <c r="C489" s="82">
        <f>_xlfn.XLOOKUP(A489,'TAZs by City - CCAG Model'!$A:$A,'TAZs by City - CCAG Model'!$C:$C,999)</f>
        <v>3</v>
      </c>
      <c r="D489" s="82" t="str">
        <f t="shared" si="56"/>
        <v>NO</v>
      </c>
      <c r="E489" s="27">
        <v>2002.2</v>
      </c>
      <c r="F489" s="27">
        <v>1409.6</v>
      </c>
      <c r="G489" s="27">
        <v>158.6</v>
      </c>
      <c r="H489" s="27">
        <v>83.08</v>
      </c>
      <c r="I489" s="27">
        <v>224.94</v>
      </c>
      <c r="J489" s="27">
        <v>4070.98</v>
      </c>
      <c r="K489" s="47">
        <f t="shared" si="57"/>
        <v>0.49182260782416026</v>
      </c>
      <c r="L489" s="47">
        <f t="shared" si="58"/>
        <v>0.34625569273246243</v>
      </c>
      <c r="M489" s="84">
        <f t="shared" si="59"/>
        <v>0.8380783005566228</v>
      </c>
      <c r="N489" s="47">
        <f t="shared" si="60"/>
        <v>3.8958678254376093E-2</v>
      </c>
      <c r="O489" s="47">
        <f t="shared" si="61"/>
        <v>2.0407862480287302E-2</v>
      </c>
      <c r="P489" s="47">
        <f t="shared" si="62"/>
        <v>5.5254508742366704E-2</v>
      </c>
      <c r="Q489" s="47">
        <f t="shared" si="63"/>
        <v>1</v>
      </c>
    </row>
    <row r="490" spans="1:17" x14ac:dyDescent="0.35">
      <c r="A490" s="82">
        <v>487</v>
      </c>
      <c r="B490" s="83" t="str">
        <f>_xlfn.XLOOKUP(A490,'TAZs by City - CCAG Model'!$A:$A,'TAZs by City - CCAG Model'!$B:$B,"Unknown")</f>
        <v>Palo Alto</v>
      </c>
      <c r="C490" s="82">
        <f>_xlfn.XLOOKUP(A490,'TAZs by City - CCAG Model'!$A:$A,'TAZs by City - CCAG Model'!$C:$C,999)</f>
        <v>3</v>
      </c>
      <c r="D490" s="82" t="str">
        <f t="shared" si="56"/>
        <v>NO</v>
      </c>
      <c r="E490" s="27">
        <v>3311.7</v>
      </c>
      <c r="F490" s="27">
        <v>2369</v>
      </c>
      <c r="G490" s="27">
        <v>213.94</v>
      </c>
      <c r="H490" s="27">
        <v>161.94</v>
      </c>
      <c r="I490" s="27">
        <v>400.88</v>
      </c>
      <c r="J490" s="27">
        <v>6710.92</v>
      </c>
      <c r="K490" s="47">
        <f t="shared" si="57"/>
        <v>0.49347928450942641</v>
      </c>
      <c r="L490" s="47">
        <f t="shared" si="58"/>
        <v>0.35300674125157205</v>
      </c>
      <c r="M490" s="84">
        <f t="shared" si="59"/>
        <v>0.84648602576099841</v>
      </c>
      <c r="N490" s="47">
        <f t="shared" si="60"/>
        <v>3.1879384644728295E-2</v>
      </c>
      <c r="O490" s="47">
        <f t="shared" si="61"/>
        <v>2.4130819619366643E-2</v>
      </c>
      <c r="P490" s="47">
        <f t="shared" si="62"/>
        <v>5.9735475910903418E-2</v>
      </c>
      <c r="Q490" s="47">
        <f t="shared" si="63"/>
        <v>1</v>
      </c>
    </row>
    <row r="491" spans="1:17" x14ac:dyDescent="0.35">
      <c r="A491" s="82">
        <v>488</v>
      </c>
      <c r="B491" s="83" t="str">
        <f>_xlfn.XLOOKUP(A491,'TAZs by City - CCAG Model'!$A:$A,'TAZs by City - CCAG Model'!$B:$B,"Unknown")</f>
        <v>Palo Alto</v>
      </c>
      <c r="C491" s="82">
        <f>_xlfn.XLOOKUP(A491,'TAZs by City - CCAG Model'!$A:$A,'TAZs by City - CCAG Model'!$C:$C,999)</f>
        <v>3</v>
      </c>
      <c r="D491" s="82" t="str">
        <f t="shared" si="56"/>
        <v>NO</v>
      </c>
      <c r="E491" s="27">
        <v>4168.12</v>
      </c>
      <c r="F491" s="27">
        <v>2603.7199999999998</v>
      </c>
      <c r="G491" s="27">
        <v>417.8</v>
      </c>
      <c r="H491" s="27">
        <v>272.14</v>
      </c>
      <c r="I491" s="27">
        <v>1682.28</v>
      </c>
      <c r="J491" s="27">
        <v>9611.18</v>
      </c>
      <c r="K491" s="47">
        <f t="shared" si="57"/>
        <v>0.43367411701788955</v>
      </c>
      <c r="L491" s="47">
        <f t="shared" si="58"/>
        <v>0.27090534148772571</v>
      </c>
      <c r="M491" s="84">
        <f t="shared" si="59"/>
        <v>0.70457945850561532</v>
      </c>
      <c r="N491" s="47">
        <f t="shared" si="60"/>
        <v>4.3470208652839716E-2</v>
      </c>
      <c r="O491" s="47">
        <f t="shared" si="61"/>
        <v>2.8314941557644323E-2</v>
      </c>
      <c r="P491" s="47">
        <f t="shared" si="62"/>
        <v>0.17503365871828433</v>
      </c>
      <c r="Q491" s="47">
        <f t="shared" si="63"/>
        <v>1</v>
      </c>
    </row>
    <row r="492" spans="1:17" x14ac:dyDescent="0.35">
      <c r="A492" s="82">
        <v>489</v>
      </c>
      <c r="B492" s="83" t="str">
        <f>_xlfn.XLOOKUP(A492,'TAZs by City - CCAG Model'!$A:$A,'TAZs by City - CCAG Model'!$B:$B,"Unknown")</f>
        <v>Palo Alto</v>
      </c>
      <c r="C492" s="82">
        <f>_xlfn.XLOOKUP(A492,'TAZs by City - CCAG Model'!$A:$A,'TAZs by City - CCAG Model'!$C:$C,999)</f>
        <v>3</v>
      </c>
      <c r="D492" s="82" t="str">
        <f t="shared" si="56"/>
        <v>NO</v>
      </c>
      <c r="E492" s="27">
        <v>3798.02</v>
      </c>
      <c r="F492" s="27">
        <v>2243.94</v>
      </c>
      <c r="G492" s="27">
        <v>323.18</v>
      </c>
      <c r="H492" s="27">
        <v>242.06</v>
      </c>
      <c r="I492" s="27">
        <v>1544.14</v>
      </c>
      <c r="J492" s="27">
        <v>8524.48</v>
      </c>
      <c r="K492" s="47">
        <f t="shared" si="57"/>
        <v>0.44554271932129585</v>
      </c>
      <c r="L492" s="47">
        <f t="shared" si="58"/>
        <v>0.26323482488081384</v>
      </c>
      <c r="M492" s="84">
        <f t="shared" si="59"/>
        <v>0.7087775442021097</v>
      </c>
      <c r="N492" s="47">
        <f t="shared" si="60"/>
        <v>3.7911989939562296E-2</v>
      </c>
      <c r="O492" s="47">
        <f t="shared" si="61"/>
        <v>2.8395866961973049E-2</v>
      </c>
      <c r="P492" s="47">
        <f t="shared" si="62"/>
        <v>0.18114184090994409</v>
      </c>
      <c r="Q492" s="47">
        <f t="shared" si="63"/>
        <v>1</v>
      </c>
    </row>
    <row r="493" spans="1:17" x14ac:dyDescent="0.35">
      <c r="A493" s="82">
        <v>490</v>
      </c>
      <c r="B493" s="83" t="str">
        <f>_xlfn.XLOOKUP(A493,'TAZs by City - CCAG Model'!$A:$A,'TAZs by City - CCAG Model'!$B:$B,"Unknown")</f>
        <v>Palo Alto</v>
      </c>
      <c r="C493" s="82">
        <f>_xlfn.XLOOKUP(A493,'TAZs by City - CCAG Model'!$A:$A,'TAZs by City - CCAG Model'!$C:$C,999)</f>
        <v>3</v>
      </c>
      <c r="D493" s="82" t="str">
        <f t="shared" si="56"/>
        <v>NO</v>
      </c>
      <c r="E493" s="27">
        <v>1520.02</v>
      </c>
      <c r="F493" s="27">
        <v>854.72</v>
      </c>
      <c r="G493" s="27">
        <v>308.38</v>
      </c>
      <c r="H493" s="27">
        <v>100.56</v>
      </c>
      <c r="I493" s="27">
        <v>567.79999999999995</v>
      </c>
      <c r="J493" s="27">
        <v>3704.54</v>
      </c>
      <c r="K493" s="47">
        <f t="shared" si="57"/>
        <v>0.41031275138073825</v>
      </c>
      <c r="L493" s="47">
        <f t="shared" si="58"/>
        <v>0.23072230290400428</v>
      </c>
      <c r="M493" s="84">
        <f t="shared" si="59"/>
        <v>0.6410350542847425</v>
      </c>
      <c r="N493" s="47">
        <f t="shared" si="60"/>
        <v>8.3243803549158599E-2</v>
      </c>
      <c r="O493" s="47">
        <f t="shared" si="61"/>
        <v>2.7145070643048802E-2</v>
      </c>
      <c r="P493" s="47">
        <f t="shared" si="62"/>
        <v>0.15327139131983997</v>
      </c>
      <c r="Q493" s="47">
        <f t="shared" si="63"/>
        <v>1</v>
      </c>
    </row>
    <row r="494" spans="1:17" x14ac:dyDescent="0.35">
      <c r="A494" s="82">
        <v>491</v>
      </c>
      <c r="B494" s="83" t="str">
        <f>_xlfn.XLOOKUP(A494,'TAZs by City - CCAG Model'!$A:$A,'TAZs by City - CCAG Model'!$B:$B,"Unknown")</f>
        <v>Palo Alto</v>
      </c>
      <c r="C494" s="82">
        <f>_xlfn.XLOOKUP(A494,'TAZs by City - CCAG Model'!$A:$A,'TAZs by City - CCAG Model'!$C:$C,999)</f>
        <v>3</v>
      </c>
      <c r="D494" s="82" t="str">
        <f t="shared" si="56"/>
        <v>NO</v>
      </c>
      <c r="E494" s="27">
        <v>3015.88</v>
      </c>
      <c r="F494" s="27">
        <v>1645.08</v>
      </c>
      <c r="G494" s="27">
        <v>572.14</v>
      </c>
      <c r="H494" s="27">
        <v>224.12</v>
      </c>
      <c r="I494" s="27">
        <v>1217.56</v>
      </c>
      <c r="J494" s="27">
        <v>7297.18</v>
      </c>
      <c r="K494" s="47">
        <f t="shared" si="57"/>
        <v>0.41329390257606363</v>
      </c>
      <c r="L494" s="47">
        <f t="shared" si="58"/>
        <v>0.22544051263638828</v>
      </c>
      <c r="M494" s="84">
        <f t="shared" si="59"/>
        <v>0.63873441521245189</v>
      </c>
      <c r="N494" s="47">
        <f t="shared" si="60"/>
        <v>7.8405630668285556E-2</v>
      </c>
      <c r="O494" s="47">
        <f t="shared" si="61"/>
        <v>3.0713234427545984E-2</v>
      </c>
      <c r="P494" s="47">
        <f t="shared" si="62"/>
        <v>0.16685349683028236</v>
      </c>
      <c r="Q494" s="47">
        <f t="shared" si="63"/>
        <v>1</v>
      </c>
    </row>
    <row r="495" spans="1:17" x14ac:dyDescent="0.35">
      <c r="A495" s="82">
        <v>492</v>
      </c>
      <c r="B495" s="83" t="str">
        <f>_xlfn.XLOOKUP(A495,'TAZs by City - CCAG Model'!$A:$A,'TAZs by City - CCAG Model'!$B:$B,"Unknown")</f>
        <v>Palo Alto</v>
      </c>
      <c r="C495" s="82">
        <f>_xlfn.XLOOKUP(A495,'TAZs by City - CCAG Model'!$A:$A,'TAZs by City - CCAG Model'!$C:$C,999)</f>
        <v>3</v>
      </c>
      <c r="D495" s="82" t="str">
        <f t="shared" si="56"/>
        <v>NO</v>
      </c>
      <c r="E495" s="27">
        <v>2593.2399999999998</v>
      </c>
      <c r="F495" s="27">
        <v>1714.24</v>
      </c>
      <c r="G495" s="27">
        <v>166.4</v>
      </c>
      <c r="H495" s="27">
        <v>150.13999999999999</v>
      </c>
      <c r="I495" s="27">
        <v>1165.98</v>
      </c>
      <c r="J495" s="27">
        <v>5993.84</v>
      </c>
      <c r="K495" s="47">
        <f t="shared" si="57"/>
        <v>0.43265085487767435</v>
      </c>
      <c r="L495" s="47">
        <f t="shared" si="58"/>
        <v>0.2860002936347984</v>
      </c>
      <c r="M495" s="84">
        <f t="shared" si="59"/>
        <v>0.71865114851247269</v>
      </c>
      <c r="N495" s="47">
        <f t="shared" si="60"/>
        <v>2.7761835484430682E-2</v>
      </c>
      <c r="O495" s="47">
        <f t="shared" si="61"/>
        <v>2.5049050358367922E-2</v>
      </c>
      <c r="P495" s="47">
        <f t="shared" si="62"/>
        <v>0.19452971717630099</v>
      </c>
      <c r="Q495" s="47">
        <f t="shared" si="63"/>
        <v>1</v>
      </c>
    </row>
    <row r="496" spans="1:17" x14ac:dyDescent="0.35">
      <c r="A496" s="82">
        <v>493</v>
      </c>
      <c r="B496" s="83" t="str">
        <f>_xlfn.XLOOKUP(A496,'TAZs by City - CCAG Model'!$A:$A,'TAZs by City - CCAG Model'!$B:$B,"Unknown")</f>
        <v>Palo Alto</v>
      </c>
      <c r="C496" s="82">
        <f>_xlfn.XLOOKUP(A496,'TAZs by City - CCAG Model'!$A:$A,'TAZs by City - CCAG Model'!$C:$C,999)</f>
        <v>3</v>
      </c>
      <c r="D496" s="82" t="str">
        <f t="shared" si="56"/>
        <v>NO</v>
      </c>
      <c r="E496" s="27">
        <v>4806.22</v>
      </c>
      <c r="F496" s="27">
        <v>3065.12</v>
      </c>
      <c r="G496" s="27">
        <v>437.06</v>
      </c>
      <c r="H496" s="27">
        <v>310.62</v>
      </c>
      <c r="I496" s="27">
        <v>618.78</v>
      </c>
      <c r="J496" s="27">
        <v>9718.7800000000007</v>
      </c>
      <c r="K496" s="47">
        <f t="shared" si="57"/>
        <v>0.49452914872031262</v>
      </c>
      <c r="L496" s="47">
        <f t="shared" si="58"/>
        <v>0.31538114866269218</v>
      </c>
      <c r="M496" s="84">
        <f t="shared" si="59"/>
        <v>0.8099102973830048</v>
      </c>
      <c r="N496" s="47">
        <f t="shared" si="60"/>
        <v>4.4970665042320127E-2</v>
      </c>
      <c r="O496" s="47">
        <f t="shared" si="61"/>
        <v>3.1960801664406437E-2</v>
      </c>
      <c r="P496" s="47">
        <f t="shared" si="62"/>
        <v>6.366848513908123E-2</v>
      </c>
      <c r="Q496" s="47">
        <f t="shared" si="63"/>
        <v>1</v>
      </c>
    </row>
    <row r="497" spans="1:17" x14ac:dyDescent="0.35">
      <c r="A497" s="82">
        <v>494</v>
      </c>
      <c r="B497" s="83" t="str">
        <f>_xlfn.XLOOKUP(A497,'TAZs by City - CCAG Model'!$A:$A,'TAZs by City - CCAG Model'!$B:$B,"Unknown")</f>
        <v>Unincorporated</v>
      </c>
      <c r="C497" s="82">
        <f>_xlfn.XLOOKUP(A497,'TAZs by City - CCAG Model'!$A:$A,'TAZs by City - CCAG Model'!$C:$C,999)</f>
        <v>3</v>
      </c>
      <c r="D497" s="82" t="str">
        <f t="shared" si="56"/>
        <v>NO</v>
      </c>
      <c r="E497" s="27">
        <v>154.08000000000001</v>
      </c>
      <c r="F497" s="27">
        <v>58.54</v>
      </c>
      <c r="G497" s="27">
        <v>48.96</v>
      </c>
      <c r="H497" s="27">
        <v>26.16</v>
      </c>
      <c r="I497" s="27">
        <v>20.260000000000002</v>
      </c>
      <c r="J497" s="27">
        <v>397.96</v>
      </c>
      <c r="K497" s="47">
        <f t="shared" si="57"/>
        <v>0.38717459041109664</v>
      </c>
      <c r="L497" s="47">
        <f t="shared" si="58"/>
        <v>0.1471002110764901</v>
      </c>
      <c r="M497" s="84">
        <f t="shared" si="59"/>
        <v>0.53427480148758677</v>
      </c>
      <c r="N497" s="47">
        <f t="shared" si="60"/>
        <v>0.12302743994371294</v>
      </c>
      <c r="O497" s="47">
        <f t="shared" si="61"/>
        <v>6.5735249773846621E-2</v>
      </c>
      <c r="P497" s="47">
        <f t="shared" si="62"/>
        <v>5.0909639159714554E-2</v>
      </c>
      <c r="Q497" s="47">
        <f t="shared" si="63"/>
        <v>1</v>
      </c>
    </row>
    <row r="498" spans="1:17" x14ac:dyDescent="0.35">
      <c r="A498" s="82">
        <v>495</v>
      </c>
      <c r="B498" s="83" t="str">
        <f>_xlfn.XLOOKUP(A498,'TAZs by City - CCAG Model'!$A:$A,'TAZs by City - CCAG Model'!$B:$B,"Unknown")</f>
        <v>Palo Alto</v>
      </c>
      <c r="C498" s="82">
        <f>_xlfn.XLOOKUP(A498,'TAZs by City - CCAG Model'!$A:$A,'TAZs by City - CCAG Model'!$C:$C,999)</f>
        <v>3</v>
      </c>
      <c r="D498" s="82" t="str">
        <f t="shared" si="56"/>
        <v>NO</v>
      </c>
      <c r="E498" s="27">
        <v>1118.08</v>
      </c>
      <c r="F498" s="27">
        <v>665.4</v>
      </c>
      <c r="G498" s="27">
        <v>239.08</v>
      </c>
      <c r="H498" s="27">
        <v>64.459999999999994</v>
      </c>
      <c r="I498" s="27">
        <v>180.8</v>
      </c>
      <c r="J498" s="27">
        <v>2537.86</v>
      </c>
      <c r="K498" s="47">
        <f t="shared" si="57"/>
        <v>0.4405601569826546</v>
      </c>
      <c r="L498" s="47">
        <f t="shared" si="58"/>
        <v>0.26218940367080923</v>
      </c>
      <c r="M498" s="84">
        <f t="shared" si="59"/>
        <v>0.70274956065346394</v>
      </c>
      <c r="N498" s="47">
        <f t="shared" si="60"/>
        <v>9.4205354117248397E-2</v>
      </c>
      <c r="O498" s="47">
        <f t="shared" si="61"/>
        <v>2.5399352210129792E-2</v>
      </c>
      <c r="P498" s="47">
        <f t="shared" si="62"/>
        <v>7.1241124411906095E-2</v>
      </c>
      <c r="Q498" s="47">
        <f t="shared" si="63"/>
        <v>1</v>
      </c>
    </row>
    <row r="499" spans="1:17" x14ac:dyDescent="0.35">
      <c r="A499" s="82">
        <v>496</v>
      </c>
      <c r="B499" s="83" t="str">
        <f>_xlfn.XLOOKUP(A499,'TAZs by City - CCAG Model'!$A:$A,'TAZs by City - CCAG Model'!$B:$B,"Unknown")</f>
        <v>Palo Alto</v>
      </c>
      <c r="C499" s="82">
        <f>_xlfn.XLOOKUP(A499,'TAZs by City - CCAG Model'!$A:$A,'TAZs by City - CCAG Model'!$C:$C,999)</f>
        <v>3</v>
      </c>
      <c r="D499" s="82" t="str">
        <f t="shared" si="56"/>
        <v>NO</v>
      </c>
      <c r="E499" s="27">
        <v>1651.26</v>
      </c>
      <c r="F499" s="27">
        <v>961.16</v>
      </c>
      <c r="G499" s="27">
        <v>245.08</v>
      </c>
      <c r="H499" s="27">
        <v>105.08</v>
      </c>
      <c r="I499" s="27">
        <v>237.9</v>
      </c>
      <c r="J499" s="27">
        <v>3484.82</v>
      </c>
      <c r="K499" s="47">
        <f t="shared" si="57"/>
        <v>0.47384369924415032</v>
      </c>
      <c r="L499" s="47">
        <f t="shared" si="58"/>
        <v>0.27581338490940704</v>
      </c>
      <c r="M499" s="84">
        <f t="shared" si="59"/>
        <v>0.74965708415355736</v>
      </c>
      <c r="N499" s="47">
        <f t="shared" si="60"/>
        <v>7.0327879201795215E-2</v>
      </c>
      <c r="O499" s="47">
        <f t="shared" si="61"/>
        <v>3.0153637777560964E-2</v>
      </c>
      <c r="P499" s="47">
        <f t="shared" si="62"/>
        <v>6.8267514534466625E-2</v>
      </c>
      <c r="Q499" s="47">
        <f t="shared" si="63"/>
        <v>1</v>
      </c>
    </row>
    <row r="500" spans="1:17" x14ac:dyDescent="0.35">
      <c r="A500" s="82">
        <v>497</v>
      </c>
      <c r="B500" s="83" t="str">
        <f>_xlfn.XLOOKUP(A500,'TAZs by City - CCAG Model'!$A:$A,'TAZs by City - CCAG Model'!$B:$B,"Unknown")</f>
        <v>Palo Alto</v>
      </c>
      <c r="C500" s="82">
        <f>_xlfn.XLOOKUP(A500,'TAZs by City - CCAG Model'!$A:$A,'TAZs by City - CCAG Model'!$C:$C,999)</f>
        <v>3</v>
      </c>
      <c r="D500" s="82" t="str">
        <f t="shared" si="56"/>
        <v>NO</v>
      </c>
      <c r="E500" s="27">
        <v>1705.24</v>
      </c>
      <c r="F500" s="27">
        <v>1013.6</v>
      </c>
      <c r="G500" s="27">
        <v>148.69999999999999</v>
      </c>
      <c r="H500" s="27">
        <v>112.58</v>
      </c>
      <c r="I500" s="27">
        <v>554.72</v>
      </c>
      <c r="J500" s="27">
        <v>3730.4</v>
      </c>
      <c r="K500" s="47">
        <f t="shared" si="57"/>
        <v>0.45711987990564013</v>
      </c>
      <c r="L500" s="47">
        <f t="shared" si="58"/>
        <v>0.27171348917006222</v>
      </c>
      <c r="M500" s="84">
        <f t="shared" si="59"/>
        <v>0.7288333690757024</v>
      </c>
      <c r="N500" s="47">
        <f t="shared" si="60"/>
        <v>3.9861677031953674E-2</v>
      </c>
      <c r="O500" s="47">
        <f t="shared" si="61"/>
        <v>3.0179069268711129E-2</v>
      </c>
      <c r="P500" s="47">
        <f t="shared" si="62"/>
        <v>0.1487025520051469</v>
      </c>
      <c r="Q500" s="47">
        <f t="shared" si="63"/>
        <v>1</v>
      </c>
    </row>
    <row r="501" spans="1:17" x14ac:dyDescent="0.35">
      <c r="A501" s="82">
        <v>498</v>
      </c>
      <c r="B501" s="83" t="str">
        <f>_xlfn.XLOOKUP(A501,'TAZs by City - CCAG Model'!$A:$A,'TAZs by City - CCAG Model'!$B:$B,"Unknown")</f>
        <v>Palo Alto</v>
      </c>
      <c r="C501" s="82">
        <f>_xlfn.XLOOKUP(A501,'TAZs by City - CCAG Model'!$A:$A,'TAZs by City - CCAG Model'!$C:$C,999)</f>
        <v>3</v>
      </c>
      <c r="D501" s="82" t="str">
        <f t="shared" si="56"/>
        <v>NO</v>
      </c>
      <c r="E501" s="27">
        <v>4858.9799999999996</v>
      </c>
      <c r="F501" s="27">
        <v>2658.28</v>
      </c>
      <c r="G501" s="27">
        <v>657.16</v>
      </c>
      <c r="H501" s="27">
        <v>332.52</v>
      </c>
      <c r="I501" s="27">
        <v>1849.48</v>
      </c>
      <c r="J501" s="27">
        <v>11062.16</v>
      </c>
      <c r="K501" s="47">
        <f t="shared" si="57"/>
        <v>0.43924333041648284</v>
      </c>
      <c r="L501" s="47">
        <f t="shared" si="58"/>
        <v>0.24030388278600204</v>
      </c>
      <c r="M501" s="84">
        <f t="shared" si="59"/>
        <v>0.6795472132024849</v>
      </c>
      <c r="N501" s="47">
        <f t="shared" si="60"/>
        <v>5.9406119600512015E-2</v>
      </c>
      <c r="O501" s="47">
        <f t="shared" si="61"/>
        <v>3.0059228939013718E-2</v>
      </c>
      <c r="P501" s="47">
        <f t="shared" si="62"/>
        <v>0.16718977125624651</v>
      </c>
      <c r="Q501" s="47">
        <f t="shared" si="63"/>
        <v>1</v>
      </c>
    </row>
    <row r="502" spans="1:17" x14ac:dyDescent="0.35">
      <c r="A502" s="82">
        <v>499</v>
      </c>
      <c r="B502" s="83" t="str">
        <f>_xlfn.XLOOKUP(A502,'TAZs by City - CCAG Model'!$A:$A,'TAZs by City - CCAG Model'!$B:$B,"Unknown")</f>
        <v>Palo Alto</v>
      </c>
      <c r="C502" s="82">
        <f>_xlfn.XLOOKUP(A502,'TAZs by City - CCAG Model'!$A:$A,'TAZs by City - CCAG Model'!$C:$C,999)</f>
        <v>3</v>
      </c>
      <c r="D502" s="82" t="str">
        <f t="shared" si="56"/>
        <v>NO</v>
      </c>
      <c r="E502" s="27">
        <v>2521.2800000000002</v>
      </c>
      <c r="F502" s="27">
        <v>1668.36</v>
      </c>
      <c r="G502" s="27">
        <v>577.34</v>
      </c>
      <c r="H502" s="27">
        <v>128.88</v>
      </c>
      <c r="I502" s="27">
        <v>969.62</v>
      </c>
      <c r="J502" s="27">
        <v>6476.4</v>
      </c>
      <c r="K502" s="47">
        <f t="shared" si="57"/>
        <v>0.38930269903032555</v>
      </c>
      <c r="L502" s="47">
        <f t="shared" si="58"/>
        <v>0.2576060774504354</v>
      </c>
      <c r="M502" s="84">
        <f t="shared" si="59"/>
        <v>0.64690877648076095</v>
      </c>
      <c r="N502" s="47">
        <f t="shared" si="60"/>
        <v>8.9145204125748889E-2</v>
      </c>
      <c r="O502" s="47">
        <f t="shared" si="61"/>
        <v>1.9899944413563089E-2</v>
      </c>
      <c r="P502" s="47">
        <f t="shared" si="62"/>
        <v>0.14971589154468531</v>
      </c>
      <c r="Q502" s="47">
        <f t="shared" si="63"/>
        <v>1</v>
      </c>
    </row>
    <row r="503" spans="1:17" x14ac:dyDescent="0.35">
      <c r="A503" s="82">
        <v>500</v>
      </c>
      <c r="B503" s="83" t="str">
        <f>_xlfn.XLOOKUP(A503,'TAZs by City - CCAG Model'!$A:$A,'TAZs by City - CCAG Model'!$B:$B,"Unknown")</f>
        <v>Palo Alto</v>
      </c>
      <c r="C503" s="82">
        <f>_xlfn.XLOOKUP(A503,'TAZs by City - CCAG Model'!$A:$A,'TAZs by City - CCAG Model'!$C:$C,999)</f>
        <v>3</v>
      </c>
      <c r="D503" s="82" t="str">
        <f t="shared" si="56"/>
        <v>NO</v>
      </c>
      <c r="E503" s="27">
        <v>2551.2399999999998</v>
      </c>
      <c r="F503" s="27">
        <v>1601.16</v>
      </c>
      <c r="G503" s="27">
        <v>566.78</v>
      </c>
      <c r="H503" s="27">
        <v>142.84</v>
      </c>
      <c r="I503" s="27">
        <v>743.88</v>
      </c>
      <c r="J503" s="27">
        <v>6209.92</v>
      </c>
      <c r="K503" s="47">
        <f t="shared" si="57"/>
        <v>0.41083298979696997</v>
      </c>
      <c r="L503" s="47">
        <f t="shared" si="58"/>
        <v>0.25783907039060083</v>
      </c>
      <c r="M503" s="84">
        <f t="shared" si="59"/>
        <v>0.66867206018757075</v>
      </c>
      <c r="N503" s="47">
        <f t="shared" si="60"/>
        <v>9.1270096877254459E-2</v>
      </c>
      <c r="O503" s="47">
        <f t="shared" si="61"/>
        <v>2.3001906626816448E-2</v>
      </c>
      <c r="P503" s="47">
        <f t="shared" si="62"/>
        <v>0.1197889827888282</v>
      </c>
      <c r="Q503" s="47">
        <f t="shared" si="63"/>
        <v>1</v>
      </c>
    </row>
    <row r="504" spans="1:17" x14ac:dyDescent="0.35">
      <c r="A504" s="82">
        <v>501</v>
      </c>
      <c r="B504" s="83" t="str">
        <f>_xlfn.XLOOKUP(A504,'TAZs by City - CCAG Model'!$A:$A,'TAZs by City - CCAG Model'!$B:$B,"Unknown")</f>
        <v>Palo Alto</v>
      </c>
      <c r="C504" s="82">
        <f>_xlfn.XLOOKUP(A504,'TAZs by City - CCAG Model'!$A:$A,'TAZs by City - CCAG Model'!$C:$C,999)</f>
        <v>3</v>
      </c>
      <c r="D504" s="82" t="str">
        <f t="shared" si="56"/>
        <v>NO</v>
      </c>
      <c r="E504" s="27">
        <v>3463.06</v>
      </c>
      <c r="F504" s="27">
        <v>2061.8200000000002</v>
      </c>
      <c r="G504" s="27">
        <v>723.24</v>
      </c>
      <c r="H504" s="27">
        <v>222.16</v>
      </c>
      <c r="I504" s="27">
        <v>1120.18</v>
      </c>
      <c r="J504" s="27">
        <v>8361.66</v>
      </c>
      <c r="K504" s="47">
        <f t="shared" si="57"/>
        <v>0.41415938940353947</v>
      </c>
      <c r="L504" s="47">
        <f t="shared" si="58"/>
        <v>0.24658022450087663</v>
      </c>
      <c r="M504" s="84">
        <f t="shared" si="59"/>
        <v>0.66073961390441616</v>
      </c>
      <c r="N504" s="47">
        <f t="shared" si="60"/>
        <v>8.649478692030052E-2</v>
      </c>
      <c r="O504" s="47">
        <f t="shared" si="61"/>
        <v>2.6568887039176432E-2</v>
      </c>
      <c r="P504" s="47">
        <f t="shared" si="62"/>
        <v>0.13396622201811603</v>
      </c>
      <c r="Q504" s="47">
        <f t="shared" si="63"/>
        <v>1</v>
      </c>
    </row>
    <row r="505" spans="1:17" x14ac:dyDescent="0.35">
      <c r="A505" s="82">
        <v>502</v>
      </c>
      <c r="B505" s="83" t="str">
        <f>_xlfn.XLOOKUP(A505,'TAZs by City - CCAG Model'!$A:$A,'TAZs by City - CCAG Model'!$B:$B,"Unknown")</f>
        <v>Palo Alto</v>
      </c>
      <c r="C505" s="82">
        <f>_xlfn.XLOOKUP(A505,'TAZs by City - CCAG Model'!$A:$A,'TAZs by City - CCAG Model'!$C:$C,999)</f>
        <v>3</v>
      </c>
      <c r="D505" s="82" t="str">
        <f t="shared" si="56"/>
        <v>NO</v>
      </c>
      <c r="E505" s="27">
        <v>3026.78</v>
      </c>
      <c r="F505" s="27">
        <v>1780.96</v>
      </c>
      <c r="G505" s="27">
        <v>656.86</v>
      </c>
      <c r="H505" s="27">
        <v>165.54</v>
      </c>
      <c r="I505" s="27">
        <v>703.16</v>
      </c>
      <c r="J505" s="27">
        <v>7034.18</v>
      </c>
      <c r="K505" s="47">
        <f t="shared" si="57"/>
        <v>0.43029606862491437</v>
      </c>
      <c r="L505" s="47">
        <f t="shared" si="58"/>
        <v>0.25318658322647414</v>
      </c>
      <c r="M505" s="84">
        <f t="shared" si="59"/>
        <v>0.68348265185138846</v>
      </c>
      <c r="N505" s="47">
        <f t="shared" si="60"/>
        <v>9.3381175915316347E-2</v>
      </c>
      <c r="O505" s="47">
        <f t="shared" si="61"/>
        <v>2.3533659929089103E-2</v>
      </c>
      <c r="P505" s="47">
        <f t="shared" si="62"/>
        <v>9.996332195081728E-2</v>
      </c>
      <c r="Q505" s="47">
        <f t="shared" si="63"/>
        <v>1</v>
      </c>
    </row>
    <row r="506" spans="1:17" x14ac:dyDescent="0.35">
      <c r="A506" s="82">
        <v>503</v>
      </c>
      <c r="B506" s="83" t="str">
        <f>_xlfn.XLOOKUP(A506,'TAZs by City - CCAG Model'!$A:$A,'TAZs by City - CCAG Model'!$B:$B,"Unknown")</f>
        <v>Palo Alto</v>
      </c>
      <c r="C506" s="82">
        <f>_xlfn.XLOOKUP(A506,'TAZs by City - CCAG Model'!$A:$A,'TAZs by City - CCAG Model'!$C:$C,999)</f>
        <v>3</v>
      </c>
      <c r="D506" s="82" t="str">
        <f t="shared" si="56"/>
        <v>NO</v>
      </c>
      <c r="E506" s="27">
        <v>2193.1799999999998</v>
      </c>
      <c r="F506" s="27">
        <v>1017.52</v>
      </c>
      <c r="G506" s="27">
        <v>282.64</v>
      </c>
      <c r="H506" s="27">
        <v>164.48</v>
      </c>
      <c r="I506" s="27">
        <v>820.06</v>
      </c>
      <c r="J506" s="27">
        <v>4817.38</v>
      </c>
      <c r="K506" s="47">
        <f t="shared" si="57"/>
        <v>0.45526406469906877</v>
      </c>
      <c r="L506" s="47">
        <f t="shared" si="58"/>
        <v>0.21121854618070401</v>
      </c>
      <c r="M506" s="84">
        <f t="shared" si="59"/>
        <v>0.66648261087977279</v>
      </c>
      <c r="N506" s="47">
        <f t="shared" si="60"/>
        <v>5.867089579813093E-2</v>
      </c>
      <c r="O506" s="47">
        <f t="shared" si="61"/>
        <v>3.4143040407856547E-2</v>
      </c>
      <c r="P506" s="47">
        <f t="shared" si="62"/>
        <v>0.17022946082725463</v>
      </c>
      <c r="Q506" s="47">
        <f t="shared" si="63"/>
        <v>1</v>
      </c>
    </row>
    <row r="507" spans="1:17" x14ac:dyDescent="0.35">
      <c r="A507" s="82">
        <v>504</v>
      </c>
      <c r="B507" s="83" t="str">
        <f>_xlfn.XLOOKUP(A507,'TAZs by City - CCAG Model'!$A:$A,'TAZs by City - CCAG Model'!$B:$B,"Unknown")</f>
        <v>Palo Alto</v>
      </c>
      <c r="C507" s="82">
        <f>_xlfn.XLOOKUP(A507,'TAZs by City - CCAG Model'!$A:$A,'TAZs by City - CCAG Model'!$C:$C,999)</f>
        <v>3</v>
      </c>
      <c r="D507" s="82" t="str">
        <f t="shared" si="56"/>
        <v>NO</v>
      </c>
      <c r="E507" s="27">
        <v>2702.86</v>
      </c>
      <c r="F507" s="27">
        <v>1773.34</v>
      </c>
      <c r="G507" s="27">
        <v>498.68</v>
      </c>
      <c r="H507" s="27">
        <v>151.76</v>
      </c>
      <c r="I507" s="27">
        <v>869.22</v>
      </c>
      <c r="J507" s="27">
        <v>6527.42</v>
      </c>
      <c r="K507" s="47">
        <f t="shared" si="57"/>
        <v>0.41407784392608415</v>
      </c>
      <c r="L507" s="47">
        <f t="shared" si="58"/>
        <v>0.27167548587343848</v>
      </c>
      <c r="M507" s="84">
        <f t="shared" si="59"/>
        <v>0.68575332979952264</v>
      </c>
      <c r="N507" s="47">
        <f t="shared" si="60"/>
        <v>7.6397719160096939E-2</v>
      </c>
      <c r="O507" s="47">
        <f t="shared" si="61"/>
        <v>2.3249614702286661E-2</v>
      </c>
      <c r="P507" s="47">
        <f t="shared" si="62"/>
        <v>0.13316440492568274</v>
      </c>
      <c r="Q507" s="47">
        <f t="shared" si="63"/>
        <v>1</v>
      </c>
    </row>
    <row r="508" spans="1:17" x14ac:dyDescent="0.35">
      <c r="A508" s="82">
        <v>505</v>
      </c>
      <c r="B508" s="83" t="str">
        <f>_xlfn.XLOOKUP(A508,'TAZs by City - CCAG Model'!$A:$A,'TAZs by City - CCAG Model'!$B:$B,"Unknown")</f>
        <v>Palo Alto</v>
      </c>
      <c r="C508" s="82">
        <f>_xlfn.XLOOKUP(A508,'TAZs by City - CCAG Model'!$A:$A,'TAZs by City - CCAG Model'!$C:$C,999)</f>
        <v>3</v>
      </c>
      <c r="D508" s="82" t="str">
        <f t="shared" si="56"/>
        <v>NO</v>
      </c>
      <c r="E508" s="27">
        <v>915.7</v>
      </c>
      <c r="F508" s="27">
        <v>578.66</v>
      </c>
      <c r="G508" s="27">
        <v>232.62</v>
      </c>
      <c r="H508" s="27">
        <v>60.9</v>
      </c>
      <c r="I508" s="27">
        <v>337.1</v>
      </c>
      <c r="J508" s="27">
        <v>2389.5</v>
      </c>
      <c r="K508" s="47">
        <f t="shared" si="57"/>
        <v>0.38321824649508268</v>
      </c>
      <c r="L508" s="47">
        <f t="shared" si="58"/>
        <v>0.24216781753504915</v>
      </c>
      <c r="M508" s="84">
        <f t="shared" si="59"/>
        <v>0.62538606403013186</v>
      </c>
      <c r="N508" s="47">
        <f t="shared" si="60"/>
        <v>9.7350910232266163E-2</v>
      </c>
      <c r="O508" s="47">
        <f t="shared" si="61"/>
        <v>2.5486503452605148E-2</v>
      </c>
      <c r="P508" s="47">
        <f t="shared" si="62"/>
        <v>0.14107553881565182</v>
      </c>
      <c r="Q508" s="47">
        <f t="shared" si="63"/>
        <v>1</v>
      </c>
    </row>
    <row r="509" spans="1:17" x14ac:dyDescent="0.35">
      <c r="A509" s="82">
        <v>506</v>
      </c>
      <c r="B509" s="83" t="str">
        <f>_xlfn.XLOOKUP(A509,'TAZs by City - CCAG Model'!$A:$A,'TAZs by City - CCAG Model'!$B:$B,"Unknown")</f>
        <v>Palo Alto</v>
      </c>
      <c r="C509" s="82">
        <f>_xlfn.XLOOKUP(A509,'TAZs by City - CCAG Model'!$A:$A,'TAZs by City - CCAG Model'!$C:$C,999)</f>
        <v>3</v>
      </c>
      <c r="D509" s="82" t="str">
        <f t="shared" si="56"/>
        <v>NO</v>
      </c>
      <c r="E509" s="27">
        <v>4956.62</v>
      </c>
      <c r="F509" s="27">
        <v>2540</v>
      </c>
      <c r="G509" s="27">
        <v>1141.1600000000001</v>
      </c>
      <c r="H509" s="27">
        <v>418.34</v>
      </c>
      <c r="I509" s="27">
        <v>1876.88</v>
      </c>
      <c r="J509" s="27">
        <v>12122.98</v>
      </c>
      <c r="K509" s="47">
        <f t="shared" si="57"/>
        <v>0.4088615175476657</v>
      </c>
      <c r="L509" s="47">
        <f t="shared" si="58"/>
        <v>0.20951944158944419</v>
      </c>
      <c r="M509" s="84">
        <f t="shared" si="59"/>
        <v>0.61838095913710989</v>
      </c>
      <c r="N509" s="47">
        <f t="shared" si="60"/>
        <v>9.4131970852051244E-2</v>
      </c>
      <c r="O509" s="47">
        <f t="shared" si="61"/>
        <v>3.4508017005719718E-2</v>
      </c>
      <c r="P509" s="47">
        <f t="shared" si="62"/>
        <v>0.15482001950015592</v>
      </c>
      <c r="Q509" s="47">
        <f t="shared" si="63"/>
        <v>1</v>
      </c>
    </row>
    <row r="510" spans="1:17" x14ac:dyDescent="0.35">
      <c r="A510" s="82">
        <v>507</v>
      </c>
      <c r="B510" s="83" t="str">
        <f>_xlfn.XLOOKUP(A510,'TAZs by City - CCAG Model'!$A:$A,'TAZs by City - CCAG Model'!$B:$B,"Unknown")</f>
        <v>Palo Alto</v>
      </c>
      <c r="C510" s="82">
        <f>_xlfn.XLOOKUP(A510,'TAZs by City - CCAG Model'!$A:$A,'TAZs by City - CCAG Model'!$C:$C,999)</f>
        <v>3</v>
      </c>
      <c r="D510" s="82" t="str">
        <f t="shared" si="56"/>
        <v>NO</v>
      </c>
      <c r="E510" s="27">
        <v>2266.3000000000002</v>
      </c>
      <c r="F510" s="27">
        <v>957.22</v>
      </c>
      <c r="G510" s="27">
        <v>522.29999999999995</v>
      </c>
      <c r="H510" s="27">
        <v>142.94</v>
      </c>
      <c r="I510" s="27">
        <v>681.18</v>
      </c>
      <c r="J510" s="27">
        <v>5145.92</v>
      </c>
      <c r="K510" s="47">
        <f t="shared" si="57"/>
        <v>0.44040715751507992</v>
      </c>
      <c r="L510" s="47">
        <f t="shared" si="58"/>
        <v>0.18601532864871587</v>
      </c>
      <c r="M510" s="84">
        <f t="shared" si="59"/>
        <v>0.62642248616379581</v>
      </c>
      <c r="N510" s="47">
        <f t="shared" si="60"/>
        <v>0.10149788570362539</v>
      </c>
      <c r="O510" s="47">
        <f t="shared" si="61"/>
        <v>2.7777345936197996E-2</v>
      </c>
      <c r="P510" s="47">
        <f t="shared" si="62"/>
        <v>0.13237283129158633</v>
      </c>
      <c r="Q510" s="47">
        <f t="shared" si="63"/>
        <v>1</v>
      </c>
    </row>
    <row r="511" spans="1:17" x14ac:dyDescent="0.35">
      <c r="A511" s="82">
        <v>508</v>
      </c>
      <c r="B511" s="83" t="str">
        <f>_xlfn.XLOOKUP(A511,'TAZs by City - CCAG Model'!$A:$A,'TAZs by City - CCAG Model'!$B:$B,"Unknown")</f>
        <v>Palo Alto</v>
      </c>
      <c r="C511" s="82">
        <f>_xlfn.XLOOKUP(A511,'TAZs by City - CCAG Model'!$A:$A,'TAZs by City - CCAG Model'!$C:$C,999)</f>
        <v>3</v>
      </c>
      <c r="D511" s="82" t="str">
        <f t="shared" si="56"/>
        <v>NO</v>
      </c>
      <c r="E511" s="27">
        <v>6248.4</v>
      </c>
      <c r="F511" s="27">
        <v>3193.28</v>
      </c>
      <c r="G511" s="27">
        <v>1579.76</v>
      </c>
      <c r="H511" s="27">
        <v>563.78</v>
      </c>
      <c r="I511" s="27">
        <v>2199.94</v>
      </c>
      <c r="J511" s="27">
        <v>15416.94</v>
      </c>
      <c r="K511" s="47">
        <f t="shared" si="57"/>
        <v>0.40529443586081282</v>
      </c>
      <c r="L511" s="47">
        <f t="shared" si="58"/>
        <v>0.20712800335215678</v>
      </c>
      <c r="M511" s="84">
        <f t="shared" si="59"/>
        <v>0.61242243921296968</v>
      </c>
      <c r="N511" s="47">
        <f t="shared" si="60"/>
        <v>0.10246910216943181</v>
      </c>
      <c r="O511" s="47">
        <f t="shared" si="61"/>
        <v>3.6568865157417745E-2</v>
      </c>
      <c r="P511" s="47">
        <f t="shared" si="62"/>
        <v>0.14269628084431801</v>
      </c>
      <c r="Q511" s="47">
        <f t="shared" si="63"/>
        <v>1</v>
      </c>
    </row>
    <row r="512" spans="1:17" x14ac:dyDescent="0.35">
      <c r="A512" s="82">
        <v>509</v>
      </c>
      <c r="B512" s="83" t="str">
        <f>_xlfn.XLOOKUP(A512,'TAZs by City - CCAG Model'!$A:$A,'TAZs by City - CCAG Model'!$B:$B,"Unknown")</f>
        <v>Unincorporated</v>
      </c>
      <c r="C512" s="82">
        <f>_xlfn.XLOOKUP(A512,'TAZs by City - CCAG Model'!$A:$A,'TAZs by City - CCAG Model'!$C:$C,999)</f>
        <v>3</v>
      </c>
      <c r="D512" s="82" t="str">
        <f t="shared" si="56"/>
        <v>NO</v>
      </c>
      <c r="E512" s="27">
        <v>7579.98</v>
      </c>
      <c r="F512" s="27">
        <v>4090.84</v>
      </c>
      <c r="G512" s="27">
        <v>2286.8200000000002</v>
      </c>
      <c r="H512" s="27">
        <v>952.02</v>
      </c>
      <c r="I512" s="27">
        <v>1925.52</v>
      </c>
      <c r="J512" s="27">
        <v>19159.419999999998</v>
      </c>
      <c r="K512" s="47">
        <f t="shared" si="57"/>
        <v>0.39562679872355216</v>
      </c>
      <c r="L512" s="47">
        <f t="shared" si="58"/>
        <v>0.21351585799570136</v>
      </c>
      <c r="M512" s="84">
        <f t="shared" si="59"/>
        <v>0.60914265671925349</v>
      </c>
      <c r="N512" s="47">
        <f t="shared" si="60"/>
        <v>0.11935747533067287</v>
      </c>
      <c r="O512" s="47">
        <f t="shared" si="61"/>
        <v>4.9689395608009015E-2</v>
      </c>
      <c r="P512" s="47">
        <f t="shared" si="62"/>
        <v>0.10049991074886401</v>
      </c>
      <c r="Q512" s="47">
        <f t="shared" si="63"/>
        <v>1</v>
      </c>
    </row>
    <row r="513" spans="1:17" x14ac:dyDescent="0.35">
      <c r="A513" s="82">
        <v>510</v>
      </c>
      <c r="B513" s="83" t="str">
        <f>_xlfn.XLOOKUP(A513,'TAZs by City - CCAG Model'!$A:$A,'TAZs by City - CCAG Model'!$B:$B,"Unknown")</f>
        <v>Unincorporated</v>
      </c>
      <c r="C513" s="82">
        <f>_xlfn.XLOOKUP(A513,'TAZs by City - CCAG Model'!$A:$A,'TAZs by City - CCAG Model'!$C:$C,999)</f>
        <v>3</v>
      </c>
      <c r="D513" s="82" t="str">
        <f t="shared" si="56"/>
        <v>NO</v>
      </c>
      <c r="E513" s="27">
        <v>1958.96</v>
      </c>
      <c r="F513" s="27">
        <v>1136.8800000000001</v>
      </c>
      <c r="G513" s="27">
        <v>565.41999999999996</v>
      </c>
      <c r="H513" s="27">
        <v>399.74</v>
      </c>
      <c r="I513" s="27">
        <v>515.96</v>
      </c>
      <c r="J513" s="27">
        <v>5183.16</v>
      </c>
      <c r="K513" s="47">
        <f t="shared" si="57"/>
        <v>0.37794704388828437</v>
      </c>
      <c r="L513" s="47">
        <f t="shared" si="58"/>
        <v>0.21934109693700371</v>
      </c>
      <c r="M513" s="84">
        <f t="shared" si="59"/>
        <v>0.59728814082528814</v>
      </c>
      <c r="N513" s="47">
        <f t="shared" si="60"/>
        <v>0.1090878923282322</v>
      </c>
      <c r="O513" s="47">
        <f t="shared" si="61"/>
        <v>7.7122836262048633E-2</v>
      </c>
      <c r="P513" s="47">
        <f t="shared" si="62"/>
        <v>9.9545451037590979E-2</v>
      </c>
      <c r="Q513" s="47">
        <f t="shared" si="63"/>
        <v>1</v>
      </c>
    </row>
    <row r="514" spans="1:17" x14ac:dyDescent="0.35">
      <c r="A514" s="82">
        <v>511</v>
      </c>
      <c r="B514" s="83" t="str">
        <f>_xlfn.XLOOKUP(A514,'TAZs by City - CCAG Model'!$A:$A,'TAZs by City - CCAG Model'!$B:$B,"Unknown")</f>
        <v>Unincorporated</v>
      </c>
      <c r="C514" s="82">
        <f>_xlfn.XLOOKUP(A514,'TAZs by City - CCAG Model'!$A:$A,'TAZs by City - CCAG Model'!$C:$C,999)</f>
        <v>3</v>
      </c>
      <c r="D514" s="82" t="str">
        <f t="shared" si="56"/>
        <v>NO</v>
      </c>
      <c r="E514" s="27">
        <v>3098.58</v>
      </c>
      <c r="F514" s="27">
        <v>2038.14</v>
      </c>
      <c r="G514" s="27">
        <v>579.34</v>
      </c>
      <c r="H514" s="27">
        <v>295.64</v>
      </c>
      <c r="I514" s="27">
        <v>426.14</v>
      </c>
      <c r="J514" s="27">
        <v>7048.84</v>
      </c>
      <c r="K514" s="47">
        <f t="shared" si="57"/>
        <v>0.43958722286220142</v>
      </c>
      <c r="L514" s="47">
        <f t="shared" si="58"/>
        <v>0.28914544804535214</v>
      </c>
      <c r="M514" s="84">
        <f t="shared" si="59"/>
        <v>0.72873267090755356</v>
      </c>
      <c r="N514" s="47">
        <f t="shared" si="60"/>
        <v>8.2189409888719284E-2</v>
      </c>
      <c r="O514" s="47">
        <f t="shared" si="61"/>
        <v>4.1941652810958963E-2</v>
      </c>
      <c r="P514" s="47">
        <f t="shared" si="62"/>
        <v>6.0455337332100033E-2</v>
      </c>
      <c r="Q514" s="47">
        <f t="shared" si="63"/>
        <v>1</v>
      </c>
    </row>
    <row r="515" spans="1:17" x14ac:dyDescent="0.35">
      <c r="A515" s="82">
        <v>512</v>
      </c>
      <c r="B515" s="83" t="str">
        <f>_xlfn.XLOOKUP(A515,'TAZs by City - CCAG Model'!$A:$A,'TAZs by City - CCAG Model'!$B:$B,"Unknown")</f>
        <v>Unincorporated</v>
      </c>
      <c r="C515" s="82">
        <f>_xlfn.XLOOKUP(A515,'TAZs by City - CCAG Model'!$A:$A,'TAZs by City - CCAG Model'!$C:$C,999)</f>
        <v>3</v>
      </c>
      <c r="D515" s="82" t="str">
        <f t="shared" si="56"/>
        <v>NO</v>
      </c>
      <c r="E515" s="27">
        <v>10392.82</v>
      </c>
      <c r="F515" s="27">
        <v>4015.1</v>
      </c>
      <c r="G515" s="27">
        <v>774.66</v>
      </c>
      <c r="H515" s="27">
        <v>628.74</v>
      </c>
      <c r="I515" s="27">
        <v>866.14</v>
      </c>
      <c r="J515" s="27">
        <v>17488.439999999999</v>
      </c>
      <c r="K515" s="47">
        <f t="shared" si="57"/>
        <v>0.59426798502324962</v>
      </c>
      <c r="L515" s="47">
        <f t="shared" si="58"/>
        <v>0.22958594362904869</v>
      </c>
      <c r="M515" s="84">
        <f t="shared" si="59"/>
        <v>0.82385392865229834</v>
      </c>
      <c r="N515" s="47">
        <f t="shared" si="60"/>
        <v>4.4295546086443392E-2</v>
      </c>
      <c r="O515" s="47">
        <f t="shared" si="61"/>
        <v>3.5951748697997082E-2</v>
      </c>
      <c r="P515" s="47">
        <f t="shared" si="62"/>
        <v>4.9526430030351482E-2</v>
      </c>
      <c r="Q515" s="47">
        <f t="shared" si="63"/>
        <v>1</v>
      </c>
    </row>
    <row r="516" spans="1:17" x14ac:dyDescent="0.35">
      <c r="A516" s="82">
        <v>513</v>
      </c>
      <c r="B516" s="83" t="str">
        <f>_xlfn.XLOOKUP(A516,'TAZs by City - CCAG Model'!$A:$A,'TAZs by City - CCAG Model'!$B:$B,"Unknown")</f>
        <v>Palo Alto</v>
      </c>
      <c r="C516" s="82">
        <f>_xlfn.XLOOKUP(A516,'TAZs by City - CCAG Model'!$A:$A,'TAZs by City - CCAG Model'!$C:$C,999)</f>
        <v>3</v>
      </c>
      <c r="D516" s="82" t="str">
        <f t="shared" si="56"/>
        <v>NO</v>
      </c>
      <c r="E516" s="27">
        <v>7117.66</v>
      </c>
      <c r="F516" s="27">
        <v>3802.9</v>
      </c>
      <c r="G516" s="27">
        <v>473.34</v>
      </c>
      <c r="H516" s="27">
        <v>401.88</v>
      </c>
      <c r="I516" s="27">
        <v>977.14</v>
      </c>
      <c r="J516" s="27">
        <v>13291.82</v>
      </c>
      <c r="K516" s="47">
        <f t="shared" si="57"/>
        <v>0.53549175357475498</v>
      </c>
      <c r="L516" s="47">
        <f t="shared" si="58"/>
        <v>0.28610829818640338</v>
      </c>
      <c r="M516" s="84">
        <f t="shared" si="59"/>
        <v>0.82160005176115836</v>
      </c>
      <c r="N516" s="47">
        <f t="shared" si="60"/>
        <v>3.5611376019235891E-2</v>
      </c>
      <c r="O516" s="47">
        <f t="shared" si="61"/>
        <v>3.0235137099358853E-2</v>
      </c>
      <c r="P516" s="47">
        <f t="shared" si="62"/>
        <v>7.3514387044061685E-2</v>
      </c>
      <c r="Q516" s="47">
        <f t="shared" si="63"/>
        <v>1</v>
      </c>
    </row>
    <row r="517" spans="1:17" x14ac:dyDescent="0.35">
      <c r="A517" s="82">
        <v>514</v>
      </c>
      <c r="B517" s="83" t="str">
        <f>_xlfn.XLOOKUP(A517,'TAZs by City - CCAG Model'!$A:$A,'TAZs by City - CCAG Model'!$B:$B,"Unknown")</f>
        <v>Palo Alto</v>
      </c>
      <c r="C517" s="82">
        <f>_xlfn.XLOOKUP(A517,'TAZs by City - CCAG Model'!$A:$A,'TAZs by City - CCAG Model'!$C:$C,999)</f>
        <v>3</v>
      </c>
      <c r="D517" s="82" t="str">
        <f t="shared" ref="D517:D580" si="64">IF(C517=2,"YES","NO")</f>
        <v>NO</v>
      </c>
      <c r="E517" s="27">
        <v>13595</v>
      </c>
      <c r="F517" s="27">
        <v>4774.76</v>
      </c>
      <c r="G517" s="27">
        <v>556.5</v>
      </c>
      <c r="H517" s="27">
        <v>751.72</v>
      </c>
      <c r="I517" s="27">
        <v>964.52</v>
      </c>
      <c r="J517" s="27">
        <v>21225.08</v>
      </c>
      <c r="K517" s="47">
        <f t="shared" ref="K517:K580" si="65">IFERROR(E517/$J517,0)</f>
        <v>0.64051584257868521</v>
      </c>
      <c r="L517" s="47">
        <f t="shared" ref="L517:L580" si="66">IFERROR(F517/$J517,0)</f>
        <v>0.22495839827223266</v>
      </c>
      <c r="M517" s="84">
        <f t="shared" ref="M517:M580" si="67">IFERROR((E517+F517)/J517,0)</f>
        <v>0.86547424085091795</v>
      </c>
      <c r="N517" s="47">
        <f t="shared" ref="N517:N580" si="68">IFERROR(G517/$J517,0)</f>
        <v>2.6218982449064971E-2</v>
      </c>
      <c r="O517" s="47">
        <f t="shared" ref="O517:O580" si="69">IFERROR(H517/$J517,0)</f>
        <v>3.5416592069382066E-2</v>
      </c>
      <c r="P517" s="47">
        <f t="shared" ref="P517:P580" si="70">IFERROR(I517/$J517,0)</f>
        <v>4.5442467119087414E-2</v>
      </c>
      <c r="Q517" s="47">
        <f t="shared" ref="Q517:Q580" si="71">IFERROR(J517/$J517,0)</f>
        <v>1</v>
      </c>
    </row>
    <row r="518" spans="1:17" x14ac:dyDescent="0.35">
      <c r="A518" s="82">
        <v>515</v>
      </c>
      <c r="B518" s="83" t="str">
        <f>_xlfn.XLOOKUP(A518,'TAZs by City - CCAG Model'!$A:$A,'TAZs by City - CCAG Model'!$B:$B,"Unknown")</f>
        <v>Palo Alto</v>
      </c>
      <c r="C518" s="82">
        <f>_xlfn.XLOOKUP(A518,'TAZs by City - CCAG Model'!$A:$A,'TAZs by City - CCAG Model'!$C:$C,999)</f>
        <v>3</v>
      </c>
      <c r="D518" s="82" t="str">
        <f t="shared" si="64"/>
        <v>NO</v>
      </c>
      <c r="E518" s="27">
        <v>2772.56</v>
      </c>
      <c r="F518" s="27">
        <v>1892.04</v>
      </c>
      <c r="G518" s="27">
        <v>349.52</v>
      </c>
      <c r="H518" s="27">
        <v>134.54</v>
      </c>
      <c r="I518" s="27">
        <v>381.7</v>
      </c>
      <c r="J518" s="27">
        <v>5914.22</v>
      </c>
      <c r="K518" s="47">
        <f t="shared" si="65"/>
        <v>0.46879554700366233</v>
      </c>
      <c r="L518" s="47">
        <f t="shared" si="66"/>
        <v>0.31991369952419757</v>
      </c>
      <c r="M518" s="84">
        <f t="shared" si="67"/>
        <v>0.78870924652786001</v>
      </c>
      <c r="N518" s="47">
        <f t="shared" si="68"/>
        <v>5.9098241188187108E-2</v>
      </c>
      <c r="O518" s="47">
        <f t="shared" si="69"/>
        <v>2.27485619405433E-2</v>
      </c>
      <c r="P518" s="47">
        <f t="shared" si="70"/>
        <v>6.453936444704457E-2</v>
      </c>
      <c r="Q518" s="47">
        <f t="shared" si="71"/>
        <v>1</v>
      </c>
    </row>
    <row r="519" spans="1:17" x14ac:dyDescent="0.35">
      <c r="A519" s="82">
        <v>516</v>
      </c>
      <c r="B519" s="83" t="str">
        <f>_xlfn.XLOOKUP(A519,'TAZs by City - CCAG Model'!$A:$A,'TAZs by City - CCAG Model'!$B:$B,"Unknown")</f>
        <v>Palo Alto</v>
      </c>
      <c r="C519" s="82">
        <f>_xlfn.XLOOKUP(A519,'TAZs by City - CCAG Model'!$A:$A,'TAZs by City - CCAG Model'!$C:$C,999)</f>
        <v>3</v>
      </c>
      <c r="D519" s="82" t="str">
        <f t="shared" si="64"/>
        <v>NO</v>
      </c>
      <c r="E519" s="27">
        <v>2118.64</v>
      </c>
      <c r="F519" s="27">
        <v>1235.56</v>
      </c>
      <c r="G519" s="27">
        <v>187.52</v>
      </c>
      <c r="H519" s="27">
        <v>157.54</v>
      </c>
      <c r="I519" s="27">
        <v>791.88</v>
      </c>
      <c r="J519" s="27">
        <v>4723.46</v>
      </c>
      <c r="K519" s="47">
        <f t="shared" si="65"/>
        <v>0.4485356073725616</v>
      </c>
      <c r="L519" s="47">
        <f t="shared" si="66"/>
        <v>0.26157943541387035</v>
      </c>
      <c r="M519" s="84">
        <f t="shared" si="67"/>
        <v>0.71011504278643189</v>
      </c>
      <c r="N519" s="47">
        <f t="shared" si="68"/>
        <v>3.9699711652051675E-2</v>
      </c>
      <c r="O519" s="47">
        <f t="shared" si="69"/>
        <v>3.3352669441468752E-2</v>
      </c>
      <c r="P519" s="47">
        <f t="shared" si="70"/>
        <v>0.16764829171835899</v>
      </c>
      <c r="Q519" s="47">
        <f t="shared" si="71"/>
        <v>1</v>
      </c>
    </row>
    <row r="520" spans="1:17" x14ac:dyDescent="0.35">
      <c r="A520" s="82">
        <v>517</v>
      </c>
      <c r="B520" s="83" t="str">
        <f>_xlfn.XLOOKUP(A520,'TAZs by City - CCAG Model'!$A:$A,'TAZs by City - CCAG Model'!$B:$B,"Unknown")</f>
        <v>Palo Alto</v>
      </c>
      <c r="C520" s="82">
        <f>_xlfn.XLOOKUP(A520,'TAZs by City - CCAG Model'!$A:$A,'TAZs by City - CCAG Model'!$C:$C,999)</f>
        <v>3</v>
      </c>
      <c r="D520" s="82" t="str">
        <f t="shared" si="64"/>
        <v>NO</v>
      </c>
      <c r="E520" s="27">
        <v>6869.6</v>
      </c>
      <c r="F520" s="27">
        <v>2598.7600000000002</v>
      </c>
      <c r="G520" s="27">
        <v>476.3</v>
      </c>
      <c r="H520" s="27">
        <v>686.46</v>
      </c>
      <c r="I520" s="27">
        <v>2064.3000000000002</v>
      </c>
      <c r="J520" s="27">
        <v>13210.9</v>
      </c>
      <c r="K520" s="47">
        <f t="shared" si="65"/>
        <v>0.51999485273524138</v>
      </c>
      <c r="L520" s="47">
        <f t="shared" si="66"/>
        <v>0.19671332006146441</v>
      </c>
      <c r="M520" s="84">
        <f t="shared" si="67"/>
        <v>0.71670817279670584</v>
      </c>
      <c r="N520" s="47">
        <f t="shared" si="68"/>
        <v>3.6053561831517915E-2</v>
      </c>
      <c r="O520" s="47">
        <f t="shared" si="69"/>
        <v>5.1961637738534093E-2</v>
      </c>
      <c r="P520" s="47">
        <f t="shared" si="70"/>
        <v>0.15625733295990435</v>
      </c>
      <c r="Q520" s="47">
        <f t="shared" si="71"/>
        <v>1</v>
      </c>
    </row>
    <row r="521" spans="1:17" x14ac:dyDescent="0.35">
      <c r="A521" s="82">
        <v>518</v>
      </c>
      <c r="B521" s="83" t="str">
        <f>_xlfn.XLOOKUP(A521,'TAZs by City - CCAG Model'!$A:$A,'TAZs by City - CCAG Model'!$B:$B,"Unknown")</f>
        <v>Palo Alto</v>
      </c>
      <c r="C521" s="82">
        <f>_xlfn.XLOOKUP(A521,'TAZs by City - CCAG Model'!$A:$A,'TAZs by City - CCAG Model'!$C:$C,999)</f>
        <v>3</v>
      </c>
      <c r="D521" s="82" t="str">
        <f t="shared" si="64"/>
        <v>NO</v>
      </c>
      <c r="E521" s="27">
        <v>4809.84</v>
      </c>
      <c r="F521" s="27">
        <v>3006.18</v>
      </c>
      <c r="G521" s="27">
        <v>398.5</v>
      </c>
      <c r="H521" s="27">
        <v>389.14</v>
      </c>
      <c r="I521" s="27">
        <v>2123.98</v>
      </c>
      <c r="J521" s="27">
        <v>11165.4</v>
      </c>
      <c r="K521" s="47">
        <f t="shared" si="65"/>
        <v>0.43078080498683435</v>
      </c>
      <c r="L521" s="47">
        <f t="shared" si="66"/>
        <v>0.26924068998871514</v>
      </c>
      <c r="M521" s="84">
        <f t="shared" si="67"/>
        <v>0.70002149497554955</v>
      </c>
      <c r="N521" s="47">
        <f t="shared" si="68"/>
        <v>3.5690615651924697E-2</v>
      </c>
      <c r="O521" s="47">
        <f t="shared" si="69"/>
        <v>3.4852311605495546E-2</v>
      </c>
      <c r="P521" s="47">
        <f t="shared" si="70"/>
        <v>0.19022874236480558</v>
      </c>
      <c r="Q521" s="47">
        <f t="shared" si="71"/>
        <v>1</v>
      </c>
    </row>
    <row r="522" spans="1:17" x14ac:dyDescent="0.35">
      <c r="A522" s="82">
        <v>519</v>
      </c>
      <c r="B522" s="83" t="str">
        <f>_xlfn.XLOOKUP(A522,'TAZs by City - CCAG Model'!$A:$A,'TAZs by City - CCAG Model'!$B:$B,"Unknown")</f>
        <v>Palo Alto</v>
      </c>
      <c r="C522" s="82">
        <f>_xlfn.XLOOKUP(A522,'TAZs by City - CCAG Model'!$A:$A,'TAZs by City - CCAG Model'!$C:$C,999)</f>
        <v>3</v>
      </c>
      <c r="D522" s="82" t="str">
        <f t="shared" si="64"/>
        <v>NO</v>
      </c>
      <c r="E522" s="27">
        <v>72.900000000000006</v>
      </c>
      <c r="F522" s="27">
        <v>17.239999999999998</v>
      </c>
      <c r="G522" s="27">
        <v>13.16</v>
      </c>
      <c r="H522" s="27">
        <v>4.26</v>
      </c>
      <c r="I522" s="27">
        <v>9.82</v>
      </c>
      <c r="J522" s="27">
        <v>155.62</v>
      </c>
      <c r="K522" s="47">
        <f t="shared" si="65"/>
        <v>0.46844878550314872</v>
      </c>
      <c r="L522" s="47">
        <f t="shared" si="66"/>
        <v>0.11078267574861841</v>
      </c>
      <c r="M522" s="84">
        <f t="shared" si="67"/>
        <v>0.57923146125176717</v>
      </c>
      <c r="N522" s="47">
        <f t="shared" si="68"/>
        <v>8.4564965942680884E-2</v>
      </c>
      <c r="O522" s="47">
        <f t="shared" si="69"/>
        <v>2.7374373473846546E-2</v>
      </c>
      <c r="P522" s="47">
        <f t="shared" si="70"/>
        <v>6.3102428993702608E-2</v>
      </c>
      <c r="Q522" s="47">
        <f t="shared" si="71"/>
        <v>1</v>
      </c>
    </row>
    <row r="523" spans="1:17" x14ac:dyDescent="0.35">
      <c r="A523" s="82">
        <v>520</v>
      </c>
      <c r="B523" s="83" t="str">
        <f>_xlfn.XLOOKUP(A523,'TAZs by City - CCAG Model'!$A:$A,'TAZs by City - CCAG Model'!$B:$B,"Unknown")</f>
        <v>Palo Alto</v>
      </c>
      <c r="C523" s="82">
        <f>_xlfn.XLOOKUP(A523,'TAZs by City - CCAG Model'!$A:$A,'TAZs by City - CCAG Model'!$C:$C,999)</f>
        <v>3</v>
      </c>
      <c r="D523" s="82" t="str">
        <f t="shared" si="64"/>
        <v>NO</v>
      </c>
      <c r="E523" s="27">
        <v>3082.36</v>
      </c>
      <c r="F523" s="27">
        <v>1129.22</v>
      </c>
      <c r="G523" s="27">
        <v>611.76</v>
      </c>
      <c r="H523" s="27">
        <v>188.2</v>
      </c>
      <c r="I523" s="27">
        <v>381.36</v>
      </c>
      <c r="J523" s="27">
        <v>6050.1</v>
      </c>
      <c r="K523" s="47">
        <f t="shared" si="65"/>
        <v>0.50947257070131069</v>
      </c>
      <c r="L523" s="47">
        <f t="shared" si="66"/>
        <v>0.18664484884547361</v>
      </c>
      <c r="M523" s="84">
        <f t="shared" si="67"/>
        <v>0.6961174195467843</v>
      </c>
      <c r="N523" s="47">
        <f t="shared" si="68"/>
        <v>0.10111568403828035</v>
      </c>
      <c r="O523" s="47">
        <f t="shared" si="69"/>
        <v>3.1106923852498303E-2</v>
      </c>
      <c r="P523" s="47">
        <f t="shared" si="70"/>
        <v>6.3033668864977438E-2</v>
      </c>
      <c r="Q523" s="47">
        <f t="shared" si="71"/>
        <v>1</v>
      </c>
    </row>
    <row r="524" spans="1:17" x14ac:dyDescent="0.35">
      <c r="A524" s="82">
        <v>521</v>
      </c>
      <c r="B524" s="83" t="str">
        <f>_xlfn.XLOOKUP(A524,'TAZs by City - CCAG Model'!$A:$A,'TAZs by City - CCAG Model'!$B:$B,"Unknown")</f>
        <v>Palo Alto</v>
      </c>
      <c r="C524" s="82">
        <f>_xlfn.XLOOKUP(A524,'TAZs by City - CCAG Model'!$A:$A,'TAZs by City - CCAG Model'!$C:$C,999)</f>
        <v>3</v>
      </c>
      <c r="D524" s="82" t="str">
        <f t="shared" si="64"/>
        <v>NO</v>
      </c>
      <c r="E524" s="27">
        <v>1662.62</v>
      </c>
      <c r="F524" s="27">
        <v>948.3</v>
      </c>
      <c r="G524" s="27">
        <v>355.2</v>
      </c>
      <c r="H524" s="27">
        <v>135.19999999999999</v>
      </c>
      <c r="I524" s="27">
        <v>506.64</v>
      </c>
      <c r="J524" s="27">
        <v>4004.64</v>
      </c>
      <c r="K524" s="47">
        <f t="shared" si="65"/>
        <v>0.41517339885732552</v>
      </c>
      <c r="L524" s="47">
        <f t="shared" si="66"/>
        <v>0.23680031163849935</v>
      </c>
      <c r="M524" s="84">
        <f t="shared" si="67"/>
        <v>0.65197371049582487</v>
      </c>
      <c r="N524" s="47">
        <f t="shared" si="68"/>
        <v>8.8697111350833038E-2</v>
      </c>
      <c r="O524" s="47">
        <f t="shared" si="69"/>
        <v>3.3760837428582845E-2</v>
      </c>
      <c r="P524" s="47">
        <f t="shared" si="70"/>
        <v>0.12651324463622199</v>
      </c>
      <c r="Q524" s="47">
        <f t="shared" si="71"/>
        <v>1</v>
      </c>
    </row>
    <row r="525" spans="1:17" x14ac:dyDescent="0.35">
      <c r="A525" s="82">
        <v>522</v>
      </c>
      <c r="B525" s="83" t="str">
        <f>_xlfn.XLOOKUP(A525,'TAZs by City - CCAG Model'!$A:$A,'TAZs by City - CCAG Model'!$B:$B,"Unknown")</f>
        <v>Palo Alto</v>
      </c>
      <c r="C525" s="82">
        <f>_xlfn.XLOOKUP(A525,'TAZs by City - CCAG Model'!$A:$A,'TAZs by City - CCAG Model'!$C:$C,999)</f>
        <v>3</v>
      </c>
      <c r="D525" s="82" t="str">
        <f t="shared" si="64"/>
        <v>NO</v>
      </c>
      <c r="E525" s="27">
        <v>2209.48</v>
      </c>
      <c r="F525" s="27">
        <v>1120.8599999999999</v>
      </c>
      <c r="G525" s="27">
        <v>588.32000000000005</v>
      </c>
      <c r="H525" s="27">
        <v>178.28</v>
      </c>
      <c r="I525" s="27">
        <v>772.82</v>
      </c>
      <c r="J525" s="27">
        <v>5511.78</v>
      </c>
      <c r="K525" s="47">
        <f t="shared" si="65"/>
        <v>0.40086505629760261</v>
      </c>
      <c r="L525" s="47">
        <f t="shared" si="66"/>
        <v>0.20335717318180332</v>
      </c>
      <c r="M525" s="84">
        <f t="shared" si="67"/>
        <v>0.60422222947940596</v>
      </c>
      <c r="N525" s="47">
        <f t="shared" si="68"/>
        <v>0.1067386579290175</v>
      </c>
      <c r="O525" s="47">
        <f t="shared" si="69"/>
        <v>3.2345267771935748E-2</v>
      </c>
      <c r="P525" s="47">
        <f t="shared" si="70"/>
        <v>0.14021241776703716</v>
      </c>
      <c r="Q525" s="47">
        <f t="shared" si="71"/>
        <v>1</v>
      </c>
    </row>
    <row r="526" spans="1:17" x14ac:dyDescent="0.35">
      <c r="A526" s="82">
        <v>523</v>
      </c>
      <c r="B526" s="83" t="str">
        <f>_xlfn.XLOOKUP(A526,'TAZs by City - CCAG Model'!$A:$A,'TAZs by City - CCAG Model'!$B:$B,"Unknown")</f>
        <v>Palo Alto</v>
      </c>
      <c r="C526" s="82">
        <f>_xlfn.XLOOKUP(A526,'TAZs by City - CCAG Model'!$A:$A,'TAZs by City - CCAG Model'!$C:$C,999)</f>
        <v>3</v>
      </c>
      <c r="D526" s="82" t="str">
        <f t="shared" si="64"/>
        <v>NO</v>
      </c>
      <c r="E526" s="27">
        <v>2055.98</v>
      </c>
      <c r="F526" s="27">
        <v>566.5</v>
      </c>
      <c r="G526" s="27">
        <v>0</v>
      </c>
      <c r="H526" s="27">
        <v>103.74</v>
      </c>
      <c r="I526" s="27">
        <v>25.18</v>
      </c>
      <c r="J526" s="27">
        <v>2779</v>
      </c>
      <c r="K526" s="47">
        <f t="shared" si="65"/>
        <v>0.73982727599856069</v>
      </c>
      <c r="L526" s="47">
        <f t="shared" si="66"/>
        <v>0.20385030586541922</v>
      </c>
      <c r="M526" s="84">
        <f t="shared" si="67"/>
        <v>0.94367758186397988</v>
      </c>
      <c r="N526" s="47">
        <f t="shared" si="68"/>
        <v>0</v>
      </c>
      <c r="O526" s="47">
        <f t="shared" si="69"/>
        <v>3.7329974811083119E-2</v>
      </c>
      <c r="P526" s="47">
        <f t="shared" si="70"/>
        <v>9.0608132421734437E-3</v>
      </c>
      <c r="Q526" s="47">
        <f t="shared" si="71"/>
        <v>1</v>
      </c>
    </row>
    <row r="527" spans="1:17" x14ac:dyDescent="0.35">
      <c r="A527" s="82">
        <v>524</v>
      </c>
      <c r="B527" s="83" t="str">
        <f>_xlfn.XLOOKUP(A527,'TAZs by City - CCAG Model'!$A:$A,'TAZs by City - CCAG Model'!$B:$B,"Unknown")</f>
        <v>Palo Alto</v>
      </c>
      <c r="C527" s="82">
        <f>_xlfn.XLOOKUP(A527,'TAZs by City - CCAG Model'!$A:$A,'TAZs by City - CCAG Model'!$C:$C,999)</f>
        <v>3</v>
      </c>
      <c r="D527" s="82" t="str">
        <f t="shared" si="64"/>
        <v>NO</v>
      </c>
      <c r="E527" s="27">
        <v>8890.5400000000009</v>
      </c>
      <c r="F527" s="27">
        <v>3433.32</v>
      </c>
      <c r="G527" s="27">
        <v>329.2</v>
      </c>
      <c r="H527" s="27">
        <v>587.54</v>
      </c>
      <c r="I527" s="27">
        <v>498.52</v>
      </c>
      <c r="J527" s="27">
        <v>14096.64</v>
      </c>
      <c r="K527" s="47">
        <f t="shared" si="65"/>
        <v>0.63068504267683656</v>
      </c>
      <c r="L527" s="47">
        <f t="shared" si="66"/>
        <v>0.24355591119585945</v>
      </c>
      <c r="M527" s="84">
        <f t="shared" si="67"/>
        <v>0.87424095387269596</v>
      </c>
      <c r="N527" s="47">
        <f t="shared" si="68"/>
        <v>2.3353082720421321E-2</v>
      </c>
      <c r="O527" s="47">
        <f t="shared" si="69"/>
        <v>4.1679435666939074E-2</v>
      </c>
      <c r="P527" s="47">
        <f t="shared" si="70"/>
        <v>3.5364455643330607E-2</v>
      </c>
      <c r="Q527" s="47">
        <f t="shared" si="71"/>
        <v>1</v>
      </c>
    </row>
    <row r="528" spans="1:17" x14ac:dyDescent="0.35">
      <c r="A528" s="82">
        <v>525</v>
      </c>
      <c r="B528" s="83" t="str">
        <f>_xlfn.XLOOKUP(A528,'TAZs by City - CCAG Model'!$A:$A,'TAZs by City - CCAG Model'!$B:$B,"Unknown")</f>
        <v>Palo Alto</v>
      </c>
      <c r="C528" s="82">
        <f>_xlfn.XLOOKUP(A528,'TAZs by City - CCAG Model'!$A:$A,'TAZs by City - CCAG Model'!$C:$C,999)</f>
        <v>3</v>
      </c>
      <c r="D528" s="82" t="str">
        <f t="shared" si="64"/>
        <v>NO</v>
      </c>
      <c r="E528" s="27">
        <v>2082.96</v>
      </c>
      <c r="F528" s="27">
        <v>659.8</v>
      </c>
      <c r="G528" s="27">
        <v>113.58</v>
      </c>
      <c r="H528" s="27">
        <v>90.56</v>
      </c>
      <c r="I528" s="27">
        <v>31.24</v>
      </c>
      <c r="J528" s="27">
        <v>3132.7</v>
      </c>
      <c r="K528" s="47">
        <f t="shared" si="65"/>
        <v>0.6649088645577298</v>
      </c>
      <c r="L528" s="47">
        <f t="shared" si="66"/>
        <v>0.21061703961439013</v>
      </c>
      <c r="M528" s="84">
        <f t="shared" si="67"/>
        <v>0.87552590417212006</v>
      </c>
      <c r="N528" s="47">
        <f t="shared" si="68"/>
        <v>3.6256264564114023E-2</v>
      </c>
      <c r="O528" s="47">
        <f t="shared" si="69"/>
        <v>2.8907970760047245E-2</v>
      </c>
      <c r="P528" s="47">
        <f t="shared" si="70"/>
        <v>9.9722284291505724E-3</v>
      </c>
      <c r="Q528" s="47">
        <f t="shared" si="71"/>
        <v>1</v>
      </c>
    </row>
    <row r="529" spans="1:17" x14ac:dyDescent="0.35">
      <c r="A529" s="82">
        <v>526</v>
      </c>
      <c r="B529" s="83" t="str">
        <f>_xlfn.XLOOKUP(A529,'TAZs by City - CCAG Model'!$A:$A,'TAZs by City - CCAG Model'!$B:$B,"Unknown")</f>
        <v>Palo Alto</v>
      </c>
      <c r="C529" s="82">
        <f>_xlfn.XLOOKUP(A529,'TAZs by City - CCAG Model'!$A:$A,'TAZs by City - CCAG Model'!$C:$C,999)</f>
        <v>3</v>
      </c>
      <c r="D529" s="82" t="str">
        <f t="shared" si="64"/>
        <v>NO</v>
      </c>
      <c r="E529" s="27">
        <v>4016.52</v>
      </c>
      <c r="F529" s="27">
        <v>2526.4</v>
      </c>
      <c r="G529" s="27">
        <v>786.52</v>
      </c>
      <c r="H529" s="27">
        <v>222.92</v>
      </c>
      <c r="I529" s="27">
        <v>1332.7</v>
      </c>
      <c r="J529" s="27">
        <v>9713.42</v>
      </c>
      <c r="K529" s="47">
        <f t="shared" si="65"/>
        <v>0.41350214445581474</v>
      </c>
      <c r="L529" s="47">
        <f t="shared" si="66"/>
        <v>0.26009376717983984</v>
      </c>
      <c r="M529" s="84">
        <f t="shared" si="67"/>
        <v>0.67359591163565458</v>
      </c>
      <c r="N529" s="47">
        <f t="shared" si="68"/>
        <v>8.0972510197232284E-2</v>
      </c>
      <c r="O529" s="47">
        <f t="shared" si="69"/>
        <v>2.2949692281400369E-2</v>
      </c>
      <c r="P529" s="47">
        <f t="shared" si="70"/>
        <v>0.13720193299579345</v>
      </c>
      <c r="Q529" s="47">
        <f t="shared" si="71"/>
        <v>1</v>
      </c>
    </row>
    <row r="530" spans="1:17" x14ac:dyDescent="0.35">
      <c r="A530" s="82">
        <v>527</v>
      </c>
      <c r="B530" s="83" t="str">
        <f>_xlfn.XLOOKUP(A530,'TAZs by City - CCAG Model'!$A:$A,'TAZs by City - CCAG Model'!$B:$B,"Unknown")</f>
        <v>Palo Alto</v>
      </c>
      <c r="C530" s="82">
        <f>_xlfn.XLOOKUP(A530,'TAZs by City - CCAG Model'!$A:$A,'TAZs by City - CCAG Model'!$C:$C,999)</f>
        <v>3</v>
      </c>
      <c r="D530" s="82" t="str">
        <f t="shared" si="64"/>
        <v>NO</v>
      </c>
      <c r="E530" s="27">
        <v>5858.56</v>
      </c>
      <c r="F530" s="27">
        <v>2662.24</v>
      </c>
      <c r="G530" s="27">
        <v>1094.18</v>
      </c>
      <c r="H530" s="27">
        <v>384.62</v>
      </c>
      <c r="I530" s="27">
        <v>1961.14</v>
      </c>
      <c r="J530" s="27">
        <v>13102.32</v>
      </c>
      <c r="K530" s="47">
        <f t="shared" si="65"/>
        <v>0.44713913261162913</v>
      </c>
      <c r="L530" s="47">
        <f t="shared" si="66"/>
        <v>0.203188442962773</v>
      </c>
      <c r="M530" s="84">
        <f t="shared" si="67"/>
        <v>0.65032757557440202</v>
      </c>
      <c r="N530" s="47">
        <f t="shared" si="68"/>
        <v>8.351040121138853E-2</v>
      </c>
      <c r="O530" s="47">
        <f t="shared" si="69"/>
        <v>2.9355106576545224E-2</v>
      </c>
      <c r="P530" s="47">
        <f t="shared" si="70"/>
        <v>0.14967883550394129</v>
      </c>
      <c r="Q530" s="47">
        <f t="shared" si="71"/>
        <v>1</v>
      </c>
    </row>
    <row r="531" spans="1:17" x14ac:dyDescent="0.35">
      <c r="A531" s="82">
        <v>528</v>
      </c>
      <c r="B531" s="83" t="str">
        <f>_xlfn.XLOOKUP(A531,'TAZs by City - CCAG Model'!$A:$A,'TAZs by City - CCAG Model'!$B:$B,"Unknown")</f>
        <v>Palo Alto</v>
      </c>
      <c r="C531" s="82">
        <f>_xlfn.XLOOKUP(A531,'TAZs by City - CCAG Model'!$A:$A,'TAZs by City - CCAG Model'!$C:$C,999)</f>
        <v>3</v>
      </c>
      <c r="D531" s="82" t="str">
        <f t="shared" si="64"/>
        <v>NO</v>
      </c>
      <c r="E531" s="27">
        <v>9076.0400000000009</v>
      </c>
      <c r="F531" s="27">
        <v>3128.84</v>
      </c>
      <c r="G531" s="27">
        <v>404.66</v>
      </c>
      <c r="H531" s="27">
        <v>476.54</v>
      </c>
      <c r="I531" s="27">
        <v>601.79999999999995</v>
      </c>
      <c r="J531" s="27">
        <v>14124.68</v>
      </c>
      <c r="K531" s="47">
        <f t="shared" si="65"/>
        <v>0.64256606167360963</v>
      </c>
      <c r="L531" s="47">
        <f t="shared" si="66"/>
        <v>0.22151581487155816</v>
      </c>
      <c r="M531" s="84">
        <f t="shared" si="67"/>
        <v>0.86408187654516777</v>
      </c>
      <c r="N531" s="47">
        <f t="shared" si="68"/>
        <v>2.8649144617789571E-2</v>
      </c>
      <c r="O531" s="47">
        <f t="shared" si="69"/>
        <v>3.3738109465134787E-2</v>
      </c>
      <c r="P531" s="47">
        <f t="shared" si="70"/>
        <v>4.260627497401711E-2</v>
      </c>
      <c r="Q531" s="47">
        <f t="shared" si="71"/>
        <v>1</v>
      </c>
    </row>
    <row r="532" spans="1:17" x14ac:dyDescent="0.35">
      <c r="A532" s="82">
        <v>529</v>
      </c>
      <c r="B532" s="83" t="str">
        <f>_xlfn.XLOOKUP(A532,'TAZs by City - CCAG Model'!$A:$A,'TAZs by City - CCAG Model'!$B:$B,"Unknown")</f>
        <v>Palo Alto</v>
      </c>
      <c r="C532" s="82">
        <f>_xlfn.XLOOKUP(A532,'TAZs by City - CCAG Model'!$A:$A,'TAZs by City - CCAG Model'!$C:$C,999)</f>
        <v>3</v>
      </c>
      <c r="D532" s="82" t="str">
        <f t="shared" si="64"/>
        <v>NO</v>
      </c>
      <c r="E532" s="27">
        <v>5020.9399999999996</v>
      </c>
      <c r="F532" s="27">
        <v>2700.7</v>
      </c>
      <c r="G532" s="27">
        <v>205.4</v>
      </c>
      <c r="H532" s="27">
        <v>238.86</v>
      </c>
      <c r="I532" s="27">
        <v>893.54</v>
      </c>
      <c r="J532" s="27">
        <v>9309.94</v>
      </c>
      <c r="K532" s="47">
        <f t="shared" si="65"/>
        <v>0.53930959812845192</v>
      </c>
      <c r="L532" s="47">
        <f t="shared" si="66"/>
        <v>0.29008779863242939</v>
      </c>
      <c r="M532" s="84">
        <f t="shared" si="67"/>
        <v>0.82939739676088131</v>
      </c>
      <c r="N532" s="47">
        <f t="shared" si="68"/>
        <v>2.2062440789092089E-2</v>
      </c>
      <c r="O532" s="47">
        <f t="shared" si="69"/>
        <v>2.5656448913741657E-2</v>
      </c>
      <c r="P532" s="47">
        <f t="shared" si="70"/>
        <v>9.5976988036442765E-2</v>
      </c>
      <c r="Q532" s="47">
        <f t="shared" si="71"/>
        <v>1</v>
      </c>
    </row>
    <row r="533" spans="1:17" x14ac:dyDescent="0.35">
      <c r="A533" s="82">
        <v>530</v>
      </c>
      <c r="B533" s="83" t="str">
        <f>_xlfn.XLOOKUP(A533,'TAZs by City - CCAG Model'!$A:$A,'TAZs by City - CCAG Model'!$B:$B,"Unknown")</f>
        <v>Unincorporated</v>
      </c>
      <c r="C533" s="82">
        <f>_xlfn.XLOOKUP(A533,'TAZs by City - CCAG Model'!$A:$A,'TAZs by City - CCAG Model'!$C:$C,999)</f>
        <v>3</v>
      </c>
      <c r="D533" s="82" t="str">
        <f t="shared" si="64"/>
        <v>NO</v>
      </c>
      <c r="E533" s="27">
        <v>169.12</v>
      </c>
      <c r="F533" s="27">
        <v>65.56</v>
      </c>
      <c r="G533" s="27">
        <v>23.8</v>
      </c>
      <c r="H533" s="27">
        <v>19.72</v>
      </c>
      <c r="I533" s="27">
        <v>19.600000000000001</v>
      </c>
      <c r="J533" s="27">
        <v>353.34</v>
      </c>
      <c r="K533" s="47">
        <f t="shared" si="65"/>
        <v>0.47863247863247865</v>
      </c>
      <c r="L533" s="47">
        <f t="shared" si="66"/>
        <v>0.18554366898737762</v>
      </c>
      <c r="M533" s="84">
        <f t="shared" si="67"/>
        <v>0.66417614761985633</v>
      </c>
      <c r="N533" s="47">
        <f t="shared" si="68"/>
        <v>6.7357219675100471E-2</v>
      </c>
      <c r="O533" s="47">
        <f t="shared" si="69"/>
        <v>5.581026773079753E-2</v>
      </c>
      <c r="P533" s="47">
        <f t="shared" si="70"/>
        <v>5.5470651497141574E-2</v>
      </c>
      <c r="Q533" s="47">
        <f t="shared" si="71"/>
        <v>1</v>
      </c>
    </row>
    <row r="534" spans="1:17" x14ac:dyDescent="0.35">
      <c r="A534" s="82">
        <v>531</v>
      </c>
      <c r="B534" s="83" t="str">
        <f>_xlfn.XLOOKUP(A534,'TAZs by City - CCAG Model'!$A:$A,'TAZs by City - CCAG Model'!$B:$B,"Unknown")</f>
        <v>Unincorporated</v>
      </c>
      <c r="C534" s="82">
        <f>_xlfn.XLOOKUP(A534,'TAZs by City - CCAG Model'!$A:$A,'TAZs by City - CCAG Model'!$C:$C,999)</f>
        <v>3</v>
      </c>
      <c r="D534" s="82" t="str">
        <f t="shared" si="64"/>
        <v>NO</v>
      </c>
      <c r="E534" s="27">
        <v>244.62</v>
      </c>
      <c r="F534" s="27">
        <v>83.26</v>
      </c>
      <c r="G534" s="27">
        <v>31.76</v>
      </c>
      <c r="H534" s="27">
        <v>2.02</v>
      </c>
      <c r="I534" s="27">
        <v>21.26</v>
      </c>
      <c r="J534" s="27">
        <v>448.54</v>
      </c>
      <c r="K534" s="47">
        <f t="shared" si="65"/>
        <v>0.54536942078744366</v>
      </c>
      <c r="L534" s="47">
        <f t="shared" si="66"/>
        <v>0.18562447050430286</v>
      </c>
      <c r="M534" s="84">
        <f t="shared" si="67"/>
        <v>0.73099389129174652</v>
      </c>
      <c r="N534" s="47">
        <f t="shared" si="68"/>
        <v>7.0807508806349492E-2</v>
      </c>
      <c r="O534" s="47">
        <f t="shared" si="69"/>
        <v>4.5035002452401126E-3</v>
      </c>
      <c r="P534" s="47">
        <f t="shared" si="70"/>
        <v>4.7398225353368711E-2</v>
      </c>
      <c r="Q534" s="47">
        <f t="shared" si="71"/>
        <v>1</v>
      </c>
    </row>
    <row r="535" spans="1:17" x14ac:dyDescent="0.35">
      <c r="A535" s="82">
        <v>532</v>
      </c>
      <c r="B535" s="83" t="str">
        <f>_xlfn.XLOOKUP(A535,'TAZs by City - CCAG Model'!$A:$A,'TAZs by City - CCAG Model'!$B:$B,"Unknown")</f>
        <v>Palo Alto</v>
      </c>
      <c r="C535" s="82">
        <f>_xlfn.XLOOKUP(A535,'TAZs by City - CCAG Model'!$A:$A,'TAZs by City - CCAG Model'!$C:$C,999)</f>
        <v>3</v>
      </c>
      <c r="D535" s="82" t="str">
        <f t="shared" si="64"/>
        <v>NO</v>
      </c>
      <c r="E535" s="27">
        <v>6263.7</v>
      </c>
      <c r="F535" s="27">
        <v>2644.7</v>
      </c>
      <c r="G535" s="27">
        <v>1294.32</v>
      </c>
      <c r="H535" s="27">
        <v>203.4</v>
      </c>
      <c r="I535" s="27">
        <v>872.1</v>
      </c>
      <c r="J535" s="27">
        <v>12616.78</v>
      </c>
      <c r="K535" s="47">
        <f t="shared" si="65"/>
        <v>0.49645789179172495</v>
      </c>
      <c r="L535" s="47">
        <f t="shared" si="66"/>
        <v>0.20961766789941647</v>
      </c>
      <c r="M535" s="84">
        <f t="shared" si="67"/>
        <v>0.70607555969114144</v>
      </c>
      <c r="N535" s="47">
        <f t="shared" si="68"/>
        <v>0.102587189441363</v>
      </c>
      <c r="O535" s="47">
        <f t="shared" si="69"/>
        <v>1.6121387548962571E-2</v>
      </c>
      <c r="P535" s="47">
        <f t="shared" si="70"/>
        <v>6.9122232455507665E-2</v>
      </c>
      <c r="Q535" s="47">
        <f t="shared" si="71"/>
        <v>1</v>
      </c>
    </row>
    <row r="536" spans="1:17" x14ac:dyDescent="0.35">
      <c r="A536" s="82">
        <v>533</v>
      </c>
      <c r="B536" s="83" t="str">
        <f>_xlfn.XLOOKUP(A536,'TAZs by City - CCAG Model'!$A:$A,'TAZs by City - CCAG Model'!$B:$B,"Unknown")</f>
        <v>Palo Alto</v>
      </c>
      <c r="C536" s="82">
        <f>_xlfn.XLOOKUP(A536,'TAZs by City - CCAG Model'!$A:$A,'TAZs by City - CCAG Model'!$C:$C,999)</f>
        <v>3</v>
      </c>
      <c r="D536" s="82" t="str">
        <f t="shared" si="64"/>
        <v>NO</v>
      </c>
      <c r="E536" s="27">
        <v>2941.22</v>
      </c>
      <c r="F536" s="27">
        <v>1665.74</v>
      </c>
      <c r="G536" s="27">
        <v>445.7</v>
      </c>
      <c r="H536" s="27">
        <v>177.16</v>
      </c>
      <c r="I536" s="27">
        <v>520.36</v>
      </c>
      <c r="J536" s="27">
        <v>6236.36</v>
      </c>
      <c r="K536" s="47">
        <f t="shared" si="65"/>
        <v>0.47162447325042173</v>
      </c>
      <c r="L536" s="47">
        <f t="shared" si="66"/>
        <v>0.26710132192496905</v>
      </c>
      <c r="M536" s="84">
        <f t="shared" si="67"/>
        <v>0.73872579517539083</v>
      </c>
      <c r="N536" s="47">
        <f t="shared" si="68"/>
        <v>7.146797170144123E-2</v>
      </c>
      <c r="O536" s="47">
        <f t="shared" si="69"/>
        <v>2.8407596739123464E-2</v>
      </c>
      <c r="P536" s="47">
        <f t="shared" si="70"/>
        <v>8.3439698798658202E-2</v>
      </c>
      <c r="Q536" s="47">
        <f t="shared" si="71"/>
        <v>1</v>
      </c>
    </row>
    <row r="537" spans="1:17" x14ac:dyDescent="0.35">
      <c r="A537" s="82">
        <v>534</v>
      </c>
      <c r="B537" s="83" t="str">
        <f>_xlfn.XLOOKUP(A537,'TAZs by City - CCAG Model'!$A:$A,'TAZs by City - CCAG Model'!$B:$B,"Unknown")</f>
        <v>Palo Alto</v>
      </c>
      <c r="C537" s="82">
        <f>_xlfn.XLOOKUP(A537,'TAZs by City - CCAG Model'!$A:$A,'TAZs by City - CCAG Model'!$C:$C,999)</f>
        <v>3</v>
      </c>
      <c r="D537" s="82" t="str">
        <f t="shared" si="64"/>
        <v>NO</v>
      </c>
      <c r="E537" s="27">
        <v>6643.88</v>
      </c>
      <c r="F537" s="27">
        <v>2865.5</v>
      </c>
      <c r="G537" s="27">
        <v>978.26</v>
      </c>
      <c r="H537" s="27">
        <v>234.44</v>
      </c>
      <c r="I537" s="27">
        <v>1192.0999999999999</v>
      </c>
      <c r="J537" s="27">
        <v>12934.6</v>
      </c>
      <c r="K537" s="47">
        <f t="shared" si="65"/>
        <v>0.51365175575587962</v>
      </c>
      <c r="L537" s="47">
        <f t="shared" si="66"/>
        <v>0.22153758137089666</v>
      </c>
      <c r="M537" s="84">
        <f t="shared" si="67"/>
        <v>0.73518933712677625</v>
      </c>
      <c r="N537" s="47">
        <f t="shared" si="68"/>
        <v>7.5631252609280525E-2</v>
      </c>
      <c r="O537" s="47">
        <f t="shared" si="69"/>
        <v>1.8125028992005937E-2</v>
      </c>
      <c r="P537" s="47">
        <f t="shared" si="70"/>
        <v>9.2163654075116341E-2</v>
      </c>
      <c r="Q537" s="47">
        <f t="shared" si="71"/>
        <v>1</v>
      </c>
    </row>
    <row r="538" spans="1:17" x14ac:dyDescent="0.35">
      <c r="A538" s="82">
        <v>535</v>
      </c>
      <c r="B538" s="83" t="str">
        <f>_xlfn.XLOOKUP(A538,'TAZs by City - CCAG Model'!$A:$A,'TAZs by City - CCAG Model'!$B:$B,"Unknown")</f>
        <v>Palo Alto</v>
      </c>
      <c r="C538" s="82">
        <f>_xlfn.XLOOKUP(A538,'TAZs by City - CCAG Model'!$A:$A,'TAZs by City - CCAG Model'!$C:$C,999)</f>
        <v>3</v>
      </c>
      <c r="D538" s="82" t="str">
        <f t="shared" si="64"/>
        <v>NO</v>
      </c>
      <c r="E538" s="27">
        <v>9118.64</v>
      </c>
      <c r="F538" s="27">
        <v>4161.7</v>
      </c>
      <c r="G538" s="27">
        <v>3028.3</v>
      </c>
      <c r="H538" s="27">
        <v>285.77999999999997</v>
      </c>
      <c r="I538" s="27">
        <v>1768.2</v>
      </c>
      <c r="J538" s="27">
        <v>21421.54</v>
      </c>
      <c r="K538" s="47">
        <f t="shared" si="65"/>
        <v>0.42567621188766069</v>
      </c>
      <c r="L538" s="47">
        <f t="shared" si="66"/>
        <v>0.19427641523438555</v>
      </c>
      <c r="M538" s="84">
        <f t="shared" si="67"/>
        <v>0.61995262712204624</v>
      </c>
      <c r="N538" s="47">
        <f t="shared" si="68"/>
        <v>0.14136705390928944</v>
      </c>
      <c r="O538" s="47">
        <f t="shared" si="69"/>
        <v>1.3340777553807987E-2</v>
      </c>
      <c r="P538" s="47">
        <f t="shared" si="70"/>
        <v>8.2543085137669836E-2</v>
      </c>
      <c r="Q538" s="47">
        <f t="shared" si="71"/>
        <v>1</v>
      </c>
    </row>
    <row r="539" spans="1:17" x14ac:dyDescent="0.35">
      <c r="A539" s="82">
        <v>536</v>
      </c>
      <c r="B539" s="83" t="str">
        <f>_xlfn.XLOOKUP(A539,'TAZs by City - CCAG Model'!$A:$A,'TAZs by City - CCAG Model'!$B:$B,"Unknown")</f>
        <v>Palo Alto</v>
      </c>
      <c r="C539" s="82">
        <f>_xlfn.XLOOKUP(A539,'TAZs by City - CCAG Model'!$A:$A,'TAZs by City - CCAG Model'!$C:$C,999)</f>
        <v>3</v>
      </c>
      <c r="D539" s="82" t="str">
        <f t="shared" si="64"/>
        <v>NO</v>
      </c>
      <c r="E539" s="27">
        <v>7265.8</v>
      </c>
      <c r="F539" s="27">
        <v>2310.14</v>
      </c>
      <c r="G539" s="27">
        <v>346.46</v>
      </c>
      <c r="H539" s="27">
        <v>82.42</v>
      </c>
      <c r="I539" s="27">
        <v>445.2</v>
      </c>
      <c r="J539" s="27">
        <v>10831.2</v>
      </c>
      <c r="K539" s="47">
        <f t="shared" si="65"/>
        <v>0.67082133096979091</v>
      </c>
      <c r="L539" s="47">
        <f t="shared" si="66"/>
        <v>0.21328569318265747</v>
      </c>
      <c r="M539" s="84">
        <f t="shared" si="67"/>
        <v>0.88410702415244846</v>
      </c>
      <c r="N539" s="47">
        <f t="shared" si="68"/>
        <v>3.1987222099121054E-2</v>
      </c>
      <c r="O539" s="47">
        <f t="shared" si="69"/>
        <v>7.6094984858556761E-3</v>
      </c>
      <c r="P539" s="47">
        <f t="shared" si="70"/>
        <v>4.1103478838909815E-2</v>
      </c>
      <c r="Q539" s="47">
        <f t="shared" si="71"/>
        <v>1</v>
      </c>
    </row>
    <row r="540" spans="1:17" x14ac:dyDescent="0.35">
      <c r="A540" s="82">
        <v>537</v>
      </c>
      <c r="B540" s="83" t="str">
        <f>_xlfn.XLOOKUP(A540,'TAZs by City - CCAG Model'!$A:$A,'TAZs by City - CCAG Model'!$B:$B,"Unknown")</f>
        <v>Palo Alto</v>
      </c>
      <c r="C540" s="82">
        <f>_xlfn.XLOOKUP(A540,'TAZs by City - CCAG Model'!$A:$A,'TAZs by City - CCAG Model'!$C:$C,999)</f>
        <v>3</v>
      </c>
      <c r="D540" s="82" t="str">
        <f t="shared" si="64"/>
        <v>NO</v>
      </c>
      <c r="E540" s="27">
        <v>6256.02</v>
      </c>
      <c r="F540" s="27">
        <v>3920.12</v>
      </c>
      <c r="G540" s="27">
        <v>523.32000000000005</v>
      </c>
      <c r="H540" s="27">
        <v>284.83999999999997</v>
      </c>
      <c r="I540" s="27">
        <v>928.3</v>
      </c>
      <c r="J540" s="27">
        <v>12479.72</v>
      </c>
      <c r="K540" s="47">
        <f t="shared" si="65"/>
        <v>0.50129490084713446</v>
      </c>
      <c r="L540" s="47">
        <f t="shared" si="66"/>
        <v>0.31411922703393985</v>
      </c>
      <c r="M540" s="84">
        <f t="shared" si="67"/>
        <v>0.81541412788107426</v>
      </c>
      <c r="N540" s="47">
        <f t="shared" si="68"/>
        <v>4.1933633126384255E-2</v>
      </c>
      <c r="O540" s="47">
        <f t="shared" si="69"/>
        <v>2.2824230030801973E-2</v>
      </c>
      <c r="P540" s="47">
        <f t="shared" si="70"/>
        <v>7.4384681707602415E-2</v>
      </c>
      <c r="Q540" s="47">
        <f t="shared" si="71"/>
        <v>1</v>
      </c>
    </row>
    <row r="541" spans="1:17" x14ac:dyDescent="0.35">
      <c r="A541" s="82">
        <v>538</v>
      </c>
      <c r="B541" s="83" t="str">
        <f>_xlfn.XLOOKUP(A541,'TAZs by City - CCAG Model'!$A:$A,'TAZs by City - CCAG Model'!$B:$B,"Unknown")</f>
        <v>San Jose</v>
      </c>
      <c r="C541" s="82">
        <f>_xlfn.XLOOKUP(A541,'TAZs by City - CCAG Model'!$A:$A,'TAZs by City - CCAG Model'!$C:$C,999)</f>
        <v>3</v>
      </c>
      <c r="D541" s="82" t="str">
        <f t="shared" si="64"/>
        <v>NO</v>
      </c>
      <c r="E541" s="27">
        <v>10225.18</v>
      </c>
      <c r="F541" s="27">
        <v>3025.54</v>
      </c>
      <c r="G541" s="27">
        <v>661.86</v>
      </c>
      <c r="H541" s="27">
        <v>112.1</v>
      </c>
      <c r="I541" s="27">
        <v>818.36</v>
      </c>
      <c r="J541" s="27">
        <v>15526.08</v>
      </c>
      <c r="K541" s="47">
        <f t="shared" si="65"/>
        <v>0.65858091675426123</v>
      </c>
      <c r="L541" s="47">
        <f t="shared" si="66"/>
        <v>0.19486824749067375</v>
      </c>
      <c r="M541" s="84">
        <f t="shared" si="67"/>
        <v>0.853449164244935</v>
      </c>
      <c r="N541" s="47">
        <f t="shared" si="68"/>
        <v>4.2628918567983676E-2</v>
      </c>
      <c r="O541" s="47">
        <f t="shared" si="69"/>
        <v>7.2201096477668538E-3</v>
      </c>
      <c r="P541" s="47">
        <f t="shared" si="70"/>
        <v>5.2708732661431605E-2</v>
      </c>
      <c r="Q541" s="47">
        <f t="shared" si="71"/>
        <v>1</v>
      </c>
    </row>
    <row r="542" spans="1:17" x14ac:dyDescent="0.35">
      <c r="A542" s="82">
        <v>539</v>
      </c>
      <c r="B542" s="83" t="str">
        <f>_xlfn.XLOOKUP(A542,'TAZs by City - CCAG Model'!$A:$A,'TAZs by City - CCAG Model'!$B:$B,"Unknown")</f>
        <v>San Jose</v>
      </c>
      <c r="C542" s="82">
        <f>_xlfn.XLOOKUP(A542,'TAZs by City - CCAG Model'!$A:$A,'TAZs by City - CCAG Model'!$C:$C,999)</f>
        <v>3</v>
      </c>
      <c r="D542" s="82" t="str">
        <f t="shared" si="64"/>
        <v>NO</v>
      </c>
      <c r="E542" s="27">
        <v>6277.84</v>
      </c>
      <c r="F542" s="27">
        <v>1875.82</v>
      </c>
      <c r="G542" s="27">
        <v>208.28</v>
      </c>
      <c r="H542" s="27">
        <v>74.400000000000006</v>
      </c>
      <c r="I542" s="27">
        <v>192.76</v>
      </c>
      <c r="J542" s="27">
        <v>8869.24</v>
      </c>
      <c r="K542" s="47">
        <f t="shared" si="65"/>
        <v>0.70782163973463341</v>
      </c>
      <c r="L542" s="47">
        <f t="shared" si="66"/>
        <v>0.21149726470362737</v>
      </c>
      <c r="M542" s="84">
        <f t="shared" si="67"/>
        <v>0.91931890443826081</v>
      </c>
      <c r="N542" s="47">
        <f t="shared" si="68"/>
        <v>2.3483410077977371E-2</v>
      </c>
      <c r="O542" s="47">
        <f t="shared" si="69"/>
        <v>8.3885428740230281E-3</v>
      </c>
      <c r="P542" s="47">
        <f t="shared" si="70"/>
        <v>2.1733541994579015E-2</v>
      </c>
      <c r="Q542" s="47">
        <f t="shared" si="71"/>
        <v>1</v>
      </c>
    </row>
    <row r="543" spans="1:17" x14ac:dyDescent="0.35">
      <c r="A543" s="82">
        <v>540</v>
      </c>
      <c r="B543" s="83" t="str">
        <f>_xlfn.XLOOKUP(A543,'TAZs by City - CCAG Model'!$A:$A,'TAZs by City - CCAG Model'!$B:$B,"Unknown")</f>
        <v>San Jose</v>
      </c>
      <c r="C543" s="82">
        <f>_xlfn.XLOOKUP(A543,'TAZs by City - CCAG Model'!$A:$A,'TAZs by City - CCAG Model'!$C:$C,999)</f>
        <v>3</v>
      </c>
      <c r="D543" s="82" t="str">
        <f t="shared" si="64"/>
        <v>NO</v>
      </c>
      <c r="E543" s="27">
        <v>4285.72</v>
      </c>
      <c r="F543" s="27">
        <v>1268.3</v>
      </c>
      <c r="G543" s="27">
        <v>187.6</v>
      </c>
      <c r="H543" s="27">
        <v>50.46</v>
      </c>
      <c r="I543" s="27">
        <v>121.34</v>
      </c>
      <c r="J543" s="27">
        <v>6138.36</v>
      </c>
      <c r="K543" s="47">
        <f t="shared" si="65"/>
        <v>0.69818648629275581</v>
      </c>
      <c r="L543" s="47">
        <f t="shared" si="66"/>
        <v>0.20661870597358253</v>
      </c>
      <c r="M543" s="84">
        <f t="shared" si="67"/>
        <v>0.90480519226633838</v>
      </c>
      <c r="N543" s="47">
        <f t="shared" si="68"/>
        <v>3.0561909044109502E-2</v>
      </c>
      <c r="O543" s="47">
        <f t="shared" si="69"/>
        <v>8.2204367290286007E-3</v>
      </c>
      <c r="P543" s="47">
        <f t="shared" si="70"/>
        <v>1.9767494900918163E-2</v>
      </c>
      <c r="Q543" s="47">
        <f t="shared" si="71"/>
        <v>1</v>
      </c>
    </row>
    <row r="544" spans="1:17" x14ac:dyDescent="0.35">
      <c r="A544" s="82">
        <v>541</v>
      </c>
      <c r="B544" s="83" t="str">
        <f>_xlfn.XLOOKUP(A544,'TAZs by City - CCAG Model'!$A:$A,'TAZs by City - CCAG Model'!$B:$B,"Unknown")</f>
        <v>San Jose</v>
      </c>
      <c r="C544" s="82">
        <f>_xlfn.XLOOKUP(A544,'TAZs by City - CCAG Model'!$A:$A,'TAZs by City - CCAG Model'!$C:$C,999)</f>
        <v>3</v>
      </c>
      <c r="D544" s="82" t="str">
        <f t="shared" si="64"/>
        <v>NO</v>
      </c>
      <c r="E544" s="27">
        <v>221.6</v>
      </c>
      <c r="F544" s="27">
        <v>52.98</v>
      </c>
      <c r="G544" s="27">
        <v>3.42</v>
      </c>
      <c r="H544" s="27">
        <v>0.98</v>
      </c>
      <c r="I544" s="27">
        <v>20</v>
      </c>
      <c r="J544" s="27">
        <v>338.04</v>
      </c>
      <c r="K544" s="47">
        <f t="shared" si="65"/>
        <v>0.65554372263637428</v>
      </c>
      <c r="L544" s="47">
        <f t="shared" si="66"/>
        <v>0.15672701455449056</v>
      </c>
      <c r="M544" s="84">
        <f t="shared" si="67"/>
        <v>0.81227073719086484</v>
      </c>
      <c r="N544" s="47">
        <f t="shared" si="68"/>
        <v>1.0117145899893503E-2</v>
      </c>
      <c r="O544" s="47">
        <f t="shared" si="69"/>
        <v>2.8990651993846882E-3</v>
      </c>
      <c r="P544" s="47">
        <f t="shared" si="70"/>
        <v>5.9164595905809962E-2</v>
      </c>
      <c r="Q544" s="47">
        <f t="shared" si="71"/>
        <v>1</v>
      </c>
    </row>
    <row r="545" spans="1:17" x14ac:dyDescent="0.35">
      <c r="A545" s="82">
        <v>542</v>
      </c>
      <c r="B545" s="83" t="str">
        <f>_xlfn.XLOOKUP(A545,'TAZs by City - CCAG Model'!$A:$A,'TAZs by City - CCAG Model'!$B:$B,"Unknown")</f>
        <v>San Jose</v>
      </c>
      <c r="C545" s="82">
        <f>_xlfn.XLOOKUP(A545,'TAZs by City - CCAG Model'!$A:$A,'TAZs by City - CCAG Model'!$C:$C,999)</f>
        <v>3</v>
      </c>
      <c r="D545" s="82" t="str">
        <f t="shared" si="64"/>
        <v>NO</v>
      </c>
      <c r="E545" s="27">
        <v>707.28</v>
      </c>
      <c r="F545" s="27">
        <v>210.08</v>
      </c>
      <c r="G545" s="27">
        <v>3.8</v>
      </c>
      <c r="H545" s="27">
        <v>5.4</v>
      </c>
      <c r="I545" s="27">
        <v>34.36</v>
      </c>
      <c r="J545" s="27">
        <v>1003.94</v>
      </c>
      <c r="K545" s="47">
        <f t="shared" si="65"/>
        <v>0.70450425324222554</v>
      </c>
      <c r="L545" s="47">
        <f t="shared" si="66"/>
        <v>0.20925553319919518</v>
      </c>
      <c r="M545" s="84">
        <f t="shared" si="67"/>
        <v>0.91375978644142075</v>
      </c>
      <c r="N545" s="47">
        <f t="shared" si="68"/>
        <v>3.7850867581727989E-3</v>
      </c>
      <c r="O545" s="47">
        <f t="shared" si="69"/>
        <v>5.378807498456083E-3</v>
      </c>
      <c r="P545" s="47">
        <f t="shared" si="70"/>
        <v>3.4225152897583516E-2</v>
      </c>
      <c r="Q545" s="47">
        <f t="shared" si="71"/>
        <v>1</v>
      </c>
    </row>
    <row r="546" spans="1:17" x14ac:dyDescent="0.35">
      <c r="A546" s="82">
        <v>543</v>
      </c>
      <c r="B546" s="83" t="str">
        <f>_xlfn.XLOOKUP(A546,'TAZs by City - CCAG Model'!$A:$A,'TAZs by City - CCAG Model'!$B:$B,"Unknown")</f>
        <v>San Jose</v>
      </c>
      <c r="C546" s="82">
        <f>_xlfn.XLOOKUP(A546,'TAZs by City - CCAG Model'!$A:$A,'TAZs by City - CCAG Model'!$C:$C,999)</f>
        <v>3</v>
      </c>
      <c r="D546" s="82" t="str">
        <f t="shared" si="64"/>
        <v>NO</v>
      </c>
      <c r="E546" s="27">
        <v>1276.18</v>
      </c>
      <c r="F546" s="27">
        <v>616.52</v>
      </c>
      <c r="G546" s="27">
        <v>31.98</v>
      </c>
      <c r="H546" s="27">
        <v>20.7</v>
      </c>
      <c r="I546" s="27">
        <v>86.7</v>
      </c>
      <c r="J546" s="27">
        <v>2108.7600000000002</v>
      </c>
      <c r="K546" s="47">
        <f t="shared" si="65"/>
        <v>0.60518029552912611</v>
      </c>
      <c r="L546" s="47">
        <f t="shared" si="66"/>
        <v>0.29236138773497217</v>
      </c>
      <c r="M546" s="84">
        <f t="shared" si="67"/>
        <v>0.89754168326409822</v>
      </c>
      <c r="N546" s="47">
        <f t="shared" si="68"/>
        <v>1.5165310419393386E-2</v>
      </c>
      <c r="O546" s="47">
        <f t="shared" si="69"/>
        <v>9.8161952996073509E-3</v>
      </c>
      <c r="P546" s="47">
        <f t="shared" si="70"/>
        <v>4.1114209298355429E-2</v>
      </c>
      <c r="Q546" s="47">
        <f t="shared" si="71"/>
        <v>1</v>
      </c>
    </row>
    <row r="547" spans="1:17" x14ac:dyDescent="0.35">
      <c r="A547" s="82">
        <v>544</v>
      </c>
      <c r="B547" s="83" t="str">
        <f>_xlfn.XLOOKUP(A547,'TAZs by City - CCAG Model'!$A:$A,'TAZs by City - CCAG Model'!$B:$B,"Unknown")</f>
        <v>San Jose</v>
      </c>
      <c r="C547" s="82">
        <f>_xlfn.XLOOKUP(A547,'TAZs by City - CCAG Model'!$A:$A,'TAZs by City - CCAG Model'!$C:$C,999)</f>
        <v>3</v>
      </c>
      <c r="D547" s="82" t="str">
        <f t="shared" si="64"/>
        <v>NO</v>
      </c>
      <c r="E547" s="27">
        <v>1359.5</v>
      </c>
      <c r="F547" s="27">
        <v>438.6</v>
      </c>
      <c r="G547" s="27">
        <v>55.72</v>
      </c>
      <c r="H547" s="27">
        <v>10.6</v>
      </c>
      <c r="I547" s="27">
        <v>85.5</v>
      </c>
      <c r="J547" s="27">
        <v>2055.6</v>
      </c>
      <c r="K547" s="47">
        <f t="shared" si="65"/>
        <v>0.66136407861451652</v>
      </c>
      <c r="L547" s="47">
        <f t="shared" si="66"/>
        <v>0.21336835960303563</v>
      </c>
      <c r="M547" s="84">
        <f t="shared" si="67"/>
        <v>0.87473243821755209</v>
      </c>
      <c r="N547" s="47">
        <f t="shared" si="68"/>
        <v>2.7106440941817474E-2</v>
      </c>
      <c r="O547" s="47">
        <f t="shared" si="69"/>
        <v>5.1566452617240709E-3</v>
      </c>
      <c r="P547" s="47">
        <f t="shared" si="70"/>
        <v>4.1593695271453589E-2</v>
      </c>
      <c r="Q547" s="47">
        <f t="shared" si="71"/>
        <v>1</v>
      </c>
    </row>
    <row r="548" spans="1:17" x14ac:dyDescent="0.35">
      <c r="A548" s="82">
        <v>545</v>
      </c>
      <c r="B548" s="83" t="str">
        <f>_xlfn.XLOOKUP(A548,'TAZs by City - CCAG Model'!$A:$A,'TAZs by City - CCAG Model'!$B:$B,"Unknown")</f>
        <v>San Jose</v>
      </c>
      <c r="C548" s="82">
        <f>_xlfn.XLOOKUP(A548,'TAZs by City - CCAG Model'!$A:$A,'TAZs by City - CCAG Model'!$C:$C,999)</f>
        <v>3</v>
      </c>
      <c r="D548" s="82" t="str">
        <f t="shared" si="64"/>
        <v>NO</v>
      </c>
      <c r="E548" s="27">
        <v>597.74</v>
      </c>
      <c r="F548" s="27">
        <v>267.54000000000002</v>
      </c>
      <c r="G548" s="27">
        <v>12.42</v>
      </c>
      <c r="H548" s="27">
        <v>6.42</v>
      </c>
      <c r="I548" s="27">
        <v>36.96</v>
      </c>
      <c r="J548" s="27">
        <v>971.28</v>
      </c>
      <c r="K548" s="47">
        <f t="shared" si="65"/>
        <v>0.61541471048513308</v>
      </c>
      <c r="L548" s="47">
        <f t="shared" si="66"/>
        <v>0.2754509513219669</v>
      </c>
      <c r="M548" s="84">
        <f t="shared" si="67"/>
        <v>0.89086566180709992</v>
      </c>
      <c r="N548" s="47">
        <f t="shared" si="68"/>
        <v>1.278724981467754E-2</v>
      </c>
      <c r="O548" s="47">
        <f t="shared" si="69"/>
        <v>6.6098344452681004E-3</v>
      </c>
      <c r="P548" s="47">
        <f t="shared" si="70"/>
        <v>3.8052878675562146E-2</v>
      </c>
      <c r="Q548" s="47">
        <f t="shared" si="71"/>
        <v>1</v>
      </c>
    </row>
    <row r="549" spans="1:17" x14ac:dyDescent="0.35">
      <c r="A549" s="82">
        <v>546</v>
      </c>
      <c r="B549" s="83" t="str">
        <f>_xlfn.XLOOKUP(A549,'TAZs by City - CCAG Model'!$A:$A,'TAZs by City - CCAG Model'!$B:$B,"Unknown")</f>
        <v>San Jose</v>
      </c>
      <c r="C549" s="82">
        <f>_xlfn.XLOOKUP(A549,'TAZs by City - CCAG Model'!$A:$A,'TAZs by City - CCAG Model'!$C:$C,999)</f>
        <v>3</v>
      </c>
      <c r="D549" s="82" t="str">
        <f t="shared" si="64"/>
        <v>NO</v>
      </c>
      <c r="E549" s="27">
        <v>2642.18</v>
      </c>
      <c r="F549" s="27">
        <v>1914.3</v>
      </c>
      <c r="G549" s="27">
        <v>274.58</v>
      </c>
      <c r="H549" s="27">
        <v>59.86</v>
      </c>
      <c r="I549" s="27">
        <v>309.83999999999997</v>
      </c>
      <c r="J549" s="27">
        <v>5505.6</v>
      </c>
      <c r="K549" s="47">
        <f t="shared" si="65"/>
        <v>0.47990773031095607</v>
      </c>
      <c r="L549" s="47">
        <f t="shared" si="66"/>
        <v>0.34770052310374888</v>
      </c>
      <c r="M549" s="84">
        <f t="shared" si="67"/>
        <v>0.8276082534147049</v>
      </c>
      <c r="N549" s="47">
        <f t="shared" si="68"/>
        <v>4.9872856727695432E-2</v>
      </c>
      <c r="O549" s="47">
        <f t="shared" si="69"/>
        <v>1.0872566114501598E-2</v>
      </c>
      <c r="P549" s="47">
        <f t="shared" si="70"/>
        <v>5.6277244986922395E-2</v>
      </c>
      <c r="Q549" s="47">
        <f t="shared" si="71"/>
        <v>1</v>
      </c>
    </row>
    <row r="550" spans="1:17" x14ac:dyDescent="0.35">
      <c r="A550" s="82">
        <v>547</v>
      </c>
      <c r="B550" s="83" t="str">
        <f>_xlfn.XLOOKUP(A550,'TAZs by City - CCAG Model'!$A:$A,'TAZs by City - CCAG Model'!$B:$B,"Unknown")</f>
        <v>San Jose</v>
      </c>
      <c r="C550" s="82">
        <f>_xlfn.XLOOKUP(A550,'TAZs by City - CCAG Model'!$A:$A,'TAZs by City - CCAG Model'!$C:$C,999)</f>
        <v>3</v>
      </c>
      <c r="D550" s="82" t="str">
        <f t="shared" si="64"/>
        <v>NO</v>
      </c>
      <c r="E550" s="27">
        <v>5261.6</v>
      </c>
      <c r="F550" s="27">
        <v>2685.5</v>
      </c>
      <c r="G550" s="27">
        <v>182.02</v>
      </c>
      <c r="H550" s="27">
        <v>94.02</v>
      </c>
      <c r="I550" s="27">
        <v>1308.4000000000001</v>
      </c>
      <c r="J550" s="27">
        <v>9759</v>
      </c>
      <c r="K550" s="47">
        <f t="shared" si="65"/>
        <v>0.5391536018034635</v>
      </c>
      <c r="L550" s="47">
        <f t="shared" si="66"/>
        <v>0.27518188338969157</v>
      </c>
      <c r="M550" s="84">
        <f t="shared" si="67"/>
        <v>0.81433548519315513</v>
      </c>
      <c r="N550" s="47">
        <f t="shared" si="68"/>
        <v>1.8651501178399428E-2</v>
      </c>
      <c r="O550" s="47">
        <f t="shared" si="69"/>
        <v>9.6341838303104829E-3</v>
      </c>
      <c r="P550" s="47">
        <f t="shared" si="70"/>
        <v>0.13407111384363152</v>
      </c>
      <c r="Q550" s="47">
        <f t="shared" si="71"/>
        <v>1</v>
      </c>
    </row>
    <row r="551" spans="1:17" x14ac:dyDescent="0.35">
      <c r="A551" s="82">
        <v>548</v>
      </c>
      <c r="B551" s="83" t="str">
        <f>_xlfn.XLOOKUP(A551,'TAZs by City - CCAG Model'!$A:$A,'TAZs by City - CCAG Model'!$B:$B,"Unknown")</f>
        <v>San Jose</v>
      </c>
      <c r="C551" s="82">
        <f>_xlfn.XLOOKUP(A551,'TAZs by City - CCAG Model'!$A:$A,'TAZs by City - CCAG Model'!$C:$C,999)</f>
        <v>3</v>
      </c>
      <c r="D551" s="82" t="str">
        <f t="shared" si="64"/>
        <v>NO</v>
      </c>
      <c r="E551" s="27">
        <v>1535.22</v>
      </c>
      <c r="F551" s="27">
        <v>829.36</v>
      </c>
      <c r="G551" s="27">
        <v>27.96</v>
      </c>
      <c r="H551" s="27">
        <v>20.64</v>
      </c>
      <c r="I551" s="27">
        <v>459.02</v>
      </c>
      <c r="J551" s="27">
        <v>2940.78</v>
      </c>
      <c r="K551" s="47">
        <f t="shared" si="65"/>
        <v>0.52204517168914366</v>
      </c>
      <c r="L551" s="47">
        <f t="shared" si="66"/>
        <v>0.28202041635212427</v>
      </c>
      <c r="M551" s="84">
        <f t="shared" si="67"/>
        <v>0.80406558804126793</v>
      </c>
      <c r="N551" s="47">
        <f t="shared" si="68"/>
        <v>9.5076816354844624E-3</v>
      </c>
      <c r="O551" s="47">
        <f t="shared" si="69"/>
        <v>7.0185461000142812E-3</v>
      </c>
      <c r="P551" s="47">
        <f t="shared" si="70"/>
        <v>0.15608784064091838</v>
      </c>
      <c r="Q551" s="47">
        <f t="shared" si="71"/>
        <v>1</v>
      </c>
    </row>
    <row r="552" spans="1:17" x14ac:dyDescent="0.35">
      <c r="A552" s="82">
        <v>549</v>
      </c>
      <c r="B552" s="83" t="str">
        <f>_xlfn.XLOOKUP(A552,'TAZs by City - CCAG Model'!$A:$A,'TAZs by City - CCAG Model'!$B:$B,"Unknown")</f>
        <v>San Jose</v>
      </c>
      <c r="C552" s="82">
        <f>_xlfn.XLOOKUP(A552,'TAZs by City - CCAG Model'!$A:$A,'TAZs by City - CCAG Model'!$C:$C,999)</f>
        <v>3</v>
      </c>
      <c r="D552" s="82" t="str">
        <f t="shared" si="64"/>
        <v>NO</v>
      </c>
      <c r="E552" s="27">
        <v>2905.16</v>
      </c>
      <c r="F552" s="27">
        <v>1434.82</v>
      </c>
      <c r="G552" s="27">
        <v>148.26</v>
      </c>
      <c r="H552" s="27">
        <v>41.6</v>
      </c>
      <c r="I552" s="27">
        <v>249.2</v>
      </c>
      <c r="J552" s="27">
        <v>4974.04</v>
      </c>
      <c r="K552" s="47">
        <f t="shared" si="65"/>
        <v>0.584064462690288</v>
      </c>
      <c r="L552" s="47">
        <f t="shared" si="66"/>
        <v>0.28846169311063036</v>
      </c>
      <c r="M552" s="84">
        <f t="shared" si="67"/>
        <v>0.8725261558009183</v>
      </c>
      <c r="N552" s="47">
        <f t="shared" si="68"/>
        <v>2.9806756680686122E-2</v>
      </c>
      <c r="O552" s="47">
        <f t="shared" si="69"/>
        <v>8.3634228916534652E-3</v>
      </c>
      <c r="P552" s="47">
        <f t="shared" si="70"/>
        <v>5.0100119822116429E-2</v>
      </c>
      <c r="Q552" s="47">
        <f t="shared" si="71"/>
        <v>1</v>
      </c>
    </row>
    <row r="553" spans="1:17" x14ac:dyDescent="0.35">
      <c r="A553" s="82">
        <v>550</v>
      </c>
      <c r="B553" s="83" t="str">
        <f>_xlfn.XLOOKUP(A553,'TAZs by City - CCAG Model'!$A:$A,'TAZs by City - CCAG Model'!$B:$B,"Unknown")</f>
        <v>San Jose</v>
      </c>
      <c r="C553" s="82">
        <f>_xlfn.XLOOKUP(A553,'TAZs by City - CCAG Model'!$A:$A,'TAZs by City - CCAG Model'!$C:$C,999)</f>
        <v>3</v>
      </c>
      <c r="D553" s="82" t="str">
        <f t="shared" si="64"/>
        <v>NO</v>
      </c>
      <c r="E553" s="27">
        <v>2750.82</v>
      </c>
      <c r="F553" s="27">
        <v>1714.34</v>
      </c>
      <c r="G553" s="27">
        <v>140.58000000000001</v>
      </c>
      <c r="H553" s="27">
        <v>66.66</v>
      </c>
      <c r="I553" s="27">
        <v>796.44</v>
      </c>
      <c r="J553" s="27">
        <v>5654.46</v>
      </c>
      <c r="K553" s="47">
        <f t="shared" si="65"/>
        <v>0.48648677327277939</v>
      </c>
      <c r="L553" s="47">
        <f t="shared" si="66"/>
        <v>0.30318368155402992</v>
      </c>
      <c r="M553" s="84">
        <f t="shared" si="67"/>
        <v>0.7896704548268092</v>
      </c>
      <c r="N553" s="47">
        <f t="shared" si="68"/>
        <v>2.4861790515805223E-2</v>
      </c>
      <c r="O553" s="47">
        <f t="shared" si="69"/>
        <v>1.1788924141297312E-2</v>
      </c>
      <c r="P553" s="47">
        <f t="shared" si="70"/>
        <v>0.1408516463110536</v>
      </c>
      <c r="Q553" s="47">
        <f t="shared" si="71"/>
        <v>1</v>
      </c>
    </row>
    <row r="554" spans="1:17" x14ac:dyDescent="0.35">
      <c r="A554" s="82">
        <v>551</v>
      </c>
      <c r="B554" s="83" t="str">
        <f>_xlfn.XLOOKUP(A554,'TAZs by City - CCAG Model'!$A:$A,'TAZs by City - CCAG Model'!$B:$B,"Unknown")</f>
        <v>San Jose</v>
      </c>
      <c r="C554" s="82">
        <f>_xlfn.XLOOKUP(A554,'TAZs by City - CCAG Model'!$A:$A,'TAZs by City - CCAG Model'!$C:$C,999)</f>
        <v>3</v>
      </c>
      <c r="D554" s="82" t="str">
        <f t="shared" si="64"/>
        <v>NO</v>
      </c>
      <c r="E554" s="27">
        <v>228.52</v>
      </c>
      <c r="F554" s="27">
        <v>74.540000000000006</v>
      </c>
      <c r="G554" s="27">
        <v>6.54</v>
      </c>
      <c r="H554" s="27">
        <v>2.2200000000000002</v>
      </c>
      <c r="I554" s="27">
        <v>40.479999999999997</v>
      </c>
      <c r="J554" s="27">
        <v>383.64</v>
      </c>
      <c r="K554" s="47">
        <f t="shared" si="65"/>
        <v>0.59566260035449903</v>
      </c>
      <c r="L554" s="47">
        <f t="shared" si="66"/>
        <v>0.19429673652382445</v>
      </c>
      <c r="M554" s="84">
        <f t="shared" si="67"/>
        <v>0.78995933687832343</v>
      </c>
      <c r="N554" s="47">
        <f t="shared" si="68"/>
        <v>1.7047231779793556E-2</v>
      </c>
      <c r="O554" s="47">
        <f t="shared" si="69"/>
        <v>5.7866750078198314E-3</v>
      </c>
      <c r="P554" s="47">
        <f t="shared" si="70"/>
        <v>0.10551558752997602</v>
      </c>
      <c r="Q554" s="47">
        <f t="shared" si="71"/>
        <v>1</v>
      </c>
    </row>
    <row r="555" spans="1:17" x14ac:dyDescent="0.35">
      <c r="A555" s="82">
        <v>552</v>
      </c>
      <c r="B555" s="83" t="str">
        <f>_xlfn.XLOOKUP(A555,'TAZs by City - CCAG Model'!$A:$A,'TAZs by City - CCAG Model'!$B:$B,"Unknown")</f>
        <v>San Jose</v>
      </c>
      <c r="C555" s="82">
        <f>_xlfn.XLOOKUP(A555,'TAZs by City - CCAG Model'!$A:$A,'TAZs by City - CCAG Model'!$C:$C,999)</f>
        <v>3</v>
      </c>
      <c r="D555" s="82" t="str">
        <f t="shared" si="64"/>
        <v>NO</v>
      </c>
      <c r="E555" s="27">
        <v>3436.4</v>
      </c>
      <c r="F555" s="27">
        <v>1329.4</v>
      </c>
      <c r="G555" s="27">
        <v>108.72</v>
      </c>
      <c r="H555" s="27">
        <v>48.12</v>
      </c>
      <c r="I555" s="27">
        <v>192.94</v>
      </c>
      <c r="J555" s="27">
        <v>5267.14</v>
      </c>
      <c r="K555" s="47">
        <f t="shared" si="65"/>
        <v>0.65242237722938823</v>
      </c>
      <c r="L555" s="47">
        <f t="shared" si="66"/>
        <v>0.25239503791431406</v>
      </c>
      <c r="M555" s="84">
        <f t="shared" si="67"/>
        <v>0.90481741514370229</v>
      </c>
      <c r="N555" s="47">
        <f t="shared" si="68"/>
        <v>2.064118288103221E-2</v>
      </c>
      <c r="O555" s="47">
        <f t="shared" si="69"/>
        <v>9.1358877873001284E-3</v>
      </c>
      <c r="P555" s="47">
        <f t="shared" si="70"/>
        <v>3.6630885072354256E-2</v>
      </c>
      <c r="Q555" s="47">
        <f t="shared" si="71"/>
        <v>1</v>
      </c>
    </row>
    <row r="556" spans="1:17" x14ac:dyDescent="0.35">
      <c r="A556" s="82">
        <v>553</v>
      </c>
      <c r="B556" s="83" t="str">
        <f>_xlfn.XLOOKUP(A556,'TAZs by City - CCAG Model'!$A:$A,'TAZs by City - CCAG Model'!$B:$B,"Unknown")</f>
        <v>San Jose</v>
      </c>
      <c r="C556" s="82">
        <f>_xlfn.XLOOKUP(A556,'TAZs by City - CCAG Model'!$A:$A,'TAZs by City - CCAG Model'!$C:$C,999)</f>
        <v>3</v>
      </c>
      <c r="D556" s="82" t="str">
        <f t="shared" si="64"/>
        <v>NO</v>
      </c>
      <c r="E556" s="27">
        <v>10006.379999999999</v>
      </c>
      <c r="F556" s="27">
        <v>4928.16</v>
      </c>
      <c r="G556" s="27">
        <v>214.98</v>
      </c>
      <c r="H556" s="27">
        <v>145.44</v>
      </c>
      <c r="I556" s="27">
        <v>1135.44</v>
      </c>
      <c r="J556" s="27">
        <v>16679.900000000001</v>
      </c>
      <c r="K556" s="47">
        <f t="shared" si="65"/>
        <v>0.59990647425943788</v>
      </c>
      <c r="L556" s="47">
        <f t="shared" si="66"/>
        <v>0.29545500872307384</v>
      </c>
      <c r="M556" s="84">
        <f t="shared" si="67"/>
        <v>0.89536148298251172</v>
      </c>
      <c r="N556" s="47">
        <f t="shared" si="68"/>
        <v>1.2888566478216295E-2</v>
      </c>
      <c r="O556" s="47">
        <f t="shared" si="69"/>
        <v>8.7194767354720343E-3</v>
      </c>
      <c r="P556" s="47">
        <f t="shared" si="70"/>
        <v>6.8072350553660385E-2</v>
      </c>
      <c r="Q556" s="47">
        <f t="shared" si="71"/>
        <v>1</v>
      </c>
    </row>
    <row r="557" spans="1:17" x14ac:dyDescent="0.35">
      <c r="A557" s="82">
        <v>554</v>
      </c>
      <c r="B557" s="83" t="str">
        <f>_xlfn.XLOOKUP(A557,'TAZs by City - CCAG Model'!$A:$A,'TAZs by City - CCAG Model'!$B:$B,"Unknown")</f>
        <v>San Jose</v>
      </c>
      <c r="C557" s="82">
        <f>_xlfn.XLOOKUP(A557,'TAZs by City - CCAG Model'!$A:$A,'TAZs by City - CCAG Model'!$C:$C,999)</f>
        <v>3</v>
      </c>
      <c r="D557" s="82" t="str">
        <f t="shared" si="64"/>
        <v>NO</v>
      </c>
      <c r="E557" s="27">
        <v>15838.62</v>
      </c>
      <c r="F557" s="27">
        <v>6373.92</v>
      </c>
      <c r="G557" s="27">
        <v>572.84</v>
      </c>
      <c r="H557" s="27">
        <v>235.86</v>
      </c>
      <c r="I557" s="27">
        <v>2923.04</v>
      </c>
      <c r="J557" s="27">
        <v>26546.400000000001</v>
      </c>
      <c r="K557" s="47">
        <f t="shared" si="65"/>
        <v>0.59663909230630141</v>
      </c>
      <c r="L557" s="47">
        <f t="shared" si="66"/>
        <v>0.24010487297712682</v>
      </c>
      <c r="M557" s="84">
        <f t="shared" si="67"/>
        <v>0.8367439652834282</v>
      </c>
      <c r="N557" s="47">
        <f t="shared" si="68"/>
        <v>2.1578820480366454E-2</v>
      </c>
      <c r="O557" s="47">
        <f t="shared" si="69"/>
        <v>8.8848205406382788E-3</v>
      </c>
      <c r="P557" s="47">
        <f t="shared" si="70"/>
        <v>0.11011059880059065</v>
      </c>
      <c r="Q557" s="47">
        <f t="shared" si="71"/>
        <v>1</v>
      </c>
    </row>
    <row r="558" spans="1:17" x14ac:dyDescent="0.35">
      <c r="A558" s="82">
        <v>555</v>
      </c>
      <c r="B558" s="83" t="str">
        <f>_xlfn.XLOOKUP(A558,'TAZs by City - CCAG Model'!$A:$A,'TAZs by City - CCAG Model'!$B:$B,"Unknown")</f>
        <v>San Jose</v>
      </c>
      <c r="C558" s="82">
        <f>_xlfn.XLOOKUP(A558,'TAZs by City - CCAG Model'!$A:$A,'TAZs by City - CCAG Model'!$C:$C,999)</f>
        <v>3</v>
      </c>
      <c r="D558" s="82" t="str">
        <f t="shared" si="64"/>
        <v>NO</v>
      </c>
      <c r="E558" s="27">
        <v>6132.52</v>
      </c>
      <c r="F558" s="27">
        <v>2517.4</v>
      </c>
      <c r="G558" s="27">
        <v>1654.62</v>
      </c>
      <c r="H558" s="27">
        <v>135.06</v>
      </c>
      <c r="I558" s="27">
        <v>1135.58</v>
      </c>
      <c r="J558" s="27">
        <v>13261.46</v>
      </c>
      <c r="K558" s="47">
        <f t="shared" si="65"/>
        <v>0.4624317382852266</v>
      </c>
      <c r="L558" s="47">
        <f t="shared" si="66"/>
        <v>0.18982826928558397</v>
      </c>
      <c r="M558" s="84">
        <f t="shared" si="67"/>
        <v>0.65226000757081048</v>
      </c>
      <c r="N558" s="47">
        <f t="shared" si="68"/>
        <v>0.12476906765921701</v>
      </c>
      <c r="O558" s="47">
        <f t="shared" si="69"/>
        <v>1.0184399002824727E-2</v>
      </c>
      <c r="P558" s="47">
        <f t="shared" si="70"/>
        <v>8.5630088994726072E-2</v>
      </c>
      <c r="Q558" s="47">
        <f t="shared" si="71"/>
        <v>1</v>
      </c>
    </row>
    <row r="559" spans="1:17" x14ac:dyDescent="0.35">
      <c r="A559" s="82">
        <v>556</v>
      </c>
      <c r="B559" s="83" t="str">
        <f>_xlfn.XLOOKUP(A559,'TAZs by City - CCAG Model'!$A:$A,'TAZs by City - CCAG Model'!$B:$B,"Unknown")</f>
        <v>San Jose</v>
      </c>
      <c r="C559" s="82">
        <f>_xlfn.XLOOKUP(A559,'TAZs by City - CCAG Model'!$A:$A,'TAZs by City - CCAG Model'!$C:$C,999)</f>
        <v>3</v>
      </c>
      <c r="D559" s="82" t="str">
        <f t="shared" si="64"/>
        <v>NO</v>
      </c>
      <c r="E559" s="27">
        <v>2822.92</v>
      </c>
      <c r="F559" s="27">
        <v>942.22</v>
      </c>
      <c r="G559" s="27">
        <v>822.08</v>
      </c>
      <c r="H559" s="27">
        <v>108.08</v>
      </c>
      <c r="I559" s="27">
        <v>563.1</v>
      </c>
      <c r="J559" s="27">
        <v>6123.76</v>
      </c>
      <c r="K559" s="47">
        <f t="shared" si="65"/>
        <v>0.46097822252994891</v>
      </c>
      <c r="L559" s="47">
        <f t="shared" si="66"/>
        <v>0.15386298613923471</v>
      </c>
      <c r="M559" s="84">
        <f t="shared" si="67"/>
        <v>0.61484120866918368</v>
      </c>
      <c r="N559" s="47">
        <f t="shared" si="68"/>
        <v>0.1342443204828406</v>
      </c>
      <c r="O559" s="47">
        <f t="shared" si="69"/>
        <v>1.7649287365932041E-2</v>
      </c>
      <c r="P559" s="47">
        <f t="shared" si="70"/>
        <v>9.1953309731276203E-2</v>
      </c>
      <c r="Q559" s="47">
        <f t="shared" si="71"/>
        <v>1</v>
      </c>
    </row>
    <row r="560" spans="1:17" x14ac:dyDescent="0.35">
      <c r="A560" s="82">
        <v>557</v>
      </c>
      <c r="B560" s="83" t="str">
        <f>_xlfn.XLOOKUP(A560,'TAZs by City - CCAG Model'!$A:$A,'TAZs by City - CCAG Model'!$B:$B,"Unknown")</f>
        <v>San Jose</v>
      </c>
      <c r="C560" s="82">
        <f>_xlfn.XLOOKUP(A560,'TAZs by City - CCAG Model'!$A:$A,'TAZs by City - CCAG Model'!$C:$C,999)</f>
        <v>3</v>
      </c>
      <c r="D560" s="82" t="str">
        <f t="shared" si="64"/>
        <v>NO</v>
      </c>
      <c r="E560" s="27">
        <v>1757.12</v>
      </c>
      <c r="F560" s="27">
        <v>994.28</v>
      </c>
      <c r="G560" s="27">
        <v>69.38</v>
      </c>
      <c r="H560" s="27">
        <v>32.020000000000003</v>
      </c>
      <c r="I560" s="27">
        <v>417.38</v>
      </c>
      <c r="J560" s="27">
        <v>3382.48</v>
      </c>
      <c r="K560" s="47">
        <f t="shared" si="65"/>
        <v>0.51947683356590424</v>
      </c>
      <c r="L560" s="47">
        <f t="shared" si="66"/>
        <v>0.29395000118256426</v>
      </c>
      <c r="M560" s="84">
        <f t="shared" si="67"/>
        <v>0.81342683474846844</v>
      </c>
      <c r="N560" s="47">
        <f t="shared" si="68"/>
        <v>2.0511577304226484E-2</v>
      </c>
      <c r="O560" s="47">
        <f t="shared" si="69"/>
        <v>9.4664270003074671E-3</v>
      </c>
      <c r="P560" s="47">
        <f t="shared" si="70"/>
        <v>0.12339466900026017</v>
      </c>
      <c r="Q560" s="47">
        <f t="shared" si="71"/>
        <v>1</v>
      </c>
    </row>
    <row r="561" spans="1:17" x14ac:dyDescent="0.35">
      <c r="A561" s="82">
        <v>558</v>
      </c>
      <c r="B561" s="83" t="str">
        <f>_xlfn.XLOOKUP(A561,'TAZs by City - CCAG Model'!$A:$A,'TAZs by City - CCAG Model'!$B:$B,"Unknown")</f>
        <v>San Jose</v>
      </c>
      <c r="C561" s="82">
        <f>_xlfn.XLOOKUP(A561,'TAZs by City - CCAG Model'!$A:$A,'TAZs by City - CCAG Model'!$C:$C,999)</f>
        <v>3</v>
      </c>
      <c r="D561" s="82" t="str">
        <f t="shared" si="64"/>
        <v>NO</v>
      </c>
      <c r="E561" s="27">
        <v>2254.4</v>
      </c>
      <c r="F561" s="27">
        <v>684.4</v>
      </c>
      <c r="G561" s="27">
        <v>117.92</v>
      </c>
      <c r="H561" s="27">
        <v>21.94</v>
      </c>
      <c r="I561" s="27">
        <v>139.58000000000001</v>
      </c>
      <c r="J561" s="27">
        <v>3383.28</v>
      </c>
      <c r="K561" s="47">
        <f t="shared" si="65"/>
        <v>0.66633562696554827</v>
      </c>
      <c r="L561" s="47">
        <f t="shared" si="66"/>
        <v>0.20228890307630462</v>
      </c>
      <c r="M561" s="84">
        <f t="shared" si="67"/>
        <v>0.86862453004185292</v>
      </c>
      <c r="N561" s="47">
        <f t="shared" si="68"/>
        <v>3.4853751389184458E-2</v>
      </c>
      <c r="O561" s="47">
        <f t="shared" si="69"/>
        <v>6.4848312879808943E-3</v>
      </c>
      <c r="P561" s="47">
        <f t="shared" si="70"/>
        <v>4.1255822751885746E-2</v>
      </c>
      <c r="Q561" s="47">
        <f t="shared" si="71"/>
        <v>1</v>
      </c>
    </row>
    <row r="562" spans="1:17" x14ac:dyDescent="0.35">
      <c r="A562" s="82">
        <v>559</v>
      </c>
      <c r="B562" s="83" t="str">
        <f>_xlfn.XLOOKUP(A562,'TAZs by City - CCAG Model'!$A:$A,'TAZs by City - CCAG Model'!$B:$B,"Unknown")</f>
        <v>San Jose</v>
      </c>
      <c r="C562" s="82">
        <f>_xlfn.XLOOKUP(A562,'TAZs by City - CCAG Model'!$A:$A,'TAZs by City - CCAG Model'!$C:$C,999)</f>
        <v>3</v>
      </c>
      <c r="D562" s="82" t="str">
        <f t="shared" si="64"/>
        <v>NO</v>
      </c>
      <c r="E562" s="27">
        <v>11.12</v>
      </c>
      <c r="F562" s="27">
        <v>0.5</v>
      </c>
      <c r="G562" s="27">
        <v>0</v>
      </c>
      <c r="H562" s="27">
        <v>0</v>
      </c>
      <c r="I562" s="27">
        <v>0.14000000000000001</v>
      </c>
      <c r="J562" s="27">
        <v>14.24</v>
      </c>
      <c r="K562" s="47">
        <f t="shared" si="65"/>
        <v>0.78089887640449429</v>
      </c>
      <c r="L562" s="47">
        <f t="shared" si="66"/>
        <v>3.51123595505618E-2</v>
      </c>
      <c r="M562" s="84">
        <f t="shared" si="67"/>
        <v>0.81601123595505609</v>
      </c>
      <c r="N562" s="47">
        <f t="shared" si="68"/>
        <v>0</v>
      </c>
      <c r="O562" s="47">
        <f t="shared" si="69"/>
        <v>0</v>
      </c>
      <c r="P562" s="47">
        <f t="shared" si="70"/>
        <v>9.8314606741573048E-3</v>
      </c>
      <c r="Q562" s="47">
        <f t="shared" si="71"/>
        <v>1</v>
      </c>
    </row>
    <row r="563" spans="1:17" x14ac:dyDescent="0.35">
      <c r="A563" s="82">
        <v>560</v>
      </c>
      <c r="B563" s="83" t="str">
        <f>_xlfn.XLOOKUP(A563,'TAZs by City - CCAG Model'!$A:$A,'TAZs by City - CCAG Model'!$B:$B,"Unknown")</f>
        <v>San Jose</v>
      </c>
      <c r="C563" s="82">
        <f>_xlfn.XLOOKUP(A563,'TAZs by City - CCAG Model'!$A:$A,'TAZs by City - CCAG Model'!$C:$C,999)</f>
        <v>3</v>
      </c>
      <c r="D563" s="82" t="str">
        <f t="shared" si="64"/>
        <v>NO</v>
      </c>
      <c r="E563" s="27">
        <v>2.52</v>
      </c>
      <c r="F563" s="27">
        <v>0.06</v>
      </c>
      <c r="G563" s="27">
        <v>0</v>
      </c>
      <c r="H563" s="27">
        <v>0</v>
      </c>
      <c r="I563" s="27">
        <v>0</v>
      </c>
      <c r="J563" s="27">
        <v>3.24</v>
      </c>
      <c r="K563" s="47">
        <f t="shared" si="65"/>
        <v>0.77777777777777768</v>
      </c>
      <c r="L563" s="47">
        <f t="shared" si="66"/>
        <v>1.8518518518518517E-2</v>
      </c>
      <c r="M563" s="84">
        <f t="shared" si="67"/>
        <v>0.79629629629629628</v>
      </c>
      <c r="N563" s="47">
        <f t="shared" si="68"/>
        <v>0</v>
      </c>
      <c r="O563" s="47">
        <f t="shared" si="69"/>
        <v>0</v>
      </c>
      <c r="P563" s="47">
        <f t="shared" si="70"/>
        <v>0</v>
      </c>
      <c r="Q563" s="47">
        <f t="shared" si="71"/>
        <v>1</v>
      </c>
    </row>
    <row r="564" spans="1:17" x14ac:dyDescent="0.35">
      <c r="A564" s="82">
        <v>561</v>
      </c>
      <c r="B564" s="83" t="str">
        <f>_xlfn.XLOOKUP(A564,'TAZs by City - CCAG Model'!$A:$A,'TAZs by City - CCAG Model'!$B:$B,"Unknown")</f>
        <v>San Jose</v>
      </c>
      <c r="C564" s="82">
        <f>_xlfn.XLOOKUP(A564,'TAZs by City - CCAG Model'!$A:$A,'TAZs by City - CCAG Model'!$C:$C,999)</f>
        <v>3</v>
      </c>
      <c r="D564" s="82" t="str">
        <f t="shared" si="64"/>
        <v>NO</v>
      </c>
      <c r="E564" s="27">
        <v>8.16</v>
      </c>
      <c r="F564" s="27">
        <v>0.28000000000000003</v>
      </c>
      <c r="G564" s="27">
        <v>0</v>
      </c>
      <c r="H564" s="27">
        <v>0</v>
      </c>
      <c r="I564" s="27">
        <v>0</v>
      </c>
      <c r="J564" s="27">
        <v>10.28</v>
      </c>
      <c r="K564" s="47">
        <f t="shared" si="65"/>
        <v>0.79377431906614793</v>
      </c>
      <c r="L564" s="47">
        <f t="shared" si="66"/>
        <v>2.7237354085603117E-2</v>
      </c>
      <c r="M564" s="84">
        <f t="shared" si="67"/>
        <v>0.82101167315175094</v>
      </c>
      <c r="N564" s="47">
        <f t="shared" si="68"/>
        <v>0</v>
      </c>
      <c r="O564" s="47">
        <f t="shared" si="69"/>
        <v>0</v>
      </c>
      <c r="P564" s="47">
        <f t="shared" si="70"/>
        <v>0</v>
      </c>
      <c r="Q564" s="47">
        <f t="shared" si="71"/>
        <v>1</v>
      </c>
    </row>
    <row r="565" spans="1:17" x14ac:dyDescent="0.35">
      <c r="A565" s="82">
        <v>562</v>
      </c>
      <c r="B565" s="83" t="str">
        <f>_xlfn.XLOOKUP(A565,'TAZs by City - CCAG Model'!$A:$A,'TAZs by City - CCAG Model'!$B:$B,"Unknown")</f>
        <v>San Jose</v>
      </c>
      <c r="C565" s="82">
        <f>_xlfn.XLOOKUP(A565,'TAZs by City - CCAG Model'!$A:$A,'TAZs by City - CCAG Model'!$C:$C,999)</f>
        <v>3</v>
      </c>
      <c r="D565" s="82" t="str">
        <f t="shared" si="64"/>
        <v>NO</v>
      </c>
      <c r="E565" s="27">
        <v>3.72</v>
      </c>
      <c r="F565" s="27">
        <v>0.2</v>
      </c>
      <c r="G565" s="27">
        <v>0</v>
      </c>
      <c r="H565" s="27">
        <v>0</v>
      </c>
      <c r="I565" s="27">
        <v>0</v>
      </c>
      <c r="J565" s="27">
        <v>4.9000000000000004</v>
      </c>
      <c r="K565" s="47">
        <f t="shared" si="65"/>
        <v>0.75918367346938775</v>
      </c>
      <c r="L565" s="47">
        <f t="shared" si="66"/>
        <v>4.0816326530612242E-2</v>
      </c>
      <c r="M565" s="84">
        <f t="shared" si="67"/>
        <v>0.8</v>
      </c>
      <c r="N565" s="47">
        <f t="shared" si="68"/>
        <v>0</v>
      </c>
      <c r="O565" s="47">
        <f t="shared" si="69"/>
        <v>0</v>
      </c>
      <c r="P565" s="47">
        <f t="shared" si="70"/>
        <v>0</v>
      </c>
      <c r="Q565" s="47">
        <f t="shared" si="71"/>
        <v>1</v>
      </c>
    </row>
    <row r="566" spans="1:17" x14ac:dyDescent="0.35">
      <c r="A566" s="82">
        <v>563</v>
      </c>
      <c r="B566" s="83" t="str">
        <f>_xlfn.XLOOKUP(A566,'TAZs by City - CCAG Model'!$A:$A,'TAZs by City - CCAG Model'!$B:$B,"Unknown")</f>
        <v>San Jose</v>
      </c>
      <c r="C566" s="82">
        <f>_xlfn.XLOOKUP(A566,'TAZs by City - CCAG Model'!$A:$A,'TAZs by City - CCAG Model'!$C:$C,999)</f>
        <v>3</v>
      </c>
      <c r="D566" s="82" t="str">
        <f t="shared" si="64"/>
        <v>NO</v>
      </c>
      <c r="E566" s="27">
        <v>15.5</v>
      </c>
      <c r="F566" s="27">
        <v>0.96</v>
      </c>
      <c r="G566" s="27">
        <v>0</v>
      </c>
      <c r="H566" s="27">
        <v>0</v>
      </c>
      <c r="I566" s="27">
        <v>0.48</v>
      </c>
      <c r="J566" s="27">
        <v>21.94</v>
      </c>
      <c r="K566" s="47">
        <f t="shared" si="65"/>
        <v>0.70647219690063812</v>
      </c>
      <c r="L566" s="47">
        <f t="shared" si="66"/>
        <v>4.3755697356426614E-2</v>
      </c>
      <c r="M566" s="84">
        <f t="shared" si="67"/>
        <v>0.75022789425706471</v>
      </c>
      <c r="N566" s="47">
        <f t="shared" si="68"/>
        <v>0</v>
      </c>
      <c r="O566" s="47">
        <f t="shared" si="69"/>
        <v>0</v>
      </c>
      <c r="P566" s="47">
        <f t="shared" si="70"/>
        <v>2.1877848678213307E-2</v>
      </c>
      <c r="Q566" s="47">
        <f t="shared" si="71"/>
        <v>1</v>
      </c>
    </row>
    <row r="567" spans="1:17" x14ac:dyDescent="0.35">
      <c r="A567" s="82">
        <v>564</v>
      </c>
      <c r="B567" s="83" t="str">
        <f>_xlfn.XLOOKUP(A567,'TAZs by City - CCAG Model'!$A:$A,'TAZs by City - CCAG Model'!$B:$B,"Unknown")</f>
        <v>San Jose</v>
      </c>
      <c r="C567" s="82">
        <f>_xlfn.XLOOKUP(A567,'TAZs by City - CCAG Model'!$A:$A,'TAZs by City - CCAG Model'!$C:$C,999)</f>
        <v>3</v>
      </c>
      <c r="D567" s="82" t="str">
        <f t="shared" si="64"/>
        <v>NO</v>
      </c>
      <c r="E567" s="27">
        <v>14.62</v>
      </c>
      <c r="F567" s="27">
        <v>0.54</v>
      </c>
      <c r="G567" s="27">
        <v>0</v>
      </c>
      <c r="H567" s="27">
        <v>0</v>
      </c>
      <c r="I567" s="27">
        <v>0.02</v>
      </c>
      <c r="J567" s="27">
        <v>19.96</v>
      </c>
      <c r="K567" s="47">
        <f t="shared" si="65"/>
        <v>0.73246492985971934</v>
      </c>
      <c r="L567" s="47">
        <f t="shared" si="66"/>
        <v>2.7054108216432865E-2</v>
      </c>
      <c r="M567" s="84">
        <f t="shared" si="67"/>
        <v>0.75951903807615229</v>
      </c>
      <c r="N567" s="47">
        <f t="shared" si="68"/>
        <v>0</v>
      </c>
      <c r="O567" s="47">
        <f t="shared" si="69"/>
        <v>0</v>
      </c>
      <c r="P567" s="47">
        <f t="shared" si="70"/>
        <v>1.002004008016032E-3</v>
      </c>
      <c r="Q567" s="47">
        <f t="shared" si="71"/>
        <v>1</v>
      </c>
    </row>
    <row r="568" spans="1:17" x14ac:dyDescent="0.35">
      <c r="A568" s="82">
        <v>565</v>
      </c>
      <c r="B568" s="83" t="str">
        <f>_xlfn.XLOOKUP(A568,'TAZs by City - CCAG Model'!$A:$A,'TAZs by City - CCAG Model'!$B:$B,"Unknown")</f>
        <v>Unincorporated</v>
      </c>
      <c r="C568" s="82">
        <f>_xlfn.XLOOKUP(A568,'TAZs by City - CCAG Model'!$A:$A,'TAZs by City - CCAG Model'!$C:$C,999)</f>
        <v>3</v>
      </c>
      <c r="D568" s="82" t="str">
        <f t="shared" si="64"/>
        <v>NO</v>
      </c>
      <c r="E568" s="27">
        <v>0</v>
      </c>
      <c r="F568" s="27">
        <v>0</v>
      </c>
      <c r="G568" s="27">
        <v>0</v>
      </c>
      <c r="H568" s="27">
        <v>0</v>
      </c>
      <c r="I568" s="27">
        <v>0</v>
      </c>
      <c r="J568" s="27">
        <v>0</v>
      </c>
      <c r="K568" s="47">
        <f t="shared" si="65"/>
        <v>0</v>
      </c>
      <c r="L568" s="47">
        <f t="shared" si="66"/>
        <v>0</v>
      </c>
      <c r="M568" s="84">
        <f t="shared" si="67"/>
        <v>0</v>
      </c>
      <c r="N568" s="47">
        <f t="shared" si="68"/>
        <v>0</v>
      </c>
      <c r="O568" s="47">
        <f t="shared" si="69"/>
        <v>0</v>
      </c>
      <c r="P568" s="47">
        <f t="shared" si="70"/>
        <v>0</v>
      </c>
      <c r="Q568" s="47">
        <f t="shared" si="71"/>
        <v>0</v>
      </c>
    </row>
    <row r="569" spans="1:17" x14ac:dyDescent="0.35">
      <c r="A569" s="82">
        <v>566</v>
      </c>
      <c r="B569" s="83" t="str">
        <f>_xlfn.XLOOKUP(A569,'TAZs by City - CCAG Model'!$A:$A,'TAZs by City - CCAG Model'!$B:$B,"Unknown")</f>
        <v>Unincorporated</v>
      </c>
      <c r="C569" s="82">
        <f>_xlfn.XLOOKUP(A569,'TAZs by City - CCAG Model'!$A:$A,'TAZs by City - CCAG Model'!$C:$C,999)</f>
        <v>3</v>
      </c>
      <c r="D569" s="82" t="str">
        <f t="shared" si="64"/>
        <v>NO</v>
      </c>
      <c r="E569" s="27">
        <v>11.66</v>
      </c>
      <c r="F569" s="27">
        <v>4.82</v>
      </c>
      <c r="G569" s="27">
        <v>0.2</v>
      </c>
      <c r="H569" s="27">
        <v>0</v>
      </c>
      <c r="I569" s="27">
        <v>0.04</v>
      </c>
      <c r="J569" s="27">
        <v>24.56</v>
      </c>
      <c r="K569" s="47">
        <f t="shared" si="65"/>
        <v>0.47475570032573294</v>
      </c>
      <c r="L569" s="47">
        <f t="shared" si="66"/>
        <v>0.19625407166123782</v>
      </c>
      <c r="M569" s="84">
        <f t="shared" si="67"/>
        <v>0.67100977198697076</v>
      </c>
      <c r="N569" s="47">
        <f t="shared" si="68"/>
        <v>8.1433224755700327E-3</v>
      </c>
      <c r="O569" s="47">
        <f t="shared" si="69"/>
        <v>0</v>
      </c>
      <c r="P569" s="47">
        <f t="shared" si="70"/>
        <v>1.6286644951140066E-3</v>
      </c>
      <c r="Q569" s="47">
        <f t="shared" si="71"/>
        <v>1</v>
      </c>
    </row>
    <row r="570" spans="1:17" x14ac:dyDescent="0.35">
      <c r="A570" s="82">
        <v>567</v>
      </c>
      <c r="B570" s="83" t="str">
        <f>_xlfn.XLOOKUP(A570,'TAZs by City - CCAG Model'!$A:$A,'TAZs by City - CCAG Model'!$B:$B,"Unknown")</f>
        <v>San Jose</v>
      </c>
      <c r="C570" s="82">
        <f>_xlfn.XLOOKUP(A570,'TAZs by City - CCAG Model'!$A:$A,'TAZs by City - CCAG Model'!$C:$C,999)</f>
        <v>3</v>
      </c>
      <c r="D570" s="82" t="str">
        <f t="shared" si="64"/>
        <v>NO</v>
      </c>
      <c r="E570" s="27">
        <v>2.72</v>
      </c>
      <c r="F570" s="27">
        <v>0.08</v>
      </c>
      <c r="G570" s="27">
        <v>0</v>
      </c>
      <c r="H570" s="27">
        <v>0</v>
      </c>
      <c r="I570" s="27">
        <v>0</v>
      </c>
      <c r="J570" s="27">
        <v>3.64</v>
      </c>
      <c r="K570" s="47">
        <f t="shared" si="65"/>
        <v>0.74725274725274726</v>
      </c>
      <c r="L570" s="47">
        <f t="shared" si="66"/>
        <v>2.1978021978021976E-2</v>
      </c>
      <c r="M570" s="84">
        <f t="shared" si="67"/>
        <v>0.76923076923076927</v>
      </c>
      <c r="N570" s="47">
        <f t="shared" si="68"/>
        <v>0</v>
      </c>
      <c r="O570" s="47">
        <f t="shared" si="69"/>
        <v>0</v>
      </c>
      <c r="P570" s="47">
        <f t="shared" si="70"/>
        <v>0</v>
      </c>
      <c r="Q570" s="47">
        <f t="shared" si="71"/>
        <v>1</v>
      </c>
    </row>
    <row r="571" spans="1:17" x14ac:dyDescent="0.35">
      <c r="A571" s="82">
        <v>568</v>
      </c>
      <c r="B571" s="83" t="str">
        <f>_xlfn.XLOOKUP(A571,'TAZs by City - CCAG Model'!$A:$A,'TAZs by City - CCAG Model'!$B:$B,"Unknown")</f>
        <v>San Jose</v>
      </c>
      <c r="C571" s="82">
        <f>_xlfn.XLOOKUP(A571,'TAZs by City - CCAG Model'!$A:$A,'TAZs by City - CCAG Model'!$C:$C,999)</f>
        <v>3</v>
      </c>
      <c r="D571" s="82" t="str">
        <f t="shared" si="64"/>
        <v>NO</v>
      </c>
      <c r="E571" s="27">
        <v>2.82</v>
      </c>
      <c r="F571" s="27">
        <v>0.08</v>
      </c>
      <c r="G571" s="27">
        <v>0</v>
      </c>
      <c r="H571" s="27">
        <v>0</v>
      </c>
      <c r="I571" s="27">
        <v>0.02</v>
      </c>
      <c r="J571" s="27">
        <v>3.9</v>
      </c>
      <c r="K571" s="47">
        <f t="shared" si="65"/>
        <v>0.72307692307692306</v>
      </c>
      <c r="L571" s="47">
        <f t="shared" si="66"/>
        <v>2.0512820512820513E-2</v>
      </c>
      <c r="M571" s="84">
        <f t="shared" si="67"/>
        <v>0.74358974358974361</v>
      </c>
      <c r="N571" s="47">
        <f t="shared" si="68"/>
        <v>0</v>
      </c>
      <c r="O571" s="47">
        <f t="shared" si="69"/>
        <v>0</v>
      </c>
      <c r="P571" s="47">
        <f t="shared" si="70"/>
        <v>5.1282051282051282E-3</v>
      </c>
      <c r="Q571" s="47">
        <f t="shared" si="71"/>
        <v>1</v>
      </c>
    </row>
    <row r="572" spans="1:17" x14ac:dyDescent="0.35">
      <c r="A572" s="82">
        <v>569</v>
      </c>
      <c r="B572" s="83" t="str">
        <f>_xlfn.XLOOKUP(A572,'TAZs by City - CCAG Model'!$A:$A,'TAZs by City - CCAG Model'!$B:$B,"Unknown")</f>
        <v>San Jose</v>
      </c>
      <c r="C572" s="82">
        <f>_xlfn.XLOOKUP(A572,'TAZs by City - CCAG Model'!$A:$A,'TAZs by City - CCAG Model'!$C:$C,999)</f>
        <v>3</v>
      </c>
      <c r="D572" s="82" t="str">
        <f t="shared" si="64"/>
        <v>NO</v>
      </c>
      <c r="E572" s="27">
        <v>30.24</v>
      </c>
      <c r="F572" s="27">
        <v>14.68</v>
      </c>
      <c r="G572" s="27">
        <v>0</v>
      </c>
      <c r="H572" s="27">
        <v>0.06</v>
      </c>
      <c r="I572" s="27">
        <v>0.12</v>
      </c>
      <c r="J572" s="27">
        <v>52.9</v>
      </c>
      <c r="K572" s="47">
        <f t="shared" si="65"/>
        <v>0.57164461247637055</v>
      </c>
      <c r="L572" s="47">
        <f t="shared" si="66"/>
        <v>0.27750472589792063</v>
      </c>
      <c r="M572" s="84">
        <f t="shared" si="67"/>
        <v>0.84914933837429118</v>
      </c>
      <c r="N572" s="47">
        <f t="shared" si="68"/>
        <v>0</v>
      </c>
      <c r="O572" s="47">
        <f t="shared" si="69"/>
        <v>1.1342155009451795E-3</v>
      </c>
      <c r="P572" s="47">
        <f t="shared" si="70"/>
        <v>2.268431001890359E-3</v>
      </c>
      <c r="Q572" s="47">
        <f t="shared" si="71"/>
        <v>1</v>
      </c>
    </row>
    <row r="573" spans="1:17" x14ac:dyDescent="0.35">
      <c r="A573" s="82">
        <v>570</v>
      </c>
      <c r="B573" s="83" t="str">
        <f>_xlfn.XLOOKUP(A573,'TAZs by City - CCAG Model'!$A:$A,'TAZs by City - CCAG Model'!$B:$B,"Unknown")</f>
        <v>Unincorporated</v>
      </c>
      <c r="C573" s="82">
        <f>_xlfn.XLOOKUP(A573,'TAZs by City - CCAG Model'!$A:$A,'TAZs by City - CCAG Model'!$C:$C,999)</f>
        <v>3</v>
      </c>
      <c r="D573" s="82" t="str">
        <f t="shared" si="64"/>
        <v>NO</v>
      </c>
      <c r="E573" s="27">
        <v>73.84</v>
      </c>
      <c r="F573" s="27">
        <v>42.14</v>
      </c>
      <c r="G573" s="27">
        <v>0.94</v>
      </c>
      <c r="H573" s="27">
        <v>0.22</v>
      </c>
      <c r="I573" s="27">
        <v>0.3</v>
      </c>
      <c r="J573" s="27">
        <v>134.63999999999999</v>
      </c>
      <c r="K573" s="47">
        <f t="shared" si="65"/>
        <v>0.54842543077837203</v>
      </c>
      <c r="L573" s="47">
        <f t="shared" si="66"/>
        <v>0.31298276886512183</v>
      </c>
      <c r="M573" s="84">
        <f t="shared" si="67"/>
        <v>0.86140819964349391</v>
      </c>
      <c r="N573" s="47">
        <f t="shared" si="68"/>
        <v>6.9815805109922757E-3</v>
      </c>
      <c r="O573" s="47">
        <f t="shared" si="69"/>
        <v>1.6339869281045754E-3</v>
      </c>
      <c r="P573" s="47">
        <f t="shared" si="70"/>
        <v>2.2281639928698753E-3</v>
      </c>
      <c r="Q573" s="47">
        <f t="shared" si="71"/>
        <v>1</v>
      </c>
    </row>
    <row r="574" spans="1:17" x14ac:dyDescent="0.35">
      <c r="A574" s="82">
        <v>571</v>
      </c>
      <c r="B574" s="83" t="str">
        <f>_xlfn.XLOOKUP(A574,'TAZs by City - CCAG Model'!$A:$A,'TAZs by City - CCAG Model'!$B:$B,"Unknown")</f>
        <v>Unincorporated</v>
      </c>
      <c r="C574" s="82">
        <f>_xlfn.XLOOKUP(A574,'TAZs by City - CCAG Model'!$A:$A,'TAZs by City - CCAG Model'!$C:$C,999)</f>
        <v>3</v>
      </c>
      <c r="D574" s="82" t="str">
        <f t="shared" si="64"/>
        <v>NO</v>
      </c>
      <c r="E574" s="27">
        <v>3.76</v>
      </c>
      <c r="F574" s="27">
        <v>0.06</v>
      </c>
      <c r="G574" s="27">
        <v>0</v>
      </c>
      <c r="H574" s="27">
        <v>0</v>
      </c>
      <c r="I574" s="27">
        <v>0</v>
      </c>
      <c r="J574" s="27">
        <v>4.5199999999999996</v>
      </c>
      <c r="K574" s="47">
        <f t="shared" si="65"/>
        <v>0.83185840707964609</v>
      </c>
      <c r="L574" s="47">
        <f t="shared" si="66"/>
        <v>1.3274336283185842E-2</v>
      </c>
      <c r="M574" s="84">
        <f t="shared" si="67"/>
        <v>0.84513274336283195</v>
      </c>
      <c r="N574" s="47">
        <f t="shared" si="68"/>
        <v>0</v>
      </c>
      <c r="O574" s="47">
        <f t="shared" si="69"/>
        <v>0</v>
      </c>
      <c r="P574" s="47">
        <f t="shared" si="70"/>
        <v>0</v>
      </c>
      <c r="Q574" s="47">
        <f t="shared" si="71"/>
        <v>1</v>
      </c>
    </row>
    <row r="575" spans="1:17" x14ac:dyDescent="0.35">
      <c r="A575" s="82">
        <v>572</v>
      </c>
      <c r="B575" s="83" t="str">
        <f>_xlfn.XLOOKUP(A575,'TAZs by City - CCAG Model'!$A:$A,'TAZs by City - CCAG Model'!$B:$B,"Unknown")</f>
        <v>Unincorporated</v>
      </c>
      <c r="C575" s="82">
        <f>_xlfn.XLOOKUP(A575,'TAZs by City - CCAG Model'!$A:$A,'TAZs by City - CCAG Model'!$C:$C,999)</f>
        <v>3</v>
      </c>
      <c r="D575" s="82" t="str">
        <f t="shared" si="64"/>
        <v>NO</v>
      </c>
      <c r="E575" s="27">
        <v>0</v>
      </c>
      <c r="F575" s="27">
        <v>0</v>
      </c>
      <c r="G575" s="27">
        <v>0</v>
      </c>
      <c r="H575" s="27">
        <v>0</v>
      </c>
      <c r="I575" s="27">
        <v>0</v>
      </c>
      <c r="J575" s="27">
        <v>0</v>
      </c>
      <c r="K575" s="47">
        <f t="shared" si="65"/>
        <v>0</v>
      </c>
      <c r="L575" s="47">
        <f t="shared" si="66"/>
        <v>0</v>
      </c>
      <c r="M575" s="84">
        <f t="shared" si="67"/>
        <v>0</v>
      </c>
      <c r="N575" s="47">
        <f t="shared" si="68"/>
        <v>0</v>
      </c>
      <c r="O575" s="47">
        <f t="shared" si="69"/>
        <v>0</v>
      </c>
      <c r="P575" s="47">
        <f t="shared" si="70"/>
        <v>0</v>
      </c>
      <c r="Q575" s="47">
        <f t="shared" si="71"/>
        <v>0</v>
      </c>
    </row>
    <row r="576" spans="1:17" x14ac:dyDescent="0.35">
      <c r="A576" s="82">
        <v>573</v>
      </c>
      <c r="B576" s="83" t="str">
        <f>_xlfn.XLOOKUP(A576,'TAZs by City - CCAG Model'!$A:$A,'TAZs by City - CCAG Model'!$B:$B,"Unknown")</f>
        <v>San Jose</v>
      </c>
      <c r="C576" s="82">
        <f>_xlfn.XLOOKUP(A576,'TAZs by City - CCAG Model'!$A:$A,'TAZs by City - CCAG Model'!$C:$C,999)</f>
        <v>3</v>
      </c>
      <c r="D576" s="82" t="str">
        <f t="shared" si="64"/>
        <v>NO</v>
      </c>
      <c r="E576" s="27">
        <v>0</v>
      </c>
      <c r="F576" s="27">
        <v>0</v>
      </c>
      <c r="G576" s="27">
        <v>0</v>
      </c>
      <c r="H576" s="27">
        <v>0</v>
      </c>
      <c r="I576" s="27">
        <v>0</v>
      </c>
      <c r="J576" s="27">
        <v>0</v>
      </c>
      <c r="K576" s="47">
        <f t="shared" si="65"/>
        <v>0</v>
      </c>
      <c r="L576" s="47">
        <f t="shared" si="66"/>
        <v>0</v>
      </c>
      <c r="M576" s="84">
        <f t="shared" si="67"/>
        <v>0</v>
      </c>
      <c r="N576" s="47">
        <f t="shared" si="68"/>
        <v>0</v>
      </c>
      <c r="O576" s="47">
        <f t="shared" si="69"/>
        <v>0</v>
      </c>
      <c r="P576" s="47">
        <f t="shared" si="70"/>
        <v>0</v>
      </c>
      <c r="Q576" s="47">
        <f t="shared" si="71"/>
        <v>0</v>
      </c>
    </row>
    <row r="577" spans="1:17" x14ac:dyDescent="0.35">
      <c r="A577" s="82">
        <v>574</v>
      </c>
      <c r="B577" s="83" t="str">
        <f>_xlfn.XLOOKUP(A577,'TAZs by City - CCAG Model'!$A:$A,'TAZs by City - CCAG Model'!$B:$B,"Unknown")</f>
        <v>Unincorporated</v>
      </c>
      <c r="C577" s="82">
        <f>_xlfn.XLOOKUP(A577,'TAZs by City - CCAG Model'!$A:$A,'TAZs by City - CCAG Model'!$C:$C,999)</f>
        <v>3</v>
      </c>
      <c r="D577" s="82" t="str">
        <f t="shared" si="64"/>
        <v>NO</v>
      </c>
      <c r="E577" s="27">
        <v>0</v>
      </c>
      <c r="F577" s="27">
        <v>0</v>
      </c>
      <c r="G577" s="27">
        <v>0</v>
      </c>
      <c r="H577" s="27">
        <v>0</v>
      </c>
      <c r="I577" s="27">
        <v>0</v>
      </c>
      <c r="J577" s="27">
        <v>0</v>
      </c>
      <c r="K577" s="47">
        <f t="shared" si="65"/>
        <v>0</v>
      </c>
      <c r="L577" s="47">
        <f t="shared" si="66"/>
        <v>0</v>
      </c>
      <c r="M577" s="84">
        <f t="shared" si="67"/>
        <v>0</v>
      </c>
      <c r="N577" s="47">
        <f t="shared" si="68"/>
        <v>0</v>
      </c>
      <c r="O577" s="47">
        <f t="shared" si="69"/>
        <v>0</v>
      </c>
      <c r="P577" s="47">
        <f t="shared" si="70"/>
        <v>0</v>
      </c>
      <c r="Q577" s="47">
        <f t="shared" si="71"/>
        <v>0</v>
      </c>
    </row>
    <row r="578" spans="1:17" x14ac:dyDescent="0.35">
      <c r="A578" s="82">
        <v>575</v>
      </c>
      <c r="B578" s="83" t="str">
        <f>_xlfn.XLOOKUP(A578,'TAZs by City - CCAG Model'!$A:$A,'TAZs by City - CCAG Model'!$B:$B,"Unknown")</f>
        <v>San Jose</v>
      </c>
      <c r="C578" s="82">
        <f>_xlfn.XLOOKUP(A578,'TAZs by City - CCAG Model'!$A:$A,'TAZs by City - CCAG Model'!$C:$C,999)</f>
        <v>3</v>
      </c>
      <c r="D578" s="82" t="str">
        <f t="shared" si="64"/>
        <v>NO</v>
      </c>
      <c r="E578" s="27">
        <v>0</v>
      </c>
      <c r="F578" s="27">
        <v>0</v>
      </c>
      <c r="G578" s="27">
        <v>0</v>
      </c>
      <c r="H578" s="27">
        <v>0</v>
      </c>
      <c r="I578" s="27">
        <v>0</v>
      </c>
      <c r="J578" s="27">
        <v>0</v>
      </c>
      <c r="K578" s="47">
        <f t="shared" si="65"/>
        <v>0</v>
      </c>
      <c r="L578" s="47">
        <f t="shared" si="66"/>
        <v>0</v>
      </c>
      <c r="M578" s="84">
        <f t="shared" si="67"/>
        <v>0</v>
      </c>
      <c r="N578" s="47">
        <f t="shared" si="68"/>
        <v>0</v>
      </c>
      <c r="O578" s="47">
        <f t="shared" si="69"/>
        <v>0</v>
      </c>
      <c r="P578" s="47">
        <f t="shared" si="70"/>
        <v>0</v>
      </c>
      <c r="Q578" s="47">
        <f t="shared" si="71"/>
        <v>0</v>
      </c>
    </row>
    <row r="579" spans="1:17" x14ac:dyDescent="0.35">
      <c r="A579" s="82">
        <v>576</v>
      </c>
      <c r="B579" s="83" t="str">
        <f>_xlfn.XLOOKUP(A579,'TAZs by City - CCAG Model'!$A:$A,'TAZs by City - CCAG Model'!$B:$B,"Unknown")</f>
        <v>San Jose</v>
      </c>
      <c r="C579" s="82">
        <f>_xlfn.XLOOKUP(A579,'TAZs by City - CCAG Model'!$A:$A,'TAZs by City - CCAG Model'!$C:$C,999)</f>
        <v>3</v>
      </c>
      <c r="D579" s="82" t="str">
        <f t="shared" si="64"/>
        <v>NO</v>
      </c>
      <c r="E579" s="27">
        <v>3556.28</v>
      </c>
      <c r="F579" s="27">
        <v>1696.62</v>
      </c>
      <c r="G579" s="27">
        <v>454.2</v>
      </c>
      <c r="H579" s="27">
        <v>74.38</v>
      </c>
      <c r="I579" s="27">
        <v>783.6</v>
      </c>
      <c r="J579" s="27">
        <v>7061.22</v>
      </c>
      <c r="K579" s="47">
        <f t="shared" si="65"/>
        <v>0.5036353491323029</v>
      </c>
      <c r="L579" s="47">
        <f t="shared" si="66"/>
        <v>0.24027292734116765</v>
      </c>
      <c r="M579" s="84">
        <f t="shared" si="67"/>
        <v>0.74390827647347046</v>
      </c>
      <c r="N579" s="47">
        <f t="shared" si="68"/>
        <v>6.4323162286403765E-2</v>
      </c>
      <c r="O579" s="47">
        <f t="shared" si="69"/>
        <v>1.0533590512687608E-2</v>
      </c>
      <c r="P579" s="47">
        <f t="shared" si="70"/>
        <v>0.11097232489569792</v>
      </c>
      <c r="Q579" s="47">
        <f t="shared" si="71"/>
        <v>1</v>
      </c>
    </row>
    <row r="580" spans="1:17" x14ac:dyDescent="0.35">
      <c r="A580" s="82">
        <v>577</v>
      </c>
      <c r="B580" s="83" t="str">
        <f>_xlfn.XLOOKUP(A580,'TAZs by City - CCAG Model'!$A:$A,'TAZs by City - CCAG Model'!$B:$B,"Unknown")</f>
        <v>San Jose</v>
      </c>
      <c r="C580" s="82">
        <f>_xlfn.XLOOKUP(A580,'TAZs by City - CCAG Model'!$A:$A,'TAZs by City - CCAG Model'!$C:$C,999)</f>
        <v>3</v>
      </c>
      <c r="D580" s="82" t="str">
        <f t="shared" si="64"/>
        <v>NO</v>
      </c>
      <c r="E580" s="27">
        <v>9111.06</v>
      </c>
      <c r="F580" s="27">
        <v>3409.84</v>
      </c>
      <c r="G580" s="27">
        <v>1624</v>
      </c>
      <c r="H580" s="27">
        <v>180.58</v>
      </c>
      <c r="I580" s="27">
        <v>1338.56</v>
      </c>
      <c r="J580" s="27">
        <v>17310.38</v>
      </c>
      <c r="K580" s="47">
        <f t="shared" si="65"/>
        <v>0.52633506601241564</v>
      </c>
      <c r="L580" s="47">
        <f t="shared" si="66"/>
        <v>0.19698238860152117</v>
      </c>
      <c r="M580" s="84">
        <f t="shared" si="67"/>
        <v>0.72331745461393682</v>
      </c>
      <c r="N580" s="47">
        <f t="shared" si="68"/>
        <v>9.3816542444475501E-2</v>
      </c>
      <c r="O580" s="47">
        <f t="shared" si="69"/>
        <v>1.0431891154324746E-2</v>
      </c>
      <c r="P580" s="47">
        <f t="shared" si="70"/>
        <v>7.7327014196106603E-2</v>
      </c>
      <c r="Q580" s="47">
        <f t="shared" si="71"/>
        <v>1</v>
      </c>
    </row>
    <row r="581" spans="1:17" x14ac:dyDescent="0.35">
      <c r="A581" s="82">
        <v>578</v>
      </c>
      <c r="B581" s="83" t="str">
        <f>_xlfn.XLOOKUP(A581,'TAZs by City - CCAG Model'!$A:$A,'TAZs by City - CCAG Model'!$B:$B,"Unknown")</f>
        <v>San Jose</v>
      </c>
      <c r="C581" s="82">
        <f>_xlfn.XLOOKUP(A581,'TAZs by City - CCAG Model'!$A:$A,'TAZs by City - CCAG Model'!$C:$C,999)</f>
        <v>3</v>
      </c>
      <c r="D581" s="82" t="str">
        <f t="shared" ref="D581:D644" si="72">IF(C581=2,"YES","NO")</f>
        <v>NO</v>
      </c>
      <c r="E581" s="27">
        <v>6674.6</v>
      </c>
      <c r="F581" s="27">
        <v>2933.1</v>
      </c>
      <c r="G581" s="27">
        <v>1222.68</v>
      </c>
      <c r="H581" s="27">
        <v>172.14</v>
      </c>
      <c r="I581" s="27">
        <v>1285.56</v>
      </c>
      <c r="J581" s="27">
        <v>13540.02</v>
      </c>
      <c r="K581" s="47">
        <f t="shared" ref="K581:K644" si="73">IFERROR(E581/$J581,0)</f>
        <v>0.49295348160490166</v>
      </c>
      <c r="L581" s="47">
        <f t="shared" ref="L581:L644" si="74">IFERROR(F581/$J581,0)</f>
        <v>0.21662449538479261</v>
      </c>
      <c r="M581" s="84">
        <f t="shared" ref="M581:M644" si="75">IFERROR((E581+F581)/J581,0)</f>
        <v>0.70957797698969427</v>
      </c>
      <c r="N581" s="47">
        <f t="shared" ref="N581:N644" si="76">IFERROR(G581/$J581,0)</f>
        <v>9.0301196010050211E-2</v>
      </c>
      <c r="O581" s="47">
        <f t="shared" ref="O581:O644" si="77">IFERROR(H581/$J581,0)</f>
        <v>1.2713422875298558E-2</v>
      </c>
      <c r="P581" s="47">
        <f t="shared" ref="P581:P644" si="78">IFERROR(I581/$J581,0)</f>
        <v>9.494520687561761E-2</v>
      </c>
      <c r="Q581" s="47">
        <f t="shared" ref="Q581:Q644" si="79">IFERROR(J581/$J581,0)</f>
        <v>1</v>
      </c>
    </row>
    <row r="582" spans="1:17" x14ac:dyDescent="0.35">
      <c r="A582" s="82">
        <v>579</v>
      </c>
      <c r="B582" s="83" t="str">
        <f>_xlfn.XLOOKUP(A582,'TAZs by City - CCAG Model'!$A:$A,'TAZs by City - CCAG Model'!$B:$B,"Unknown")</f>
        <v>San Jose</v>
      </c>
      <c r="C582" s="82">
        <f>_xlfn.XLOOKUP(A582,'TAZs by City - CCAG Model'!$A:$A,'TAZs by City - CCAG Model'!$C:$C,999)</f>
        <v>3</v>
      </c>
      <c r="D582" s="82" t="str">
        <f t="shared" si="72"/>
        <v>NO</v>
      </c>
      <c r="E582" s="27">
        <v>1094.06</v>
      </c>
      <c r="F582" s="27">
        <v>509.24</v>
      </c>
      <c r="G582" s="27">
        <v>133.06</v>
      </c>
      <c r="H582" s="27">
        <v>25.76</v>
      </c>
      <c r="I582" s="27">
        <v>187.62</v>
      </c>
      <c r="J582" s="27">
        <v>2131.9</v>
      </c>
      <c r="K582" s="47">
        <f t="shared" si="73"/>
        <v>0.51318542145504009</v>
      </c>
      <c r="L582" s="47">
        <f t="shared" si="74"/>
        <v>0.23886673858999014</v>
      </c>
      <c r="M582" s="84">
        <f t="shared" si="75"/>
        <v>0.75205216004503017</v>
      </c>
      <c r="N582" s="47">
        <f t="shared" si="76"/>
        <v>6.2413809278108731E-2</v>
      </c>
      <c r="O582" s="47">
        <f t="shared" si="77"/>
        <v>1.2083118345138141E-2</v>
      </c>
      <c r="P582" s="47">
        <f t="shared" si="78"/>
        <v>8.8006004033960319E-2</v>
      </c>
      <c r="Q582" s="47">
        <f t="shared" si="79"/>
        <v>1</v>
      </c>
    </row>
    <row r="583" spans="1:17" x14ac:dyDescent="0.35">
      <c r="A583" s="82">
        <v>580</v>
      </c>
      <c r="B583" s="83" t="str">
        <f>_xlfn.XLOOKUP(A583,'TAZs by City - CCAG Model'!$A:$A,'TAZs by City - CCAG Model'!$B:$B,"Unknown")</f>
        <v>San Jose</v>
      </c>
      <c r="C583" s="82">
        <f>_xlfn.XLOOKUP(A583,'TAZs by City - CCAG Model'!$A:$A,'TAZs by City - CCAG Model'!$C:$C,999)</f>
        <v>3</v>
      </c>
      <c r="D583" s="82" t="str">
        <f t="shared" si="72"/>
        <v>NO</v>
      </c>
      <c r="E583" s="27">
        <v>4707.08</v>
      </c>
      <c r="F583" s="27">
        <v>2920.9</v>
      </c>
      <c r="G583" s="27">
        <v>597.08000000000004</v>
      </c>
      <c r="H583" s="27">
        <v>156.06</v>
      </c>
      <c r="I583" s="27">
        <v>818.28</v>
      </c>
      <c r="J583" s="27">
        <v>9833.52</v>
      </c>
      <c r="K583" s="47">
        <f t="shared" si="73"/>
        <v>0.47867701494480103</v>
      </c>
      <c r="L583" s="47">
        <f t="shared" si="74"/>
        <v>0.29703503933484654</v>
      </c>
      <c r="M583" s="84">
        <f t="shared" si="75"/>
        <v>0.77571205427964751</v>
      </c>
      <c r="N583" s="47">
        <f t="shared" si="76"/>
        <v>6.0718847371032961E-2</v>
      </c>
      <c r="O583" s="47">
        <f t="shared" si="77"/>
        <v>1.5870207209625852E-2</v>
      </c>
      <c r="P583" s="47">
        <f t="shared" si="78"/>
        <v>8.3213335611256184E-2</v>
      </c>
      <c r="Q583" s="47">
        <f t="shared" si="79"/>
        <v>1</v>
      </c>
    </row>
    <row r="584" spans="1:17" x14ac:dyDescent="0.35">
      <c r="A584" s="82">
        <v>581</v>
      </c>
      <c r="B584" s="83" t="str">
        <f>_xlfn.XLOOKUP(A584,'TAZs by City - CCAG Model'!$A:$A,'TAZs by City - CCAG Model'!$B:$B,"Unknown")</f>
        <v>San Jose</v>
      </c>
      <c r="C584" s="82">
        <f>_xlfn.XLOOKUP(A584,'TAZs by City - CCAG Model'!$A:$A,'TAZs by City - CCAG Model'!$C:$C,999)</f>
        <v>3</v>
      </c>
      <c r="D584" s="82" t="str">
        <f t="shared" si="72"/>
        <v>NO</v>
      </c>
      <c r="E584" s="27">
        <v>4220.76</v>
      </c>
      <c r="F584" s="27">
        <v>3936.74</v>
      </c>
      <c r="G584" s="27">
        <v>628.98</v>
      </c>
      <c r="H584" s="27">
        <v>194.8</v>
      </c>
      <c r="I584" s="27">
        <v>959.88</v>
      </c>
      <c r="J584" s="27">
        <v>10607.04</v>
      </c>
      <c r="K584" s="47">
        <f t="shared" si="73"/>
        <v>0.39792062630102271</v>
      </c>
      <c r="L584" s="47">
        <f t="shared" si="74"/>
        <v>0.37114407035327474</v>
      </c>
      <c r="M584" s="84">
        <f t="shared" si="75"/>
        <v>0.76906469665429744</v>
      </c>
      <c r="N584" s="47">
        <f t="shared" si="76"/>
        <v>5.9298352792107878E-2</v>
      </c>
      <c r="O584" s="47">
        <f t="shared" si="77"/>
        <v>1.8365161251395298E-2</v>
      </c>
      <c r="P584" s="47">
        <f t="shared" si="78"/>
        <v>9.0494614897275769E-2</v>
      </c>
      <c r="Q584" s="47">
        <f t="shared" si="79"/>
        <v>1</v>
      </c>
    </row>
    <row r="585" spans="1:17" x14ac:dyDescent="0.35">
      <c r="A585" s="82">
        <v>582</v>
      </c>
      <c r="B585" s="83" t="str">
        <f>_xlfn.XLOOKUP(A585,'TAZs by City - CCAG Model'!$A:$A,'TAZs by City - CCAG Model'!$B:$B,"Unknown")</f>
        <v>San Jose</v>
      </c>
      <c r="C585" s="82">
        <f>_xlfn.XLOOKUP(A585,'TAZs by City - CCAG Model'!$A:$A,'TAZs by City - CCAG Model'!$C:$C,999)</f>
        <v>3</v>
      </c>
      <c r="D585" s="82" t="str">
        <f t="shared" si="72"/>
        <v>NO</v>
      </c>
      <c r="E585" s="27">
        <v>2792.28</v>
      </c>
      <c r="F585" s="27">
        <v>2476.5</v>
      </c>
      <c r="G585" s="27">
        <v>496.88</v>
      </c>
      <c r="H585" s="27">
        <v>122.36</v>
      </c>
      <c r="I585" s="27">
        <v>553.05999999999995</v>
      </c>
      <c r="J585" s="27">
        <v>6973.32</v>
      </c>
      <c r="K585" s="47">
        <f t="shared" si="73"/>
        <v>0.4004233277692692</v>
      </c>
      <c r="L585" s="47">
        <f t="shared" si="74"/>
        <v>0.355139302369603</v>
      </c>
      <c r="M585" s="84">
        <f t="shared" si="75"/>
        <v>0.75556263013887226</v>
      </c>
      <c r="N585" s="47">
        <f t="shared" si="76"/>
        <v>7.1254438345006402E-2</v>
      </c>
      <c r="O585" s="47">
        <f t="shared" si="77"/>
        <v>1.7546878674720219E-2</v>
      </c>
      <c r="P585" s="47">
        <f t="shared" si="78"/>
        <v>7.9310859102981066E-2</v>
      </c>
      <c r="Q585" s="47">
        <f t="shared" si="79"/>
        <v>1</v>
      </c>
    </row>
    <row r="586" spans="1:17" x14ac:dyDescent="0.35">
      <c r="A586" s="82">
        <v>583</v>
      </c>
      <c r="B586" s="83" t="str">
        <f>_xlfn.XLOOKUP(A586,'TAZs by City - CCAG Model'!$A:$A,'TAZs by City - CCAG Model'!$B:$B,"Unknown")</f>
        <v>San Jose</v>
      </c>
      <c r="C586" s="82">
        <f>_xlfn.XLOOKUP(A586,'TAZs by City - CCAG Model'!$A:$A,'TAZs by City - CCAG Model'!$C:$C,999)</f>
        <v>3</v>
      </c>
      <c r="D586" s="82" t="str">
        <f t="shared" si="72"/>
        <v>NO</v>
      </c>
      <c r="E586" s="27">
        <v>4687.0200000000004</v>
      </c>
      <c r="F586" s="27">
        <v>3809.6</v>
      </c>
      <c r="G586" s="27">
        <v>572.14</v>
      </c>
      <c r="H586" s="27">
        <v>190.24</v>
      </c>
      <c r="I586" s="27">
        <v>2273.5</v>
      </c>
      <c r="J586" s="27">
        <v>12150</v>
      </c>
      <c r="K586" s="47">
        <f t="shared" si="73"/>
        <v>0.38576296296296297</v>
      </c>
      <c r="L586" s="47">
        <f t="shared" si="74"/>
        <v>0.31354732510288064</v>
      </c>
      <c r="M586" s="84">
        <f t="shared" si="75"/>
        <v>0.69931028806584372</v>
      </c>
      <c r="N586" s="47">
        <f t="shared" si="76"/>
        <v>4.7089711934156377E-2</v>
      </c>
      <c r="O586" s="47">
        <f t="shared" si="77"/>
        <v>1.5657613168724282E-2</v>
      </c>
      <c r="P586" s="47">
        <f t="shared" si="78"/>
        <v>0.18711934156378601</v>
      </c>
      <c r="Q586" s="47">
        <f t="shared" si="79"/>
        <v>1</v>
      </c>
    </row>
    <row r="587" spans="1:17" x14ac:dyDescent="0.35">
      <c r="A587" s="82">
        <v>584</v>
      </c>
      <c r="B587" s="83" t="str">
        <f>_xlfn.XLOOKUP(A587,'TAZs by City - CCAG Model'!$A:$A,'TAZs by City - CCAG Model'!$B:$B,"Unknown")</f>
        <v>San Jose</v>
      </c>
      <c r="C587" s="82">
        <f>_xlfn.XLOOKUP(A587,'TAZs by City - CCAG Model'!$A:$A,'TAZs by City - CCAG Model'!$C:$C,999)</f>
        <v>3</v>
      </c>
      <c r="D587" s="82" t="str">
        <f t="shared" si="72"/>
        <v>NO</v>
      </c>
      <c r="E587" s="27">
        <v>4106.0600000000004</v>
      </c>
      <c r="F587" s="27">
        <v>3275.74</v>
      </c>
      <c r="G587" s="27">
        <v>557</v>
      </c>
      <c r="H587" s="27">
        <v>174.06</v>
      </c>
      <c r="I587" s="27">
        <v>1722.04</v>
      </c>
      <c r="J587" s="27">
        <v>10436.64</v>
      </c>
      <c r="K587" s="47">
        <f t="shared" si="73"/>
        <v>0.39342738659185339</v>
      </c>
      <c r="L587" s="47">
        <f t="shared" si="74"/>
        <v>0.31386921461313222</v>
      </c>
      <c r="M587" s="84">
        <f t="shared" si="75"/>
        <v>0.70729660120498561</v>
      </c>
      <c r="N587" s="47">
        <f t="shared" si="76"/>
        <v>5.3369666865964525E-2</v>
      </c>
      <c r="O587" s="47">
        <f t="shared" si="77"/>
        <v>1.6677781354918826E-2</v>
      </c>
      <c r="P587" s="47">
        <f t="shared" si="78"/>
        <v>0.164999463428843</v>
      </c>
      <c r="Q587" s="47">
        <f t="shared" si="79"/>
        <v>1</v>
      </c>
    </row>
    <row r="588" spans="1:17" x14ac:dyDescent="0.35">
      <c r="A588" s="82">
        <v>585</v>
      </c>
      <c r="B588" s="83" t="str">
        <f>_xlfn.XLOOKUP(A588,'TAZs by City - CCAG Model'!$A:$A,'TAZs by City - CCAG Model'!$B:$B,"Unknown")</f>
        <v>San Jose</v>
      </c>
      <c r="C588" s="82">
        <f>_xlfn.XLOOKUP(A588,'TAZs by City - CCAG Model'!$A:$A,'TAZs by City - CCAG Model'!$C:$C,999)</f>
        <v>3</v>
      </c>
      <c r="D588" s="82" t="str">
        <f t="shared" si="72"/>
        <v>NO</v>
      </c>
      <c r="E588" s="27">
        <v>13614.72</v>
      </c>
      <c r="F588" s="27">
        <v>8728.9599999999991</v>
      </c>
      <c r="G588" s="27">
        <v>0</v>
      </c>
      <c r="H588" s="27">
        <v>221.8</v>
      </c>
      <c r="I588" s="27">
        <v>1696.88</v>
      </c>
      <c r="J588" s="27">
        <v>24283.4</v>
      </c>
      <c r="K588" s="47">
        <f t="shared" si="73"/>
        <v>0.5606595452037193</v>
      </c>
      <c r="L588" s="47">
        <f t="shared" si="74"/>
        <v>0.35946201932184119</v>
      </c>
      <c r="M588" s="84">
        <f t="shared" si="75"/>
        <v>0.9201215645255606</v>
      </c>
      <c r="N588" s="47">
        <f t="shared" si="76"/>
        <v>0</v>
      </c>
      <c r="O588" s="47">
        <f t="shared" si="77"/>
        <v>9.1338115749853808E-3</v>
      </c>
      <c r="P588" s="47">
        <f t="shared" si="78"/>
        <v>6.9878188392070301E-2</v>
      </c>
      <c r="Q588" s="47">
        <f t="shared" si="79"/>
        <v>1</v>
      </c>
    </row>
    <row r="589" spans="1:17" x14ac:dyDescent="0.35">
      <c r="A589" s="82">
        <v>586</v>
      </c>
      <c r="B589" s="83" t="str">
        <f>_xlfn.XLOOKUP(A589,'TAZs by City - CCAG Model'!$A:$A,'TAZs by City - CCAG Model'!$B:$B,"Unknown")</f>
        <v>San Jose</v>
      </c>
      <c r="C589" s="82">
        <f>_xlfn.XLOOKUP(A589,'TAZs by City - CCAG Model'!$A:$A,'TAZs by City - CCAG Model'!$C:$C,999)</f>
        <v>3</v>
      </c>
      <c r="D589" s="82" t="str">
        <f t="shared" si="72"/>
        <v>NO</v>
      </c>
      <c r="E589" s="27">
        <v>10174.16</v>
      </c>
      <c r="F589" s="27">
        <v>6739.98</v>
      </c>
      <c r="G589" s="27">
        <v>142.22</v>
      </c>
      <c r="H589" s="27">
        <v>180.9</v>
      </c>
      <c r="I589" s="27">
        <v>885.68</v>
      </c>
      <c r="J589" s="27">
        <v>18304.900000000001</v>
      </c>
      <c r="K589" s="47">
        <f t="shared" si="73"/>
        <v>0.5558162022190779</v>
      </c>
      <c r="L589" s="47">
        <f t="shared" si="74"/>
        <v>0.36820632726756219</v>
      </c>
      <c r="M589" s="84">
        <f t="shared" si="75"/>
        <v>0.9240225294866401</v>
      </c>
      <c r="N589" s="47">
        <f t="shared" si="76"/>
        <v>7.7695043403678788E-3</v>
      </c>
      <c r="O589" s="47">
        <f t="shared" si="77"/>
        <v>9.8825997410529418E-3</v>
      </c>
      <c r="P589" s="47">
        <f t="shared" si="78"/>
        <v>4.8384858699036866E-2</v>
      </c>
      <c r="Q589" s="47">
        <f t="shared" si="79"/>
        <v>1</v>
      </c>
    </row>
    <row r="590" spans="1:17" x14ac:dyDescent="0.35">
      <c r="A590" s="82">
        <v>587</v>
      </c>
      <c r="B590" s="83" t="str">
        <f>_xlfn.XLOOKUP(A590,'TAZs by City - CCAG Model'!$A:$A,'TAZs by City - CCAG Model'!$B:$B,"Unknown")</f>
        <v>San Jose</v>
      </c>
      <c r="C590" s="82">
        <f>_xlfn.XLOOKUP(A590,'TAZs by City - CCAG Model'!$A:$A,'TAZs by City - CCAG Model'!$C:$C,999)</f>
        <v>3</v>
      </c>
      <c r="D590" s="82" t="str">
        <f t="shared" si="72"/>
        <v>NO</v>
      </c>
      <c r="E590" s="27">
        <v>5569.44</v>
      </c>
      <c r="F590" s="27">
        <v>4597.46</v>
      </c>
      <c r="G590" s="27">
        <v>20.86</v>
      </c>
      <c r="H590" s="27">
        <v>86.22</v>
      </c>
      <c r="I590" s="27">
        <v>369.94</v>
      </c>
      <c r="J590" s="27">
        <v>10693.18</v>
      </c>
      <c r="K590" s="47">
        <f t="shared" si="73"/>
        <v>0.52084038611526218</v>
      </c>
      <c r="L590" s="47">
        <f t="shared" si="74"/>
        <v>0.42994319743986353</v>
      </c>
      <c r="M590" s="84">
        <f t="shared" si="75"/>
        <v>0.95078358355512571</v>
      </c>
      <c r="N590" s="47">
        <f t="shared" si="76"/>
        <v>1.9507761021510905E-3</v>
      </c>
      <c r="O590" s="47">
        <f t="shared" si="77"/>
        <v>8.063083198823923E-3</v>
      </c>
      <c r="P590" s="47">
        <f t="shared" si="78"/>
        <v>3.4595882609289287E-2</v>
      </c>
      <c r="Q590" s="47">
        <f t="shared" si="79"/>
        <v>1</v>
      </c>
    </row>
    <row r="591" spans="1:17" x14ac:dyDescent="0.35">
      <c r="A591" s="82">
        <v>588</v>
      </c>
      <c r="B591" s="83" t="str">
        <f>_xlfn.XLOOKUP(A591,'TAZs by City - CCAG Model'!$A:$A,'TAZs by City - CCAG Model'!$B:$B,"Unknown")</f>
        <v>San Jose</v>
      </c>
      <c r="C591" s="82">
        <f>_xlfn.XLOOKUP(A591,'TAZs by City - CCAG Model'!$A:$A,'TAZs by City - CCAG Model'!$C:$C,999)</f>
        <v>3</v>
      </c>
      <c r="D591" s="82" t="str">
        <f t="shared" si="72"/>
        <v>NO</v>
      </c>
      <c r="E591" s="27">
        <v>3622.14</v>
      </c>
      <c r="F591" s="27">
        <v>3106.14</v>
      </c>
      <c r="G591" s="27">
        <v>14.02</v>
      </c>
      <c r="H591" s="27">
        <v>66.8</v>
      </c>
      <c r="I591" s="27">
        <v>304.3</v>
      </c>
      <c r="J591" s="27">
        <v>7153.46</v>
      </c>
      <c r="K591" s="47">
        <f t="shared" si="73"/>
        <v>0.50634797706284784</v>
      </c>
      <c r="L591" s="47">
        <f t="shared" si="74"/>
        <v>0.43421505117803133</v>
      </c>
      <c r="M591" s="84">
        <f t="shared" si="75"/>
        <v>0.94056302824087923</v>
      </c>
      <c r="N591" s="47">
        <f t="shared" si="76"/>
        <v>1.9598907381882334E-3</v>
      </c>
      <c r="O591" s="47">
        <f t="shared" si="77"/>
        <v>9.3381384672591994E-3</v>
      </c>
      <c r="P591" s="47">
        <f t="shared" si="78"/>
        <v>4.2538855323158306E-2</v>
      </c>
      <c r="Q591" s="47">
        <f t="shared" si="79"/>
        <v>1</v>
      </c>
    </row>
    <row r="592" spans="1:17" x14ac:dyDescent="0.35">
      <c r="A592" s="82">
        <v>589</v>
      </c>
      <c r="B592" s="83" t="str">
        <f>_xlfn.XLOOKUP(A592,'TAZs by City - CCAG Model'!$A:$A,'TAZs by City - CCAG Model'!$B:$B,"Unknown")</f>
        <v>San Jose</v>
      </c>
      <c r="C592" s="82">
        <f>_xlfn.XLOOKUP(A592,'TAZs by City - CCAG Model'!$A:$A,'TAZs by City - CCAG Model'!$C:$C,999)</f>
        <v>3</v>
      </c>
      <c r="D592" s="82" t="str">
        <f t="shared" si="72"/>
        <v>NO</v>
      </c>
      <c r="E592" s="27">
        <v>10095.76</v>
      </c>
      <c r="F592" s="27">
        <v>8471.52</v>
      </c>
      <c r="G592" s="27">
        <v>34.36</v>
      </c>
      <c r="H592" s="27">
        <v>182.54</v>
      </c>
      <c r="I592" s="27">
        <v>673.12</v>
      </c>
      <c r="J592" s="27">
        <v>19517.68</v>
      </c>
      <c r="K592" s="47">
        <f t="shared" si="73"/>
        <v>0.51726229756815356</v>
      </c>
      <c r="L592" s="47">
        <f t="shared" si="74"/>
        <v>0.43404339040295775</v>
      </c>
      <c r="M592" s="84">
        <f t="shared" si="75"/>
        <v>0.95130568797111126</v>
      </c>
      <c r="N592" s="47">
        <f t="shared" si="76"/>
        <v>1.7604551360612532E-3</v>
      </c>
      <c r="O592" s="47">
        <f t="shared" si="77"/>
        <v>9.3525459993195909E-3</v>
      </c>
      <c r="P592" s="47">
        <f t="shared" si="78"/>
        <v>3.448770550598227E-2</v>
      </c>
      <c r="Q592" s="47">
        <f t="shared" si="79"/>
        <v>1</v>
      </c>
    </row>
    <row r="593" spans="1:17" x14ac:dyDescent="0.35">
      <c r="A593" s="82">
        <v>590</v>
      </c>
      <c r="B593" s="83" t="str">
        <f>_xlfn.XLOOKUP(A593,'TAZs by City - CCAG Model'!$A:$A,'TAZs by City - CCAG Model'!$B:$B,"Unknown")</f>
        <v>San Jose</v>
      </c>
      <c r="C593" s="82">
        <f>_xlfn.XLOOKUP(A593,'TAZs by City - CCAG Model'!$A:$A,'TAZs by City - CCAG Model'!$C:$C,999)</f>
        <v>3</v>
      </c>
      <c r="D593" s="82" t="str">
        <f t="shared" si="72"/>
        <v>NO</v>
      </c>
      <c r="E593" s="27">
        <v>3933.3</v>
      </c>
      <c r="F593" s="27">
        <v>3228.64</v>
      </c>
      <c r="G593" s="27">
        <v>54.24</v>
      </c>
      <c r="H593" s="27">
        <v>70.040000000000006</v>
      </c>
      <c r="I593" s="27">
        <v>221.36</v>
      </c>
      <c r="J593" s="27">
        <v>7600.64</v>
      </c>
      <c r="K593" s="47">
        <f t="shared" si="73"/>
        <v>0.51749589508251936</v>
      </c>
      <c r="L593" s="47">
        <f t="shared" si="74"/>
        <v>0.42478528123947451</v>
      </c>
      <c r="M593" s="84">
        <f t="shared" si="75"/>
        <v>0.94228117632199393</v>
      </c>
      <c r="N593" s="47">
        <f t="shared" si="76"/>
        <v>7.1362411586392725E-3</v>
      </c>
      <c r="O593" s="47">
        <f t="shared" si="77"/>
        <v>9.215013472549681E-3</v>
      </c>
      <c r="P593" s="47">
        <f t="shared" si="78"/>
        <v>2.9123863253620749E-2</v>
      </c>
      <c r="Q593" s="47">
        <f t="shared" si="79"/>
        <v>1</v>
      </c>
    </row>
    <row r="594" spans="1:17" x14ac:dyDescent="0.35">
      <c r="A594" s="82">
        <v>591</v>
      </c>
      <c r="B594" s="83" t="str">
        <f>_xlfn.XLOOKUP(A594,'TAZs by City - CCAG Model'!$A:$A,'TAZs by City - CCAG Model'!$B:$B,"Unknown")</f>
        <v>San Jose</v>
      </c>
      <c r="C594" s="82">
        <f>_xlfn.XLOOKUP(A594,'TAZs by City - CCAG Model'!$A:$A,'TAZs by City - CCAG Model'!$C:$C,999)</f>
        <v>3</v>
      </c>
      <c r="D594" s="82" t="str">
        <f t="shared" si="72"/>
        <v>NO</v>
      </c>
      <c r="E594" s="27">
        <v>5595.88</v>
      </c>
      <c r="F594" s="27">
        <v>4334.66</v>
      </c>
      <c r="G594" s="27">
        <v>16.399999999999999</v>
      </c>
      <c r="H594" s="27">
        <v>103.48</v>
      </c>
      <c r="I594" s="27">
        <v>296</v>
      </c>
      <c r="J594" s="27">
        <v>10392.200000000001</v>
      </c>
      <c r="K594" s="47">
        <f t="shared" si="73"/>
        <v>0.53846923654279166</v>
      </c>
      <c r="L594" s="47">
        <f t="shared" si="74"/>
        <v>0.41710706106502948</v>
      </c>
      <c r="M594" s="84">
        <f t="shared" si="75"/>
        <v>0.95557629760782126</v>
      </c>
      <c r="N594" s="47">
        <f t="shared" si="76"/>
        <v>1.5781066569157634E-3</v>
      </c>
      <c r="O594" s="47">
        <f t="shared" si="77"/>
        <v>9.9574681010758063E-3</v>
      </c>
      <c r="P594" s="47">
        <f t="shared" si="78"/>
        <v>2.8482900637016223E-2</v>
      </c>
      <c r="Q594" s="47">
        <f t="shared" si="79"/>
        <v>1</v>
      </c>
    </row>
    <row r="595" spans="1:17" x14ac:dyDescent="0.35">
      <c r="A595" s="82">
        <v>592</v>
      </c>
      <c r="B595" s="83" t="str">
        <f>_xlfn.XLOOKUP(A595,'TAZs by City - CCAG Model'!$A:$A,'TAZs by City - CCAG Model'!$B:$B,"Unknown")</f>
        <v>Unincorporated</v>
      </c>
      <c r="C595" s="82">
        <f>_xlfn.XLOOKUP(A595,'TAZs by City - CCAG Model'!$A:$A,'TAZs by City - CCAG Model'!$C:$C,999)</f>
        <v>3</v>
      </c>
      <c r="D595" s="82" t="str">
        <f t="shared" si="72"/>
        <v>NO</v>
      </c>
      <c r="E595" s="27">
        <v>16.22</v>
      </c>
      <c r="F595" s="27">
        <v>14.82</v>
      </c>
      <c r="G595" s="27">
        <v>0</v>
      </c>
      <c r="H595" s="27">
        <v>0.42</v>
      </c>
      <c r="I595" s="27">
        <v>3.1</v>
      </c>
      <c r="J595" s="27">
        <v>41.4</v>
      </c>
      <c r="K595" s="47">
        <f t="shared" si="73"/>
        <v>0.39178743961352658</v>
      </c>
      <c r="L595" s="47">
        <f t="shared" si="74"/>
        <v>0.35797101449275365</v>
      </c>
      <c r="M595" s="84">
        <f t="shared" si="75"/>
        <v>0.74975845410628017</v>
      </c>
      <c r="N595" s="47">
        <f t="shared" si="76"/>
        <v>0</v>
      </c>
      <c r="O595" s="47">
        <f t="shared" si="77"/>
        <v>1.0144927536231883E-2</v>
      </c>
      <c r="P595" s="47">
        <f t="shared" si="78"/>
        <v>7.4879227053140096E-2</v>
      </c>
      <c r="Q595" s="47">
        <f t="shared" si="79"/>
        <v>1</v>
      </c>
    </row>
    <row r="596" spans="1:17" x14ac:dyDescent="0.35">
      <c r="A596" s="82">
        <v>593</v>
      </c>
      <c r="B596" s="83" t="str">
        <f>_xlfn.XLOOKUP(A596,'TAZs by City - CCAG Model'!$A:$A,'TAZs by City - CCAG Model'!$B:$B,"Unknown")</f>
        <v>San Jose</v>
      </c>
      <c r="C596" s="82">
        <f>_xlfn.XLOOKUP(A596,'TAZs by City - CCAG Model'!$A:$A,'TAZs by City - CCAG Model'!$C:$C,999)</f>
        <v>3</v>
      </c>
      <c r="D596" s="82" t="str">
        <f t="shared" si="72"/>
        <v>NO</v>
      </c>
      <c r="E596" s="27">
        <v>3185.1</v>
      </c>
      <c r="F596" s="27">
        <v>2745.5</v>
      </c>
      <c r="G596" s="27">
        <v>146.19999999999999</v>
      </c>
      <c r="H596" s="27">
        <v>70.260000000000005</v>
      </c>
      <c r="I596" s="27">
        <v>220.28</v>
      </c>
      <c r="J596" s="27">
        <v>6548.58</v>
      </c>
      <c r="K596" s="47">
        <f t="shared" si="73"/>
        <v>0.48638025342898766</v>
      </c>
      <c r="L596" s="47">
        <f t="shared" si="74"/>
        <v>0.41925119644258757</v>
      </c>
      <c r="M596" s="84">
        <f t="shared" si="75"/>
        <v>0.90563144987157529</v>
      </c>
      <c r="N596" s="47">
        <f t="shared" si="76"/>
        <v>2.2325450708397851E-2</v>
      </c>
      <c r="O596" s="47">
        <f t="shared" si="77"/>
        <v>1.072904354837232E-2</v>
      </c>
      <c r="P596" s="47">
        <f t="shared" si="78"/>
        <v>3.3637826826579197E-2</v>
      </c>
      <c r="Q596" s="47">
        <f t="shared" si="79"/>
        <v>1</v>
      </c>
    </row>
    <row r="597" spans="1:17" x14ac:dyDescent="0.35">
      <c r="A597" s="82">
        <v>594</v>
      </c>
      <c r="B597" s="83" t="str">
        <f>_xlfn.XLOOKUP(A597,'TAZs by City - CCAG Model'!$A:$A,'TAZs by City - CCAG Model'!$B:$B,"Unknown")</f>
        <v>San Jose</v>
      </c>
      <c r="C597" s="82">
        <f>_xlfn.XLOOKUP(A597,'TAZs by City - CCAG Model'!$A:$A,'TAZs by City - CCAG Model'!$C:$C,999)</f>
        <v>3</v>
      </c>
      <c r="D597" s="82" t="str">
        <f t="shared" si="72"/>
        <v>NO</v>
      </c>
      <c r="E597" s="27">
        <v>2920.38</v>
      </c>
      <c r="F597" s="27">
        <v>2469.52</v>
      </c>
      <c r="G597" s="27">
        <v>119.62</v>
      </c>
      <c r="H597" s="27">
        <v>63.04</v>
      </c>
      <c r="I597" s="27">
        <v>231.18</v>
      </c>
      <c r="J597" s="27">
        <v>5954.36</v>
      </c>
      <c r="K597" s="47">
        <f t="shared" si="73"/>
        <v>0.49046077160265761</v>
      </c>
      <c r="L597" s="47">
        <f t="shared" si="74"/>
        <v>0.41474146675713258</v>
      </c>
      <c r="M597" s="84">
        <f t="shared" si="75"/>
        <v>0.90520223835979008</v>
      </c>
      <c r="N597" s="47">
        <f t="shared" si="76"/>
        <v>2.0089480649473666E-2</v>
      </c>
      <c r="O597" s="47">
        <f t="shared" si="77"/>
        <v>1.0587199967754722E-2</v>
      </c>
      <c r="P597" s="47">
        <f t="shared" si="78"/>
        <v>3.8825331353831483E-2</v>
      </c>
      <c r="Q597" s="47">
        <f t="shared" si="79"/>
        <v>1</v>
      </c>
    </row>
    <row r="598" spans="1:17" x14ac:dyDescent="0.35">
      <c r="A598" s="82">
        <v>595</v>
      </c>
      <c r="B598" s="83" t="str">
        <f>_xlfn.XLOOKUP(A598,'TAZs by City - CCAG Model'!$A:$A,'TAZs by City - CCAG Model'!$B:$B,"Unknown")</f>
        <v>San Jose</v>
      </c>
      <c r="C598" s="82">
        <f>_xlfn.XLOOKUP(A598,'TAZs by City - CCAG Model'!$A:$A,'TAZs by City - CCAG Model'!$C:$C,999)</f>
        <v>3</v>
      </c>
      <c r="D598" s="82" t="str">
        <f t="shared" si="72"/>
        <v>NO</v>
      </c>
      <c r="E598" s="27">
        <v>5062.5600000000004</v>
      </c>
      <c r="F598" s="27">
        <v>4175.2</v>
      </c>
      <c r="G598" s="27">
        <v>254.52</v>
      </c>
      <c r="H598" s="27">
        <v>123.48</v>
      </c>
      <c r="I598" s="27">
        <v>627.04</v>
      </c>
      <c r="J598" s="27">
        <v>10542.34</v>
      </c>
      <c r="K598" s="47">
        <f t="shared" si="73"/>
        <v>0.48021217300902841</v>
      </c>
      <c r="L598" s="47">
        <f t="shared" si="74"/>
        <v>0.39604110662338721</v>
      </c>
      <c r="M598" s="84">
        <f t="shared" si="75"/>
        <v>0.87625327963241562</v>
      </c>
      <c r="N598" s="47">
        <f t="shared" si="76"/>
        <v>2.4142647647486231E-2</v>
      </c>
      <c r="O598" s="47">
        <f t="shared" si="77"/>
        <v>1.1712769650760648E-2</v>
      </c>
      <c r="P598" s="47">
        <f t="shared" si="78"/>
        <v>5.9478256250509842E-2</v>
      </c>
      <c r="Q598" s="47">
        <f t="shared" si="79"/>
        <v>1</v>
      </c>
    </row>
    <row r="599" spans="1:17" x14ac:dyDescent="0.35">
      <c r="A599" s="82">
        <v>596</v>
      </c>
      <c r="B599" s="83" t="str">
        <f>_xlfn.XLOOKUP(A599,'TAZs by City - CCAG Model'!$A:$A,'TAZs by City - CCAG Model'!$B:$B,"Unknown")</f>
        <v>San Jose</v>
      </c>
      <c r="C599" s="82">
        <f>_xlfn.XLOOKUP(A599,'TAZs by City - CCAG Model'!$A:$A,'TAZs by City - CCAG Model'!$C:$C,999)</f>
        <v>3</v>
      </c>
      <c r="D599" s="82" t="str">
        <f t="shared" si="72"/>
        <v>NO</v>
      </c>
      <c r="E599" s="27">
        <v>3098.38</v>
      </c>
      <c r="F599" s="27">
        <v>3008.14</v>
      </c>
      <c r="G599" s="27">
        <v>167.12</v>
      </c>
      <c r="H599" s="27">
        <v>76.72</v>
      </c>
      <c r="I599" s="27">
        <v>406.76</v>
      </c>
      <c r="J599" s="27">
        <v>6964.94</v>
      </c>
      <c r="K599" s="47">
        <f t="shared" si="73"/>
        <v>0.4448537962997528</v>
      </c>
      <c r="L599" s="47">
        <f t="shared" si="74"/>
        <v>0.43189747506798337</v>
      </c>
      <c r="M599" s="84">
        <f t="shared" si="75"/>
        <v>0.87675127136773623</v>
      </c>
      <c r="N599" s="47">
        <f t="shared" si="76"/>
        <v>2.3994463699615505E-2</v>
      </c>
      <c r="O599" s="47">
        <f t="shared" si="77"/>
        <v>1.101517026708055E-2</v>
      </c>
      <c r="P599" s="47">
        <f t="shared" si="78"/>
        <v>5.8401077396215903E-2</v>
      </c>
      <c r="Q599" s="47">
        <f t="shared" si="79"/>
        <v>1</v>
      </c>
    </row>
    <row r="600" spans="1:17" x14ac:dyDescent="0.35">
      <c r="A600" s="82">
        <v>597</v>
      </c>
      <c r="B600" s="83" t="str">
        <f>_xlfn.XLOOKUP(A600,'TAZs by City - CCAG Model'!$A:$A,'TAZs by City - CCAG Model'!$B:$B,"Unknown")</f>
        <v>San Jose</v>
      </c>
      <c r="C600" s="82">
        <f>_xlfn.XLOOKUP(A600,'TAZs by City - CCAG Model'!$A:$A,'TAZs by City - CCAG Model'!$C:$C,999)</f>
        <v>3</v>
      </c>
      <c r="D600" s="82" t="str">
        <f t="shared" si="72"/>
        <v>NO</v>
      </c>
      <c r="E600" s="27">
        <v>1309.8399999999999</v>
      </c>
      <c r="F600" s="27">
        <v>1136.96</v>
      </c>
      <c r="G600" s="27">
        <v>42.7</v>
      </c>
      <c r="H600" s="27">
        <v>26.94</v>
      </c>
      <c r="I600" s="27">
        <v>93.54</v>
      </c>
      <c r="J600" s="27">
        <v>2678.66</v>
      </c>
      <c r="K600" s="47">
        <f t="shared" si="73"/>
        <v>0.48899076403873576</v>
      </c>
      <c r="L600" s="47">
        <f t="shared" si="74"/>
        <v>0.42445103148589225</v>
      </c>
      <c r="M600" s="84">
        <f t="shared" si="75"/>
        <v>0.91344179552462812</v>
      </c>
      <c r="N600" s="47">
        <f t="shared" si="76"/>
        <v>1.594080622400753E-2</v>
      </c>
      <c r="O600" s="47">
        <f t="shared" si="77"/>
        <v>1.0057267439689994E-2</v>
      </c>
      <c r="P600" s="47">
        <f t="shared" si="78"/>
        <v>3.4920445297275511E-2</v>
      </c>
      <c r="Q600" s="47">
        <f t="shared" si="79"/>
        <v>1</v>
      </c>
    </row>
    <row r="601" spans="1:17" x14ac:dyDescent="0.35">
      <c r="A601" s="82">
        <v>598</v>
      </c>
      <c r="B601" s="83" t="str">
        <f>_xlfn.XLOOKUP(A601,'TAZs by City - CCAG Model'!$A:$A,'TAZs by City - CCAG Model'!$B:$B,"Unknown")</f>
        <v>San Jose</v>
      </c>
      <c r="C601" s="82">
        <f>_xlfn.XLOOKUP(A601,'TAZs by City - CCAG Model'!$A:$A,'TAZs by City - CCAG Model'!$C:$C,999)</f>
        <v>3</v>
      </c>
      <c r="D601" s="82" t="str">
        <f t="shared" si="72"/>
        <v>NO</v>
      </c>
      <c r="E601" s="27">
        <v>7577.24</v>
      </c>
      <c r="F601" s="27">
        <v>7972.46</v>
      </c>
      <c r="G601" s="27">
        <v>626.1</v>
      </c>
      <c r="H601" s="27">
        <v>250.76</v>
      </c>
      <c r="I601" s="27">
        <v>1366.92</v>
      </c>
      <c r="J601" s="27">
        <v>18456.62</v>
      </c>
      <c r="K601" s="47">
        <f t="shared" si="73"/>
        <v>0.41054320888656753</v>
      </c>
      <c r="L601" s="47">
        <f t="shared" si="74"/>
        <v>0.4319566637878442</v>
      </c>
      <c r="M601" s="84">
        <f t="shared" si="75"/>
        <v>0.84249987267441173</v>
      </c>
      <c r="N601" s="47">
        <f t="shared" si="76"/>
        <v>3.3922787595995367E-2</v>
      </c>
      <c r="O601" s="47">
        <f t="shared" si="77"/>
        <v>1.358645299085098E-2</v>
      </c>
      <c r="P601" s="47">
        <f t="shared" si="78"/>
        <v>7.4061231146331244E-2</v>
      </c>
      <c r="Q601" s="47">
        <f t="shared" si="79"/>
        <v>1</v>
      </c>
    </row>
    <row r="602" spans="1:17" x14ac:dyDescent="0.35">
      <c r="A602" s="82">
        <v>599</v>
      </c>
      <c r="B602" s="83" t="str">
        <f>_xlfn.XLOOKUP(A602,'TAZs by City - CCAG Model'!$A:$A,'TAZs by City - CCAG Model'!$B:$B,"Unknown")</f>
        <v>San Jose</v>
      </c>
      <c r="C602" s="82">
        <f>_xlfn.XLOOKUP(A602,'TAZs by City - CCAG Model'!$A:$A,'TAZs by City - CCAG Model'!$C:$C,999)</f>
        <v>3</v>
      </c>
      <c r="D602" s="82" t="str">
        <f t="shared" si="72"/>
        <v>NO</v>
      </c>
      <c r="E602" s="27">
        <v>9346.8799999999992</v>
      </c>
      <c r="F602" s="27">
        <v>7790.54</v>
      </c>
      <c r="G602" s="27">
        <v>623.02</v>
      </c>
      <c r="H602" s="27">
        <v>255.06</v>
      </c>
      <c r="I602" s="27">
        <v>1172.32</v>
      </c>
      <c r="J602" s="27">
        <v>19849.099999999999</v>
      </c>
      <c r="K602" s="47">
        <f t="shared" si="73"/>
        <v>0.47089691724058019</v>
      </c>
      <c r="L602" s="47">
        <f t="shared" si="74"/>
        <v>0.3924883244076558</v>
      </c>
      <c r="M602" s="84">
        <f t="shared" si="75"/>
        <v>0.86338524164823593</v>
      </c>
      <c r="N602" s="47">
        <f t="shared" si="76"/>
        <v>3.1387821110277041E-2</v>
      </c>
      <c r="O602" s="47">
        <f t="shared" si="77"/>
        <v>1.284995289458968E-2</v>
      </c>
      <c r="P602" s="47">
        <f t="shared" si="78"/>
        <v>5.906161992231386E-2</v>
      </c>
      <c r="Q602" s="47">
        <f t="shared" si="79"/>
        <v>1</v>
      </c>
    </row>
    <row r="603" spans="1:17" x14ac:dyDescent="0.35">
      <c r="A603" s="82">
        <v>600</v>
      </c>
      <c r="B603" s="83" t="str">
        <f>_xlfn.XLOOKUP(A603,'TAZs by City - CCAG Model'!$A:$A,'TAZs by City - CCAG Model'!$B:$B,"Unknown")</f>
        <v>Unincorporated</v>
      </c>
      <c r="C603" s="82">
        <f>_xlfn.XLOOKUP(A603,'TAZs by City - CCAG Model'!$A:$A,'TAZs by City - CCAG Model'!$C:$C,999)</f>
        <v>3</v>
      </c>
      <c r="D603" s="82" t="str">
        <f t="shared" si="72"/>
        <v>NO</v>
      </c>
      <c r="E603" s="27">
        <v>2475.36</v>
      </c>
      <c r="F603" s="27">
        <v>1349.58</v>
      </c>
      <c r="G603" s="27">
        <v>0</v>
      </c>
      <c r="H603" s="27">
        <v>9.32</v>
      </c>
      <c r="I603" s="27">
        <v>78.260000000000005</v>
      </c>
      <c r="J603" s="27">
        <v>3940.2</v>
      </c>
      <c r="K603" s="47">
        <f t="shared" si="73"/>
        <v>0.62823206943809962</v>
      </c>
      <c r="L603" s="47">
        <f t="shared" si="74"/>
        <v>0.34251560834475409</v>
      </c>
      <c r="M603" s="84">
        <f t="shared" si="75"/>
        <v>0.97074767778285376</v>
      </c>
      <c r="N603" s="47">
        <f t="shared" si="76"/>
        <v>0</v>
      </c>
      <c r="O603" s="47">
        <f t="shared" si="77"/>
        <v>2.3653621643571392E-3</v>
      </c>
      <c r="P603" s="47">
        <f t="shared" si="78"/>
        <v>1.9861935942337955E-2</v>
      </c>
      <c r="Q603" s="47">
        <f t="shared" si="79"/>
        <v>1</v>
      </c>
    </row>
    <row r="604" spans="1:17" x14ac:dyDescent="0.35">
      <c r="A604" s="82">
        <v>601</v>
      </c>
      <c r="B604" s="83" t="str">
        <f>_xlfn.XLOOKUP(A604,'TAZs by City - CCAG Model'!$A:$A,'TAZs by City - CCAG Model'!$B:$B,"Unknown")</f>
        <v>San Jose</v>
      </c>
      <c r="C604" s="82">
        <f>_xlfn.XLOOKUP(A604,'TAZs by City - CCAG Model'!$A:$A,'TAZs by City - CCAG Model'!$C:$C,999)</f>
        <v>3</v>
      </c>
      <c r="D604" s="82" t="str">
        <f t="shared" si="72"/>
        <v>NO</v>
      </c>
      <c r="E604" s="27">
        <v>13128.38</v>
      </c>
      <c r="F604" s="27">
        <v>7559.26</v>
      </c>
      <c r="G604" s="27">
        <v>240.38</v>
      </c>
      <c r="H604" s="27">
        <v>260.39999999999998</v>
      </c>
      <c r="I604" s="27">
        <v>1311.04</v>
      </c>
      <c r="J604" s="27">
        <v>22768.639999999999</v>
      </c>
      <c r="K604" s="47">
        <f t="shared" si="73"/>
        <v>0.57659921716887785</v>
      </c>
      <c r="L604" s="47">
        <f t="shared" si="74"/>
        <v>0.33200314116258156</v>
      </c>
      <c r="M604" s="84">
        <f t="shared" si="75"/>
        <v>0.90860235833145941</v>
      </c>
      <c r="N604" s="47">
        <f t="shared" si="76"/>
        <v>1.0557503654148865E-2</v>
      </c>
      <c r="O604" s="47">
        <f t="shared" si="77"/>
        <v>1.1436783224645829E-2</v>
      </c>
      <c r="P604" s="47">
        <f t="shared" si="78"/>
        <v>5.7580953451765234E-2</v>
      </c>
      <c r="Q604" s="47">
        <f t="shared" si="79"/>
        <v>1</v>
      </c>
    </row>
    <row r="605" spans="1:17" x14ac:dyDescent="0.35">
      <c r="A605" s="82">
        <v>602</v>
      </c>
      <c r="B605" s="83" t="str">
        <f>_xlfn.XLOOKUP(A605,'TAZs by City - CCAG Model'!$A:$A,'TAZs by City - CCAG Model'!$B:$B,"Unknown")</f>
        <v>San Jose</v>
      </c>
      <c r="C605" s="82">
        <f>_xlfn.XLOOKUP(A605,'TAZs by City - CCAG Model'!$A:$A,'TAZs by City - CCAG Model'!$C:$C,999)</f>
        <v>3</v>
      </c>
      <c r="D605" s="82" t="str">
        <f t="shared" si="72"/>
        <v>NO</v>
      </c>
      <c r="E605" s="27">
        <v>4014.42</v>
      </c>
      <c r="F605" s="27">
        <v>2680.14</v>
      </c>
      <c r="G605" s="27">
        <v>26.42</v>
      </c>
      <c r="H605" s="27">
        <v>89.86</v>
      </c>
      <c r="I605" s="27">
        <v>284.68</v>
      </c>
      <c r="J605" s="27">
        <v>7160.18</v>
      </c>
      <c r="K605" s="47">
        <f t="shared" si="73"/>
        <v>0.56065908957596033</v>
      </c>
      <c r="L605" s="47">
        <f t="shared" si="74"/>
        <v>0.37431181897661786</v>
      </c>
      <c r="M605" s="84">
        <f t="shared" si="75"/>
        <v>0.93497090855257814</v>
      </c>
      <c r="N605" s="47">
        <f t="shared" si="76"/>
        <v>3.6898513724515306E-3</v>
      </c>
      <c r="O605" s="47">
        <f t="shared" si="77"/>
        <v>1.2549963827725E-2</v>
      </c>
      <c r="P605" s="47">
        <f t="shared" si="78"/>
        <v>3.9758777013985683E-2</v>
      </c>
      <c r="Q605" s="47">
        <f t="shared" si="79"/>
        <v>1</v>
      </c>
    </row>
    <row r="606" spans="1:17" x14ac:dyDescent="0.35">
      <c r="A606" s="82">
        <v>603</v>
      </c>
      <c r="B606" s="83" t="str">
        <f>_xlfn.XLOOKUP(A606,'TAZs by City - CCAG Model'!$A:$A,'TAZs by City - CCAG Model'!$B:$B,"Unknown")</f>
        <v>San Jose</v>
      </c>
      <c r="C606" s="82">
        <f>_xlfn.XLOOKUP(A606,'TAZs by City - CCAG Model'!$A:$A,'TAZs by City - CCAG Model'!$C:$C,999)</f>
        <v>3</v>
      </c>
      <c r="D606" s="82" t="str">
        <f t="shared" si="72"/>
        <v>NO</v>
      </c>
      <c r="E606" s="27">
        <v>6098.96</v>
      </c>
      <c r="F606" s="27">
        <v>4490.66</v>
      </c>
      <c r="G606" s="27">
        <v>86.58</v>
      </c>
      <c r="H606" s="27">
        <v>143.58000000000001</v>
      </c>
      <c r="I606" s="27">
        <v>738.96</v>
      </c>
      <c r="J606" s="27">
        <v>11671.4</v>
      </c>
      <c r="K606" s="47">
        <f t="shared" si="73"/>
        <v>0.52255599156913479</v>
      </c>
      <c r="L606" s="47">
        <f t="shared" si="74"/>
        <v>0.38475761262573471</v>
      </c>
      <c r="M606" s="84">
        <f t="shared" si="75"/>
        <v>0.90731360419486951</v>
      </c>
      <c r="N606" s="47">
        <f t="shared" si="76"/>
        <v>7.4181332145243934E-3</v>
      </c>
      <c r="O606" s="47">
        <f t="shared" si="77"/>
        <v>1.2301866100039414E-2</v>
      </c>
      <c r="P606" s="47">
        <f t="shared" si="78"/>
        <v>6.3313741282108413E-2</v>
      </c>
      <c r="Q606" s="47">
        <f t="shared" si="79"/>
        <v>1</v>
      </c>
    </row>
    <row r="607" spans="1:17" x14ac:dyDescent="0.35">
      <c r="A607" s="82">
        <v>604</v>
      </c>
      <c r="B607" s="83" t="str">
        <f>_xlfn.XLOOKUP(A607,'TAZs by City - CCAG Model'!$A:$A,'TAZs by City - CCAG Model'!$B:$B,"Unknown")</f>
        <v>San Jose</v>
      </c>
      <c r="C607" s="82">
        <f>_xlfn.XLOOKUP(A607,'TAZs by City - CCAG Model'!$A:$A,'TAZs by City - CCAG Model'!$C:$C,999)</f>
        <v>3</v>
      </c>
      <c r="D607" s="82" t="str">
        <f t="shared" si="72"/>
        <v>NO</v>
      </c>
      <c r="E607" s="27">
        <v>3952.72</v>
      </c>
      <c r="F607" s="27">
        <v>2955.7</v>
      </c>
      <c r="G607" s="27">
        <v>54.1</v>
      </c>
      <c r="H607" s="27">
        <v>85.46</v>
      </c>
      <c r="I607" s="27">
        <v>1193.98</v>
      </c>
      <c r="J607" s="27">
        <v>8334.5</v>
      </c>
      <c r="K607" s="47">
        <f t="shared" si="73"/>
        <v>0.47426000359949605</v>
      </c>
      <c r="L607" s="47">
        <f t="shared" si="74"/>
        <v>0.35463435119083325</v>
      </c>
      <c r="M607" s="84">
        <f t="shared" si="75"/>
        <v>0.82889435479032936</v>
      </c>
      <c r="N607" s="47">
        <f t="shared" si="76"/>
        <v>6.4910912472253886E-3</v>
      </c>
      <c r="O607" s="47">
        <f t="shared" si="77"/>
        <v>1.0253764472973784E-2</v>
      </c>
      <c r="P607" s="47">
        <f t="shared" si="78"/>
        <v>0.14325754394384788</v>
      </c>
      <c r="Q607" s="47">
        <f t="shared" si="79"/>
        <v>1</v>
      </c>
    </row>
    <row r="608" spans="1:17" x14ac:dyDescent="0.35">
      <c r="A608" s="82">
        <v>605</v>
      </c>
      <c r="B608" s="83" t="str">
        <f>_xlfn.XLOOKUP(A608,'TAZs by City - CCAG Model'!$A:$A,'TAZs by City - CCAG Model'!$B:$B,"Unknown")</f>
        <v>San Jose</v>
      </c>
      <c r="C608" s="82">
        <f>_xlfn.XLOOKUP(A608,'TAZs by City - CCAG Model'!$A:$A,'TAZs by City - CCAG Model'!$C:$C,999)</f>
        <v>3</v>
      </c>
      <c r="D608" s="82" t="str">
        <f t="shared" si="72"/>
        <v>NO</v>
      </c>
      <c r="E608" s="27">
        <v>4241.16</v>
      </c>
      <c r="F608" s="27">
        <v>3270.82</v>
      </c>
      <c r="G608" s="27">
        <v>75.36</v>
      </c>
      <c r="H608" s="27">
        <v>118.54</v>
      </c>
      <c r="I608" s="27">
        <v>856.48</v>
      </c>
      <c r="J608" s="27">
        <v>8679.3799999999992</v>
      </c>
      <c r="K608" s="47">
        <f t="shared" si="73"/>
        <v>0.48864780664056651</v>
      </c>
      <c r="L608" s="47">
        <f t="shared" si="74"/>
        <v>0.37684949846648036</v>
      </c>
      <c r="M608" s="84">
        <f t="shared" si="75"/>
        <v>0.86549730510704681</v>
      </c>
      <c r="N608" s="47">
        <f t="shared" si="76"/>
        <v>8.6826478389009365E-3</v>
      </c>
      <c r="O608" s="47">
        <f t="shared" si="77"/>
        <v>1.3657657574619387E-2</v>
      </c>
      <c r="P608" s="47">
        <f t="shared" si="78"/>
        <v>9.8679859621309374E-2</v>
      </c>
      <c r="Q608" s="47">
        <f t="shared" si="79"/>
        <v>1</v>
      </c>
    </row>
    <row r="609" spans="1:17" x14ac:dyDescent="0.35">
      <c r="A609" s="82">
        <v>606</v>
      </c>
      <c r="B609" s="83" t="str">
        <f>_xlfn.XLOOKUP(A609,'TAZs by City - CCAG Model'!$A:$A,'TAZs by City - CCAG Model'!$B:$B,"Unknown")</f>
        <v>San Jose</v>
      </c>
      <c r="C609" s="82">
        <f>_xlfn.XLOOKUP(A609,'TAZs by City - CCAG Model'!$A:$A,'TAZs by City - CCAG Model'!$C:$C,999)</f>
        <v>3</v>
      </c>
      <c r="D609" s="82" t="str">
        <f t="shared" si="72"/>
        <v>NO</v>
      </c>
      <c r="E609" s="27">
        <v>9032.1200000000008</v>
      </c>
      <c r="F609" s="27">
        <v>5657.26</v>
      </c>
      <c r="G609" s="27">
        <v>158.34</v>
      </c>
      <c r="H609" s="27">
        <v>185.9</v>
      </c>
      <c r="I609" s="27">
        <v>2592.94</v>
      </c>
      <c r="J609" s="27">
        <v>17826.240000000002</v>
      </c>
      <c r="K609" s="47">
        <f t="shared" si="73"/>
        <v>0.5066755524440375</v>
      </c>
      <c r="L609" s="47">
        <f t="shared" si="74"/>
        <v>0.31735576318954528</v>
      </c>
      <c r="M609" s="84">
        <f t="shared" si="75"/>
        <v>0.82403131563358278</v>
      </c>
      <c r="N609" s="47">
        <f t="shared" si="76"/>
        <v>8.8824115461252611E-3</v>
      </c>
      <c r="O609" s="47">
        <f t="shared" si="77"/>
        <v>1.0428447053332615E-2</v>
      </c>
      <c r="P609" s="47">
        <f t="shared" si="78"/>
        <v>0.14545636096002296</v>
      </c>
      <c r="Q609" s="47">
        <f t="shared" si="79"/>
        <v>1</v>
      </c>
    </row>
    <row r="610" spans="1:17" x14ac:dyDescent="0.35">
      <c r="A610" s="82">
        <v>607</v>
      </c>
      <c r="B610" s="83" t="str">
        <f>_xlfn.XLOOKUP(A610,'TAZs by City - CCAG Model'!$A:$A,'TAZs by City - CCAG Model'!$B:$B,"Unknown")</f>
        <v>San Jose</v>
      </c>
      <c r="C610" s="82">
        <f>_xlfn.XLOOKUP(A610,'TAZs by City - CCAG Model'!$A:$A,'TAZs by City - CCAG Model'!$C:$C,999)</f>
        <v>3</v>
      </c>
      <c r="D610" s="82" t="str">
        <f t="shared" si="72"/>
        <v>NO</v>
      </c>
      <c r="E610" s="27">
        <v>3400.46</v>
      </c>
      <c r="F610" s="27">
        <v>2738.52</v>
      </c>
      <c r="G610" s="27">
        <v>62.42</v>
      </c>
      <c r="H610" s="27">
        <v>70.52</v>
      </c>
      <c r="I610" s="27">
        <v>1196.4000000000001</v>
      </c>
      <c r="J610" s="27">
        <v>7560.12</v>
      </c>
      <c r="K610" s="47">
        <f t="shared" si="73"/>
        <v>0.44978915678587111</v>
      </c>
      <c r="L610" s="47">
        <f t="shared" si="74"/>
        <v>0.36223234551832512</v>
      </c>
      <c r="M610" s="84">
        <f t="shared" si="75"/>
        <v>0.81202150230419623</v>
      </c>
      <c r="N610" s="47">
        <f t="shared" si="76"/>
        <v>8.2564827013327843E-3</v>
      </c>
      <c r="O610" s="47">
        <f t="shared" si="77"/>
        <v>9.3278942662285771E-3</v>
      </c>
      <c r="P610" s="47">
        <f t="shared" si="78"/>
        <v>0.15825145632609008</v>
      </c>
      <c r="Q610" s="47">
        <f t="shared" si="79"/>
        <v>1</v>
      </c>
    </row>
    <row r="611" spans="1:17" x14ac:dyDescent="0.35">
      <c r="A611" s="82">
        <v>608</v>
      </c>
      <c r="B611" s="83" t="str">
        <f>_xlfn.XLOOKUP(A611,'TAZs by City - CCAG Model'!$A:$A,'TAZs by City - CCAG Model'!$B:$B,"Unknown")</f>
        <v>San Jose</v>
      </c>
      <c r="C611" s="82">
        <f>_xlfn.XLOOKUP(A611,'TAZs by City - CCAG Model'!$A:$A,'TAZs by City - CCAG Model'!$C:$C,999)</f>
        <v>3</v>
      </c>
      <c r="D611" s="82" t="str">
        <f t="shared" si="72"/>
        <v>NO</v>
      </c>
      <c r="E611" s="27">
        <v>5045.1400000000003</v>
      </c>
      <c r="F611" s="27">
        <v>3813.02</v>
      </c>
      <c r="G611" s="27">
        <v>104.78</v>
      </c>
      <c r="H611" s="27">
        <v>113.48</v>
      </c>
      <c r="I611" s="27">
        <v>1864.1</v>
      </c>
      <c r="J611" s="27">
        <v>11085.16</v>
      </c>
      <c r="K611" s="47">
        <f t="shared" si="73"/>
        <v>0.45512559133111297</v>
      </c>
      <c r="L611" s="47">
        <f t="shared" si="74"/>
        <v>0.34397518845014419</v>
      </c>
      <c r="M611" s="84">
        <f t="shared" si="75"/>
        <v>0.79910077978125715</v>
      </c>
      <c r="N611" s="47">
        <f t="shared" si="76"/>
        <v>9.4522767375482177E-3</v>
      </c>
      <c r="O611" s="47">
        <f t="shared" si="77"/>
        <v>1.0237109793634012E-2</v>
      </c>
      <c r="P611" s="47">
        <f t="shared" si="78"/>
        <v>0.16816175860339408</v>
      </c>
      <c r="Q611" s="47">
        <f t="shared" si="79"/>
        <v>1</v>
      </c>
    </row>
    <row r="612" spans="1:17" x14ac:dyDescent="0.35">
      <c r="A612" s="82">
        <v>609</v>
      </c>
      <c r="B612" s="83" t="str">
        <f>_xlfn.XLOOKUP(A612,'TAZs by City - CCAG Model'!$A:$A,'TAZs by City - CCAG Model'!$B:$B,"Unknown")</f>
        <v>San Jose</v>
      </c>
      <c r="C612" s="82">
        <f>_xlfn.XLOOKUP(A612,'TAZs by City - CCAG Model'!$A:$A,'TAZs by City - CCAG Model'!$C:$C,999)</f>
        <v>3</v>
      </c>
      <c r="D612" s="82" t="str">
        <f t="shared" si="72"/>
        <v>NO</v>
      </c>
      <c r="E612" s="27">
        <v>4251.58</v>
      </c>
      <c r="F612" s="27">
        <v>3175.82</v>
      </c>
      <c r="G612" s="27">
        <v>66.84</v>
      </c>
      <c r="H612" s="27">
        <v>92.56</v>
      </c>
      <c r="I612" s="27">
        <v>1032.9000000000001</v>
      </c>
      <c r="J612" s="27">
        <v>8723.66</v>
      </c>
      <c r="K612" s="47">
        <f t="shared" si="73"/>
        <v>0.48736195587631798</v>
      </c>
      <c r="L612" s="47">
        <f t="shared" si="74"/>
        <v>0.36404674184917801</v>
      </c>
      <c r="M612" s="84">
        <f t="shared" si="75"/>
        <v>0.85140869772549588</v>
      </c>
      <c r="N612" s="47">
        <f t="shared" si="76"/>
        <v>7.6619217163438284E-3</v>
      </c>
      <c r="O612" s="47">
        <f t="shared" si="77"/>
        <v>1.061022552460779E-2</v>
      </c>
      <c r="P612" s="47">
        <f t="shared" si="78"/>
        <v>0.11840213855193807</v>
      </c>
      <c r="Q612" s="47">
        <f t="shared" si="79"/>
        <v>1</v>
      </c>
    </row>
    <row r="613" spans="1:17" x14ac:dyDescent="0.35">
      <c r="A613" s="82">
        <v>610</v>
      </c>
      <c r="B613" s="83" t="str">
        <f>_xlfn.XLOOKUP(A613,'TAZs by City - CCAG Model'!$A:$A,'TAZs by City - CCAG Model'!$B:$B,"Unknown")</f>
        <v>San Jose</v>
      </c>
      <c r="C613" s="82">
        <f>_xlfn.XLOOKUP(A613,'TAZs by City - CCAG Model'!$A:$A,'TAZs by City - CCAG Model'!$C:$C,999)</f>
        <v>3</v>
      </c>
      <c r="D613" s="82" t="str">
        <f t="shared" si="72"/>
        <v>NO</v>
      </c>
      <c r="E613" s="27">
        <v>2231.34</v>
      </c>
      <c r="F613" s="27">
        <v>1652.64</v>
      </c>
      <c r="G613" s="27">
        <v>38.94</v>
      </c>
      <c r="H613" s="27">
        <v>48.98</v>
      </c>
      <c r="I613" s="27">
        <v>486.46</v>
      </c>
      <c r="J613" s="27">
        <v>4524.28</v>
      </c>
      <c r="K613" s="47">
        <f t="shared" si="73"/>
        <v>0.49319228694952572</v>
      </c>
      <c r="L613" s="47">
        <f t="shared" si="74"/>
        <v>0.36528243167973695</v>
      </c>
      <c r="M613" s="84">
        <f t="shared" si="75"/>
        <v>0.85847471862926272</v>
      </c>
      <c r="N613" s="47">
        <f t="shared" si="76"/>
        <v>8.6068943566711166E-3</v>
      </c>
      <c r="O613" s="47">
        <f t="shared" si="77"/>
        <v>1.0826031987410152E-2</v>
      </c>
      <c r="P613" s="47">
        <f t="shared" si="78"/>
        <v>0.10752208086148514</v>
      </c>
      <c r="Q613" s="47">
        <f t="shared" si="79"/>
        <v>1</v>
      </c>
    </row>
    <row r="614" spans="1:17" x14ac:dyDescent="0.35">
      <c r="A614" s="82">
        <v>611</v>
      </c>
      <c r="B614" s="83" t="str">
        <f>_xlfn.XLOOKUP(A614,'TAZs by City - CCAG Model'!$A:$A,'TAZs by City - CCAG Model'!$B:$B,"Unknown")</f>
        <v>San Jose</v>
      </c>
      <c r="C614" s="82">
        <f>_xlfn.XLOOKUP(A614,'TAZs by City - CCAG Model'!$A:$A,'TAZs by City - CCAG Model'!$C:$C,999)</f>
        <v>3</v>
      </c>
      <c r="D614" s="82" t="str">
        <f t="shared" si="72"/>
        <v>NO</v>
      </c>
      <c r="E614" s="27">
        <v>12051.2</v>
      </c>
      <c r="F614" s="27">
        <v>7435.84</v>
      </c>
      <c r="G614" s="27">
        <v>267.8</v>
      </c>
      <c r="H614" s="27">
        <v>285.58</v>
      </c>
      <c r="I614" s="27">
        <v>2308.52</v>
      </c>
      <c r="J614" s="27">
        <v>22649.24</v>
      </c>
      <c r="K614" s="47">
        <f t="shared" si="73"/>
        <v>0.53207966360019143</v>
      </c>
      <c r="L614" s="47">
        <f t="shared" si="74"/>
        <v>0.32830417267864176</v>
      </c>
      <c r="M614" s="84">
        <f t="shared" si="75"/>
        <v>0.86038383627883319</v>
      </c>
      <c r="N614" s="47">
        <f t="shared" si="76"/>
        <v>1.1823796295151625E-2</v>
      </c>
      <c r="O614" s="47">
        <f t="shared" si="77"/>
        <v>1.2608811598093355E-2</v>
      </c>
      <c r="P614" s="47">
        <f t="shared" si="78"/>
        <v>0.10192483279792169</v>
      </c>
      <c r="Q614" s="47">
        <f t="shared" si="79"/>
        <v>1</v>
      </c>
    </row>
    <row r="615" spans="1:17" x14ac:dyDescent="0.35">
      <c r="A615" s="82">
        <v>612</v>
      </c>
      <c r="B615" s="83" t="str">
        <f>_xlfn.XLOOKUP(A615,'TAZs by City - CCAG Model'!$A:$A,'TAZs by City - CCAG Model'!$B:$B,"Unknown")</f>
        <v>San Jose</v>
      </c>
      <c r="C615" s="82">
        <f>_xlfn.XLOOKUP(A615,'TAZs by City - CCAG Model'!$A:$A,'TAZs by City - CCAG Model'!$C:$C,999)</f>
        <v>3</v>
      </c>
      <c r="D615" s="82" t="str">
        <f t="shared" si="72"/>
        <v>NO</v>
      </c>
      <c r="E615" s="27">
        <v>2734.2</v>
      </c>
      <c r="F615" s="27">
        <v>2251.02</v>
      </c>
      <c r="G615" s="27">
        <v>74.06</v>
      </c>
      <c r="H615" s="27">
        <v>53.26</v>
      </c>
      <c r="I615" s="27">
        <v>246.16</v>
      </c>
      <c r="J615" s="27">
        <v>5461.36</v>
      </c>
      <c r="K615" s="47">
        <f t="shared" si="73"/>
        <v>0.50064452810289017</v>
      </c>
      <c r="L615" s="47">
        <f t="shared" si="74"/>
        <v>0.41217205970673976</v>
      </c>
      <c r="M615" s="84">
        <f t="shared" si="75"/>
        <v>0.91281658780962982</v>
      </c>
      <c r="N615" s="47">
        <f t="shared" si="76"/>
        <v>1.3560724801148434E-2</v>
      </c>
      <c r="O615" s="47">
        <f t="shared" si="77"/>
        <v>9.7521496477067978E-3</v>
      </c>
      <c r="P615" s="47">
        <f t="shared" si="78"/>
        <v>4.5073022104384255E-2</v>
      </c>
      <c r="Q615" s="47">
        <f t="shared" si="79"/>
        <v>1</v>
      </c>
    </row>
    <row r="616" spans="1:17" x14ac:dyDescent="0.35">
      <c r="A616" s="82">
        <v>613</v>
      </c>
      <c r="B616" s="83" t="str">
        <f>_xlfn.XLOOKUP(A616,'TAZs by City - CCAG Model'!$A:$A,'TAZs by City - CCAG Model'!$B:$B,"Unknown")</f>
        <v>San Jose</v>
      </c>
      <c r="C616" s="82">
        <f>_xlfn.XLOOKUP(A616,'TAZs by City - CCAG Model'!$A:$A,'TAZs by City - CCAG Model'!$C:$C,999)</f>
        <v>3</v>
      </c>
      <c r="D616" s="82" t="str">
        <f t="shared" si="72"/>
        <v>NO</v>
      </c>
      <c r="E616" s="27">
        <v>8588.06</v>
      </c>
      <c r="F616" s="27">
        <v>4765.78</v>
      </c>
      <c r="G616" s="27">
        <v>172.9</v>
      </c>
      <c r="H616" s="27">
        <v>159.16</v>
      </c>
      <c r="I616" s="27">
        <v>1295.3</v>
      </c>
      <c r="J616" s="27">
        <v>15192.8</v>
      </c>
      <c r="K616" s="47">
        <f t="shared" si="73"/>
        <v>0.56527170765099255</v>
      </c>
      <c r="L616" s="47">
        <f t="shared" si="74"/>
        <v>0.31368674635353588</v>
      </c>
      <c r="M616" s="84">
        <f t="shared" si="75"/>
        <v>0.87895845400452854</v>
      </c>
      <c r="N616" s="47">
        <f t="shared" si="76"/>
        <v>1.1380390711389606E-2</v>
      </c>
      <c r="O616" s="47">
        <f t="shared" si="77"/>
        <v>1.047601495445211E-2</v>
      </c>
      <c r="P616" s="47">
        <f t="shared" si="78"/>
        <v>8.525749039018482E-2</v>
      </c>
      <c r="Q616" s="47">
        <f t="shared" si="79"/>
        <v>1</v>
      </c>
    </row>
    <row r="617" spans="1:17" x14ac:dyDescent="0.35">
      <c r="A617" s="82">
        <v>614</v>
      </c>
      <c r="B617" s="83" t="str">
        <f>_xlfn.XLOOKUP(A617,'TAZs by City - CCAG Model'!$A:$A,'TAZs by City - CCAG Model'!$B:$B,"Unknown")</f>
        <v>San Jose</v>
      </c>
      <c r="C617" s="82">
        <f>_xlfn.XLOOKUP(A617,'TAZs by City - CCAG Model'!$A:$A,'TAZs by City - CCAG Model'!$C:$C,999)</f>
        <v>3</v>
      </c>
      <c r="D617" s="82" t="str">
        <f t="shared" si="72"/>
        <v>NO</v>
      </c>
      <c r="E617" s="27">
        <v>2494.36</v>
      </c>
      <c r="F617" s="27">
        <v>1613.58</v>
      </c>
      <c r="G617" s="27">
        <v>53.28</v>
      </c>
      <c r="H617" s="27">
        <v>51.42</v>
      </c>
      <c r="I617" s="27">
        <v>292.18</v>
      </c>
      <c r="J617" s="27">
        <v>4601.28</v>
      </c>
      <c r="K617" s="47">
        <f t="shared" si="73"/>
        <v>0.54210132832603108</v>
      </c>
      <c r="L617" s="47">
        <f t="shared" si="74"/>
        <v>0.35068068015856457</v>
      </c>
      <c r="M617" s="84">
        <f t="shared" si="75"/>
        <v>0.89278200848459577</v>
      </c>
      <c r="N617" s="47">
        <f t="shared" si="76"/>
        <v>1.1579386605466306E-2</v>
      </c>
      <c r="O617" s="47">
        <f t="shared" si="77"/>
        <v>1.117515126225746E-2</v>
      </c>
      <c r="P617" s="47">
        <f t="shared" si="78"/>
        <v>6.3499721816538013E-2</v>
      </c>
      <c r="Q617" s="47">
        <f t="shared" si="79"/>
        <v>1</v>
      </c>
    </row>
    <row r="618" spans="1:17" x14ac:dyDescent="0.35">
      <c r="A618" s="82">
        <v>615</v>
      </c>
      <c r="B618" s="83" t="str">
        <f>_xlfn.XLOOKUP(A618,'TAZs by City - CCAG Model'!$A:$A,'TAZs by City - CCAG Model'!$B:$B,"Unknown")</f>
        <v>San Jose</v>
      </c>
      <c r="C618" s="82">
        <f>_xlfn.XLOOKUP(A618,'TAZs by City - CCAG Model'!$A:$A,'TAZs by City - CCAG Model'!$C:$C,999)</f>
        <v>3</v>
      </c>
      <c r="D618" s="82" t="str">
        <f t="shared" si="72"/>
        <v>NO</v>
      </c>
      <c r="E618" s="27">
        <v>977.56</v>
      </c>
      <c r="F618" s="27">
        <v>728.78</v>
      </c>
      <c r="G618" s="27">
        <v>22.2</v>
      </c>
      <c r="H618" s="27">
        <v>20.28</v>
      </c>
      <c r="I618" s="27">
        <v>127.72</v>
      </c>
      <c r="J618" s="27">
        <v>1922.86</v>
      </c>
      <c r="K618" s="47">
        <f t="shared" si="73"/>
        <v>0.50838854622801455</v>
      </c>
      <c r="L618" s="47">
        <f t="shared" si="74"/>
        <v>0.37900835214212164</v>
      </c>
      <c r="M618" s="84">
        <f t="shared" si="75"/>
        <v>0.88739689837013613</v>
      </c>
      <c r="N618" s="47">
        <f t="shared" si="76"/>
        <v>1.1545302310100579E-2</v>
      </c>
      <c r="O618" s="47">
        <f t="shared" si="77"/>
        <v>1.0546789677875666E-2</v>
      </c>
      <c r="P618" s="47">
        <f t="shared" si="78"/>
        <v>6.6421892389461529E-2</v>
      </c>
      <c r="Q618" s="47">
        <f t="shared" si="79"/>
        <v>1</v>
      </c>
    </row>
    <row r="619" spans="1:17" x14ac:dyDescent="0.35">
      <c r="A619" s="82">
        <v>616</v>
      </c>
      <c r="B619" s="83" t="str">
        <f>_xlfn.XLOOKUP(A619,'TAZs by City - CCAG Model'!$A:$A,'TAZs by City - CCAG Model'!$B:$B,"Unknown")</f>
        <v>San Jose</v>
      </c>
      <c r="C619" s="82">
        <f>_xlfn.XLOOKUP(A619,'TAZs by City - CCAG Model'!$A:$A,'TAZs by City - CCAG Model'!$C:$C,999)</f>
        <v>3</v>
      </c>
      <c r="D619" s="82" t="str">
        <f t="shared" si="72"/>
        <v>NO</v>
      </c>
      <c r="E619" s="27">
        <v>9111.4</v>
      </c>
      <c r="F619" s="27">
        <v>5484.1</v>
      </c>
      <c r="G619" s="27">
        <v>139.44</v>
      </c>
      <c r="H619" s="27">
        <v>168.14</v>
      </c>
      <c r="I619" s="27">
        <v>1039.04</v>
      </c>
      <c r="J619" s="27">
        <v>16123.52</v>
      </c>
      <c r="K619" s="47">
        <f t="shared" si="73"/>
        <v>0.56509992855158175</v>
      </c>
      <c r="L619" s="47">
        <f t="shared" si="74"/>
        <v>0.3401304429801929</v>
      </c>
      <c r="M619" s="84">
        <f t="shared" si="75"/>
        <v>0.90523037153177466</v>
      </c>
      <c r="N619" s="47">
        <f t="shared" si="76"/>
        <v>8.6482356210058342E-3</v>
      </c>
      <c r="O619" s="47">
        <f t="shared" si="77"/>
        <v>1.0428243956654626E-2</v>
      </c>
      <c r="P619" s="47">
        <f t="shared" si="78"/>
        <v>6.4442503870122653E-2</v>
      </c>
      <c r="Q619" s="47">
        <f t="shared" si="79"/>
        <v>1</v>
      </c>
    </row>
    <row r="620" spans="1:17" x14ac:dyDescent="0.35">
      <c r="A620" s="82">
        <v>617</v>
      </c>
      <c r="B620" s="83" t="str">
        <f>_xlfn.XLOOKUP(A620,'TAZs by City - CCAG Model'!$A:$A,'TAZs by City - CCAG Model'!$B:$B,"Unknown")</f>
        <v>San Jose</v>
      </c>
      <c r="C620" s="82">
        <f>_xlfn.XLOOKUP(A620,'TAZs by City - CCAG Model'!$A:$A,'TAZs by City - CCAG Model'!$C:$C,999)</f>
        <v>3</v>
      </c>
      <c r="D620" s="82" t="str">
        <f t="shared" si="72"/>
        <v>NO</v>
      </c>
      <c r="E620" s="27">
        <v>3806.8</v>
      </c>
      <c r="F620" s="27">
        <v>2952.98</v>
      </c>
      <c r="G620" s="27">
        <v>95.24</v>
      </c>
      <c r="H620" s="27">
        <v>88.9</v>
      </c>
      <c r="I620" s="27">
        <v>801.14</v>
      </c>
      <c r="J620" s="27">
        <v>7878.28</v>
      </c>
      <c r="K620" s="47">
        <f t="shared" si="73"/>
        <v>0.48320191716973759</v>
      </c>
      <c r="L620" s="47">
        <f t="shared" si="74"/>
        <v>0.37482546951872747</v>
      </c>
      <c r="M620" s="84">
        <f t="shared" si="75"/>
        <v>0.85802738668846512</v>
      </c>
      <c r="N620" s="47">
        <f t="shared" si="76"/>
        <v>1.208893311738095E-2</v>
      </c>
      <c r="O620" s="47">
        <f t="shared" si="77"/>
        <v>1.1284188934640556E-2</v>
      </c>
      <c r="P620" s="47">
        <f t="shared" si="78"/>
        <v>0.10168970892123662</v>
      </c>
      <c r="Q620" s="47">
        <f t="shared" si="79"/>
        <v>1</v>
      </c>
    </row>
    <row r="621" spans="1:17" x14ac:dyDescent="0.35">
      <c r="A621" s="82">
        <v>618</v>
      </c>
      <c r="B621" s="83" t="str">
        <f>_xlfn.XLOOKUP(A621,'TAZs by City - CCAG Model'!$A:$A,'TAZs by City - CCAG Model'!$B:$B,"Unknown")</f>
        <v>San Jose</v>
      </c>
      <c r="C621" s="82">
        <f>_xlfn.XLOOKUP(A621,'TAZs by City - CCAG Model'!$A:$A,'TAZs by City - CCAG Model'!$C:$C,999)</f>
        <v>3</v>
      </c>
      <c r="D621" s="82" t="str">
        <f t="shared" si="72"/>
        <v>NO</v>
      </c>
      <c r="E621" s="27">
        <v>1930.58</v>
      </c>
      <c r="F621" s="27">
        <v>1353.42</v>
      </c>
      <c r="G621" s="27">
        <v>39.46</v>
      </c>
      <c r="H621" s="27">
        <v>39.42</v>
      </c>
      <c r="I621" s="27">
        <v>374.08</v>
      </c>
      <c r="J621" s="27">
        <v>3815.42</v>
      </c>
      <c r="K621" s="47">
        <f t="shared" si="73"/>
        <v>0.50599409763538483</v>
      </c>
      <c r="L621" s="47">
        <f t="shared" si="74"/>
        <v>0.35472372635253785</v>
      </c>
      <c r="M621" s="84">
        <f t="shared" si="75"/>
        <v>0.86071782398792263</v>
      </c>
      <c r="N621" s="47">
        <f t="shared" si="76"/>
        <v>1.0342242793716027E-2</v>
      </c>
      <c r="O621" s="47">
        <f t="shared" si="77"/>
        <v>1.033175901997683E-2</v>
      </c>
      <c r="P621" s="47">
        <f t="shared" si="78"/>
        <v>9.8044252008953142E-2</v>
      </c>
      <c r="Q621" s="47">
        <f t="shared" si="79"/>
        <v>1</v>
      </c>
    </row>
    <row r="622" spans="1:17" x14ac:dyDescent="0.35">
      <c r="A622" s="82">
        <v>619</v>
      </c>
      <c r="B622" s="83" t="str">
        <f>_xlfn.XLOOKUP(A622,'TAZs by City - CCAG Model'!$A:$A,'TAZs by City - CCAG Model'!$B:$B,"Unknown")</f>
        <v>San Jose</v>
      </c>
      <c r="C622" s="82">
        <f>_xlfn.XLOOKUP(A622,'TAZs by City - CCAG Model'!$A:$A,'TAZs by City - CCAG Model'!$C:$C,999)</f>
        <v>3</v>
      </c>
      <c r="D622" s="82" t="str">
        <f t="shared" si="72"/>
        <v>NO</v>
      </c>
      <c r="E622" s="27">
        <v>4777.84</v>
      </c>
      <c r="F622" s="27">
        <v>2670.82</v>
      </c>
      <c r="G622" s="27">
        <v>94.72</v>
      </c>
      <c r="H622" s="27">
        <v>101.98</v>
      </c>
      <c r="I622" s="27">
        <v>1549.66</v>
      </c>
      <c r="J622" s="27">
        <v>9337.3799999999992</v>
      </c>
      <c r="K622" s="47">
        <f t="shared" si="73"/>
        <v>0.51168957459158781</v>
      </c>
      <c r="L622" s="47">
        <f t="shared" si="74"/>
        <v>0.28603526899408616</v>
      </c>
      <c r="M622" s="84">
        <f t="shared" si="75"/>
        <v>0.79772484358567397</v>
      </c>
      <c r="N622" s="47">
        <f t="shared" si="76"/>
        <v>1.0144173204903304E-2</v>
      </c>
      <c r="O622" s="47">
        <f t="shared" si="77"/>
        <v>1.0921693237289263E-2</v>
      </c>
      <c r="P622" s="47">
        <f t="shared" si="78"/>
        <v>0.16596304316628435</v>
      </c>
      <c r="Q622" s="47">
        <f t="shared" si="79"/>
        <v>1</v>
      </c>
    </row>
    <row r="623" spans="1:17" x14ac:dyDescent="0.35">
      <c r="A623" s="82">
        <v>620</v>
      </c>
      <c r="B623" s="83" t="str">
        <f>_xlfn.XLOOKUP(A623,'TAZs by City - CCAG Model'!$A:$A,'TAZs by City - CCAG Model'!$B:$B,"Unknown")</f>
        <v>San Jose</v>
      </c>
      <c r="C623" s="82">
        <f>_xlfn.XLOOKUP(A623,'TAZs by City - CCAG Model'!$A:$A,'TAZs by City - CCAG Model'!$C:$C,999)</f>
        <v>3</v>
      </c>
      <c r="D623" s="82" t="str">
        <f t="shared" si="72"/>
        <v>NO</v>
      </c>
      <c r="E623" s="27">
        <v>4191.18</v>
      </c>
      <c r="F623" s="27">
        <v>2380.8000000000002</v>
      </c>
      <c r="G623" s="27">
        <v>94</v>
      </c>
      <c r="H623" s="27">
        <v>94.6</v>
      </c>
      <c r="I623" s="27">
        <v>1364</v>
      </c>
      <c r="J623" s="27">
        <v>8266.44</v>
      </c>
      <c r="K623" s="47">
        <f t="shared" si="73"/>
        <v>0.50701148257290929</v>
      </c>
      <c r="L623" s="47">
        <f t="shared" si="74"/>
        <v>0.28800789699072393</v>
      </c>
      <c r="M623" s="84">
        <f t="shared" si="75"/>
        <v>0.79501937956363322</v>
      </c>
      <c r="N623" s="47">
        <f t="shared" si="76"/>
        <v>1.1371279535084025E-2</v>
      </c>
      <c r="O623" s="47">
        <f t="shared" si="77"/>
        <v>1.1443862170414348E-2</v>
      </c>
      <c r="P623" s="47">
        <f t="shared" si="78"/>
        <v>0.16500452431760224</v>
      </c>
      <c r="Q623" s="47">
        <f t="shared" si="79"/>
        <v>1</v>
      </c>
    </row>
    <row r="624" spans="1:17" x14ac:dyDescent="0.35">
      <c r="A624" s="82">
        <v>621</v>
      </c>
      <c r="B624" s="83" t="str">
        <f>_xlfn.XLOOKUP(A624,'TAZs by City - CCAG Model'!$A:$A,'TAZs by City - CCAG Model'!$B:$B,"Unknown")</f>
        <v>San Jose</v>
      </c>
      <c r="C624" s="82">
        <f>_xlfn.XLOOKUP(A624,'TAZs by City - CCAG Model'!$A:$A,'TAZs by City - CCAG Model'!$C:$C,999)</f>
        <v>3</v>
      </c>
      <c r="D624" s="82" t="str">
        <f t="shared" si="72"/>
        <v>NO</v>
      </c>
      <c r="E624" s="27">
        <v>8771.26</v>
      </c>
      <c r="F624" s="27">
        <v>5874.24</v>
      </c>
      <c r="G624" s="27">
        <v>222</v>
      </c>
      <c r="H624" s="27">
        <v>199.34</v>
      </c>
      <c r="I624" s="27">
        <v>2779.6</v>
      </c>
      <c r="J624" s="27">
        <v>18114.48</v>
      </c>
      <c r="K624" s="47">
        <f t="shared" si="73"/>
        <v>0.48421262989608316</v>
      </c>
      <c r="L624" s="47">
        <f t="shared" si="74"/>
        <v>0.32428421903361287</v>
      </c>
      <c r="M624" s="84">
        <f t="shared" si="75"/>
        <v>0.80849684892969609</v>
      </c>
      <c r="N624" s="47">
        <f t="shared" si="76"/>
        <v>1.2255389058918612E-2</v>
      </c>
      <c r="O624" s="47">
        <f t="shared" si="77"/>
        <v>1.1004456103625387E-2</v>
      </c>
      <c r="P624" s="47">
        <f t="shared" si="78"/>
        <v>0.15344630373049625</v>
      </c>
      <c r="Q624" s="47">
        <f t="shared" si="79"/>
        <v>1</v>
      </c>
    </row>
    <row r="625" spans="1:17" x14ac:dyDescent="0.35">
      <c r="A625" s="82">
        <v>622</v>
      </c>
      <c r="B625" s="83" t="str">
        <f>_xlfn.XLOOKUP(A625,'TAZs by City - CCAG Model'!$A:$A,'TAZs by City - CCAG Model'!$B:$B,"Unknown")</f>
        <v>San Jose</v>
      </c>
      <c r="C625" s="82">
        <f>_xlfn.XLOOKUP(A625,'TAZs by City - CCAG Model'!$A:$A,'TAZs by City - CCAG Model'!$C:$C,999)</f>
        <v>3</v>
      </c>
      <c r="D625" s="82" t="str">
        <f t="shared" si="72"/>
        <v>NO</v>
      </c>
      <c r="E625" s="27">
        <v>3360.1</v>
      </c>
      <c r="F625" s="27">
        <v>2607.2399999999998</v>
      </c>
      <c r="G625" s="27">
        <v>125.7</v>
      </c>
      <c r="H625" s="27">
        <v>101.24</v>
      </c>
      <c r="I625" s="27">
        <v>957.88</v>
      </c>
      <c r="J625" s="27">
        <v>7318.86</v>
      </c>
      <c r="K625" s="47">
        <f t="shared" si="73"/>
        <v>0.45910155406716346</v>
      </c>
      <c r="L625" s="47">
        <f t="shared" si="74"/>
        <v>0.35623580721587789</v>
      </c>
      <c r="M625" s="84">
        <f t="shared" si="75"/>
        <v>0.81533736128304135</v>
      </c>
      <c r="N625" s="47">
        <f t="shared" si="76"/>
        <v>1.7174805912396195E-2</v>
      </c>
      <c r="O625" s="47">
        <f t="shared" si="77"/>
        <v>1.3832755374470887E-2</v>
      </c>
      <c r="P625" s="47">
        <f t="shared" si="78"/>
        <v>0.13087830618429647</v>
      </c>
      <c r="Q625" s="47">
        <f t="shared" si="79"/>
        <v>1</v>
      </c>
    </row>
    <row r="626" spans="1:17" x14ac:dyDescent="0.35">
      <c r="A626" s="82">
        <v>623</v>
      </c>
      <c r="B626" s="83" t="str">
        <f>_xlfn.XLOOKUP(A626,'TAZs by City - CCAG Model'!$A:$A,'TAZs by City - CCAG Model'!$B:$B,"Unknown")</f>
        <v>San Jose</v>
      </c>
      <c r="C626" s="82">
        <f>_xlfn.XLOOKUP(A626,'TAZs by City - CCAG Model'!$A:$A,'TAZs by City - CCAG Model'!$C:$C,999)</f>
        <v>3</v>
      </c>
      <c r="D626" s="82" t="str">
        <f t="shared" si="72"/>
        <v>NO</v>
      </c>
      <c r="E626" s="27">
        <v>11436.94</v>
      </c>
      <c r="F626" s="27">
        <v>4657.84</v>
      </c>
      <c r="G626" s="27">
        <v>269</v>
      </c>
      <c r="H626" s="27">
        <v>175.54</v>
      </c>
      <c r="I626" s="27">
        <v>852.54</v>
      </c>
      <c r="J626" s="27">
        <v>17693.46</v>
      </c>
      <c r="K626" s="47">
        <f t="shared" si="73"/>
        <v>0.64639363923167092</v>
      </c>
      <c r="L626" s="47">
        <f t="shared" si="74"/>
        <v>0.26325207166941911</v>
      </c>
      <c r="M626" s="84">
        <f t="shared" si="75"/>
        <v>0.90964571090109014</v>
      </c>
      <c r="N626" s="47">
        <f t="shared" si="76"/>
        <v>1.5203357624794699E-2</v>
      </c>
      <c r="O626" s="47">
        <f t="shared" si="77"/>
        <v>9.9211799161950231E-3</v>
      </c>
      <c r="P626" s="47">
        <f t="shared" si="78"/>
        <v>4.8183905239563091E-2</v>
      </c>
      <c r="Q626" s="47">
        <f t="shared" si="79"/>
        <v>1</v>
      </c>
    </row>
    <row r="627" spans="1:17" x14ac:dyDescent="0.35">
      <c r="A627" s="82">
        <v>624</v>
      </c>
      <c r="B627" s="83" t="str">
        <f>_xlfn.XLOOKUP(A627,'TAZs by City - CCAG Model'!$A:$A,'TAZs by City - CCAG Model'!$B:$B,"Unknown")</f>
        <v>San Jose</v>
      </c>
      <c r="C627" s="82">
        <f>_xlfn.XLOOKUP(A627,'TAZs by City - CCAG Model'!$A:$A,'TAZs by City - CCAG Model'!$C:$C,999)</f>
        <v>3</v>
      </c>
      <c r="D627" s="82" t="str">
        <f t="shared" si="72"/>
        <v>NO</v>
      </c>
      <c r="E627" s="27">
        <v>11581.22</v>
      </c>
      <c r="F627" s="27">
        <v>4824.78</v>
      </c>
      <c r="G627" s="27">
        <v>204.16</v>
      </c>
      <c r="H627" s="27">
        <v>193.66</v>
      </c>
      <c r="I627" s="27">
        <v>821.74</v>
      </c>
      <c r="J627" s="27">
        <v>17860.14</v>
      </c>
      <c r="K627" s="47">
        <f t="shared" si="73"/>
        <v>0.64843948591668377</v>
      </c>
      <c r="L627" s="47">
        <f t="shared" si="74"/>
        <v>0.27014233930977022</v>
      </c>
      <c r="M627" s="84">
        <f t="shared" si="75"/>
        <v>0.91858182522645404</v>
      </c>
      <c r="N627" s="47">
        <f t="shared" si="76"/>
        <v>1.1431041414009073E-2</v>
      </c>
      <c r="O627" s="47">
        <f t="shared" si="77"/>
        <v>1.0843140087367736E-2</v>
      </c>
      <c r="P627" s="47">
        <f t="shared" si="78"/>
        <v>4.6009717728976371E-2</v>
      </c>
      <c r="Q627" s="47">
        <f t="shared" si="79"/>
        <v>1</v>
      </c>
    </row>
    <row r="628" spans="1:17" x14ac:dyDescent="0.35">
      <c r="A628" s="82">
        <v>625</v>
      </c>
      <c r="B628" s="83" t="str">
        <f>_xlfn.XLOOKUP(A628,'TAZs by City - CCAG Model'!$A:$A,'TAZs by City - CCAG Model'!$B:$B,"Unknown")</f>
        <v>San Jose</v>
      </c>
      <c r="C628" s="82">
        <f>_xlfn.XLOOKUP(A628,'TAZs by City - CCAG Model'!$A:$A,'TAZs by City - CCAG Model'!$C:$C,999)</f>
        <v>3</v>
      </c>
      <c r="D628" s="82" t="str">
        <f t="shared" si="72"/>
        <v>NO</v>
      </c>
      <c r="E628" s="27">
        <v>4855.78</v>
      </c>
      <c r="F628" s="27">
        <v>2711.1</v>
      </c>
      <c r="G628" s="27">
        <v>94.68</v>
      </c>
      <c r="H628" s="27">
        <v>99.44</v>
      </c>
      <c r="I628" s="27">
        <v>396.42</v>
      </c>
      <c r="J628" s="27">
        <v>8293.26</v>
      </c>
      <c r="K628" s="47">
        <f t="shared" si="73"/>
        <v>0.585509196624729</v>
      </c>
      <c r="L628" s="47">
        <f t="shared" si="74"/>
        <v>0.32690401603229607</v>
      </c>
      <c r="M628" s="84">
        <f t="shared" si="75"/>
        <v>0.91241321265702502</v>
      </c>
      <c r="N628" s="47">
        <f t="shared" si="76"/>
        <v>1.1416499663582234E-2</v>
      </c>
      <c r="O628" s="47">
        <f t="shared" si="77"/>
        <v>1.199045972271459E-2</v>
      </c>
      <c r="P628" s="47">
        <f t="shared" si="78"/>
        <v>4.7800261899421943E-2</v>
      </c>
      <c r="Q628" s="47">
        <f t="shared" si="79"/>
        <v>1</v>
      </c>
    </row>
    <row r="629" spans="1:17" x14ac:dyDescent="0.35">
      <c r="A629" s="82">
        <v>626</v>
      </c>
      <c r="B629" s="83" t="str">
        <f>_xlfn.XLOOKUP(A629,'TAZs by City - CCAG Model'!$A:$A,'TAZs by City - CCAG Model'!$B:$B,"Unknown")</f>
        <v>San Jose</v>
      </c>
      <c r="C629" s="82">
        <f>_xlfn.XLOOKUP(A629,'TAZs by City - CCAG Model'!$A:$A,'TAZs by City - CCAG Model'!$C:$C,999)</f>
        <v>3</v>
      </c>
      <c r="D629" s="82" t="str">
        <f t="shared" si="72"/>
        <v>NO</v>
      </c>
      <c r="E629" s="27">
        <v>4799.08</v>
      </c>
      <c r="F629" s="27">
        <v>2667.1</v>
      </c>
      <c r="G629" s="27">
        <v>104.16</v>
      </c>
      <c r="H629" s="27">
        <v>91.86</v>
      </c>
      <c r="I629" s="27">
        <v>897.74</v>
      </c>
      <c r="J629" s="27">
        <v>8705.18</v>
      </c>
      <c r="K629" s="47">
        <f t="shared" si="73"/>
        <v>0.55129015138113169</v>
      </c>
      <c r="L629" s="47">
        <f t="shared" si="74"/>
        <v>0.30638079855901884</v>
      </c>
      <c r="M629" s="84">
        <f t="shared" si="75"/>
        <v>0.85767094994015058</v>
      </c>
      <c r="N629" s="47">
        <f t="shared" si="76"/>
        <v>1.1965289632150052E-2</v>
      </c>
      <c r="O629" s="47">
        <f t="shared" si="77"/>
        <v>1.055233780346874E-2</v>
      </c>
      <c r="P629" s="47">
        <f t="shared" si="78"/>
        <v>0.10312710363254982</v>
      </c>
      <c r="Q629" s="47">
        <f t="shared" si="79"/>
        <v>1</v>
      </c>
    </row>
    <row r="630" spans="1:17" x14ac:dyDescent="0.35">
      <c r="A630" s="82">
        <v>627</v>
      </c>
      <c r="B630" s="83" t="str">
        <f>_xlfn.XLOOKUP(A630,'TAZs by City - CCAG Model'!$A:$A,'TAZs by City - CCAG Model'!$B:$B,"Unknown")</f>
        <v>Unincorporated</v>
      </c>
      <c r="C630" s="82">
        <f>_xlfn.XLOOKUP(A630,'TAZs by City - CCAG Model'!$A:$A,'TAZs by City - CCAG Model'!$C:$C,999)</f>
        <v>3</v>
      </c>
      <c r="D630" s="82" t="str">
        <f t="shared" si="72"/>
        <v>NO</v>
      </c>
      <c r="E630" s="27">
        <v>8999.3799999999992</v>
      </c>
      <c r="F630" s="27">
        <v>5610.2</v>
      </c>
      <c r="G630" s="27">
        <v>190</v>
      </c>
      <c r="H630" s="27">
        <v>172.8</v>
      </c>
      <c r="I630" s="27">
        <v>1453.34</v>
      </c>
      <c r="J630" s="27">
        <v>16650.900000000001</v>
      </c>
      <c r="K630" s="47">
        <f t="shared" si="73"/>
        <v>0.54047408848770928</v>
      </c>
      <c r="L630" s="47">
        <f t="shared" si="74"/>
        <v>0.3369307364767069</v>
      </c>
      <c r="M630" s="84">
        <f t="shared" si="75"/>
        <v>0.87740482496441619</v>
      </c>
      <c r="N630" s="47">
        <f t="shared" si="76"/>
        <v>1.141079461170267E-2</v>
      </c>
      <c r="O630" s="47">
        <f t="shared" si="77"/>
        <v>1.037781741527485E-2</v>
      </c>
      <c r="P630" s="47">
        <f t="shared" si="78"/>
        <v>8.7282969689326084E-2</v>
      </c>
      <c r="Q630" s="47">
        <f t="shared" si="79"/>
        <v>1</v>
      </c>
    </row>
    <row r="631" spans="1:17" x14ac:dyDescent="0.35">
      <c r="A631" s="82">
        <v>628</v>
      </c>
      <c r="B631" s="83" t="str">
        <f>_xlfn.XLOOKUP(A631,'TAZs by City - CCAG Model'!$A:$A,'TAZs by City - CCAG Model'!$B:$B,"Unknown")</f>
        <v>San Jose</v>
      </c>
      <c r="C631" s="82">
        <f>_xlfn.XLOOKUP(A631,'TAZs by City - CCAG Model'!$A:$A,'TAZs by City - CCAG Model'!$C:$C,999)</f>
        <v>3</v>
      </c>
      <c r="D631" s="82" t="str">
        <f t="shared" si="72"/>
        <v>NO</v>
      </c>
      <c r="E631" s="27">
        <v>4982.4399999999996</v>
      </c>
      <c r="F631" s="27">
        <v>3610.16</v>
      </c>
      <c r="G631" s="27">
        <v>129.91999999999999</v>
      </c>
      <c r="H631" s="27">
        <v>121.86</v>
      </c>
      <c r="I631" s="27">
        <v>469.64</v>
      </c>
      <c r="J631" s="27">
        <v>9484.4599999999991</v>
      </c>
      <c r="K631" s="47">
        <f t="shared" si="73"/>
        <v>0.52532669229455342</v>
      </c>
      <c r="L631" s="47">
        <f t="shared" si="74"/>
        <v>0.38063948817328558</v>
      </c>
      <c r="M631" s="84">
        <f t="shared" si="75"/>
        <v>0.90596618046783894</v>
      </c>
      <c r="N631" s="47">
        <f t="shared" si="76"/>
        <v>1.3698196839883346E-2</v>
      </c>
      <c r="O631" s="47">
        <f t="shared" si="77"/>
        <v>1.2848385675093787E-2</v>
      </c>
      <c r="P631" s="47">
        <f t="shared" si="78"/>
        <v>4.9516788515107872E-2</v>
      </c>
      <c r="Q631" s="47">
        <f t="shared" si="79"/>
        <v>1</v>
      </c>
    </row>
    <row r="632" spans="1:17" x14ac:dyDescent="0.35">
      <c r="A632" s="82">
        <v>629</v>
      </c>
      <c r="B632" s="83" t="str">
        <f>_xlfn.XLOOKUP(A632,'TAZs by City - CCAG Model'!$A:$A,'TAZs by City - CCAG Model'!$B:$B,"Unknown")</f>
        <v>San Jose</v>
      </c>
      <c r="C632" s="82">
        <f>_xlfn.XLOOKUP(A632,'TAZs by City - CCAG Model'!$A:$A,'TAZs by City - CCAG Model'!$C:$C,999)</f>
        <v>3</v>
      </c>
      <c r="D632" s="82" t="str">
        <f t="shared" si="72"/>
        <v>NO</v>
      </c>
      <c r="E632" s="27">
        <v>9848.0400000000009</v>
      </c>
      <c r="F632" s="27">
        <v>6615.92</v>
      </c>
      <c r="G632" s="27">
        <v>243.9</v>
      </c>
      <c r="H632" s="27">
        <v>217.08</v>
      </c>
      <c r="I632" s="27">
        <v>979.22</v>
      </c>
      <c r="J632" s="27">
        <v>18183.939999999999</v>
      </c>
      <c r="K632" s="47">
        <f t="shared" si="73"/>
        <v>0.54157899773096485</v>
      </c>
      <c r="L632" s="47">
        <f t="shared" si="74"/>
        <v>0.36383314067248357</v>
      </c>
      <c r="M632" s="84">
        <f t="shared" si="75"/>
        <v>0.90541213840344836</v>
      </c>
      <c r="N632" s="47">
        <f t="shared" si="76"/>
        <v>1.3412934710519284E-2</v>
      </c>
      <c r="O632" s="47">
        <f t="shared" si="77"/>
        <v>1.1938006834602404E-2</v>
      </c>
      <c r="P632" s="47">
        <f t="shared" si="78"/>
        <v>5.3850815609818338E-2</v>
      </c>
      <c r="Q632" s="47">
        <f t="shared" si="79"/>
        <v>1</v>
      </c>
    </row>
    <row r="633" spans="1:17" x14ac:dyDescent="0.35">
      <c r="A633" s="82">
        <v>630</v>
      </c>
      <c r="B633" s="83" t="str">
        <f>_xlfn.XLOOKUP(A633,'TAZs by City - CCAG Model'!$A:$A,'TAZs by City - CCAG Model'!$B:$B,"Unknown")</f>
        <v>San Jose</v>
      </c>
      <c r="C633" s="82">
        <f>_xlfn.XLOOKUP(A633,'TAZs by City - CCAG Model'!$A:$A,'TAZs by City - CCAG Model'!$C:$C,999)</f>
        <v>3</v>
      </c>
      <c r="D633" s="82" t="str">
        <f t="shared" si="72"/>
        <v>NO</v>
      </c>
      <c r="E633" s="27">
        <v>7861.04</v>
      </c>
      <c r="F633" s="27">
        <v>4948.4799999999996</v>
      </c>
      <c r="G633" s="27">
        <v>247.5</v>
      </c>
      <c r="H633" s="27">
        <v>169.54</v>
      </c>
      <c r="I633" s="27">
        <v>1802.02</v>
      </c>
      <c r="J633" s="27">
        <v>15320.18</v>
      </c>
      <c r="K633" s="47">
        <f t="shared" si="73"/>
        <v>0.51311668661856458</v>
      </c>
      <c r="L633" s="47">
        <f t="shared" si="74"/>
        <v>0.32300403781156617</v>
      </c>
      <c r="M633" s="84">
        <f t="shared" si="75"/>
        <v>0.83612072443013075</v>
      </c>
      <c r="N633" s="47">
        <f t="shared" si="76"/>
        <v>1.6155162667801554E-2</v>
      </c>
      <c r="O633" s="47">
        <f t="shared" si="77"/>
        <v>1.1066449610905355E-2</v>
      </c>
      <c r="P633" s="47">
        <f t="shared" si="78"/>
        <v>0.11762394436618891</v>
      </c>
      <c r="Q633" s="47">
        <f t="shared" si="79"/>
        <v>1</v>
      </c>
    </row>
    <row r="634" spans="1:17" x14ac:dyDescent="0.35">
      <c r="A634" s="82">
        <v>631</v>
      </c>
      <c r="B634" s="83" t="str">
        <f>_xlfn.XLOOKUP(A634,'TAZs by City - CCAG Model'!$A:$A,'TAZs by City - CCAG Model'!$B:$B,"Unknown")</f>
        <v>San Jose</v>
      </c>
      <c r="C634" s="82">
        <f>_xlfn.XLOOKUP(A634,'TAZs by City - CCAG Model'!$A:$A,'TAZs by City - CCAG Model'!$C:$C,999)</f>
        <v>3</v>
      </c>
      <c r="D634" s="82" t="str">
        <f t="shared" si="72"/>
        <v>NO</v>
      </c>
      <c r="E634" s="27">
        <v>6662.64</v>
      </c>
      <c r="F634" s="27">
        <v>3890.82</v>
      </c>
      <c r="G634" s="27">
        <v>235.48</v>
      </c>
      <c r="H634" s="27">
        <v>135.88</v>
      </c>
      <c r="I634" s="27">
        <v>2210.12</v>
      </c>
      <c r="J634" s="27">
        <v>13417.74</v>
      </c>
      <c r="K634" s="47">
        <f t="shared" si="73"/>
        <v>0.49655456134937781</v>
      </c>
      <c r="L634" s="47">
        <f t="shared" si="74"/>
        <v>0.2899758081465284</v>
      </c>
      <c r="M634" s="84">
        <f t="shared" si="75"/>
        <v>0.78653036949590627</v>
      </c>
      <c r="N634" s="47">
        <f t="shared" si="76"/>
        <v>1.7549900355797624E-2</v>
      </c>
      <c r="O634" s="47">
        <f t="shared" si="77"/>
        <v>1.0126891712017076E-2</v>
      </c>
      <c r="P634" s="47">
        <f t="shared" si="78"/>
        <v>0.1647162636926934</v>
      </c>
      <c r="Q634" s="47">
        <f t="shared" si="79"/>
        <v>1</v>
      </c>
    </row>
    <row r="635" spans="1:17" x14ac:dyDescent="0.35">
      <c r="A635" s="82">
        <v>632</v>
      </c>
      <c r="B635" s="83" t="str">
        <f>_xlfn.XLOOKUP(A635,'TAZs by City - CCAG Model'!$A:$A,'TAZs by City - CCAG Model'!$B:$B,"Unknown")</f>
        <v>San Jose</v>
      </c>
      <c r="C635" s="82">
        <f>_xlfn.XLOOKUP(A635,'TAZs by City - CCAG Model'!$A:$A,'TAZs by City - CCAG Model'!$C:$C,999)</f>
        <v>3</v>
      </c>
      <c r="D635" s="82" t="str">
        <f t="shared" si="72"/>
        <v>NO</v>
      </c>
      <c r="E635" s="27">
        <v>11636.36</v>
      </c>
      <c r="F635" s="27">
        <v>7879.44</v>
      </c>
      <c r="G635" s="27">
        <v>404.56</v>
      </c>
      <c r="H635" s="27">
        <v>276.06</v>
      </c>
      <c r="I635" s="27">
        <v>2762.7</v>
      </c>
      <c r="J635" s="27">
        <v>23405.119999999999</v>
      </c>
      <c r="K635" s="47">
        <f t="shared" si="73"/>
        <v>0.49717155904349136</v>
      </c>
      <c r="L635" s="47">
        <f t="shared" si="74"/>
        <v>0.33665454396303029</v>
      </c>
      <c r="M635" s="84">
        <f t="shared" si="75"/>
        <v>0.8338261030065216</v>
      </c>
      <c r="N635" s="47">
        <f t="shared" si="76"/>
        <v>1.7285106848416075E-2</v>
      </c>
      <c r="O635" s="47">
        <f t="shared" si="77"/>
        <v>1.179485514280636E-2</v>
      </c>
      <c r="P635" s="47">
        <f t="shared" si="78"/>
        <v>0.11803827538589846</v>
      </c>
      <c r="Q635" s="47">
        <f t="shared" si="79"/>
        <v>1</v>
      </c>
    </row>
    <row r="636" spans="1:17" x14ac:dyDescent="0.35">
      <c r="A636" s="82">
        <v>633</v>
      </c>
      <c r="B636" s="83" t="str">
        <f>_xlfn.XLOOKUP(A636,'TAZs by City - CCAG Model'!$A:$A,'TAZs by City - CCAG Model'!$B:$B,"Unknown")</f>
        <v>San Jose</v>
      </c>
      <c r="C636" s="82">
        <f>_xlfn.XLOOKUP(A636,'TAZs by City - CCAG Model'!$A:$A,'TAZs by City - CCAG Model'!$C:$C,999)</f>
        <v>3</v>
      </c>
      <c r="D636" s="82" t="str">
        <f t="shared" si="72"/>
        <v>NO</v>
      </c>
      <c r="E636" s="27">
        <v>6391.66</v>
      </c>
      <c r="F636" s="27">
        <v>4283.8</v>
      </c>
      <c r="G636" s="27">
        <v>192.64</v>
      </c>
      <c r="H636" s="27">
        <v>133.44</v>
      </c>
      <c r="I636" s="27">
        <v>2048.66</v>
      </c>
      <c r="J636" s="27">
        <v>13290.04</v>
      </c>
      <c r="K636" s="47">
        <f t="shared" si="73"/>
        <v>0.48093609951512556</v>
      </c>
      <c r="L636" s="47">
        <f t="shared" si="74"/>
        <v>0.32233161074007299</v>
      </c>
      <c r="M636" s="84">
        <f t="shared" si="75"/>
        <v>0.8032677102551985</v>
      </c>
      <c r="N636" s="47">
        <f t="shared" si="76"/>
        <v>1.4495065477605784E-2</v>
      </c>
      <c r="O636" s="47">
        <f t="shared" si="77"/>
        <v>1.0040601834155501E-2</v>
      </c>
      <c r="P636" s="47">
        <f t="shared" si="78"/>
        <v>0.15415002513160228</v>
      </c>
      <c r="Q636" s="47">
        <f t="shared" si="79"/>
        <v>1</v>
      </c>
    </row>
    <row r="637" spans="1:17" x14ac:dyDescent="0.35">
      <c r="A637" s="82">
        <v>634</v>
      </c>
      <c r="B637" s="83" t="str">
        <f>_xlfn.XLOOKUP(A637,'TAZs by City - CCAG Model'!$A:$A,'TAZs by City - CCAG Model'!$B:$B,"Unknown")</f>
        <v>San Jose</v>
      </c>
      <c r="C637" s="82">
        <f>_xlfn.XLOOKUP(A637,'TAZs by City - CCAG Model'!$A:$A,'TAZs by City - CCAG Model'!$C:$C,999)</f>
        <v>3</v>
      </c>
      <c r="D637" s="82" t="str">
        <f t="shared" si="72"/>
        <v>NO</v>
      </c>
      <c r="E637" s="27">
        <v>6271.18</v>
      </c>
      <c r="F637" s="27">
        <v>4946.54</v>
      </c>
      <c r="G637" s="27">
        <v>225.96</v>
      </c>
      <c r="H637" s="27">
        <v>124.62</v>
      </c>
      <c r="I637" s="27">
        <v>1409.12</v>
      </c>
      <c r="J637" s="27">
        <v>13241.16</v>
      </c>
      <c r="K637" s="47">
        <f t="shared" si="73"/>
        <v>0.47361258379175242</v>
      </c>
      <c r="L637" s="47">
        <f t="shared" si="74"/>
        <v>0.37357301021964845</v>
      </c>
      <c r="M637" s="84">
        <f t="shared" si="75"/>
        <v>0.84718559401140092</v>
      </c>
      <c r="N637" s="47">
        <f t="shared" si="76"/>
        <v>1.706497013856792E-2</v>
      </c>
      <c r="O637" s="47">
        <f t="shared" si="77"/>
        <v>9.4115621289977622E-3</v>
      </c>
      <c r="P637" s="47">
        <f t="shared" si="78"/>
        <v>0.10641967924260412</v>
      </c>
      <c r="Q637" s="47">
        <f t="shared" si="79"/>
        <v>1</v>
      </c>
    </row>
    <row r="638" spans="1:17" x14ac:dyDescent="0.35">
      <c r="A638" s="82">
        <v>635</v>
      </c>
      <c r="B638" s="83" t="str">
        <f>_xlfn.XLOOKUP(A638,'TAZs by City - CCAG Model'!$A:$A,'TAZs by City - CCAG Model'!$B:$B,"Unknown")</f>
        <v>San Jose</v>
      </c>
      <c r="C638" s="82">
        <f>_xlfn.XLOOKUP(A638,'TAZs by City - CCAG Model'!$A:$A,'TAZs by City - CCAG Model'!$C:$C,999)</f>
        <v>3</v>
      </c>
      <c r="D638" s="82" t="str">
        <f t="shared" si="72"/>
        <v>NO</v>
      </c>
      <c r="E638" s="27">
        <v>10050.44</v>
      </c>
      <c r="F638" s="27">
        <v>6557.68</v>
      </c>
      <c r="G638" s="27">
        <v>196.58</v>
      </c>
      <c r="H638" s="27">
        <v>169.38</v>
      </c>
      <c r="I638" s="27">
        <v>1332.78</v>
      </c>
      <c r="J638" s="27">
        <v>18546.080000000002</v>
      </c>
      <c r="K638" s="47">
        <f t="shared" si="73"/>
        <v>0.54191721377239821</v>
      </c>
      <c r="L638" s="47">
        <f t="shared" si="74"/>
        <v>0.35358846721247833</v>
      </c>
      <c r="M638" s="84">
        <f t="shared" si="75"/>
        <v>0.8955056809848766</v>
      </c>
      <c r="N638" s="47">
        <f t="shared" si="76"/>
        <v>1.0599544485950669E-2</v>
      </c>
      <c r="O638" s="47">
        <f t="shared" si="77"/>
        <v>9.1329272816681462E-3</v>
      </c>
      <c r="P638" s="47">
        <f t="shared" si="78"/>
        <v>7.1863164614840436E-2</v>
      </c>
      <c r="Q638" s="47">
        <f t="shared" si="79"/>
        <v>1</v>
      </c>
    </row>
    <row r="639" spans="1:17" x14ac:dyDescent="0.35">
      <c r="A639" s="82">
        <v>636</v>
      </c>
      <c r="B639" s="83" t="str">
        <f>_xlfn.XLOOKUP(A639,'TAZs by City - CCAG Model'!$A:$A,'TAZs by City - CCAG Model'!$B:$B,"Unknown")</f>
        <v>San Jose</v>
      </c>
      <c r="C639" s="82">
        <f>_xlfn.XLOOKUP(A639,'TAZs by City - CCAG Model'!$A:$A,'TAZs by City - CCAG Model'!$C:$C,999)</f>
        <v>3</v>
      </c>
      <c r="D639" s="82" t="str">
        <f t="shared" si="72"/>
        <v>NO</v>
      </c>
      <c r="E639" s="27">
        <v>8064.84</v>
      </c>
      <c r="F639" s="27">
        <v>5590.14</v>
      </c>
      <c r="G639" s="27">
        <v>185.76</v>
      </c>
      <c r="H639" s="27">
        <v>137.47999999999999</v>
      </c>
      <c r="I639" s="27">
        <v>1017.04</v>
      </c>
      <c r="J639" s="27">
        <v>15224.5</v>
      </c>
      <c r="K639" s="47">
        <f t="shared" si="73"/>
        <v>0.52972774146934221</v>
      </c>
      <c r="L639" s="47">
        <f t="shared" si="74"/>
        <v>0.3671805313803409</v>
      </c>
      <c r="M639" s="84">
        <f t="shared" si="75"/>
        <v>0.896908272849683</v>
      </c>
      <c r="N639" s="47">
        <f t="shared" si="76"/>
        <v>1.2201385924004072E-2</v>
      </c>
      <c r="O639" s="47">
        <f t="shared" si="77"/>
        <v>9.0301816151597755E-3</v>
      </c>
      <c r="P639" s="47">
        <f t="shared" si="78"/>
        <v>6.6802850668330652E-2</v>
      </c>
      <c r="Q639" s="47">
        <f t="shared" si="79"/>
        <v>1</v>
      </c>
    </row>
    <row r="640" spans="1:17" x14ac:dyDescent="0.35">
      <c r="A640" s="82">
        <v>637</v>
      </c>
      <c r="B640" s="83" t="str">
        <f>_xlfn.XLOOKUP(A640,'TAZs by City - CCAG Model'!$A:$A,'TAZs by City - CCAG Model'!$B:$B,"Unknown")</f>
        <v>San Jose</v>
      </c>
      <c r="C640" s="82">
        <f>_xlfn.XLOOKUP(A640,'TAZs by City - CCAG Model'!$A:$A,'TAZs by City - CCAG Model'!$C:$C,999)</f>
        <v>3</v>
      </c>
      <c r="D640" s="82" t="str">
        <f t="shared" si="72"/>
        <v>NO</v>
      </c>
      <c r="E640" s="27">
        <v>6802.38</v>
      </c>
      <c r="F640" s="27">
        <v>4257</v>
      </c>
      <c r="G640" s="27">
        <v>109.76</v>
      </c>
      <c r="H640" s="27">
        <v>105.86</v>
      </c>
      <c r="I640" s="27">
        <v>906.58</v>
      </c>
      <c r="J640" s="27">
        <v>12336.02</v>
      </c>
      <c r="K640" s="47">
        <f t="shared" si="73"/>
        <v>0.55142420326815289</v>
      </c>
      <c r="L640" s="47">
        <f t="shared" si="74"/>
        <v>0.34508698915857788</v>
      </c>
      <c r="M640" s="84">
        <f t="shared" si="75"/>
        <v>0.89651119242673083</v>
      </c>
      <c r="N640" s="47">
        <f t="shared" si="76"/>
        <v>8.8975212426698393E-3</v>
      </c>
      <c r="O640" s="47">
        <f t="shared" si="77"/>
        <v>8.581373895308211E-3</v>
      </c>
      <c r="P640" s="47">
        <f t="shared" si="78"/>
        <v>7.3490477479770625E-2</v>
      </c>
      <c r="Q640" s="47">
        <f t="shared" si="79"/>
        <v>1</v>
      </c>
    </row>
    <row r="641" spans="1:17" x14ac:dyDescent="0.35">
      <c r="A641" s="82">
        <v>638</v>
      </c>
      <c r="B641" s="83" t="str">
        <f>_xlfn.XLOOKUP(A641,'TAZs by City - CCAG Model'!$A:$A,'TAZs by City - CCAG Model'!$B:$B,"Unknown")</f>
        <v>San Jose</v>
      </c>
      <c r="C641" s="82">
        <f>_xlfn.XLOOKUP(A641,'TAZs by City - CCAG Model'!$A:$A,'TAZs by City - CCAG Model'!$C:$C,999)</f>
        <v>3</v>
      </c>
      <c r="D641" s="82" t="str">
        <f t="shared" si="72"/>
        <v>NO</v>
      </c>
      <c r="E641" s="27">
        <v>5954.6</v>
      </c>
      <c r="F641" s="27">
        <v>4781.1400000000003</v>
      </c>
      <c r="G641" s="27">
        <v>72.739999999999995</v>
      </c>
      <c r="H641" s="27">
        <v>110.08</v>
      </c>
      <c r="I641" s="27">
        <v>758.14</v>
      </c>
      <c r="J641" s="27">
        <v>11777.86</v>
      </c>
      <c r="K641" s="47">
        <f t="shared" si="73"/>
        <v>0.50557571579217275</v>
      </c>
      <c r="L641" s="47">
        <f t="shared" si="74"/>
        <v>0.40594301511480013</v>
      </c>
      <c r="M641" s="84">
        <f t="shared" si="75"/>
        <v>0.911518730906973</v>
      </c>
      <c r="N641" s="47">
        <f t="shared" si="76"/>
        <v>6.1759946204149136E-3</v>
      </c>
      <c r="O641" s="47">
        <f t="shared" si="77"/>
        <v>9.3463498462369211E-3</v>
      </c>
      <c r="P641" s="47">
        <f t="shared" si="78"/>
        <v>6.4369927983521619E-2</v>
      </c>
      <c r="Q641" s="47">
        <f t="shared" si="79"/>
        <v>1</v>
      </c>
    </row>
    <row r="642" spans="1:17" x14ac:dyDescent="0.35">
      <c r="A642" s="82">
        <v>639</v>
      </c>
      <c r="B642" s="83" t="str">
        <f>_xlfn.XLOOKUP(A642,'TAZs by City - CCAG Model'!$A:$A,'TAZs by City - CCAG Model'!$B:$B,"Unknown")</f>
        <v>San Jose</v>
      </c>
      <c r="C642" s="82">
        <f>_xlfn.XLOOKUP(A642,'TAZs by City - CCAG Model'!$A:$A,'TAZs by City - CCAG Model'!$C:$C,999)</f>
        <v>3</v>
      </c>
      <c r="D642" s="82" t="str">
        <f t="shared" si="72"/>
        <v>NO</v>
      </c>
      <c r="E642" s="27">
        <v>10431.379999999999</v>
      </c>
      <c r="F642" s="27">
        <v>6585.28</v>
      </c>
      <c r="G642" s="27">
        <v>151.22</v>
      </c>
      <c r="H642" s="27">
        <v>173.92</v>
      </c>
      <c r="I642" s="27">
        <v>1710.22</v>
      </c>
      <c r="J642" s="27">
        <v>19239.22</v>
      </c>
      <c r="K642" s="47">
        <f t="shared" si="73"/>
        <v>0.54219349848902387</v>
      </c>
      <c r="L642" s="47">
        <f t="shared" si="74"/>
        <v>0.34228414665459406</v>
      </c>
      <c r="M642" s="84">
        <f t="shared" si="75"/>
        <v>0.88447764514361804</v>
      </c>
      <c r="N642" s="47">
        <f t="shared" si="76"/>
        <v>7.8599860077487541E-3</v>
      </c>
      <c r="O642" s="47">
        <f t="shared" si="77"/>
        <v>9.039867520616739E-3</v>
      </c>
      <c r="P642" s="47">
        <f t="shared" si="78"/>
        <v>8.8892377133792319E-2</v>
      </c>
      <c r="Q642" s="47">
        <f t="shared" si="79"/>
        <v>1</v>
      </c>
    </row>
    <row r="643" spans="1:17" x14ac:dyDescent="0.35">
      <c r="A643" s="82">
        <v>640</v>
      </c>
      <c r="B643" s="83" t="str">
        <f>_xlfn.XLOOKUP(A643,'TAZs by City - CCAG Model'!$A:$A,'TAZs by City - CCAG Model'!$B:$B,"Unknown")</f>
        <v>San Jose</v>
      </c>
      <c r="C643" s="82">
        <f>_xlfn.XLOOKUP(A643,'TAZs by City - CCAG Model'!$A:$A,'TAZs by City - CCAG Model'!$C:$C,999)</f>
        <v>3</v>
      </c>
      <c r="D643" s="82" t="str">
        <f t="shared" si="72"/>
        <v>NO</v>
      </c>
      <c r="E643" s="27">
        <v>4704.16</v>
      </c>
      <c r="F643" s="27">
        <v>3347.96</v>
      </c>
      <c r="G643" s="27">
        <v>54.64</v>
      </c>
      <c r="H643" s="27">
        <v>70.459999999999994</v>
      </c>
      <c r="I643" s="27">
        <v>449.32</v>
      </c>
      <c r="J643" s="27">
        <v>8718.82</v>
      </c>
      <c r="K643" s="47">
        <f t="shared" si="73"/>
        <v>0.53954090117699416</v>
      </c>
      <c r="L643" s="47">
        <f t="shared" si="74"/>
        <v>0.38399232923721333</v>
      </c>
      <c r="M643" s="84">
        <f t="shared" si="75"/>
        <v>0.92353323041420743</v>
      </c>
      <c r="N643" s="47">
        <f t="shared" si="76"/>
        <v>6.2669030900970547E-3</v>
      </c>
      <c r="O643" s="47">
        <f t="shared" si="77"/>
        <v>8.0813688090819631E-3</v>
      </c>
      <c r="P643" s="47">
        <f t="shared" si="78"/>
        <v>5.1534496640600447E-2</v>
      </c>
      <c r="Q643" s="47">
        <f t="shared" si="79"/>
        <v>1</v>
      </c>
    </row>
    <row r="644" spans="1:17" x14ac:dyDescent="0.35">
      <c r="A644" s="82">
        <v>641</v>
      </c>
      <c r="B644" s="83" t="str">
        <f>_xlfn.XLOOKUP(A644,'TAZs by City - CCAG Model'!$A:$A,'TAZs by City - CCAG Model'!$B:$B,"Unknown")</f>
        <v>San Jose</v>
      </c>
      <c r="C644" s="82">
        <f>_xlfn.XLOOKUP(A644,'TAZs by City - CCAG Model'!$A:$A,'TAZs by City - CCAG Model'!$C:$C,999)</f>
        <v>3</v>
      </c>
      <c r="D644" s="82" t="str">
        <f t="shared" si="72"/>
        <v>NO</v>
      </c>
      <c r="E644" s="27">
        <v>3915.58</v>
      </c>
      <c r="F644" s="27">
        <v>2642.56</v>
      </c>
      <c r="G644" s="27">
        <v>26.4</v>
      </c>
      <c r="H644" s="27">
        <v>58.9</v>
      </c>
      <c r="I644" s="27">
        <v>414.86</v>
      </c>
      <c r="J644" s="27">
        <v>7125.92</v>
      </c>
      <c r="K644" s="47">
        <f t="shared" si="73"/>
        <v>0.54948413678514496</v>
      </c>
      <c r="L644" s="47">
        <f t="shared" si="74"/>
        <v>0.37083773042638701</v>
      </c>
      <c r="M644" s="84">
        <f t="shared" si="75"/>
        <v>0.92032186721153186</v>
      </c>
      <c r="N644" s="47">
        <f t="shared" si="76"/>
        <v>3.7047847856838132E-3</v>
      </c>
      <c r="O644" s="47">
        <f t="shared" si="77"/>
        <v>8.2655993892718407E-3</v>
      </c>
      <c r="P644" s="47">
        <f t="shared" si="78"/>
        <v>5.8218447582908596E-2</v>
      </c>
      <c r="Q644" s="47">
        <f t="shared" si="79"/>
        <v>1</v>
      </c>
    </row>
    <row r="645" spans="1:17" x14ac:dyDescent="0.35">
      <c r="A645" s="82">
        <v>642</v>
      </c>
      <c r="B645" s="83" t="str">
        <f>_xlfn.XLOOKUP(A645,'TAZs by City - CCAG Model'!$A:$A,'TAZs by City - CCAG Model'!$B:$B,"Unknown")</f>
        <v>San Jose</v>
      </c>
      <c r="C645" s="82">
        <f>_xlfn.XLOOKUP(A645,'TAZs by City - CCAG Model'!$A:$A,'TAZs by City - CCAG Model'!$C:$C,999)</f>
        <v>3</v>
      </c>
      <c r="D645" s="82" t="str">
        <f t="shared" ref="D645:D708" si="80">IF(C645=2,"YES","NO")</f>
        <v>NO</v>
      </c>
      <c r="E645" s="27">
        <v>9020.6</v>
      </c>
      <c r="F645" s="27">
        <v>6011.12</v>
      </c>
      <c r="G645" s="27">
        <v>96.68</v>
      </c>
      <c r="H645" s="27">
        <v>139.9</v>
      </c>
      <c r="I645" s="27">
        <v>684.22</v>
      </c>
      <c r="J645" s="27">
        <v>16086.22</v>
      </c>
      <c r="K645" s="47">
        <f t="shared" ref="K645:K708" si="81">IFERROR(E645/$J645,0)</f>
        <v>0.5607656739743706</v>
      </c>
      <c r="L645" s="47">
        <f t="shared" ref="L645:L708" si="82">IFERROR(F645/$J645,0)</f>
        <v>0.37368132476119315</v>
      </c>
      <c r="M645" s="84">
        <f t="shared" ref="M645:M708" si="83">IFERROR((E645+F645)/J645,0)</f>
        <v>0.93444699873556381</v>
      </c>
      <c r="N645" s="47">
        <f t="shared" ref="N645:N708" si="84">IFERROR(G645/$J645,0)</f>
        <v>6.0101130035521092E-3</v>
      </c>
      <c r="O645" s="47">
        <f t="shared" ref="O645:O708" si="85">IFERROR(H645/$J645,0)</f>
        <v>8.6968846627734804E-3</v>
      </c>
      <c r="P645" s="47">
        <f t="shared" ref="P645:P708" si="86">IFERROR(I645/$J645,0)</f>
        <v>4.253454198686827E-2</v>
      </c>
      <c r="Q645" s="47">
        <f t="shared" ref="Q645:Q708" si="87">IFERROR(J645/$J645,0)</f>
        <v>1</v>
      </c>
    </row>
    <row r="646" spans="1:17" x14ac:dyDescent="0.35">
      <c r="A646" s="82">
        <v>643</v>
      </c>
      <c r="B646" s="83" t="str">
        <f>_xlfn.XLOOKUP(A646,'TAZs by City - CCAG Model'!$A:$A,'TAZs by City - CCAG Model'!$B:$B,"Unknown")</f>
        <v>San Jose</v>
      </c>
      <c r="C646" s="82">
        <f>_xlfn.XLOOKUP(A646,'TAZs by City - CCAG Model'!$A:$A,'TAZs by City - CCAG Model'!$C:$C,999)</f>
        <v>3</v>
      </c>
      <c r="D646" s="82" t="str">
        <f t="shared" si="80"/>
        <v>NO</v>
      </c>
      <c r="E646" s="27">
        <v>2766.04</v>
      </c>
      <c r="F646" s="27">
        <v>2772.4</v>
      </c>
      <c r="G646" s="27">
        <v>47.3</v>
      </c>
      <c r="H646" s="27">
        <v>55.32</v>
      </c>
      <c r="I646" s="27">
        <v>283.39999999999998</v>
      </c>
      <c r="J646" s="27">
        <v>5988.94</v>
      </c>
      <c r="K646" s="47">
        <f t="shared" si="81"/>
        <v>0.46185802495934175</v>
      </c>
      <c r="L646" s="47">
        <f t="shared" si="82"/>
        <v>0.46291998250107702</v>
      </c>
      <c r="M646" s="84">
        <f t="shared" si="83"/>
        <v>0.92477800746041883</v>
      </c>
      <c r="N646" s="47">
        <f t="shared" si="84"/>
        <v>7.8978917805154168E-3</v>
      </c>
      <c r="O646" s="47">
        <f t="shared" si="85"/>
        <v>9.2370269196218376E-3</v>
      </c>
      <c r="P646" s="47">
        <f t="shared" si="86"/>
        <v>4.7320560900593424E-2</v>
      </c>
      <c r="Q646" s="47">
        <f t="shared" si="87"/>
        <v>1</v>
      </c>
    </row>
    <row r="647" spans="1:17" x14ac:dyDescent="0.35">
      <c r="A647" s="82">
        <v>644</v>
      </c>
      <c r="B647" s="83" t="str">
        <f>_xlfn.XLOOKUP(A647,'TAZs by City - CCAG Model'!$A:$A,'TAZs by City - CCAG Model'!$B:$B,"Unknown")</f>
        <v>San Jose</v>
      </c>
      <c r="C647" s="82">
        <f>_xlfn.XLOOKUP(A647,'TAZs by City - CCAG Model'!$A:$A,'TAZs by City - CCAG Model'!$C:$C,999)</f>
        <v>3</v>
      </c>
      <c r="D647" s="82" t="str">
        <f t="shared" si="80"/>
        <v>NO</v>
      </c>
      <c r="E647" s="27">
        <v>8601.7000000000007</v>
      </c>
      <c r="F647" s="27">
        <v>5804.42</v>
      </c>
      <c r="G647" s="27">
        <v>506.6</v>
      </c>
      <c r="H647" s="27">
        <v>179.52</v>
      </c>
      <c r="I647" s="27">
        <v>3267.36</v>
      </c>
      <c r="J647" s="27">
        <v>18896.5</v>
      </c>
      <c r="K647" s="47">
        <f t="shared" si="81"/>
        <v>0.45520069854205808</v>
      </c>
      <c r="L647" s="47">
        <f t="shared" si="82"/>
        <v>0.30716905247003412</v>
      </c>
      <c r="M647" s="84">
        <f t="shared" si="83"/>
        <v>0.76236975101209226</v>
      </c>
      <c r="N647" s="47">
        <f t="shared" si="84"/>
        <v>2.6809197470431034E-2</v>
      </c>
      <c r="O647" s="47">
        <f t="shared" si="85"/>
        <v>9.5001719895218689E-3</v>
      </c>
      <c r="P647" s="47">
        <f t="shared" si="86"/>
        <v>0.17290821051517477</v>
      </c>
      <c r="Q647" s="47">
        <f t="shared" si="87"/>
        <v>1</v>
      </c>
    </row>
    <row r="648" spans="1:17" x14ac:dyDescent="0.35">
      <c r="A648" s="82">
        <v>645</v>
      </c>
      <c r="B648" s="83" t="str">
        <f>_xlfn.XLOOKUP(A648,'TAZs by City - CCAG Model'!$A:$A,'TAZs by City - CCAG Model'!$B:$B,"Unknown")</f>
        <v>San Jose</v>
      </c>
      <c r="C648" s="82">
        <f>_xlfn.XLOOKUP(A648,'TAZs by City - CCAG Model'!$A:$A,'TAZs by City - CCAG Model'!$C:$C,999)</f>
        <v>3</v>
      </c>
      <c r="D648" s="82" t="str">
        <f t="shared" si="80"/>
        <v>NO</v>
      </c>
      <c r="E648" s="27">
        <v>1423.88</v>
      </c>
      <c r="F648" s="27">
        <v>1172.7</v>
      </c>
      <c r="G648" s="27">
        <v>81.680000000000007</v>
      </c>
      <c r="H648" s="27">
        <v>46.88</v>
      </c>
      <c r="I648" s="27">
        <v>613.6</v>
      </c>
      <c r="J648" s="27">
        <v>3452.3</v>
      </c>
      <c r="K648" s="47">
        <f t="shared" si="81"/>
        <v>0.41244387799438059</v>
      </c>
      <c r="L648" s="47">
        <f t="shared" si="82"/>
        <v>0.33968658575442456</v>
      </c>
      <c r="M648" s="84">
        <f t="shared" si="83"/>
        <v>0.7521304637488051</v>
      </c>
      <c r="N648" s="47">
        <f t="shared" si="84"/>
        <v>2.3659589259334358E-2</v>
      </c>
      <c r="O648" s="47">
        <f t="shared" si="85"/>
        <v>1.3579352895171336E-2</v>
      </c>
      <c r="P648" s="47">
        <f t="shared" si="86"/>
        <v>0.17773658140949511</v>
      </c>
      <c r="Q648" s="47">
        <f t="shared" si="87"/>
        <v>1</v>
      </c>
    </row>
    <row r="649" spans="1:17" x14ac:dyDescent="0.35">
      <c r="A649" s="82">
        <v>646</v>
      </c>
      <c r="B649" s="83" t="str">
        <f>_xlfn.XLOOKUP(A649,'TAZs by City - CCAG Model'!$A:$A,'TAZs by City - CCAG Model'!$B:$B,"Unknown")</f>
        <v>San Jose</v>
      </c>
      <c r="C649" s="82">
        <f>_xlfn.XLOOKUP(A649,'TAZs by City - CCAG Model'!$A:$A,'TAZs by City - CCAG Model'!$C:$C,999)</f>
        <v>3</v>
      </c>
      <c r="D649" s="82" t="str">
        <f t="shared" si="80"/>
        <v>NO</v>
      </c>
      <c r="E649" s="27">
        <v>5424.32</v>
      </c>
      <c r="F649" s="27">
        <v>3243.58</v>
      </c>
      <c r="G649" s="27">
        <v>280.74</v>
      </c>
      <c r="H649" s="27">
        <v>113.6</v>
      </c>
      <c r="I649" s="27">
        <v>2061.7800000000002</v>
      </c>
      <c r="J649" s="27">
        <v>11450.26</v>
      </c>
      <c r="K649" s="47">
        <f t="shared" si="81"/>
        <v>0.47372898082663623</v>
      </c>
      <c r="L649" s="47">
        <f t="shared" si="82"/>
        <v>0.28327566360938528</v>
      </c>
      <c r="M649" s="84">
        <f t="shared" si="83"/>
        <v>0.75700464443602145</v>
      </c>
      <c r="N649" s="47">
        <f t="shared" si="84"/>
        <v>2.4518220546957011E-2</v>
      </c>
      <c r="O649" s="47">
        <f t="shared" si="85"/>
        <v>9.9211720956554686E-3</v>
      </c>
      <c r="P649" s="47">
        <f t="shared" si="86"/>
        <v>0.18006403348046246</v>
      </c>
      <c r="Q649" s="47">
        <f t="shared" si="87"/>
        <v>1</v>
      </c>
    </row>
    <row r="650" spans="1:17" x14ac:dyDescent="0.35">
      <c r="A650" s="82">
        <v>647</v>
      </c>
      <c r="B650" s="83" t="str">
        <f>_xlfn.XLOOKUP(A650,'TAZs by City - CCAG Model'!$A:$A,'TAZs by City - CCAG Model'!$B:$B,"Unknown")</f>
        <v>San Jose</v>
      </c>
      <c r="C650" s="82">
        <f>_xlfn.XLOOKUP(A650,'TAZs by City - CCAG Model'!$A:$A,'TAZs by City - CCAG Model'!$C:$C,999)</f>
        <v>3</v>
      </c>
      <c r="D650" s="82" t="str">
        <f t="shared" si="80"/>
        <v>NO</v>
      </c>
      <c r="E650" s="27">
        <v>1868.56</v>
      </c>
      <c r="F650" s="27">
        <v>954.1</v>
      </c>
      <c r="G650" s="27">
        <v>32.08</v>
      </c>
      <c r="H650" s="27">
        <v>28.48</v>
      </c>
      <c r="I650" s="27">
        <v>146.72</v>
      </c>
      <c r="J650" s="27">
        <v>3106.86</v>
      </c>
      <c r="K650" s="47">
        <f t="shared" si="81"/>
        <v>0.60143038308774777</v>
      </c>
      <c r="L650" s="47">
        <f t="shared" si="82"/>
        <v>0.30709462286681727</v>
      </c>
      <c r="M650" s="84">
        <f t="shared" si="83"/>
        <v>0.90852500595456498</v>
      </c>
      <c r="N650" s="47">
        <f t="shared" si="84"/>
        <v>1.032553768113143E-2</v>
      </c>
      <c r="O650" s="47">
        <f t="shared" si="85"/>
        <v>9.1668115074383782E-3</v>
      </c>
      <c r="P650" s="47">
        <f t="shared" si="86"/>
        <v>4.7224528945623553E-2</v>
      </c>
      <c r="Q650" s="47">
        <f t="shared" si="87"/>
        <v>1</v>
      </c>
    </row>
    <row r="651" spans="1:17" x14ac:dyDescent="0.35">
      <c r="A651" s="82">
        <v>648</v>
      </c>
      <c r="B651" s="83" t="str">
        <f>_xlfn.XLOOKUP(A651,'TAZs by City - CCAG Model'!$A:$A,'TAZs by City - CCAG Model'!$B:$B,"Unknown")</f>
        <v>San Jose</v>
      </c>
      <c r="C651" s="82">
        <f>_xlfn.XLOOKUP(A651,'TAZs by City - CCAG Model'!$A:$A,'TAZs by City - CCAG Model'!$C:$C,999)</f>
        <v>3</v>
      </c>
      <c r="D651" s="82" t="str">
        <f t="shared" si="80"/>
        <v>NO</v>
      </c>
      <c r="E651" s="27">
        <v>9473.34</v>
      </c>
      <c r="F651" s="27">
        <v>6832.5</v>
      </c>
      <c r="G651" s="27">
        <v>530.54</v>
      </c>
      <c r="H651" s="27">
        <v>204.14</v>
      </c>
      <c r="I651" s="27">
        <v>887.52</v>
      </c>
      <c r="J651" s="27">
        <v>18498.759999999998</v>
      </c>
      <c r="K651" s="47">
        <f t="shared" si="81"/>
        <v>0.51210675742590317</v>
      </c>
      <c r="L651" s="47">
        <f t="shared" si="82"/>
        <v>0.3693490806951385</v>
      </c>
      <c r="M651" s="84">
        <f t="shared" si="83"/>
        <v>0.88145583812104167</v>
      </c>
      <c r="N651" s="47">
        <f t="shared" si="84"/>
        <v>2.8679760156897004E-2</v>
      </c>
      <c r="O651" s="47">
        <f t="shared" si="85"/>
        <v>1.1035334260242308E-2</v>
      </c>
      <c r="P651" s="47">
        <f t="shared" si="86"/>
        <v>4.7977269827815486E-2</v>
      </c>
      <c r="Q651" s="47">
        <f t="shared" si="87"/>
        <v>1</v>
      </c>
    </row>
    <row r="652" spans="1:17" x14ac:dyDescent="0.35">
      <c r="A652" s="82">
        <v>649</v>
      </c>
      <c r="B652" s="83" t="str">
        <f>_xlfn.XLOOKUP(A652,'TAZs by City - CCAG Model'!$A:$A,'TAZs by City - CCAG Model'!$B:$B,"Unknown")</f>
        <v>San Jose</v>
      </c>
      <c r="C652" s="82">
        <f>_xlfn.XLOOKUP(A652,'TAZs by City - CCAG Model'!$A:$A,'TAZs by City - CCAG Model'!$C:$C,999)</f>
        <v>3</v>
      </c>
      <c r="D652" s="82" t="str">
        <f t="shared" si="80"/>
        <v>NO</v>
      </c>
      <c r="E652" s="27">
        <v>2621.16</v>
      </c>
      <c r="F652" s="27">
        <v>1945.24</v>
      </c>
      <c r="G652" s="27">
        <v>110.14</v>
      </c>
      <c r="H652" s="27">
        <v>54.92</v>
      </c>
      <c r="I652" s="27">
        <v>274.58</v>
      </c>
      <c r="J652" s="27">
        <v>5154.32</v>
      </c>
      <c r="K652" s="47">
        <f t="shared" si="81"/>
        <v>0.50853652858184983</v>
      </c>
      <c r="L652" s="47">
        <f t="shared" si="82"/>
        <v>0.37739992860357918</v>
      </c>
      <c r="M652" s="84">
        <f t="shared" si="83"/>
        <v>0.8859364571854289</v>
      </c>
      <c r="N652" s="47">
        <f t="shared" si="84"/>
        <v>2.136848313647581E-2</v>
      </c>
      <c r="O652" s="47">
        <f t="shared" si="85"/>
        <v>1.0655139766254327E-2</v>
      </c>
      <c r="P652" s="47">
        <f t="shared" si="86"/>
        <v>5.3271818591007158E-2</v>
      </c>
      <c r="Q652" s="47">
        <f t="shared" si="87"/>
        <v>1</v>
      </c>
    </row>
    <row r="653" spans="1:17" x14ac:dyDescent="0.35">
      <c r="A653" s="82">
        <v>650</v>
      </c>
      <c r="B653" s="83" t="str">
        <f>_xlfn.XLOOKUP(A653,'TAZs by City - CCAG Model'!$A:$A,'TAZs by City - CCAG Model'!$B:$B,"Unknown")</f>
        <v>San Jose</v>
      </c>
      <c r="C653" s="82">
        <f>_xlfn.XLOOKUP(A653,'TAZs by City - CCAG Model'!$A:$A,'TAZs by City - CCAG Model'!$C:$C,999)</f>
        <v>3</v>
      </c>
      <c r="D653" s="82" t="str">
        <f t="shared" si="80"/>
        <v>NO</v>
      </c>
      <c r="E653" s="27">
        <v>2020.22</v>
      </c>
      <c r="F653" s="27">
        <v>898.92</v>
      </c>
      <c r="G653" s="27">
        <v>67.959999999999994</v>
      </c>
      <c r="H653" s="27">
        <v>32.9</v>
      </c>
      <c r="I653" s="27">
        <v>567.34</v>
      </c>
      <c r="J653" s="27">
        <v>3704.42</v>
      </c>
      <c r="K653" s="47">
        <f t="shared" si="81"/>
        <v>0.54535392855021836</v>
      </c>
      <c r="L653" s="47">
        <f t="shared" si="82"/>
        <v>0.24266146927184282</v>
      </c>
      <c r="M653" s="84">
        <f t="shared" si="83"/>
        <v>0.7880153978220612</v>
      </c>
      <c r="N653" s="47">
        <f t="shared" si="84"/>
        <v>1.834565195091269E-2</v>
      </c>
      <c r="O653" s="47">
        <f t="shared" si="85"/>
        <v>8.8812823599915772E-3</v>
      </c>
      <c r="P653" s="47">
        <f t="shared" si="86"/>
        <v>0.15315218036831676</v>
      </c>
      <c r="Q653" s="47">
        <f t="shared" si="87"/>
        <v>1</v>
      </c>
    </row>
    <row r="654" spans="1:17" x14ac:dyDescent="0.35">
      <c r="A654" s="82">
        <v>651</v>
      </c>
      <c r="B654" s="83" t="str">
        <f>_xlfn.XLOOKUP(A654,'TAZs by City - CCAG Model'!$A:$A,'TAZs by City - CCAG Model'!$B:$B,"Unknown")</f>
        <v>San Jose</v>
      </c>
      <c r="C654" s="82">
        <f>_xlfn.XLOOKUP(A654,'TAZs by City - CCAG Model'!$A:$A,'TAZs by City - CCAG Model'!$C:$C,999)</f>
        <v>3</v>
      </c>
      <c r="D654" s="82" t="str">
        <f t="shared" si="80"/>
        <v>NO</v>
      </c>
      <c r="E654" s="27">
        <v>4249.18</v>
      </c>
      <c r="F654" s="27">
        <v>3288.88</v>
      </c>
      <c r="G654" s="27">
        <v>210.64</v>
      </c>
      <c r="H654" s="27">
        <v>96.6</v>
      </c>
      <c r="I654" s="27">
        <v>468.72</v>
      </c>
      <c r="J654" s="27">
        <v>8560.2999999999993</v>
      </c>
      <c r="K654" s="47">
        <f t="shared" si="81"/>
        <v>0.49638213614008864</v>
      </c>
      <c r="L654" s="47">
        <f t="shared" si="82"/>
        <v>0.38420148826559819</v>
      </c>
      <c r="M654" s="84">
        <f t="shared" si="83"/>
        <v>0.88058362440568683</v>
      </c>
      <c r="N654" s="47">
        <f t="shared" si="84"/>
        <v>2.4606614254173334E-2</v>
      </c>
      <c r="O654" s="47">
        <f t="shared" si="85"/>
        <v>1.1284651238858452E-2</v>
      </c>
      <c r="P654" s="47">
        <f t="shared" si="86"/>
        <v>5.4755090358982753E-2</v>
      </c>
      <c r="Q654" s="47">
        <f t="shared" si="87"/>
        <v>1</v>
      </c>
    </row>
    <row r="655" spans="1:17" x14ac:dyDescent="0.35">
      <c r="A655" s="82">
        <v>652</v>
      </c>
      <c r="B655" s="83" t="str">
        <f>_xlfn.XLOOKUP(A655,'TAZs by City - CCAG Model'!$A:$A,'TAZs by City - CCAG Model'!$B:$B,"Unknown")</f>
        <v>San Jose</v>
      </c>
      <c r="C655" s="82">
        <f>_xlfn.XLOOKUP(A655,'TAZs by City - CCAG Model'!$A:$A,'TAZs by City - CCAG Model'!$C:$C,999)</f>
        <v>3</v>
      </c>
      <c r="D655" s="82" t="str">
        <f t="shared" si="80"/>
        <v>NO</v>
      </c>
      <c r="E655" s="27">
        <v>4722.84</v>
      </c>
      <c r="F655" s="27">
        <v>2615.92</v>
      </c>
      <c r="G655" s="27">
        <v>128.66</v>
      </c>
      <c r="H655" s="27">
        <v>76.84</v>
      </c>
      <c r="I655" s="27">
        <v>886.74</v>
      </c>
      <c r="J655" s="27">
        <v>8607.52</v>
      </c>
      <c r="K655" s="47">
        <f t="shared" si="81"/>
        <v>0.54868765916315032</v>
      </c>
      <c r="L655" s="47">
        <f t="shared" si="82"/>
        <v>0.30391099875457739</v>
      </c>
      <c r="M655" s="84">
        <f t="shared" si="83"/>
        <v>0.85259865791772771</v>
      </c>
      <c r="N655" s="47">
        <f t="shared" si="84"/>
        <v>1.4947394836143279E-2</v>
      </c>
      <c r="O655" s="47">
        <f t="shared" si="85"/>
        <v>8.9270777180883686E-3</v>
      </c>
      <c r="P655" s="47">
        <f t="shared" si="86"/>
        <v>0.10301922040262468</v>
      </c>
      <c r="Q655" s="47">
        <f t="shared" si="87"/>
        <v>1</v>
      </c>
    </row>
    <row r="656" spans="1:17" x14ac:dyDescent="0.35">
      <c r="A656" s="82">
        <v>653</v>
      </c>
      <c r="B656" s="83" t="str">
        <f>_xlfn.XLOOKUP(A656,'TAZs by City - CCAG Model'!$A:$A,'TAZs by City - CCAG Model'!$B:$B,"Unknown")</f>
        <v>San Jose</v>
      </c>
      <c r="C656" s="82">
        <f>_xlfn.XLOOKUP(A656,'TAZs by City - CCAG Model'!$A:$A,'TAZs by City - CCAG Model'!$C:$C,999)</f>
        <v>3</v>
      </c>
      <c r="D656" s="82" t="str">
        <f t="shared" si="80"/>
        <v>NO</v>
      </c>
      <c r="E656" s="27">
        <v>6449.88</v>
      </c>
      <c r="F656" s="27">
        <v>3853.38</v>
      </c>
      <c r="G656" s="27">
        <v>205.56</v>
      </c>
      <c r="H656" s="27">
        <v>115.6</v>
      </c>
      <c r="I656" s="27">
        <v>695.1</v>
      </c>
      <c r="J656" s="27">
        <v>11568.24</v>
      </c>
      <c r="K656" s="47">
        <f t="shared" si="81"/>
        <v>0.55755067322254726</v>
      </c>
      <c r="L656" s="47">
        <f t="shared" si="82"/>
        <v>0.33309993568598162</v>
      </c>
      <c r="M656" s="84">
        <f t="shared" si="83"/>
        <v>0.89065060890852887</v>
      </c>
      <c r="N656" s="47">
        <f t="shared" si="84"/>
        <v>1.776934088504388E-2</v>
      </c>
      <c r="O656" s="47">
        <f t="shared" si="85"/>
        <v>9.9928770495771174E-3</v>
      </c>
      <c r="P656" s="47">
        <f t="shared" si="86"/>
        <v>6.0086927657102551E-2</v>
      </c>
      <c r="Q656" s="47">
        <f t="shared" si="87"/>
        <v>1</v>
      </c>
    </row>
    <row r="657" spans="1:17" x14ac:dyDescent="0.35">
      <c r="A657" s="82">
        <v>654</v>
      </c>
      <c r="B657" s="83" t="str">
        <f>_xlfn.XLOOKUP(A657,'TAZs by City - CCAG Model'!$A:$A,'TAZs by City - CCAG Model'!$B:$B,"Unknown")</f>
        <v>San Jose</v>
      </c>
      <c r="C657" s="82">
        <f>_xlfn.XLOOKUP(A657,'TAZs by City - CCAG Model'!$A:$A,'TAZs by City - CCAG Model'!$C:$C,999)</f>
        <v>3</v>
      </c>
      <c r="D657" s="82" t="str">
        <f t="shared" si="80"/>
        <v>NO</v>
      </c>
      <c r="E657" s="27">
        <v>10122.4</v>
      </c>
      <c r="F657" s="27">
        <v>6651.24</v>
      </c>
      <c r="G657" s="27">
        <v>211.48</v>
      </c>
      <c r="H657" s="27">
        <v>194.32</v>
      </c>
      <c r="I657" s="27">
        <v>1065.0999999999999</v>
      </c>
      <c r="J657" s="27">
        <v>18496.34</v>
      </c>
      <c r="K657" s="47">
        <f t="shared" si="81"/>
        <v>0.54726502648632103</v>
      </c>
      <c r="L657" s="47">
        <f t="shared" si="82"/>
        <v>0.35959762850380128</v>
      </c>
      <c r="M657" s="84">
        <f t="shared" si="83"/>
        <v>0.90686265499012231</v>
      </c>
      <c r="N657" s="47">
        <f t="shared" si="84"/>
        <v>1.1433613352695722E-2</v>
      </c>
      <c r="O657" s="47">
        <f t="shared" si="85"/>
        <v>1.0505862240854136E-2</v>
      </c>
      <c r="P657" s="47">
        <f t="shared" si="86"/>
        <v>5.7584365339304958E-2</v>
      </c>
      <c r="Q657" s="47">
        <f t="shared" si="87"/>
        <v>1</v>
      </c>
    </row>
    <row r="658" spans="1:17" x14ac:dyDescent="0.35">
      <c r="A658" s="82">
        <v>655</v>
      </c>
      <c r="B658" s="83" t="str">
        <f>_xlfn.XLOOKUP(A658,'TAZs by City - CCAG Model'!$A:$A,'TAZs by City - CCAG Model'!$B:$B,"Unknown")</f>
        <v>San Jose</v>
      </c>
      <c r="C658" s="82">
        <f>_xlfn.XLOOKUP(A658,'TAZs by City - CCAG Model'!$A:$A,'TAZs by City - CCAG Model'!$C:$C,999)</f>
        <v>3</v>
      </c>
      <c r="D658" s="82" t="str">
        <f t="shared" si="80"/>
        <v>NO</v>
      </c>
      <c r="E658" s="27">
        <v>4010.46</v>
      </c>
      <c r="F658" s="27">
        <v>2820.42</v>
      </c>
      <c r="G658" s="27">
        <v>255.7</v>
      </c>
      <c r="H658" s="27">
        <v>89.4</v>
      </c>
      <c r="I658" s="27">
        <v>466.56</v>
      </c>
      <c r="J658" s="27">
        <v>7940.7</v>
      </c>
      <c r="K658" s="47">
        <f t="shared" si="81"/>
        <v>0.50505119196040649</v>
      </c>
      <c r="L658" s="47">
        <f t="shared" si="82"/>
        <v>0.35518531111866714</v>
      </c>
      <c r="M658" s="84">
        <f t="shared" si="83"/>
        <v>0.86023650307907362</v>
      </c>
      <c r="N658" s="47">
        <f t="shared" si="84"/>
        <v>3.22011913307391E-2</v>
      </c>
      <c r="O658" s="47">
        <f t="shared" si="85"/>
        <v>1.1258453284974877E-2</v>
      </c>
      <c r="P658" s="47">
        <f t="shared" si="86"/>
        <v>5.8755525331519891E-2</v>
      </c>
      <c r="Q658" s="47">
        <f t="shared" si="87"/>
        <v>1</v>
      </c>
    </row>
    <row r="659" spans="1:17" x14ac:dyDescent="0.35">
      <c r="A659" s="82">
        <v>656</v>
      </c>
      <c r="B659" s="83" t="str">
        <f>_xlfn.XLOOKUP(A659,'TAZs by City - CCAG Model'!$A:$A,'TAZs by City - CCAG Model'!$B:$B,"Unknown")</f>
        <v>San Jose</v>
      </c>
      <c r="C659" s="82">
        <f>_xlfn.XLOOKUP(A659,'TAZs by City - CCAG Model'!$A:$A,'TAZs by City - CCAG Model'!$C:$C,999)</f>
        <v>3</v>
      </c>
      <c r="D659" s="82" t="str">
        <f t="shared" si="80"/>
        <v>NO</v>
      </c>
      <c r="E659" s="27">
        <v>3334.78</v>
      </c>
      <c r="F659" s="27">
        <v>2440.6799999999998</v>
      </c>
      <c r="G659" s="27">
        <v>233.98</v>
      </c>
      <c r="H659" s="27">
        <v>73.52</v>
      </c>
      <c r="I659" s="27">
        <v>365.22</v>
      </c>
      <c r="J659" s="27">
        <v>6720.44</v>
      </c>
      <c r="K659" s="47">
        <f t="shared" si="81"/>
        <v>0.49621453357220663</v>
      </c>
      <c r="L659" s="47">
        <f t="shared" si="82"/>
        <v>0.36317264940986005</v>
      </c>
      <c r="M659" s="84">
        <f t="shared" si="83"/>
        <v>0.85938718298206673</v>
      </c>
      <c r="N659" s="47">
        <f t="shared" si="84"/>
        <v>3.4816172750593712E-2</v>
      </c>
      <c r="O659" s="47">
        <f t="shared" si="85"/>
        <v>1.0939759896673432E-2</v>
      </c>
      <c r="P659" s="47">
        <f t="shared" si="86"/>
        <v>5.434465600466637E-2</v>
      </c>
      <c r="Q659" s="47">
        <f t="shared" si="87"/>
        <v>1</v>
      </c>
    </row>
    <row r="660" spans="1:17" x14ac:dyDescent="0.35">
      <c r="A660" s="82">
        <v>657</v>
      </c>
      <c r="B660" s="83" t="str">
        <f>_xlfn.XLOOKUP(A660,'TAZs by City - CCAG Model'!$A:$A,'TAZs by City - CCAG Model'!$B:$B,"Unknown")</f>
        <v>San Jose</v>
      </c>
      <c r="C660" s="82">
        <f>_xlfn.XLOOKUP(A660,'TAZs by City - CCAG Model'!$A:$A,'TAZs by City - CCAG Model'!$C:$C,999)</f>
        <v>3</v>
      </c>
      <c r="D660" s="82" t="str">
        <f t="shared" si="80"/>
        <v>NO</v>
      </c>
      <c r="E660" s="27">
        <v>5019.72</v>
      </c>
      <c r="F660" s="27">
        <v>4498.92</v>
      </c>
      <c r="G660" s="27">
        <v>121.8</v>
      </c>
      <c r="H660" s="27">
        <v>109.42</v>
      </c>
      <c r="I660" s="27">
        <v>1369</v>
      </c>
      <c r="J660" s="27">
        <v>11274.96</v>
      </c>
      <c r="K660" s="47">
        <f t="shared" si="81"/>
        <v>0.445209561719066</v>
      </c>
      <c r="L660" s="47">
        <f t="shared" si="82"/>
        <v>0.39901871048766474</v>
      </c>
      <c r="M660" s="84">
        <f t="shared" si="83"/>
        <v>0.84422827220673069</v>
      </c>
      <c r="N660" s="47">
        <f t="shared" si="84"/>
        <v>1.0802699078311587E-2</v>
      </c>
      <c r="O660" s="47">
        <f t="shared" si="85"/>
        <v>9.7046907483485535E-3</v>
      </c>
      <c r="P660" s="47">
        <f t="shared" si="86"/>
        <v>0.12141949949268113</v>
      </c>
      <c r="Q660" s="47">
        <f t="shared" si="87"/>
        <v>1</v>
      </c>
    </row>
    <row r="661" spans="1:17" x14ac:dyDescent="0.35">
      <c r="A661" s="82">
        <v>658</v>
      </c>
      <c r="B661" s="83" t="str">
        <f>_xlfn.XLOOKUP(A661,'TAZs by City - CCAG Model'!$A:$A,'TAZs by City - CCAG Model'!$B:$B,"Unknown")</f>
        <v>San Jose</v>
      </c>
      <c r="C661" s="82">
        <f>_xlfn.XLOOKUP(A661,'TAZs by City - CCAG Model'!$A:$A,'TAZs by City - CCAG Model'!$C:$C,999)</f>
        <v>3</v>
      </c>
      <c r="D661" s="82" t="str">
        <f t="shared" si="80"/>
        <v>NO</v>
      </c>
      <c r="E661" s="27">
        <v>9858.4599999999991</v>
      </c>
      <c r="F661" s="27">
        <v>6683.06</v>
      </c>
      <c r="G661" s="27">
        <v>406.64</v>
      </c>
      <c r="H661" s="27">
        <v>196.54</v>
      </c>
      <c r="I661" s="27">
        <v>2620.84</v>
      </c>
      <c r="J661" s="27">
        <v>20217.36</v>
      </c>
      <c r="K661" s="47">
        <f t="shared" si="81"/>
        <v>0.48762350771811941</v>
      </c>
      <c r="L661" s="47">
        <f t="shared" si="82"/>
        <v>0.33056046882481194</v>
      </c>
      <c r="M661" s="84">
        <f t="shared" si="83"/>
        <v>0.8181839765429314</v>
      </c>
      <c r="N661" s="47">
        <f t="shared" si="84"/>
        <v>2.0113407487426647E-2</v>
      </c>
      <c r="O661" s="47">
        <f t="shared" si="85"/>
        <v>9.7213483857437367E-3</v>
      </c>
      <c r="P661" s="47">
        <f t="shared" si="86"/>
        <v>0.1296331469588512</v>
      </c>
      <c r="Q661" s="47">
        <f t="shared" si="87"/>
        <v>1</v>
      </c>
    </row>
    <row r="662" spans="1:17" x14ac:dyDescent="0.35">
      <c r="A662" s="82">
        <v>659</v>
      </c>
      <c r="B662" s="83" t="str">
        <f>_xlfn.XLOOKUP(A662,'TAZs by City - CCAG Model'!$A:$A,'TAZs by City - CCAG Model'!$B:$B,"Unknown")</f>
        <v>San Jose</v>
      </c>
      <c r="C662" s="82">
        <f>_xlfn.XLOOKUP(A662,'TAZs by City - CCAG Model'!$A:$A,'TAZs by City - CCAG Model'!$C:$C,999)</f>
        <v>3</v>
      </c>
      <c r="D662" s="82" t="str">
        <f t="shared" si="80"/>
        <v>NO</v>
      </c>
      <c r="E662" s="27">
        <v>4047.78</v>
      </c>
      <c r="F662" s="27">
        <v>2951.66</v>
      </c>
      <c r="G662" s="27">
        <v>154.47999999999999</v>
      </c>
      <c r="H662" s="27">
        <v>80.099999999999994</v>
      </c>
      <c r="I662" s="27">
        <v>534</v>
      </c>
      <c r="J662" s="27">
        <v>7958.24</v>
      </c>
      <c r="K662" s="47">
        <f t="shared" si="81"/>
        <v>0.50862753573654484</v>
      </c>
      <c r="L662" s="47">
        <f t="shared" si="82"/>
        <v>0.37089356440620036</v>
      </c>
      <c r="M662" s="84">
        <f t="shared" si="83"/>
        <v>0.8795211001427452</v>
      </c>
      <c r="N662" s="47">
        <f t="shared" si="84"/>
        <v>1.9411327127606102E-2</v>
      </c>
      <c r="O662" s="47">
        <f t="shared" si="85"/>
        <v>1.006503950622248E-2</v>
      </c>
      <c r="P662" s="47">
        <f t="shared" si="86"/>
        <v>6.7100263374816546E-2</v>
      </c>
      <c r="Q662" s="47">
        <f t="shared" si="87"/>
        <v>1</v>
      </c>
    </row>
    <row r="663" spans="1:17" x14ac:dyDescent="0.35">
      <c r="A663" s="82">
        <v>660</v>
      </c>
      <c r="B663" s="83" t="str">
        <f>_xlfn.XLOOKUP(A663,'TAZs by City - CCAG Model'!$A:$A,'TAZs by City - CCAG Model'!$B:$B,"Unknown")</f>
        <v>San Jose</v>
      </c>
      <c r="C663" s="82">
        <f>_xlfn.XLOOKUP(A663,'TAZs by City - CCAG Model'!$A:$A,'TAZs by City - CCAG Model'!$C:$C,999)</f>
        <v>3</v>
      </c>
      <c r="D663" s="82" t="str">
        <f t="shared" si="80"/>
        <v>NO</v>
      </c>
      <c r="E663" s="27">
        <v>12344.5</v>
      </c>
      <c r="F663" s="27">
        <v>8787.02</v>
      </c>
      <c r="G663" s="27">
        <v>733.22</v>
      </c>
      <c r="H663" s="27">
        <v>277.3</v>
      </c>
      <c r="I663" s="27">
        <v>3592.22</v>
      </c>
      <c r="J663" s="27">
        <v>26507.759999999998</v>
      </c>
      <c r="K663" s="47">
        <f t="shared" si="81"/>
        <v>0.46569381947022309</v>
      </c>
      <c r="L663" s="47">
        <f t="shared" si="82"/>
        <v>0.33148859051085422</v>
      </c>
      <c r="M663" s="84">
        <f t="shared" si="83"/>
        <v>0.79718240998107726</v>
      </c>
      <c r="N663" s="47">
        <f t="shared" si="84"/>
        <v>2.7660579392600509E-2</v>
      </c>
      <c r="O663" s="47">
        <f t="shared" si="85"/>
        <v>1.0461087621134341E-2</v>
      </c>
      <c r="P663" s="47">
        <f t="shared" si="86"/>
        <v>0.1355157885841731</v>
      </c>
      <c r="Q663" s="47">
        <f t="shared" si="87"/>
        <v>1</v>
      </c>
    </row>
    <row r="664" spans="1:17" x14ac:dyDescent="0.35">
      <c r="A664" s="82">
        <v>661</v>
      </c>
      <c r="B664" s="83" t="str">
        <f>_xlfn.XLOOKUP(A664,'TAZs by City - CCAG Model'!$A:$A,'TAZs by City - CCAG Model'!$B:$B,"Unknown")</f>
        <v>San Jose</v>
      </c>
      <c r="C664" s="82">
        <f>_xlfn.XLOOKUP(A664,'TAZs by City - CCAG Model'!$A:$A,'TAZs by City - CCAG Model'!$C:$C,999)</f>
        <v>3</v>
      </c>
      <c r="D664" s="82" t="str">
        <f t="shared" si="80"/>
        <v>NO</v>
      </c>
      <c r="E664" s="27">
        <v>12315.28</v>
      </c>
      <c r="F664" s="27">
        <v>8186.34</v>
      </c>
      <c r="G664" s="27">
        <v>661.74</v>
      </c>
      <c r="H664" s="27">
        <v>272.7</v>
      </c>
      <c r="I664" s="27">
        <v>1780.86</v>
      </c>
      <c r="J664" s="27">
        <v>23920.34</v>
      </c>
      <c r="K664" s="47">
        <f t="shared" si="81"/>
        <v>0.51484552477096901</v>
      </c>
      <c r="L664" s="47">
        <f t="shared" si="82"/>
        <v>0.34223342979238591</v>
      </c>
      <c r="M664" s="84">
        <f t="shared" si="83"/>
        <v>0.85707895456335492</v>
      </c>
      <c r="N664" s="47">
        <f t="shared" si="84"/>
        <v>2.7664322497088251E-2</v>
      </c>
      <c r="O664" s="47">
        <f t="shared" si="85"/>
        <v>1.1400339627279545E-2</v>
      </c>
      <c r="P664" s="47">
        <f t="shared" si="86"/>
        <v>7.444961066606913E-2</v>
      </c>
      <c r="Q664" s="47">
        <f t="shared" si="87"/>
        <v>1</v>
      </c>
    </row>
    <row r="665" spans="1:17" x14ac:dyDescent="0.35">
      <c r="A665" s="82">
        <v>662</v>
      </c>
      <c r="B665" s="83" t="str">
        <f>_xlfn.XLOOKUP(A665,'TAZs by City - CCAG Model'!$A:$A,'TAZs by City - CCAG Model'!$B:$B,"Unknown")</f>
        <v>San Jose</v>
      </c>
      <c r="C665" s="82">
        <f>_xlfn.XLOOKUP(A665,'TAZs by City - CCAG Model'!$A:$A,'TAZs by City - CCAG Model'!$C:$C,999)</f>
        <v>3</v>
      </c>
      <c r="D665" s="82" t="str">
        <f t="shared" si="80"/>
        <v>NO</v>
      </c>
      <c r="E665" s="27">
        <v>3237.36</v>
      </c>
      <c r="F665" s="27">
        <v>1711.02</v>
      </c>
      <c r="G665" s="27">
        <v>202.9</v>
      </c>
      <c r="H665" s="27">
        <v>57.88</v>
      </c>
      <c r="I665" s="27">
        <v>164.56</v>
      </c>
      <c r="J665" s="27">
        <v>5621.82</v>
      </c>
      <c r="K665" s="47">
        <f t="shared" si="81"/>
        <v>0.57585621738155979</v>
      </c>
      <c r="L665" s="47">
        <f t="shared" si="82"/>
        <v>0.30435339445233039</v>
      </c>
      <c r="M665" s="84">
        <f t="shared" si="83"/>
        <v>0.88020961183389013</v>
      </c>
      <c r="N665" s="47">
        <f t="shared" si="84"/>
        <v>3.6091514847504905E-2</v>
      </c>
      <c r="O665" s="47">
        <f t="shared" si="85"/>
        <v>1.0295598222639644E-2</v>
      </c>
      <c r="P665" s="47">
        <f t="shared" si="86"/>
        <v>2.9271659355866963E-2</v>
      </c>
      <c r="Q665" s="47">
        <f t="shared" si="87"/>
        <v>1</v>
      </c>
    </row>
    <row r="666" spans="1:17" x14ac:dyDescent="0.35">
      <c r="A666" s="82">
        <v>663</v>
      </c>
      <c r="B666" s="83" t="str">
        <f>_xlfn.XLOOKUP(A666,'TAZs by City - CCAG Model'!$A:$A,'TAZs by City - CCAG Model'!$B:$B,"Unknown")</f>
        <v>San Jose</v>
      </c>
      <c r="C666" s="82">
        <f>_xlfn.XLOOKUP(A666,'TAZs by City - CCAG Model'!$A:$A,'TAZs by City - CCAG Model'!$C:$C,999)</f>
        <v>3</v>
      </c>
      <c r="D666" s="82" t="str">
        <f t="shared" si="80"/>
        <v>NO</v>
      </c>
      <c r="E666" s="27">
        <v>943.94</v>
      </c>
      <c r="F666" s="27">
        <v>470.9</v>
      </c>
      <c r="G666" s="27">
        <v>32.979999999999997</v>
      </c>
      <c r="H666" s="27">
        <v>10.08</v>
      </c>
      <c r="I666" s="27">
        <v>46.06</v>
      </c>
      <c r="J666" s="27">
        <v>1582.66</v>
      </c>
      <c r="K666" s="47">
        <f t="shared" si="81"/>
        <v>0.59642626969785051</v>
      </c>
      <c r="L666" s="47">
        <f t="shared" si="82"/>
        <v>0.29753705786460766</v>
      </c>
      <c r="M666" s="84">
        <f t="shared" si="83"/>
        <v>0.89396332756245822</v>
      </c>
      <c r="N666" s="47">
        <f t="shared" si="84"/>
        <v>2.0838335460553747E-2</v>
      </c>
      <c r="O666" s="47">
        <f t="shared" si="85"/>
        <v>6.3690243008605761E-3</v>
      </c>
      <c r="P666" s="47">
        <f t="shared" si="86"/>
        <v>2.9102902708099024E-2</v>
      </c>
      <c r="Q666" s="47">
        <f t="shared" si="87"/>
        <v>1</v>
      </c>
    </row>
    <row r="667" spans="1:17" x14ac:dyDescent="0.35">
      <c r="A667" s="82">
        <v>664</v>
      </c>
      <c r="B667" s="83" t="str">
        <f>_xlfn.XLOOKUP(A667,'TAZs by City - CCAG Model'!$A:$A,'TAZs by City - CCAG Model'!$B:$B,"Unknown")</f>
        <v>San Jose</v>
      </c>
      <c r="C667" s="82">
        <f>_xlfn.XLOOKUP(A667,'TAZs by City - CCAG Model'!$A:$A,'TAZs by City - CCAG Model'!$C:$C,999)</f>
        <v>3</v>
      </c>
      <c r="D667" s="82" t="str">
        <f t="shared" si="80"/>
        <v>NO</v>
      </c>
      <c r="E667" s="27">
        <v>11635.6</v>
      </c>
      <c r="F667" s="27">
        <v>3345.4</v>
      </c>
      <c r="G667" s="27">
        <v>600.72</v>
      </c>
      <c r="H667" s="27">
        <v>120.98</v>
      </c>
      <c r="I667" s="27">
        <v>448.82</v>
      </c>
      <c r="J667" s="27">
        <v>16779.66</v>
      </c>
      <c r="K667" s="47">
        <f t="shared" si="81"/>
        <v>0.69343478950109838</v>
      </c>
      <c r="L667" s="47">
        <f t="shared" si="82"/>
        <v>0.19937233531549509</v>
      </c>
      <c r="M667" s="84">
        <f t="shared" si="83"/>
        <v>0.89280712481659341</v>
      </c>
      <c r="N667" s="47">
        <f t="shared" si="84"/>
        <v>3.5800487018211334E-2</v>
      </c>
      <c r="O667" s="47">
        <f t="shared" si="85"/>
        <v>7.2099196288840182E-3</v>
      </c>
      <c r="P667" s="47">
        <f t="shared" si="86"/>
        <v>2.6747860206941022E-2</v>
      </c>
      <c r="Q667" s="47">
        <f t="shared" si="87"/>
        <v>1</v>
      </c>
    </row>
    <row r="668" spans="1:17" x14ac:dyDescent="0.35">
      <c r="A668" s="82">
        <v>665</v>
      </c>
      <c r="B668" s="83" t="str">
        <f>_xlfn.XLOOKUP(A668,'TAZs by City - CCAG Model'!$A:$A,'TAZs by City - CCAG Model'!$B:$B,"Unknown")</f>
        <v>San Jose</v>
      </c>
      <c r="C668" s="82">
        <f>_xlfn.XLOOKUP(A668,'TAZs by City - CCAG Model'!$A:$A,'TAZs by City - CCAG Model'!$C:$C,999)</f>
        <v>3</v>
      </c>
      <c r="D668" s="82" t="str">
        <f t="shared" si="80"/>
        <v>NO</v>
      </c>
      <c r="E668" s="27">
        <v>4462.96</v>
      </c>
      <c r="F668" s="27">
        <v>2813.74</v>
      </c>
      <c r="G668" s="27">
        <v>231.78</v>
      </c>
      <c r="H668" s="27">
        <v>68.64</v>
      </c>
      <c r="I668" s="27">
        <v>335.7</v>
      </c>
      <c r="J668" s="27">
        <v>8184.32</v>
      </c>
      <c r="K668" s="47">
        <f t="shared" si="81"/>
        <v>0.54530614638723807</v>
      </c>
      <c r="L668" s="47">
        <f t="shared" si="82"/>
        <v>0.34379643024710665</v>
      </c>
      <c r="M668" s="84">
        <f t="shared" si="83"/>
        <v>0.88910257663434467</v>
      </c>
      <c r="N668" s="47">
        <f t="shared" si="84"/>
        <v>2.8320007037847983E-2</v>
      </c>
      <c r="O668" s="47">
        <f t="shared" si="85"/>
        <v>8.3867688457929315E-3</v>
      </c>
      <c r="P668" s="47">
        <f t="shared" si="86"/>
        <v>4.1017457772912103E-2</v>
      </c>
      <c r="Q668" s="47">
        <f t="shared" si="87"/>
        <v>1</v>
      </c>
    </row>
    <row r="669" spans="1:17" x14ac:dyDescent="0.35">
      <c r="A669" s="82">
        <v>666</v>
      </c>
      <c r="B669" s="83" t="str">
        <f>_xlfn.XLOOKUP(A669,'TAZs by City - CCAG Model'!$A:$A,'TAZs by City - CCAG Model'!$B:$B,"Unknown")</f>
        <v>San Jose</v>
      </c>
      <c r="C669" s="82">
        <f>_xlfn.XLOOKUP(A669,'TAZs by City - CCAG Model'!$A:$A,'TAZs by City - CCAG Model'!$C:$C,999)</f>
        <v>3</v>
      </c>
      <c r="D669" s="82" t="str">
        <f t="shared" si="80"/>
        <v>NO</v>
      </c>
      <c r="E669" s="27">
        <v>6737.22</v>
      </c>
      <c r="F669" s="27">
        <v>5388.94</v>
      </c>
      <c r="G669" s="27">
        <v>392.2</v>
      </c>
      <c r="H669" s="27">
        <v>122.34</v>
      </c>
      <c r="I669" s="27">
        <v>993</v>
      </c>
      <c r="J669" s="27">
        <v>14064.42</v>
      </c>
      <c r="K669" s="47">
        <f t="shared" si="81"/>
        <v>0.47902579701118142</v>
      </c>
      <c r="L669" s="47">
        <f t="shared" si="82"/>
        <v>0.3831611968357031</v>
      </c>
      <c r="M669" s="84">
        <f t="shared" si="83"/>
        <v>0.86218699384688458</v>
      </c>
      <c r="N669" s="47">
        <f t="shared" si="84"/>
        <v>2.7885970413284018E-2</v>
      </c>
      <c r="O669" s="47">
        <f t="shared" si="85"/>
        <v>8.6985456918948663E-3</v>
      </c>
      <c r="P669" s="47">
        <f t="shared" si="86"/>
        <v>7.0603693575703799E-2</v>
      </c>
      <c r="Q669" s="47">
        <f t="shared" si="87"/>
        <v>1</v>
      </c>
    </row>
    <row r="670" spans="1:17" x14ac:dyDescent="0.35">
      <c r="A670" s="82">
        <v>667</v>
      </c>
      <c r="B670" s="83" t="str">
        <f>_xlfn.XLOOKUP(A670,'TAZs by City - CCAG Model'!$A:$A,'TAZs by City - CCAG Model'!$B:$B,"Unknown")</f>
        <v>San Jose</v>
      </c>
      <c r="C670" s="82">
        <f>_xlfn.XLOOKUP(A670,'TAZs by City - CCAG Model'!$A:$A,'TAZs by City - CCAG Model'!$C:$C,999)</f>
        <v>3</v>
      </c>
      <c r="D670" s="82" t="str">
        <f t="shared" si="80"/>
        <v>NO</v>
      </c>
      <c r="E670" s="27">
        <v>444.1</v>
      </c>
      <c r="F670" s="27">
        <v>67.66</v>
      </c>
      <c r="G670" s="27">
        <v>10</v>
      </c>
      <c r="H670" s="27">
        <v>2.2599999999999998</v>
      </c>
      <c r="I670" s="27">
        <v>12.14</v>
      </c>
      <c r="J670" s="27">
        <v>586.36</v>
      </c>
      <c r="K670" s="47">
        <f t="shared" si="81"/>
        <v>0.75738454191963989</v>
      </c>
      <c r="L670" s="47">
        <f t="shared" si="82"/>
        <v>0.11538986288287058</v>
      </c>
      <c r="M670" s="84">
        <f t="shared" si="83"/>
        <v>0.87277440480251034</v>
      </c>
      <c r="N670" s="47">
        <f t="shared" si="84"/>
        <v>1.7054369329422198E-2</v>
      </c>
      <c r="O670" s="47">
        <f t="shared" si="85"/>
        <v>3.8542874684494165E-3</v>
      </c>
      <c r="P670" s="47">
        <f t="shared" si="86"/>
        <v>2.070400436591855E-2</v>
      </c>
      <c r="Q670" s="47">
        <f t="shared" si="87"/>
        <v>1</v>
      </c>
    </row>
    <row r="671" spans="1:17" x14ac:dyDescent="0.35">
      <c r="A671" s="82">
        <v>668</v>
      </c>
      <c r="B671" s="83" t="str">
        <f>_xlfn.XLOOKUP(A671,'TAZs by City - CCAG Model'!$A:$A,'TAZs by City - CCAG Model'!$B:$B,"Unknown")</f>
        <v>San Jose</v>
      </c>
      <c r="C671" s="82">
        <f>_xlfn.XLOOKUP(A671,'TAZs by City - CCAG Model'!$A:$A,'TAZs by City - CCAG Model'!$C:$C,999)</f>
        <v>3</v>
      </c>
      <c r="D671" s="82" t="str">
        <f t="shared" si="80"/>
        <v>NO</v>
      </c>
      <c r="E671" s="27">
        <v>8010.62</v>
      </c>
      <c r="F671" s="27">
        <v>2617.3200000000002</v>
      </c>
      <c r="G671" s="27">
        <v>284.27999999999997</v>
      </c>
      <c r="H671" s="27">
        <v>82.66</v>
      </c>
      <c r="I671" s="27">
        <v>791.16</v>
      </c>
      <c r="J671" s="27">
        <v>12105.18</v>
      </c>
      <c r="K671" s="47">
        <f t="shared" si="81"/>
        <v>0.66175141550972394</v>
      </c>
      <c r="L671" s="47">
        <f t="shared" si="82"/>
        <v>0.21621487660654365</v>
      </c>
      <c r="M671" s="84">
        <f t="shared" si="83"/>
        <v>0.87796629211626764</v>
      </c>
      <c r="N671" s="47">
        <f t="shared" si="84"/>
        <v>2.34841613259778E-2</v>
      </c>
      <c r="O671" s="47">
        <f t="shared" si="85"/>
        <v>6.8284816913090091E-3</v>
      </c>
      <c r="P671" s="47">
        <f t="shared" si="86"/>
        <v>6.5357144627341351E-2</v>
      </c>
      <c r="Q671" s="47">
        <f t="shared" si="87"/>
        <v>1</v>
      </c>
    </row>
    <row r="672" spans="1:17" x14ac:dyDescent="0.35">
      <c r="A672" s="82">
        <v>669</v>
      </c>
      <c r="B672" s="83" t="str">
        <f>_xlfn.XLOOKUP(A672,'TAZs by City - CCAG Model'!$A:$A,'TAZs by City - CCAG Model'!$B:$B,"Unknown")</f>
        <v>San Jose</v>
      </c>
      <c r="C672" s="82">
        <f>_xlfn.XLOOKUP(A672,'TAZs by City - CCAG Model'!$A:$A,'TAZs by City - CCAG Model'!$C:$C,999)</f>
        <v>3</v>
      </c>
      <c r="D672" s="82" t="str">
        <f t="shared" si="80"/>
        <v>NO</v>
      </c>
      <c r="E672" s="27">
        <v>1265.18</v>
      </c>
      <c r="F672" s="27">
        <v>967.44</v>
      </c>
      <c r="G672" s="27">
        <v>79.099999999999994</v>
      </c>
      <c r="H672" s="27">
        <v>23.24</v>
      </c>
      <c r="I672" s="27">
        <v>227.46</v>
      </c>
      <c r="J672" s="27">
        <v>2670.48</v>
      </c>
      <c r="K672" s="47">
        <f t="shared" si="81"/>
        <v>0.47376501602708132</v>
      </c>
      <c r="L672" s="47">
        <f t="shared" si="82"/>
        <v>0.36227195110991284</v>
      </c>
      <c r="M672" s="84">
        <f t="shared" si="83"/>
        <v>0.83603696713699405</v>
      </c>
      <c r="N672" s="47">
        <f t="shared" si="84"/>
        <v>2.9620143195230819E-2</v>
      </c>
      <c r="O672" s="47">
        <f t="shared" si="85"/>
        <v>8.7025553458554266E-3</v>
      </c>
      <c r="P672" s="47">
        <f t="shared" si="86"/>
        <v>8.5175698750786372E-2</v>
      </c>
      <c r="Q672" s="47">
        <f t="shared" si="87"/>
        <v>1</v>
      </c>
    </row>
    <row r="673" spans="1:17" x14ac:dyDescent="0.35">
      <c r="A673" s="82">
        <v>670</v>
      </c>
      <c r="B673" s="83" t="str">
        <f>_xlfn.XLOOKUP(A673,'TAZs by City - CCAG Model'!$A:$A,'TAZs by City - CCAG Model'!$B:$B,"Unknown")</f>
        <v>San Jose</v>
      </c>
      <c r="C673" s="82">
        <f>_xlfn.XLOOKUP(A673,'TAZs by City - CCAG Model'!$A:$A,'TAZs by City - CCAG Model'!$C:$C,999)</f>
        <v>3</v>
      </c>
      <c r="D673" s="82" t="str">
        <f t="shared" si="80"/>
        <v>NO</v>
      </c>
      <c r="E673" s="27">
        <v>8192.2000000000007</v>
      </c>
      <c r="F673" s="27">
        <v>5319.3</v>
      </c>
      <c r="G673" s="27">
        <v>301.76</v>
      </c>
      <c r="H673" s="27">
        <v>130.82</v>
      </c>
      <c r="I673" s="27">
        <v>1101.1600000000001</v>
      </c>
      <c r="J673" s="27">
        <v>15391.2</v>
      </c>
      <c r="K673" s="47">
        <f t="shared" si="81"/>
        <v>0.53226519049846666</v>
      </c>
      <c r="L673" s="47">
        <f t="shared" si="82"/>
        <v>0.34560658038359582</v>
      </c>
      <c r="M673" s="84">
        <f t="shared" si="83"/>
        <v>0.87787177088206247</v>
      </c>
      <c r="N673" s="47">
        <f t="shared" si="84"/>
        <v>1.9606008628307085E-2</v>
      </c>
      <c r="O673" s="47">
        <f t="shared" si="85"/>
        <v>8.4996621446021096E-3</v>
      </c>
      <c r="P673" s="47">
        <f t="shared" si="86"/>
        <v>7.1544778834658762E-2</v>
      </c>
      <c r="Q673" s="47">
        <f t="shared" si="87"/>
        <v>1</v>
      </c>
    </row>
    <row r="674" spans="1:17" x14ac:dyDescent="0.35">
      <c r="A674" s="82">
        <v>671</v>
      </c>
      <c r="B674" s="83" t="str">
        <f>_xlfn.XLOOKUP(A674,'TAZs by City - CCAG Model'!$A:$A,'TAZs by City - CCAG Model'!$B:$B,"Unknown")</f>
        <v>San Jose</v>
      </c>
      <c r="C674" s="82">
        <f>_xlfn.XLOOKUP(A674,'TAZs by City - CCAG Model'!$A:$A,'TAZs by City - CCAG Model'!$C:$C,999)</f>
        <v>3</v>
      </c>
      <c r="D674" s="82" t="str">
        <f t="shared" si="80"/>
        <v>NO</v>
      </c>
      <c r="E674" s="27">
        <v>4160.92</v>
      </c>
      <c r="F674" s="27">
        <v>3307.2</v>
      </c>
      <c r="G674" s="27">
        <v>207.16</v>
      </c>
      <c r="H674" s="27">
        <v>71.78</v>
      </c>
      <c r="I674" s="27">
        <v>640.02</v>
      </c>
      <c r="J674" s="27">
        <v>8628.48</v>
      </c>
      <c r="K674" s="47">
        <f t="shared" si="81"/>
        <v>0.48223093754635815</v>
      </c>
      <c r="L674" s="47">
        <f t="shared" si="82"/>
        <v>0.3832888295505118</v>
      </c>
      <c r="M674" s="84">
        <f t="shared" si="83"/>
        <v>0.86551976709686995</v>
      </c>
      <c r="N674" s="47">
        <f t="shared" si="84"/>
        <v>2.4008863670078623E-2</v>
      </c>
      <c r="O674" s="47">
        <f t="shared" si="85"/>
        <v>8.3189623201305445E-3</v>
      </c>
      <c r="P674" s="47">
        <f t="shared" si="86"/>
        <v>7.4175289274588344E-2</v>
      </c>
      <c r="Q674" s="47">
        <f t="shared" si="87"/>
        <v>1</v>
      </c>
    </row>
    <row r="675" spans="1:17" x14ac:dyDescent="0.35">
      <c r="A675" s="82">
        <v>672</v>
      </c>
      <c r="B675" s="83" t="str">
        <f>_xlfn.XLOOKUP(A675,'TAZs by City - CCAG Model'!$A:$A,'TAZs by City - CCAG Model'!$B:$B,"Unknown")</f>
        <v>San Jose</v>
      </c>
      <c r="C675" s="82">
        <f>_xlfn.XLOOKUP(A675,'TAZs by City - CCAG Model'!$A:$A,'TAZs by City - CCAG Model'!$C:$C,999)</f>
        <v>3</v>
      </c>
      <c r="D675" s="82" t="str">
        <f t="shared" si="80"/>
        <v>NO</v>
      </c>
      <c r="E675" s="27">
        <v>4623.22</v>
      </c>
      <c r="F675" s="27">
        <v>3757.88</v>
      </c>
      <c r="G675" s="27">
        <v>222.16</v>
      </c>
      <c r="H675" s="27">
        <v>83.06</v>
      </c>
      <c r="I675" s="27">
        <v>668.4</v>
      </c>
      <c r="J675" s="27">
        <v>9612.48</v>
      </c>
      <c r="K675" s="47">
        <f t="shared" si="81"/>
        <v>0.48096016844768474</v>
      </c>
      <c r="L675" s="47">
        <f t="shared" si="82"/>
        <v>0.39093761443456843</v>
      </c>
      <c r="M675" s="84">
        <f t="shared" si="83"/>
        <v>0.87189778288225317</v>
      </c>
      <c r="N675" s="47">
        <f t="shared" si="84"/>
        <v>2.3111621558640435E-2</v>
      </c>
      <c r="O675" s="47">
        <f t="shared" si="85"/>
        <v>8.6408502280368865E-3</v>
      </c>
      <c r="P675" s="47">
        <f t="shared" si="86"/>
        <v>6.9534605013482478E-2</v>
      </c>
      <c r="Q675" s="47">
        <f t="shared" si="87"/>
        <v>1</v>
      </c>
    </row>
    <row r="676" spans="1:17" x14ac:dyDescent="0.35">
      <c r="A676" s="82">
        <v>673</v>
      </c>
      <c r="B676" s="83" t="str">
        <f>_xlfn.XLOOKUP(A676,'TAZs by City - CCAG Model'!$A:$A,'TAZs by City - CCAG Model'!$B:$B,"Unknown")</f>
        <v>San Jose</v>
      </c>
      <c r="C676" s="82">
        <f>_xlfn.XLOOKUP(A676,'TAZs by City - CCAG Model'!$A:$A,'TAZs by City - CCAG Model'!$C:$C,999)</f>
        <v>3</v>
      </c>
      <c r="D676" s="82" t="str">
        <f t="shared" si="80"/>
        <v>NO</v>
      </c>
      <c r="E676" s="27">
        <v>6174.68</v>
      </c>
      <c r="F676" s="27">
        <v>3926.38</v>
      </c>
      <c r="G676" s="27">
        <v>133.18</v>
      </c>
      <c r="H676" s="27">
        <v>96.1</v>
      </c>
      <c r="I676" s="27">
        <v>396.98</v>
      </c>
      <c r="J676" s="27">
        <v>10905.94</v>
      </c>
      <c r="K676" s="47">
        <f t="shared" si="81"/>
        <v>0.56617586379532625</v>
      </c>
      <c r="L676" s="47">
        <f t="shared" si="82"/>
        <v>0.36002215306521035</v>
      </c>
      <c r="M676" s="84">
        <f t="shared" si="83"/>
        <v>0.9261980168605366</v>
      </c>
      <c r="N676" s="47">
        <f t="shared" si="84"/>
        <v>1.2211693810895714E-2</v>
      </c>
      <c r="O676" s="47">
        <f t="shared" si="85"/>
        <v>8.811711782753251E-3</v>
      </c>
      <c r="P676" s="47">
        <f t="shared" si="86"/>
        <v>3.6400346966882269E-2</v>
      </c>
      <c r="Q676" s="47">
        <f t="shared" si="87"/>
        <v>1</v>
      </c>
    </row>
    <row r="677" spans="1:17" x14ac:dyDescent="0.35">
      <c r="A677" s="82">
        <v>674</v>
      </c>
      <c r="B677" s="83" t="str">
        <f>_xlfn.XLOOKUP(A677,'TAZs by City - CCAG Model'!$A:$A,'TAZs by City - CCAG Model'!$B:$B,"Unknown")</f>
        <v>San Jose</v>
      </c>
      <c r="C677" s="82">
        <f>_xlfn.XLOOKUP(A677,'TAZs by City - CCAG Model'!$A:$A,'TAZs by City - CCAG Model'!$C:$C,999)</f>
        <v>3</v>
      </c>
      <c r="D677" s="82" t="str">
        <f t="shared" si="80"/>
        <v>NO</v>
      </c>
      <c r="E677" s="27">
        <v>4474.1400000000003</v>
      </c>
      <c r="F677" s="27">
        <v>3189.58</v>
      </c>
      <c r="G677" s="27">
        <v>174.22</v>
      </c>
      <c r="H677" s="27">
        <v>78.88</v>
      </c>
      <c r="I677" s="27">
        <v>338.32</v>
      </c>
      <c r="J677" s="27">
        <v>8476.16</v>
      </c>
      <c r="K677" s="47">
        <f t="shared" si="81"/>
        <v>0.52784987541528239</v>
      </c>
      <c r="L677" s="47">
        <f t="shared" si="82"/>
        <v>0.37630011703412863</v>
      </c>
      <c r="M677" s="84">
        <f t="shared" si="83"/>
        <v>0.90414999244941108</v>
      </c>
      <c r="N677" s="47">
        <f t="shared" si="84"/>
        <v>2.0554118846270009E-2</v>
      </c>
      <c r="O677" s="47">
        <f t="shared" si="85"/>
        <v>9.3061008758683166E-3</v>
      </c>
      <c r="P677" s="47">
        <f t="shared" si="86"/>
        <v>3.9914300815463606E-2</v>
      </c>
      <c r="Q677" s="47">
        <f t="shared" si="87"/>
        <v>1</v>
      </c>
    </row>
    <row r="678" spans="1:17" x14ac:dyDescent="0.35">
      <c r="A678" s="82">
        <v>675</v>
      </c>
      <c r="B678" s="83" t="str">
        <f>_xlfn.XLOOKUP(A678,'TAZs by City - CCAG Model'!$A:$A,'TAZs by City - CCAG Model'!$B:$B,"Unknown")</f>
        <v>San Jose</v>
      </c>
      <c r="C678" s="82">
        <f>_xlfn.XLOOKUP(A678,'TAZs by City - CCAG Model'!$A:$A,'TAZs by City - CCAG Model'!$C:$C,999)</f>
        <v>3</v>
      </c>
      <c r="D678" s="82" t="str">
        <f t="shared" si="80"/>
        <v>NO</v>
      </c>
      <c r="E678" s="27">
        <v>4429.1000000000004</v>
      </c>
      <c r="F678" s="27">
        <v>3407.12</v>
      </c>
      <c r="G678" s="27">
        <v>176.8</v>
      </c>
      <c r="H678" s="27">
        <v>69.66</v>
      </c>
      <c r="I678" s="27">
        <v>248.78</v>
      </c>
      <c r="J678" s="27">
        <v>8536.1200000000008</v>
      </c>
      <c r="K678" s="47">
        <f t="shared" si="81"/>
        <v>0.51886571416521787</v>
      </c>
      <c r="L678" s="47">
        <f t="shared" si="82"/>
        <v>0.39914153034399696</v>
      </c>
      <c r="M678" s="84">
        <f t="shared" si="83"/>
        <v>0.91800724450921489</v>
      </c>
      <c r="N678" s="47">
        <f t="shared" si="84"/>
        <v>2.0711986241992848E-2</v>
      </c>
      <c r="O678" s="47">
        <f t="shared" si="85"/>
        <v>8.1606162987399415E-3</v>
      </c>
      <c r="P678" s="47">
        <f t="shared" si="86"/>
        <v>2.9144388785537219E-2</v>
      </c>
      <c r="Q678" s="47">
        <f t="shared" si="87"/>
        <v>1</v>
      </c>
    </row>
    <row r="679" spans="1:17" x14ac:dyDescent="0.35">
      <c r="A679" s="82">
        <v>676</v>
      </c>
      <c r="B679" s="83" t="str">
        <f>_xlfn.XLOOKUP(A679,'TAZs by City - CCAG Model'!$A:$A,'TAZs by City - CCAG Model'!$B:$B,"Unknown")</f>
        <v>San Jose</v>
      </c>
      <c r="C679" s="82">
        <f>_xlfn.XLOOKUP(A679,'TAZs by City - CCAG Model'!$A:$A,'TAZs by City - CCAG Model'!$C:$C,999)</f>
        <v>3</v>
      </c>
      <c r="D679" s="82" t="str">
        <f t="shared" si="80"/>
        <v>NO</v>
      </c>
      <c r="E679" s="27">
        <v>11237.12</v>
      </c>
      <c r="F679" s="27">
        <v>8615</v>
      </c>
      <c r="G679" s="27">
        <v>427.02</v>
      </c>
      <c r="H679" s="27">
        <v>228.58</v>
      </c>
      <c r="I679" s="27">
        <v>1794.7</v>
      </c>
      <c r="J679" s="27">
        <v>22763.46</v>
      </c>
      <c r="K679" s="47">
        <f t="shared" si="81"/>
        <v>0.49364727506275413</v>
      </c>
      <c r="L679" s="47">
        <f t="shared" si="82"/>
        <v>0.37845740498149227</v>
      </c>
      <c r="M679" s="84">
        <f t="shared" si="83"/>
        <v>0.87210468004424646</v>
      </c>
      <c r="N679" s="47">
        <f t="shared" si="84"/>
        <v>1.8759011152083206E-2</v>
      </c>
      <c r="O679" s="47">
        <f t="shared" si="85"/>
        <v>1.0041531471929136E-2</v>
      </c>
      <c r="P679" s="47">
        <f t="shared" si="86"/>
        <v>7.8841265782969724E-2</v>
      </c>
      <c r="Q679" s="47">
        <f t="shared" si="87"/>
        <v>1</v>
      </c>
    </row>
    <row r="680" spans="1:17" x14ac:dyDescent="0.35">
      <c r="A680" s="82">
        <v>677</v>
      </c>
      <c r="B680" s="83" t="str">
        <f>_xlfn.XLOOKUP(A680,'TAZs by City - CCAG Model'!$A:$A,'TAZs by City - CCAG Model'!$B:$B,"Unknown")</f>
        <v>San Jose</v>
      </c>
      <c r="C680" s="82">
        <f>_xlfn.XLOOKUP(A680,'TAZs by City - CCAG Model'!$A:$A,'TAZs by City - CCAG Model'!$C:$C,999)</f>
        <v>3</v>
      </c>
      <c r="D680" s="82" t="str">
        <f t="shared" si="80"/>
        <v>NO</v>
      </c>
      <c r="E680" s="27">
        <v>3510.56</v>
      </c>
      <c r="F680" s="27">
        <v>2244.8000000000002</v>
      </c>
      <c r="G680" s="27">
        <v>106.76</v>
      </c>
      <c r="H680" s="27">
        <v>60.46</v>
      </c>
      <c r="I680" s="27">
        <v>430.52</v>
      </c>
      <c r="J680" s="27">
        <v>6508.64</v>
      </c>
      <c r="K680" s="47">
        <f t="shared" si="81"/>
        <v>0.5393692076993043</v>
      </c>
      <c r="L680" s="47">
        <f t="shared" si="82"/>
        <v>0.34489540057523538</v>
      </c>
      <c r="M680" s="84">
        <f t="shared" si="83"/>
        <v>0.88426460827453979</v>
      </c>
      <c r="N680" s="47">
        <f t="shared" si="84"/>
        <v>1.6402812261855013E-2</v>
      </c>
      <c r="O680" s="47">
        <f t="shared" si="85"/>
        <v>9.2891909830625143E-3</v>
      </c>
      <c r="P680" s="47">
        <f t="shared" si="86"/>
        <v>6.6145922957791481E-2</v>
      </c>
      <c r="Q680" s="47">
        <f t="shared" si="87"/>
        <v>1</v>
      </c>
    </row>
    <row r="681" spans="1:17" x14ac:dyDescent="0.35">
      <c r="A681" s="82">
        <v>678</v>
      </c>
      <c r="B681" s="83" t="str">
        <f>_xlfn.XLOOKUP(A681,'TAZs by City - CCAG Model'!$A:$A,'TAZs by City - CCAG Model'!$B:$B,"Unknown")</f>
        <v>San Jose</v>
      </c>
      <c r="C681" s="82">
        <f>_xlfn.XLOOKUP(A681,'TAZs by City - CCAG Model'!$A:$A,'TAZs by City - CCAG Model'!$C:$C,999)</f>
        <v>3</v>
      </c>
      <c r="D681" s="82" t="str">
        <f t="shared" si="80"/>
        <v>NO</v>
      </c>
      <c r="E681" s="27">
        <v>6729.8</v>
      </c>
      <c r="F681" s="27">
        <v>5084.1000000000004</v>
      </c>
      <c r="G681" s="27">
        <v>241.86</v>
      </c>
      <c r="H681" s="27">
        <v>174.58</v>
      </c>
      <c r="I681" s="27">
        <v>920.44</v>
      </c>
      <c r="J681" s="27">
        <v>13436.82</v>
      </c>
      <c r="K681" s="47">
        <f t="shared" si="81"/>
        <v>0.50084767080306203</v>
      </c>
      <c r="L681" s="47">
        <f t="shared" si="82"/>
        <v>0.37837077522806739</v>
      </c>
      <c r="M681" s="84">
        <f t="shared" si="83"/>
        <v>0.87921844603112953</v>
      </c>
      <c r="N681" s="47">
        <f t="shared" si="84"/>
        <v>1.7999794594256678E-2</v>
      </c>
      <c r="O681" s="47">
        <f t="shared" si="85"/>
        <v>1.2992657488899904E-2</v>
      </c>
      <c r="P681" s="47">
        <f t="shared" si="86"/>
        <v>6.8501326950870828E-2</v>
      </c>
      <c r="Q681" s="47">
        <f t="shared" si="87"/>
        <v>1</v>
      </c>
    </row>
    <row r="682" spans="1:17" x14ac:dyDescent="0.35">
      <c r="A682" s="82">
        <v>679</v>
      </c>
      <c r="B682" s="83" t="str">
        <f>_xlfn.XLOOKUP(A682,'TAZs by City - CCAG Model'!$A:$A,'TAZs by City - CCAG Model'!$B:$B,"Unknown")</f>
        <v>San Jose</v>
      </c>
      <c r="C682" s="82">
        <f>_xlfn.XLOOKUP(A682,'TAZs by City - CCAG Model'!$A:$A,'TAZs by City - CCAG Model'!$C:$C,999)</f>
        <v>3</v>
      </c>
      <c r="D682" s="82" t="str">
        <f t="shared" si="80"/>
        <v>NO</v>
      </c>
      <c r="E682" s="27">
        <v>6759.38</v>
      </c>
      <c r="F682" s="27">
        <v>5275.02</v>
      </c>
      <c r="G682" s="27">
        <v>238.36</v>
      </c>
      <c r="H682" s="27">
        <v>124.92</v>
      </c>
      <c r="I682" s="27">
        <v>845.2</v>
      </c>
      <c r="J682" s="27">
        <v>13524.34</v>
      </c>
      <c r="K682" s="47">
        <f t="shared" si="81"/>
        <v>0.49979370527508182</v>
      </c>
      <c r="L682" s="47">
        <f t="shared" si="82"/>
        <v>0.39003899635767814</v>
      </c>
      <c r="M682" s="84">
        <f t="shared" si="83"/>
        <v>0.88983270163275996</v>
      </c>
      <c r="N682" s="47">
        <f t="shared" si="84"/>
        <v>1.7624519939605187E-2</v>
      </c>
      <c r="O682" s="47">
        <f t="shared" si="85"/>
        <v>9.2366799414980699E-3</v>
      </c>
      <c r="P682" s="47">
        <f t="shared" si="86"/>
        <v>6.2494731720734616E-2</v>
      </c>
      <c r="Q682" s="47">
        <f t="shared" si="87"/>
        <v>1</v>
      </c>
    </row>
    <row r="683" spans="1:17" x14ac:dyDescent="0.35">
      <c r="A683" s="82">
        <v>680</v>
      </c>
      <c r="B683" s="83" t="str">
        <f>_xlfn.XLOOKUP(A683,'TAZs by City - CCAG Model'!$A:$A,'TAZs by City - CCAG Model'!$B:$B,"Unknown")</f>
        <v>San Jose</v>
      </c>
      <c r="C683" s="82">
        <f>_xlfn.XLOOKUP(A683,'TAZs by City - CCAG Model'!$A:$A,'TAZs by City - CCAG Model'!$C:$C,999)</f>
        <v>3</v>
      </c>
      <c r="D683" s="82" t="str">
        <f t="shared" si="80"/>
        <v>NO</v>
      </c>
      <c r="E683" s="27">
        <v>3975.98</v>
      </c>
      <c r="F683" s="27">
        <v>3154.22</v>
      </c>
      <c r="G683" s="27">
        <v>183.64</v>
      </c>
      <c r="H683" s="27">
        <v>77.180000000000007</v>
      </c>
      <c r="I683" s="27">
        <v>472</v>
      </c>
      <c r="J683" s="27">
        <v>8082.94</v>
      </c>
      <c r="K683" s="47">
        <f t="shared" si="81"/>
        <v>0.49189775007608622</v>
      </c>
      <c r="L683" s="47">
        <f t="shared" si="82"/>
        <v>0.39023177210272497</v>
      </c>
      <c r="M683" s="84">
        <f t="shared" si="83"/>
        <v>0.88212952217881124</v>
      </c>
      <c r="N683" s="47">
        <f t="shared" si="84"/>
        <v>2.2719456039510377E-2</v>
      </c>
      <c r="O683" s="47">
        <f t="shared" si="85"/>
        <v>9.5485058654400518E-3</v>
      </c>
      <c r="P683" s="47">
        <f t="shared" si="86"/>
        <v>5.839459404622576E-2</v>
      </c>
      <c r="Q683" s="47">
        <f t="shared" si="87"/>
        <v>1</v>
      </c>
    </row>
    <row r="684" spans="1:17" x14ac:dyDescent="0.35">
      <c r="A684" s="82">
        <v>681</v>
      </c>
      <c r="B684" s="83" t="str">
        <f>_xlfn.XLOOKUP(A684,'TAZs by City - CCAG Model'!$A:$A,'TAZs by City - CCAG Model'!$B:$B,"Unknown")</f>
        <v>San Jose</v>
      </c>
      <c r="C684" s="82">
        <f>_xlfn.XLOOKUP(A684,'TAZs by City - CCAG Model'!$A:$A,'TAZs by City - CCAG Model'!$C:$C,999)</f>
        <v>3</v>
      </c>
      <c r="D684" s="82" t="str">
        <f t="shared" si="80"/>
        <v>NO</v>
      </c>
      <c r="E684" s="27">
        <v>4196.22</v>
      </c>
      <c r="F684" s="27">
        <v>2593.7399999999998</v>
      </c>
      <c r="G684" s="27">
        <v>224.56</v>
      </c>
      <c r="H684" s="27">
        <v>91.82</v>
      </c>
      <c r="I684" s="27">
        <v>470.42</v>
      </c>
      <c r="J684" s="27">
        <v>7846.68</v>
      </c>
      <c r="K684" s="47">
        <f t="shared" si="81"/>
        <v>0.53477649145880812</v>
      </c>
      <c r="L684" s="47">
        <f t="shared" si="82"/>
        <v>0.33055253941794488</v>
      </c>
      <c r="M684" s="84">
        <f t="shared" si="83"/>
        <v>0.86532903087675295</v>
      </c>
      <c r="N684" s="47">
        <f t="shared" si="84"/>
        <v>2.8618473035729761E-2</v>
      </c>
      <c r="O684" s="47">
        <f t="shared" si="85"/>
        <v>1.170176431305979E-2</v>
      </c>
      <c r="P684" s="47">
        <f t="shared" si="86"/>
        <v>5.9951469921036671E-2</v>
      </c>
      <c r="Q684" s="47">
        <f t="shared" si="87"/>
        <v>1</v>
      </c>
    </row>
    <row r="685" spans="1:17" x14ac:dyDescent="0.35">
      <c r="A685" s="82">
        <v>682</v>
      </c>
      <c r="B685" s="83" t="str">
        <f>_xlfn.XLOOKUP(A685,'TAZs by City - CCAG Model'!$A:$A,'TAZs by City - CCAG Model'!$B:$B,"Unknown")</f>
        <v>San Jose</v>
      </c>
      <c r="C685" s="82">
        <f>_xlfn.XLOOKUP(A685,'TAZs by City - CCAG Model'!$A:$A,'TAZs by City - CCAG Model'!$C:$C,999)</f>
        <v>3</v>
      </c>
      <c r="D685" s="82" t="str">
        <f t="shared" si="80"/>
        <v>NO</v>
      </c>
      <c r="E685" s="27">
        <v>1887.2</v>
      </c>
      <c r="F685" s="27">
        <v>1368</v>
      </c>
      <c r="G685" s="27">
        <v>142.36000000000001</v>
      </c>
      <c r="H685" s="27">
        <v>39.700000000000003</v>
      </c>
      <c r="I685" s="27">
        <v>187.56</v>
      </c>
      <c r="J685" s="27">
        <v>3801.64</v>
      </c>
      <c r="K685" s="47">
        <f t="shared" si="81"/>
        <v>0.4964173356761819</v>
      </c>
      <c r="L685" s="47">
        <f t="shared" si="82"/>
        <v>0.3598446986037605</v>
      </c>
      <c r="M685" s="84">
        <f t="shared" si="83"/>
        <v>0.8562620342799423</v>
      </c>
      <c r="N685" s="47">
        <f t="shared" si="84"/>
        <v>3.7446996559379643E-2</v>
      </c>
      <c r="O685" s="47">
        <f t="shared" si="85"/>
        <v>1.0442861501878137E-2</v>
      </c>
      <c r="P685" s="47">
        <f t="shared" si="86"/>
        <v>4.9336602098041901E-2</v>
      </c>
      <c r="Q685" s="47">
        <f t="shared" si="87"/>
        <v>1</v>
      </c>
    </row>
    <row r="686" spans="1:17" x14ac:dyDescent="0.35">
      <c r="A686" s="82">
        <v>683</v>
      </c>
      <c r="B686" s="83" t="str">
        <f>_xlfn.XLOOKUP(A686,'TAZs by City - CCAG Model'!$A:$A,'TAZs by City - CCAG Model'!$B:$B,"Unknown")</f>
        <v>San Jose</v>
      </c>
      <c r="C686" s="82">
        <f>_xlfn.XLOOKUP(A686,'TAZs by City - CCAG Model'!$A:$A,'TAZs by City - CCAG Model'!$C:$C,999)</f>
        <v>3</v>
      </c>
      <c r="D686" s="82" t="str">
        <f t="shared" si="80"/>
        <v>NO</v>
      </c>
      <c r="E686" s="27">
        <v>8639.6200000000008</v>
      </c>
      <c r="F686" s="27">
        <v>5315.88</v>
      </c>
      <c r="G686" s="27">
        <v>400.46</v>
      </c>
      <c r="H686" s="27">
        <v>157.94</v>
      </c>
      <c r="I686" s="27">
        <v>1023.08</v>
      </c>
      <c r="J686" s="27">
        <v>15974.86</v>
      </c>
      <c r="K686" s="47">
        <f t="shared" si="81"/>
        <v>0.54082602288846349</v>
      </c>
      <c r="L686" s="47">
        <f t="shared" si="82"/>
        <v>0.33276535756807885</v>
      </c>
      <c r="M686" s="84">
        <f t="shared" si="83"/>
        <v>0.87359138045654228</v>
      </c>
      <c r="N686" s="47">
        <f t="shared" si="84"/>
        <v>2.5068138312323237E-2</v>
      </c>
      <c r="O686" s="47">
        <f t="shared" si="85"/>
        <v>9.8867846103189629E-3</v>
      </c>
      <c r="P686" s="47">
        <f t="shared" si="86"/>
        <v>6.4043127764499969E-2</v>
      </c>
      <c r="Q686" s="47">
        <f t="shared" si="87"/>
        <v>1</v>
      </c>
    </row>
    <row r="687" spans="1:17" x14ac:dyDescent="0.35">
      <c r="A687" s="82">
        <v>684</v>
      </c>
      <c r="B687" s="83" t="str">
        <f>_xlfn.XLOOKUP(A687,'TAZs by City - CCAG Model'!$A:$A,'TAZs by City - CCAG Model'!$B:$B,"Unknown")</f>
        <v>San Jose</v>
      </c>
      <c r="C687" s="82">
        <f>_xlfn.XLOOKUP(A687,'TAZs by City - CCAG Model'!$A:$A,'TAZs by City - CCAG Model'!$C:$C,999)</f>
        <v>3</v>
      </c>
      <c r="D687" s="82" t="str">
        <f t="shared" si="80"/>
        <v>NO</v>
      </c>
      <c r="E687" s="27">
        <v>3657.92</v>
      </c>
      <c r="F687" s="27">
        <v>2792.88</v>
      </c>
      <c r="G687" s="27">
        <v>144.4</v>
      </c>
      <c r="H687" s="27">
        <v>71.099999999999994</v>
      </c>
      <c r="I687" s="27">
        <v>495.78</v>
      </c>
      <c r="J687" s="27">
        <v>7345.02</v>
      </c>
      <c r="K687" s="47">
        <f t="shared" si="81"/>
        <v>0.49801362011267497</v>
      </c>
      <c r="L687" s="47">
        <f t="shared" si="82"/>
        <v>0.38024130635450959</v>
      </c>
      <c r="M687" s="84">
        <f t="shared" si="83"/>
        <v>0.8782549264671845</v>
      </c>
      <c r="N687" s="47">
        <f t="shared" si="84"/>
        <v>1.9659578871126286E-2</v>
      </c>
      <c r="O687" s="47">
        <f t="shared" si="85"/>
        <v>9.6800281006722902E-3</v>
      </c>
      <c r="P687" s="47">
        <f t="shared" si="86"/>
        <v>6.749879510198746E-2</v>
      </c>
      <c r="Q687" s="47">
        <f t="shared" si="87"/>
        <v>1</v>
      </c>
    </row>
    <row r="688" spans="1:17" x14ac:dyDescent="0.35">
      <c r="A688" s="82">
        <v>685</v>
      </c>
      <c r="B688" s="83" t="str">
        <f>_xlfn.XLOOKUP(A688,'TAZs by City - CCAG Model'!$A:$A,'TAZs by City - CCAG Model'!$B:$B,"Unknown")</f>
        <v>San Jose</v>
      </c>
      <c r="C688" s="82">
        <f>_xlfn.XLOOKUP(A688,'TAZs by City - CCAG Model'!$A:$A,'TAZs by City - CCAG Model'!$C:$C,999)</f>
        <v>3</v>
      </c>
      <c r="D688" s="82" t="str">
        <f t="shared" si="80"/>
        <v>NO</v>
      </c>
      <c r="E688" s="27">
        <v>3058.04</v>
      </c>
      <c r="F688" s="27">
        <v>2403.46</v>
      </c>
      <c r="G688" s="27">
        <v>48.44</v>
      </c>
      <c r="H688" s="27">
        <v>60.26</v>
      </c>
      <c r="I688" s="27">
        <v>323.76</v>
      </c>
      <c r="J688" s="27">
        <v>5967.7</v>
      </c>
      <c r="K688" s="47">
        <f t="shared" si="81"/>
        <v>0.51243192519731218</v>
      </c>
      <c r="L688" s="47">
        <f t="shared" si="82"/>
        <v>0.4027447760443722</v>
      </c>
      <c r="M688" s="84">
        <f t="shared" si="83"/>
        <v>0.91517670124168438</v>
      </c>
      <c r="N688" s="47">
        <f t="shared" si="84"/>
        <v>8.1170300115622433E-3</v>
      </c>
      <c r="O688" s="47">
        <f t="shared" si="85"/>
        <v>1.0097692578380281E-2</v>
      </c>
      <c r="P688" s="47">
        <f t="shared" si="86"/>
        <v>5.4252056906345832E-2</v>
      </c>
      <c r="Q688" s="47">
        <f t="shared" si="87"/>
        <v>1</v>
      </c>
    </row>
    <row r="689" spans="1:17" x14ac:dyDescent="0.35">
      <c r="A689" s="82">
        <v>686</v>
      </c>
      <c r="B689" s="83" t="str">
        <f>_xlfn.XLOOKUP(A689,'TAZs by City - CCAG Model'!$A:$A,'TAZs by City - CCAG Model'!$B:$B,"Unknown")</f>
        <v>San Jose</v>
      </c>
      <c r="C689" s="82">
        <f>_xlfn.XLOOKUP(A689,'TAZs by City - CCAG Model'!$A:$A,'TAZs by City - CCAG Model'!$C:$C,999)</f>
        <v>3</v>
      </c>
      <c r="D689" s="82" t="str">
        <f t="shared" si="80"/>
        <v>NO</v>
      </c>
      <c r="E689" s="27">
        <v>9810.4</v>
      </c>
      <c r="F689" s="27">
        <v>5525</v>
      </c>
      <c r="G689" s="27">
        <v>601.04</v>
      </c>
      <c r="H689" s="27">
        <v>233.66</v>
      </c>
      <c r="I689" s="27">
        <v>1329.16</v>
      </c>
      <c r="J689" s="27">
        <v>18135.900000000001</v>
      </c>
      <c r="K689" s="47">
        <f t="shared" si="81"/>
        <v>0.5409381392707282</v>
      </c>
      <c r="L689" s="47">
        <f t="shared" si="82"/>
        <v>0.30464437938012445</v>
      </c>
      <c r="M689" s="84">
        <f t="shared" si="83"/>
        <v>0.84558251865085265</v>
      </c>
      <c r="N689" s="47">
        <f t="shared" si="84"/>
        <v>3.3140897336222629E-2</v>
      </c>
      <c r="O689" s="47">
        <f t="shared" si="85"/>
        <v>1.2883838133205408E-2</v>
      </c>
      <c r="P689" s="47">
        <f t="shared" si="86"/>
        <v>7.328889109445906E-2</v>
      </c>
      <c r="Q689" s="47">
        <f t="shared" si="87"/>
        <v>1</v>
      </c>
    </row>
    <row r="690" spans="1:17" x14ac:dyDescent="0.35">
      <c r="A690" s="82">
        <v>687</v>
      </c>
      <c r="B690" s="83" t="str">
        <f>_xlfn.XLOOKUP(A690,'TAZs by City - CCAG Model'!$A:$A,'TAZs by City - CCAG Model'!$B:$B,"Unknown")</f>
        <v>San Jose</v>
      </c>
      <c r="C690" s="82">
        <f>_xlfn.XLOOKUP(A690,'TAZs by City - CCAG Model'!$A:$A,'TAZs by City - CCAG Model'!$C:$C,999)</f>
        <v>3</v>
      </c>
      <c r="D690" s="82" t="str">
        <f t="shared" si="80"/>
        <v>NO</v>
      </c>
      <c r="E690" s="27">
        <v>7729.44</v>
      </c>
      <c r="F690" s="27">
        <v>3471.22</v>
      </c>
      <c r="G690" s="27">
        <v>247.1</v>
      </c>
      <c r="H690" s="27">
        <v>114.92</v>
      </c>
      <c r="I690" s="27">
        <v>781.5</v>
      </c>
      <c r="J690" s="27">
        <v>12632.52</v>
      </c>
      <c r="K690" s="47">
        <f t="shared" si="81"/>
        <v>0.61186841580302265</v>
      </c>
      <c r="L690" s="47">
        <f t="shared" si="82"/>
        <v>0.27478444522549733</v>
      </c>
      <c r="M690" s="84">
        <f t="shared" si="83"/>
        <v>0.88665286102852003</v>
      </c>
      <c r="N690" s="47">
        <f t="shared" si="84"/>
        <v>1.9560626066691365E-2</v>
      </c>
      <c r="O690" s="47">
        <f t="shared" si="85"/>
        <v>9.0971555952414872E-3</v>
      </c>
      <c r="P690" s="47">
        <f t="shared" si="86"/>
        <v>6.186414112148645E-2</v>
      </c>
      <c r="Q690" s="47">
        <f t="shared" si="87"/>
        <v>1</v>
      </c>
    </row>
    <row r="691" spans="1:17" x14ac:dyDescent="0.35">
      <c r="A691" s="82">
        <v>688</v>
      </c>
      <c r="B691" s="83" t="str">
        <f>_xlfn.XLOOKUP(A691,'TAZs by City - CCAG Model'!$A:$A,'TAZs by City - CCAG Model'!$B:$B,"Unknown")</f>
        <v>San Jose</v>
      </c>
      <c r="C691" s="82">
        <f>_xlfn.XLOOKUP(A691,'TAZs by City - CCAG Model'!$A:$A,'TAZs by City - CCAG Model'!$C:$C,999)</f>
        <v>3</v>
      </c>
      <c r="D691" s="82" t="str">
        <f t="shared" si="80"/>
        <v>NO</v>
      </c>
      <c r="E691" s="27">
        <v>16725.46</v>
      </c>
      <c r="F691" s="27">
        <v>8587.66</v>
      </c>
      <c r="G691" s="27">
        <v>651.82000000000005</v>
      </c>
      <c r="H691" s="27">
        <v>279.45999999999998</v>
      </c>
      <c r="I691" s="27">
        <v>1981.96</v>
      </c>
      <c r="J691" s="27">
        <v>28913.360000000001</v>
      </c>
      <c r="K691" s="47">
        <f t="shared" si="81"/>
        <v>0.57846822368621287</v>
      </c>
      <c r="L691" s="47">
        <f t="shared" si="82"/>
        <v>0.29701356051320221</v>
      </c>
      <c r="M691" s="84">
        <f t="shared" si="83"/>
        <v>0.87548178419941503</v>
      </c>
      <c r="N691" s="47">
        <f t="shared" si="84"/>
        <v>2.2543903579521716E-2</v>
      </c>
      <c r="O691" s="47">
        <f t="shared" si="85"/>
        <v>9.6654280235849432E-3</v>
      </c>
      <c r="P691" s="47">
        <f t="shared" si="86"/>
        <v>6.8548242058342576E-2</v>
      </c>
      <c r="Q691" s="47">
        <f t="shared" si="87"/>
        <v>1</v>
      </c>
    </row>
    <row r="692" spans="1:17" x14ac:dyDescent="0.35">
      <c r="A692" s="82">
        <v>689</v>
      </c>
      <c r="B692" s="83" t="str">
        <f>_xlfn.XLOOKUP(A692,'TAZs by City - CCAG Model'!$A:$A,'TAZs by City - CCAG Model'!$B:$B,"Unknown")</f>
        <v>San Jose</v>
      </c>
      <c r="C692" s="82">
        <f>_xlfn.XLOOKUP(A692,'TAZs by City - CCAG Model'!$A:$A,'TAZs by City - CCAG Model'!$C:$C,999)</f>
        <v>3</v>
      </c>
      <c r="D692" s="82" t="str">
        <f t="shared" si="80"/>
        <v>NO</v>
      </c>
      <c r="E692" s="27">
        <v>9128.3799999999992</v>
      </c>
      <c r="F692" s="27">
        <v>5962.88</v>
      </c>
      <c r="G692" s="27">
        <v>430.44</v>
      </c>
      <c r="H692" s="27">
        <v>196.58</v>
      </c>
      <c r="I692" s="27">
        <v>1336.26</v>
      </c>
      <c r="J692" s="27">
        <v>17525.04</v>
      </c>
      <c r="K692" s="47">
        <f t="shared" si="81"/>
        <v>0.52087641454741318</v>
      </c>
      <c r="L692" s="47">
        <f t="shared" si="82"/>
        <v>0.34024915207040896</v>
      </c>
      <c r="M692" s="84">
        <f t="shared" si="83"/>
        <v>0.86112556661782214</v>
      </c>
      <c r="N692" s="47">
        <f t="shared" si="84"/>
        <v>2.4561427534544857E-2</v>
      </c>
      <c r="O692" s="47">
        <f t="shared" si="85"/>
        <v>1.1217092799788188E-2</v>
      </c>
      <c r="P692" s="47">
        <f t="shared" si="86"/>
        <v>7.6248613412579935E-2</v>
      </c>
      <c r="Q692" s="47">
        <f t="shared" si="87"/>
        <v>1</v>
      </c>
    </row>
    <row r="693" spans="1:17" x14ac:dyDescent="0.35">
      <c r="A693" s="82">
        <v>690</v>
      </c>
      <c r="B693" s="83" t="str">
        <f>_xlfn.XLOOKUP(A693,'TAZs by City - CCAG Model'!$A:$A,'TAZs by City - CCAG Model'!$B:$B,"Unknown")</f>
        <v>San Jose</v>
      </c>
      <c r="C693" s="82">
        <f>_xlfn.XLOOKUP(A693,'TAZs by City - CCAG Model'!$A:$A,'TAZs by City - CCAG Model'!$C:$C,999)</f>
        <v>3</v>
      </c>
      <c r="D693" s="82" t="str">
        <f t="shared" si="80"/>
        <v>NO</v>
      </c>
      <c r="E693" s="27">
        <v>5917.46</v>
      </c>
      <c r="F693" s="27">
        <v>4377</v>
      </c>
      <c r="G693" s="27">
        <v>376.3</v>
      </c>
      <c r="H693" s="27">
        <v>123.64</v>
      </c>
      <c r="I693" s="27">
        <v>957.04</v>
      </c>
      <c r="J693" s="27">
        <v>12157.9</v>
      </c>
      <c r="K693" s="47">
        <f t="shared" si="81"/>
        <v>0.48671727847736862</v>
      </c>
      <c r="L693" s="47">
        <f t="shared" si="82"/>
        <v>0.36001283116327654</v>
      </c>
      <c r="M693" s="84">
        <f t="shared" si="83"/>
        <v>0.8467301096406451</v>
      </c>
      <c r="N693" s="47">
        <f t="shared" si="84"/>
        <v>3.095106885235115E-2</v>
      </c>
      <c r="O693" s="47">
        <f t="shared" si="85"/>
        <v>1.0169519407134456E-2</v>
      </c>
      <c r="P693" s="47">
        <f t="shared" si="86"/>
        <v>7.8717541680717887E-2</v>
      </c>
      <c r="Q693" s="47">
        <f t="shared" si="87"/>
        <v>1</v>
      </c>
    </row>
    <row r="694" spans="1:17" x14ac:dyDescent="0.35">
      <c r="A694" s="82">
        <v>691</v>
      </c>
      <c r="B694" s="83" t="str">
        <f>_xlfn.XLOOKUP(A694,'TAZs by City - CCAG Model'!$A:$A,'TAZs by City - CCAG Model'!$B:$B,"Unknown")</f>
        <v>San Jose</v>
      </c>
      <c r="C694" s="82">
        <f>_xlfn.XLOOKUP(A694,'TAZs by City - CCAG Model'!$A:$A,'TAZs by City - CCAG Model'!$C:$C,999)</f>
        <v>3</v>
      </c>
      <c r="D694" s="82" t="str">
        <f t="shared" si="80"/>
        <v>NO</v>
      </c>
      <c r="E694" s="27">
        <v>1996.56</v>
      </c>
      <c r="F694" s="27">
        <v>1331.52</v>
      </c>
      <c r="G694" s="27">
        <v>68</v>
      </c>
      <c r="H694" s="27">
        <v>37.380000000000003</v>
      </c>
      <c r="I694" s="27">
        <v>215.52</v>
      </c>
      <c r="J694" s="27">
        <v>3755.52</v>
      </c>
      <c r="K694" s="47">
        <f t="shared" si="81"/>
        <v>0.53163343558282206</v>
      </c>
      <c r="L694" s="47">
        <f t="shared" si="82"/>
        <v>0.35455010224948874</v>
      </c>
      <c r="M694" s="84">
        <f t="shared" si="83"/>
        <v>0.88618353783231085</v>
      </c>
      <c r="N694" s="47">
        <f t="shared" si="84"/>
        <v>1.8106680299931833E-2</v>
      </c>
      <c r="O694" s="47">
        <f t="shared" si="85"/>
        <v>9.9533486707566472E-3</v>
      </c>
      <c r="P694" s="47">
        <f t="shared" si="86"/>
        <v>5.7387525562372192E-2</v>
      </c>
      <c r="Q694" s="47">
        <f t="shared" si="87"/>
        <v>1</v>
      </c>
    </row>
    <row r="695" spans="1:17" x14ac:dyDescent="0.35">
      <c r="A695" s="82">
        <v>692</v>
      </c>
      <c r="B695" s="83" t="str">
        <f>_xlfn.XLOOKUP(A695,'TAZs by City - CCAG Model'!$A:$A,'TAZs by City - CCAG Model'!$B:$B,"Unknown")</f>
        <v>San Jose</v>
      </c>
      <c r="C695" s="82">
        <f>_xlfn.XLOOKUP(A695,'TAZs by City - CCAG Model'!$A:$A,'TAZs by City - CCAG Model'!$C:$C,999)</f>
        <v>3</v>
      </c>
      <c r="D695" s="82" t="str">
        <f t="shared" si="80"/>
        <v>NO</v>
      </c>
      <c r="E695" s="27">
        <v>2760.42</v>
      </c>
      <c r="F695" s="27">
        <v>1872.9</v>
      </c>
      <c r="G695" s="27">
        <v>109.9</v>
      </c>
      <c r="H695" s="27">
        <v>54.76</v>
      </c>
      <c r="I695" s="27">
        <v>363.12</v>
      </c>
      <c r="J695" s="27">
        <v>5306.88</v>
      </c>
      <c r="K695" s="47">
        <f t="shared" si="81"/>
        <v>0.52015873733719242</v>
      </c>
      <c r="L695" s="47">
        <f t="shared" si="82"/>
        <v>0.35291922937771347</v>
      </c>
      <c r="M695" s="84">
        <f t="shared" si="83"/>
        <v>0.8730779667149059</v>
      </c>
      <c r="N695" s="47">
        <f t="shared" si="84"/>
        <v>2.0708966473709602E-2</v>
      </c>
      <c r="O695" s="47">
        <f t="shared" si="85"/>
        <v>1.0318680656054027E-2</v>
      </c>
      <c r="P695" s="47">
        <f t="shared" si="86"/>
        <v>6.8424384949348771E-2</v>
      </c>
      <c r="Q695" s="47">
        <f t="shared" si="87"/>
        <v>1</v>
      </c>
    </row>
    <row r="696" spans="1:17" x14ac:dyDescent="0.35">
      <c r="A696" s="82">
        <v>693</v>
      </c>
      <c r="B696" s="83" t="str">
        <f>_xlfn.XLOOKUP(A696,'TAZs by City - CCAG Model'!$A:$A,'TAZs by City - CCAG Model'!$B:$B,"Unknown")</f>
        <v>Unincorporated</v>
      </c>
      <c r="C696" s="82">
        <f>_xlfn.XLOOKUP(A696,'TAZs by City - CCAG Model'!$A:$A,'TAZs by City - CCAG Model'!$C:$C,999)</f>
        <v>3</v>
      </c>
      <c r="D696" s="82" t="str">
        <f t="shared" si="80"/>
        <v>NO</v>
      </c>
      <c r="E696" s="27">
        <v>5335.9</v>
      </c>
      <c r="F696" s="27">
        <v>1961.6</v>
      </c>
      <c r="G696" s="27">
        <v>0</v>
      </c>
      <c r="H696" s="27">
        <v>26.72</v>
      </c>
      <c r="I696" s="27">
        <v>66.680000000000007</v>
      </c>
      <c r="J696" s="27">
        <v>7412.26</v>
      </c>
      <c r="K696" s="47">
        <f t="shared" si="81"/>
        <v>0.71987490994649395</v>
      </c>
      <c r="L696" s="47">
        <f t="shared" si="82"/>
        <v>0.26464263261137627</v>
      </c>
      <c r="M696" s="84">
        <f t="shared" si="83"/>
        <v>0.98451754255787027</v>
      </c>
      <c r="N696" s="47">
        <f t="shared" si="84"/>
        <v>0</v>
      </c>
      <c r="O696" s="47">
        <f t="shared" si="85"/>
        <v>3.6048384703180943E-3</v>
      </c>
      <c r="P696" s="47">
        <f t="shared" si="86"/>
        <v>8.9959067814674616E-3</v>
      </c>
      <c r="Q696" s="47">
        <f t="shared" si="87"/>
        <v>1</v>
      </c>
    </row>
    <row r="697" spans="1:17" x14ac:dyDescent="0.35">
      <c r="A697" s="82">
        <v>694</v>
      </c>
      <c r="B697" s="83" t="str">
        <f>_xlfn.XLOOKUP(A697,'TAZs by City - CCAG Model'!$A:$A,'TAZs by City - CCAG Model'!$B:$B,"Unknown")</f>
        <v>San Jose</v>
      </c>
      <c r="C697" s="82">
        <f>_xlfn.XLOOKUP(A697,'TAZs by City - CCAG Model'!$A:$A,'TAZs by City - CCAG Model'!$C:$C,999)</f>
        <v>3</v>
      </c>
      <c r="D697" s="82" t="str">
        <f t="shared" si="80"/>
        <v>NO</v>
      </c>
      <c r="E697" s="27">
        <v>1605.74</v>
      </c>
      <c r="F697" s="27">
        <v>1222.1400000000001</v>
      </c>
      <c r="G697" s="27">
        <v>11.5</v>
      </c>
      <c r="H697" s="27">
        <v>21.26</v>
      </c>
      <c r="I697" s="27">
        <v>94.98</v>
      </c>
      <c r="J697" s="27">
        <v>2989.92</v>
      </c>
      <c r="K697" s="47">
        <f t="shared" si="81"/>
        <v>0.53705115855942631</v>
      </c>
      <c r="L697" s="47">
        <f t="shared" si="82"/>
        <v>0.40875341146251409</v>
      </c>
      <c r="M697" s="84">
        <f t="shared" si="83"/>
        <v>0.94580457002194041</v>
      </c>
      <c r="N697" s="47">
        <f t="shared" si="84"/>
        <v>3.8462567560336061E-3</v>
      </c>
      <c r="O697" s="47">
        <f t="shared" si="85"/>
        <v>7.110558142023867E-3</v>
      </c>
      <c r="P697" s="47">
        <f t="shared" si="86"/>
        <v>3.1766736233745388E-2</v>
      </c>
      <c r="Q697" s="47">
        <f t="shared" si="87"/>
        <v>1</v>
      </c>
    </row>
    <row r="698" spans="1:17" x14ac:dyDescent="0.35">
      <c r="A698" s="82">
        <v>695</v>
      </c>
      <c r="B698" s="83" t="str">
        <f>_xlfn.XLOOKUP(A698,'TAZs by City - CCAG Model'!$A:$A,'TAZs by City - CCAG Model'!$B:$B,"Unknown")</f>
        <v>Unincorporated</v>
      </c>
      <c r="C698" s="82">
        <f>_xlfn.XLOOKUP(A698,'TAZs by City - CCAG Model'!$A:$A,'TAZs by City - CCAG Model'!$C:$C,999)</f>
        <v>3</v>
      </c>
      <c r="D698" s="82" t="str">
        <f t="shared" si="80"/>
        <v>NO</v>
      </c>
      <c r="E698" s="27">
        <v>623.34</v>
      </c>
      <c r="F698" s="27">
        <v>504.52</v>
      </c>
      <c r="G698" s="27">
        <v>3.58</v>
      </c>
      <c r="H698" s="27">
        <v>2.56</v>
      </c>
      <c r="I698" s="27">
        <v>7.66</v>
      </c>
      <c r="J698" s="27">
        <v>1160.8800000000001</v>
      </c>
      <c r="K698" s="47">
        <f t="shared" si="81"/>
        <v>0.5369547240024809</v>
      </c>
      <c r="L698" s="47">
        <f t="shared" si="82"/>
        <v>0.43460133691682168</v>
      </c>
      <c r="M698" s="84">
        <f t="shared" si="83"/>
        <v>0.97155606091930258</v>
      </c>
      <c r="N698" s="47">
        <f t="shared" si="84"/>
        <v>3.0838674109296394E-3</v>
      </c>
      <c r="O698" s="47">
        <f t="shared" si="85"/>
        <v>2.2052236234580661E-3</v>
      </c>
      <c r="P698" s="47">
        <f t="shared" si="86"/>
        <v>6.5984425608159323E-3</v>
      </c>
      <c r="Q698" s="47">
        <f t="shared" si="87"/>
        <v>1</v>
      </c>
    </row>
    <row r="699" spans="1:17" x14ac:dyDescent="0.35">
      <c r="A699" s="82">
        <v>696</v>
      </c>
      <c r="B699" s="83" t="str">
        <f>_xlfn.XLOOKUP(A699,'TAZs by City - CCAG Model'!$A:$A,'TAZs by City - CCAG Model'!$B:$B,"Unknown")</f>
        <v>Unincorporated</v>
      </c>
      <c r="C699" s="82">
        <f>_xlfn.XLOOKUP(A699,'TAZs by City - CCAG Model'!$A:$A,'TAZs by City - CCAG Model'!$C:$C,999)</f>
        <v>3</v>
      </c>
      <c r="D699" s="82" t="str">
        <f t="shared" si="80"/>
        <v>NO</v>
      </c>
      <c r="E699" s="27">
        <v>1196.78</v>
      </c>
      <c r="F699" s="27">
        <v>774.46</v>
      </c>
      <c r="G699" s="27">
        <v>0</v>
      </c>
      <c r="H699" s="27">
        <v>4.68</v>
      </c>
      <c r="I699" s="27">
        <v>17.059999999999999</v>
      </c>
      <c r="J699" s="27">
        <v>2016.42</v>
      </c>
      <c r="K699" s="47">
        <f t="shared" si="81"/>
        <v>0.59351722359429082</v>
      </c>
      <c r="L699" s="47">
        <f t="shared" si="82"/>
        <v>0.3840767300463197</v>
      </c>
      <c r="M699" s="84">
        <f t="shared" si="83"/>
        <v>0.97759395364061052</v>
      </c>
      <c r="N699" s="47">
        <f t="shared" si="84"/>
        <v>0</v>
      </c>
      <c r="O699" s="47">
        <f t="shared" si="85"/>
        <v>2.3209450412116522E-3</v>
      </c>
      <c r="P699" s="47">
        <f t="shared" si="86"/>
        <v>8.4605389750151243E-3</v>
      </c>
      <c r="Q699" s="47">
        <f t="shared" si="87"/>
        <v>1</v>
      </c>
    </row>
    <row r="700" spans="1:17" x14ac:dyDescent="0.35">
      <c r="A700" s="82">
        <v>697</v>
      </c>
      <c r="B700" s="83" t="str">
        <f>_xlfn.XLOOKUP(A700,'TAZs by City - CCAG Model'!$A:$A,'TAZs by City - CCAG Model'!$B:$B,"Unknown")</f>
        <v>San Jose</v>
      </c>
      <c r="C700" s="82">
        <f>_xlfn.XLOOKUP(A700,'TAZs by City - CCAG Model'!$A:$A,'TAZs by City - CCAG Model'!$C:$C,999)</f>
        <v>3</v>
      </c>
      <c r="D700" s="82" t="str">
        <f t="shared" si="80"/>
        <v>NO</v>
      </c>
      <c r="E700" s="27">
        <v>6970.28</v>
      </c>
      <c r="F700" s="27">
        <v>5092.72</v>
      </c>
      <c r="G700" s="27">
        <v>118.76</v>
      </c>
      <c r="H700" s="27">
        <v>155.32</v>
      </c>
      <c r="I700" s="27">
        <v>1139.42</v>
      </c>
      <c r="J700" s="27">
        <v>13633.24</v>
      </c>
      <c r="K700" s="47">
        <f t="shared" si="81"/>
        <v>0.51127098180623243</v>
      </c>
      <c r="L700" s="47">
        <f t="shared" si="82"/>
        <v>0.37355170157644113</v>
      </c>
      <c r="M700" s="84">
        <f t="shared" si="83"/>
        <v>0.88482268338267356</v>
      </c>
      <c r="N700" s="47">
        <f t="shared" si="84"/>
        <v>8.7110620806206008E-3</v>
      </c>
      <c r="O700" s="47">
        <f t="shared" si="85"/>
        <v>1.1392743031003636E-2</v>
      </c>
      <c r="P700" s="47">
        <f t="shared" si="86"/>
        <v>8.357661128242444E-2</v>
      </c>
      <c r="Q700" s="47">
        <f t="shared" si="87"/>
        <v>1</v>
      </c>
    </row>
    <row r="701" spans="1:17" x14ac:dyDescent="0.35">
      <c r="A701" s="82">
        <v>698</v>
      </c>
      <c r="B701" s="83" t="str">
        <f>_xlfn.XLOOKUP(A701,'TAZs by City - CCAG Model'!$A:$A,'TAZs by City - CCAG Model'!$B:$B,"Unknown")</f>
        <v>Unincorporated</v>
      </c>
      <c r="C701" s="82">
        <f>_xlfn.XLOOKUP(A701,'TAZs by City - CCAG Model'!$A:$A,'TAZs by City - CCAG Model'!$C:$C,999)</f>
        <v>3</v>
      </c>
      <c r="D701" s="82" t="str">
        <f t="shared" si="80"/>
        <v>NO</v>
      </c>
      <c r="E701" s="27">
        <v>489.88</v>
      </c>
      <c r="F701" s="27">
        <v>272.44</v>
      </c>
      <c r="G701" s="27">
        <v>16.3</v>
      </c>
      <c r="H701" s="27">
        <v>6.66</v>
      </c>
      <c r="I701" s="27">
        <v>155.26</v>
      </c>
      <c r="J701" s="27">
        <v>995.56</v>
      </c>
      <c r="K701" s="47">
        <f t="shared" si="81"/>
        <v>0.49206476756800194</v>
      </c>
      <c r="L701" s="47">
        <f t="shared" si="82"/>
        <v>0.27365502832576644</v>
      </c>
      <c r="M701" s="84">
        <f t="shared" si="83"/>
        <v>0.76571979589376826</v>
      </c>
      <c r="N701" s="47">
        <f t="shared" si="84"/>
        <v>1.6372694764755516E-2</v>
      </c>
      <c r="O701" s="47">
        <f t="shared" si="85"/>
        <v>6.6897022781148303E-3</v>
      </c>
      <c r="P701" s="47">
        <f t="shared" si="86"/>
        <v>0.15595242878380008</v>
      </c>
      <c r="Q701" s="47">
        <f t="shared" si="87"/>
        <v>1</v>
      </c>
    </row>
    <row r="702" spans="1:17" x14ac:dyDescent="0.35">
      <c r="A702" s="82">
        <v>699</v>
      </c>
      <c r="B702" s="83" t="str">
        <f>_xlfn.XLOOKUP(A702,'TAZs by City - CCAG Model'!$A:$A,'TAZs by City - CCAG Model'!$B:$B,"Unknown")</f>
        <v>San Jose</v>
      </c>
      <c r="C702" s="82">
        <f>_xlfn.XLOOKUP(A702,'TAZs by City - CCAG Model'!$A:$A,'TAZs by City - CCAG Model'!$C:$C,999)</f>
        <v>3</v>
      </c>
      <c r="D702" s="82" t="str">
        <f t="shared" si="80"/>
        <v>NO</v>
      </c>
      <c r="E702" s="27">
        <v>2071.3200000000002</v>
      </c>
      <c r="F702" s="27">
        <v>1623.16</v>
      </c>
      <c r="G702" s="27">
        <v>146.84</v>
      </c>
      <c r="H702" s="27">
        <v>63.2</v>
      </c>
      <c r="I702" s="27">
        <v>246.1</v>
      </c>
      <c r="J702" s="27">
        <v>4335</v>
      </c>
      <c r="K702" s="47">
        <f t="shared" si="81"/>
        <v>0.47781314878892739</v>
      </c>
      <c r="L702" s="47">
        <f t="shared" si="82"/>
        <v>0.37443137254901965</v>
      </c>
      <c r="M702" s="84">
        <f t="shared" si="83"/>
        <v>0.85224452133794704</v>
      </c>
      <c r="N702" s="47">
        <f t="shared" si="84"/>
        <v>3.3873125720876585E-2</v>
      </c>
      <c r="O702" s="47">
        <f t="shared" si="85"/>
        <v>1.4579008073817764E-2</v>
      </c>
      <c r="P702" s="47">
        <f t="shared" si="86"/>
        <v>5.6770472895040371E-2</v>
      </c>
      <c r="Q702" s="47">
        <f t="shared" si="87"/>
        <v>1</v>
      </c>
    </row>
    <row r="703" spans="1:17" x14ac:dyDescent="0.35">
      <c r="A703" s="82">
        <v>700</v>
      </c>
      <c r="B703" s="83" t="str">
        <f>_xlfn.XLOOKUP(A703,'TAZs by City - CCAG Model'!$A:$A,'TAZs by City - CCAG Model'!$B:$B,"Unknown")</f>
        <v>San Jose</v>
      </c>
      <c r="C703" s="82">
        <f>_xlfn.XLOOKUP(A703,'TAZs by City - CCAG Model'!$A:$A,'TAZs by City - CCAG Model'!$C:$C,999)</f>
        <v>3</v>
      </c>
      <c r="D703" s="82" t="str">
        <f t="shared" si="80"/>
        <v>NO</v>
      </c>
      <c r="E703" s="27">
        <v>4093.06</v>
      </c>
      <c r="F703" s="27">
        <v>3014.64</v>
      </c>
      <c r="G703" s="27">
        <v>244.46</v>
      </c>
      <c r="H703" s="27">
        <v>113.98</v>
      </c>
      <c r="I703" s="27">
        <v>1184.54</v>
      </c>
      <c r="J703" s="27">
        <v>8934.24</v>
      </c>
      <c r="K703" s="47">
        <f t="shared" si="81"/>
        <v>0.45813186124393346</v>
      </c>
      <c r="L703" s="47">
        <f t="shared" si="82"/>
        <v>0.33742545532692203</v>
      </c>
      <c r="M703" s="84">
        <f t="shared" si="83"/>
        <v>0.79555731657085549</v>
      </c>
      <c r="N703" s="47">
        <f t="shared" si="84"/>
        <v>2.7362148319275061E-2</v>
      </c>
      <c r="O703" s="47">
        <f t="shared" si="85"/>
        <v>1.2757660416554739E-2</v>
      </c>
      <c r="P703" s="47">
        <f t="shared" si="86"/>
        <v>0.13258430487651998</v>
      </c>
      <c r="Q703" s="47">
        <f t="shared" si="87"/>
        <v>1</v>
      </c>
    </row>
    <row r="704" spans="1:17" x14ac:dyDescent="0.35">
      <c r="A704" s="82">
        <v>701</v>
      </c>
      <c r="B704" s="83" t="str">
        <f>_xlfn.XLOOKUP(A704,'TAZs by City - CCAG Model'!$A:$A,'TAZs by City - CCAG Model'!$B:$B,"Unknown")</f>
        <v>San Jose</v>
      </c>
      <c r="C704" s="82">
        <f>_xlfn.XLOOKUP(A704,'TAZs by City - CCAG Model'!$A:$A,'TAZs by City - CCAG Model'!$C:$C,999)</f>
        <v>3</v>
      </c>
      <c r="D704" s="82" t="str">
        <f t="shared" si="80"/>
        <v>NO</v>
      </c>
      <c r="E704" s="27">
        <v>6290</v>
      </c>
      <c r="F704" s="27">
        <v>3901.48</v>
      </c>
      <c r="G704" s="27">
        <v>309.76</v>
      </c>
      <c r="H704" s="27">
        <v>170.9</v>
      </c>
      <c r="I704" s="27">
        <v>1054.22</v>
      </c>
      <c r="J704" s="27">
        <v>12078.04</v>
      </c>
      <c r="K704" s="47">
        <f t="shared" si="81"/>
        <v>0.52077986163317891</v>
      </c>
      <c r="L704" s="47">
        <f t="shared" si="82"/>
        <v>0.3230226096287146</v>
      </c>
      <c r="M704" s="84">
        <f t="shared" si="83"/>
        <v>0.84380247126189334</v>
      </c>
      <c r="N704" s="47">
        <f t="shared" si="84"/>
        <v>2.5646545300396419E-2</v>
      </c>
      <c r="O704" s="47">
        <f t="shared" si="85"/>
        <v>1.4149646796996863E-2</v>
      </c>
      <c r="P704" s="47">
        <f t="shared" si="86"/>
        <v>8.7284029527969764E-2</v>
      </c>
      <c r="Q704" s="47">
        <f t="shared" si="87"/>
        <v>1</v>
      </c>
    </row>
    <row r="705" spans="1:17" x14ac:dyDescent="0.35">
      <c r="A705" s="82">
        <v>702</v>
      </c>
      <c r="B705" s="83" t="str">
        <f>_xlfn.XLOOKUP(A705,'TAZs by City - CCAG Model'!$A:$A,'TAZs by City - CCAG Model'!$B:$B,"Unknown")</f>
        <v>San Jose</v>
      </c>
      <c r="C705" s="82">
        <f>_xlfn.XLOOKUP(A705,'TAZs by City - CCAG Model'!$A:$A,'TAZs by City - CCAG Model'!$C:$C,999)</f>
        <v>3</v>
      </c>
      <c r="D705" s="82" t="str">
        <f t="shared" si="80"/>
        <v>NO</v>
      </c>
      <c r="E705" s="27">
        <v>5509.98</v>
      </c>
      <c r="F705" s="27">
        <v>2699.12</v>
      </c>
      <c r="G705" s="27">
        <v>202.54</v>
      </c>
      <c r="H705" s="27">
        <v>111.8</v>
      </c>
      <c r="I705" s="27">
        <v>2043.72</v>
      </c>
      <c r="J705" s="27">
        <v>10817.24</v>
      </c>
      <c r="K705" s="47">
        <f t="shared" si="81"/>
        <v>0.50937022752569039</v>
      </c>
      <c r="L705" s="47">
        <f t="shared" si="82"/>
        <v>0.2495202103309162</v>
      </c>
      <c r="M705" s="84">
        <f t="shared" si="83"/>
        <v>0.75889043785660659</v>
      </c>
      <c r="N705" s="47">
        <f t="shared" si="84"/>
        <v>1.872381494725087E-2</v>
      </c>
      <c r="O705" s="47">
        <f t="shared" si="85"/>
        <v>1.0335353565234755E-2</v>
      </c>
      <c r="P705" s="47">
        <f t="shared" si="86"/>
        <v>0.18893174229285845</v>
      </c>
      <c r="Q705" s="47">
        <f t="shared" si="87"/>
        <v>1</v>
      </c>
    </row>
    <row r="706" spans="1:17" x14ac:dyDescent="0.35">
      <c r="A706" s="82">
        <v>703</v>
      </c>
      <c r="B706" s="83" t="str">
        <f>_xlfn.XLOOKUP(A706,'TAZs by City - CCAG Model'!$A:$A,'TAZs by City - CCAG Model'!$B:$B,"Unknown")</f>
        <v>San Jose</v>
      </c>
      <c r="C706" s="82">
        <f>_xlfn.XLOOKUP(A706,'TAZs by City - CCAG Model'!$A:$A,'TAZs by City - CCAG Model'!$C:$C,999)</f>
        <v>3</v>
      </c>
      <c r="D706" s="82" t="str">
        <f t="shared" si="80"/>
        <v>NO</v>
      </c>
      <c r="E706" s="27">
        <v>3629.58</v>
      </c>
      <c r="F706" s="27">
        <v>1968.2</v>
      </c>
      <c r="G706" s="27">
        <v>162.74</v>
      </c>
      <c r="H706" s="27">
        <v>71.959999999999994</v>
      </c>
      <c r="I706" s="27">
        <v>1306.28</v>
      </c>
      <c r="J706" s="27">
        <v>7351.04</v>
      </c>
      <c r="K706" s="47">
        <f t="shared" si="81"/>
        <v>0.49375054414069303</v>
      </c>
      <c r="L706" s="47">
        <f t="shared" si="82"/>
        <v>0.26774442799930348</v>
      </c>
      <c r="M706" s="84">
        <f t="shared" si="83"/>
        <v>0.76149497213999651</v>
      </c>
      <c r="N706" s="47">
        <f t="shared" si="84"/>
        <v>2.2138364095420512E-2</v>
      </c>
      <c r="O706" s="47">
        <f t="shared" si="85"/>
        <v>9.7890910673863827E-3</v>
      </c>
      <c r="P706" s="47">
        <f t="shared" si="86"/>
        <v>0.17770002611875327</v>
      </c>
      <c r="Q706" s="47">
        <f t="shared" si="87"/>
        <v>1</v>
      </c>
    </row>
    <row r="707" spans="1:17" x14ac:dyDescent="0.35">
      <c r="A707" s="82">
        <v>704</v>
      </c>
      <c r="B707" s="83" t="str">
        <f>_xlfn.XLOOKUP(A707,'TAZs by City - CCAG Model'!$A:$A,'TAZs by City - CCAG Model'!$B:$B,"Unknown")</f>
        <v>San Jose</v>
      </c>
      <c r="C707" s="82">
        <f>_xlfn.XLOOKUP(A707,'TAZs by City - CCAG Model'!$A:$A,'TAZs by City - CCAG Model'!$C:$C,999)</f>
        <v>3</v>
      </c>
      <c r="D707" s="82" t="str">
        <f t="shared" si="80"/>
        <v>NO</v>
      </c>
      <c r="E707" s="27">
        <v>4128.6000000000004</v>
      </c>
      <c r="F707" s="27">
        <v>2324.6</v>
      </c>
      <c r="G707" s="27">
        <v>194.4</v>
      </c>
      <c r="H707" s="27">
        <v>90.86</v>
      </c>
      <c r="I707" s="27">
        <v>1250.68</v>
      </c>
      <c r="J707" s="27">
        <v>8231.3799999999992</v>
      </c>
      <c r="K707" s="47">
        <f t="shared" si="81"/>
        <v>0.50156838828969152</v>
      </c>
      <c r="L707" s="47">
        <f t="shared" si="82"/>
        <v>0.28240708119416186</v>
      </c>
      <c r="M707" s="84">
        <f t="shared" si="83"/>
        <v>0.78397546948385344</v>
      </c>
      <c r="N707" s="47">
        <f t="shared" si="84"/>
        <v>2.3616939079473917E-2</v>
      </c>
      <c r="O707" s="47">
        <f t="shared" si="85"/>
        <v>1.1038246320787037E-2</v>
      </c>
      <c r="P707" s="47">
        <f t="shared" si="86"/>
        <v>0.1519405008637677</v>
      </c>
      <c r="Q707" s="47">
        <f t="shared" si="87"/>
        <v>1</v>
      </c>
    </row>
    <row r="708" spans="1:17" x14ac:dyDescent="0.35">
      <c r="A708" s="82">
        <v>705</v>
      </c>
      <c r="B708" s="83" t="str">
        <f>_xlfn.XLOOKUP(A708,'TAZs by City - CCAG Model'!$A:$A,'TAZs by City - CCAG Model'!$B:$B,"Unknown")</f>
        <v>San Jose</v>
      </c>
      <c r="C708" s="82">
        <f>_xlfn.XLOOKUP(A708,'TAZs by City - CCAG Model'!$A:$A,'TAZs by City - CCAG Model'!$C:$C,999)</f>
        <v>3</v>
      </c>
      <c r="D708" s="82" t="str">
        <f t="shared" si="80"/>
        <v>NO</v>
      </c>
      <c r="E708" s="27">
        <v>3586.46</v>
      </c>
      <c r="F708" s="27">
        <v>2332.94</v>
      </c>
      <c r="G708" s="27">
        <v>98.76</v>
      </c>
      <c r="H708" s="27">
        <v>74</v>
      </c>
      <c r="I708" s="27">
        <v>1404.32</v>
      </c>
      <c r="J708" s="27">
        <v>7635.52</v>
      </c>
      <c r="K708" s="47">
        <f t="shared" si="81"/>
        <v>0.46970736767109506</v>
      </c>
      <c r="L708" s="47">
        <f t="shared" si="82"/>
        <v>0.30553780227148902</v>
      </c>
      <c r="M708" s="84">
        <f t="shared" si="83"/>
        <v>0.77524516994258408</v>
      </c>
      <c r="N708" s="47">
        <f t="shared" si="84"/>
        <v>1.2934286073509074E-2</v>
      </c>
      <c r="O708" s="47">
        <f t="shared" si="85"/>
        <v>9.6915468756548339E-3</v>
      </c>
      <c r="P708" s="47">
        <f t="shared" si="86"/>
        <v>0.18391936632999453</v>
      </c>
      <c r="Q708" s="47">
        <f t="shared" si="87"/>
        <v>1</v>
      </c>
    </row>
    <row r="709" spans="1:17" x14ac:dyDescent="0.35">
      <c r="A709" s="82">
        <v>706</v>
      </c>
      <c r="B709" s="83" t="str">
        <f>_xlfn.XLOOKUP(A709,'TAZs by City - CCAG Model'!$A:$A,'TAZs by City - CCAG Model'!$B:$B,"Unknown")</f>
        <v>San Jose</v>
      </c>
      <c r="C709" s="82">
        <f>_xlfn.XLOOKUP(A709,'TAZs by City - CCAG Model'!$A:$A,'TAZs by City - CCAG Model'!$C:$C,999)</f>
        <v>3</v>
      </c>
      <c r="D709" s="82" t="str">
        <f t="shared" ref="D709:D772" si="88">IF(C709=2,"YES","NO")</f>
        <v>NO</v>
      </c>
      <c r="E709" s="27">
        <v>163</v>
      </c>
      <c r="F709" s="27">
        <v>116.98</v>
      </c>
      <c r="G709" s="27">
        <v>0</v>
      </c>
      <c r="H709" s="27">
        <v>1.36</v>
      </c>
      <c r="I709" s="27">
        <v>7.66</v>
      </c>
      <c r="J709" s="27">
        <v>300.48</v>
      </c>
      <c r="K709" s="47">
        <f t="shared" ref="K709:K772" si="89">IFERROR(E709/$J709,0)</f>
        <v>0.54246538871139505</v>
      </c>
      <c r="L709" s="47">
        <f t="shared" ref="L709:L772" si="90">IFERROR(F709/$J709,0)</f>
        <v>0.38931043663471776</v>
      </c>
      <c r="M709" s="84">
        <f t="shared" ref="M709:M772" si="91">IFERROR((E709+F709)/J709,0)</f>
        <v>0.93177582534611292</v>
      </c>
      <c r="N709" s="47">
        <f t="shared" ref="N709:N772" si="92">IFERROR(G709/$J709,0)</f>
        <v>0</v>
      </c>
      <c r="O709" s="47">
        <f t="shared" ref="O709:O772" si="93">IFERROR(H709/$J709,0)</f>
        <v>4.5260915867944623E-3</v>
      </c>
      <c r="P709" s="47">
        <f t="shared" ref="P709:P772" si="94">IFERROR(I709/$J709,0)</f>
        <v>2.5492545260915867E-2</v>
      </c>
      <c r="Q709" s="47">
        <f t="shared" ref="Q709:Q772" si="95">IFERROR(J709/$J709,0)</f>
        <v>1</v>
      </c>
    </row>
    <row r="710" spans="1:17" x14ac:dyDescent="0.35">
      <c r="A710" s="82">
        <v>707</v>
      </c>
      <c r="B710" s="83" t="str">
        <f>_xlfn.XLOOKUP(A710,'TAZs by City - CCAG Model'!$A:$A,'TAZs by City - CCAG Model'!$B:$B,"Unknown")</f>
        <v>San Jose</v>
      </c>
      <c r="C710" s="82">
        <f>_xlfn.XLOOKUP(A710,'TAZs by City - CCAG Model'!$A:$A,'TAZs by City - CCAG Model'!$C:$C,999)</f>
        <v>3</v>
      </c>
      <c r="D710" s="82" t="str">
        <f t="shared" si="88"/>
        <v>NO</v>
      </c>
      <c r="E710" s="27">
        <v>7386.06</v>
      </c>
      <c r="F710" s="27">
        <v>4482.8</v>
      </c>
      <c r="G710" s="27">
        <v>323.89999999999998</v>
      </c>
      <c r="H710" s="27">
        <v>183.82</v>
      </c>
      <c r="I710" s="27">
        <v>2741.38</v>
      </c>
      <c r="J710" s="27">
        <v>15484.78</v>
      </c>
      <c r="K710" s="47">
        <f t="shared" si="89"/>
        <v>0.47698837180767178</v>
      </c>
      <c r="L710" s="47">
        <f t="shared" si="90"/>
        <v>0.28949717077026604</v>
      </c>
      <c r="M710" s="84">
        <f t="shared" si="91"/>
        <v>0.76648554257793777</v>
      </c>
      <c r="N710" s="47">
        <f t="shared" si="92"/>
        <v>2.0917313646044693E-2</v>
      </c>
      <c r="O710" s="47">
        <f t="shared" si="93"/>
        <v>1.1871011406038703E-2</v>
      </c>
      <c r="P710" s="47">
        <f t="shared" si="94"/>
        <v>0.17703706478232173</v>
      </c>
      <c r="Q710" s="47">
        <f t="shared" si="95"/>
        <v>1</v>
      </c>
    </row>
    <row r="711" spans="1:17" x14ac:dyDescent="0.35">
      <c r="A711" s="82">
        <v>708</v>
      </c>
      <c r="B711" s="83" t="str">
        <f>_xlfn.XLOOKUP(A711,'TAZs by City - CCAG Model'!$A:$A,'TAZs by City - CCAG Model'!$B:$B,"Unknown")</f>
        <v>San Jose</v>
      </c>
      <c r="C711" s="82">
        <f>_xlfn.XLOOKUP(A711,'TAZs by City - CCAG Model'!$A:$A,'TAZs by City - CCAG Model'!$C:$C,999)</f>
        <v>3</v>
      </c>
      <c r="D711" s="82" t="str">
        <f t="shared" si="88"/>
        <v>NO</v>
      </c>
      <c r="E711" s="27">
        <v>9633.86</v>
      </c>
      <c r="F711" s="27">
        <v>4727.92</v>
      </c>
      <c r="G711" s="27">
        <v>287.5</v>
      </c>
      <c r="H711" s="27">
        <v>191.76</v>
      </c>
      <c r="I711" s="27">
        <v>3354.88</v>
      </c>
      <c r="J711" s="27">
        <v>18523.3</v>
      </c>
      <c r="K711" s="47">
        <f t="shared" si="89"/>
        <v>0.5200941516900337</v>
      </c>
      <c r="L711" s="47">
        <f t="shared" si="90"/>
        <v>0.25524177657328878</v>
      </c>
      <c r="M711" s="84">
        <f t="shared" si="91"/>
        <v>0.77533592826332243</v>
      </c>
      <c r="N711" s="47">
        <f t="shared" si="92"/>
        <v>1.5520992479741732E-2</v>
      </c>
      <c r="O711" s="47">
        <f t="shared" si="93"/>
        <v>1.0352367018835736E-2</v>
      </c>
      <c r="P711" s="47">
        <f t="shared" si="94"/>
        <v>0.18111675565369023</v>
      </c>
      <c r="Q711" s="47">
        <f t="shared" si="95"/>
        <v>1</v>
      </c>
    </row>
    <row r="712" spans="1:17" x14ac:dyDescent="0.35">
      <c r="A712" s="82">
        <v>709</v>
      </c>
      <c r="B712" s="83" t="str">
        <f>_xlfn.XLOOKUP(A712,'TAZs by City - CCAG Model'!$A:$A,'TAZs by City - CCAG Model'!$B:$B,"Unknown")</f>
        <v>San Jose</v>
      </c>
      <c r="C712" s="82">
        <f>_xlfn.XLOOKUP(A712,'TAZs by City - CCAG Model'!$A:$A,'TAZs by City - CCAG Model'!$C:$C,999)</f>
        <v>3</v>
      </c>
      <c r="D712" s="82" t="str">
        <f t="shared" si="88"/>
        <v>NO</v>
      </c>
      <c r="E712" s="27">
        <v>5962.74</v>
      </c>
      <c r="F712" s="27">
        <v>3044.9</v>
      </c>
      <c r="G712" s="27">
        <v>173.68</v>
      </c>
      <c r="H712" s="27">
        <v>128.19999999999999</v>
      </c>
      <c r="I712" s="27">
        <v>1841.4</v>
      </c>
      <c r="J712" s="27">
        <v>11371.94</v>
      </c>
      <c r="K712" s="47">
        <f t="shared" si="89"/>
        <v>0.5243379757543567</v>
      </c>
      <c r="L712" s="47">
        <f t="shared" si="90"/>
        <v>0.26775554566766974</v>
      </c>
      <c r="M712" s="84">
        <f t="shared" si="91"/>
        <v>0.79209352142202638</v>
      </c>
      <c r="N712" s="47">
        <f t="shared" si="92"/>
        <v>1.5272679947308902E-2</v>
      </c>
      <c r="O712" s="47">
        <f t="shared" si="93"/>
        <v>1.1273362328679187E-2</v>
      </c>
      <c r="P712" s="47">
        <f t="shared" si="94"/>
        <v>0.16192487825296301</v>
      </c>
      <c r="Q712" s="47">
        <f t="shared" si="95"/>
        <v>1</v>
      </c>
    </row>
    <row r="713" spans="1:17" x14ac:dyDescent="0.35">
      <c r="A713" s="82">
        <v>710</v>
      </c>
      <c r="B713" s="83" t="str">
        <f>_xlfn.XLOOKUP(A713,'TAZs by City - CCAG Model'!$A:$A,'TAZs by City - CCAG Model'!$B:$B,"Unknown")</f>
        <v>San Jose</v>
      </c>
      <c r="C713" s="82">
        <f>_xlfn.XLOOKUP(A713,'TAZs by City - CCAG Model'!$A:$A,'TAZs by City - CCAG Model'!$C:$C,999)</f>
        <v>3</v>
      </c>
      <c r="D713" s="82" t="str">
        <f t="shared" si="88"/>
        <v>NO</v>
      </c>
      <c r="E713" s="27">
        <v>11875.4</v>
      </c>
      <c r="F713" s="27">
        <v>5294.62</v>
      </c>
      <c r="G713" s="27">
        <v>437.72</v>
      </c>
      <c r="H713" s="27">
        <v>244.66</v>
      </c>
      <c r="I713" s="27">
        <v>1073.8599999999999</v>
      </c>
      <c r="J713" s="27">
        <v>19394.7</v>
      </c>
      <c r="K713" s="47">
        <f t="shared" si="89"/>
        <v>0.61230129880843731</v>
      </c>
      <c r="L713" s="47">
        <f t="shared" si="90"/>
        <v>0.27299313730039648</v>
      </c>
      <c r="M713" s="84">
        <f t="shared" si="91"/>
        <v>0.88529443610883385</v>
      </c>
      <c r="N713" s="47">
        <f t="shared" si="92"/>
        <v>2.2569052369977364E-2</v>
      </c>
      <c r="O713" s="47">
        <f t="shared" si="93"/>
        <v>1.261478651384141E-2</v>
      </c>
      <c r="P713" s="47">
        <f t="shared" si="94"/>
        <v>5.5368734757433723E-2</v>
      </c>
      <c r="Q713" s="47">
        <f t="shared" si="95"/>
        <v>1</v>
      </c>
    </row>
    <row r="714" spans="1:17" x14ac:dyDescent="0.35">
      <c r="A714" s="82">
        <v>711</v>
      </c>
      <c r="B714" s="83" t="str">
        <f>_xlfn.XLOOKUP(A714,'TAZs by City - CCAG Model'!$A:$A,'TAZs by City - CCAG Model'!$B:$B,"Unknown")</f>
        <v>San Jose</v>
      </c>
      <c r="C714" s="82">
        <f>_xlfn.XLOOKUP(A714,'TAZs by City - CCAG Model'!$A:$A,'TAZs by City - CCAG Model'!$C:$C,999)</f>
        <v>3</v>
      </c>
      <c r="D714" s="82" t="str">
        <f t="shared" si="88"/>
        <v>NO</v>
      </c>
      <c r="E714" s="27">
        <v>2214.9</v>
      </c>
      <c r="F714" s="27">
        <v>1536.08</v>
      </c>
      <c r="G714" s="27">
        <v>56.64</v>
      </c>
      <c r="H714" s="27">
        <v>49.88</v>
      </c>
      <c r="I714" s="27">
        <v>196.38</v>
      </c>
      <c r="J714" s="27">
        <v>4145.8999999999996</v>
      </c>
      <c r="K714" s="47">
        <f t="shared" si="89"/>
        <v>0.53423864540871713</v>
      </c>
      <c r="L714" s="47">
        <f t="shared" si="90"/>
        <v>0.37050580091174412</v>
      </c>
      <c r="M714" s="84">
        <f t="shared" si="91"/>
        <v>0.90474444632046125</v>
      </c>
      <c r="N714" s="47">
        <f t="shared" si="92"/>
        <v>1.3661689862273573E-2</v>
      </c>
      <c r="O714" s="47">
        <f t="shared" si="93"/>
        <v>1.2031163317976799E-2</v>
      </c>
      <c r="P714" s="47">
        <f t="shared" si="94"/>
        <v>4.7367278516124364E-2</v>
      </c>
      <c r="Q714" s="47">
        <f t="shared" si="95"/>
        <v>1</v>
      </c>
    </row>
    <row r="715" spans="1:17" x14ac:dyDescent="0.35">
      <c r="A715" s="82">
        <v>712</v>
      </c>
      <c r="B715" s="83" t="str">
        <f>_xlfn.XLOOKUP(A715,'TAZs by City - CCAG Model'!$A:$A,'TAZs by City - CCAG Model'!$B:$B,"Unknown")</f>
        <v>San Jose</v>
      </c>
      <c r="C715" s="82">
        <f>_xlfn.XLOOKUP(A715,'TAZs by City - CCAG Model'!$A:$A,'TAZs by City - CCAG Model'!$C:$C,999)</f>
        <v>3</v>
      </c>
      <c r="D715" s="82" t="str">
        <f t="shared" si="88"/>
        <v>NO</v>
      </c>
      <c r="E715" s="27">
        <v>7245.68</v>
      </c>
      <c r="F715" s="27">
        <v>4626.0600000000004</v>
      </c>
      <c r="G715" s="27">
        <v>255.06</v>
      </c>
      <c r="H715" s="27">
        <v>184</v>
      </c>
      <c r="I715" s="27">
        <v>682.28</v>
      </c>
      <c r="J715" s="27">
        <v>13286.8</v>
      </c>
      <c r="K715" s="47">
        <f t="shared" si="89"/>
        <v>0.54532919890417564</v>
      </c>
      <c r="L715" s="47">
        <f t="shared" si="90"/>
        <v>0.34816961194569052</v>
      </c>
      <c r="M715" s="84">
        <f t="shared" si="91"/>
        <v>0.89349881084986615</v>
      </c>
      <c r="N715" s="47">
        <f t="shared" si="92"/>
        <v>1.9196495770238131E-2</v>
      </c>
      <c r="O715" s="47">
        <f t="shared" si="93"/>
        <v>1.3848330674052443E-2</v>
      </c>
      <c r="P715" s="47">
        <f t="shared" si="94"/>
        <v>5.1350212240720117E-2</v>
      </c>
      <c r="Q715" s="47">
        <f t="shared" si="95"/>
        <v>1</v>
      </c>
    </row>
    <row r="716" spans="1:17" x14ac:dyDescent="0.35">
      <c r="A716" s="82">
        <v>713</v>
      </c>
      <c r="B716" s="83" t="str">
        <f>_xlfn.XLOOKUP(A716,'TAZs by City - CCAG Model'!$A:$A,'TAZs by City - CCAG Model'!$B:$B,"Unknown")</f>
        <v>San Jose</v>
      </c>
      <c r="C716" s="82">
        <f>_xlfn.XLOOKUP(A716,'TAZs by City - CCAG Model'!$A:$A,'TAZs by City - CCAG Model'!$C:$C,999)</f>
        <v>3</v>
      </c>
      <c r="D716" s="82" t="str">
        <f t="shared" si="88"/>
        <v>NO</v>
      </c>
      <c r="E716" s="27">
        <v>7399.36</v>
      </c>
      <c r="F716" s="27">
        <v>3722.88</v>
      </c>
      <c r="G716" s="27">
        <v>163.78</v>
      </c>
      <c r="H716" s="27">
        <v>138.72</v>
      </c>
      <c r="I716" s="27">
        <v>1446.2</v>
      </c>
      <c r="J716" s="27">
        <v>13073.9</v>
      </c>
      <c r="K716" s="47">
        <f t="shared" si="89"/>
        <v>0.56596424938235723</v>
      </c>
      <c r="L716" s="47">
        <f t="shared" si="90"/>
        <v>0.28475665256732879</v>
      </c>
      <c r="M716" s="84">
        <f t="shared" si="91"/>
        <v>0.85072090194968597</v>
      </c>
      <c r="N716" s="47">
        <f t="shared" si="92"/>
        <v>1.2527248946374074E-2</v>
      </c>
      <c r="O716" s="47">
        <f t="shared" si="93"/>
        <v>1.0610452887049772E-2</v>
      </c>
      <c r="P716" s="47">
        <f t="shared" si="94"/>
        <v>0.11061733683139691</v>
      </c>
      <c r="Q716" s="47">
        <f t="shared" si="95"/>
        <v>1</v>
      </c>
    </row>
    <row r="717" spans="1:17" x14ac:dyDescent="0.35">
      <c r="A717" s="82">
        <v>714</v>
      </c>
      <c r="B717" s="83" t="str">
        <f>_xlfn.XLOOKUP(A717,'TAZs by City - CCAG Model'!$A:$A,'TAZs by City - CCAG Model'!$B:$B,"Unknown")</f>
        <v>San Jose</v>
      </c>
      <c r="C717" s="82">
        <f>_xlfn.XLOOKUP(A717,'TAZs by City - CCAG Model'!$A:$A,'TAZs by City - CCAG Model'!$C:$C,999)</f>
        <v>3</v>
      </c>
      <c r="D717" s="82" t="str">
        <f t="shared" si="88"/>
        <v>NO</v>
      </c>
      <c r="E717" s="27">
        <v>2308.46</v>
      </c>
      <c r="F717" s="27">
        <v>1248.32</v>
      </c>
      <c r="G717" s="27">
        <v>65.08</v>
      </c>
      <c r="H717" s="27">
        <v>43.8</v>
      </c>
      <c r="I717" s="27">
        <v>113</v>
      </c>
      <c r="J717" s="27">
        <v>3890.48</v>
      </c>
      <c r="K717" s="47">
        <f t="shared" si="89"/>
        <v>0.59336123049083922</v>
      </c>
      <c r="L717" s="47">
        <f t="shared" si="90"/>
        <v>0.32086529168637284</v>
      </c>
      <c r="M717" s="84">
        <f t="shared" si="91"/>
        <v>0.91422652217721201</v>
      </c>
      <c r="N717" s="47">
        <f t="shared" si="92"/>
        <v>1.6728012995825707E-2</v>
      </c>
      <c r="O717" s="47">
        <f t="shared" si="93"/>
        <v>1.1258250909913428E-2</v>
      </c>
      <c r="P717" s="47">
        <f t="shared" si="94"/>
        <v>2.9045259196808618E-2</v>
      </c>
      <c r="Q717" s="47">
        <f t="shared" si="95"/>
        <v>1</v>
      </c>
    </row>
    <row r="718" spans="1:17" x14ac:dyDescent="0.35">
      <c r="A718" s="82">
        <v>715</v>
      </c>
      <c r="B718" s="83" t="str">
        <f>_xlfn.XLOOKUP(A718,'TAZs by City - CCAG Model'!$A:$A,'TAZs by City - CCAG Model'!$B:$B,"Unknown")</f>
        <v>San Jose</v>
      </c>
      <c r="C718" s="82">
        <f>_xlfn.XLOOKUP(A718,'TAZs by City - CCAG Model'!$A:$A,'TAZs by City - CCAG Model'!$C:$C,999)</f>
        <v>3</v>
      </c>
      <c r="D718" s="82" t="str">
        <f t="shared" si="88"/>
        <v>NO</v>
      </c>
      <c r="E718" s="27">
        <v>7425.46</v>
      </c>
      <c r="F718" s="27">
        <v>4570.12</v>
      </c>
      <c r="G718" s="27">
        <v>240.54</v>
      </c>
      <c r="H718" s="27">
        <v>173.12</v>
      </c>
      <c r="I718" s="27">
        <v>454.8</v>
      </c>
      <c r="J718" s="27">
        <v>13142.56</v>
      </c>
      <c r="K718" s="47">
        <f t="shared" si="89"/>
        <v>0.56499342593832558</v>
      </c>
      <c r="L718" s="47">
        <f t="shared" si="90"/>
        <v>0.34773438355997616</v>
      </c>
      <c r="M718" s="84">
        <f t="shared" si="91"/>
        <v>0.91272780949830168</v>
      </c>
      <c r="N718" s="47">
        <f t="shared" si="92"/>
        <v>1.8302370314459283E-2</v>
      </c>
      <c r="O718" s="47">
        <f t="shared" si="93"/>
        <v>1.3172471725447707E-2</v>
      </c>
      <c r="P718" s="47">
        <f t="shared" si="94"/>
        <v>3.4605130202943722E-2</v>
      </c>
      <c r="Q718" s="47">
        <f t="shared" si="95"/>
        <v>1</v>
      </c>
    </row>
    <row r="719" spans="1:17" x14ac:dyDescent="0.35">
      <c r="A719" s="82">
        <v>716</v>
      </c>
      <c r="B719" s="83" t="str">
        <f>_xlfn.XLOOKUP(A719,'TAZs by City - CCAG Model'!$A:$A,'TAZs by City - CCAG Model'!$B:$B,"Unknown")</f>
        <v>San Jose</v>
      </c>
      <c r="C719" s="82">
        <f>_xlfn.XLOOKUP(A719,'TAZs by City - CCAG Model'!$A:$A,'TAZs by City - CCAG Model'!$C:$C,999)</f>
        <v>3</v>
      </c>
      <c r="D719" s="82" t="str">
        <f t="shared" si="88"/>
        <v>NO</v>
      </c>
      <c r="E719" s="27">
        <v>9410.76</v>
      </c>
      <c r="F719" s="27">
        <v>7359.42</v>
      </c>
      <c r="G719" s="27">
        <v>472.12</v>
      </c>
      <c r="H719" s="27">
        <v>251.04</v>
      </c>
      <c r="I719" s="27">
        <v>1356.02</v>
      </c>
      <c r="J719" s="27">
        <v>19354.599999999999</v>
      </c>
      <c r="K719" s="47">
        <f t="shared" si="89"/>
        <v>0.48622859681936081</v>
      </c>
      <c r="L719" s="47">
        <f t="shared" si="90"/>
        <v>0.38024138964380566</v>
      </c>
      <c r="M719" s="84">
        <f t="shared" si="91"/>
        <v>0.86646998646316642</v>
      </c>
      <c r="N719" s="47">
        <f t="shared" si="92"/>
        <v>2.4393167515732696E-2</v>
      </c>
      <c r="O719" s="47">
        <f t="shared" si="93"/>
        <v>1.2970559970239633E-2</v>
      </c>
      <c r="P719" s="47">
        <f t="shared" si="94"/>
        <v>7.0061897430068312E-2</v>
      </c>
      <c r="Q719" s="47">
        <f t="shared" si="95"/>
        <v>1</v>
      </c>
    </row>
    <row r="720" spans="1:17" x14ac:dyDescent="0.35">
      <c r="A720" s="82">
        <v>717</v>
      </c>
      <c r="B720" s="83" t="str">
        <f>_xlfn.XLOOKUP(A720,'TAZs by City - CCAG Model'!$A:$A,'TAZs by City - CCAG Model'!$B:$B,"Unknown")</f>
        <v>San Jose</v>
      </c>
      <c r="C720" s="82">
        <f>_xlfn.XLOOKUP(A720,'TAZs by City - CCAG Model'!$A:$A,'TAZs by City - CCAG Model'!$C:$C,999)</f>
        <v>3</v>
      </c>
      <c r="D720" s="82" t="str">
        <f t="shared" si="88"/>
        <v>NO</v>
      </c>
      <c r="E720" s="27">
        <v>3562.46</v>
      </c>
      <c r="F720" s="27">
        <v>2219.7600000000002</v>
      </c>
      <c r="G720" s="27">
        <v>70.400000000000006</v>
      </c>
      <c r="H720" s="27">
        <v>75.78</v>
      </c>
      <c r="I720" s="27">
        <v>1132.1600000000001</v>
      </c>
      <c r="J720" s="27">
        <v>7174.98</v>
      </c>
      <c r="K720" s="47">
        <f t="shared" si="89"/>
        <v>0.49651148853376598</v>
      </c>
      <c r="L720" s="47">
        <f t="shared" si="90"/>
        <v>0.30937507839743111</v>
      </c>
      <c r="M720" s="84">
        <f t="shared" si="91"/>
        <v>0.80588656693119709</v>
      </c>
      <c r="N720" s="47">
        <f t="shared" si="92"/>
        <v>9.8118740400670122E-3</v>
      </c>
      <c r="O720" s="47">
        <f t="shared" si="93"/>
        <v>1.0561701914151678E-2</v>
      </c>
      <c r="P720" s="47">
        <f t="shared" si="94"/>
        <v>0.15779277433525948</v>
      </c>
      <c r="Q720" s="47">
        <f t="shared" si="95"/>
        <v>1</v>
      </c>
    </row>
    <row r="721" spans="1:17" x14ac:dyDescent="0.35">
      <c r="A721" s="82">
        <v>718</v>
      </c>
      <c r="B721" s="83" t="str">
        <f>_xlfn.XLOOKUP(A721,'TAZs by City - CCAG Model'!$A:$A,'TAZs by City - CCAG Model'!$B:$B,"Unknown")</f>
        <v>San Jose</v>
      </c>
      <c r="C721" s="82">
        <f>_xlfn.XLOOKUP(A721,'TAZs by City - CCAG Model'!$A:$A,'TAZs by City - CCAG Model'!$C:$C,999)</f>
        <v>3</v>
      </c>
      <c r="D721" s="82" t="str">
        <f t="shared" si="88"/>
        <v>NO</v>
      </c>
      <c r="E721" s="27">
        <v>4162.5200000000004</v>
      </c>
      <c r="F721" s="27">
        <v>2158.84</v>
      </c>
      <c r="G721" s="27">
        <v>56.6</v>
      </c>
      <c r="H721" s="27">
        <v>70.66</v>
      </c>
      <c r="I721" s="27">
        <v>1111.24</v>
      </c>
      <c r="J721" s="27">
        <v>7662.7</v>
      </c>
      <c r="K721" s="47">
        <f t="shared" si="89"/>
        <v>0.5432184478056038</v>
      </c>
      <c r="L721" s="47">
        <f t="shared" si="90"/>
        <v>0.28173359259790937</v>
      </c>
      <c r="M721" s="84">
        <f t="shared" si="91"/>
        <v>0.82495204040351322</v>
      </c>
      <c r="N721" s="47">
        <f t="shared" si="92"/>
        <v>7.3864303704960395E-3</v>
      </c>
      <c r="O721" s="47">
        <f t="shared" si="93"/>
        <v>9.2212927558171405E-3</v>
      </c>
      <c r="P721" s="47">
        <f t="shared" si="94"/>
        <v>0.1450193795920498</v>
      </c>
      <c r="Q721" s="47">
        <f t="shared" si="95"/>
        <v>1</v>
      </c>
    </row>
    <row r="722" spans="1:17" x14ac:dyDescent="0.35">
      <c r="A722" s="82">
        <v>719</v>
      </c>
      <c r="B722" s="83" t="str">
        <f>_xlfn.XLOOKUP(A722,'TAZs by City - CCAG Model'!$A:$A,'TAZs by City - CCAG Model'!$B:$B,"Unknown")</f>
        <v>San Jose</v>
      </c>
      <c r="C722" s="82">
        <f>_xlfn.XLOOKUP(A722,'TAZs by City - CCAG Model'!$A:$A,'TAZs by City - CCAG Model'!$C:$C,999)</f>
        <v>3</v>
      </c>
      <c r="D722" s="82" t="str">
        <f t="shared" si="88"/>
        <v>NO</v>
      </c>
      <c r="E722" s="27">
        <v>943.34</v>
      </c>
      <c r="F722" s="27">
        <v>680.22</v>
      </c>
      <c r="G722" s="27">
        <v>26.32</v>
      </c>
      <c r="H722" s="27">
        <v>19.52</v>
      </c>
      <c r="I722" s="27">
        <v>333.22</v>
      </c>
      <c r="J722" s="27">
        <v>2052.9</v>
      </c>
      <c r="K722" s="47">
        <f t="shared" si="89"/>
        <v>0.45951580690730187</v>
      </c>
      <c r="L722" s="47">
        <f t="shared" si="90"/>
        <v>0.33134590092064886</v>
      </c>
      <c r="M722" s="84">
        <f t="shared" si="91"/>
        <v>0.79086170782795062</v>
      </c>
      <c r="N722" s="47">
        <f t="shared" si="92"/>
        <v>1.2820887524964684E-2</v>
      </c>
      <c r="O722" s="47">
        <f t="shared" si="93"/>
        <v>9.5085001704905258E-3</v>
      </c>
      <c r="P722" s="47">
        <f t="shared" si="94"/>
        <v>0.16231672268498223</v>
      </c>
      <c r="Q722" s="47">
        <f t="shared" si="95"/>
        <v>1</v>
      </c>
    </row>
    <row r="723" spans="1:17" x14ac:dyDescent="0.35">
      <c r="A723" s="82">
        <v>720</v>
      </c>
      <c r="B723" s="83" t="str">
        <f>_xlfn.XLOOKUP(A723,'TAZs by City - CCAG Model'!$A:$A,'TAZs by City - CCAG Model'!$B:$B,"Unknown")</f>
        <v>San Jose</v>
      </c>
      <c r="C723" s="82">
        <f>_xlfn.XLOOKUP(A723,'TAZs by City - CCAG Model'!$A:$A,'TAZs by City - CCAG Model'!$C:$C,999)</f>
        <v>3</v>
      </c>
      <c r="D723" s="82" t="str">
        <f t="shared" si="88"/>
        <v>NO</v>
      </c>
      <c r="E723" s="27">
        <v>2816.8</v>
      </c>
      <c r="F723" s="27">
        <v>1576.08</v>
      </c>
      <c r="G723" s="27">
        <v>62.54</v>
      </c>
      <c r="H723" s="27">
        <v>51.5</v>
      </c>
      <c r="I723" s="27">
        <v>932.44</v>
      </c>
      <c r="J723" s="27">
        <v>5548.9</v>
      </c>
      <c r="K723" s="47">
        <f t="shared" si="89"/>
        <v>0.50763214330768269</v>
      </c>
      <c r="L723" s="47">
        <f t="shared" si="90"/>
        <v>0.28403467353889961</v>
      </c>
      <c r="M723" s="84">
        <f t="shared" si="91"/>
        <v>0.79166681684658224</v>
      </c>
      <c r="N723" s="47">
        <f t="shared" si="92"/>
        <v>1.1270702301357027E-2</v>
      </c>
      <c r="O723" s="47">
        <f t="shared" si="93"/>
        <v>9.2811187802987992E-3</v>
      </c>
      <c r="P723" s="47">
        <f t="shared" si="94"/>
        <v>0.16804051253401578</v>
      </c>
      <c r="Q723" s="47">
        <f t="shared" si="95"/>
        <v>1</v>
      </c>
    </row>
    <row r="724" spans="1:17" x14ac:dyDescent="0.35">
      <c r="A724" s="82">
        <v>721</v>
      </c>
      <c r="B724" s="83" t="str">
        <f>_xlfn.XLOOKUP(A724,'TAZs by City - CCAG Model'!$A:$A,'TAZs by City - CCAG Model'!$B:$B,"Unknown")</f>
        <v>San Jose</v>
      </c>
      <c r="C724" s="82">
        <f>_xlfn.XLOOKUP(A724,'TAZs by City - CCAG Model'!$A:$A,'TAZs by City - CCAG Model'!$C:$C,999)</f>
        <v>3</v>
      </c>
      <c r="D724" s="82" t="str">
        <f t="shared" si="88"/>
        <v>NO</v>
      </c>
      <c r="E724" s="27">
        <v>4271.6400000000003</v>
      </c>
      <c r="F724" s="27">
        <v>2746.76</v>
      </c>
      <c r="G724" s="27">
        <v>275.18</v>
      </c>
      <c r="H724" s="27">
        <v>100.84</v>
      </c>
      <c r="I724" s="27">
        <v>289.54000000000002</v>
      </c>
      <c r="J724" s="27">
        <v>7993.94</v>
      </c>
      <c r="K724" s="47">
        <f t="shared" si="89"/>
        <v>0.53435977753148012</v>
      </c>
      <c r="L724" s="47">
        <f t="shared" si="90"/>
        <v>0.34360528100035781</v>
      </c>
      <c r="M724" s="84">
        <f t="shared" si="91"/>
        <v>0.87796505853183793</v>
      </c>
      <c r="N724" s="47">
        <f t="shared" si="92"/>
        <v>3.4423575858712981E-2</v>
      </c>
      <c r="O724" s="47">
        <f t="shared" si="93"/>
        <v>1.2614555525810802E-2</v>
      </c>
      <c r="P724" s="47">
        <f t="shared" si="94"/>
        <v>3.6219936601975998E-2</v>
      </c>
      <c r="Q724" s="47">
        <f t="shared" si="95"/>
        <v>1</v>
      </c>
    </row>
    <row r="725" spans="1:17" x14ac:dyDescent="0.35">
      <c r="A725" s="82">
        <v>722</v>
      </c>
      <c r="B725" s="83" t="str">
        <f>_xlfn.XLOOKUP(A725,'TAZs by City - CCAG Model'!$A:$A,'TAZs by City - CCAG Model'!$B:$B,"Unknown")</f>
        <v>San Jose</v>
      </c>
      <c r="C725" s="82">
        <f>_xlfn.XLOOKUP(A725,'TAZs by City - CCAG Model'!$A:$A,'TAZs by City - CCAG Model'!$C:$C,999)</f>
        <v>3</v>
      </c>
      <c r="D725" s="82" t="str">
        <f t="shared" si="88"/>
        <v>NO</v>
      </c>
      <c r="E725" s="27">
        <v>2141.6</v>
      </c>
      <c r="F725" s="27">
        <v>1071.92</v>
      </c>
      <c r="G725" s="27">
        <v>114.58</v>
      </c>
      <c r="H725" s="27">
        <v>40.4</v>
      </c>
      <c r="I725" s="27">
        <v>331.98</v>
      </c>
      <c r="J725" s="27">
        <v>3859.08</v>
      </c>
      <c r="K725" s="47">
        <f t="shared" si="89"/>
        <v>0.5549509209448884</v>
      </c>
      <c r="L725" s="47">
        <f t="shared" si="90"/>
        <v>0.27776568508556448</v>
      </c>
      <c r="M725" s="84">
        <f t="shared" si="91"/>
        <v>0.83271660603045283</v>
      </c>
      <c r="N725" s="47">
        <f t="shared" si="92"/>
        <v>2.9691014438674501E-2</v>
      </c>
      <c r="O725" s="47">
        <f t="shared" si="93"/>
        <v>1.0468816401836707E-2</v>
      </c>
      <c r="P725" s="47">
        <f t="shared" si="94"/>
        <v>8.6025684878261149E-2</v>
      </c>
      <c r="Q725" s="47">
        <f t="shared" si="95"/>
        <v>1</v>
      </c>
    </row>
    <row r="726" spans="1:17" x14ac:dyDescent="0.35">
      <c r="A726" s="82">
        <v>723</v>
      </c>
      <c r="B726" s="83" t="str">
        <f>_xlfn.XLOOKUP(A726,'TAZs by City - CCAG Model'!$A:$A,'TAZs by City - CCAG Model'!$B:$B,"Unknown")</f>
        <v>San Jose</v>
      </c>
      <c r="C726" s="82">
        <f>_xlfn.XLOOKUP(A726,'TAZs by City - CCAG Model'!$A:$A,'TAZs by City - CCAG Model'!$C:$C,999)</f>
        <v>3</v>
      </c>
      <c r="D726" s="82" t="str">
        <f t="shared" si="88"/>
        <v>NO</v>
      </c>
      <c r="E726" s="27">
        <v>837.7</v>
      </c>
      <c r="F726" s="27">
        <v>240.68</v>
      </c>
      <c r="G726" s="27">
        <v>14.8</v>
      </c>
      <c r="H726" s="27">
        <v>9.48</v>
      </c>
      <c r="I726" s="27">
        <v>188.22</v>
      </c>
      <c r="J726" s="27">
        <v>1343</v>
      </c>
      <c r="K726" s="47">
        <f t="shared" si="89"/>
        <v>0.623752792256143</v>
      </c>
      <c r="L726" s="47">
        <f t="shared" si="90"/>
        <v>0.17921072226358897</v>
      </c>
      <c r="M726" s="84">
        <f t="shared" si="91"/>
        <v>0.80296351451973202</v>
      </c>
      <c r="N726" s="47">
        <f t="shared" si="92"/>
        <v>1.1020104244229337E-2</v>
      </c>
      <c r="O726" s="47">
        <f t="shared" si="93"/>
        <v>7.058823529411765E-3</v>
      </c>
      <c r="P726" s="47">
        <f t="shared" si="94"/>
        <v>0.14014892032762472</v>
      </c>
      <c r="Q726" s="47">
        <f t="shared" si="95"/>
        <v>1</v>
      </c>
    </row>
    <row r="727" spans="1:17" x14ac:dyDescent="0.35">
      <c r="A727" s="82">
        <v>724</v>
      </c>
      <c r="B727" s="83" t="str">
        <f>_xlfn.XLOOKUP(A727,'TAZs by City - CCAG Model'!$A:$A,'TAZs by City - CCAG Model'!$B:$B,"Unknown")</f>
        <v>San Jose</v>
      </c>
      <c r="C727" s="82">
        <f>_xlfn.XLOOKUP(A727,'TAZs by City - CCAG Model'!$A:$A,'TAZs by City - CCAG Model'!$C:$C,999)</f>
        <v>3</v>
      </c>
      <c r="D727" s="82" t="str">
        <f t="shared" si="88"/>
        <v>NO</v>
      </c>
      <c r="E727" s="27">
        <v>5492.4</v>
      </c>
      <c r="F727" s="27">
        <v>3319.26</v>
      </c>
      <c r="G727" s="27">
        <v>376.02</v>
      </c>
      <c r="H727" s="27">
        <v>111.18</v>
      </c>
      <c r="I727" s="27">
        <v>896</v>
      </c>
      <c r="J727" s="27">
        <v>10601.84</v>
      </c>
      <c r="K727" s="47">
        <f t="shared" si="89"/>
        <v>0.51806101582366826</v>
      </c>
      <c r="L727" s="47">
        <f t="shared" si="90"/>
        <v>0.31308338929846141</v>
      </c>
      <c r="M727" s="84">
        <f t="shared" si="91"/>
        <v>0.83114440512212973</v>
      </c>
      <c r="N727" s="47">
        <f t="shared" si="92"/>
        <v>3.5467428295465689E-2</v>
      </c>
      <c r="O727" s="47">
        <f t="shared" si="93"/>
        <v>1.0486858884872816E-2</v>
      </c>
      <c r="P727" s="47">
        <f t="shared" si="94"/>
        <v>8.4513631596024846E-2</v>
      </c>
      <c r="Q727" s="47">
        <f t="shared" si="95"/>
        <v>1</v>
      </c>
    </row>
    <row r="728" spans="1:17" x14ac:dyDescent="0.35">
      <c r="A728" s="82">
        <v>725</v>
      </c>
      <c r="B728" s="83" t="str">
        <f>_xlfn.XLOOKUP(A728,'TAZs by City - CCAG Model'!$A:$A,'TAZs by City - CCAG Model'!$B:$B,"Unknown")</f>
        <v>San Jose</v>
      </c>
      <c r="C728" s="82">
        <f>_xlfn.XLOOKUP(A728,'TAZs by City - CCAG Model'!$A:$A,'TAZs by City - CCAG Model'!$C:$C,999)</f>
        <v>3</v>
      </c>
      <c r="D728" s="82" t="str">
        <f t="shared" si="88"/>
        <v>NO</v>
      </c>
      <c r="E728" s="27">
        <v>6478.48</v>
      </c>
      <c r="F728" s="27">
        <v>3583.42</v>
      </c>
      <c r="G728" s="27">
        <v>326.83999999999997</v>
      </c>
      <c r="H728" s="27">
        <v>142.94</v>
      </c>
      <c r="I728" s="27">
        <v>1206.78</v>
      </c>
      <c r="J728" s="27">
        <v>12105.82</v>
      </c>
      <c r="K728" s="47">
        <f t="shared" si="89"/>
        <v>0.53515416551708184</v>
      </c>
      <c r="L728" s="47">
        <f t="shared" si="90"/>
        <v>0.29600803580426605</v>
      </c>
      <c r="M728" s="84">
        <f t="shared" si="91"/>
        <v>0.83116220132134788</v>
      </c>
      <c r="N728" s="47">
        <f t="shared" si="92"/>
        <v>2.6998584152085524E-2</v>
      </c>
      <c r="O728" s="47">
        <f t="shared" si="93"/>
        <v>1.1807543809506502E-2</v>
      </c>
      <c r="P728" s="47">
        <f t="shared" si="94"/>
        <v>9.9685936186065874E-2</v>
      </c>
      <c r="Q728" s="47">
        <f t="shared" si="95"/>
        <v>1</v>
      </c>
    </row>
    <row r="729" spans="1:17" x14ac:dyDescent="0.35">
      <c r="A729" s="82">
        <v>726</v>
      </c>
      <c r="B729" s="83" t="str">
        <f>_xlfn.XLOOKUP(A729,'TAZs by City - CCAG Model'!$A:$A,'TAZs by City - CCAG Model'!$B:$B,"Unknown")</f>
        <v>San Jose</v>
      </c>
      <c r="C729" s="82">
        <f>_xlfn.XLOOKUP(A729,'TAZs by City - CCAG Model'!$A:$A,'TAZs by City - CCAG Model'!$C:$C,999)</f>
        <v>3</v>
      </c>
      <c r="D729" s="82" t="str">
        <f t="shared" si="88"/>
        <v>NO</v>
      </c>
      <c r="E729" s="27">
        <v>3604.52</v>
      </c>
      <c r="F729" s="27">
        <v>2302.7600000000002</v>
      </c>
      <c r="G729" s="27">
        <v>164.5</v>
      </c>
      <c r="H729" s="27">
        <v>76.36</v>
      </c>
      <c r="I729" s="27">
        <v>1000.8</v>
      </c>
      <c r="J729" s="27">
        <v>7351.32</v>
      </c>
      <c r="K729" s="47">
        <f t="shared" si="89"/>
        <v>0.49032282637675956</v>
      </c>
      <c r="L729" s="47">
        <f t="shared" si="90"/>
        <v>0.31324442413063236</v>
      </c>
      <c r="M729" s="84">
        <f t="shared" si="91"/>
        <v>0.80356725050739197</v>
      </c>
      <c r="N729" s="47">
        <f t="shared" si="92"/>
        <v>2.2376933666334753E-2</v>
      </c>
      <c r="O729" s="47">
        <f t="shared" si="93"/>
        <v>1.0387250180919889E-2</v>
      </c>
      <c r="P729" s="47">
        <f t="shared" si="94"/>
        <v>0.13613881588612659</v>
      </c>
      <c r="Q729" s="47">
        <f t="shared" si="95"/>
        <v>1</v>
      </c>
    </row>
    <row r="730" spans="1:17" x14ac:dyDescent="0.35">
      <c r="A730" s="82">
        <v>727</v>
      </c>
      <c r="B730" s="83" t="str">
        <f>_xlfn.XLOOKUP(A730,'TAZs by City - CCAG Model'!$A:$A,'TAZs by City - CCAG Model'!$B:$B,"Unknown")</f>
        <v>San Jose</v>
      </c>
      <c r="C730" s="82">
        <f>_xlfn.XLOOKUP(A730,'TAZs by City - CCAG Model'!$A:$A,'TAZs by City - CCAG Model'!$C:$C,999)</f>
        <v>3</v>
      </c>
      <c r="D730" s="82" t="str">
        <f t="shared" si="88"/>
        <v>NO</v>
      </c>
      <c r="E730" s="27">
        <v>5780.38</v>
      </c>
      <c r="F730" s="27">
        <v>3627.22</v>
      </c>
      <c r="G730" s="27">
        <v>268.48</v>
      </c>
      <c r="H730" s="27">
        <v>133.62</v>
      </c>
      <c r="I730" s="27">
        <v>709.9</v>
      </c>
      <c r="J730" s="27">
        <v>10831.86</v>
      </c>
      <c r="K730" s="47">
        <f t="shared" si="89"/>
        <v>0.53364611433308773</v>
      </c>
      <c r="L730" s="47">
        <f t="shared" si="90"/>
        <v>0.33486584944783254</v>
      </c>
      <c r="M730" s="84">
        <f t="shared" si="91"/>
        <v>0.86851196378092033</v>
      </c>
      <c r="N730" s="47">
        <f t="shared" si="92"/>
        <v>2.4786140145829062E-2</v>
      </c>
      <c r="O730" s="47">
        <f t="shared" si="93"/>
        <v>1.2335831519240463E-2</v>
      </c>
      <c r="P730" s="47">
        <f t="shared" si="94"/>
        <v>6.5538143956808889E-2</v>
      </c>
      <c r="Q730" s="47">
        <f t="shared" si="95"/>
        <v>1</v>
      </c>
    </row>
    <row r="731" spans="1:17" x14ac:dyDescent="0.35">
      <c r="A731" s="82">
        <v>728</v>
      </c>
      <c r="B731" s="83" t="str">
        <f>_xlfn.XLOOKUP(A731,'TAZs by City - CCAG Model'!$A:$A,'TAZs by City - CCAG Model'!$B:$B,"Unknown")</f>
        <v>San Jose</v>
      </c>
      <c r="C731" s="82">
        <f>_xlfn.XLOOKUP(A731,'TAZs by City - CCAG Model'!$A:$A,'TAZs by City - CCAG Model'!$C:$C,999)</f>
        <v>3</v>
      </c>
      <c r="D731" s="82" t="str">
        <f t="shared" si="88"/>
        <v>NO</v>
      </c>
      <c r="E731" s="27">
        <v>2123.08</v>
      </c>
      <c r="F731" s="27">
        <v>1490.72</v>
      </c>
      <c r="G731" s="27">
        <v>60.8</v>
      </c>
      <c r="H731" s="27">
        <v>43.92</v>
      </c>
      <c r="I731" s="27">
        <v>598.04</v>
      </c>
      <c r="J731" s="27">
        <v>4412.9399999999996</v>
      </c>
      <c r="K731" s="47">
        <f t="shared" si="89"/>
        <v>0.48110330074734758</v>
      </c>
      <c r="L731" s="47">
        <f t="shared" si="90"/>
        <v>0.33780654167063229</v>
      </c>
      <c r="M731" s="84">
        <f t="shared" si="91"/>
        <v>0.81890984241797993</v>
      </c>
      <c r="N731" s="47">
        <f t="shared" si="92"/>
        <v>1.3777662963919746E-2</v>
      </c>
      <c r="O731" s="47">
        <f t="shared" si="93"/>
        <v>9.952548641042027E-3</v>
      </c>
      <c r="P731" s="47">
        <f t="shared" si="94"/>
        <v>0.13551963090366059</v>
      </c>
      <c r="Q731" s="47">
        <f t="shared" si="95"/>
        <v>1</v>
      </c>
    </row>
    <row r="732" spans="1:17" x14ac:dyDescent="0.35">
      <c r="A732" s="82">
        <v>729</v>
      </c>
      <c r="B732" s="83" t="str">
        <f>_xlfn.XLOOKUP(A732,'TAZs by City - CCAG Model'!$A:$A,'TAZs by City - CCAG Model'!$B:$B,"Unknown")</f>
        <v>San Jose</v>
      </c>
      <c r="C732" s="82">
        <f>_xlfn.XLOOKUP(A732,'TAZs by City - CCAG Model'!$A:$A,'TAZs by City - CCAG Model'!$C:$C,999)</f>
        <v>3</v>
      </c>
      <c r="D732" s="82" t="str">
        <f t="shared" si="88"/>
        <v>NO</v>
      </c>
      <c r="E732" s="27">
        <v>1928.34</v>
      </c>
      <c r="F732" s="27">
        <v>1372.16</v>
      </c>
      <c r="G732" s="27">
        <v>52.72</v>
      </c>
      <c r="H732" s="27">
        <v>39.74</v>
      </c>
      <c r="I732" s="27">
        <v>638.62</v>
      </c>
      <c r="J732" s="27">
        <v>4114.3599999999997</v>
      </c>
      <c r="K732" s="47">
        <f t="shared" si="89"/>
        <v>0.46868528762675121</v>
      </c>
      <c r="L732" s="47">
        <f t="shared" si="90"/>
        <v>0.33350508949143981</v>
      </c>
      <c r="M732" s="84">
        <f t="shared" si="91"/>
        <v>0.80219037711819097</v>
      </c>
      <c r="N732" s="47">
        <f t="shared" si="92"/>
        <v>1.2813657531183466E-2</v>
      </c>
      <c r="O732" s="47">
        <f t="shared" si="93"/>
        <v>9.6588533818139401E-3</v>
      </c>
      <c r="P732" s="47">
        <f t="shared" si="94"/>
        <v>0.15521733635364918</v>
      </c>
      <c r="Q732" s="47">
        <f t="shared" si="95"/>
        <v>1</v>
      </c>
    </row>
    <row r="733" spans="1:17" x14ac:dyDescent="0.35">
      <c r="A733" s="82">
        <v>730</v>
      </c>
      <c r="B733" s="83" t="str">
        <f>_xlfn.XLOOKUP(A733,'TAZs by City - CCAG Model'!$A:$A,'TAZs by City - CCAG Model'!$B:$B,"Unknown")</f>
        <v>San Jose</v>
      </c>
      <c r="C733" s="82">
        <f>_xlfn.XLOOKUP(A733,'TAZs by City - CCAG Model'!$A:$A,'TAZs by City - CCAG Model'!$C:$C,999)</f>
        <v>3</v>
      </c>
      <c r="D733" s="82" t="str">
        <f t="shared" si="88"/>
        <v>NO</v>
      </c>
      <c r="E733" s="27">
        <v>3194.84</v>
      </c>
      <c r="F733" s="27">
        <v>2284.7800000000002</v>
      </c>
      <c r="G733" s="27">
        <v>96.2</v>
      </c>
      <c r="H733" s="27">
        <v>66.28</v>
      </c>
      <c r="I733" s="27">
        <v>1152.78</v>
      </c>
      <c r="J733" s="27">
        <v>6923.96</v>
      </c>
      <c r="K733" s="47">
        <f t="shared" si="89"/>
        <v>0.46141803245541568</v>
      </c>
      <c r="L733" s="47">
        <f t="shared" si="90"/>
        <v>0.32998168678039735</v>
      </c>
      <c r="M733" s="84">
        <f t="shared" si="91"/>
        <v>0.79139971923581309</v>
      </c>
      <c r="N733" s="47">
        <f t="shared" si="92"/>
        <v>1.3893783326304601E-2</v>
      </c>
      <c r="O733" s="47">
        <f t="shared" si="93"/>
        <v>9.5725567449840843E-3</v>
      </c>
      <c r="P733" s="47">
        <f t="shared" si="94"/>
        <v>0.1664914297598484</v>
      </c>
      <c r="Q733" s="47">
        <f t="shared" si="95"/>
        <v>1</v>
      </c>
    </row>
    <row r="734" spans="1:17" x14ac:dyDescent="0.35">
      <c r="A734" s="82">
        <v>731</v>
      </c>
      <c r="B734" s="83" t="str">
        <f>_xlfn.XLOOKUP(A734,'TAZs by City - CCAG Model'!$A:$A,'TAZs by City - CCAG Model'!$B:$B,"Unknown")</f>
        <v>San Jose</v>
      </c>
      <c r="C734" s="82">
        <f>_xlfn.XLOOKUP(A734,'TAZs by City - CCAG Model'!$A:$A,'TAZs by City - CCAG Model'!$C:$C,999)</f>
        <v>3</v>
      </c>
      <c r="D734" s="82" t="str">
        <f t="shared" si="88"/>
        <v>NO</v>
      </c>
      <c r="E734" s="27">
        <v>6846.68</v>
      </c>
      <c r="F734" s="27">
        <v>3802.64</v>
      </c>
      <c r="G734" s="27">
        <v>132.5</v>
      </c>
      <c r="H734" s="27">
        <v>141.19999999999999</v>
      </c>
      <c r="I734" s="27">
        <v>1291.3800000000001</v>
      </c>
      <c r="J734" s="27">
        <v>12386.92</v>
      </c>
      <c r="K734" s="47">
        <f t="shared" si="89"/>
        <v>0.55273465881752692</v>
      </c>
      <c r="L734" s="47">
        <f t="shared" si="90"/>
        <v>0.30698833931275893</v>
      </c>
      <c r="M734" s="84">
        <f t="shared" si="91"/>
        <v>0.85972299813028574</v>
      </c>
      <c r="N734" s="47">
        <f t="shared" si="92"/>
        <v>1.0696767235115751E-2</v>
      </c>
      <c r="O734" s="47">
        <f t="shared" si="93"/>
        <v>1.1399121008289388E-2</v>
      </c>
      <c r="P734" s="47">
        <f t="shared" si="94"/>
        <v>0.10425351903459457</v>
      </c>
      <c r="Q734" s="47">
        <f t="shared" si="95"/>
        <v>1</v>
      </c>
    </row>
    <row r="735" spans="1:17" x14ac:dyDescent="0.35">
      <c r="A735" s="82">
        <v>732</v>
      </c>
      <c r="B735" s="83" t="str">
        <f>_xlfn.XLOOKUP(A735,'TAZs by City - CCAG Model'!$A:$A,'TAZs by City - CCAG Model'!$B:$B,"Unknown")</f>
        <v>San Jose</v>
      </c>
      <c r="C735" s="82">
        <f>_xlfn.XLOOKUP(A735,'TAZs by City - CCAG Model'!$A:$A,'TAZs by City - CCAG Model'!$C:$C,999)</f>
        <v>3</v>
      </c>
      <c r="D735" s="82" t="str">
        <f t="shared" si="88"/>
        <v>NO</v>
      </c>
      <c r="E735" s="27">
        <v>5525.74</v>
      </c>
      <c r="F735" s="27">
        <v>3102.4</v>
      </c>
      <c r="G735" s="27">
        <v>111.7</v>
      </c>
      <c r="H735" s="27">
        <v>96.16</v>
      </c>
      <c r="I735" s="27">
        <v>1317.98</v>
      </c>
      <c r="J735" s="27">
        <v>10308.040000000001</v>
      </c>
      <c r="K735" s="47">
        <f t="shared" si="89"/>
        <v>0.53606117166794065</v>
      </c>
      <c r="L735" s="47">
        <f t="shared" si="90"/>
        <v>0.30096895239056115</v>
      </c>
      <c r="M735" s="84">
        <f t="shared" si="91"/>
        <v>0.83703012405850175</v>
      </c>
      <c r="N735" s="47">
        <f t="shared" si="92"/>
        <v>1.0836201644541542E-2</v>
      </c>
      <c r="O735" s="47">
        <f t="shared" si="93"/>
        <v>9.3286405563036221E-3</v>
      </c>
      <c r="P735" s="47">
        <f t="shared" si="94"/>
        <v>0.127859418473347</v>
      </c>
      <c r="Q735" s="47">
        <f t="shared" si="95"/>
        <v>1</v>
      </c>
    </row>
    <row r="736" spans="1:17" x14ac:dyDescent="0.35">
      <c r="A736" s="82">
        <v>733</v>
      </c>
      <c r="B736" s="83" t="str">
        <f>_xlfn.XLOOKUP(A736,'TAZs by City - CCAG Model'!$A:$A,'TAZs by City - CCAG Model'!$B:$B,"Unknown")</f>
        <v>San Jose</v>
      </c>
      <c r="C736" s="82">
        <f>_xlfn.XLOOKUP(A736,'TAZs by City - CCAG Model'!$A:$A,'TAZs by City - CCAG Model'!$C:$C,999)</f>
        <v>3</v>
      </c>
      <c r="D736" s="82" t="str">
        <f t="shared" si="88"/>
        <v>NO</v>
      </c>
      <c r="E736" s="27">
        <v>3957.98</v>
      </c>
      <c r="F736" s="27">
        <v>2195.4</v>
      </c>
      <c r="G736" s="27">
        <v>88.26</v>
      </c>
      <c r="H736" s="27">
        <v>73.540000000000006</v>
      </c>
      <c r="I736" s="27">
        <v>1439.22</v>
      </c>
      <c r="J736" s="27">
        <v>7891.88</v>
      </c>
      <c r="K736" s="47">
        <f t="shared" si="89"/>
        <v>0.50152561873723367</v>
      </c>
      <c r="L736" s="47">
        <f t="shared" si="90"/>
        <v>0.27818466575771555</v>
      </c>
      <c r="M736" s="84">
        <f t="shared" si="91"/>
        <v>0.77971028449494928</v>
      </c>
      <c r="N736" s="47">
        <f t="shared" si="92"/>
        <v>1.1183646989057107E-2</v>
      </c>
      <c r="O736" s="47">
        <f t="shared" si="93"/>
        <v>9.3184386990172192E-3</v>
      </c>
      <c r="P736" s="47">
        <f t="shared" si="94"/>
        <v>0.18236719260809844</v>
      </c>
      <c r="Q736" s="47">
        <f t="shared" si="95"/>
        <v>1</v>
      </c>
    </row>
    <row r="737" spans="1:17" x14ac:dyDescent="0.35">
      <c r="A737" s="82">
        <v>734</v>
      </c>
      <c r="B737" s="83" t="str">
        <f>_xlfn.XLOOKUP(A737,'TAZs by City - CCAG Model'!$A:$A,'TAZs by City - CCAG Model'!$B:$B,"Unknown")</f>
        <v>Unincorporated</v>
      </c>
      <c r="C737" s="82">
        <f>_xlfn.XLOOKUP(A737,'TAZs by City - CCAG Model'!$A:$A,'TAZs by City - CCAG Model'!$C:$C,999)</f>
        <v>3</v>
      </c>
      <c r="D737" s="82" t="str">
        <f t="shared" si="88"/>
        <v>NO</v>
      </c>
      <c r="E737" s="27">
        <v>257.60000000000002</v>
      </c>
      <c r="F737" s="27">
        <v>132.12</v>
      </c>
      <c r="G737" s="27">
        <v>0</v>
      </c>
      <c r="H737" s="27">
        <v>0.82</v>
      </c>
      <c r="I737" s="27">
        <v>1.46</v>
      </c>
      <c r="J737" s="27">
        <v>412.52</v>
      </c>
      <c r="K737" s="47">
        <f t="shared" si="89"/>
        <v>0.62445457189954434</v>
      </c>
      <c r="L737" s="47">
        <f t="shared" si="90"/>
        <v>0.32027538058760791</v>
      </c>
      <c r="M737" s="84">
        <f t="shared" si="91"/>
        <v>0.94472995248715219</v>
      </c>
      <c r="N737" s="47">
        <f t="shared" si="92"/>
        <v>0</v>
      </c>
      <c r="O737" s="47">
        <f t="shared" si="93"/>
        <v>1.9877824105497916E-3</v>
      </c>
      <c r="P737" s="47">
        <f t="shared" si="94"/>
        <v>3.5392223407349948E-3</v>
      </c>
      <c r="Q737" s="47">
        <f t="shared" si="95"/>
        <v>1</v>
      </c>
    </row>
    <row r="738" spans="1:17" x14ac:dyDescent="0.35">
      <c r="A738" s="82">
        <v>735</v>
      </c>
      <c r="B738" s="83" t="str">
        <f>_xlfn.XLOOKUP(A738,'TAZs by City - CCAG Model'!$A:$A,'TAZs by City - CCAG Model'!$B:$B,"Unknown")</f>
        <v>San Jose</v>
      </c>
      <c r="C738" s="82">
        <f>_xlfn.XLOOKUP(A738,'TAZs by City - CCAG Model'!$A:$A,'TAZs by City - CCAG Model'!$C:$C,999)</f>
        <v>3</v>
      </c>
      <c r="D738" s="82" t="str">
        <f t="shared" si="88"/>
        <v>NO</v>
      </c>
      <c r="E738" s="27">
        <v>5834.68</v>
      </c>
      <c r="F738" s="27">
        <v>5085.88</v>
      </c>
      <c r="G738" s="27">
        <v>68.34</v>
      </c>
      <c r="H738" s="27">
        <v>100.4</v>
      </c>
      <c r="I738" s="27">
        <v>641.96</v>
      </c>
      <c r="J738" s="27">
        <v>11818.84</v>
      </c>
      <c r="K738" s="47">
        <f t="shared" si="89"/>
        <v>0.49367619834095394</v>
      </c>
      <c r="L738" s="47">
        <f t="shared" si="90"/>
        <v>0.43031972680906078</v>
      </c>
      <c r="M738" s="84">
        <f t="shared" si="91"/>
        <v>0.92399592515001483</v>
      </c>
      <c r="N738" s="47">
        <f t="shared" si="92"/>
        <v>5.782293355354671E-3</v>
      </c>
      <c r="O738" s="47">
        <f t="shared" si="93"/>
        <v>8.4949115141587511E-3</v>
      </c>
      <c r="P738" s="47">
        <f t="shared" si="94"/>
        <v>5.4316667287144932E-2</v>
      </c>
      <c r="Q738" s="47">
        <f t="shared" si="95"/>
        <v>1</v>
      </c>
    </row>
    <row r="739" spans="1:17" x14ac:dyDescent="0.35">
      <c r="A739" s="82">
        <v>736</v>
      </c>
      <c r="B739" s="83" t="str">
        <f>_xlfn.XLOOKUP(A739,'TAZs by City - CCAG Model'!$A:$A,'TAZs by City - CCAG Model'!$B:$B,"Unknown")</f>
        <v>Unincorporated</v>
      </c>
      <c r="C739" s="82">
        <f>_xlfn.XLOOKUP(A739,'TAZs by City - CCAG Model'!$A:$A,'TAZs by City - CCAG Model'!$C:$C,999)</f>
        <v>3</v>
      </c>
      <c r="D739" s="82" t="str">
        <f t="shared" si="88"/>
        <v>NO</v>
      </c>
      <c r="E739" s="27">
        <v>6.9</v>
      </c>
      <c r="F739" s="27">
        <v>1.66</v>
      </c>
      <c r="G739" s="27">
        <v>0</v>
      </c>
      <c r="H739" s="27">
        <v>0</v>
      </c>
      <c r="I739" s="27">
        <v>0</v>
      </c>
      <c r="J739" s="27">
        <v>13.8</v>
      </c>
      <c r="K739" s="47">
        <f t="shared" si="89"/>
        <v>0.5</v>
      </c>
      <c r="L739" s="47">
        <f t="shared" si="90"/>
        <v>0.12028985507246376</v>
      </c>
      <c r="M739" s="84">
        <f t="shared" si="91"/>
        <v>0.62028985507246381</v>
      </c>
      <c r="N739" s="47">
        <f t="shared" si="92"/>
        <v>0</v>
      </c>
      <c r="O739" s="47">
        <f t="shared" si="93"/>
        <v>0</v>
      </c>
      <c r="P739" s="47">
        <f t="shared" si="94"/>
        <v>0</v>
      </c>
      <c r="Q739" s="47">
        <f t="shared" si="95"/>
        <v>1</v>
      </c>
    </row>
    <row r="740" spans="1:17" x14ac:dyDescent="0.35">
      <c r="A740" s="82">
        <v>737</v>
      </c>
      <c r="B740" s="83" t="str">
        <f>_xlfn.XLOOKUP(A740,'TAZs by City - CCAG Model'!$A:$A,'TAZs by City - CCAG Model'!$B:$B,"Unknown")</f>
        <v>San Jose</v>
      </c>
      <c r="C740" s="82">
        <f>_xlfn.XLOOKUP(A740,'TAZs by City - CCAG Model'!$A:$A,'TAZs by City - CCAG Model'!$C:$C,999)</f>
        <v>3</v>
      </c>
      <c r="D740" s="82" t="str">
        <f t="shared" si="88"/>
        <v>NO</v>
      </c>
      <c r="E740" s="27">
        <v>5003.5</v>
      </c>
      <c r="F740" s="27">
        <v>3676.94</v>
      </c>
      <c r="G740" s="27">
        <v>49.1</v>
      </c>
      <c r="H740" s="27">
        <v>83.74</v>
      </c>
      <c r="I740" s="27">
        <v>793.58</v>
      </c>
      <c r="J740" s="27">
        <v>9673.64</v>
      </c>
      <c r="K740" s="47">
        <f t="shared" si="89"/>
        <v>0.51723032901782584</v>
      </c>
      <c r="L740" s="47">
        <f t="shared" si="90"/>
        <v>0.38009890796018875</v>
      </c>
      <c r="M740" s="84">
        <f t="shared" si="91"/>
        <v>0.89732923697801459</v>
      </c>
      <c r="N740" s="47">
        <f t="shared" si="92"/>
        <v>5.0756488767413309E-3</v>
      </c>
      <c r="O740" s="47">
        <f t="shared" si="93"/>
        <v>8.656513990597128E-3</v>
      </c>
      <c r="P740" s="47">
        <f t="shared" si="94"/>
        <v>8.2035304187462021E-2</v>
      </c>
      <c r="Q740" s="47">
        <f t="shared" si="95"/>
        <v>1</v>
      </c>
    </row>
    <row r="741" spans="1:17" x14ac:dyDescent="0.35">
      <c r="A741" s="82">
        <v>738</v>
      </c>
      <c r="B741" s="83" t="str">
        <f>_xlfn.XLOOKUP(A741,'TAZs by City - CCAG Model'!$A:$A,'TAZs by City - CCAG Model'!$B:$B,"Unknown")</f>
        <v>San Jose</v>
      </c>
      <c r="C741" s="82">
        <f>_xlfn.XLOOKUP(A741,'TAZs by City - CCAG Model'!$A:$A,'TAZs by City - CCAG Model'!$C:$C,999)</f>
        <v>3</v>
      </c>
      <c r="D741" s="82" t="str">
        <f t="shared" si="88"/>
        <v>NO</v>
      </c>
      <c r="E741" s="27">
        <v>3164.42</v>
      </c>
      <c r="F741" s="27">
        <v>879.06</v>
      </c>
      <c r="G741" s="27">
        <v>0</v>
      </c>
      <c r="H741" s="27">
        <v>29.96</v>
      </c>
      <c r="I741" s="27">
        <v>669.72</v>
      </c>
      <c r="J741" s="27">
        <v>4772.7</v>
      </c>
      <c r="K741" s="47">
        <f t="shared" si="89"/>
        <v>0.66302512204831654</v>
      </c>
      <c r="L741" s="47">
        <f t="shared" si="90"/>
        <v>0.18418505248601419</v>
      </c>
      <c r="M741" s="84">
        <f t="shared" si="91"/>
        <v>0.84721017453433067</v>
      </c>
      <c r="N741" s="47">
        <f t="shared" si="92"/>
        <v>0</v>
      </c>
      <c r="O741" s="47">
        <f t="shared" si="93"/>
        <v>6.2773692040144994E-3</v>
      </c>
      <c r="P741" s="47">
        <f t="shared" si="94"/>
        <v>0.14032308756050035</v>
      </c>
      <c r="Q741" s="47">
        <f t="shared" si="95"/>
        <v>1</v>
      </c>
    </row>
    <row r="742" spans="1:17" x14ac:dyDescent="0.35">
      <c r="A742" s="82">
        <v>739</v>
      </c>
      <c r="B742" s="83" t="str">
        <f>_xlfn.XLOOKUP(A742,'TAZs by City - CCAG Model'!$A:$A,'TAZs by City - CCAG Model'!$B:$B,"Unknown")</f>
        <v>San Jose</v>
      </c>
      <c r="C742" s="82">
        <f>_xlfn.XLOOKUP(A742,'TAZs by City - CCAG Model'!$A:$A,'TAZs by City - CCAG Model'!$C:$C,999)</f>
        <v>3</v>
      </c>
      <c r="D742" s="82" t="str">
        <f t="shared" si="88"/>
        <v>NO</v>
      </c>
      <c r="E742" s="27">
        <v>1779.34</v>
      </c>
      <c r="F742" s="27">
        <v>939.86</v>
      </c>
      <c r="G742" s="27">
        <v>1.6</v>
      </c>
      <c r="H742" s="27">
        <v>17.68</v>
      </c>
      <c r="I742" s="27">
        <v>38.64</v>
      </c>
      <c r="J742" s="27">
        <v>2813.8</v>
      </c>
      <c r="K742" s="47">
        <f t="shared" si="89"/>
        <v>0.63236193048546441</v>
      </c>
      <c r="L742" s="47">
        <f t="shared" si="90"/>
        <v>0.33401805387731892</v>
      </c>
      <c r="M742" s="84">
        <f t="shared" si="91"/>
        <v>0.96637998436278327</v>
      </c>
      <c r="N742" s="47">
        <f t="shared" si="92"/>
        <v>5.6862605728907531E-4</v>
      </c>
      <c r="O742" s="47">
        <f t="shared" si="93"/>
        <v>6.2833179330442817E-3</v>
      </c>
      <c r="P742" s="47">
        <f t="shared" si="94"/>
        <v>1.3732319283531167E-2</v>
      </c>
      <c r="Q742" s="47">
        <f t="shared" si="95"/>
        <v>1</v>
      </c>
    </row>
    <row r="743" spans="1:17" x14ac:dyDescent="0.35">
      <c r="A743" s="82">
        <v>740</v>
      </c>
      <c r="B743" s="83" t="str">
        <f>_xlfn.XLOOKUP(A743,'TAZs by City - CCAG Model'!$A:$A,'TAZs by City - CCAG Model'!$B:$B,"Unknown")</f>
        <v>Unincorporated</v>
      </c>
      <c r="C743" s="82">
        <f>_xlfn.XLOOKUP(A743,'TAZs by City - CCAG Model'!$A:$A,'TAZs by City - CCAG Model'!$C:$C,999)</f>
        <v>3</v>
      </c>
      <c r="D743" s="82" t="str">
        <f t="shared" si="88"/>
        <v>NO</v>
      </c>
      <c r="E743" s="27">
        <v>1126.74</v>
      </c>
      <c r="F743" s="27">
        <v>961.48</v>
      </c>
      <c r="G743" s="27">
        <v>2.52</v>
      </c>
      <c r="H743" s="27">
        <v>17.78</v>
      </c>
      <c r="I743" s="27">
        <v>167.74</v>
      </c>
      <c r="J743" s="27">
        <v>2291.2600000000002</v>
      </c>
      <c r="K743" s="47">
        <f t="shared" si="89"/>
        <v>0.49175562790778871</v>
      </c>
      <c r="L743" s="47">
        <f t="shared" si="90"/>
        <v>0.41962937423077257</v>
      </c>
      <c r="M743" s="84">
        <f t="shared" si="91"/>
        <v>0.91138500213856133</v>
      </c>
      <c r="N743" s="47">
        <f t="shared" si="92"/>
        <v>1.0998315337412601E-3</v>
      </c>
      <c r="O743" s="47">
        <f t="shared" si="93"/>
        <v>7.7599224880633361E-3</v>
      </c>
      <c r="P743" s="47">
        <f t="shared" si="94"/>
        <v>7.3208627567364681E-2</v>
      </c>
      <c r="Q743" s="47">
        <f t="shared" si="95"/>
        <v>1</v>
      </c>
    </row>
    <row r="744" spans="1:17" x14ac:dyDescent="0.35">
      <c r="A744" s="82">
        <v>741</v>
      </c>
      <c r="B744" s="83" t="str">
        <f>_xlfn.XLOOKUP(A744,'TAZs by City - CCAG Model'!$A:$A,'TAZs by City - CCAG Model'!$B:$B,"Unknown")</f>
        <v>San Jose</v>
      </c>
      <c r="C744" s="82">
        <f>_xlfn.XLOOKUP(A744,'TAZs by City - CCAG Model'!$A:$A,'TAZs by City - CCAG Model'!$C:$C,999)</f>
        <v>3</v>
      </c>
      <c r="D744" s="82" t="str">
        <f t="shared" si="88"/>
        <v>NO</v>
      </c>
      <c r="E744" s="27">
        <v>3369.88</v>
      </c>
      <c r="F744" s="27">
        <v>1043.56</v>
      </c>
      <c r="G744" s="27">
        <v>0.18</v>
      </c>
      <c r="H744" s="27">
        <v>35.380000000000003</v>
      </c>
      <c r="I744" s="27">
        <v>57.56</v>
      </c>
      <c r="J744" s="27">
        <v>4536.8</v>
      </c>
      <c r="K744" s="47">
        <f t="shared" si="89"/>
        <v>0.74278786810086406</v>
      </c>
      <c r="L744" s="47">
        <f t="shared" si="90"/>
        <v>0.23002116028919059</v>
      </c>
      <c r="M744" s="84">
        <f t="shared" si="91"/>
        <v>0.97280902839005479</v>
      </c>
      <c r="N744" s="47">
        <f t="shared" si="92"/>
        <v>3.9675542232410504E-5</v>
      </c>
      <c r="O744" s="47">
        <f t="shared" si="93"/>
        <v>7.7984482454593546E-3</v>
      </c>
      <c r="P744" s="47">
        <f t="shared" si="94"/>
        <v>1.2687356727208604E-2</v>
      </c>
      <c r="Q744" s="47">
        <f t="shared" si="95"/>
        <v>1</v>
      </c>
    </row>
    <row r="745" spans="1:17" x14ac:dyDescent="0.35">
      <c r="A745" s="82">
        <v>742</v>
      </c>
      <c r="B745" s="83" t="str">
        <f>_xlfn.XLOOKUP(A745,'TAZs by City - CCAG Model'!$A:$A,'TAZs by City - CCAG Model'!$B:$B,"Unknown")</f>
        <v>San Jose</v>
      </c>
      <c r="C745" s="82">
        <f>_xlfn.XLOOKUP(A745,'TAZs by City - CCAG Model'!$A:$A,'TAZs by City - CCAG Model'!$C:$C,999)</f>
        <v>3</v>
      </c>
      <c r="D745" s="82" t="str">
        <f t="shared" si="88"/>
        <v>NO</v>
      </c>
      <c r="E745" s="27">
        <v>1110.8</v>
      </c>
      <c r="F745" s="27">
        <v>911.64</v>
      </c>
      <c r="G745" s="27">
        <v>2.5</v>
      </c>
      <c r="H745" s="27">
        <v>14.98</v>
      </c>
      <c r="I745" s="27">
        <v>35.28</v>
      </c>
      <c r="J745" s="27">
        <v>2095.56</v>
      </c>
      <c r="K745" s="47">
        <f t="shared" si="89"/>
        <v>0.53007310694993226</v>
      </c>
      <c r="L745" s="47">
        <f t="shared" si="90"/>
        <v>0.43503407203802325</v>
      </c>
      <c r="M745" s="84">
        <f t="shared" si="91"/>
        <v>0.96510717898795551</v>
      </c>
      <c r="N745" s="47">
        <f t="shared" si="92"/>
        <v>1.1929985302258108E-3</v>
      </c>
      <c r="O745" s="47">
        <f t="shared" si="93"/>
        <v>7.1484471931130581E-3</v>
      </c>
      <c r="P745" s="47">
        <f t="shared" si="94"/>
        <v>1.6835595258546641E-2</v>
      </c>
      <c r="Q745" s="47">
        <f t="shared" si="95"/>
        <v>1</v>
      </c>
    </row>
    <row r="746" spans="1:17" x14ac:dyDescent="0.35">
      <c r="A746" s="82">
        <v>743</v>
      </c>
      <c r="B746" s="83" t="str">
        <f>_xlfn.XLOOKUP(A746,'TAZs by City - CCAG Model'!$A:$A,'TAZs by City - CCAG Model'!$B:$B,"Unknown")</f>
        <v>San Jose</v>
      </c>
      <c r="C746" s="82">
        <f>_xlfn.XLOOKUP(A746,'TAZs by City - CCAG Model'!$A:$A,'TAZs by City - CCAG Model'!$C:$C,999)</f>
        <v>3</v>
      </c>
      <c r="D746" s="82" t="str">
        <f t="shared" si="88"/>
        <v>NO</v>
      </c>
      <c r="E746" s="27">
        <v>16033.34</v>
      </c>
      <c r="F746" s="27">
        <v>8402.58</v>
      </c>
      <c r="G746" s="27">
        <v>519.64</v>
      </c>
      <c r="H746" s="27">
        <v>353.4</v>
      </c>
      <c r="I746" s="27">
        <v>1980.68</v>
      </c>
      <c r="J746" s="27">
        <v>27837.66</v>
      </c>
      <c r="K746" s="47">
        <f t="shared" si="89"/>
        <v>0.57595861146375094</v>
      </c>
      <c r="L746" s="47">
        <f t="shared" si="90"/>
        <v>0.30184218070053304</v>
      </c>
      <c r="M746" s="84">
        <f t="shared" si="91"/>
        <v>0.87780079216428386</v>
      </c>
      <c r="N746" s="47">
        <f t="shared" si="92"/>
        <v>1.8666798861685933E-2</v>
      </c>
      <c r="O746" s="47">
        <f t="shared" si="93"/>
        <v>1.2695032556615748E-2</v>
      </c>
      <c r="P746" s="47">
        <f t="shared" si="94"/>
        <v>7.115109531476424E-2</v>
      </c>
      <c r="Q746" s="47">
        <f t="shared" si="95"/>
        <v>1</v>
      </c>
    </row>
    <row r="747" spans="1:17" x14ac:dyDescent="0.35">
      <c r="A747" s="82">
        <v>744</v>
      </c>
      <c r="B747" s="83" t="str">
        <f>_xlfn.XLOOKUP(A747,'TAZs by City - CCAG Model'!$A:$A,'TAZs by City - CCAG Model'!$B:$B,"Unknown")</f>
        <v>San Jose</v>
      </c>
      <c r="C747" s="82">
        <f>_xlfn.XLOOKUP(A747,'TAZs by City - CCAG Model'!$A:$A,'TAZs by City - CCAG Model'!$C:$C,999)</f>
        <v>3</v>
      </c>
      <c r="D747" s="82" t="str">
        <f t="shared" si="88"/>
        <v>NO</v>
      </c>
      <c r="E747" s="27">
        <v>15603.22</v>
      </c>
      <c r="F747" s="27">
        <v>8598.4599999999991</v>
      </c>
      <c r="G747" s="27">
        <v>667.64</v>
      </c>
      <c r="H747" s="27">
        <v>386.24</v>
      </c>
      <c r="I747" s="27">
        <v>2930.98</v>
      </c>
      <c r="J747" s="27">
        <v>28881.18</v>
      </c>
      <c r="K747" s="47">
        <f t="shared" si="89"/>
        <v>0.54025562667453331</v>
      </c>
      <c r="L747" s="47">
        <f t="shared" si="90"/>
        <v>0.29771844502198314</v>
      </c>
      <c r="M747" s="84">
        <f t="shared" si="91"/>
        <v>0.83797407169651661</v>
      </c>
      <c r="N747" s="47">
        <f t="shared" si="92"/>
        <v>2.3116784009517617E-2</v>
      </c>
      <c r="O747" s="47">
        <f t="shared" si="93"/>
        <v>1.3373414798148828E-2</v>
      </c>
      <c r="P747" s="47">
        <f t="shared" si="94"/>
        <v>0.10148408063659449</v>
      </c>
      <c r="Q747" s="47">
        <f t="shared" si="95"/>
        <v>1</v>
      </c>
    </row>
    <row r="748" spans="1:17" x14ac:dyDescent="0.35">
      <c r="A748" s="82">
        <v>745</v>
      </c>
      <c r="B748" s="83" t="str">
        <f>_xlfn.XLOOKUP(A748,'TAZs by City - CCAG Model'!$A:$A,'TAZs by City - CCAG Model'!$B:$B,"Unknown")</f>
        <v>San Jose</v>
      </c>
      <c r="C748" s="82">
        <f>_xlfn.XLOOKUP(A748,'TAZs by City - CCAG Model'!$A:$A,'TAZs by City - CCAG Model'!$C:$C,999)</f>
        <v>3</v>
      </c>
      <c r="D748" s="82" t="str">
        <f t="shared" si="88"/>
        <v>NO</v>
      </c>
      <c r="E748" s="27">
        <v>3214.66</v>
      </c>
      <c r="F748" s="27">
        <v>1372.64</v>
      </c>
      <c r="G748" s="27">
        <v>90.62</v>
      </c>
      <c r="H748" s="27">
        <v>45.78</v>
      </c>
      <c r="I748" s="27">
        <v>264.7</v>
      </c>
      <c r="J748" s="27">
        <v>5124.9399999999996</v>
      </c>
      <c r="K748" s="47">
        <f t="shared" si="89"/>
        <v>0.62725807521649035</v>
      </c>
      <c r="L748" s="47">
        <f t="shared" si="90"/>
        <v>0.2678353307550918</v>
      </c>
      <c r="M748" s="84">
        <f t="shared" si="91"/>
        <v>0.89509340597158216</v>
      </c>
      <c r="N748" s="47">
        <f t="shared" si="92"/>
        <v>1.7682158230145135E-2</v>
      </c>
      <c r="O748" s="47">
        <f t="shared" si="93"/>
        <v>8.9327875058049476E-3</v>
      </c>
      <c r="P748" s="47">
        <f t="shared" si="94"/>
        <v>5.1649385163533623E-2</v>
      </c>
      <c r="Q748" s="47">
        <f t="shared" si="95"/>
        <v>1</v>
      </c>
    </row>
    <row r="749" spans="1:17" x14ac:dyDescent="0.35">
      <c r="A749" s="82">
        <v>746</v>
      </c>
      <c r="B749" s="83" t="str">
        <f>_xlfn.XLOOKUP(A749,'TAZs by City - CCAG Model'!$A:$A,'TAZs by City - CCAG Model'!$B:$B,"Unknown")</f>
        <v>San Jose</v>
      </c>
      <c r="C749" s="82">
        <f>_xlfn.XLOOKUP(A749,'TAZs by City - CCAG Model'!$A:$A,'TAZs by City - CCAG Model'!$C:$C,999)</f>
        <v>3</v>
      </c>
      <c r="D749" s="82" t="str">
        <f t="shared" si="88"/>
        <v>NO</v>
      </c>
      <c r="E749" s="27">
        <v>10571.76</v>
      </c>
      <c r="F749" s="27">
        <v>6029.42</v>
      </c>
      <c r="G749" s="27">
        <v>337.7</v>
      </c>
      <c r="H749" s="27">
        <v>245.14</v>
      </c>
      <c r="I749" s="27">
        <v>1021.08</v>
      </c>
      <c r="J749" s="27">
        <v>18575.8</v>
      </c>
      <c r="K749" s="47">
        <f t="shared" si="89"/>
        <v>0.56911465455054433</v>
      </c>
      <c r="L749" s="47">
        <f t="shared" si="90"/>
        <v>0.32458467468426666</v>
      </c>
      <c r="M749" s="84">
        <f t="shared" si="91"/>
        <v>0.89369932923481088</v>
      </c>
      <c r="N749" s="47">
        <f t="shared" si="92"/>
        <v>1.8179566963468598E-2</v>
      </c>
      <c r="O749" s="47">
        <f t="shared" si="93"/>
        <v>1.3196739844313569E-2</v>
      </c>
      <c r="P749" s="47">
        <f t="shared" si="94"/>
        <v>5.4968292078941425E-2</v>
      </c>
      <c r="Q749" s="47">
        <f t="shared" si="95"/>
        <v>1</v>
      </c>
    </row>
    <row r="750" spans="1:17" x14ac:dyDescent="0.35">
      <c r="A750" s="82">
        <v>747</v>
      </c>
      <c r="B750" s="83" t="str">
        <f>_xlfn.XLOOKUP(A750,'TAZs by City - CCAG Model'!$A:$A,'TAZs by City - CCAG Model'!$B:$B,"Unknown")</f>
        <v>San Jose</v>
      </c>
      <c r="C750" s="82">
        <f>_xlfn.XLOOKUP(A750,'TAZs by City - CCAG Model'!$A:$A,'TAZs by City - CCAG Model'!$C:$C,999)</f>
        <v>3</v>
      </c>
      <c r="D750" s="82" t="str">
        <f t="shared" si="88"/>
        <v>NO</v>
      </c>
      <c r="E750" s="27">
        <v>8409.3799999999992</v>
      </c>
      <c r="F750" s="27">
        <v>4829.1000000000004</v>
      </c>
      <c r="G750" s="27">
        <v>206.88</v>
      </c>
      <c r="H750" s="27">
        <v>185.84</v>
      </c>
      <c r="I750" s="27">
        <v>1183.04</v>
      </c>
      <c r="J750" s="27">
        <v>15056.9</v>
      </c>
      <c r="K750" s="47">
        <f t="shared" si="89"/>
        <v>0.55850673113323457</v>
      </c>
      <c r="L750" s="47">
        <f t="shared" si="90"/>
        <v>0.32072338927667715</v>
      </c>
      <c r="M750" s="84">
        <f t="shared" si="91"/>
        <v>0.87923012040991178</v>
      </c>
      <c r="N750" s="47">
        <f t="shared" si="92"/>
        <v>1.37398800549914E-2</v>
      </c>
      <c r="O750" s="47">
        <f t="shared" si="93"/>
        <v>1.2342514063319807E-2</v>
      </c>
      <c r="P750" s="47">
        <f t="shared" si="94"/>
        <v>7.8571286254142614E-2</v>
      </c>
      <c r="Q750" s="47">
        <f t="shared" si="95"/>
        <v>1</v>
      </c>
    </row>
    <row r="751" spans="1:17" x14ac:dyDescent="0.35">
      <c r="A751" s="82">
        <v>748</v>
      </c>
      <c r="B751" s="83" t="str">
        <f>_xlfn.XLOOKUP(A751,'TAZs by City - CCAG Model'!$A:$A,'TAZs by City - CCAG Model'!$B:$B,"Unknown")</f>
        <v>San Jose</v>
      </c>
      <c r="C751" s="82">
        <f>_xlfn.XLOOKUP(A751,'TAZs by City - CCAG Model'!$A:$A,'TAZs by City - CCAG Model'!$C:$C,999)</f>
        <v>3</v>
      </c>
      <c r="D751" s="82" t="str">
        <f t="shared" si="88"/>
        <v>NO</v>
      </c>
      <c r="E751" s="27">
        <v>8279.9</v>
      </c>
      <c r="F751" s="27">
        <v>4684.78</v>
      </c>
      <c r="G751" s="27">
        <v>241.88</v>
      </c>
      <c r="H751" s="27">
        <v>201.6</v>
      </c>
      <c r="I751" s="27">
        <v>2013.46</v>
      </c>
      <c r="J751" s="27">
        <v>15700.08</v>
      </c>
      <c r="K751" s="47">
        <f t="shared" si="89"/>
        <v>0.52737947832112952</v>
      </c>
      <c r="L751" s="47">
        <f t="shared" si="90"/>
        <v>0.29839211010389755</v>
      </c>
      <c r="M751" s="84">
        <f t="shared" si="91"/>
        <v>0.82577158842502718</v>
      </c>
      <c r="N751" s="47">
        <f t="shared" si="92"/>
        <v>1.5406290923358353E-2</v>
      </c>
      <c r="O751" s="47">
        <f t="shared" si="93"/>
        <v>1.284069890089732E-2</v>
      </c>
      <c r="P751" s="47">
        <f t="shared" si="94"/>
        <v>0.12824520639385278</v>
      </c>
      <c r="Q751" s="47">
        <f t="shared" si="95"/>
        <v>1</v>
      </c>
    </row>
    <row r="752" spans="1:17" x14ac:dyDescent="0.35">
      <c r="A752" s="82">
        <v>749</v>
      </c>
      <c r="B752" s="83" t="str">
        <f>_xlfn.XLOOKUP(A752,'TAZs by City - CCAG Model'!$A:$A,'TAZs by City - CCAG Model'!$B:$B,"Unknown")</f>
        <v>San Jose</v>
      </c>
      <c r="C752" s="82">
        <f>_xlfn.XLOOKUP(A752,'TAZs by City - CCAG Model'!$A:$A,'TAZs by City - CCAG Model'!$C:$C,999)</f>
        <v>3</v>
      </c>
      <c r="D752" s="82" t="str">
        <f t="shared" si="88"/>
        <v>NO</v>
      </c>
      <c r="E752" s="27">
        <v>7804.96</v>
      </c>
      <c r="F752" s="27">
        <v>5751.36</v>
      </c>
      <c r="G752" s="27">
        <v>181.48</v>
      </c>
      <c r="H752" s="27">
        <v>228.82</v>
      </c>
      <c r="I752" s="27">
        <v>703.6</v>
      </c>
      <c r="J752" s="27">
        <v>14886.46</v>
      </c>
      <c r="K752" s="47">
        <f t="shared" si="89"/>
        <v>0.52429926255133863</v>
      </c>
      <c r="L752" s="47">
        <f t="shared" si="90"/>
        <v>0.38634839982104541</v>
      </c>
      <c r="M752" s="84">
        <f t="shared" si="91"/>
        <v>0.91064766237238404</v>
      </c>
      <c r="N752" s="47">
        <f t="shared" si="92"/>
        <v>1.2190943985339698E-2</v>
      </c>
      <c r="O752" s="47">
        <f t="shared" si="93"/>
        <v>1.5371015002895248E-2</v>
      </c>
      <c r="P752" s="47">
        <f t="shared" si="94"/>
        <v>4.7264426868442871E-2</v>
      </c>
      <c r="Q752" s="47">
        <f t="shared" si="95"/>
        <v>1</v>
      </c>
    </row>
    <row r="753" spans="1:17" x14ac:dyDescent="0.35">
      <c r="A753" s="82">
        <v>750</v>
      </c>
      <c r="B753" s="83" t="str">
        <f>_xlfn.XLOOKUP(A753,'TAZs by City - CCAG Model'!$A:$A,'TAZs by City - CCAG Model'!$B:$B,"Unknown")</f>
        <v>San Jose</v>
      </c>
      <c r="C753" s="82">
        <f>_xlfn.XLOOKUP(A753,'TAZs by City - CCAG Model'!$A:$A,'TAZs by City - CCAG Model'!$C:$C,999)</f>
        <v>3</v>
      </c>
      <c r="D753" s="82" t="str">
        <f t="shared" si="88"/>
        <v>NO</v>
      </c>
      <c r="E753" s="27">
        <v>5294.36</v>
      </c>
      <c r="F753" s="27">
        <v>3062.64</v>
      </c>
      <c r="G753" s="27">
        <v>143.08000000000001</v>
      </c>
      <c r="H753" s="27">
        <v>132.76</v>
      </c>
      <c r="I753" s="27">
        <v>555.91999999999996</v>
      </c>
      <c r="J753" s="27">
        <v>9369.74</v>
      </c>
      <c r="K753" s="47">
        <f t="shared" si="89"/>
        <v>0.5650487633594955</v>
      </c>
      <c r="L753" s="47">
        <f t="shared" si="90"/>
        <v>0.32686499305210176</v>
      </c>
      <c r="M753" s="84">
        <f t="shared" si="91"/>
        <v>0.89191375641159731</v>
      </c>
      <c r="N753" s="47">
        <f t="shared" si="92"/>
        <v>1.5270434398393127E-2</v>
      </c>
      <c r="O753" s="47">
        <f t="shared" si="93"/>
        <v>1.4169016429484703E-2</v>
      </c>
      <c r="P753" s="47">
        <f t="shared" si="94"/>
        <v>5.9331422216625004E-2</v>
      </c>
      <c r="Q753" s="47">
        <f t="shared" si="95"/>
        <v>1</v>
      </c>
    </row>
    <row r="754" spans="1:17" x14ac:dyDescent="0.35">
      <c r="A754" s="82">
        <v>751</v>
      </c>
      <c r="B754" s="83" t="str">
        <f>_xlfn.XLOOKUP(A754,'TAZs by City - CCAG Model'!$A:$A,'TAZs by City - CCAG Model'!$B:$B,"Unknown")</f>
        <v>San Jose</v>
      </c>
      <c r="C754" s="82">
        <f>_xlfn.XLOOKUP(A754,'TAZs by City - CCAG Model'!$A:$A,'TAZs by City - CCAG Model'!$C:$C,999)</f>
        <v>3</v>
      </c>
      <c r="D754" s="82" t="str">
        <f t="shared" si="88"/>
        <v>NO</v>
      </c>
      <c r="E754" s="27">
        <v>6860.46</v>
      </c>
      <c r="F754" s="27">
        <v>3929.82</v>
      </c>
      <c r="G754" s="27">
        <v>127.26</v>
      </c>
      <c r="H754" s="27">
        <v>140.76</v>
      </c>
      <c r="I754" s="27">
        <v>661.82</v>
      </c>
      <c r="J754" s="27">
        <v>11885.02</v>
      </c>
      <c r="K754" s="47">
        <f t="shared" si="89"/>
        <v>0.57723588180751906</v>
      </c>
      <c r="L754" s="47">
        <f t="shared" si="90"/>
        <v>0.33065320882926574</v>
      </c>
      <c r="M754" s="84">
        <f t="shared" si="91"/>
        <v>0.9078890906367848</v>
      </c>
      <c r="N754" s="47">
        <f t="shared" si="92"/>
        <v>1.0707596621629581E-2</v>
      </c>
      <c r="O754" s="47">
        <f t="shared" si="93"/>
        <v>1.1843480280218291E-2</v>
      </c>
      <c r="P754" s="47">
        <f t="shared" si="94"/>
        <v>5.56852239205319E-2</v>
      </c>
      <c r="Q754" s="47">
        <f t="shared" si="95"/>
        <v>1</v>
      </c>
    </row>
    <row r="755" spans="1:17" x14ac:dyDescent="0.35">
      <c r="A755" s="82">
        <v>752</v>
      </c>
      <c r="B755" s="83" t="str">
        <f>_xlfn.XLOOKUP(A755,'TAZs by City - CCAG Model'!$A:$A,'TAZs by City - CCAG Model'!$B:$B,"Unknown")</f>
        <v>San Jose</v>
      </c>
      <c r="C755" s="82">
        <f>_xlfn.XLOOKUP(A755,'TAZs by City - CCAG Model'!$A:$A,'TAZs by City - CCAG Model'!$C:$C,999)</f>
        <v>3</v>
      </c>
      <c r="D755" s="82" t="str">
        <f t="shared" si="88"/>
        <v>NO</v>
      </c>
      <c r="E755" s="27">
        <v>6063.66</v>
      </c>
      <c r="F755" s="27">
        <v>4417.72</v>
      </c>
      <c r="G755" s="27">
        <v>116.68</v>
      </c>
      <c r="H755" s="27">
        <v>142.68</v>
      </c>
      <c r="I755" s="27">
        <v>772.42</v>
      </c>
      <c r="J755" s="27">
        <v>11658.34</v>
      </c>
      <c r="K755" s="47">
        <f t="shared" si="89"/>
        <v>0.52011349814810681</v>
      </c>
      <c r="L755" s="47">
        <f t="shared" si="90"/>
        <v>0.37893216358418097</v>
      </c>
      <c r="M755" s="84">
        <f t="shared" si="91"/>
        <v>0.89904566173228784</v>
      </c>
      <c r="N755" s="47">
        <f t="shared" si="92"/>
        <v>1.0008285913775032E-2</v>
      </c>
      <c r="O755" s="47">
        <f t="shared" si="93"/>
        <v>1.2238449041630284E-2</v>
      </c>
      <c r="P755" s="47">
        <f t="shared" si="94"/>
        <v>6.6254715508382842E-2</v>
      </c>
      <c r="Q755" s="47">
        <f t="shared" si="95"/>
        <v>1</v>
      </c>
    </row>
    <row r="756" spans="1:17" x14ac:dyDescent="0.35">
      <c r="A756" s="82">
        <v>753</v>
      </c>
      <c r="B756" s="83" t="str">
        <f>_xlfn.XLOOKUP(A756,'TAZs by City - CCAG Model'!$A:$A,'TAZs by City - CCAG Model'!$B:$B,"Unknown")</f>
        <v>San Jose</v>
      </c>
      <c r="C756" s="82">
        <f>_xlfn.XLOOKUP(A756,'TAZs by City - CCAG Model'!$A:$A,'TAZs by City - CCAG Model'!$C:$C,999)</f>
        <v>3</v>
      </c>
      <c r="D756" s="82" t="str">
        <f t="shared" si="88"/>
        <v>NO</v>
      </c>
      <c r="E756" s="27">
        <v>11045.92</v>
      </c>
      <c r="F756" s="27">
        <v>5890.04</v>
      </c>
      <c r="G756" s="27">
        <v>231.5</v>
      </c>
      <c r="H756" s="27">
        <v>199.1</v>
      </c>
      <c r="I756" s="27">
        <v>1165.82</v>
      </c>
      <c r="J756" s="27">
        <v>18793.7</v>
      </c>
      <c r="K756" s="47">
        <f t="shared" si="89"/>
        <v>0.58774589357071783</v>
      </c>
      <c r="L756" s="47">
        <f t="shared" si="90"/>
        <v>0.31340502402400805</v>
      </c>
      <c r="M756" s="84">
        <f t="shared" si="91"/>
        <v>0.90115091759472576</v>
      </c>
      <c r="N756" s="47">
        <f t="shared" si="92"/>
        <v>1.2317957613455572E-2</v>
      </c>
      <c r="O756" s="47">
        <f t="shared" si="93"/>
        <v>1.0593975640773237E-2</v>
      </c>
      <c r="P756" s="47">
        <f t="shared" si="94"/>
        <v>6.2032489610880238E-2</v>
      </c>
      <c r="Q756" s="47">
        <f t="shared" si="95"/>
        <v>1</v>
      </c>
    </row>
    <row r="757" spans="1:17" x14ac:dyDescent="0.35">
      <c r="A757" s="82">
        <v>754</v>
      </c>
      <c r="B757" s="83" t="str">
        <f>_xlfn.XLOOKUP(A757,'TAZs by City - CCAG Model'!$A:$A,'TAZs by City - CCAG Model'!$B:$B,"Unknown")</f>
        <v>San Jose</v>
      </c>
      <c r="C757" s="82">
        <f>_xlfn.XLOOKUP(A757,'TAZs by City - CCAG Model'!$A:$A,'TAZs by City - CCAG Model'!$C:$C,999)</f>
        <v>3</v>
      </c>
      <c r="D757" s="82" t="str">
        <f t="shared" si="88"/>
        <v>NO</v>
      </c>
      <c r="E757" s="27">
        <v>10437.4</v>
      </c>
      <c r="F757" s="27">
        <v>5138.8</v>
      </c>
      <c r="G757" s="27">
        <v>539.34</v>
      </c>
      <c r="H757" s="27">
        <v>255.14</v>
      </c>
      <c r="I757" s="27">
        <v>3018.3</v>
      </c>
      <c r="J757" s="27">
        <v>19966.66</v>
      </c>
      <c r="K757" s="47">
        <f t="shared" si="89"/>
        <v>0.5227414099303539</v>
      </c>
      <c r="L757" s="47">
        <f t="shared" si="90"/>
        <v>0.25736903417997803</v>
      </c>
      <c r="M757" s="84">
        <f t="shared" si="91"/>
        <v>0.78011044411033192</v>
      </c>
      <c r="N757" s="47">
        <f t="shared" si="92"/>
        <v>2.7012029052430404E-2</v>
      </c>
      <c r="O757" s="47">
        <f t="shared" si="93"/>
        <v>1.2778301428481277E-2</v>
      </c>
      <c r="P757" s="47">
        <f t="shared" si="94"/>
        <v>0.15116699538130063</v>
      </c>
      <c r="Q757" s="47">
        <f t="shared" si="95"/>
        <v>1</v>
      </c>
    </row>
    <row r="758" spans="1:17" x14ac:dyDescent="0.35">
      <c r="A758" s="82">
        <v>755</v>
      </c>
      <c r="B758" s="83" t="str">
        <f>_xlfn.XLOOKUP(A758,'TAZs by City - CCAG Model'!$A:$A,'TAZs by City - CCAG Model'!$B:$B,"Unknown")</f>
        <v>San Jose</v>
      </c>
      <c r="C758" s="82">
        <f>_xlfn.XLOOKUP(A758,'TAZs by City - CCAG Model'!$A:$A,'TAZs by City - CCAG Model'!$C:$C,999)</f>
        <v>3</v>
      </c>
      <c r="D758" s="82" t="str">
        <f t="shared" si="88"/>
        <v>NO</v>
      </c>
      <c r="E758" s="27">
        <v>583.14</v>
      </c>
      <c r="F758" s="27">
        <v>174.66</v>
      </c>
      <c r="G758" s="27">
        <v>18.28</v>
      </c>
      <c r="H758" s="27">
        <v>4.96</v>
      </c>
      <c r="I758" s="27">
        <v>23.46</v>
      </c>
      <c r="J758" s="27">
        <v>866.64</v>
      </c>
      <c r="K758" s="47">
        <f t="shared" si="89"/>
        <v>0.67287454998615337</v>
      </c>
      <c r="L758" s="47">
        <f t="shared" si="90"/>
        <v>0.20153697036831902</v>
      </c>
      <c r="M758" s="84">
        <f t="shared" si="91"/>
        <v>0.87441152035447245</v>
      </c>
      <c r="N758" s="47">
        <f t="shared" si="92"/>
        <v>2.1092956706360199E-2</v>
      </c>
      <c r="O758" s="47">
        <f t="shared" si="93"/>
        <v>5.7232530231699436E-3</v>
      </c>
      <c r="P758" s="47">
        <f t="shared" si="94"/>
        <v>2.7070063694267517E-2</v>
      </c>
      <c r="Q758" s="47">
        <f t="shared" si="95"/>
        <v>1</v>
      </c>
    </row>
    <row r="759" spans="1:17" x14ac:dyDescent="0.35">
      <c r="A759" s="82">
        <v>756</v>
      </c>
      <c r="B759" s="83" t="str">
        <f>_xlfn.XLOOKUP(A759,'TAZs by City - CCAG Model'!$A:$A,'TAZs by City - CCAG Model'!$B:$B,"Unknown")</f>
        <v>San Jose</v>
      </c>
      <c r="C759" s="82">
        <f>_xlfn.XLOOKUP(A759,'TAZs by City - CCAG Model'!$A:$A,'TAZs by City - CCAG Model'!$C:$C,999)</f>
        <v>3</v>
      </c>
      <c r="D759" s="82" t="str">
        <f t="shared" si="88"/>
        <v>NO</v>
      </c>
      <c r="E759" s="27">
        <v>1733.72</v>
      </c>
      <c r="F759" s="27">
        <v>690.66</v>
      </c>
      <c r="G759" s="27">
        <v>76.92</v>
      </c>
      <c r="H759" s="27">
        <v>32.28</v>
      </c>
      <c r="I759" s="27">
        <v>103.18</v>
      </c>
      <c r="J759" s="27">
        <v>2766.28</v>
      </c>
      <c r="K759" s="47">
        <f t="shared" si="89"/>
        <v>0.62673337478490965</v>
      </c>
      <c r="L759" s="47">
        <f t="shared" si="90"/>
        <v>0.24967103836198792</v>
      </c>
      <c r="M759" s="84">
        <f t="shared" si="91"/>
        <v>0.87640441314689765</v>
      </c>
      <c r="N759" s="47">
        <f t="shared" si="92"/>
        <v>2.7806295819656723E-2</v>
      </c>
      <c r="O759" s="47">
        <f t="shared" si="93"/>
        <v>1.1669100741790419E-2</v>
      </c>
      <c r="P759" s="47">
        <f t="shared" si="94"/>
        <v>3.7299188802290439E-2</v>
      </c>
      <c r="Q759" s="47">
        <f t="shared" si="95"/>
        <v>1</v>
      </c>
    </row>
    <row r="760" spans="1:17" x14ac:dyDescent="0.35">
      <c r="A760" s="82">
        <v>757</v>
      </c>
      <c r="B760" s="83" t="str">
        <f>_xlfn.XLOOKUP(A760,'TAZs by City - CCAG Model'!$A:$A,'TAZs by City - CCAG Model'!$B:$B,"Unknown")</f>
        <v>San Jose</v>
      </c>
      <c r="C760" s="82">
        <f>_xlfn.XLOOKUP(A760,'TAZs by City - CCAG Model'!$A:$A,'TAZs by City - CCAG Model'!$C:$C,999)</f>
        <v>3</v>
      </c>
      <c r="D760" s="82" t="str">
        <f t="shared" si="88"/>
        <v>NO</v>
      </c>
      <c r="E760" s="27">
        <v>630.38</v>
      </c>
      <c r="F760" s="27">
        <v>199.18</v>
      </c>
      <c r="G760" s="27">
        <v>20.96</v>
      </c>
      <c r="H760" s="27">
        <v>5.9</v>
      </c>
      <c r="I760" s="27">
        <v>35.9</v>
      </c>
      <c r="J760" s="27">
        <v>957.9</v>
      </c>
      <c r="K760" s="47">
        <f t="shared" si="89"/>
        <v>0.6580853951351916</v>
      </c>
      <c r="L760" s="47">
        <f t="shared" si="90"/>
        <v>0.2079340223405366</v>
      </c>
      <c r="M760" s="84">
        <f t="shared" si="91"/>
        <v>0.86601941747572808</v>
      </c>
      <c r="N760" s="47">
        <f t="shared" si="92"/>
        <v>2.1881198454953545E-2</v>
      </c>
      <c r="O760" s="47">
        <f t="shared" si="93"/>
        <v>6.1593068169955119E-3</v>
      </c>
      <c r="P760" s="47">
        <f t="shared" si="94"/>
        <v>3.7477816055955737E-2</v>
      </c>
      <c r="Q760" s="47">
        <f t="shared" si="95"/>
        <v>1</v>
      </c>
    </row>
    <row r="761" spans="1:17" x14ac:dyDescent="0.35">
      <c r="A761" s="82">
        <v>758</v>
      </c>
      <c r="B761" s="83" t="str">
        <f>_xlfn.XLOOKUP(A761,'TAZs by City - CCAG Model'!$A:$A,'TAZs by City - CCAG Model'!$B:$B,"Unknown")</f>
        <v>San Jose</v>
      </c>
      <c r="C761" s="82">
        <f>_xlfn.XLOOKUP(A761,'TAZs by City - CCAG Model'!$A:$A,'TAZs by City - CCAG Model'!$C:$C,999)</f>
        <v>3</v>
      </c>
      <c r="D761" s="82" t="str">
        <f t="shared" si="88"/>
        <v>NO</v>
      </c>
      <c r="E761" s="27">
        <v>594.72</v>
      </c>
      <c r="F761" s="27">
        <v>180.98</v>
      </c>
      <c r="G761" s="27">
        <v>12.48</v>
      </c>
      <c r="H761" s="27">
        <v>5.6</v>
      </c>
      <c r="I761" s="27">
        <v>34.6</v>
      </c>
      <c r="J761" s="27">
        <v>884.04</v>
      </c>
      <c r="K761" s="47">
        <f t="shared" si="89"/>
        <v>0.67272974073571334</v>
      </c>
      <c r="L761" s="47">
        <f t="shared" si="90"/>
        <v>0.20471924347314602</v>
      </c>
      <c r="M761" s="84">
        <f t="shared" si="91"/>
        <v>0.87744898420885942</v>
      </c>
      <c r="N761" s="47">
        <f t="shared" si="92"/>
        <v>1.4117008280168319E-2</v>
      </c>
      <c r="O761" s="47">
        <f t="shared" si="93"/>
        <v>6.3345549975114251E-3</v>
      </c>
      <c r="P761" s="47">
        <f t="shared" si="94"/>
        <v>3.9138500520338453E-2</v>
      </c>
      <c r="Q761" s="47">
        <f t="shared" si="95"/>
        <v>1</v>
      </c>
    </row>
    <row r="762" spans="1:17" x14ac:dyDescent="0.35">
      <c r="A762" s="82">
        <v>759</v>
      </c>
      <c r="B762" s="83" t="str">
        <f>_xlfn.XLOOKUP(A762,'TAZs by City - CCAG Model'!$A:$A,'TAZs by City - CCAG Model'!$B:$B,"Unknown")</f>
        <v>San Jose</v>
      </c>
      <c r="C762" s="82">
        <f>_xlfn.XLOOKUP(A762,'TAZs by City - CCAG Model'!$A:$A,'TAZs by City - CCAG Model'!$C:$C,999)</f>
        <v>3</v>
      </c>
      <c r="D762" s="82" t="str">
        <f t="shared" si="88"/>
        <v>NO</v>
      </c>
      <c r="E762" s="27">
        <v>3594.26</v>
      </c>
      <c r="F762" s="27">
        <v>1226.1400000000001</v>
      </c>
      <c r="G762" s="27">
        <v>155.86000000000001</v>
      </c>
      <c r="H762" s="27">
        <v>57.6</v>
      </c>
      <c r="I762" s="27">
        <v>209.42</v>
      </c>
      <c r="J762" s="27">
        <v>5443.38</v>
      </c>
      <c r="K762" s="47">
        <f t="shared" si="89"/>
        <v>0.66029929933240017</v>
      </c>
      <c r="L762" s="47">
        <f t="shared" si="90"/>
        <v>0.22525342709860419</v>
      </c>
      <c r="M762" s="84">
        <f t="shared" si="91"/>
        <v>0.88555272643100436</v>
      </c>
      <c r="N762" s="47">
        <f t="shared" si="92"/>
        <v>2.8632944971690385E-2</v>
      </c>
      <c r="O762" s="47">
        <f t="shared" si="93"/>
        <v>1.058166065936973E-2</v>
      </c>
      <c r="P762" s="47">
        <f t="shared" si="94"/>
        <v>3.8472419709812647E-2</v>
      </c>
      <c r="Q762" s="47">
        <f t="shared" si="95"/>
        <v>1</v>
      </c>
    </row>
    <row r="763" spans="1:17" x14ac:dyDescent="0.35">
      <c r="A763" s="82">
        <v>760</v>
      </c>
      <c r="B763" s="83" t="str">
        <f>_xlfn.XLOOKUP(A763,'TAZs by City - CCAG Model'!$A:$A,'TAZs by City - CCAG Model'!$B:$B,"Unknown")</f>
        <v>San Jose</v>
      </c>
      <c r="C763" s="82">
        <f>_xlfn.XLOOKUP(A763,'TAZs by City - CCAG Model'!$A:$A,'TAZs by City - CCAG Model'!$C:$C,999)</f>
        <v>3</v>
      </c>
      <c r="D763" s="82" t="str">
        <f t="shared" si="88"/>
        <v>NO</v>
      </c>
      <c r="E763" s="27">
        <v>3859.44</v>
      </c>
      <c r="F763" s="27">
        <v>1734.16</v>
      </c>
      <c r="G763" s="27">
        <v>135.97999999999999</v>
      </c>
      <c r="H763" s="27">
        <v>76.78</v>
      </c>
      <c r="I763" s="27">
        <v>1359.68</v>
      </c>
      <c r="J763" s="27">
        <v>7351.16</v>
      </c>
      <c r="K763" s="47">
        <f t="shared" si="89"/>
        <v>0.52501101866916244</v>
      </c>
      <c r="L763" s="47">
        <f t="shared" si="90"/>
        <v>0.23590290511973622</v>
      </c>
      <c r="M763" s="84">
        <f t="shared" si="91"/>
        <v>0.76091392378889866</v>
      </c>
      <c r="N763" s="47">
        <f t="shared" si="92"/>
        <v>1.8497760897599833E-2</v>
      </c>
      <c r="O763" s="47">
        <f t="shared" si="93"/>
        <v>1.0444610102351193E-2</v>
      </c>
      <c r="P763" s="47">
        <f t="shared" si="94"/>
        <v>0.18496128502168366</v>
      </c>
      <c r="Q763" s="47">
        <f t="shared" si="95"/>
        <v>1</v>
      </c>
    </row>
    <row r="764" spans="1:17" x14ac:dyDescent="0.35">
      <c r="A764" s="82">
        <v>761</v>
      </c>
      <c r="B764" s="83" t="str">
        <f>_xlfn.XLOOKUP(A764,'TAZs by City - CCAG Model'!$A:$A,'TAZs by City - CCAG Model'!$B:$B,"Unknown")</f>
        <v>San Jose</v>
      </c>
      <c r="C764" s="82">
        <f>_xlfn.XLOOKUP(A764,'TAZs by City - CCAG Model'!$A:$A,'TAZs by City - CCAG Model'!$C:$C,999)</f>
        <v>3</v>
      </c>
      <c r="D764" s="82" t="str">
        <f t="shared" si="88"/>
        <v>NO</v>
      </c>
      <c r="E764" s="27">
        <v>4315.6400000000003</v>
      </c>
      <c r="F764" s="27">
        <v>2231.04</v>
      </c>
      <c r="G764" s="27">
        <v>222.04</v>
      </c>
      <c r="H764" s="27">
        <v>105.08</v>
      </c>
      <c r="I764" s="27">
        <v>1637.9</v>
      </c>
      <c r="J764" s="27">
        <v>8780.5400000000009</v>
      </c>
      <c r="K764" s="47">
        <f t="shared" si="89"/>
        <v>0.49150052274689254</v>
      </c>
      <c r="L764" s="47">
        <f t="shared" si="90"/>
        <v>0.25408915624779338</v>
      </c>
      <c r="M764" s="84">
        <f t="shared" si="91"/>
        <v>0.74558967899468598</v>
      </c>
      <c r="N764" s="47">
        <f t="shared" si="92"/>
        <v>2.5287738567331845E-2</v>
      </c>
      <c r="O764" s="47">
        <f t="shared" si="93"/>
        <v>1.1967373305058685E-2</v>
      </c>
      <c r="P764" s="47">
        <f t="shared" si="94"/>
        <v>0.18653750224929216</v>
      </c>
      <c r="Q764" s="47">
        <f t="shared" si="95"/>
        <v>1</v>
      </c>
    </row>
    <row r="765" spans="1:17" x14ac:dyDescent="0.35">
      <c r="A765" s="82">
        <v>762</v>
      </c>
      <c r="B765" s="83" t="str">
        <f>_xlfn.XLOOKUP(A765,'TAZs by City - CCAG Model'!$A:$A,'TAZs by City - CCAG Model'!$B:$B,"Unknown")</f>
        <v>San Jose</v>
      </c>
      <c r="C765" s="82">
        <f>_xlfn.XLOOKUP(A765,'TAZs by City - CCAG Model'!$A:$A,'TAZs by City - CCAG Model'!$C:$C,999)</f>
        <v>3</v>
      </c>
      <c r="D765" s="82" t="str">
        <f t="shared" si="88"/>
        <v>NO</v>
      </c>
      <c r="E765" s="27">
        <v>1512</v>
      </c>
      <c r="F765" s="27">
        <v>879.58</v>
      </c>
      <c r="G765" s="27">
        <v>57.6</v>
      </c>
      <c r="H765" s="27">
        <v>36.340000000000003</v>
      </c>
      <c r="I765" s="27">
        <v>404.1</v>
      </c>
      <c r="J765" s="27">
        <v>2995.36</v>
      </c>
      <c r="K765" s="47">
        <f t="shared" si="89"/>
        <v>0.50478072752523906</v>
      </c>
      <c r="L765" s="47">
        <f t="shared" si="90"/>
        <v>0.29364750814593238</v>
      </c>
      <c r="M765" s="84">
        <f t="shared" si="91"/>
        <v>0.79842823567117138</v>
      </c>
      <c r="N765" s="47">
        <f t="shared" si="92"/>
        <v>1.9229742000961485E-2</v>
      </c>
      <c r="O765" s="47">
        <f t="shared" si="93"/>
        <v>1.2132097644356606E-2</v>
      </c>
      <c r="P765" s="47">
        <f t="shared" si="94"/>
        <v>0.13490865872549543</v>
      </c>
      <c r="Q765" s="47">
        <f t="shared" si="95"/>
        <v>1</v>
      </c>
    </row>
    <row r="766" spans="1:17" x14ac:dyDescent="0.35">
      <c r="A766" s="82">
        <v>763</v>
      </c>
      <c r="B766" s="83" t="str">
        <f>_xlfn.XLOOKUP(A766,'TAZs by City - CCAG Model'!$A:$A,'TAZs by City - CCAG Model'!$B:$B,"Unknown")</f>
        <v>San Jose</v>
      </c>
      <c r="C766" s="82">
        <f>_xlfn.XLOOKUP(A766,'TAZs by City - CCAG Model'!$A:$A,'TAZs by City - CCAG Model'!$C:$C,999)</f>
        <v>3</v>
      </c>
      <c r="D766" s="82" t="str">
        <f t="shared" si="88"/>
        <v>NO</v>
      </c>
      <c r="E766" s="27">
        <v>2593.58</v>
      </c>
      <c r="F766" s="27">
        <v>1263.6199999999999</v>
      </c>
      <c r="G766" s="27">
        <v>99.48</v>
      </c>
      <c r="H766" s="27">
        <v>48.76</v>
      </c>
      <c r="I766" s="27">
        <v>812.76</v>
      </c>
      <c r="J766" s="27">
        <v>4969.9799999999996</v>
      </c>
      <c r="K766" s="47">
        <f t="shared" si="89"/>
        <v>0.52184918249168011</v>
      </c>
      <c r="L766" s="47">
        <f t="shared" si="90"/>
        <v>0.2542505201228174</v>
      </c>
      <c r="M766" s="84">
        <f t="shared" si="91"/>
        <v>0.77609970261449746</v>
      </c>
      <c r="N766" s="47">
        <f t="shared" si="92"/>
        <v>2.0016177127473351E-2</v>
      </c>
      <c r="O766" s="47">
        <f t="shared" si="93"/>
        <v>9.8109046716485793E-3</v>
      </c>
      <c r="P766" s="47">
        <f t="shared" si="94"/>
        <v>0.16353385727910374</v>
      </c>
      <c r="Q766" s="47">
        <f t="shared" si="95"/>
        <v>1</v>
      </c>
    </row>
    <row r="767" spans="1:17" x14ac:dyDescent="0.35">
      <c r="A767" s="82">
        <v>764</v>
      </c>
      <c r="B767" s="83" t="str">
        <f>_xlfn.XLOOKUP(A767,'TAZs by City - CCAG Model'!$A:$A,'TAZs by City - CCAG Model'!$B:$B,"Unknown")</f>
        <v>San Jose</v>
      </c>
      <c r="C767" s="82">
        <f>_xlfn.XLOOKUP(A767,'TAZs by City - CCAG Model'!$A:$A,'TAZs by City - CCAG Model'!$C:$C,999)</f>
        <v>3</v>
      </c>
      <c r="D767" s="82" t="str">
        <f t="shared" si="88"/>
        <v>NO</v>
      </c>
      <c r="E767" s="27">
        <v>1194.0999999999999</v>
      </c>
      <c r="F767" s="27">
        <v>435.16</v>
      </c>
      <c r="G767" s="27">
        <v>71.06</v>
      </c>
      <c r="H767" s="27">
        <v>18.34</v>
      </c>
      <c r="I767" s="27">
        <v>125.72</v>
      </c>
      <c r="J767" s="27">
        <v>1972.1</v>
      </c>
      <c r="K767" s="47">
        <f t="shared" si="89"/>
        <v>0.6054966786674103</v>
      </c>
      <c r="L767" s="47">
        <f t="shared" si="90"/>
        <v>0.22065818163379142</v>
      </c>
      <c r="M767" s="84">
        <f t="shared" si="91"/>
        <v>0.82615486030120178</v>
      </c>
      <c r="N767" s="47">
        <f t="shared" si="92"/>
        <v>3.6032655544850668E-2</v>
      </c>
      <c r="O767" s="47">
        <f t="shared" si="93"/>
        <v>9.299731250950764E-3</v>
      </c>
      <c r="P767" s="47">
        <f t="shared" si="94"/>
        <v>6.374930277369302E-2</v>
      </c>
      <c r="Q767" s="47">
        <f t="shared" si="95"/>
        <v>1</v>
      </c>
    </row>
    <row r="768" spans="1:17" x14ac:dyDescent="0.35">
      <c r="A768" s="82">
        <v>765</v>
      </c>
      <c r="B768" s="83" t="str">
        <f>_xlfn.XLOOKUP(A768,'TAZs by City - CCAG Model'!$A:$A,'TAZs by City - CCAG Model'!$B:$B,"Unknown")</f>
        <v>San Jose</v>
      </c>
      <c r="C768" s="82">
        <f>_xlfn.XLOOKUP(A768,'TAZs by City - CCAG Model'!$A:$A,'TAZs by City - CCAG Model'!$C:$C,999)</f>
        <v>3</v>
      </c>
      <c r="D768" s="82" t="str">
        <f t="shared" si="88"/>
        <v>NO</v>
      </c>
      <c r="E768" s="27">
        <v>6680.56</v>
      </c>
      <c r="F768" s="27">
        <v>2320.56</v>
      </c>
      <c r="G768" s="27">
        <v>275.95999999999998</v>
      </c>
      <c r="H768" s="27">
        <v>107.66</v>
      </c>
      <c r="I768" s="27">
        <v>580.34</v>
      </c>
      <c r="J768" s="27">
        <v>10280.4</v>
      </c>
      <c r="K768" s="47">
        <f t="shared" si="89"/>
        <v>0.64983463678456099</v>
      </c>
      <c r="L768" s="47">
        <f t="shared" si="90"/>
        <v>0.22572662542313529</v>
      </c>
      <c r="M768" s="84">
        <f t="shared" si="91"/>
        <v>0.87556126220769626</v>
      </c>
      <c r="N768" s="47">
        <f t="shared" si="92"/>
        <v>2.6843313489747479E-2</v>
      </c>
      <c r="O768" s="47">
        <f t="shared" si="93"/>
        <v>1.0472355161277772E-2</v>
      </c>
      <c r="P768" s="47">
        <f t="shared" si="94"/>
        <v>5.6451110851717834E-2</v>
      </c>
      <c r="Q768" s="47">
        <f t="shared" si="95"/>
        <v>1</v>
      </c>
    </row>
    <row r="769" spans="1:17" x14ac:dyDescent="0.35">
      <c r="A769" s="82">
        <v>766</v>
      </c>
      <c r="B769" s="83" t="str">
        <f>_xlfn.XLOOKUP(A769,'TAZs by City - CCAG Model'!$A:$A,'TAZs by City - CCAG Model'!$B:$B,"Unknown")</f>
        <v>San Jose</v>
      </c>
      <c r="C769" s="82">
        <f>_xlfn.XLOOKUP(A769,'TAZs by City - CCAG Model'!$A:$A,'TAZs by City - CCAG Model'!$C:$C,999)</f>
        <v>3</v>
      </c>
      <c r="D769" s="82" t="str">
        <f t="shared" si="88"/>
        <v>NO</v>
      </c>
      <c r="E769" s="27">
        <v>2988.16</v>
      </c>
      <c r="F769" s="27">
        <v>1286.06</v>
      </c>
      <c r="G769" s="27">
        <v>1065.68</v>
      </c>
      <c r="H769" s="27">
        <v>79.86</v>
      </c>
      <c r="I769" s="27">
        <v>656.76</v>
      </c>
      <c r="J769" s="27">
        <v>7183.48</v>
      </c>
      <c r="K769" s="47">
        <f t="shared" si="89"/>
        <v>0.41597665755316365</v>
      </c>
      <c r="L769" s="47">
        <f t="shared" si="90"/>
        <v>0.17903021933658894</v>
      </c>
      <c r="M769" s="84">
        <f t="shared" si="91"/>
        <v>0.59500687688975251</v>
      </c>
      <c r="N769" s="47">
        <f t="shared" si="92"/>
        <v>0.14835149537550046</v>
      </c>
      <c r="O769" s="47">
        <f t="shared" si="93"/>
        <v>1.1117174405719792E-2</v>
      </c>
      <c r="P769" s="47">
        <f t="shared" si="94"/>
        <v>9.1426439552974331E-2</v>
      </c>
      <c r="Q769" s="47">
        <f t="shared" si="95"/>
        <v>1</v>
      </c>
    </row>
    <row r="770" spans="1:17" x14ac:dyDescent="0.35">
      <c r="A770" s="82">
        <v>767</v>
      </c>
      <c r="B770" s="83" t="str">
        <f>_xlfn.XLOOKUP(A770,'TAZs by City - CCAG Model'!$A:$A,'TAZs by City - CCAG Model'!$B:$B,"Unknown")</f>
        <v>San Jose</v>
      </c>
      <c r="C770" s="82">
        <f>_xlfn.XLOOKUP(A770,'TAZs by City - CCAG Model'!$A:$A,'TAZs by City - CCAG Model'!$C:$C,999)</f>
        <v>3</v>
      </c>
      <c r="D770" s="82" t="str">
        <f t="shared" si="88"/>
        <v>NO</v>
      </c>
      <c r="E770" s="27">
        <v>7129.02</v>
      </c>
      <c r="F770" s="27">
        <v>3609.56</v>
      </c>
      <c r="G770" s="27">
        <v>825.98</v>
      </c>
      <c r="H770" s="27">
        <v>199.38</v>
      </c>
      <c r="I770" s="27">
        <v>907.78</v>
      </c>
      <c r="J770" s="27">
        <v>13533.48</v>
      </c>
      <c r="K770" s="47">
        <f t="shared" si="89"/>
        <v>0.52676916801886886</v>
      </c>
      <c r="L770" s="47">
        <f t="shared" si="90"/>
        <v>0.26671336566795828</v>
      </c>
      <c r="M770" s="84">
        <f t="shared" si="91"/>
        <v>0.79348253368682709</v>
      </c>
      <c r="N770" s="47">
        <f t="shared" si="92"/>
        <v>6.1032343491843936E-2</v>
      </c>
      <c r="O770" s="47">
        <f t="shared" si="93"/>
        <v>1.4732352654306209E-2</v>
      </c>
      <c r="P770" s="47">
        <f t="shared" si="94"/>
        <v>6.7076612962815182E-2</v>
      </c>
      <c r="Q770" s="47">
        <f t="shared" si="95"/>
        <v>1</v>
      </c>
    </row>
    <row r="771" spans="1:17" x14ac:dyDescent="0.35">
      <c r="A771" s="82">
        <v>768</v>
      </c>
      <c r="B771" s="83" t="str">
        <f>_xlfn.XLOOKUP(A771,'TAZs by City - CCAG Model'!$A:$A,'TAZs by City - CCAG Model'!$B:$B,"Unknown")</f>
        <v>San Jose</v>
      </c>
      <c r="C771" s="82">
        <f>_xlfn.XLOOKUP(A771,'TAZs by City - CCAG Model'!$A:$A,'TAZs by City - CCAG Model'!$C:$C,999)</f>
        <v>3</v>
      </c>
      <c r="D771" s="82" t="str">
        <f t="shared" si="88"/>
        <v>NO</v>
      </c>
      <c r="E771" s="27">
        <v>9489.7000000000007</v>
      </c>
      <c r="F771" s="27">
        <v>3776.14</v>
      </c>
      <c r="G771" s="27">
        <v>519.84</v>
      </c>
      <c r="H771" s="27">
        <v>194</v>
      </c>
      <c r="I771" s="27">
        <v>942.28</v>
      </c>
      <c r="J771" s="27">
        <v>15472.4</v>
      </c>
      <c r="K771" s="47">
        <f t="shared" si="89"/>
        <v>0.61333083425971413</v>
      </c>
      <c r="L771" s="47">
        <f t="shared" si="90"/>
        <v>0.24405651353377628</v>
      </c>
      <c r="M771" s="84">
        <f t="shared" si="91"/>
        <v>0.85738734779349035</v>
      </c>
      <c r="N771" s="47">
        <f t="shared" si="92"/>
        <v>3.3597890437165538E-2</v>
      </c>
      <c r="O771" s="47">
        <f t="shared" si="93"/>
        <v>1.2538455572503297E-2</v>
      </c>
      <c r="P771" s="47">
        <f t="shared" si="94"/>
        <v>6.0900700602362919E-2</v>
      </c>
      <c r="Q771" s="47">
        <f t="shared" si="95"/>
        <v>1</v>
      </c>
    </row>
    <row r="772" spans="1:17" x14ac:dyDescent="0.35">
      <c r="A772" s="82">
        <v>769</v>
      </c>
      <c r="B772" s="83" t="str">
        <f>_xlfn.XLOOKUP(A772,'TAZs by City - CCAG Model'!$A:$A,'TAZs by City - CCAG Model'!$B:$B,"Unknown")</f>
        <v>San Jose</v>
      </c>
      <c r="C772" s="82">
        <f>_xlfn.XLOOKUP(A772,'TAZs by City - CCAG Model'!$A:$A,'TAZs by City - CCAG Model'!$C:$C,999)</f>
        <v>3</v>
      </c>
      <c r="D772" s="82" t="str">
        <f t="shared" si="88"/>
        <v>NO</v>
      </c>
      <c r="E772" s="27">
        <v>5422.52</v>
      </c>
      <c r="F772" s="27">
        <v>2293.38</v>
      </c>
      <c r="G772" s="27">
        <v>239.62</v>
      </c>
      <c r="H772" s="27">
        <v>107.68</v>
      </c>
      <c r="I772" s="27">
        <v>556.86</v>
      </c>
      <c r="J772" s="27">
        <v>8898.4</v>
      </c>
      <c r="K772" s="47">
        <f t="shared" si="89"/>
        <v>0.60938146183583575</v>
      </c>
      <c r="L772" s="47">
        <f t="shared" si="90"/>
        <v>0.25772947945698105</v>
      </c>
      <c r="M772" s="84">
        <f t="shared" si="91"/>
        <v>0.86711094129281674</v>
      </c>
      <c r="N772" s="47">
        <f t="shared" si="92"/>
        <v>2.6928436572867035E-2</v>
      </c>
      <c r="O772" s="47">
        <f t="shared" si="93"/>
        <v>1.2101051874494293E-2</v>
      </c>
      <c r="P772" s="47">
        <f t="shared" si="94"/>
        <v>6.2579789625101148E-2</v>
      </c>
      <c r="Q772" s="47">
        <f t="shared" si="95"/>
        <v>1</v>
      </c>
    </row>
    <row r="773" spans="1:17" x14ac:dyDescent="0.35">
      <c r="A773" s="82">
        <v>770</v>
      </c>
      <c r="B773" s="83" t="str">
        <f>_xlfn.XLOOKUP(A773,'TAZs by City - CCAG Model'!$A:$A,'TAZs by City - CCAG Model'!$B:$B,"Unknown")</f>
        <v>San Jose</v>
      </c>
      <c r="C773" s="82">
        <f>_xlfn.XLOOKUP(A773,'TAZs by City - CCAG Model'!$A:$A,'TAZs by City - CCAG Model'!$C:$C,999)</f>
        <v>3</v>
      </c>
      <c r="D773" s="82" t="str">
        <f t="shared" ref="D773:D836" si="96">IF(C773=2,"YES","NO")</f>
        <v>NO</v>
      </c>
      <c r="E773" s="27">
        <v>13361.32</v>
      </c>
      <c r="F773" s="27">
        <v>6731.18</v>
      </c>
      <c r="G773" s="27">
        <v>710.92</v>
      </c>
      <c r="H773" s="27">
        <v>317.66000000000003</v>
      </c>
      <c r="I773" s="27">
        <v>1536.72</v>
      </c>
      <c r="J773" s="27">
        <v>23399.02</v>
      </c>
      <c r="K773" s="47">
        <f t="shared" ref="K773:K836" si="97">IFERROR(E773/$J773,0)</f>
        <v>0.571020495730163</v>
      </c>
      <c r="L773" s="47">
        <f t="shared" ref="L773:L836" si="98">IFERROR(F773/$J773,0)</f>
        <v>0.28766931264642709</v>
      </c>
      <c r="M773" s="84">
        <f t="shared" ref="M773:M836" si="99">IFERROR((E773+F773)/J773,0)</f>
        <v>0.85868980837659015</v>
      </c>
      <c r="N773" s="47">
        <f t="shared" ref="N773:N836" si="100">IFERROR(G773/$J773,0)</f>
        <v>3.0382469009385862E-2</v>
      </c>
      <c r="O773" s="47">
        <f t="shared" ref="O773:O836" si="101">IFERROR(H773/$J773,0)</f>
        <v>1.3575782233614914E-2</v>
      </c>
      <c r="P773" s="47">
        <f t="shared" ref="P773:P836" si="102">IFERROR(I773/$J773,0)</f>
        <v>6.567454534420672E-2</v>
      </c>
      <c r="Q773" s="47">
        <f t="shared" ref="Q773:Q836" si="103">IFERROR(J773/$J773,0)</f>
        <v>1</v>
      </c>
    </row>
    <row r="774" spans="1:17" x14ac:dyDescent="0.35">
      <c r="A774" s="82">
        <v>771</v>
      </c>
      <c r="B774" s="83" t="str">
        <f>_xlfn.XLOOKUP(A774,'TAZs by City - CCAG Model'!$A:$A,'TAZs by City - CCAG Model'!$B:$B,"Unknown")</f>
        <v>San Jose</v>
      </c>
      <c r="C774" s="82">
        <f>_xlfn.XLOOKUP(A774,'TAZs by City - CCAG Model'!$A:$A,'TAZs by City - CCAG Model'!$C:$C,999)</f>
        <v>3</v>
      </c>
      <c r="D774" s="82" t="str">
        <f t="shared" si="96"/>
        <v>NO</v>
      </c>
      <c r="E774" s="27">
        <v>4345.4399999999996</v>
      </c>
      <c r="F774" s="27">
        <v>2406.98</v>
      </c>
      <c r="G774" s="27">
        <v>160.84</v>
      </c>
      <c r="H774" s="27">
        <v>103.84</v>
      </c>
      <c r="I774" s="27">
        <v>485.96</v>
      </c>
      <c r="J774" s="27">
        <v>7704.14</v>
      </c>
      <c r="K774" s="47">
        <f t="shared" si="97"/>
        <v>0.56403959429605377</v>
      </c>
      <c r="L774" s="47">
        <f t="shared" si="98"/>
        <v>0.31242682505769626</v>
      </c>
      <c r="M774" s="84">
        <f t="shared" si="99"/>
        <v>0.87646641935375003</v>
      </c>
      <c r="N774" s="47">
        <f t="shared" si="100"/>
        <v>2.0877086864984282E-2</v>
      </c>
      <c r="O774" s="47">
        <f t="shared" si="101"/>
        <v>1.3478467421412383E-2</v>
      </c>
      <c r="P774" s="47">
        <f t="shared" si="102"/>
        <v>6.3077773768389453E-2</v>
      </c>
      <c r="Q774" s="47">
        <f t="shared" si="103"/>
        <v>1</v>
      </c>
    </row>
    <row r="775" spans="1:17" x14ac:dyDescent="0.35">
      <c r="A775" s="82">
        <v>772</v>
      </c>
      <c r="B775" s="83" t="str">
        <f>_xlfn.XLOOKUP(A775,'TAZs by City - CCAG Model'!$A:$A,'TAZs by City - CCAG Model'!$B:$B,"Unknown")</f>
        <v>San Jose</v>
      </c>
      <c r="C775" s="82">
        <f>_xlfn.XLOOKUP(A775,'TAZs by City - CCAG Model'!$A:$A,'TAZs by City - CCAG Model'!$C:$C,999)</f>
        <v>3</v>
      </c>
      <c r="D775" s="82" t="str">
        <f t="shared" si="96"/>
        <v>NO</v>
      </c>
      <c r="E775" s="27">
        <v>2098.6999999999998</v>
      </c>
      <c r="F775" s="27">
        <v>1274.8800000000001</v>
      </c>
      <c r="G775" s="27">
        <v>61.7</v>
      </c>
      <c r="H775" s="27">
        <v>48.22</v>
      </c>
      <c r="I775" s="27">
        <v>509.96</v>
      </c>
      <c r="J775" s="27">
        <v>4098.4399999999996</v>
      </c>
      <c r="K775" s="47">
        <f t="shared" si="97"/>
        <v>0.51207288626892189</v>
      </c>
      <c r="L775" s="47">
        <f t="shared" si="98"/>
        <v>0.31106469778745088</v>
      </c>
      <c r="M775" s="84">
        <f t="shared" si="99"/>
        <v>0.82313758405637272</v>
      </c>
      <c r="N775" s="47">
        <f t="shared" si="100"/>
        <v>1.5054508544714577E-2</v>
      </c>
      <c r="O775" s="47">
        <f t="shared" si="101"/>
        <v>1.1765452220845005E-2</v>
      </c>
      <c r="P775" s="47">
        <f t="shared" si="102"/>
        <v>0.12442783107719035</v>
      </c>
      <c r="Q775" s="47">
        <f t="shared" si="103"/>
        <v>1</v>
      </c>
    </row>
    <row r="776" spans="1:17" x14ac:dyDescent="0.35">
      <c r="A776" s="82">
        <v>773</v>
      </c>
      <c r="B776" s="83" t="str">
        <f>_xlfn.XLOOKUP(A776,'TAZs by City - CCAG Model'!$A:$A,'TAZs by City - CCAG Model'!$B:$B,"Unknown")</f>
        <v>San Jose</v>
      </c>
      <c r="C776" s="82">
        <f>_xlfn.XLOOKUP(A776,'TAZs by City - CCAG Model'!$A:$A,'TAZs by City - CCAG Model'!$C:$C,999)</f>
        <v>3</v>
      </c>
      <c r="D776" s="82" t="str">
        <f t="shared" si="96"/>
        <v>NO</v>
      </c>
      <c r="E776" s="27">
        <v>3038.44</v>
      </c>
      <c r="F776" s="27">
        <v>1602.72</v>
      </c>
      <c r="G776" s="27">
        <v>94.46</v>
      </c>
      <c r="H776" s="27">
        <v>65.36</v>
      </c>
      <c r="I776" s="27">
        <v>963.4</v>
      </c>
      <c r="J776" s="27">
        <v>5907.12</v>
      </c>
      <c r="K776" s="47">
        <f t="shared" si="97"/>
        <v>0.51436910033992878</v>
      </c>
      <c r="L776" s="47">
        <f t="shared" si="98"/>
        <v>0.27132003412830619</v>
      </c>
      <c r="M776" s="84">
        <f t="shared" si="99"/>
        <v>0.78568913446823496</v>
      </c>
      <c r="N776" s="47">
        <f t="shared" si="100"/>
        <v>1.5990872032394805E-2</v>
      </c>
      <c r="O776" s="47">
        <f t="shared" si="101"/>
        <v>1.106461355110443E-2</v>
      </c>
      <c r="P776" s="47">
        <f t="shared" si="102"/>
        <v>0.16309132030498788</v>
      </c>
      <c r="Q776" s="47">
        <f t="shared" si="103"/>
        <v>1</v>
      </c>
    </row>
    <row r="777" spans="1:17" x14ac:dyDescent="0.35">
      <c r="A777" s="82">
        <v>774</v>
      </c>
      <c r="B777" s="83" t="str">
        <f>_xlfn.XLOOKUP(A777,'TAZs by City - CCAG Model'!$A:$A,'TAZs by City - CCAG Model'!$B:$B,"Unknown")</f>
        <v>San Jose</v>
      </c>
      <c r="C777" s="82">
        <f>_xlfn.XLOOKUP(A777,'TAZs by City - CCAG Model'!$A:$A,'TAZs by City - CCAG Model'!$C:$C,999)</f>
        <v>3</v>
      </c>
      <c r="D777" s="82" t="str">
        <f t="shared" si="96"/>
        <v>NO</v>
      </c>
      <c r="E777" s="27">
        <v>1684.04</v>
      </c>
      <c r="F777" s="27">
        <v>832.76</v>
      </c>
      <c r="G777" s="27">
        <v>37.5</v>
      </c>
      <c r="H777" s="27">
        <v>30.9</v>
      </c>
      <c r="I777" s="27">
        <v>455.38</v>
      </c>
      <c r="J777" s="27">
        <v>3125.18</v>
      </c>
      <c r="K777" s="47">
        <f t="shared" si="97"/>
        <v>0.53886176156253407</v>
      </c>
      <c r="L777" s="47">
        <f t="shared" si="98"/>
        <v>0.26646785145175639</v>
      </c>
      <c r="M777" s="84">
        <f t="shared" si="99"/>
        <v>0.80532961301429051</v>
      </c>
      <c r="N777" s="47">
        <f t="shared" si="100"/>
        <v>1.1999308839810827E-2</v>
      </c>
      <c r="O777" s="47">
        <f t="shared" si="101"/>
        <v>9.8874304840041206E-3</v>
      </c>
      <c r="P777" s="47">
        <f t="shared" si="102"/>
        <v>0.14571320691928147</v>
      </c>
      <c r="Q777" s="47">
        <f t="shared" si="103"/>
        <v>1</v>
      </c>
    </row>
    <row r="778" spans="1:17" x14ac:dyDescent="0.35">
      <c r="A778" s="82">
        <v>775</v>
      </c>
      <c r="B778" s="83" t="str">
        <f>_xlfn.XLOOKUP(A778,'TAZs by City - CCAG Model'!$A:$A,'TAZs by City - CCAG Model'!$B:$B,"Unknown")</f>
        <v>San Jose</v>
      </c>
      <c r="C778" s="82">
        <f>_xlfn.XLOOKUP(A778,'TAZs by City - CCAG Model'!$A:$A,'TAZs by City - CCAG Model'!$C:$C,999)</f>
        <v>3</v>
      </c>
      <c r="D778" s="82" t="str">
        <f t="shared" si="96"/>
        <v>NO</v>
      </c>
      <c r="E778" s="27">
        <v>5086.96</v>
      </c>
      <c r="F778" s="27">
        <v>1941.76</v>
      </c>
      <c r="G778" s="27">
        <v>186.92</v>
      </c>
      <c r="H778" s="27">
        <v>87.22</v>
      </c>
      <c r="I778" s="27">
        <v>1272.8399999999999</v>
      </c>
      <c r="J778" s="27">
        <v>8805.2199999999993</v>
      </c>
      <c r="K778" s="47">
        <f t="shared" si="97"/>
        <v>0.57772094280438202</v>
      </c>
      <c r="L778" s="47">
        <f t="shared" si="98"/>
        <v>0.22052373478459369</v>
      </c>
      <c r="M778" s="84">
        <f t="shared" si="99"/>
        <v>0.79824467758897577</v>
      </c>
      <c r="N778" s="47">
        <f t="shared" si="100"/>
        <v>2.1228316839329398E-2</v>
      </c>
      <c r="O778" s="47">
        <f t="shared" si="101"/>
        <v>9.9054878810523762E-3</v>
      </c>
      <c r="P778" s="47">
        <f t="shared" si="102"/>
        <v>0.14455516159732523</v>
      </c>
      <c r="Q778" s="47">
        <f t="shared" si="103"/>
        <v>1</v>
      </c>
    </row>
    <row r="779" spans="1:17" x14ac:dyDescent="0.35">
      <c r="A779" s="82">
        <v>776</v>
      </c>
      <c r="B779" s="83" t="str">
        <f>_xlfn.XLOOKUP(A779,'TAZs by City - CCAG Model'!$A:$A,'TAZs by City - CCAG Model'!$B:$B,"Unknown")</f>
        <v>San Jose</v>
      </c>
      <c r="C779" s="82">
        <f>_xlfn.XLOOKUP(A779,'TAZs by City - CCAG Model'!$A:$A,'TAZs by City - CCAG Model'!$C:$C,999)</f>
        <v>3</v>
      </c>
      <c r="D779" s="82" t="str">
        <f t="shared" si="96"/>
        <v>NO</v>
      </c>
      <c r="E779" s="27">
        <v>1505.22</v>
      </c>
      <c r="F779" s="27">
        <v>847.4</v>
      </c>
      <c r="G779" s="27">
        <v>46.34</v>
      </c>
      <c r="H779" s="27">
        <v>30.08</v>
      </c>
      <c r="I779" s="27">
        <v>376.36</v>
      </c>
      <c r="J779" s="27">
        <v>2894.92</v>
      </c>
      <c r="K779" s="47">
        <f t="shared" si="97"/>
        <v>0.51995219211584431</v>
      </c>
      <c r="L779" s="47">
        <f t="shared" si="98"/>
        <v>0.29271966064692634</v>
      </c>
      <c r="M779" s="84">
        <f t="shared" si="99"/>
        <v>0.81267185276277054</v>
      </c>
      <c r="N779" s="47">
        <f t="shared" si="100"/>
        <v>1.6007350807621629E-2</v>
      </c>
      <c r="O779" s="47">
        <f t="shared" si="101"/>
        <v>1.0390615284705621E-2</v>
      </c>
      <c r="P779" s="47">
        <f t="shared" si="102"/>
        <v>0.13000704682685532</v>
      </c>
      <c r="Q779" s="47">
        <f t="shared" si="103"/>
        <v>1</v>
      </c>
    </row>
    <row r="780" spans="1:17" x14ac:dyDescent="0.35">
      <c r="A780" s="82">
        <v>777</v>
      </c>
      <c r="B780" s="83" t="str">
        <f>_xlfn.XLOOKUP(A780,'TAZs by City - CCAG Model'!$A:$A,'TAZs by City - CCAG Model'!$B:$B,"Unknown")</f>
        <v>San Jose</v>
      </c>
      <c r="C780" s="82">
        <f>_xlfn.XLOOKUP(A780,'TAZs by City - CCAG Model'!$A:$A,'TAZs by City - CCAG Model'!$C:$C,999)</f>
        <v>3</v>
      </c>
      <c r="D780" s="82" t="str">
        <f t="shared" si="96"/>
        <v>NO</v>
      </c>
      <c r="E780" s="27">
        <v>2286.04</v>
      </c>
      <c r="F780" s="27">
        <v>1587.92</v>
      </c>
      <c r="G780" s="27">
        <v>114.98</v>
      </c>
      <c r="H780" s="27">
        <v>75.72</v>
      </c>
      <c r="I780" s="27">
        <v>738.18</v>
      </c>
      <c r="J780" s="27">
        <v>4964.4399999999996</v>
      </c>
      <c r="K780" s="47">
        <f t="shared" si="97"/>
        <v>0.46048295477435525</v>
      </c>
      <c r="L780" s="47">
        <f t="shared" si="98"/>
        <v>0.31985883604193027</v>
      </c>
      <c r="M780" s="84">
        <f t="shared" si="99"/>
        <v>0.78034179081628552</v>
      </c>
      <c r="N780" s="47">
        <f t="shared" si="100"/>
        <v>2.3160719033768162E-2</v>
      </c>
      <c r="O780" s="47">
        <f t="shared" si="101"/>
        <v>1.5252475606513525E-2</v>
      </c>
      <c r="P780" s="47">
        <f t="shared" si="102"/>
        <v>0.14869350823053556</v>
      </c>
      <c r="Q780" s="47">
        <f t="shared" si="103"/>
        <v>1</v>
      </c>
    </row>
    <row r="781" spans="1:17" x14ac:dyDescent="0.35">
      <c r="A781" s="82">
        <v>778</v>
      </c>
      <c r="B781" s="83" t="str">
        <f>_xlfn.XLOOKUP(A781,'TAZs by City - CCAG Model'!$A:$A,'TAZs by City - CCAG Model'!$B:$B,"Unknown")</f>
        <v>San Jose</v>
      </c>
      <c r="C781" s="82">
        <f>_xlfn.XLOOKUP(A781,'TAZs by City - CCAG Model'!$A:$A,'TAZs by City - CCAG Model'!$C:$C,999)</f>
        <v>3</v>
      </c>
      <c r="D781" s="82" t="str">
        <f t="shared" si="96"/>
        <v>NO</v>
      </c>
      <c r="E781" s="27">
        <v>5514.46</v>
      </c>
      <c r="F781" s="27">
        <v>2806.5</v>
      </c>
      <c r="G781" s="27">
        <v>216.98</v>
      </c>
      <c r="H781" s="27">
        <v>127.5</v>
      </c>
      <c r="I781" s="27">
        <v>1660.92</v>
      </c>
      <c r="J781" s="27">
        <v>10587.28</v>
      </c>
      <c r="K781" s="47">
        <f t="shared" si="97"/>
        <v>0.52085710399649388</v>
      </c>
      <c r="L781" s="47">
        <f t="shared" si="98"/>
        <v>0.26508224964296778</v>
      </c>
      <c r="M781" s="84">
        <f t="shared" si="99"/>
        <v>0.78593935363946155</v>
      </c>
      <c r="N781" s="47">
        <f t="shared" si="100"/>
        <v>2.0494404606282254E-2</v>
      </c>
      <c r="O781" s="47">
        <f t="shared" si="101"/>
        <v>1.2042753190621197E-2</v>
      </c>
      <c r="P781" s="47">
        <f t="shared" si="102"/>
        <v>0.15687882062248282</v>
      </c>
      <c r="Q781" s="47">
        <f t="shared" si="103"/>
        <v>1</v>
      </c>
    </row>
    <row r="782" spans="1:17" x14ac:dyDescent="0.35">
      <c r="A782" s="82">
        <v>779</v>
      </c>
      <c r="B782" s="83" t="str">
        <f>_xlfn.XLOOKUP(A782,'TAZs by City - CCAG Model'!$A:$A,'TAZs by City - CCAG Model'!$B:$B,"Unknown")</f>
        <v>San Jose</v>
      </c>
      <c r="C782" s="82">
        <f>_xlfn.XLOOKUP(A782,'TAZs by City - CCAG Model'!$A:$A,'TAZs by City - CCAG Model'!$C:$C,999)</f>
        <v>3</v>
      </c>
      <c r="D782" s="82" t="str">
        <f t="shared" si="96"/>
        <v>NO</v>
      </c>
      <c r="E782" s="27">
        <v>4033.16</v>
      </c>
      <c r="F782" s="27">
        <v>2165</v>
      </c>
      <c r="G782" s="27">
        <v>105.74</v>
      </c>
      <c r="H782" s="27">
        <v>92.12</v>
      </c>
      <c r="I782" s="27">
        <v>1252.8800000000001</v>
      </c>
      <c r="J782" s="27">
        <v>7804.06</v>
      </c>
      <c r="K782" s="47">
        <f t="shared" si="97"/>
        <v>0.51680279239267757</v>
      </c>
      <c r="L782" s="47">
        <f t="shared" si="98"/>
        <v>0.27741970205252137</v>
      </c>
      <c r="M782" s="84">
        <f t="shared" si="99"/>
        <v>0.79422249444519899</v>
      </c>
      <c r="N782" s="47">
        <f t="shared" si="100"/>
        <v>1.3549357642047856E-2</v>
      </c>
      <c r="O782" s="47">
        <f t="shared" si="101"/>
        <v>1.1804112218511903E-2</v>
      </c>
      <c r="P782" s="47">
        <f t="shared" si="102"/>
        <v>0.16054207681642632</v>
      </c>
      <c r="Q782" s="47">
        <f t="shared" si="103"/>
        <v>1</v>
      </c>
    </row>
    <row r="783" spans="1:17" x14ac:dyDescent="0.35">
      <c r="A783" s="82">
        <v>780</v>
      </c>
      <c r="B783" s="83" t="str">
        <f>_xlfn.XLOOKUP(A783,'TAZs by City - CCAG Model'!$A:$A,'TAZs by City - CCAG Model'!$B:$B,"Unknown")</f>
        <v>San Jose</v>
      </c>
      <c r="C783" s="82">
        <f>_xlfn.XLOOKUP(A783,'TAZs by City - CCAG Model'!$A:$A,'TAZs by City - CCAG Model'!$C:$C,999)</f>
        <v>3</v>
      </c>
      <c r="D783" s="82" t="str">
        <f t="shared" si="96"/>
        <v>NO</v>
      </c>
      <c r="E783" s="27">
        <v>3855.56</v>
      </c>
      <c r="F783" s="27">
        <v>2275.02</v>
      </c>
      <c r="G783" s="27">
        <v>89.1</v>
      </c>
      <c r="H783" s="27">
        <v>75.62</v>
      </c>
      <c r="I783" s="27">
        <v>857.42</v>
      </c>
      <c r="J783" s="27">
        <v>7287.62</v>
      </c>
      <c r="K783" s="47">
        <f t="shared" si="97"/>
        <v>0.52905612531937729</v>
      </c>
      <c r="L783" s="47">
        <f t="shared" si="98"/>
        <v>0.31217599161317411</v>
      </c>
      <c r="M783" s="84">
        <f t="shared" si="99"/>
        <v>0.8412321169325514</v>
      </c>
      <c r="N783" s="47">
        <f t="shared" si="100"/>
        <v>1.2226213770750944E-2</v>
      </c>
      <c r="O783" s="47">
        <f t="shared" si="101"/>
        <v>1.0376501519014439E-2</v>
      </c>
      <c r="P783" s="47">
        <f t="shared" si="102"/>
        <v>0.11765432335934091</v>
      </c>
      <c r="Q783" s="47">
        <f t="shared" si="103"/>
        <v>1</v>
      </c>
    </row>
    <row r="784" spans="1:17" x14ac:dyDescent="0.35">
      <c r="A784" s="82">
        <v>781</v>
      </c>
      <c r="B784" s="83" t="str">
        <f>_xlfn.XLOOKUP(A784,'TAZs by City - CCAG Model'!$A:$A,'TAZs by City - CCAG Model'!$B:$B,"Unknown")</f>
        <v>San Jose</v>
      </c>
      <c r="C784" s="82">
        <f>_xlfn.XLOOKUP(A784,'TAZs by City - CCAG Model'!$A:$A,'TAZs by City - CCAG Model'!$C:$C,999)</f>
        <v>3</v>
      </c>
      <c r="D784" s="82" t="str">
        <f t="shared" si="96"/>
        <v>NO</v>
      </c>
      <c r="E784" s="27">
        <v>473.28</v>
      </c>
      <c r="F784" s="27">
        <v>300.06</v>
      </c>
      <c r="G784" s="27">
        <v>14.52</v>
      </c>
      <c r="H784" s="27">
        <v>8.84</v>
      </c>
      <c r="I784" s="27">
        <v>173.3</v>
      </c>
      <c r="J784" s="27">
        <v>1012.4</v>
      </c>
      <c r="K784" s="47">
        <f t="shared" si="97"/>
        <v>0.46748320821809558</v>
      </c>
      <c r="L784" s="47">
        <f t="shared" si="98"/>
        <v>0.29638482813117345</v>
      </c>
      <c r="M784" s="84">
        <f t="shared" si="99"/>
        <v>0.76386803634926903</v>
      </c>
      <c r="N784" s="47">
        <f t="shared" si="100"/>
        <v>1.4342157250098774E-2</v>
      </c>
      <c r="O784" s="47">
        <f t="shared" si="101"/>
        <v>8.7317265902805211E-3</v>
      </c>
      <c r="P784" s="47">
        <f t="shared" si="102"/>
        <v>0.17117740023706046</v>
      </c>
      <c r="Q784" s="47">
        <f t="shared" si="103"/>
        <v>1</v>
      </c>
    </row>
    <row r="785" spans="1:17" x14ac:dyDescent="0.35">
      <c r="A785" s="82">
        <v>782</v>
      </c>
      <c r="B785" s="83" t="str">
        <f>_xlfn.XLOOKUP(A785,'TAZs by City - CCAG Model'!$A:$A,'TAZs by City - CCAG Model'!$B:$B,"Unknown")</f>
        <v>San Jose</v>
      </c>
      <c r="C785" s="82">
        <f>_xlfn.XLOOKUP(A785,'TAZs by City - CCAG Model'!$A:$A,'TAZs by City - CCAG Model'!$C:$C,999)</f>
        <v>3</v>
      </c>
      <c r="D785" s="82" t="str">
        <f t="shared" si="96"/>
        <v>NO</v>
      </c>
      <c r="E785" s="27">
        <v>3843.94</v>
      </c>
      <c r="F785" s="27">
        <v>1248.4000000000001</v>
      </c>
      <c r="G785" s="27">
        <v>129.13999999999999</v>
      </c>
      <c r="H785" s="27">
        <v>72.540000000000006</v>
      </c>
      <c r="I785" s="27">
        <v>994.6</v>
      </c>
      <c r="J785" s="27">
        <v>6460.9</v>
      </c>
      <c r="K785" s="47">
        <f t="shared" si="97"/>
        <v>0.59495426333792512</v>
      </c>
      <c r="L785" s="47">
        <f t="shared" si="98"/>
        <v>0.19322385426179017</v>
      </c>
      <c r="M785" s="84">
        <f t="shared" si="99"/>
        <v>0.78817811759971523</v>
      </c>
      <c r="N785" s="47">
        <f t="shared" si="100"/>
        <v>1.9987927378538592E-2</v>
      </c>
      <c r="O785" s="47">
        <f t="shared" si="101"/>
        <v>1.1227537959107865E-2</v>
      </c>
      <c r="P785" s="47">
        <f t="shared" si="102"/>
        <v>0.15394140135275272</v>
      </c>
      <c r="Q785" s="47">
        <f t="shared" si="103"/>
        <v>1</v>
      </c>
    </row>
    <row r="786" spans="1:17" x14ac:dyDescent="0.35">
      <c r="A786" s="82">
        <v>783</v>
      </c>
      <c r="B786" s="83" t="str">
        <f>_xlfn.XLOOKUP(A786,'TAZs by City - CCAG Model'!$A:$A,'TAZs by City - CCAG Model'!$B:$B,"Unknown")</f>
        <v>San Jose</v>
      </c>
      <c r="C786" s="82">
        <f>_xlfn.XLOOKUP(A786,'TAZs by City - CCAG Model'!$A:$A,'TAZs by City - CCAG Model'!$C:$C,999)</f>
        <v>3</v>
      </c>
      <c r="D786" s="82" t="str">
        <f t="shared" si="96"/>
        <v>NO</v>
      </c>
      <c r="E786" s="27">
        <v>19110.16</v>
      </c>
      <c r="F786" s="27">
        <v>9204.42</v>
      </c>
      <c r="G786" s="27">
        <v>540.44000000000005</v>
      </c>
      <c r="H786" s="27">
        <v>280.27999999999997</v>
      </c>
      <c r="I786" s="27">
        <v>5035.38</v>
      </c>
      <c r="J786" s="27">
        <v>34740.519999999997</v>
      </c>
      <c r="K786" s="47">
        <f t="shared" si="97"/>
        <v>0.55008272760453791</v>
      </c>
      <c r="L786" s="47">
        <f t="shared" si="98"/>
        <v>0.26494767493405397</v>
      </c>
      <c r="M786" s="84">
        <f t="shared" si="99"/>
        <v>0.81503040253859194</v>
      </c>
      <c r="N786" s="47">
        <f t="shared" si="100"/>
        <v>1.5556474111498622E-2</v>
      </c>
      <c r="O786" s="47">
        <f t="shared" si="101"/>
        <v>8.0678124564629427E-3</v>
      </c>
      <c r="P786" s="47">
        <f t="shared" si="102"/>
        <v>0.14494256274805331</v>
      </c>
      <c r="Q786" s="47">
        <f t="shared" si="103"/>
        <v>1</v>
      </c>
    </row>
    <row r="787" spans="1:17" x14ac:dyDescent="0.35">
      <c r="A787" s="82">
        <v>784</v>
      </c>
      <c r="B787" s="83" t="str">
        <f>_xlfn.XLOOKUP(A787,'TAZs by City - CCAG Model'!$A:$A,'TAZs by City - CCAG Model'!$B:$B,"Unknown")</f>
        <v>San Jose</v>
      </c>
      <c r="C787" s="82">
        <f>_xlfn.XLOOKUP(A787,'TAZs by City - CCAG Model'!$A:$A,'TAZs by City - CCAG Model'!$C:$C,999)</f>
        <v>3</v>
      </c>
      <c r="D787" s="82" t="str">
        <f t="shared" si="96"/>
        <v>NO</v>
      </c>
      <c r="E787" s="27">
        <v>6232.6</v>
      </c>
      <c r="F787" s="27">
        <v>2775.72</v>
      </c>
      <c r="G787" s="27">
        <v>304.39999999999998</v>
      </c>
      <c r="H787" s="27">
        <v>138.58000000000001</v>
      </c>
      <c r="I787" s="27">
        <v>1229.78</v>
      </c>
      <c r="J787" s="27">
        <v>11021.76</v>
      </c>
      <c r="K787" s="47">
        <f t="shared" si="97"/>
        <v>0.5654813750254043</v>
      </c>
      <c r="L787" s="47">
        <f t="shared" si="98"/>
        <v>0.25183999651598288</v>
      </c>
      <c r="M787" s="84">
        <f t="shared" si="99"/>
        <v>0.81732137154138718</v>
      </c>
      <c r="N787" s="47">
        <f t="shared" si="100"/>
        <v>2.7618093661992273E-2</v>
      </c>
      <c r="O787" s="47">
        <f t="shared" si="101"/>
        <v>1.2573309525883345E-2</v>
      </c>
      <c r="P787" s="47">
        <f t="shared" si="102"/>
        <v>0.11157746131289376</v>
      </c>
      <c r="Q787" s="47">
        <f t="shared" si="103"/>
        <v>1</v>
      </c>
    </row>
    <row r="788" spans="1:17" x14ac:dyDescent="0.35">
      <c r="A788" s="82">
        <v>785</v>
      </c>
      <c r="B788" s="83" t="str">
        <f>_xlfn.XLOOKUP(A788,'TAZs by City - CCAG Model'!$A:$A,'TAZs by City - CCAG Model'!$B:$B,"Unknown")</f>
        <v>Unincorporated</v>
      </c>
      <c r="C788" s="82">
        <f>_xlfn.XLOOKUP(A788,'TAZs by City - CCAG Model'!$A:$A,'TAZs by City - CCAG Model'!$C:$C,999)</f>
        <v>3</v>
      </c>
      <c r="D788" s="82" t="str">
        <f t="shared" si="96"/>
        <v>NO</v>
      </c>
      <c r="E788" s="27">
        <v>3026.42</v>
      </c>
      <c r="F788" s="27">
        <v>1878.34</v>
      </c>
      <c r="G788" s="27">
        <v>200.5</v>
      </c>
      <c r="H788" s="27">
        <v>92.4</v>
      </c>
      <c r="I788" s="27">
        <v>1060.6199999999999</v>
      </c>
      <c r="J788" s="27">
        <v>6504.74</v>
      </c>
      <c r="K788" s="47">
        <f t="shared" si="97"/>
        <v>0.46526379224995928</v>
      </c>
      <c r="L788" s="47">
        <f t="shared" si="98"/>
        <v>0.28876480843200497</v>
      </c>
      <c r="M788" s="84">
        <f t="shared" si="99"/>
        <v>0.75402860068196431</v>
      </c>
      <c r="N788" s="47">
        <f t="shared" si="100"/>
        <v>3.082367627299477E-2</v>
      </c>
      <c r="O788" s="47">
        <f t="shared" si="101"/>
        <v>1.4205025873439985E-2</v>
      </c>
      <c r="P788" s="47">
        <f t="shared" si="102"/>
        <v>0.16305340413298608</v>
      </c>
      <c r="Q788" s="47">
        <f t="shared" si="103"/>
        <v>1</v>
      </c>
    </row>
    <row r="789" spans="1:17" x14ac:dyDescent="0.35">
      <c r="A789" s="82">
        <v>786</v>
      </c>
      <c r="B789" s="83" t="str">
        <f>_xlfn.XLOOKUP(A789,'TAZs by City - CCAG Model'!$A:$A,'TAZs by City - CCAG Model'!$B:$B,"Unknown")</f>
        <v>Unincorporated</v>
      </c>
      <c r="C789" s="82">
        <f>_xlfn.XLOOKUP(A789,'TAZs by City - CCAG Model'!$A:$A,'TAZs by City - CCAG Model'!$C:$C,999)</f>
        <v>3</v>
      </c>
      <c r="D789" s="82" t="str">
        <f t="shared" si="96"/>
        <v>NO</v>
      </c>
      <c r="E789" s="27">
        <v>3014.82</v>
      </c>
      <c r="F789" s="27">
        <v>1724.84</v>
      </c>
      <c r="G789" s="27">
        <v>177.52</v>
      </c>
      <c r="H789" s="27">
        <v>80.3</v>
      </c>
      <c r="I789" s="27">
        <v>1195.68</v>
      </c>
      <c r="J789" s="27">
        <v>6418.26</v>
      </c>
      <c r="K789" s="47">
        <f t="shared" si="97"/>
        <v>0.46972543960512664</v>
      </c>
      <c r="L789" s="47">
        <f t="shared" si="98"/>
        <v>0.26873950260662544</v>
      </c>
      <c r="M789" s="84">
        <f t="shared" si="99"/>
        <v>0.73846494221175207</v>
      </c>
      <c r="N789" s="47">
        <f t="shared" si="100"/>
        <v>2.7658586595120795E-2</v>
      </c>
      <c r="O789" s="47">
        <f t="shared" si="101"/>
        <v>1.2511179042294951E-2</v>
      </c>
      <c r="P789" s="47">
        <f t="shared" si="102"/>
        <v>0.18629348141084967</v>
      </c>
      <c r="Q789" s="47">
        <f t="shared" si="103"/>
        <v>1</v>
      </c>
    </row>
    <row r="790" spans="1:17" x14ac:dyDescent="0.35">
      <c r="A790" s="82">
        <v>787</v>
      </c>
      <c r="B790" s="83" t="str">
        <f>_xlfn.XLOOKUP(A790,'TAZs by City - CCAG Model'!$A:$A,'TAZs by City - CCAG Model'!$B:$B,"Unknown")</f>
        <v>Unincorporated</v>
      </c>
      <c r="C790" s="82">
        <f>_xlfn.XLOOKUP(A790,'TAZs by City - CCAG Model'!$A:$A,'TAZs by City - CCAG Model'!$C:$C,999)</f>
        <v>3</v>
      </c>
      <c r="D790" s="82" t="str">
        <f t="shared" si="96"/>
        <v>NO</v>
      </c>
      <c r="E790" s="27">
        <v>2089.98</v>
      </c>
      <c r="F790" s="27">
        <v>1417.32</v>
      </c>
      <c r="G790" s="27">
        <v>153.47999999999999</v>
      </c>
      <c r="H790" s="27">
        <v>62.74</v>
      </c>
      <c r="I790" s="27">
        <v>831.52</v>
      </c>
      <c r="J790" s="27">
        <v>4746.3599999999997</v>
      </c>
      <c r="K790" s="47">
        <f t="shared" si="97"/>
        <v>0.44033322377569339</v>
      </c>
      <c r="L790" s="47">
        <f t="shared" si="98"/>
        <v>0.2986119889768159</v>
      </c>
      <c r="M790" s="84">
        <f t="shared" si="99"/>
        <v>0.73894521275250935</v>
      </c>
      <c r="N790" s="47">
        <f t="shared" si="100"/>
        <v>3.233635880969838E-2</v>
      </c>
      <c r="O790" s="47">
        <f t="shared" si="101"/>
        <v>1.321855063669844E-2</v>
      </c>
      <c r="P790" s="47">
        <f t="shared" si="102"/>
        <v>0.17519109380662234</v>
      </c>
      <c r="Q790" s="47">
        <f t="shared" si="103"/>
        <v>1</v>
      </c>
    </row>
    <row r="791" spans="1:17" x14ac:dyDescent="0.35">
      <c r="A791" s="82">
        <v>788</v>
      </c>
      <c r="B791" s="83" t="str">
        <f>_xlfn.XLOOKUP(A791,'TAZs by City - CCAG Model'!$A:$A,'TAZs by City - CCAG Model'!$B:$B,"Unknown")</f>
        <v>Unincorporated</v>
      </c>
      <c r="C791" s="82">
        <f>_xlfn.XLOOKUP(A791,'TAZs by City - CCAG Model'!$A:$A,'TAZs by City - CCAG Model'!$C:$C,999)</f>
        <v>3</v>
      </c>
      <c r="D791" s="82" t="str">
        <f t="shared" si="96"/>
        <v>NO</v>
      </c>
      <c r="E791" s="27">
        <v>1467.18</v>
      </c>
      <c r="F791" s="27">
        <v>1120.3399999999999</v>
      </c>
      <c r="G791" s="27">
        <v>77.22</v>
      </c>
      <c r="H791" s="27">
        <v>41.68</v>
      </c>
      <c r="I791" s="27">
        <v>535.08000000000004</v>
      </c>
      <c r="J791" s="27">
        <v>3358.28</v>
      </c>
      <c r="K791" s="47">
        <f t="shared" si="97"/>
        <v>0.43688435746870419</v>
      </c>
      <c r="L791" s="47">
        <f t="shared" si="98"/>
        <v>0.3336052979501411</v>
      </c>
      <c r="M791" s="84">
        <f t="shared" si="99"/>
        <v>0.77048965541884529</v>
      </c>
      <c r="N791" s="47">
        <f t="shared" si="100"/>
        <v>2.2993913550984429E-2</v>
      </c>
      <c r="O791" s="47">
        <f t="shared" si="101"/>
        <v>1.2411115213740366E-2</v>
      </c>
      <c r="P791" s="47">
        <f t="shared" si="102"/>
        <v>0.15933156258560929</v>
      </c>
      <c r="Q791" s="47">
        <f t="shared" si="103"/>
        <v>1</v>
      </c>
    </row>
    <row r="792" spans="1:17" x14ac:dyDescent="0.35">
      <c r="A792" s="82">
        <v>789</v>
      </c>
      <c r="B792" s="83" t="str">
        <f>_xlfn.XLOOKUP(A792,'TAZs by City - CCAG Model'!$A:$A,'TAZs by City - CCAG Model'!$B:$B,"Unknown")</f>
        <v>San Jose</v>
      </c>
      <c r="C792" s="82">
        <f>_xlfn.XLOOKUP(A792,'TAZs by City - CCAG Model'!$A:$A,'TAZs by City - CCAG Model'!$C:$C,999)</f>
        <v>3</v>
      </c>
      <c r="D792" s="82" t="str">
        <f t="shared" si="96"/>
        <v>NO</v>
      </c>
      <c r="E792" s="27">
        <v>7422.24</v>
      </c>
      <c r="F792" s="27">
        <v>4857.0200000000004</v>
      </c>
      <c r="G792" s="27">
        <v>506.86</v>
      </c>
      <c r="H792" s="27">
        <v>218.84</v>
      </c>
      <c r="I792" s="27">
        <v>929.2</v>
      </c>
      <c r="J792" s="27">
        <v>14477.34</v>
      </c>
      <c r="K792" s="47">
        <f t="shared" si="97"/>
        <v>0.51267981549096719</v>
      </c>
      <c r="L792" s="47">
        <f t="shared" si="98"/>
        <v>0.33549118829840291</v>
      </c>
      <c r="M792" s="84">
        <f t="shared" si="99"/>
        <v>0.84817100378937016</v>
      </c>
      <c r="N792" s="47">
        <f t="shared" si="100"/>
        <v>3.5010575147091938E-2</v>
      </c>
      <c r="O792" s="47">
        <f t="shared" si="101"/>
        <v>1.511603650946928E-2</v>
      </c>
      <c r="P792" s="47">
        <f t="shared" si="102"/>
        <v>6.4183061252964982E-2</v>
      </c>
      <c r="Q792" s="47">
        <f t="shared" si="103"/>
        <v>1</v>
      </c>
    </row>
    <row r="793" spans="1:17" x14ac:dyDescent="0.35">
      <c r="A793" s="82">
        <v>790</v>
      </c>
      <c r="B793" s="83" t="str">
        <f>_xlfn.XLOOKUP(A793,'TAZs by City - CCAG Model'!$A:$A,'TAZs by City - CCAG Model'!$B:$B,"Unknown")</f>
        <v>San Jose</v>
      </c>
      <c r="C793" s="82">
        <f>_xlfn.XLOOKUP(A793,'TAZs by City - CCAG Model'!$A:$A,'TAZs by City - CCAG Model'!$C:$C,999)</f>
        <v>3</v>
      </c>
      <c r="D793" s="82" t="str">
        <f t="shared" si="96"/>
        <v>NO</v>
      </c>
      <c r="E793" s="27">
        <v>22845.919999999998</v>
      </c>
      <c r="F793" s="27">
        <v>9964.76</v>
      </c>
      <c r="G793" s="27">
        <v>748.2</v>
      </c>
      <c r="H793" s="27">
        <v>432.02</v>
      </c>
      <c r="I793" s="27">
        <v>1710.68</v>
      </c>
      <c r="J793" s="27">
        <v>36475.519999999997</v>
      </c>
      <c r="K793" s="47">
        <f t="shared" si="97"/>
        <v>0.62633569034793746</v>
      </c>
      <c r="L793" s="47">
        <f t="shared" si="98"/>
        <v>0.27319034793746605</v>
      </c>
      <c r="M793" s="84">
        <f t="shared" si="99"/>
        <v>0.89952603828540356</v>
      </c>
      <c r="N793" s="47">
        <f t="shared" si="100"/>
        <v>2.0512387486182518E-2</v>
      </c>
      <c r="O793" s="47">
        <f t="shared" si="101"/>
        <v>1.1844108048356816E-2</v>
      </c>
      <c r="P793" s="47">
        <f t="shared" si="102"/>
        <v>4.6899399926306748E-2</v>
      </c>
      <c r="Q793" s="47">
        <f t="shared" si="103"/>
        <v>1</v>
      </c>
    </row>
    <row r="794" spans="1:17" x14ac:dyDescent="0.35">
      <c r="A794" s="82">
        <v>791</v>
      </c>
      <c r="B794" s="83" t="str">
        <f>_xlfn.XLOOKUP(A794,'TAZs by City - CCAG Model'!$A:$A,'TAZs by City - CCAG Model'!$B:$B,"Unknown")</f>
        <v>San Jose</v>
      </c>
      <c r="C794" s="82">
        <f>_xlfn.XLOOKUP(A794,'TAZs by City - CCAG Model'!$A:$A,'TAZs by City - CCAG Model'!$C:$C,999)</f>
        <v>3</v>
      </c>
      <c r="D794" s="82" t="str">
        <f t="shared" si="96"/>
        <v>NO</v>
      </c>
      <c r="E794" s="27">
        <v>10493.26</v>
      </c>
      <c r="F794" s="27">
        <v>7064.64</v>
      </c>
      <c r="G794" s="27">
        <v>725.12</v>
      </c>
      <c r="H794" s="27">
        <v>368.8</v>
      </c>
      <c r="I794" s="27">
        <v>4115.4799999999996</v>
      </c>
      <c r="J794" s="27">
        <v>23526.76</v>
      </c>
      <c r="K794" s="47">
        <f t="shared" si="97"/>
        <v>0.44601381575703586</v>
      </c>
      <c r="L794" s="47">
        <f t="shared" si="98"/>
        <v>0.30028104167339664</v>
      </c>
      <c r="M794" s="84">
        <f t="shared" si="99"/>
        <v>0.74629485743043256</v>
      </c>
      <c r="N794" s="47">
        <f t="shared" si="100"/>
        <v>3.0821073534987396E-2</v>
      </c>
      <c r="O794" s="47">
        <f t="shared" si="101"/>
        <v>1.5675766658902461E-2</v>
      </c>
      <c r="P794" s="47">
        <f t="shared" si="102"/>
        <v>0.17492761434213636</v>
      </c>
      <c r="Q794" s="47">
        <f t="shared" si="103"/>
        <v>1</v>
      </c>
    </row>
    <row r="795" spans="1:17" x14ac:dyDescent="0.35">
      <c r="A795" s="82">
        <v>792</v>
      </c>
      <c r="B795" s="83" t="str">
        <f>_xlfn.XLOOKUP(A795,'TAZs by City - CCAG Model'!$A:$A,'TAZs by City - CCAG Model'!$B:$B,"Unknown")</f>
        <v>San Jose</v>
      </c>
      <c r="C795" s="82">
        <f>_xlfn.XLOOKUP(A795,'TAZs by City - CCAG Model'!$A:$A,'TAZs by City - CCAG Model'!$C:$C,999)</f>
        <v>3</v>
      </c>
      <c r="D795" s="82" t="str">
        <f t="shared" si="96"/>
        <v>NO</v>
      </c>
      <c r="E795" s="27">
        <v>4633.46</v>
      </c>
      <c r="F795" s="27">
        <v>2610.42</v>
      </c>
      <c r="G795" s="27">
        <v>320.02</v>
      </c>
      <c r="H795" s="27">
        <v>117.2</v>
      </c>
      <c r="I795" s="27">
        <v>536.26</v>
      </c>
      <c r="J795" s="27">
        <v>8579.18</v>
      </c>
      <c r="K795" s="47">
        <f t="shared" si="97"/>
        <v>0.540081919251024</v>
      </c>
      <c r="L795" s="47">
        <f t="shared" si="98"/>
        <v>0.30427383502852251</v>
      </c>
      <c r="M795" s="84">
        <f t="shared" si="99"/>
        <v>0.84435575427954657</v>
      </c>
      <c r="N795" s="47">
        <f t="shared" si="100"/>
        <v>3.7301933284999263E-2</v>
      </c>
      <c r="O795" s="47">
        <f t="shared" si="101"/>
        <v>1.366097925442758E-2</v>
      </c>
      <c r="P795" s="47">
        <f t="shared" si="102"/>
        <v>6.2507139376956775E-2</v>
      </c>
      <c r="Q795" s="47">
        <f t="shared" si="103"/>
        <v>1</v>
      </c>
    </row>
    <row r="796" spans="1:17" x14ac:dyDescent="0.35">
      <c r="A796" s="82">
        <v>793</v>
      </c>
      <c r="B796" s="83" t="str">
        <f>_xlfn.XLOOKUP(A796,'TAZs by City - CCAG Model'!$A:$A,'TAZs by City - CCAG Model'!$B:$B,"Unknown")</f>
        <v>San Jose</v>
      </c>
      <c r="C796" s="82">
        <f>_xlfn.XLOOKUP(A796,'TAZs by City - CCAG Model'!$A:$A,'TAZs by City - CCAG Model'!$C:$C,999)</f>
        <v>3</v>
      </c>
      <c r="D796" s="82" t="str">
        <f t="shared" si="96"/>
        <v>NO</v>
      </c>
      <c r="E796" s="27">
        <v>22201.7</v>
      </c>
      <c r="F796" s="27">
        <v>8308.5</v>
      </c>
      <c r="G796" s="27">
        <v>1882</v>
      </c>
      <c r="H796" s="27">
        <v>526</v>
      </c>
      <c r="I796" s="27">
        <v>2417.88</v>
      </c>
      <c r="J796" s="27">
        <v>37238.620000000003</v>
      </c>
      <c r="K796" s="47">
        <f t="shared" si="97"/>
        <v>0.59620093333211599</v>
      </c>
      <c r="L796" s="47">
        <f t="shared" si="98"/>
        <v>0.22311514229045007</v>
      </c>
      <c r="M796" s="84">
        <f t="shared" si="99"/>
        <v>0.81931607562256603</v>
      </c>
      <c r="N796" s="47">
        <f t="shared" si="100"/>
        <v>5.0538929745516881E-2</v>
      </c>
      <c r="O796" s="47">
        <f t="shared" si="101"/>
        <v>1.4125120640883039E-2</v>
      </c>
      <c r="P796" s="47">
        <f t="shared" si="102"/>
        <v>6.4929366340643127E-2</v>
      </c>
      <c r="Q796" s="47">
        <f t="shared" si="103"/>
        <v>1</v>
      </c>
    </row>
    <row r="797" spans="1:17" x14ac:dyDescent="0.35">
      <c r="A797" s="82">
        <v>794</v>
      </c>
      <c r="B797" s="83" t="str">
        <f>_xlfn.XLOOKUP(A797,'TAZs by City - CCAG Model'!$A:$A,'TAZs by City - CCAG Model'!$B:$B,"Unknown")</f>
        <v>San Jose</v>
      </c>
      <c r="C797" s="82">
        <f>_xlfn.XLOOKUP(A797,'TAZs by City - CCAG Model'!$A:$A,'TAZs by City - CCAG Model'!$C:$C,999)</f>
        <v>3</v>
      </c>
      <c r="D797" s="82" t="str">
        <f t="shared" si="96"/>
        <v>NO</v>
      </c>
      <c r="E797" s="27">
        <v>9328.58</v>
      </c>
      <c r="F797" s="27">
        <v>6267.6</v>
      </c>
      <c r="G797" s="27">
        <v>501.78</v>
      </c>
      <c r="H797" s="27">
        <v>281.5</v>
      </c>
      <c r="I797" s="27">
        <v>1388.38</v>
      </c>
      <c r="J797" s="27">
        <v>18304.439999999999</v>
      </c>
      <c r="K797" s="47">
        <f t="shared" si="97"/>
        <v>0.50963482084128231</v>
      </c>
      <c r="L797" s="47">
        <f t="shared" si="98"/>
        <v>0.34240872706294218</v>
      </c>
      <c r="M797" s="84">
        <f t="shared" si="99"/>
        <v>0.85204354790422443</v>
      </c>
      <c r="N797" s="47">
        <f t="shared" si="100"/>
        <v>2.741302110307663E-2</v>
      </c>
      <c r="O797" s="47">
        <f t="shared" si="101"/>
        <v>1.5378782415632493E-2</v>
      </c>
      <c r="P797" s="47">
        <f t="shared" si="102"/>
        <v>7.58493567680847E-2</v>
      </c>
      <c r="Q797" s="47">
        <f t="shared" si="103"/>
        <v>1</v>
      </c>
    </row>
    <row r="798" spans="1:17" x14ac:dyDescent="0.35">
      <c r="A798" s="82">
        <v>795</v>
      </c>
      <c r="B798" s="83" t="str">
        <f>_xlfn.XLOOKUP(A798,'TAZs by City - CCAG Model'!$A:$A,'TAZs by City - CCAG Model'!$B:$B,"Unknown")</f>
        <v>Unincorporated</v>
      </c>
      <c r="C798" s="82">
        <f>_xlfn.XLOOKUP(A798,'TAZs by City - CCAG Model'!$A:$A,'TAZs by City - CCAG Model'!$C:$C,999)</f>
        <v>3</v>
      </c>
      <c r="D798" s="82" t="str">
        <f t="shared" si="96"/>
        <v>NO</v>
      </c>
      <c r="E798" s="27">
        <v>35682.720000000001</v>
      </c>
      <c r="F798" s="27">
        <v>13237.04</v>
      </c>
      <c r="G798" s="27">
        <v>1367.18</v>
      </c>
      <c r="H798" s="27">
        <v>597.29999999999995</v>
      </c>
      <c r="I798" s="27">
        <v>2819.28</v>
      </c>
      <c r="J798" s="27">
        <v>55080.28</v>
      </c>
      <c r="K798" s="47">
        <f t="shared" si="97"/>
        <v>0.64783112939876131</v>
      </c>
      <c r="L798" s="47">
        <f t="shared" si="98"/>
        <v>0.24032267083609599</v>
      </c>
      <c r="M798" s="84">
        <f t="shared" si="99"/>
        <v>0.88815380023485724</v>
      </c>
      <c r="N798" s="47">
        <f t="shared" si="100"/>
        <v>2.4821587689822931E-2</v>
      </c>
      <c r="O798" s="47">
        <f t="shared" si="101"/>
        <v>1.0844171453013673E-2</v>
      </c>
      <c r="P798" s="47">
        <f t="shared" si="102"/>
        <v>5.1184924985857014E-2</v>
      </c>
      <c r="Q798" s="47">
        <f t="shared" si="103"/>
        <v>1</v>
      </c>
    </row>
    <row r="799" spans="1:17" x14ac:dyDescent="0.35">
      <c r="A799" s="82">
        <v>796</v>
      </c>
      <c r="B799" s="83" t="str">
        <f>_xlfn.XLOOKUP(A799,'TAZs by City - CCAG Model'!$A:$A,'TAZs by City - CCAG Model'!$B:$B,"Unknown")</f>
        <v>San Jose</v>
      </c>
      <c r="C799" s="82">
        <f>_xlfn.XLOOKUP(A799,'TAZs by City - CCAG Model'!$A:$A,'TAZs by City - CCAG Model'!$C:$C,999)</f>
        <v>3</v>
      </c>
      <c r="D799" s="82" t="str">
        <f t="shared" si="96"/>
        <v>NO</v>
      </c>
      <c r="E799" s="27">
        <v>14042.04</v>
      </c>
      <c r="F799" s="27">
        <v>7043.6</v>
      </c>
      <c r="G799" s="27">
        <v>548.34</v>
      </c>
      <c r="H799" s="27">
        <v>318.76</v>
      </c>
      <c r="I799" s="27">
        <v>1262.72</v>
      </c>
      <c r="J799" s="27">
        <v>23793.72</v>
      </c>
      <c r="K799" s="47">
        <f t="shared" si="97"/>
        <v>0.59015740287773411</v>
      </c>
      <c r="L799" s="47">
        <f t="shared" si="98"/>
        <v>0.29602769134040413</v>
      </c>
      <c r="M799" s="84">
        <f t="shared" si="99"/>
        <v>0.88618509421813818</v>
      </c>
      <c r="N799" s="47">
        <f t="shared" si="100"/>
        <v>2.304557673201164E-2</v>
      </c>
      <c r="O799" s="47">
        <f t="shared" si="101"/>
        <v>1.3396812268111081E-2</v>
      </c>
      <c r="P799" s="47">
        <f t="shared" si="102"/>
        <v>5.3069465388346164E-2</v>
      </c>
      <c r="Q799" s="47">
        <f t="shared" si="103"/>
        <v>1</v>
      </c>
    </row>
    <row r="800" spans="1:17" x14ac:dyDescent="0.35">
      <c r="A800" s="82">
        <v>797</v>
      </c>
      <c r="B800" s="83" t="str">
        <f>_xlfn.XLOOKUP(A800,'TAZs by City - CCAG Model'!$A:$A,'TAZs by City - CCAG Model'!$B:$B,"Unknown")</f>
        <v>Unincorporated</v>
      </c>
      <c r="C800" s="82">
        <f>_xlfn.XLOOKUP(A800,'TAZs by City - CCAG Model'!$A:$A,'TAZs by City - CCAG Model'!$C:$C,999)</f>
        <v>3</v>
      </c>
      <c r="D800" s="82" t="str">
        <f t="shared" si="96"/>
        <v>NO</v>
      </c>
      <c r="E800" s="27">
        <v>11673.18</v>
      </c>
      <c r="F800" s="27">
        <v>6535.14</v>
      </c>
      <c r="G800" s="27">
        <v>0</v>
      </c>
      <c r="H800" s="27">
        <v>91.94</v>
      </c>
      <c r="I800" s="27">
        <v>2212.48</v>
      </c>
      <c r="J800" s="27">
        <v>20539.88</v>
      </c>
      <c r="K800" s="47">
        <f t="shared" si="97"/>
        <v>0.56831782853648605</v>
      </c>
      <c r="L800" s="47">
        <f t="shared" si="98"/>
        <v>0.31816836320367986</v>
      </c>
      <c r="M800" s="84">
        <f t="shared" si="99"/>
        <v>0.88648619174016585</v>
      </c>
      <c r="N800" s="47">
        <f t="shared" si="100"/>
        <v>0</v>
      </c>
      <c r="O800" s="47">
        <f t="shared" si="101"/>
        <v>4.4761702600015184E-3</v>
      </c>
      <c r="P800" s="47">
        <f t="shared" si="102"/>
        <v>0.10771630603489407</v>
      </c>
      <c r="Q800" s="47">
        <f t="shared" si="103"/>
        <v>1</v>
      </c>
    </row>
    <row r="801" spans="1:17" x14ac:dyDescent="0.35">
      <c r="A801" s="82">
        <v>798</v>
      </c>
      <c r="B801" s="83" t="str">
        <f>_xlfn.XLOOKUP(A801,'TAZs by City - CCAG Model'!$A:$A,'TAZs by City - CCAG Model'!$B:$B,"Unknown")</f>
        <v>San Jose</v>
      </c>
      <c r="C801" s="82">
        <f>_xlfn.XLOOKUP(A801,'TAZs by City - CCAG Model'!$A:$A,'TAZs by City - CCAG Model'!$C:$C,999)</f>
        <v>3</v>
      </c>
      <c r="D801" s="82" t="str">
        <f t="shared" si="96"/>
        <v>NO</v>
      </c>
      <c r="E801" s="27">
        <v>3968.26</v>
      </c>
      <c r="F801" s="27">
        <v>2472.84</v>
      </c>
      <c r="G801" s="27">
        <v>103.46</v>
      </c>
      <c r="H801" s="27">
        <v>84.22</v>
      </c>
      <c r="I801" s="27">
        <v>609.16</v>
      </c>
      <c r="J801" s="27">
        <v>7384.32</v>
      </c>
      <c r="K801" s="47">
        <f t="shared" si="97"/>
        <v>0.53739003726815748</v>
      </c>
      <c r="L801" s="47">
        <f t="shared" si="98"/>
        <v>0.33487714508580346</v>
      </c>
      <c r="M801" s="84">
        <f t="shared" si="99"/>
        <v>0.87226718235396095</v>
      </c>
      <c r="N801" s="47">
        <f t="shared" si="100"/>
        <v>1.4010768764083897E-2</v>
      </c>
      <c r="O801" s="47">
        <f t="shared" si="101"/>
        <v>1.1405247876581729E-2</v>
      </c>
      <c r="P801" s="47">
        <f t="shared" si="102"/>
        <v>8.2493716415323284E-2</v>
      </c>
      <c r="Q801" s="47">
        <f t="shared" si="103"/>
        <v>1</v>
      </c>
    </row>
    <row r="802" spans="1:17" x14ac:dyDescent="0.35">
      <c r="A802" s="82">
        <v>799</v>
      </c>
      <c r="B802" s="83" t="str">
        <f>_xlfn.XLOOKUP(A802,'TAZs by City - CCAG Model'!$A:$A,'TAZs by City - CCAG Model'!$B:$B,"Unknown")</f>
        <v>Campbell</v>
      </c>
      <c r="C802" s="82">
        <f>_xlfn.XLOOKUP(A802,'TAZs by City - CCAG Model'!$A:$A,'TAZs by City - CCAG Model'!$C:$C,999)</f>
        <v>3</v>
      </c>
      <c r="D802" s="82" t="str">
        <f t="shared" si="96"/>
        <v>NO</v>
      </c>
      <c r="E802" s="27">
        <v>5788.62</v>
      </c>
      <c r="F802" s="27">
        <v>3251.6</v>
      </c>
      <c r="G802" s="27">
        <v>161.16</v>
      </c>
      <c r="H802" s="27">
        <v>122.64</v>
      </c>
      <c r="I802" s="27">
        <v>1991.2</v>
      </c>
      <c r="J802" s="27">
        <v>11522.06</v>
      </c>
      <c r="K802" s="47">
        <f t="shared" si="97"/>
        <v>0.50239453708798598</v>
      </c>
      <c r="L802" s="47">
        <f t="shared" si="98"/>
        <v>0.28220648043839386</v>
      </c>
      <c r="M802" s="84">
        <f t="shared" si="99"/>
        <v>0.78460101752637978</v>
      </c>
      <c r="N802" s="47">
        <f t="shared" si="100"/>
        <v>1.3987082171070104E-2</v>
      </c>
      <c r="O802" s="47">
        <f t="shared" si="101"/>
        <v>1.0643929991685515E-2</v>
      </c>
      <c r="P802" s="47">
        <f t="shared" si="102"/>
        <v>0.17281631930401337</v>
      </c>
      <c r="Q802" s="47">
        <f t="shared" si="103"/>
        <v>1</v>
      </c>
    </row>
    <row r="803" spans="1:17" x14ac:dyDescent="0.35">
      <c r="A803" s="82">
        <v>800</v>
      </c>
      <c r="B803" s="83" t="str">
        <f>_xlfn.XLOOKUP(A803,'TAZs by City - CCAG Model'!$A:$A,'TAZs by City - CCAG Model'!$B:$B,"Unknown")</f>
        <v>San Jose</v>
      </c>
      <c r="C803" s="82">
        <f>_xlfn.XLOOKUP(A803,'TAZs by City - CCAG Model'!$A:$A,'TAZs by City - CCAG Model'!$C:$C,999)</f>
        <v>3</v>
      </c>
      <c r="D803" s="82" t="str">
        <f t="shared" si="96"/>
        <v>NO</v>
      </c>
      <c r="E803" s="27">
        <v>16917.740000000002</v>
      </c>
      <c r="F803" s="27">
        <v>8431.5400000000009</v>
      </c>
      <c r="G803" s="27">
        <v>605.14</v>
      </c>
      <c r="H803" s="27">
        <v>383.82</v>
      </c>
      <c r="I803" s="27">
        <v>1744.74</v>
      </c>
      <c r="J803" s="27">
        <v>28722.82</v>
      </c>
      <c r="K803" s="47">
        <f t="shared" si="97"/>
        <v>0.58899996588078751</v>
      </c>
      <c r="L803" s="47">
        <f t="shared" si="98"/>
        <v>0.29354847469712236</v>
      </c>
      <c r="M803" s="84">
        <f t="shared" si="99"/>
        <v>0.88254844057790993</v>
      </c>
      <c r="N803" s="47">
        <f t="shared" si="100"/>
        <v>2.1068265581165081E-2</v>
      </c>
      <c r="O803" s="47">
        <f t="shared" si="101"/>
        <v>1.3362894033385302E-2</v>
      </c>
      <c r="P803" s="47">
        <f t="shared" si="102"/>
        <v>6.0744035578679252E-2</v>
      </c>
      <c r="Q803" s="47">
        <f t="shared" si="103"/>
        <v>1</v>
      </c>
    </row>
    <row r="804" spans="1:17" x14ac:dyDescent="0.35">
      <c r="A804" s="82">
        <v>801</v>
      </c>
      <c r="B804" s="83" t="str">
        <f>_xlfn.XLOOKUP(A804,'TAZs by City - CCAG Model'!$A:$A,'TAZs by City - CCAG Model'!$B:$B,"Unknown")</f>
        <v>San Jose</v>
      </c>
      <c r="C804" s="82">
        <f>_xlfn.XLOOKUP(A804,'TAZs by City - CCAG Model'!$A:$A,'TAZs by City - CCAG Model'!$C:$C,999)</f>
        <v>3</v>
      </c>
      <c r="D804" s="82" t="str">
        <f t="shared" si="96"/>
        <v>NO</v>
      </c>
      <c r="E804" s="27">
        <v>6726.72</v>
      </c>
      <c r="F804" s="27">
        <v>1954.76</v>
      </c>
      <c r="G804" s="27">
        <v>28.32</v>
      </c>
      <c r="H804" s="27">
        <v>82.78</v>
      </c>
      <c r="I804" s="27">
        <v>185.46</v>
      </c>
      <c r="J804" s="27">
        <v>9030.7800000000007</v>
      </c>
      <c r="K804" s="47">
        <f t="shared" si="97"/>
        <v>0.74486589198275233</v>
      </c>
      <c r="L804" s="47">
        <f t="shared" si="98"/>
        <v>0.21645527850307503</v>
      </c>
      <c r="M804" s="84">
        <f t="shared" si="99"/>
        <v>0.96132117048582721</v>
      </c>
      <c r="N804" s="47">
        <f t="shared" si="100"/>
        <v>3.135941745895703E-3</v>
      </c>
      <c r="O804" s="47">
        <f t="shared" si="101"/>
        <v>9.1664285919931601E-3</v>
      </c>
      <c r="P804" s="47">
        <f t="shared" si="102"/>
        <v>2.0536432068990716E-2</v>
      </c>
      <c r="Q804" s="47">
        <f t="shared" si="103"/>
        <v>1</v>
      </c>
    </row>
    <row r="805" spans="1:17" x14ac:dyDescent="0.35">
      <c r="A805" s="82">
        <v>802</v>
      </c>
      <c r="B805" s="83" t="str">
        <f>_xlfn.XLOOKUP(A805,'TAZs by City - CCAG Model'!$A:$A,'TAZs by City - CCAG Model'!$B:$B,"Unknown")</f>
        <v>San Jose</v>
      </c>
      <c r="C805" s="82">
        <f>_xlfn.XLOOKUP(A805,'TAZs by City - CCAG Model'!$A:$A,'TAZs by City - CCAG Model'!$C:$C,999)</f>
        <v>3</v>
      </c>
      <c r="D805" s="82" t="str">
        <f t="shared" si="96"/>
        <v>NO</v>
      </c>
      <c r="E805" s="27">
        <v>11233.88</v>
      </c>
      <c r="F805" s="27">
        <v>3885.8</v>
      </c>
      <c r="G805" s="27">
        <v>898.8</v>
      </c>
      <c r="H805" s="27">
        <v>144.58000000000001</v>
      </c>
      <c r="I805" s="27">
        <v>445.3</v>
      </c>
      <c r="J805" s="27">
        <v>17529.900000000001</v>
      </c>
      <c r="K805" s="47">
        <f t="shared" si="97"/>
        <v>0.64084107724516393</v>
      </c>
      <c r="L805" s="47">
        <f t="shared" si="98"/>
        <v>0.22166698041631724</v>
      </c>
      <c r="M805" s="84">
        <f t="shared" si="99"/>
        <v>0.8625080576614812</v>
      </c>
      <c r="N805" s="47">
        <f t="shared" si="100"/>
        <v>5.1272397446648292E-2</v>
      </c>
      <c r="O805" s="47">
        <f t="shared" si="101"/>
        <v>8.24762263332934E-3</v>
      </c>
      <c r="P805" s="47">
        <f t="shared" si="102"/>
        <v>2.5402312620151853E-2</v>
      </c>
      <c r="Q805" s="47">
        <f t="shared" si="103"/>
        <v>1</v>
      </c>
    </row>
    <row r="806" spans="1:17" x14ac:dyDescent="0.35">
      <c r="A806" s="82">
        <v>803</v>
      </c>
      <c r="B806" s="83" t="str">
        <f>_xlfn.XLOOKUP(A806,'TAZs by City - CCAG Model'!$A:$A,'TAZs by City - CCAG Model'!$B:$B,"Unknown")</f>
        <v>San Jose</v>
      </c>
      <c r="C806" s="82">
        <f>_xlfn.XLOOKUP(A806,'TAZs by City - CCAG Model'!$A:$A,'TAZs by City - CCAG Model'!$C:$C,999)</f>
        <v>3</v>
      </c>
      <c r="D806" s="82" t="str">
        <f t="shared" si="96"/>
        <v>NO</v>
      </c>
      <c r="E806" s="27">
        <v>5382</v>
      </c>
      <c r="F806" s="27">
        <v>1813.74</v>
      </c>
      <c r="G806" s="27">
        <v>95.1</v>
      </c>
      <c r="H806" s="27">
        <v>68.400000000000006</v>
      </c>
      <c r="I806" s="27">
        <v>291.98</v>
      </c>
      <c r="J806" s="27">
        <v>7784.02</v>
      </c>
      <c r="K806" s="47">
        <f t="shared" si="97"/>
        <v>0.69141651742929744</v>
      </c>
      <c r="L806" s="47">
        <f t="shared" si="98"/>
        <v>0.23300813718361463</v>
      </c>
      <c r="M806" s="84">
        <f t="shared" si="99"/>
        <v>0.92442465461291201</v>
      </c>
      <c r="N806" s="47">
        <f t="shared" si="100"/>
        <v>1.2217337571075099E-2</v>
      </c>
      <c r="O806" s="47">
        <f t="shared" si="101"/>
        <v>8.7872333318773591E-3</v>
      </c>
      <c r="P806" s="47">
        <f t="shared" si="102"/>
        <v>3.7510181114642563E-2</v>
      </c>
      <c r="Q806" s="47">
        <f t="shared" si="103"/>
        <v>1</v>
      </c>
    </row>
    <row r="807" spans="1:17" x14ac:dyDescent="0.35">
      <c r="A807" s="82">
        <v>804</v>
      </c>
      <c r="B807" s="83" t="str">
        <f>_xlfn.XLOOKUP(A807,'TAZs by City - CCAG Model'!$A:$A,'TAZs by City - CCAG Model'!$B:$B,"Unknown")</f>
        <v>San Jose</v>
      </c>
      <c r="C807" s="82">
        <f>_xlfn.XLOOKUP(A807,'TAZs by City - CCAG Model'!$A:$A,'TAZs by City - CCAG Model'!$C:$C,999)</f>
        <v>3</v>
      </c>
      <c r="D807" s="82" t="str">
        <f t="shared" si="96"/>
        <v>NO</v>
      </c>
      <c r="E807" s="27">
        <v>7676.86</v>
      </c>
      <c r="F807" s="27">
        <v>5536.34</v>
      </c>
      <c r="G807" s="27">
        <v>336.64</v>
      </c>
      <c r="H807" s="27">
        <v>171.28</v>
      </c>
      <c r="I807" s="27">
        <v>760.52</v>
      </c>
      <c r="J807" s="27">
        <v>14848</v>
      </c>
      <c r="K807" s="47">
        <f t="shared" si="97"/>
        <v>0.51702990301724139</v>
      </c>
      <c r="L807" s="47">
        <f t="shared" si="98"/>
        <v>0.37286772629310344</v>
      </c>
      <c r="M807" s="84">
        <f t="shared" si="99"/>
        <v>0.88989762931034488</v>
      </c>
      <c r="N807" s="47">
        <f t="shared" si="100"/>
        <v>2.2672413793103446E-2</v>
      </c>
      <c r="O807" s="47">
        <f t="shared" si="101"/>
        <v>1.1535560344827587E-2</v>
      </c>
      <c r="P807" s="47">
        <f t="shared" si="102"/>
        <v>5.1220366379310343E-2</v>
      </c>
      <c r="Q807" s="47">
        <f t="shared" si="103"/>
        <v>1</v>
      </c>
    </row>
    <row r="808" spans="1:17" x14ac:dyDescent="0.35">
      <c r="A808" s="82">
        <v>805</v>
      </c>
      <c r="B808" s="83" t="str">
        <f>_xlfn.XLOOKUP(A808,'TAZs by City - CCAG Model'!$A:$A,'TAZs by City - CCAG Model'!$B:$B,"Unknown")</f>
        <v>San Jose</v>
      </c>
      <c r="C808" s="82">
        <f>_xlfn.XLOOKUP(A808,'TAZs by City - CCAG Model'!$A:$A,'TAZs by City - CCAG Model'!$C:$C,999)</f>
        <v>3</v>
      </c>
      <c r="D808" s="82" t="str">
        <f t="shared" si="96"/>
        <v>NO</v>
      </c>
      <c r="E808" s="27">
        <v>3486.98</v>
      </c>
      <c r="F808" s="27">
        <v>3208.46</v>
      </c>
      <c r="G808" s="27">
        <v>57.16</v>
      </c>
      <c r="H808" s="27">
        <v>77.86</v>
      </c>
      <c r="I808" s="27">
        <v>491.14</v>
      </c>
      <c r="J808" s="27">
        <v>7410.34</v>
      </c>
      <c r="K808" s="47">
        <f t="shared" si="97"/>
        <v>0.47055600687687743</v>
      </c>
      <c r="L808" s="47">
        <f t="shared" si="98"/>
        <v>0.4329706869050543</v>
      </c>
      <c r="M808" s="84">
        <f t="shared" si="99"/>
        <v>0.90352669378193173</v>
      </c>
      <c r="N808" s="47">
        <f t="shared" si="100"/>
        <v>7.7135462070566253E-3</v>
      </c>
      <c r="O808" s="47">
        <f t="shared" si="101"/>
        <v>1.0506940302334306E-2</v>
      </c>
      <c r="P808" s="47">
        <f t="shared" si="102"/>
        <v>6.6277660674139108E-2</v>
      </c>
      <c r="Q808" s="47">
        <f t="shared" si="103"/>
        <v>1</v>
      </c>
    </row>
    <row r="809" spans="1:17" x14ac:dyDescent="0.35">
      <c r="A809" s="82">
        <v>806</v>
      </c>
      <c r="B809" s="83" t="str">
        <f>_xlfn.XLOOKUP(A809,'TAZs by City - CCAG Model'!$A:$A,'TAZs by City - CCAG Model'!$B:$B,"Unknown")</f>
        <v>San Jose</v>
      </c>
      <c r="C809" s="82">
        <f>_xlfn.XLOOKUP(A809,'TAZs by City - CCAG Model'!$A:$A,'TAZs by City - CCAG Model'!$C:$C,999)</f>
        <v>3</v>
      </c>
      <c r="D809" s="82" t="str">
        <f t="shared" si="96"/>
        <v>NO</v>
      </c>
      <c r="E809" s="27">
        <v>6490.74</v>
      </c>
      <c r="F809" s="27">
        <v>5205.1000000000004</v>
      </c>
      <c r="G809" s="27">
        <v>84.82</v>
      </c>
      <c r="H809" s="27">
        <v>117.7</v>
      </c>
      <c r="I809" s="27">
        <v>701.7</v>
      </c>
      <c r="J809" s="27">
        <v>12722.98</v>
      </c>
      <c r="K809" s="47">
        <f t="shared" si="97"/>
        <v>0.51015878355542488</v>
      </c>
      <c r="L809" s="47">
        <f t="shared" si="98"/>
        <v>0.40911012985951406</v>
      </c>
      <c r="M809" s="84">
        <f t="shared" si="99"/>
        <v>0.91926891341493899</v>
      </c>
      <c r="N809" s="47">
        <f t="shared" si="100"/>
        <v>6.6666771463918043E-3</v>
      </c>
      <c r="O809" s="47">
        <f t="shared" si="101"/>
        <v>9.2509773653656618E-3</v>
      </c>
      <c r="P809" s="47">
        <f t="shared" si="102"/>
        <v>5.5152173468794266E-2</v>
      </c>
      <c r="Q809" s="47">
        <f t="shared" si="103"/>
        <v>1</v>
      </c>
    </row>
    <row r="810" spans="1:17" x14ac:dyDescent="0.35">
      <c r="A810" s="82">
        <v>807</v>
      </c>
      <c r="B810" s="83" t="str">
        <f>_xlfn.XLOOKUP(A810,'TAZs by City - CCAG Model'!$A:$A,'TAZs by City - CCAG Model'!$B:$B,"Unknown")</f>
        <v>San Jose</v>
      </c>
      <c r="C810" s="82">
        <f>_xlfn.XLOOKUP(A810,'TAZs by City - CCAG Model'!$A:$A,'TAZs by City - CCAG Model'!$C:$C,999)</f>
        <v>3</v>
      </c>
      <c r="D810" s="82" t="str">
        <f t="shared" si="96"/>
        <v>NO</v>
      </c>
      <c r="E810" s="27">
        <v>2977.88</v>
      </c>
      <c r="F810" s="27">
        <v>1050.8399999999999</v>
      </c>
      <c r="G810" s="27">
        <v>0</v>
      </c>
      <c r="H810" s="27">
        <v>25.3</v>
      </c>
      <c r="I810" s="27">
        <v>70.38</v>
      </c>
      <c r="J810" s="27">
        <v>4153.96</v>
      </c>
      <c r="K810" s="47">
        <f t="shared" si="97"/>
        <v>0.71687738928636768</v>
      </c>
      <c r="L810" s="47">
        <f t="shared" si="98"/>
        <v>0.2529730666640988</v>
      </c>
      <c r="M810" s="84">
        <f t="shared" si="99"/>
        <v>0.96985045595046659</v>
      </c>
      <c r="N810" s="47">
        <f t="shared" si="100"/>
        <v>0</v>
      </c>
      <c r="O810" s="47">
        <f t="shared" si="101"/>
        <v>6.0905738139028784E-3</v>
      </c>
      <c r="P810" s="47">
        <f t="shared" si="102"/>
        <v>1.6942868973220733E-2</v>
      </c>
      <c r="Q810" s="47">
        <f t="shared" si="103"/>
        <v>1</v>
      </c>
    </row>
    <row r="811" spans="1:17" x14ac:dyDescent="0.35">
      <c r="A811" s="82">
        <v>808</v>
      </c>
      <c r="B811" s="83" t="str">
        <f>_xlfn.XLOOKUP(A811,'TAZs by City - CCAG Model'!$A:$A,'TAZs by City - CCAG Model'!$B:$B,"Unknown")</f>
        <v>San Jose</v>
      </c>
      <c r="C811" s="82">
        <f>_xlfn.XLOOKUP(A811,'TAZs by City - CCAG Model'!$A:$A,'TAZs by City - CCAG Model'!$C:$C,999)</f>
        <v>3</v>
      </c>
      <c r="D811" s="82" t="str">
        <f t="shared" si="96"/>
        <v>NO</v>
      </c>
      <c r="E811" s="27">
        <v>7583.12</v>
      </c>
      <c r="F811" s="27">
        <v>2379.2199999999998</v>
      </c>
      <c r="G811" s="27">
        <v>323.64</v>
      </c>
      <c r="H811" s="27">
        <v>73.239999999999995</v>
      </c>
      <c r="I811" s="27">
        <v>615.62</v>
      </c>
      <c r="J811" s="27">
        <v>11332.6</v>
      </c>
      <c r="K811" s="47">
        <f t="shared" si="97"/>
        <v>0.66914212096076797</v>
      </c>
      <c r="L811" s="47">
        <f t="shared" si="98"/>
        <v>0.2099447611316026</v>
      </c>
      <c r="M811" s="84">
        <f t="shared" si="99"/>
        <v>0.87908688209237063</v>
      </c>
      <c r="N811" s="47">
        <f t="shared" si="100"/>
        <v>2.8558318479431018E-2</v>
      </c>
      <c r="O811" s="47">
        <f t="shared" si="101"/>
        <v>6.4627711204842658E-3</v>
      </c>
      <c r="P811" s="47">
        <f t="shared" si="102"/>
        <v>5.4322926777615022E-2</v>
      </c>
      <c r="Q811" s="47">
        <f t="shared" si="103"/>
        <v>1</v>
      </c>
    </row>
    <row r="812" spans="1:17" x14ac:dyDescent="0.35">
      <c r="A812" s="82">
        <v>809</v>
      </c>
      <c r="B812" s="83" t="str">
        <f>_xlfn.XLOOKUP(A812,'TAZs by City - CCAG Model'!$A:$A,'TAZs by City - CCAG Model'!$B:$B,"Unknown")</f>
        <v>San Jose</v>
      </c>
      <c r="C812" s="82">
        <f>_xlfn.XLOOKUP(A812,'TAZs by City - CCAG Model'!$A:$A,'TAZs by City - CCAG Model'!$C:$C,999)</f>
        <v>3</v>
      </c>
      <c r="D812" s="82" t="str">
        <f t="shared" si="96"/>
        <v>NO</v>
      </c>
      <c r="E812" s="27">
        <v>5429.84</v>
      </c>
      <c r="F812" s="27">
        <v>1755.02</v>
      </c>
      <c r="G812" s="27">
        <v>245.2</v>
      </c>
      <c r="H812" s="27">
        <v>52.2</v>
      </c>
      <c r="I812" s="27">
        <v>576.05999999999995</v>
      </c>
      <c r="J812" s="27">
        <v>8341.82</v>
      </c>
      <c r="K812" s="47">
        <f t="shared" si="97"/>
        <v>0.65091790520533888</v>
      </c>
      <c r="L812" s="47">
        <f t="shared" si="98"/>
        <v>0.21038814071749332</v>
      </c>
      <c r="M812" s="84">
        <f t="shared" si="99"/>
        <v>0.86130604592283233</v>
      </c>
      <c r="N812" s="47">
        <f t="shared" si="100"/>
        <v>2.9394065084118334E-2</v>
      </c>
      <c r="O812" s="47">
        <f t="shared" si="101"/>
        <v>6.2576272324264973E-3</v>
      </c>
      <c r="P812" s="47">
        <f t="shared" si="102"/>
        <v>6.9056872481065276E-2</v>
      </c>
      <c r="Q812" s="47">
        <f t="shared" si="103"/>
        <v>1</v>
      </c>
    </row>
    <row r="813" spans="1:17" x14ac:dyDescent="0.35">
      <c r="A813" s="82">
        <v>810</v>
      </c>
      <c r="B813" s="83" t="str">
        <f>_xlfn.XLOOKUP(A813,'TAZs by City - CCAG Model'!$A:$A,'TAZs by City - CCAG Model'!$B:$B,"Unknown")</f>
        <v>Unincorporated</v>
      </c>
      <c r="C813" s="82">
        <f>_xlfn.XLOOKUP(A813,'TAZs by City - CCAG Model'!$A:$A,'TAZs by City - CCAG Model'!$C:$C,999)</f>
        <v>3</v>
      </c>
      <c r="D813" s="82" t="str">
        <f t="shared" si="96"/>
        <v>NO</v>
      </c>
      <c r="E813" s="27">
        <v>134.12</v>
      </c>
      <c r="F813" s="27">
        <v>92.54</v>
      </c>
      <c r="G813" s="27">
        <v>2.38</v>
      </c>
      <c r="H813" s="27">
        <v>0.76</v>
      </c>
      <c r="I813" s="27">
        <v>5.52</v>
      </c>
      <c r="J813" s="27">
        <v>255.18</v>
      </c>
      <c r="K813" s="47">
        <f t="shared" si="97"/>
        <v>0.52558977976330434</v>
      </c>
      <c r="L813" s="47">
        <f t="shared" si="98"/>
        <v>0.36264597538992088</v>
      </c>
      <c r="M813" s="84">
        <f t="shared" si="99"/>
        <v>0.88823575515322528</v>
      </c>
      <c r="N813" s="47">
        <f t="shared" si="100"/>
        <v>9.3267497452778417E-3</v>
      </c>
      <c r="O813" s="47">
        <f t="shared" si="101"/>
        <v>2.9782898346265379E-3</v>
      </c>
      <c r="P813" s="47">
        <f t="shared" si="102"/>
        <v>2.1631789325182223E-2</v>
      </c>
      <c r="Q813" s="47">
        <f t="shared" si="103"/>
        <v>1</v>
      </c>
    </row>
    <row r="814" spans="1:17" x14ac:dyDescent="0.35">
      <c r="A814" s="82">
        <v>811</v>
      </c>
      <c r="B814" s="83" t="str">
        <f>_xlfn.XLOOKUP(A814,'TAZs by City - CCAG Model'!$A:$A,'TAZs by City - CCAG Model'!$B:$B,"Unknown")</f>
        <v>San Jose</v>
      </c>
      <c r="C814" s="82">
        <f>_xlfn.XLOOKUP(A814,'TAZs by City - CCAG Model'!$A:$A,'TAZs by City - CCAG Model'!$C:$C,999)</f>
        <v>3</v>
      </c>
      <c r="D814" s="82" t="str">
        <f t="shared" si="96"/>
        <v>NO</v>
      </c>
      <c r="E814" s="27">
        <v>8251.2000000000007</v>
      </c>
      <c r="F814" s="27">
        <v>5077.9399999999996</v>
      </c>
      <c r="G814" s="27">
        <v>269.7</v>
      </c>
      <c r="H814" s="27">
        <v>157.46</v>
      </c>
      <c r="I814" s="27">
        <v>1138.6199999999999</v>
      </c>
      <c r="J814" s="27">
        <v>15205.38</v>
      </c>
      <c r="K814" s="47">
        <f t="shared" si="97"/>
        <v>0.54265003571104442</v>
      </c>
      <c r="L814" s="47">
        <f t="shared" si="98"/>
        <v>0.33395679687058133</v>
      </c>
      <c r="M814" s="84">
        <f t="shared" si="99"/>
        <v>0.87660683258162575</v>
      </c>
      <c r="N814" s="47">
        <f t="shared" si="100"/>
        <v>1.7737143037530139E-2</v>
      </c>
      <c r="O814" s="47">
        <f t="shared" si="101"/>
        <v>1.0355545208340733E-2</v>
      </c>
      <c r="P814" s="47">
        <f t="shared" si="102"/>
        <v>7.4882705989590528E-2</v>
      </c>
      <c r="Q814" s="47">
        <f t="shared" si="103"/>
        <v>1</v>
      </c>
    </row>
    <row r="815" spans="1:17" x14ac:dyDescent="0.35">
      <c r="A815" s="82">
        <v>812</v>
      </c>
      <c r="B815" s="83" t="str">
        <f>_xlfn.XLOOKUP(A815,'TAZs by City - CCAG Model'!$A:$A,'TAZs by City - CCAG Model'!$B:$B,"Unknown")</f>
        <v>Los Gatos</v>
      </c>
      <c r="C815" s="82">
        <f>_xlfn.XLOOKUP(A815,'TAZs by City - CCAG Model'!$A:$A,'TAZs by City - CCAG Model'!$C:$C,999)</f>
        <v>3</v>
      </c>
      <c r="D815" s="82" t="str">
        <f t="shared" si="96"/>
        <v>NO</v>
      </c>
      <c r="E815" s="27">
        <v>336.52</v>
      </c>
      <c r="F815" s="27">
        <v>198.06</v>
      </c>
      <c r="G815" s="27">
        <v>0.7</v>
      </c>
      <c r="H815" s="27">
        <v>3.68</v>
      </c>
      <c r="I815" s="27">
        <v>11.08</v>
      </c>
      <c r="J815" s="27">
        <v>576.5</v>
      </c>
      <c r="K815" s="47">
        <f t="shared" si="97"/>
        <v>0.58372940156114483</v>
      </c>
      <c r="L815" s="47">
        <f t="shared" si="98"/>
        <v>0.34355594102341719</v>
      </c>
      <c r="M815" s="84">
        <f t="shared" si="99"/>
        <v>0.92728534258456186</v>
      </c>
      <c r="N815" s="47">
        <f t="shared" si="100"/>
        <v>1.2142237640936687E-3</v>
      </c>
      <c r="O815" s="47">
        <f t="shared" si="101"/>
        <v>6.3833477883781442E-3</v>
      </c>
      <c r="P815" s="47">
        <f t="shared" si="102"/>
        <v>1.92194275802255E-2</v>
      </c>
      <c r="Q815" s="47">
        <f t="shared" si="103"/>
        <v>1</v>
      </c>
    </row>
    <row r="816" spans="1:17" x14ac:dyDescent="0.35">
      <c r="A816" s="82">
        <v>813</v>
      </c>
      <c r="B816" s="83" t="str">
        <f>_xlfn.XLOOKUP(A816,'TAZs by City - CCAG Model'!$A:$A,'TAZs by City - CCAG Model'!$B:$B,"Unknown")</f>
        <v>San Jose</v>
      </c>
      <c r="C816" s="82">
        <f>_xlfn.XLOOKUP(A816,'TAZs by City - CCAG Model'!$A:$A,'TAZs by City - CCAG Model'!$C:$C,999)</f>
        <v>3</v>
      </c>
      <c r="D816" s="82" t="str">
        <f t="shared" si="96"/>
        <v>NO</v>
      </c>
      <c r="E816" s="27">
        <v>7832.92</v>
      </c>
      <c r="F816" s="27">
        <v>3068.34</v>
      </c>
      <c r="G816" s="27">
        <v>255.5</v>
      </c>
      <c r="H816" s="27">
        <v>145.63999999999999</v>
      </c>
      <c r="I816" s="27">
        <v>1625.42</v>
      </c>
      <c r="J816" s="27">
        <v>13219.08</v>
      </c>
      <c r="K816" s="47">
        <f t="shared" si="97"/>
        <v>0.59254653122607626</v>
      </c>
      <c r="L816" s="47">
        <f t="shared" si="98"/>
        <v>0.2321144890567271</v>
      </c>
      <c r="M816" s="84">
        <f t="shared" si="99"/>
        <v>0.82466102028280341</v>
      </c>
      <c r="N816" s="47">
        <f t="shared" si="100"/>
        <v>1.9328122683272966E-2</v>
      </c>
      <c r="O816" s="47">
        <f t="shared" si="101"/>
        <v>1.1017408170613991E-2</v>
      </c>
      <c r="P816" s="47">
        <f t="shared" si="102"/>
        <v>0.12296014548667533</v>
      </c>
      <c r="Q816" s="47">
        <f t="shared" si="103"/>
        <v>1</v>
      </c>
    </row>
    <row r="817" spans="1:17" x14ac:dyDescent="0.35">
      <c r="A817" s="82">
        <v>814</v>
      </c>
      <c r="B817" s="83" t="str">
        <f>_xlfn.XLOOKUP(A817,'TAZs by City - CCAG Model'!$A:$A,'TAZs by City - CCAG Model'!$B:$B,"Unknown")</f>
        <v>San Jose</v>
      </c>
      <c r="C817" s="82">
        <f>_xlfn.XLOOKUP(A817,'TAZs by City - CCAG Model'!$A:$A,'TAZs by City - CCAG Model'!$C:$C,999)</f>
        <v>3</v>
      </c>
      <c r="D817" s="82" t="str">
        <f t="shared" si="96"/>
        <v>NO</v>
      </c>
      <c r="E817" s="27">
        <v>5104.3599999999997</v>
      </c>
      <c r="F817" s="27">
        <v>1539.24</v>
      </c>
      <c r="G817" s="27">
        <v>214.84</v>
      </c>
      <c r="H817" s="27">
        <v>72.239999999999995</v>
      </c>
      <c r="I817" s="27">
        <v>1152.26</v>
      </c>
      <c r="J817" s="27">
        <v>8337.3799999999992</v>
      </c>
      <c r="K817" s="47">
        <f t="shared" si="97"/>
        <v>0.61222590310145397</v>
      </c>
      <c r="L817" s="47">
        <f t="shared" si="98"/>
        <v>0.18461914894127412</v>
      </c>
      <c r="M817" s="84">
        <f t="shared" si="99"/>
        <v>0.79684505204272804</v>
      </c>
      <c r="N817" s="47">
        <f t="shared" si="100"/>
        <v>2.5768286919871715E-2</v>
      </c>
      <c r="O817" s="47">
        <f t="shared" si="101"/>
        <v>8.6645924738946774E-3</v>
      </c>
      <c r="P817" s="47">
        <f t="shared" si="102"/>
        <v>0.13820408809482115</v>
      </c>
      <c r="Q817" s="47">
        <f t="shared" si="103"/>
        <v>1</v>
      </c>
    </row>
    <row r="818" spans="1:17" x14ac:dyDescent="0.35">
      <c r="A818" s="82">
        <v>815</v>
      </c>
      <c r="B818" s="83" t="str">
        <f>_xlfn.XLOOKUP(A818,'TAZs by City - CCAG Model'!$A:$A,'TAZs by City - CCAG Model'!$B:$B,"Unknown")</f>
        <v>San Jose</v>
      </c>
      <c r="C818" s="82">
        <f>_xlfn.XLOOKUP(A818,'TAZs by City - CCAG Model'!$A:$A,'TAZs by City - CCAG Model'!$C:$C,999)</f>
        <v>3</v>
      </c>
      <c r="D818" s="82" t="str">
        <f t="shared" si="96"/>
        <v>NO</v>
      </c>
      <c r="E818" s="27">
        <v>1032.56</v>
      </c>
      <c r="F818" s="27">
        <v>331.28</v>
      </c>
      <c r="G818" s="27">
        <v>21.28</v>
      </c>
      <c r="H818" s="27">
        <v>12.28</v>
      </c>
      <c r="I818" s="27">
        <v>157.47999999999999</v>
      </c>
      <c r="J818" s="27">
        <v>1618.14</v>
      </c>
      <c r="K818" s="47">
        <f t="shared" si="97"/>
        <v>0.63811536702633886</v>
      </c>
      <c r="L818" s="47">
        <f t="shared" si="98"/>
        <v>0.2047288862521166</v>
      </c>
      <c r="M818" s="84">
        <f t="shared" si="99"/>
        <v>0.84284425327845536</v>
      </c>
      <c r="N818" s="47">
        <f t="shared" si="100"/>
        <v>1.3150901652514615E-2</v>
      </c>
      <c r="O818" s="47">
        <f t="shared" si="101"/>
        <v>7.5889601641390726E-3</v>
      </c>
      <c r="P818" s="47">
        <f t="shared" si="102"/>
        <v>9.7321616176597806E-2</v>
      </c>
      <c r="Q818" s="47">
        <f t="shared" si="103"/>
        <v>1</v>
      </c>
    </row>
    <row r="819" spans="1:17" x14ac:dyDescent="0.35">
      <c r="A819" s="82">
        <v>816</v>
      </c>
      <c r="B819" s="83" t="str">
        <f>_xlfn.XLOOKUP(A819,'TAZs by City - CCAG Model'!$A:$A,'TAZs by City - CCAG Model'!$B:$B,"Unknown")</f>
        <v>San Jose</v>
      </c>
      <c r="C819" s="82">
        <f>_xlfn.XLOOKUP(A819,'TAZs by City - CCAG Model'!$A:$A,'TAZs by City - CCAG Model'!$C:$C,999)</f>
        <v>3</v>
      </c>
      <c r="D819" s="82" t="str">
        <f t="shared" si="96"/>
        <v>NO</v>
      </c>
      <c r="E819" s="27">
        <v>49.56</v>
      </c>
      <c r="F819" s="27">
        <v>11.4</v>
      </c>
      <c r="G819" s="27">
        <v>0.26</v>
      </c>
      <c r="H819" s="27">
        <v>0.14000000000000001</v>
      </c>
      <c r="I819" s="27">
        <v>7.98</v>
      </c>
      <c r="J819" s="27">
        <v>82.28</v>
      </c>
      <c r="K819" s="47">
        <f t="shared" si="97"/>
        <v>0.60233349538162373</v>
      </c>
      <c r="L819" s="47">
        <f t="shared" si="98"/>
        <v>0.13855128828390861</v>
      </c>
      <c r="M819" s="84">
        <f t="shared" si="99"/>
        <v>0.74088478366553234</v>
      </c>
      <c r="N819" s="47">
        <f t="shared" si="100"/>
        <v>3.1599416626154593E-3</v>
      </c>
      <c r="O819" s="47">
        <f t="shared" si="101"/>
        <v>1.7015070491006321E-3</v>
      </c>
      <c r="P819" s="47">
        <f t="shared" si="102"/>
        <v>9.6985901798736021E-2</v>
      </c>
      <c r="Q819" s="47">
        <f t="shared" si="103"/>
        <v>1</v>
      </c>
    </row>
    <row r="820" spans="1:17" x14ac:dyDescent="0.35">
      <c r="A820" s="82">
        <v>817</v>
      </c>
      <c r="B820" s="83" t="str">
        <f>_xlfn.XLOOKUP(A820,'TAZs by City - CCAG Model'!$A:$A,'TAZs by City - CCAG Model'!$B:$B,"Unknown")</f>
        <v>San Jose</v>
      </c>
      <c r="C820" s="82">
        <f>_xlfn.XLOOKUP(A820,'TAZs by City - CCAG Model'!$A:$A,'TAZs by City - CCAG Model'!$C:$C,999)</f>
        <v>3</v>
      </c>
      <c r="D820" s="82" t="str">
        <f t="shared" si="96"/>
        <v>NO</v>
      </c>
      <c r="E820" s="27">
        <v>783.56</v>
      </c>
      <c r="F820" s="27">
        <v>410.18</v>
      </c>
      <c r="G820" s="27">
        <v>0</v>
      </c>
      <c r="H820" s="27">
        <v>8.6</v>
      </c>
      <c r="I820" s="27">
        <v>36.04</v>
      </c>
      <c r="J820" s="27">
        <v>1265.42</v>
      </c>
      <c r="K820" s="47">
        <f t="shared" si="97"/>
        <v>0.61920943244140281</v>
      </c>
      <c r="L820" s="47">
        <f t="shared" si="98"/>
        <v>0.3241453430481579</v>
      </c>
      <c r="M820" s="84">
        <f t="shared" si="99"/>
        <v>0.9433547754895607</v>
      </c>
      <c r="N820" s="47">
        <f t="shared" si="100"/>
        <v>0</v>
      </c>
      <c r="O820" s="47">
        <f t="shared" si="101"/>
        <v>6.7961625389198832E-3</v>
      </c>
      <c r="P820" s="47">
        <f t="shared" si="102"/>
        <v>2.8480662546822397E-2</v>
      </c>
      <c r="Q820" s="47">
        <f t="shared" si="103"/>
        <v>1</v>
      </c>
    </row>
    <row r="821" spans="1:17" x14ac:dyDescent="0.35">
      <c r="A821" s="82">
        <v>818</v>
      </c>
      <c r="B821" s="83" t="str">
        <f>_xlfn.XLOOKUP(A821,'TAZs by City - CCAG Model'!$A:$A,'TAZs by City - CCAG Model'!$B:$B,"Unknown")</f>
        <v>San Jose</v>
      </c>
      <c r="C821" s="82">
        <f>_xlfn.XLOOKUP(A821,'TAZs by City - CCAG Model'!$A:$A,'TAZs by City - CCAG Model'!$C:$C,999)</f>
        <v>3</v>
      </c>
      <c r="D821" s="82" t="str">
        <f t="shared" si="96"/>
        <v>NO</v>
      </c>
      <c r="E821" s="27">
        <v>6758.84</v>
      </c>
      <c r="F821" s="27">
        <v>4846.3999999999996</v>
      </c>
      <c r="G821" s="27">
        <v>237.64</v>
      </c>
      <c r="H821" s="27">
        <v>112.5</v>
      </c>
      <c r="I821" s="27">
        <v>461.8</v>
      </c>
      <c r="J821" s="27">
        <v>12689.88</v>
      </c>
      <c r="K821" s="47">
        <f t="shared" si="97"/>
        <v>0.53261654168518535</v>
      </c>
      <c r="L821" s="47">
        <f t="shared" si="98"/>
        <v>0.38191062484436417</v>
      </c>
      <c r="M821" s="84">
        <f t="shared" si="99"/>
        <v>0.91452716652954957</v>
      </c>
      <c r="N821" s="47">
        <f t="shared" si="100"/>
        <v>1.8726733428527299E-2</v>
      </c>
      <c r="O821" s="47">
        <f t="shared" si="101"/>
        <v>8.8653320598776359E-3</v>
      </c>
      <c r="P821" s="47">
        <f t="shared" si="102"/>
        <v>3.6391203068902152E-2</v>
      </c>
      <c r="Q821" s="47">
        <f t="shared" si="103"/>
        <v>1</v>
      </c>
    </row>
    <row r="822" spans="1:17" x14ac:dyDescent="0.35">
      <c r="A822" s="82">
        <v>819</v>
      </c>
      <c r="B822" s="83" t="str">
        <f>_xlfn.XLOOKUP(A822,'TAZs by City - CCAG Model'!$A:$A,'TAZs by City - CCAG Model'!$B:$B,"Unknown")</f>
        <v>Unincorporated</v>
      </c>
      <c r="C822" s="82">
        <f>_xlfn.XLOOKUP(A822,'TAZs by City - CCAG Model'!$A:$A,'TAZs by City - CCAG Model'!$C:$C,999)</f>
        <v>3</v>
      </c>
      <c r="D822" s="82" t="str">
        <f t="shared" si="96"/>
        <v>NO</v>
      </c>
      <c r="E822" s="27">
        <v>2.9</v>
      </c>
      <c r="F822" s="27">
        <v>1.66</v>
      </c>
      <c r="G822" s="27">
        <v>0</v>
      </c>
      <c r="H822" s="27">
        <v>0</v>
      </c>
      <c r="I822" s="27">
        <v>0.12</v>
      </c>
      <c r="J822" s="27">
        <v>8.16</v>
      </c>
      <c r="K822" s="47">
        <f t="shared" si="97"/>
        <v>0.35539215686274506</v>
      </c>
      <c r="L822" s="47">
        <f t="shared" si="98"/>
        <v>0.20343137254901961</v>
      </c>
      <c r="M822" s="84">
        <f t="shared" si="99"/>
        <v>0.55882352941176461</v>
      </c>
      <c r="N822" s="47">
        <f t="shared" si="100"/>
        <v>0</v>
      </c>
      <c r="O822" s="47">
        <f t="shared" si="101"/>
        <v>0</v>
      </c>
      <c r="P822" s="47">
        <f t="shared" si="102"/>
        <v>1.4705882352941176E-2</v>
      </c>
      <c r="Q822" s="47">
        <f t="shared" si="103"/>
        <v>1</v>
      </c>
    </row>
    <row r="823" spans="1:17" x14ac:dyDescent="0.35">
      <c r="A823" s="82">
        <v>820</v>
      </c>
      <c r="B823" s="83" t="str">
        <f>_xlfn.XLOOKUP(A823,'TAZs by City - CCAG Model'!$A:$A,'TAZs by City - CCAG Model'!$B:$B,"Unknown")</f>
        <v>San Jose</v>
      </c>
      <c r="C823" s="82">
        <f>_xlfn.XLOOKUP(A823,'TAZs by City - CCAG Model'!$A:$A,'TAZs by City - CCAG Model'!$C:$C,999)</f>
        <v>3</v>
      </c>
      <c r="D823" s="82" t="str">
        <f t="shared" si="96"/>
        <v>NO</v>
      </c>
      <c r="E823" s="27">
        <v>4423.24</v>
      </c>
      <c r="F823" s="27">
        <v>2738.3</v>
      </c>
      <c r="G823" s="27">
        <v>192.62</v>
      </c>
      <c r="H823" s="27">
        <v>76.72</v>
      </c>
      <c r="I823" s="27">
        <v>1212.26</v>
      </c>
      <c r="J823" s="27">
        <v>8879.4599999999991</v>
      </c>
      <c r="K823" s="47">
        <f t="shared" si="97"/>
        <v>0.49814290508657061</v>
      </c>
      <c r="L823" s="47">
        <f t="shared" si="98"/>
        <v>0.30838587031193343</v>
      </c>
      <c r="M823" s="84">
        <f t="shared" si="99"/>
        <v>0.80652877539850398</v>
      </c>
      <c r="N823" s="47">
        <f t="shared" si="100"/>
        <v>2.1692760595802E-2</v>
      </c>
      <c r="O823" s="47">
        <f t="shared" si="101"/>
        <v>8.6401650550821784E-3</v>
      </c>
      <c r="P823" s="47">
        <f t="shared" si="102"/>
        <v>0.13652406790503027</v>
      </c>
      <c r="Q823" s="47">
        <f t="shared" si="103"/>
        <v>1</v>
      </c>
    </row>
    <row r="824" spans="1:17" x14ac:dyDescent="0.35">
      <c r="A824" s="82">
        <v>821</v>
      </c>
      <c r="B824" s="83" t="str">
        <f>_xlfn.XLOOKUP(A824,'TAZs by City - CCAG Model'!$A:$A,'TAZs by City - CCAG Model'!$B:$B,"Unknown")</f>
        <v>San Jose</v>
      </c>
      <c r="C824" s="82">
        <f>_xlfn.XLOOKUP(A824,'TAZs by City - CCAG Model'!$A:$A,'TAZs by City - CCAG Model'!$C:$C,999)</f>
        <v>3</v>
      </c>
      <c r="D824" s="82" t="str">
        <f t="shared" si="96"/>
        <v>NO</v>
      </c>
      <c r="E824" s="27">
        <v>11.94</v>
      </c>
      <c r="F824" s="27">
        <v>17.739999999999998</v>
      </c>
      <c r="G824" s="27">
        <v>0</v>
      </c>
      <c r="H824" s="27">
        <v>0.44</v>
      </c>
      <c r="I824" s="27">
        <v>0.04</v>
      </c>
      <c r="J824" s="27">
        <v>30.8</v>
      </c>
      <c r="K824" s="47">
        <f t="shared" si="97"/>
        <v>0.38766233766233765</v>
      </c>
      <c r="L824" s="47">
        <f t="shared" si="98"/>
        <v>0.57597402597402592</v>
      </c>
      <c r="M824" s="84">
        <f t="shared" si="99"/>
        <v>0.96363636363636362</v>
      </c>
      <c r="N824" s="47">
        <f t="shared" si="100"/>
        <v>0</v>
      </c>
      <c r="O824" s="47">
        <f t="shared" si="101"/>
        <v>1.4285714285714285E-2</v>
      </c>
      <c r="P824" s="47">
        <f t="shared" si="102"/>
        <v>1.2987012987012987E-3</v>
      </c>
      <c r="Q824" s="47">
        <f t="shared" si="103"/>
        <v>1</v>
      </c>
    </row>
    <row r="825" spans="1:17" x14ac:dyDescent="0.35">
      <c r="A825" s="82">
        <v>822</v>
      </c>
      <c r="B825" s="83" t="str">
        <f>_xlfn.XLOOKUP(A825,'TAZs by City - CCAG Model'!$A:$A,'TAZs by City - CCAG Model'!$B:$B,"Unknown")</f>
        <v>San Jose</v>
      </c>
      <c r="C825" s="82">
        <f>_xlfn.XLOOKUP(A825,'TAZs by City - CCAG Model'!$A:$A,'TAZs by City - CCAG Model'!$C:$C,999)</f>
        <v>3</v>
      </c>
      <c r="D825" s="82" t="str">
        <f t="shared" si="96"/>
        <v>NO</v>
      </c>
      <c r="E825" s="27">
        <v>933.9</v>
      </c>
      <c r="F825" s="27">
        <v>405.88</v>
      </c>
      <c r="G825" s="27">
        <v>0</v>
      </c>
      <c r="H825" s="27">
        <v>7.96</v>
      </c>
      <c r="I825" s="27">
        <v>20.100000000000001</v>
      </c>
      <c r="J825" s="27">
        <v>1397.4</v>
      </c>
      <c r="K825" s="47">
        <f t="shared" si="97"/>
        <v>0.66831258050665521</v>
      </c>
      <c r="L825" s="47">
        <f t="shared" si="98"/>
        <v>0.29045369972806639</v>
      </c>
      <c r="M825" s="84">
        <f t="shared" si="99"/>
        <v>0.95876628023472155</v>
      </c>
      <c r="N825" s="47">
        <f t="shared" si="100"/>
        <v>0</v>
      </c>
      <c r="O825" s="47">
        <f t="shared" si="101"/>
        <v>5.6962931157864601E-3</v>
      </c>
      <c r="P825" s="47">
        <f t="shared" si="102"/>
        <v>1.4383855732073852E-2</v>
      </c>
      <c r="Q825" s="47">
        <f t="shared" si="103"/>
        <v>1</v>
      </c>
    </row>
    <row r="826" spans="1:17" x14ac:dyDescent="0.35">
      <c r="A826" s="82">
        <v>823</v>
      </c>
      <c r="B826" s="83" t="str">
        <f>_xlfn.XLOOKUP(A826,'TAZs by City - CCAG Model'!$A:$A,'TAZs by City - CCAG Model'!$B:$B,"Unknown")</f>
        <v>Unincorporated</v>
      </c>
      <c r="C826" s="82">
        <f>_xlfn.XLOOKUP(A826,'TAZs by City - CCAG Model'!$A:$A,'TAZs by City - CCAG Model'!$C:$C,999)</f>
        <v>3</v>
      </c>
      <c r="D826" s="82" t="str">
        <f t="shared" si="96"/>
        <v>NO</v>
      </c>
      <c r="E826" s="27">
        <v>1357.36</v>
      </c>
      <c r="F826" s="27">
        <v>640.29999999999995</v>
      </c>
      <c r="G826" s="27">
        <v>0</v>
      </c>
      <c r="H826" s="27">
        <v>9.64</v>
      </c>
      <c r="I826" s="27">
        <v>12.62</v>
      </c>
      <c r="J826" s="27">
        <v>2049.5</v>
      </c>
      <c r="K826" s="47">
        <f t="shared" si="97"/>
        <v>0.66228836301536953</v>
      </c>
      <c r="L826" s="47">
        <f t="shared" si="98"/>
        <v>0.31241766284459621</v>
      </c>
      <c r="M826" s="84">
        <f t="shared" si="99"/>
        <v>0.9747060258599658</v>
      </c>
      <c r="N826" s="47">
        <f t="shared" si="100"/>
        <v>0</v>
      </c>
      <c r="O826" s="47">
        <f t="shared" si="101"/>
        <v>4.7035862405464752E-3</v>
      </c>
      <c r="P826" s="47">
        <f t="shared" si="102"/>
        <v>6.1575994144913394E-3</v>
      </c>
      <c r="Q826" s="47">
        <f t="shared" si="103"/>
        <v>1</v>
      </c>
    </row>
    <row r="827" spans="1:17" x14ac:dyDescent="0.35">
      <c r="A827" s="82">
        <v>824</v>
      </c>
      <c r="B827" s="83" t="str">
        <f>_xlfn.XLOOKUP(A827,'TAZs by City - CCAG Model'!$A:$A,'TAZs by City - CCAG Model'!$B:$B,"Unknown")</f>
        <v>Unincorporated</v>
      </c>
      <c r="C827" s="82">
        <f>_xlfn.XLOOKUP(A827,'TAZs by City - CCAG Model'!$A:$A,'TAZs by City - CCAG Model'!$C:$C,999)</f>
        <v>3</v>
      </c>
      <c r="D827" s="82" t="str">
        <f t="shared" si="96"/>
        <v>NO</v>
      </c>
      <c r="E827" s="27">
        <v>4.8</v>
      </c>
      <c r="F827" s="27">
        <v>1.26</v>
      </c>
      <c r="G827" s="27">
        <v>0</v>
      </c>
      <c r="H827" s="27">
        <v>0</v>
      </c>
      <c r="I827" s="27">
        <v>0.04</v>
      </c>
      <c r="J827" s="27">
        <v>9.5</v>
      </c>
      <c r="K827" s="47">
        <f t="shared" si="97"/>
        <v>0.50526315789473686</v>
      </c>
      <c r="L827" s="47">
        <f t="shared" si="98"/>
        <v>0.13263157894736843</v>
      </c>
      <c r="M827" s="84">
        <f t="shared" si="99"/>
        <v>0.63789473684210518</v>
      </c>
      <c r="N827" s="47">
        <f t="shared" si="100"/>
        <v>0</v>
      </c>
      <c r="O827" s="47">
        <f t="shared" si="101"/>
        <v>0</v>
      </c>
      <c r="P827" s="47">
        <f t="shared" si="102"/>
        <v>4.2105263157894736E-3</v>
      </c>
      <c r="Q827" s="47">
        <f t="shared" si="103"/>
        <v>1</v>
      </c>
    </row>
    <row r="828" spans="1:17" x14ac:dyDescent="0.35">
      <c r="A828" s="82">
        <v>825</v>
      </c>
      <c r="B828" s="83" t="str">
        <f>_xlfn.XLOOKUP(A828,'TAZs by City - CCAG Model'!$A:$A,'TAZs by City - CCAG Model'!$B:$B,"Unknown")</f>
        <v>San Jose</v>
      </c>
      <c r="C828" s="82">
        <f>_xlfn.XLOOKUP(A828,'TAZs by City - CCAG Model'!$A:$A,'TAZs by City - CCAG Model'!$C:$C,999)</f>
        <v>3</v>
      </c>
      <c r="D828" s="82" t="str">
        <f t="shared" si="96"/>
        <v>NO</v>
      </c>
      <c r="E828" s="27">
        <v>0.86</v>
      </c>
      <c r="F828" s="27">
        <v>0.2</v>
      </c>
      <c r="G828" s="27">
        <v>0</v>
      </c>
      <c r="H828" s="27">
        <v>0</v>
      </c>
      <c r="I828" s="27">
        <v>0</v>
      </c>
      <c r="J828" s="27">
        <v>1.5</v>
      </c>
      <c r="K828" s="47">
        <f t="shared" si="97"/>
        <v>0.57333333333333336</v>
      </c>
      <c r="L828" s="47">
        <f t="shared" si="98"/>
        <v>0.13333333333333333</v>
      </c>
      <c r="M828" s="84">
        <f t="shared" si="99"/>
        <v>0.70666666666666667</v>
      </c>
      <c r="N828" s="47">
        <f t="shared" si="100"/>
        <v>0</v>
      </c>
      <c r="O828" s="47">
        <f t="shared" si="101"/>
        <v>0</v>
      </c>
      <c r="P828" s="47">
        <f t="shared" si="102"/>
        <v>0</v>
      </c>
      <c r="Q828" s="47">
        <f t="shared" si="103"/>
        <v>1</v>
      </c>
    </row>
    <row r="829" spans="1:17" x14ac:dyDescent="0.35">
      <c r="A829" s="82">
        <v>826</v>
      </c>
      <c r="B829" s="83" t="str">
        <f>_xlfn.XLOOKUP(A829,'TAZs by City - CCAG Model'!$A:$A,'TAZs by City - CCAG Model'!$B:$B,"Unknown")</f>
        <v>Unincorporated</v>
      </c>
      <c r="C829" s="82">
        <f>_xlfn.XLOOKUP(A829,'TAZs by City - CCAG Model'!$A:$A,'TAZs by City - CCAG Model'!$C:$C,999)</f>
        <v>3</v>
      </c>
      <c r="D829" s="82" t="str">
        <f t="shared" si="96"/>
        <v>NO</v>
      </c>
      <c r="E829" s="27">
        <v>12011.62</v>
      </c>
      <c r="F829" s="27">
        <v>9825.82</v>
      </c>
      <c r="G829" s="27">
        <v>156.54</v>
      </c>
      <c r="H829" s="27">
        <v>183.4</v>
      </c>
      <c r="I829" s="27">
        <v>1168.1600000000001</v>
      </c>
      <c r="J829" s="27">
        <v>23532.76</v>
      </c>
      <c r="K829" s="47">
        <f t="shared" si="97"/>
        <v>0.51042121706081234</v>
      </c>
      <c r="L829" s="47">
        <f t="shared" si="98"/>
        <v>0.41753793435194175</v>
      </c>
      <c r="M829" s="84">
        <f t="shared" si="99"/>
        <v>0.92795915141275409</v>
      </c>
      <c r="N829" s="47">
        <f t="shared" si="100"/>
        <v>6.6520034199133464E-3</v>
      </c>
      <c r="O829" s="47">
        <f t="shared" si="101"/>
        <v>7.7933910004606352E-3</v>
      </c>
      <c r="P829" s="47">
        <f t="shared" si="102"/>
        <v>4.9639736265529422E-2</v>
      </c>
      <c r="Q829" s="47">
        <f t="shared" si="103"/>
        <v>1</v>
      </c>
    </row>
    <row r="830" spans="1:17" x14ac:dyDescent="0.35">
      <c r="A830" s="82">
        <v>827</v>
      </c>
      <c r="B830" s="83" t="str">
        <f>_xlfn.XLOOKUP(A830,'TAZs by City - CCAG Model'!$A:$A,'TAZs by City - CCAG Model'!$B:$B,"Unknown")</f>
        <v>San Jose</v>
      </c>
      <c r="C830" s="82">
        <f>_xlfn.XLOOKUP(A830,'TAZs by City - CCAG Model'!$A:$A,'TAZs by City - CCAG Model'!$C:$C,999)</f>
        <v>3</v>
      </c>
      <c r="D830" s="82" t="str">
        <f t="shared" si="96"/>
        <v>NO</v>
      </c>
      <c r="E830" s="27">
        <v>2026.32</v>
      </c>
      <c r="F830" s="27">
        <v>620.41999999999996</v>
      </c>
      <c r="G830" s="27">
        <v>37.72</v>
      </c>
      <c r="H830" s="27">
        <v>16.72</v>
      </c>
      <c r="I830" s="27">
        <v>157.18</v>
      </c>
      <c r="J830" s="27">
        <v>2938.74</v>
      </c>
      <c r="K830" s="47">
        <f t="shared" si="97"/>
        <v>0.68951999836664701</v>
      </c>
      <c r="L830" s="47">
        <f t="shared" si="98"/>
        <v>0.21111768989430846</v>
      </c>
      <c r="M830" s="84">
        <f t="shared" si="99"/>
        <v>0.90063768826095536</v>
      </c>
      <c r="N830" s="47">
        <f t="shared" si="100"/>
        <v>1.2835432872591656E-2</v>
      </c>
      <c r="O830" s="47">
        <f t="shared" si="101"/>
        <v>5.6895131927288565E-3</v>
      </c>
      <c r="P830" s="47">
        <f t="shared" si="102"/>
        <v>5.3485507394325463E-2</v>
      </c>
      <c r="Q830" s="47">
        <f t="shared" si="103"/>
        <v>1</v>
      </c>
    </row>
    <row r="831" spans="1:17" x14ac:dyDescent="0.35">
      <c r="A831" s="82">
        <v>828</v>
      </c>
      <c r="B831" s="83" t="str">
        <f>_xlfn.XLOOKUP(A831,'TAZs by City - CCAG Model'!$A:$A,'TAZs by City - CCAG Model'!$B:$B,"Unknown")</f>
        <v>San Jose</v>
      </c>
      <c r="C831" s="82">
        <f>_xlfn.XLOOKUP(A831,'TAZs by City - CCAG Model'!$A:$A,'TAZs by City - CCAG Model'!$C:$C,999)</f>
        <v>3</v>
      </c>
      <c r="D831" s="82" t="str">
        <f t="shared" si="96"/>
        <v>NO</v>
      </c>
      <c r="E831" s="27">
        <v>1645.8</v>
      </c>
      <c r="F831" s="27">
        <v>519.29999999999995</v>
      </c>
      <c r="G831" s="27">
        <v>49.2</v>
      </c>
      <c r="H831" s="27">
        <v>16.12</v>
      </c>
      <c r="I831" s="27">
        <v>27.96</v>
      </c>
      <c r="J831" s="27">
        <v>2353.6</v>
      </c>
      <c r="K831" s="47">
        <f t="shared" si="97"/>
        <v>0.6992692046227057</v>
      </c>
      <c r="L831" s="47">
        <f t="shared" si="98"/>
        <v>0.22064072059823248</v>
      </c>
      <c r="M831" s="84">
        <f t="shared" si="99"/>
        <v>0.91990992522093817</v>
      </c>
      <c r="N831" s="47">
        <f t="shared" si="100"/>
        <v>2.0904146838885113E-2</v>
      </c>
      <c r="O831" s="47">
        <f t="shared" si="101"/>
        <v>6.8490822569680495E-3</v>
      </c>
      <c r="P831" s="47">
        <f t="shared" si="102"/>
        <v>1.1879673691366418E-2</v>
      </c>
      <c r="Q831" s="47">
        <f t="shared" si="103"/>
        <v>1</v>
      </c>
    </row>
    <row r="832" spans="1:17" x14ac:dyDescent="0.35">
      <c r="A832" s="82">
        <v>829</v>
      </c>
      <c r="B832" s="83" t="str">
        <f>_xlfn.XLOOKUP(A832,'TAZs by City - CCAG Model'!$A:$A,'TAZs by City - CCAG Model'!$B:$B,"Unknown")</f>
        <v>San Jose</v>
      </c>
      <c r="C832" s="82">
        <f>_xlfn.XLOOKUP(A832,'TAZs by City - CCAG Model'!$A:$A,'TAZs by City - CCAG Model'!$C:$C,999)</f>
        <v>3</v>
      </c>
      <c r="D832" s="82" t="str">
        <f t="shared" si="96"/>
        <v>NO</v>
      </c>
      <c r="E832" s="27">
        <v>701.02</v>
      </c>
      <c r="F832" s="27">
        <v>329.58</v>
      </c>
      <c r="G832" s="27">
        <v>62.66</v>
      </c>
      <c r="H832" s="27">
        <v>13.34</v>
      </c>
      <c r="I832" s="27">
        <v>102.54</v>
      </c>
      <c r="J832" s="27">
        <v>1321.62</v>
      </c>
      <c r="K832" s="47">
        <f t="shared" si="97"/>
        <v>0.53042478170729868</v>
      </c>
      <c r="L832" s="47">
        <f t="shared" si="98"/>
        <v>0.24937576610523449</v>
      </c>
      <c r="M832" s="84">
        <f t="shared" si="99"/>
        <v>0.77980054781253305</v>
      </c>
      <c r="N832" s="47">
        <f t="shared" si="100"/>
        <v>4.7411510116372332E-2</v>
      </c>
      <c r="O832" s="47">
        <f t="shared" si="101"/>
        <v>1.0093672916572087E-2</v>
      </c>
      <c r="P832" s="47">
        <f t="shared" si="102"/>
        <v>7.758659826576475E-2</v>
      </c>
      <c r="Q832" s="47">
        <f t="shared" si="103"/>
        <v>1</v>
      </c>
    </row>
    <row r="833" spans="1:17" x14ac:dyDescent="0.35">
      <c r="A833" s="82">
        <v>830</v>
      </c>
      <c r="B833" s="83" t="str">
        <f>_xlfn.XLOOKUP(A833,'TAZs by City - CCAG Model'!$A:$A,'TAZs by City - CCAG Model'!$B:$B,"Unknown")</f>
        <v>San Jose</v>
      </c>
      <c r="C833" s="82">
        <f>_xlfn.XLOOKUP(A833,'TAZs by City - CCAG Model'!$A:$A,'TAZs by City - CCAG Model'!$C:$C,999)</f>
        <v>3</v>
      </c>
      <c r="D833" s="82" t="str">
        <f t="shared" si="96"/>
        <v>NO</v>
      </c>
      <c r="E833" s="27">
        <v>5814.26</v>
      </c>
      <c r="F833" s="27">
        <v>1998.72</v>
      </c>
      <c r="G833" s="27">
        <v>364.24</v>
      </c>
      <c r="H833" s="27">
        <v>73.64</v>
      </c>
      <c r="I833" s="27">
        <v>224.38</v>
      </c>
      <c r="J833" s="27">
        <v>8876.0400000000009</v>
      </c>
      <c r="K833" s="47">
        <f t="shared" si="97"/>
        <v>0.65505112640321583</v>
      </c>
      <c r="L833" s="47">
        <f t="shared" si="98"/>
        <v>0.22518149985804478</v>
      </c>
      <c r="M833" s="84">
        <f t="shared" si="99"/>
        <v>0.88023262626126064</v>
      </c>
      <c r="N833" s="47">
        <f t="shared" si="100"/>
        <v>4.1036317997665619E-2</v>
      </c>
      <c r="O833" s="47">
        <f t="shared" si="101"/>
        <v>8.2964925800244251E-3</v>
      </c>
      <c r="P833" s="47">
        <f t="shared" si="102"/>
        <v>2.5279291215451933E-2</v>
      </c>
      <c r="Q833" s="47">
        <f t="shared" si="103"/>
        <v>1</v>
      </c>
    </row>
    <row r="834" spans="1:17" x14ac:dyDescent="0.35">
      <c r="A834" s="82">
        <v>831</v>
      </c>
      <c r="B834" s="83" t="str">
        <f>_xlfn.XLOOKUP(A834,'TAZs by City - CCAG Model'!$A:$A,'TAZs by City - CCAG Model'!$B:$B,"Unknown")</f>
        <v>San Jose</v>
      </c>
      <c r="C834" s="82">
        <f>_xlfn.XLOOKUP(A834,'TAZs by City - CCAG Model'!$A:$A,'TAZs by City - CCAG Model'!$C:$C,999)</f>
        <v>3</v>
      </c>
      <c r="D834" s="82" t="str">
        <f t="shared" si="96"/>
        <v>NO</v>
      </c>
      <c r="E834" s="27">
        <v>3765.52</v>
      </c>
      <c r="F834" s="27">
        <v>3326.36</v>
      </c>
      <c r="G834" s="27">
        <v>53.08</v>
      </c>
      <c r="H834" s="27">
        <v>79.66</v>
      </c>
      <c r="I834" s="27">
        <v>481.8</v>
      </c>
      <c r="J834" s="27">
        <v>7782.42</v>
      </c>
      <c r="K834" s="47">
        <f t="shared" si="97"/>
        <v>0.48384949668612076</v>
      </c>
      <c r="L834" s="47">
        <f t="shared" si="98"/>
        <v>0.42741974861289933</v>
      </c>
      <c r="M834" s="84">
        <f t="shared" si="99"/>
        <v>0.91126924529902009</v>
      </c>
      <c r="N834" s="47">
        <f t="shared" si="100"/>
        <v>6.8205005640918888E-3</v>
      </c>
      <c r="O834" s="47">
        <f t="shared" si="101"/>
        <v>1.0235890635560661E-2</v>
      </c>
      <c r="P834" s="47">
        <f t="shared" si="102"/>
        <v>6.1908763597955392E-2</v>
      </c>
      <c r="Q834" s="47">
        <f t="shared" si="103"/>
        <v>1</v>
      </c>
    </row>
    <row r="835" spans="1:17" x14ac:dyDescent="0.35">
      <c r="A835" s="82">
        <v>832</v>
      </c>
      <c r="B835" s="83" t="str">
        <f>_xlfn.XLOOKUP(A835,'TAZs by City - CCAG Model'!$A:$A,'TAZs by City - CCAG Model'!$B:$B,"Unknown")</f>
        <v>San Jose</v>
      </c>
      <c r="C835" s="82">
        <f>_xlfn.XLOOKUP(A835,'TAZs by City - CCAG Model'!$A:$A,'TAZs by City - CCAG Model'!$C:$C,999)</f>
        <v>3</v>
      </c>
      <c r="D835" s="82" t="str">
        <f t="shared" si="96"/>
        <v>NO</v>
      </c>
      <c r="E835" s="27">
        <v>2781</v>
      </c>
      <c r="F835" s="27">
        <v>2328.2399999999998</v>
      </c>
      <c r="G835" s="27">
        <v>25.52</v>
      </c>
      <c r="H835" s="27">
        <v>56.64</v>
      </c>
      <c r="I835" s="27">
        <v>389.24</v>
      </c>
      <c r="J835" s="27">
        <v>5630.88</v>
      </c>
      <c r="K835" s="47">
        <f t="shared" si="97"/>
        <v>0.49388372687750404</v>
      </c>
      <c r="L835" s="47">
        <f t="shared" si="98"/>
        <v>0.413477111925667</v>
      </c>
      <c r="M835" s="84">
        <f t="shared" si="99"/>
        <v>0.90736083880317098</v>
      </c>
      <c r="N835" s="47">
        <f t="shared" si="100"/>
        <v>4.5321512800841077E-3</v>
      </c>
      <c r="O835" s="47">
        <f t="shared" si="101"/>
        <v>1.0058818515045606E-2</v>
      </c>
      <c r="P835" s="47">
        <f t="shared" si="102"/>
        <v>6.9125962549370618E-2</v>
      </c>
      <c r="Q835" s="47">
        <f t="shared" si="103"/>
        <v>1</v>
      </c>
    </row>
    <row r="836" spans="1:17" x14ac:dyDescent="0.35">
      <c r="A836" s="82">
        <v>833</v>
      </c>
      <c r="B836" s="83" t="str">
        <f>_xlfn.XLOOKUP(A836,'TAZs by City - CCAG Model'!$A:$A,'TAZs by City - CCAG Model'!$B:$B,"Unknown")</f>
        <v>San Jose</v>
      </c>
      <c r="C836" s="82">
        <f>_xlfn.XLOOKUP(A836,'TAZs by City - CCAG Model'!$A:$A,'TAZs by City - CCAG Model'!$C:$C,999)</f>
        <v>3</v>
      </c>
      <c r="D836" s="82" t="str">
        <f t="shared" si="96"/>
        <v>NO</v>
      </c>
      <c r="E836" s="27">
        <v>2527.7600000000002</v>
      </c>
      <c r="F836" s="27">
        <v>2112.34</v>
      </c>
      <c r="G836" s="27">
        <v>0</v>
      </c>
      <c r="H836" s="27">
        <v>55.24</v>
      </c>
      <c r="I836" s="27">
        <v>276.74</v>
      </c>
      <c r="J836" s="27">
        <v>4996.66</v>
      </c>
      <c r="K836" s="47">
        <f t="shared" si="97"/>
        <v>0.50588993447623021</v>
      </c>
      <c r="L836" s="47">
        <f t="shared" si="98"/>
        <v>0.42275039726537333</v>
      </c>
      <c r="M836" s="84">
        <f t="shared" si="99"/>
        <v>0.92864033174160354</v>
      </c>
      <c r="N836" s="47">
        <f t="shared" si="100"/>
        <v>0</v>
      </c>
      <c r="O836" s="47">
        <f t="shared" si="101"/>
        <v>1.1055384997178116E-2</v>
      </c>
      <c r="P836" s="47">
        <f t="shared" si="102"/>
        <v>5.5384997178114986E-2</v>
      </c>
      <c r="Q836" s="47">
        <f t="shared" si="103"/>
        <v>1</v>
      </c>
    </row>
    <row r="837" spans="1:17" x14ac:dyDescent="0.35">
      <c r="A837" s="82">
        <v>834</v>
      </c>
      <c r="B837" s="83" t="str">
        <f>_xlfn.XLOOKUP(A837,'TAZs by City - CCAG Model'!$A:$A,'TAZs by City - CCAG Model'!$B:$B,"Unknown")</f>
        <v>Unincorporated</v>
      </c>
      <c r="C837" s="82">
        <f>_xlfn.XLOOKUP(A837,'TAZs by City - CCAG Model'!$A:$A,'TAZs by City - CCAG Model'!$C:$C,999)</f>
        <v>3</v>
      </c>
      <c r="D837" s="82" t="str">
        <f t="shared" ref="D837:D900" si="104">IF(C837=2,"YES","NO")</f>
        <v>NO</v>
      </c>
      <c r="E837" s="27">
        <v>1928.42</v>
      </c>
      <c r="F837" s="27">
        <v>1725.7</v>
      </c>
      <c r="G837" s="27">
        <v>42.64</v>
      </c>
      <c r="H837" s="27">
        <v>33.020000000000003</v>
      </c>
      <c r="I837" s="27">
        <v>254.48</v>
      </c>
      <c r="J837" s="27">
        <v>4052.26</v>
      </c>
      <c r="K837" s="47">
        <f t="shared" ref="K837:K900" si="105">IFERROR(E837/$J837,0)</f>
        <v>0.47588752942802287</v>
      </c>
      <c r="L837" s="47">
        <f t="shared" ref="L837:L900" si="106">IFERROR(F837/$J837,0)</f>
        <v>0.42586112440958873</v>
      </c>
      <c r="M837" s="84">
        <f t="shared" ref="M837:M900" si="107">IFERROR((E837+F837)/J837,0)</f>
        <v>0.90174865383761149</v>
      </c>
      <c r="N837" s="47">
        <f t="shared" ref="N837:N900" si="108">IFERROR(G837/$J837,0)</f>
        <v>1.0522523233948464E-2</v>
      </c>
      <c r="O837" s="47">
        <f t="shared" ref="O837:O900" si="109">IFERROR(H837/$J837,0)</f>
        <v>8.1485393336064322E-3</v>
      </c>
      <c r="P837" s="47">
        <f t="shared" ref="P837:P900" si="110">IFERROR(I837/$J837,0)</f>
        <v>6.279952421611644E-2</v>
      </c>
      <c r="Q837" s="47">
        <f t="shared" ref="Q837:Q900" si="111">IFERROR(J837/$J837,0)</f>
        <v>1</v>
      </c>
    </row>
    <row r="838" spans="1:17" x14ac:dyDescent="0.35">
      <c r="A838" s="82">
        <v>835</v>
      </c>
      <c r="B838" s="83" t="str">
        <f>_xlfn.XLOOKUP(A838,'TAZs by City - CCAG Model'!$A:$A,'TAZs by City - CCAG Model'!$B:$B,"Unknown")</f>
        <v>San Jose</v>
      </c>
      <c r="C838" s="82">
        <f>_xlfn.XLOOKUP(A838,'TAZs by City - CCAG Model'!$A:$A,'TAZs by City - CCAG Model'!$C:$C,999)</f>
        <v>3</v>
      </c>
      <c r="D838" s="82" t="str">
        <f t="shared" si="104"/>
        <v>NO</v>
      </c>
      <c r="E838" s="27">
        <v>2380.16</v>
      </c>
      <c r="F838" s="27">
        <v>2206.7600000000002</v>
      </c>
      <c r="G838" s="27">
        <v>89.26</v>
      </c>
      <c r="H838" s="27">
        <v>50.62</v>
      </c>
      <c r="I838" s="27">
        <v>423.64</v>
      </c>
      <c r="J838" s="27">
        <v>5267.2</v>
      </c>
      <c r="K838" s="47">
        <f t="shared" si="105"/>
        <v>0.45188335358444714</v>
      </c>
      <c r="L838" s="47">
        <f t="shared" si="106"/>
        <v>0.41896263669501826</v>
      </c>
      <c r="M838" s="84">
        <f t="shared" si="107"/>
        <v>0.87084599027946541</v>
      </c>
      <c r="N838" s="47">
        <f t="shared" si="108"/>
        <v>1.6946385176184693E-2</v>
      </c>
      <c r="O838" s="47">
        <f t="shared" si="109"/>
        <v>9.6104191980558931E-3</v>
      </c>
      <c r="P838" s="47">
        <f t="shared" si="110"/>
        <v>8.0429829890643983E-2</v>
      </c>
      <c r="Q838" s="47">
        <f t="shared" si="111"/>
        <v>1</v>
      </c>
    </row>
    <row r="839" spans="1:17" x14ac:dyDescent="0.35">
      <c r="A839" s="82">
        <v>836</v>
      </c>
      <c r="B839" s="83" t="str">
        <f>_xlfn.XLOOKUP(A839,'TAZs by City - CCAG Model'!$A:$A,'TAZs by City - CCAG Model'!$B:$B,"Unknown")</f>
        <v>San Jose</v>
      </c>
      <c r="C839" s="82">
        <f>_xlfn.XLOOKUP(A839,'TAZs by City - CCAG Model'!$A:$A,'TAZs by City - CCAG Model'!$C:$C,999)</f>
        <v>3</v>
      </c>
      <c r="D839" s="82" t="str">
        <f t="shared" si="104"/>
        <v>NO</v>
      </c>
      <c r="E839" s="27">
        <v>7754.08</v>
      </c>
      <c r="F839" s="27">
        <v>5595.54</v>
      </c>
      <c r="G839" s="27">
        <v>260.54000000000002</v>
      </c>
      <c r="H839" s="27">
        <v>174</v>
      </c>
      <c r="I839" s="27">
        <v>858.2</v>
      </c>
      <c r="J839" s="27">
        <v>14947.92</v>
      </c>
      <c r="K839" s="47">
        <f t="shared" si="105"/>
        <v>0.51873973101274296</v>
      </c>
      <c r="L839" s="47">
        <f t="shared" si="106"/>
        <v>0.37433569352792895</v>
      </c>
      <c r="M839" s="84">
        <f t="shared" si="107"/>
        <v>0.89307542454067179</v>
      </c>
      <c r="N839" s="47">
        <f t="shared" si="108"/>
        <v>1.7429849771740818E-2</v>
      </c>
      <c r="O839" s="47">
        <f t="shared" si="109"/>
        <v>1.1640415522694797E-2</v>
      </c>
      <c r="P839" s="47">
        <f t="shared" si="110"/>
        <v>5.7412670124003876E-2</v>
      </c>
      <c r="Q839" s="47">
        <f t="shared" si="111"/>
        <v>1</v>
      </c>
    </row>
    <row r="840" spans="1:17" x14ac:dyDescent="0.35">
      <c r="A840" s="82">
        <v>837</v>
      </c>
      <c r="B840" s="83" t="str">
        <f>_xlfn.XLOOKUP(A840,'TAZs by City - CCAG Model'!$A:$A,'TAZs by City - CCAG Model'!$B:$B,"Unknown")</f>
        <v>San Jose</v>
      </c>
      <c r="C840" s="82">
        <f>_xlfn.XLOOKUP(A840,'TAZs by City - CCAG Model'!$A:$A,'TAZs by City - CCAG Model'!$C:$C,999)</f>
        <v>3</v>
      </c>
      <c r="D840" s="82" t="str">
        <f t="shared" si="104"/>
        <v>NO</v>
      </c>
      <c r="E840" s="27">
        <v>1649.2</v>
      </c>
      <c r="F840" s="27">
        <v>493.2</v>
      </c>
      <c r="G840" s="27">
        <v>0</v>
      </c>
      <c r="H840" s="27">
        <v>14.78</v>
      </c>
      <c r="I840" s="27">
        <v>244.22</v>
      </c>
      <c r="J840" s="27">
        <v>2432.6999999999998</v>
      </c>
      <c r="K840" s="47">
        <f t="shared" si="105"/>
        <v>0.67792987215850709</v>
      </c>
      <c r="L840" s="47">
        <f t="shared" si="106"/>
        <v>0.20273769885312617</v>
      </c>
      <c r="M840" s="84">
        <f t="shared" si="107"/>
        <v>0.88066757101163329</v>
      </c>
      <c r="N840" s="47">
        <f t="shared" si="108"/>
        <v>0</v>
      </c>
      <c r="O840" s="47">
        <f t="shared" si="109"/>
        <v>6.0755539112919803E-3</v>
      </c>
      <c r="P840" s="47">
        <f t="shared" si="110"/>
        <v>0.10039051259916966</v>
      </c>
      <c r="Q840" s="47">
        <f t="shared" si="111"/>
        <v>1</v>
      </c>
    </row>
    <row r="841" spans="1:17" x14ac:dyDescent="0.35">
      <c r="A841" s="82">
        <v>838</v>
      </c>
      <c r="B841" s="83" t="str">
        <f>_xlfn.XLOOKUP(A841,'TAZs by City - CCAG Model'!$A:$A,'TAZs by City - CCAG Model'!$B:$B,"Unknown")</f>
        <v>San Jose</v>
      </c>
      <c r="C841" s="82">
        <f>_xlfn.XLOOKUP(A841,'TAZs by City - CCAG Model'!$A:$A,'TAZs by City - CCAG Model'!$C:$C,999)</f>
        <v>3</v>
      </c>
      <c r="D841" s="82" t="str">
        <f t="shared" si="104"/>
        <v>NO</v>
      </c>
      <c r="E841" s="27">
        <v>3815.06</v>
      </c>
      <c r="F841" s="27">
        <v>1110.1199999999999</v>
      </c>
      <c r="G841" s="27">
        <v>117.86</v>
      </c>
      <c r="H841" s="27">
        <v>40.04</v>
      </c>
      <c r="I841" s="27">
        <v>147.63999999999999</v>
      </c>
      <c r="J841" s="27">
        <v>5388.38</v>
      </c>
      <c r="K841" s="47">
        <f t="shared" si="105"/>
        <v>0.7080161384312168</v>
      </c>
      <c r="L841" s="47">
        <f t="shared" si="106"/>
        <v>0.20602110467338974</v>
      </c>
      <c r="M841" s="84">
        <f t="shared" si="107"/>
        <v>0.91403724310460666</v>
      </c>
      <c r="N841" s="47">
        <f t="shared" si="108"/>
        <v>2.1872993367208698E-2</v>
      </c>
      <c r="O841" s="47">
        <f t="shared" si="109"/>
        <v>7.4308048058971338E-3</v>
      </c>
      <c r="P841" s="47">
        <f t="shared" si="110"/>
        <v>2.739970083772859E-2</v>
      </c>
      <c r="Q841" s="47">
        <f t="shared" si="111"/>
        <v>1</v>
      </c>
    </row>
    <row r="842" spans="1:17" x14ac:dyDescent="0.35">
      <c r="A842" s="82">
        <v>839</v>
      </c>
      <c r="B842" s="83" t="str">
        <f>_xlfn.XLOOKUP(A842,'TAZs by City - CCAG Model'!$A:$A,'TAZs by City - CCAG Model'!$B:$B,"Unknown")</f>
        <v>San Jose</v>
      </c>
      <c r="C842" s="82">
        <f>_xlfn.XLOOKUP(A842,'TAZs by City - CCAG Model'!$A:$A,'TAZs by City - CCAG Model'!$C:$C,999)</f>
        <v>3</v>
      </c>
      <c r="D842" s="82" t="str">
        <f t="shared" si="104"/>
        <v>NO</v>
      </c>
      <c r="E842" s="27">
        <v>5840.38</v>
      </c>
      <c r="F842" s="27">
        <v>1607.72</v>
      </c>
      <c r="G842" s="27">
        <v>126.04</v>
      </c>
      <c r="H842" s="27">
        <v>64.52</v>
      </c>
      <c r="I842" s="27">
        <v>140.56</v>
      </c>
      <c r="J842" s="27">
        <v>7939.68</v>
      </c>
      <c r="K842" s="47">
        <f t="shared" si="105"/>
        <v>0.73559387783890529</v>
      </c>
      <c r="L842" s="47">
        <f t="shared" si="106"/>
        <v>0.20249178808213933</v>
      </c>
      <c r="M842" s="84">
        <f t="shared" si="107"/>
        <v>0.9380856659210447</v>
      </c>
      <c r="N842" s="47">
        <f t="shared" si="108"/>
        <v>1.5874695201821738E-2</v>
      </c>
      <c r="O842" s="47">
        <f t="shared" si="109"/>
        <v>8.1262720915704408E-3</v>
      </c>
      <c r="P842" s="47">
        <f t="shared" si="110"/>
        <v>1.7703484271406403E-2</v>
      </c>
      <c r="Q842" s="47">
        <f t="shared" si="111"/>
        <v>1</v>
      </c>
    </row>
    <row r="843" spans="1:17" x14ac:dyDescent="0.35">
      <c r="A843" s="82">
        <v>840</v>
      </c>
      <c r="B843" s="83" t="str">
        <f>_xlfn.XLOOKUP(A843,'TAZs by City - CCAG Model'!$A:$A,'TAZs by City - CCAG Model'!$B:$B,"Unknown")</f>
        <v>San Jose</v>
      </c>
      <c r="C843" s="82">
        <f>_xlfn.XLOOKUP(A843,'TAZs by City - CCAG Model'!$A:$A,'TAZs by City - CCAG Model'!$C:$C,999)</f>
        <v>3</v>
      </c>
      <c r="D843" s="82" t="str">
        <f t="shared" si="104"/>
        <v>NO</v>
      </c>
      <c r="E843" s="27">
        <v>1421.36</v>
      </c>
      <c r="F843" s="27">
        <v>1097.28</v>
      </c>
      <c r="G843" s="27">
        <v>46.02</v>
      </c>
      <c r="H843" s="27">
        <v>23.1</v>
      </c>
      <c r="I843" s="27">
        <v>357.36</v>
      </c>
      <c r="J843" s="27">
        <v>3022.74</v>
      </c>
      <c r="K843" s="47">
        <f t="shared" si="105"/>
        <v>0.47022238101854608</v>
      </c>
      <c r="L843" s="47">
        <f t="shared" si="106"/>
        <v>0.36300839635562437</v>
      </c>
      <c r="M843" s="84">
        <f t="shared" si="107"/>
        <v>0.83323077737417051</v>
      </c>
      <c r="N843" s="47">
        <f t="shared" si="108"/>
        <v>1.5224597550566706E-2</v>
      </c>
      <c r="O843" s="47">
        <f t="shared" si="109"/>
        <v>7.6420730860080601E-3</v>
      </c>
      <c r="P843" s="47">
        <f t="shared" si="110"/>
        <v>0.11822386311756884</v>
      </c>
      <c r="Q843" s="47">
        <f t="shared" si="111"/>
        <v>1</v>
      </c>
    </row>
    <row r="844" spans="1:17" x14ac:dyDescent="0.35">
      <c r="A844" s="82">
        <v>841</v>
      </c>
      <c r="B844" s="83" t="str">
        <f>_xlfn.XLOOKUP(A844,'TAZs by City - CCAG Model'!$A:$A,'TAZs by City - CCAG Model'!$B:$B,"Unknown")</f>
        <v>San Jose</v>
      </c>
      <c r="C844" s="82">
        <f>_xlfn.XLOOKUP(A844,'TAZs by City - CCAG Model'!$A:$A,'TAZs by City - CCAG Model'!$C:$C,999)</f>
        <v>3</v>
      </c>
      <c r="D844" s="82" t="str">
        <f t="shared" si="104"/>
        <v>NO</v>
      </c>
      <c r="E844" s="27">
        <v>1718.38</v>
      </c>
      <c r="F844" s="27">
        <v>1181.6400000000001</v>
      </c>
      <c r="G844" s="27">
        <v>54.98</v>
      </c>
      <c r="H844" s="27">
        <v>30.38</v>
      </c>
      <c r="I844" s="27">
        <v>208.14</v>
      </c>
      <c r="J844" s="27">
        <v>3280.4</v>
      </c>
      <c r="K844" s="47">
        <f t="shared" si="105"/>
        <v>0.52383245945616386</v>
      </c>
      <c r="L844" s="47">
        <f t="shared" si="106"/>
        <v>0.36021216924765276</v>
      </c>
      <c r="M844" s="84">
        <f t="shared" si="107"/>
        <v>0.88404462870381673</v>
      </c>
      <c r="N844" s="47">
        <f t="shared" si="108"/>
        <v>1.6760151201073038E-2</v>
      </c>
      <c r="O844" s="47">
        <f t="shared" si="109"/>
        <v>9.2610657236922318E-3</v>
      </c>
      <c r="P844" s="47">
        <f t="shared" si="110"/>
        <v>6.3449579319595162E-2</v>
      </c>
      <c r="Q844" s="47">
        <f t="shared" si="111"/>
        <v>1</v>
      </c>
    </row>
    <row r="845" spans="1:17" x14ac:dyDescent="0.35">
      <c r="A845" s="82">
        <v>842</v>
      </c>
      <c r="B845" s="83" t="str">
        <f>_xlfn.XLOOKUP(A845,'TAZs by City - CCAG Model'!$A:$A,'TAZs by City - CCAG Model'!$B:$B,"Unknown")</f>
        <v>San Jose</v>
      </c>
      <c r="C845" s="82">
        <f>_xlfn.XLOOKUP(A845,'TAZs by City - CCAG Model'!$A:$A,'TAZs by City - CCAG Model'!$C:$C,999)</f>
        <v>3</v>
      </c>
      <c r="D845" s="82" t="str">
        <f t="shared" si="104"/>
        <v>NO</v>
      </c>
      <c r="E845" s="27">
        <v>959.48</v>
      </c>
      <c r="F845" s="27">
        <v>282.5</v>
      </c>
      <c r="G845" s="27">
        <v>23.88</v>
      </c>
      <c r="H845" s="27">
        <v>10.4</v>
      </c>
      <c r="I845" s="27">
        <v>47.54</v>
      </c>
      <c r="J845" s="27">
        <v>1391.18</v>
      </c>
      <c r="K845" s="47">
        <f t="shared" si="105"/>
        <v>0.68968789085524518</v>
      </c>
      <c r="L845" s="47">
        <f t="shared" si="106"/>
        <v>0.20306502393651432</v>
      </c>
      <c r="M845" s="84">
        <f t="shared" si="107"/>
        <v>0.89275291479175944</v>
      </c>
      <c r="N845" s="47">
        <f t="shared" si="108"/>
        <v>1.716528414727066E-2</v>
      </c>
      <c r="O845" s="47">
        <f t="shared" si="109"/>
        <v>7.475668137839819E-3</v>
      </c>
      <c r="P845" s="47">
        <f t="shared" si="110"/>
        <v>3.4172429160856249E-2</v>
      </c>
      <c r="Q845" s="47">
        <f t="shared" si="111"/>
        <v>1</v>
      </c>
    </row>
    <row r="846" spans="1:17" x14ac:dyDescent="0.35">
      <c r="A846" s="82">
        <v>843</v>
      </c>
      <c r="B846" s="83" t="str">
        <f>_xlfn.XLOOKUP(A846,'TAZs by City - CCAG Model'!$A:$A,'TAZs by City - CCAG Model'!$B:$B,"Unknown")</f>
        <v>San Jose</v>
      </c>
      <c r="C846" s="82">
        <f>_xlfn.XLOOKUP(A846,'TAZs by City - CCAG Model'!$A:$A,'TAZs by City - CCAG Model'!$C:$C,999)</f>
        <v>3</v>
      </c>
      <c r="D846" s="82" t="str">
        <f t="shared" si="104"/>
        <v>NO</v>
      </c>
      <c r="E846" s="27">
        <v>1194.54</v>
      </c>
      <c r="F846" s="27">
        <v>619.58000000000004</v>
      </c>
      <c r="G846" s="27">
        <v>78.680000000000007</v>
      </c>
      <c r="H846" s="27">
        <v>31.8</v>
      </c>
      <c r="I846" s="27">
        <v>413.58</v>
      </c>
      <c r="J846" s="27">
        <v>2470</v>
      </c>
      <c r="K846" s="47">
        <f t="shared" si="105"/>
        <v>0.48361943319838058</v>
      </c>
      <c r="L846" s="47">
        <f t="shared" si="106"/>
        <v>0.25084210526315792</v>
      </c>
      <c r="M846" s="84">
        <f t="shared" si="107"/>
        <v>0.73446153846153839</v>
      </c>
      <c r="N846" s="47">
        <f t="shared" si="108"/>
        <v>3.185425101214575E-2</v>
      </c>
      <c r="O846" s="47">
        <f t="shared" si="109"/>
        <v>1.2874493927125506E-2</v>
      </c>
      <c r="P846" s="47">
        <f t="shared" si="110"/>
        <v>0.1674412955465587</v>
      </c>
      <c r="Q846" s="47">
        <f t="shared" si="111"/>
        <v>1</v>
      </c>
    </row>
    <row r="847" spans="1:17" x14ac:dyDescent="0.35">
      <c r="A847" s="82">
        <v>844</v>
      </c>
      <c r="B847" s="83" t="str">
        <f>_xlfn.XLOOKUP(A847,'TAZs by City - CCAG Model'!$A:$A,'TAZs by City - CCAG Model'!$B:$B,"Unknown")</f>
        <v>San Jose</v>
      </c>
      <c r="C847" s="82">
        <f>_xlfn.XLOOKUP(A847,'TAZs by City - CCAG Model'!$A:$A,'TAZs by City - CCAG Model'!$C:$C,999)</f>
        <v>3</v>
      </c>
      <c r="D847" s="82" t="str">
        <f t="shared" si="104"/>
        <v>NO</v>
      </c>
      <c r="E847" s="27">
        <v>4399.0600000000004</v>
      </c>
      <c r="F847" s="27">
        <v>4079.06</v>
      </c>
      <c r="G847" s="27">
        <v>292.24</v>
      </c>
      <c r="H847" s="27">
        <v>169.4</v>
      </c>
      <c r="I847" s="27">
        <v>605.82000000000005</v>
      </c>
      <c r="J847" s="27">
        <v>9876.2000000000007</v>
      </c>
      <c r="K847" s="47">
        <f t="shared" si="105"/>
        <v>0.44542030335554161</v>
      </c>
      <c r="L847" s="47">
        <f t="shared" si="106"/>
        <v>0.4130191774164152</v>
      </c>
      <c r="M847" s="84">
        <f t="shared" si="107"/>
        <v>0.85843948077195686</v>
      </c>
      <c r="N847" s="47">
        <f t="shared" si="108"/>
        <v>2.9590328263907169E-2</v>
      </c>
      <c r="O847" s="47">
        <f t="shared" si="109"/>
        <v>1.7152346044025029E-2</v>
      </c>
      <c r="P847" s="47">
        <f t="shared" si="110"/>
        <v>6.134140661387983E-2</v>
      </c>
      <c r="Q847" s="47">
        <f t="shared" si="111"/>
        <v>1</v>
      </c>
    </row>
    <row r="848" spans="1:17" x14ac:dyDescent="0.35">
      <c r="A848" s="82">
        <v>845</v>
      </c>
      <c r="B848" s="83" t="str">
        <f>_xlfn.XLOOKUP(A848,'TAZs by City - CCAG Model'!$A:$A,'TAZs by City - CCAG Model'!$B:$B,"Unknown")</f>
        <v>Unincorporated</v>
      </c>
      <c r="C848" s="82">
        <f>_xlfn.XLOOKUP(A848,'TAZs by City - CCAG Model'!$A:$A,'TAZs by City - CCAG Model'!$C:$C,999)</f>
        <v>3</v>
      </c>
      <c r="D848" s="82" t="str">
        <f t="shared" si="104"/>
        <v>NO</v>
      </c>
      <c r="E848" s="27">
        <v>5598.3</v>
      </c>
      <c r="F848" s="27">
        <v>3600.46</v>
      </c>
      <c r="G848" s="27">
        <v>71.86</v>
      </c>
      <c r="H848" s="27">
        <v>108.7</v>
      </c>
      <c r="I848" s="27">
        <v>564.55999999999995</v>
      </c>
      <c r="J848" s="27">
        <v>10057.26</v>
      </c>
      <c r="K848" s="47">
        <f t="shared" si="105"/>
        <v>0.55664266410533292</v>
      </c>
      <c r="L848" s="47">
        <f t="shared" si="106"/>
        <v>0.3579961142498056</v>
      </c>
      <c r="M848" s="84">
        <f t="shared" si="107"/>
        <v>0.91463877835513852</v>
      </c>
      <c r="N848" s="47">
        <f t="shared" si="108"/>
        <v>7.145087230518053E-3</v>
      </c>
      <c r="O848" s="47">
        <f t="shared" si="109"/>
        <v>1.0808112746414033E-2</v>
      </c>
      <c r="P848" s="47">
        <f t="shared" si="110"/>
        <v>5.6134573432525356E-2</v>
      </c>
      <c r="Q848" s="47">
        <f t="shared" si="111"/>
        <v>1</v>
      </c>
    </row>
    <row r="849" spans="1:17" x14ac:dyDescent="0.35">
      <c r="A849" s="82">
        <v>846</v>
      </c>
      <c r="B849" s="83" t="str">
        <f>_xlfn.XLOOKUP(A849,'TAZs by City - CCAG Model'!$A:$A,'TAZs by City - CCAG Model'!$B:$B,"Unknown")</f>
        <v>San Jose</v>
      </c>
      <c r="C849" s="82">
        <f>_xlfn.XLOOKUP(A849,'TAZs by City - CCAG Model'!$A:$A,'TAZs by City - CCAG Model'!$C:$C,999)</f>
        <v>3</v>
      </c>
      <c r="D849" s="82" t="str">
        <f t="shared" si="104"/>
        <v>NO</v>
      </c>
      <c r="E849" s="27">
        <v>4753.0200000000004</v>
      </c>
      <c r="F849" s="27">
        <v>3019.22</v>
      </c>
      <c r="G849" s="27">
        <v>69.239999999999995</v>
      </c>
      <c r="H849" s="27">
        <v>91.04</v>
      </c>
      <c r="I849" s="27">
        <v>475.52</v>
      </c>
      <c r="J849" s="27">
        <v>8521.7000000000007</v>
      </c>
      <c r="K849" s="47">
        <f t="shared" si="105"/>
        <v>0.55775490805825134</v>
      </c>
      <c r="L849" s="47">
        <f t="shared" si="106"/>
        <v>0.35429785136768482</v>
      </c>
      <c r="M849" s="84">
        <f t="shared" si="107"/>
        <v>0.912052759425936</v>
      </c>
      <c r="N849" s="47">
        <f t="shared" si="108"/>
        <v>8.1251393501296683E-3</v>
      </c>
      <c r="O849" s="47">
        <f t="shared" si="109"/>
        <v>1.0683314362157786E-2</v>
      </c>
      <c r="P849" s="47">
        <f t="shared" si="110"/>
        <v>5.5801072555945401E-2</v>
      </c>
      <c r="Q849" s="47">
        <f t="shared" si="111"/>
        <v>1</v>
      </c>
    </row>
    <row r="850" spans="1:17" x14ac:dyDescent="0.35">
      <c r="A850" s="82">
        <v>847</v>
      </c>
      <c r="B850" s="83" t="str">
        <f>_xlfn.XLOOKUP(A850,'TAZs by City - CCAG Model'!$A:$A,'TAZs by City - CCAG Model'!$B:$B,"Unknown")</f>
        <v>San Jose</v>
      </c>
      <c r="C850" s="82">
        <f>_xlfn.XLOOKUP(A850,'TAZs by City - CCAG Model'!$A:$A,'TAZs by City - CCAG Model'!$C:$C,999)</f>
        <v>3</v>
      </c>
      <c r="D850" s="82" t="str">
        <f t="shared" si="104"/>
        <v>NO</v>
      </c>
      <c r="E850" s="27">
        <v>1139.8399999999999</v>
      </c>
      <c r="F850" s="27">
        <v>778.94</v>
      </c>
      <c r="G850" s="27">
        <v>21.84</v>
      </c>
      <c r="H850" s="27">
        <v>22.26</v>
      </c>
      <c r="I850" s="27">
        <v>137.44</v>
      </c>
      <c r="J850" s="27">
        <v>2156.12</v>
      </c>
      <c r="K850" s="47">
        <f t="shared" si="105"/>
        <v>0.52865332170751167</v>
      </c>
      <c r="L850" s="47">
        <f t="shared" si="106"/>
        <v>0.36126931710665461</v>
      </c>
      <c r="M850" s="84">
        <f t="shared" si="107"/>
        <v>0.88992263881416622</v>
      </c>
      <c r="N850" s="47">
        <f t="shared" si="108"/>
        <v>1.0129306346585534E-2</v>
      </c>
      <c r="O850" s="47">
        <f t="shared" si="109"/>
        <v>1.0324100699404487E-2</v>
      </c>
      <c r="P850" s="47">
        <f t="shared" si="110"/>
        <v>6.3744132979611526E-2</v>
      </c>
      <c r="Q850" s="47">
        <f t="shared" si="111"/>
        <v>1</v>
      </c>
    </row>
    <row r="851" spans="1:17" x14ac:dyDescent="0.35">
      <c r="A851" s="82">
        <v>848</v>
      </c>
      <c r="B851" s="83" t="str">
        <f>_xlfn.XLOOKUP(A851,'TAZs by City - CCAG Model'!$A:$A,'TAZs by City - CCAG Model'!$B:$B,"Unknown")</f>
        <v>San Jose</v>
      </c>
      <c r="C851" s="82">
        <f>_xlfn.XLOOKUP(A851,'TAZs by City - CCAG Model'!$A:$A,'TAZs by City - CCAG Model'!$C:$C,999)</f>
        <v>3</v>
      </c>
      <c r="D851" s="82" t="str">
        <f t="shared" si="104"/>
        <v>NO</v>
      </c>
      <c r="E851" s="27">
        <v>2743.3</v>
      </c>
      <c r="F851" s="27">
        <v>1924.2</v>
      </c>
      <c r="G851" s="27">
        <v>68.760000000000005</v>
      </c>
      <c r="H851" s="27">
        <v>62.84</v>
      </c>
      <c r="I851" s="27">
        <v>246.86</v>
      </c>
      <c r="J851" s="27">
        <v>5154.18</v>
      </c>
      <c r="K851" s="47">
        <f t="shared" si="105"/>
        <v>0.532247612617332</v>
      </c>
      <c r="L851" s="47">
        <f t="shared" si="106"/>
        <v>0.3733280560632341</v>
      </c>
      <c r="M851" s="84">
        <f t="shared" si="107"/>
        <v>0.90557566868056605</v>
      </c>
      <c r="N851" s="47">
        <f t="shared" si="108"/>
        <v>1.3340628383176373E-2</v>
      </c>
      <c r="O851" s="47">
        <f t="shared" si="109"/>
        <v>1.2192046067463689E-2</v>
      </c>
      <c r="P851" s="47">
        <f t="shared" si="110"/>
        <v>4.7895106496086672E-2</v>
      </c>
      <c r="Q851" s="47">
        <f t="shared" si="111"/>
        <v>1</v>
      </c>
    </row>
    <row r="852" spans="1:17" x14ac:dyDescent="0.35">
      <c r="A852" s="82">
        <v>849</v>
      </c>
      <c r="B852" s="83" t="str">
        <f>_xlfn.XLOOKUP(A852,'TAZs by City - CCAG Model'!$A:$A,'TAZs by City - CCAG Model'!$B:$B,"Unknown")</f>
        <v>San Jose</v>
      </c>
      <c r="C852" s="82">
        <f>_xlfn.XLOOKUP(A852,'TAZs by City - CCAG Model'!$A:$A,'TAZs by City - CCAG Model'!$C:$C,999)</f>
        <v>3</v>
      </c>
      <c r="D852" s="82" t="str">
        <f t="shared" si="104"/>
        <v>NO</v>
      </c>
      <c r="E852" s="27">
        <v>1169.52</v>
      </c>
      <c r="F852" s="27">
        <v>408.04</v>
      </c>
      <c r="G852" s="27">
        <v>2.68</v>
      </c>
      <c r="H852" s="27">
        <v>10.24</v>
      </c>
      <c r="I852" s="27">
        <v>27.88</v>
      </c>
      <c r="J852" s="27">
        <v>1661.6</v>
      </c>
      <c r="K852" s="47">
        <f t="shared" si="105"/>
        <v>0.70385170919595574</v>
      </c>
      <c r="L852" s="47">
        <f t="shared" si="106"/>
        <v>0.24557053442465096</v>
      </c>
      <c r="M852" s="84">
        <f t="shared" si="107"/>
        <v>0.94942224362060668</v>
      </c>
      <c r="N852" s="47">
        <f t="shared" si="108"/>
        <v>1.6129032258064518E-3</v>
      </c>
      <c r="O852" s="47">
        <f t="shared" si="109"/>
        <v>6.1627347135291286E-3</v>
      </c>
      <c r="P852" s="47">
        <f t="shared" si="110"/>
        <v>1.6779008184882042E-2</v>
      </c>
      <c r="Q852" s="47">
        <f t="shared" si="111"/>
        <v>1</v>
      </c>
    </row>
    <row r="853" spans="1:17" x14ac:dyDescent="0.35">
      <c r="A853" s="82">
        <v>850</v>
      </c>
      <c r="B853" s="83" t="str">
        <f>_xlfn.XLOOKUP(A853,'TAZs by City - CCAG Model'!$A:$A,'TAZs by City - CCAG Model'!$B:$B,"Unknown")</f>
        <v>San Jose</v>
      </c>
      <c r="C853" s="82">
        <f>_xlfn.XLOOKUP(A853,'TAZs by City - CCAG Model'!$A:$A,'TAZs by City - CCAG Model'!$C:$C,999)</f>
        <v>3</v>
      </c>
      <c r="D853" s="82" t="str">
        <f t="shared" si="104"/>
        <v>NO</v>
      </c>
      <c r="E853" s="27">
        <v>15497.94</v>
      </c>
      <c r="F853" s="27">
        <v>8815.6</v>
      </c>
      <c r="G853" s="27">
        <v>633.94000000000005</v>
      </c>
      <c r="H853" s="27">
        <v>415.06</v>
      </c>
      <c r="I853" s="27">
        <v>1777.12</v>
      </c>
      <c r="J853" s="27">
        <v>27801.54</v>
      </c>
      <c r="K853" s="47">
        <f t="shared" si="105"/>
        <v>0.55744897584810049</v>
      </c>
      <c r="L853" s="47">
        <f t="shared" si="106"/>
        <v>0.31709034823250798</v>
      </c>
      <c r="M853" s="84">
        <f t="shared" si="107"/>
        <v>0.87453932408060853</v>
      </c>
      <c r="N853" s="47">
        <f t="shared" si="108"/>
        <v>2.2802333971427485E-2</v>
      </c>
      <c r="O853" s="47">
        <f t="shared" si="109"/>
        <v>1.4929388803641813E-2</v>
      </c>
      <c r="P853" s="47">
        <f t="shared" si="110"/>
        <v>6.3921638873242273E-2</v>
      </c>
      <c r="Q853" s="47">
        <f t="shared" si="111"/>
        <v>1</v>
      </c>
    </row>
    <row r="854" spans="1:17" x14ac:dyDescent="0.35">
      <c r="A854" s="82">
        <v>851</v>
      </c>
      <c r="B854" s="83" t="str">
        <f>_xlfn.XLOOKUP(A854,'TAZs by City - CCAG Model'!$A:$A,'TAZs by City - CCAG Model'!$B:$B,"Unknown")</f>
        <v>San Jose</v>
      </c>
      <c r="C854" s="82">
        <f>_xlfn.XLOOKUP(A854,'TAZs by City - CCAG Model'!$A:$A,'TAZs by City - CCAG Model'!$C:$C,999)</f>
        <v>3</v>
      </c>
      <c r="D854" s="82" t="str">
        <f t="shared" si="104"/>
        <v>NO</v>
      </c>
      <c r="E854" s="27">
        <v>29.98</v>
      </c>
      <c r="F854" s="27">
        <v>9.26</v>
      </c>
      <c r="G854" s="27">
        <v>0.22</v>
      </c>
      <c r="H854" s="27">
        <v>0.1</v>
      </c>
      <c r="I854" s="27">
        <v>1.1000000000000001</v>
      </c>
      <c r="J854" s="27">
        <v>51.74</v>
      </c>
      <c r="K854" s="47">
        <f t="shared" si="105"/>
        <v>0.57943563973714729</v>
      </c>
      <c r="L854" s="47">
        <f t="shared" si="106"/>
        <v>0.17897178198685734</v>
      </c>
      <c r="M854" s="84">
        <f t="shared" si="107"/>
        <v>0.75840742172400466</v>
      </c>
      <c r="N854" s="47">
        <f t="shared" si="108"/>
        <v>4.2520293776575182E-3</v>
      </c>
      <c r="O854" s="47">
        <f t="shared" si="109"/>
        <v>1.9327406262079629E-3</v>
      </c>
      <c r="P854" s="47">
        <f t="shared" si="110"/>
        <v>2.1260146888287593E-2</v>
      </c>
      <c r="Q854" s="47">
        <f t="shared" si="111"/>
        <v>1</v>
      </c>
    </row>
    <row r="855" spans="1:17" x14ac:dyDescent="0.35">
      <c r="A855" s="82">
        <v>852</v>
      </c>
      <c r="B855" s="83" t="str">
        <f>_xlfn.XLOOKUP(A855,'TAZs by City - CCAG Model'!$A:$A,'TAZs by City - CCAG Model'!$B:$B,"Unknown")</f>
        <v>San Jose</v>
      </c>
      <c r="C855" s="82">
        <f>_xlfn.XLOOKUP(A855,'TAZs by City - CCAG Model'!$A:$A,'TAZs by City - CCAG Model'!$C:$C,999)</f>
        <v>3</v>
      </c>
      <c r="D855" s="82" t="str">
        <f t="shared" si="104"/>
        <v>NO</v>
      </c>
      <c r="E855" s="27">
        <v>125.68</v>
      </c>
      <c r="F855" s="27">
        <v>23.2</v>
      </c>
      <c r="G855" s="27">
        <v>0</v>
      </c>
      <c r="H855" s="27">
        <v>0.22</v>
      </c>
      <c r="I855" s="27">
        <v>0.57999999999999996</v>
      </c>
      <c r="J855" s="27">
        <v>165.42</v>
      </c>
      <c r="K855" s="47">
        <f t="shared" si="105"/>
        <v>0.75976302744529089</v>
      </c>
      <c r="L855" s="47">
        <f t="shared" si="106"/>
        <v>0.14024906299117398</v>
      </c>
      <c r="M855" s="84">
        <f t="shared" si="107"/>
        <v>0.9000120904364648</v>
      </c>
      <c r="N855" s="47">
        <f t="shared" si="108"/>
        <v>0</v>
      </c>
      <c r="O855" s="47">
        <f t="shared" si="109"/>
        <v>1.3299480111232016E-3</v>
      </c>
      <c r="P855" s="47">
        <f t="shared" si="110"/>
        <v>3.5062265747793494E-3</v>
      </c>
      <c r="Q855" s="47">
        <f t="shared" si="111"/>
        <v>1</v>
      </c>
    </row>
    <row r="856" spans="1:17" x14ac:dyDescent="0.35">
      <c r="A856" s="82">
        <v>853</v>
      </c>
      <c r="B856" s="83" t="str">
        <f>_xlfn.XLOOKUP(A856,'TAZs by City - CCAG Model'!$A:$A,'TAZs by City - CCAG Model'!$B:$B,"Unknown")</f>
        <v>Unincorporated</v>
      </c>
      <c r="C856" s="82">
        <f>_xlfn.XLOOKUP(A856,'TAZs by City - CCAG Model'!$A:$A,'TAZs by City - CCAG Model'!$C:$C,999)</f>
        <v>3</v>
      </c>
      <c r="D856" s="82" t="str">
        <f t="shared" si="104"/>
        <v>NO</v>
      </c>
      <c r="E856" s="27">
        <v>105.92</v>
      </c>
      <c r="F856" s="27">
        <v>31.08</v>
      </c>
      <c r="G856" s="27">
        <v>0.22</v>
      </c>
      <c r="H856" s="27">
        <v>0.24</v>
      </c>
      <c r="I856" s="27">
        <v>0.86</v>
      </c>
      <c r="J856" s="27">
        <v>156.5</v>
      </c>
      <c r="K856" s="47">
        <f t="shared" si="105"/>
        <v>0.67680511182108627</v>
      </c>
      <c r="L856" s="47">
        <f t="shared" si="106"/>
        <v>0.19859424920127794</v>
      </c>
      <c r="M856" s="84">
        <f t="shared" si="107"/>
        <v>0.87539936102236426</v>
      </c>
      <c r="N856" s="47">
        <f t="shared" si="108"/>
        <v>1.4057507987220448E-3</v>
      </c>
      <c r="O856" s="47">
        <f t="shared" si="109"/>
        <v>1.5335463258785943E-3</v>
      </c>
      <c r="P856" s="47">
        <f t="shared" si="110"/>
        <v>5.4952076677316289E-3</v>
      </c>
      <c r="Q856" s="47">
        <f t="shared" si="111"/>
        <v>1</v>
      </c>
    </row>
    <row r="857" spans="1:17" x14ac:dyDescent="0.35">
      <c r="A857" s="82">
        <v>854</v>
      </c>
      <c r="B857" s="83" t="str">
        <f>_xlfn.XLOOKUP(A857,'TAZs by City - CCAG Model'!$A:$A,'TAZs by City - CCAG Model'!$B:$B,"Unknown")</f>
        <v>Unincorporated</v>
      </c>
      <c r="C857" s="82">
        <f>_xlfn.XLOOKUP(A857,'TAZs by City - CCAG Model'!$A:$A,'TAZs by City - CCAG Model'!$C:$C,999)</f>
        <v>3</v>
      </c>
      <c r="D857" s="82" t="str">
        <f t="shared" si="104"/>
        <v>NO</v>
      </c>
      <c r="E857" s="27">
        <v>62.68</v>
      </c>
      <c r="F857" s="27">
        <v>56.08</v>
      </c>
      <c r="G857" s="27">
        <v>0</v>
      </c>
      <c r="H857" s="27">
        <v>0.54</v>
      </c>
      <c r="I857" s="27">
        <v>0.72</v>
      </c>
      <c r="J857" s="27">
        <v>131.08000000000001</v>
      </c>
      <c r="K857" s="47">
        <f t="shared" si="105"/>
        <v>0.47818126335062555</v>
      </c>
      <c r="L857" s="47">
        <f t="shared" si="106"/>
        <v>0.42783033262129994</v>
      </c>
      <c r="M857" s="84">
        <f t="shared" si="107"/>
        <v>0.90601159597192538</v>
      </c>
      <c r="N857" s="47">
        <f t="shared" si="108"/>
        <v>0</v>
      </c>
      <c r="O857" s="47">
        <f t="shared" si="109"/>
        <v>4.1196216051266402E-3</v>
      </c>
      <c r="P857" s="47">
        <f t="shared" si="110"/>
        <v>5.4928288068355193E-3</v>
      </c>
      <c r="Q857" s="47">
        <f t="shared" si="111"/>
        <v>1</v>
      </c>
    </row>
    <row r="858" spans="1:17" x14ac:dyDescent="0.35">
      <c r="A858" s="82">
        <v>855</v>
      </c>
      <c r="B858" s="83" t="str">
        <f>_xlfn.XLOOKUP(A858,'TAZs by City - CCAG Model'!$A:$A,'TAZs by City - CCAG Model'!$B:$B,"Unknown")</f>
        <v>San Jose</v>
      </c>
      <c r="C858" s="82">
        <f>_xlfn.XLOOKUP(A858,'TAZs by City - CCAG Model'!$A:$A,'TAZs by City - CCAG Model'!$C:$C,999)</f>
        <v>3</v>
      </c>
      <c r="D858" s="82" t="str">
        <f t="shared" si="104"/>
        <v>NO</v>
      </c>
      <c r="E858" s="27">
        <v>75.099999999999994</v>
      </c>
      <c r="F858" s="27">
        <v>40.96</v>
      </c>
      <c r="G858" s="27">
        <v>0</v>
      </c>
      <c r="H858" s="27">
        <v>0.28000000000000003</v>
      </c>
      <c r="I858" s="27">
        <v>0.98</v>
      </c>
      <c r="J858" s="27">
        <v>130.1</v>
      </c>
      <c r="K858" s="47">
        <f t="shared" si="105"/>
        <v>0.57724827056110684</v>
      </c>
      <c r="L858" s="47">
        <f t="shared" si="106"/>
        <v>0.31483474250576482</v>
      </c>
      <c r="M858" s="84">
        <f t="shared" si="107"/>
        <v>0.89208301306687166</v>
      </c>
      <c r="N858" s="47">
        <f t="shared" si="108"/>
        <v>0</v>
      </c>
      <c r="O858" s="47">
        <f t="shared" si="109"/>
        <v>2.1521906225980018E-3</v>
      </c>
      <c r="P858" s="47">
        <f t="shared" si="110"/>
        <v>7.5326671790930059E-3</v>
      </c>
      <c r="Q858" s="47">
        <f t="shared" si="111"/>
        <v>1</v>
      </c>
    </row>
    <row r="859" spans="1:17" x14ac:dyDescent="0.35">
      <c r="A859" s="82">
        <v>856</v>
      </c>
      <c r="B859" s="83" t="str">
        <f>_xlfn.XLOOKUP(A859,'TAZs by City - CCAG Model'!$A:$A,'TAZs by City - CCAG Model'!$B:$B,"Unknown")</f>
        <v>San Jose</v>
      </c>
      <c r="C859" s="82">
        <f>_xlfn.XLOOKUP(A859,'TAZs by City - CCAG Model'!$A:$A,'TAZs by City - CCAG Model'!$C:$C,999)</f>
        <v>3</v>
      </c>
      <c r="D859" s="82" t="str">
        <f t="shared" si="104"/>
        <v>NO</v>
      </c>
      <c r="E859" s="27">
        <v>1278.5999999999999</v>
      </c>
      <c r="F859" s="27">
        <v>403.48</v>
      </c>
      <c r="G859" s="27">
        <v>0</v>
      </c>
      <c r="H859" s="27">
        <v>6.12</v>
      </c>
      <c r="I859" s="27">
        <v>16.579999999999998</v>
      </c>
      <c r="J859" s="27">
        <v>1736.62</v>
      </c>
      <c r="K859" s="47">
        <f t="shared" si="105"/>
        <v>0.73625778811714715</v>
      </c>
      <c r="L859" s="47">
        <f t="shared" si="106"/>
        <v>0.23233637756100933</v>
      </c>
      <c r="M859" s="84">
        <f t="shared" si="107"/>
        <v>0.96859416567815648</v>
      </c>
      <c r="N859" s="47">
        <f t="shared" si="108"/>
        <v>0</v>
      </c>
      <c r="O859" s="47">
        <f t="shared" si="109"/>
        <v>3.5240870196128113E-3</v>
      </c>
      <c r="P859" s="47">
        <f t="shared" si="110"/>
        <v>9.5472815008464714E-3</v>
      </c>
      <c r="Q859" s="47">
        <f t="shared" si="111"/>
        <v>1</v>
      </c>
    </row>
    <row r="860" spans="1:17" x14ac:dyDescent="0.35">
      <c r="A860" s="82">
        <v>857</v>
      </c>
      <c r="B860" s="83" t="str">
        <f>_xlfn.XLOOKUP(A860,'TAZs by City - CCAG Model'!$A:$A,'TAZs by City - CCAG Model'!$B:$B,"Unknown")</f>
        <v>San Jose</v>
      </c>
      <c r="C860" s="82">
        <f>_xlfn.XLOOKUP(A860,'TAZs by City - CCAG Model'!$A:$A,'TAZs by City - CCAG Model'!$C:$C,999)</f>
        <v>3</v>
      </c>
      <c r="D860" s="82" t="str">
        <f t="shared" si="104"/>
        <v>NO</v>
      </c>
      <c r="E860" s="27">
        <v>13183.96</v>
      </c>
      <c r="F860" s="27">
        <v>4491.82</v>
      </c>
      <c r="G860" s="27">
        <v>27.28</v>
      </c>
      <c r="H860" s="27">
        <v>57.14</v>
      </c>
      <c r="I860" s="27">
        <v>702.66</v>
      </c>
      <c r="J860" s="27">
        <v>18506.259999999998</v>
      </c>
      <c r="K860" s="47">
        <f t="shared" si="105"/>
        <v>0.7124054238944012</v>
      </c>
      <c r="L860" s="47">
        <f t="shared" si="106"/>
        <v>0.24271895023629841</v>
      </c>
      <c r="M860" s="84">
        <f t="shared" si="107"/>
        <v>0.95512437413069962</v>
      </c>
      <c r="N860" s="47">
        <f t="shared" si="108"/>
        <v>1.4740957924507709E-3</v>
      </c>
      <c r="O860" s="47">
        <f t="shared" si="109"/>
        <v>3.0876038702579564E-3</v>
      </c>
      <c r="P860" s="47">
        <f t="shared" si="110"/>
        <v>3.7968773809510949E-2</v>
      </c>
      <c r="Q860" s="47">
        <f t="shared" si="111"/>
        <v>1</v>
      </c>
    </row>
    <row r="861" spans="1:17" x14ac:dyDescent="0.35">
      <c r="A861" s="82">
        <v>858</v>
      </c>
      <c r="B861" s="83" t="str">
        <f>_xlfn.XLOOKUP(A861,'TAZs by City - CCAG Model'!$A:$A,'TAZs by City - CCAG Model'!$B:$B,"Unknown")</f>
        <v>San Jose</v>
      </c>
      <c r="C861" s="82">
        <f>_xlfn.XLOOKUP(A861,'TAZs by City - CCAG Model'!$A:$A,'TAZs by City - CCAG Model'!$C:$C,999)</f>
        <v>3</v>
      </c>
      <c r="D861" s="82" t="str">
        <f t="shared" si="104"/>
        <v>NO</v>
      </c>
      <c r="E861" s="27">
        <v>2.76</v>
      </c>
      <c r="F861" s="27">
        <v>1.58</v>
      </c>
      <c r="G861" s="27">
        <v>0</v>
      </c>
      <c r="H861" s="27">
        <v>0</v>
      </c>
      <c r="I861" s="27">
        <v>0</v>
      </c>
      <c r="J861" s="27">
        <v>5.54</v>
      </c>
      <c r="K861" s="47">
        <f t="shared" si="105"/>
        <v>0.49819494584837543</v>
      </c>
      <c r="L861" s="47">
        <f t="shared" si="106"/>
        <v>0.2851985559566787</v>
      </c>
      <c r="M861" s="84">
        <f t="shared" si="107"/>
        <v>0.78339350180505407</v>
      </c>
      <c r="N861" s="47">
        <f t="shared" si="108"/>
        <v>0</v>
      </c>
      <c r="O861" s="47">
        <f t="shared" si="109"/>
        <v>0</v>
      </c>
      <c r="P861" s="47">
        <f t="shared" si="110"/>
        <v>0</v>
      </c>
      <c r="Q861" s="47">
        <f t="shared" si="111"/>
        <v>1</v>
      </c>
    </row>
    <row r="862" spans="1:17" x14ac:dyDescent="0.35">
      <c r="A862" s="82">
        <v>859</v>
      </c>
      <c r="B862" s="83" t="str">
        <f>_xlfn.XLOOKUP(A862,'TAZs by City - CCAG Model'!$A:$A,'TAZs by City - CCAG Model'!$B:$B,"Unknown")</f>
        <v>San Jose</v>
      </c>
      <c r="C862" s="82">
        <f>_xlfn.XLOOKUP(A862,'TAZs by City - CCAG Model'!$A:$A,'TAZs by City - CCAG Model'!$C:$C,999)</f>
        <v>3</v>
      </c>
      <c r="D862" s="82" t="str">
        <f t="shared" si="104"/>
        <v>NO</v>
      </c>
      <c r="E862" s="27">
        <v>7.82</v>
      </c>
      <c r="F862" s="27">
        <v>0.5</v>
      </c>
      <c r="G862" s="27">
        <v>0</v>
      </c>
      <c r="H862" s="27">
        <v>0</v>
      </c>
      <c r="I862" s="27">
        <v>0.38</v>
      </c>
      <c r="J862" s="27">
        <v>10.18</v>
      </c>
      <c r="K862" s="47">
        <f t="shared" si="105"/>
        <v>0.76817288801571715</v>
      </c>
      <c r="L862" s="47">
        <f t="shared" si="106"/>
        <v>4.9115913555992145E-2</v>
      </c>
      <c r="M862" s="84">
        <f t="shared" si="107"/>
        <v>0.81728880157170924</v>
      </c>
      <c r="N862" s="47">
        <f t="shared" si="108"/>
        <v>0</v>
      </c>
      <c r="O862" s="47">
        <f t="shared" si="109"/>
        <v>0</v>
      </c>
      <c r="P862" s="47">
        <f t="shared" si="110"/>
        <v>3.732809430255403E-2</v>
      </c>
      <c r="Q862" s="47">
        <f t="shared" si="111"/>
        <v>1</v>
      </c>
    </row>
    <row r="863" spans="1:17" x14ac:dyDescent="0.35">
      <c r="A863" s="82">
        <v>860</v>
      </c>
      <c r="B863" s="83" t="str">
        <f>_xlfn.XLOOKUP(A863,'TAZs by City - CCAG Model'!$A:$A,'TAZs by City - CCAG Model'!$B:$B,"Unknown")</f>
        <v>San Jose</v>
      </c>
      <c r="C863" s="82">
        <f>_xlfn.XLOOKUP(A863,'TAZs by City - CCAG Model'!$A:$A,'TAZs by City - CCAG Model'!$C:$C,999)</f>
        <v>3</v>
      </c>
      <c r="D863" s="82" t="str">
        <f t="shared" si="104"/>
        <v>NO</v>
      </c>
      <c r="E863" s="27">
        <v>0</v>
      </c>
      <c r="F863" s="27">
        <v>0</v>
      </c>
      <c r="G863" s="27">
        <v>0</v>
      </c>
      <c r="H863" s="27">
        <v>0</v>
      </c>
      <c r="I863" s="27">
        <v>0</v>
      </c>
      <c r="J863" s="27">
        <v>0</v>
      </c>
      <c r="K863" s="47">
        <f t="shared" si="105"/>
        <v>0</v>
      </c>
      <c r="L863" s="47">
        <f t="shared" si="106"/>
        <v>0</v>
      </c>
      <c r="M863" s="84">
        <f t="shared" si="107"/>
        <v>0</v>
      </c>
      <c r="N863" s="47">
        <f t="shared" si="108"/>
        <v>0</v>
      </c>
      <c r="O863" s="47">
        <f t="shared" si="109"/>
        <v>0</v>
      </c>
      <c r="P863" s="47">
        <f t="shared" si="110"/>
        <v>0</v>
      </c>
      <c r="Q863" s="47">
        <f t="shared" si="111"/>
        <v>0</v>
      </c>
    </row>
    <row r="864" spans="1:17" x14ac:dyDescent="0.35">
      <c r="A864" s="82">
        <v>861</v>
      </c>
      <c r="B864" s="83" t="str">
        <f>_xlfn.XLOOKUP(A864,'TAZs by City - CCAG Model'!$A:$A,'TAZs by City - CCAG Model'!$B:$B,"Unknown")</f>
        <v>Unincorporated</v>
      </c>
      <c r="C864" s="82">
        <f>_xlfn.XLOOKUP(A864,'TAZs by City - CCAG Model'!$A:$A,'TAZs by City - CCAG Model'!$C:$C,999)</f>
        <v>3</v>
      </c>
      <c r="D864" s="82" t="str">
        <f t="shared" si="104"/>
        <v>NO</v>
      </c>
      <c r="E864" s="27">
        <v>119.96</v>
      </c>
      <c r="F864" s="27">
        <v>88.86</v>
      </c>
      <c r="G864" s="27">
        <v>4.26</v>
      </c>
      <c r="H864" s="27">
        <v>0.82</v>
      </c>
      <c r="I864" s="27">
        <v>3.28</v>
      </c>
      <c r="J864" s="27">
        <v>242.54</v>
      </c>
      <c r="K864" s="47">
        <f t="shared" si="105"/>
        <v>0.49459882905912428</v>
      </c>
      <c r="L864" s="47">
        <f t="shared" si="106"/>
        <v>0.36637255710398287</v>
      </c>
      <c r="M864" s="84">
        <f t="shared" si="107"/>
        <v>0.86097138616310709</v>
      </c>
      <c r="N864" s="47">
        <f t="shared" si="108"/>
        <v>1.7564113135977569E-2</v>
      </c>
      <c r="O864" s="47">
        <f t="shared" si="109"/>
        <v>3.3808856271130535E-3</v>
      </c>
      <c r="P864" s="47">
        <f t="shared" si="110"/>
        <v>1.3523542508452214E-2</v>
      </c>
      <c r="Q864" s="47">
        <f t="shared" si="111"/>
        <v>1</v>
      </c>
    </row>
    <row r="865" spans="1:17" x14ac:dyDescent="0.35">
      <c r="A865" s="82">
        <v>862</v>
      </c>
      <c r="B865" s="83" t="str">
        <f>_xlfn.XLOOKUP(A865,'TAZs by City - CCAG Model'!$A:$A,'TAZs by City - CCAG Model'!$B:$B,"Unknown")</f>
        <v>Unincorporated</v>
      </c>
      <c r="C865" s="82">
        <f>_xlfn.XLOOKUP(A865,'TAZs by City - CCAG Model'!$A:$A,'TAZs by City - CCAG Model'!$C:$C,999)</f>
        <v>3</v>
      </c>
      <c r="D865" s="82" t="str">
        <f t="shared" si="104"/>
        <v>NO</v>
      </c>
      <c r="E865" s="27">
        <v>374.9</v>
      </c>
      <c r="F865" s="27">
        <v>295.52</v>
      </c>
      <c r="G865" s="27">
        <v>8.34</v>
      </c>
      <c r="H865" s="27">
        <v>3.6</v>
      </c>
      <c r="I865" s="27">
        <v>9.32</v>
      </c>
      <c r="J865" s="27">
        <v>723.26</v>
      </c>
      <c r="K865" s="47">
        <f t="shared" si="105"/>
        <v>0.5183474822332218</v>
      </c>
      <c r="L865" s="47">
        <f t="shared" si="106"/>
        <v>0.40859441971075405</v>
      </c>
      <c r="M865" s="84">
        <f t="shared" si="107"/>
        <v>0.92694190194397585</v>
      </c>
      <c r="N865" s="47">
        <f t="shared" si="108"/>
        <v>1.1531122970992451E-2</v>
      </c>
      <c r="O865" s="47">
        <f t="shared" si="109"/>
        <v>4.9774631529463818E-3</v>
      </c>
      <c r="P865" s="47">
        <f t="shared" si="110"/>
        <v>1.2886099051516744E-2</v>
      </c>
      <c r="Q865" s="47">
        <f t="shared" si="111"/>
        <v>1</v>
      </c>
    </row>
    <row r="866" spans="1:17" x14ac:dyDescent="0.35">
      <c r="A866" s="82">
        <v>863</v>
      </c>
      <c r="B866" s="83" t="str">
        <f>_xlfn.XLOOKUP(A866,'TAZs by City - CCAG Model'!$A:$A,'TAZs by City - CCAG Model'!$B:$B,"Unknown")</f>
        <v>Unincorporated</v>
      </c>
      <c r="C866" s="82">
        <f>_xlfn.XLOOKUP(A866,'TAZs by City - CCAG Model'!$A:$A,'TAZs by City - CCAG Model'!$C:$C,999)</f>
        <v>3</v>
      </c>
      <c r="D866" s="82" t="str">
        <f t="shared" si="104"/>
        <v>NO</v>
      </c>
      <c r="E866" s="27">
        <v>0</v>
      </c>
      <c r="F866" s="27">
        <v>0</v>
      </c>
      <c r="G866" s="27">
        <v>0</v>
      </c>
      <c r="H866" s="27">
        <v>0</v>
      </c>
      <c r="I866" s="27">
        <v>0</v>
      </c>
      <c r="J866" s="27">
        <v>0</v>
      </c>
      <c r="K866" s="47">
        <f t="shared" si="105"/>
        <v>0</v>
      </c>
      <c r="L866" s="47">
        <f t="shared" si="106"/>
        <v>0</v>
      </c>
      <c r="M866" s="84">
        <f t="shared" si="107"/>
        <v>0</v>
      </c>
      <c r="N866" s="47">
        <f t="shared" si="108"/>
        <v>0</v>
      </c>
      <c r="O866" s="47">
        <f t="shared" si="109"/>
        <v>0</v>
      </c>
      <c r="P866" s="47">
        <f t="shared" si="110"/>
        <v>0</v>
      </c>
      <c r="Q866" s="47">
        <f t="shared" si="111"/>
        <v>0</v>
      </c>
    </row>
    <row r="867" spans="1:17" x14ac:dyDescent="0.35">
      <c r="A867" s="82">
        <v>864</v>
      </c>
      <c r="B867" s="83" t="str">
        <f>_xlfn.XLOOKUP(A867,'TAZs by City - CCAG Model'!$A:$A,'TAZs by City - CCAG Model'!$B:$B,"Unknown")</f>
        <v>Unincorporated</v>
      </c>
      <c r="C867" s="82">
        <f>_xlfn.XLOOKUP(A867,'TAZs by City - CCAG Model'!$A:$A,'TAZs by City - CCAG Model'!$C:$C,999)</f>
        <v>3</v>
      </c>
      <c r="D867" s="82" t="str">
        <f t="shared" si="104"/>
        <v>NO</v>
      </c>
      <c r="E867" s="27">
        <v>675.18</v>
      </c>
      <c r="F867" s="27">
        <v>448.22</v>
      </c>
      <c r="G867" s="27">
        <v>22.38</v>
      </c>
      <c r="H867" s="27">
        <v>9.32</v>
      </c>
      <c r="I867" s="27">
        <v>32.5</v>
      </c>
      <c r="J867" s="27">
        <v>1241.5</v>
      </c>
      <c r="K867" s="47">
        <f t="shared" si="105"/>
        <v>0.54384212645992747</v>
      </c>
      <c r="L867" s="47">
        <f t="shared" si="106"/>
        <v>0.36103101087394285</v>
      </c>
      <c r="M867" s="84">
        <f t="shared" si="107"/>
        <v>0.90487313733387043</v>
      </c>
      <c r="N867" s="47">
        <f t="shared" si="108"/>
        <v>1.8026580749093836E-2</v>
      </c>
      <c r="O867" s="47">
        <f t="shared" si="109"/>
        <v>7.5070479258960935E-3</v>
      </c>
      <c r="P867" s="47">
        <f t="shared" si="110"/>
        <v>2.6178010471204188E-2</v>
      </c>
      <c r="Q867" s="47">
        <f t="shared" si="111"/>
        <v>1</v>
      </c>
    </row>
    <row r="868" spans="1:17" x14ac:dyDescent="0.35">
      <c r="A868" s="82">
        <v>865</v>
      </c>
      <c r="B868" s="83" t="str">
        <f>_xlfn.XLOOKUP(A868,'TAZs by City - CCAG Model'!$A:$A,'TAZs by City - CCAG Model'!$B:$B,"Unknown")</f>
        <v>Unincorporated</v>
      </c>
      <c r="C868" s="82">
        <f>_xlfn.XLOOKUP(A868,'TAZs by City - CCAG Model'!$A:$A,'TAZs by City - CCAG Model'!$C:$C,999)</f>
        <v>3</v>
      </c>
      <c r="D868" s="82" t="str">
        <f t="shared" si="104"/>
        <v>NO</v>
      </c>
      <c r="E868" s="27">
        <v>826.52</v>
      </c>
      <c r="F868" s="27">
        <v>380.28</v>
      </c>
      <c r="G868" s="27">
        <v>17.239999999999998</v>
      </c>
      <c r="H868" s="27">
        <v>2.76</v>
      </c>
      <c r="I868" s="27">
        <v>12.24</v>
      </c>
      <c r="J868" s="27">
        <v>1294.96</v>
      </c>
      <c r="K868" s="47">
        <f t="shared" si="105"/>
        <v>0.63825909680607895</v>
      </c>
      <c r="L868" s="47">
        <f t="shared" si="106"/>
        <v>0.29366158028047196</v>
      </c>
      <c r="M868" s="84">
        <f t="shared" si="107"/>
        <v>0.93192067708655091</v>
      </c>
      <c r="N868" s="47">
        <f t="shared" si="108"/>
        <v>1.3313152529807869E-2</v>
      </c>
      <c r="O868" s="47">
        <f t="shared" si="109"/>
        <v>2.1313399641687773E-3</v>
      </c>
      <c r="P868" s="47">
        <f t="shared" si="110"/>
        <v>9.4520294063137091E-3</v>
      </c>
      <c r="Q868" s="47">
        <f t="shared" si="111"/>
        <v>1</v>
      </c>
    </row>
    <row r="869" spans="1:17" x14ac:dyDescent="0.35">
      <c r="A869" s="82">
        <v>866</v>
      </c>
      <c r="B869" s="83" t="str">
        <f>_xlfn.XLOOKUP(A869,'TAZs by City - CCAG Model'!$A:$A,'TAZs by City - CCAG Model'!$B:$B,"Unknown")</f>
        <v>Santa Clara</v>
      </c>
      <c r="C869" s="82">
        <f>_xlfn.XLOOKUP(A869,'TAZs by City - CCAG Model'!$A:$A,'TAZs by City - CCAG Model'!$C:$C,999)</f>
        <v>3</v>
      </c>
      <c r="D869" s="82" t="str">
        <f t="shared" si="104"/>
        <v>NO</v>
      </c>
      <c r="E869" s="27">
        <v>7516.14</v>
      </c>
      <c r="F869" s="27">
        <v>2648.8</v>
      </c>
      <c r="G869" s="27">
        <v>635.9</v>
      </c>
      <c r="H869" s="27">
        <v>111.02</v>
      </c>
      <c r="I869" s="27">
        <v>1534.62</v>
      </c>
      <c r="J869" s="27">
        <v>13115.68</v>
      </c>
      <c r="K869" s="47">
        <f t="shared" si="105"/>
        <v>0.5730652165957083</v>
      </c>
      <c r="L869" s="47">
        <f t="shared" si="106"/>
        <v>0.20195674185402512</v>
      </c>
      <c r="M869" s="84">
        <f t="shared" si="107"/>
        <v>0.77502195844973343</v>
      </c>
      <c r="N869" s="47">
        <f t="shared" si="108"/>
        <v>4.8483952032986471E-2</v>
      </c>
      <c r="O869" s="47">
        <f t="shared" si="109"/>
        <v>8.4646773937759982E-3</v>
      </c>
      <c r="P869" s="47">
        <f t="shared" si="110"/>
        <v>0.11700651434008758</v>
      </c>
      <c r="Q869" s="47">
        <f t="shared" si="111"/>
        <v>1</v>
      </c>
    </row>
    <row r="870" spans="1:17" x14ac:dyDescent="0.35">
      <c r="A870" s="82">
        <v>867</v>
      </c>
      <c r="B870" s="83" t="str">
        <f>_xlfn.XLOOKUP(A870,'TAZs by City - CCAG Model'!$A:$A,'TAZs by City - CCAG Model'!$B:$B,"Unknown")</f>
        <v>San Jose</v>
      </c>
      <c r="C870" s="82">
        <f>_xlfn.XLOOKUP(A870,'TAZs by City - CCAG Model'!$A:$A,'TAZs by City - CCAG Model'!$C:$C,999)</f>
        <v>3</v>
      </c>
      <c r="D870" s="82" t="str">
        <f t="shared" si="104"/>
        <v>NO</v>
      </c>
      <c r="E870" s="27">
        <v>3583.4</v>
      </c>
      <c r="F870" s="27">
        <v>1893.88</v>
      </c>
      <c r="G870" s="27">
        <v>222.88</v>
      </c>
      <c r="H870" s="27">
        <v>83.62</v>
      </c>
      <c r="I870" s="27">
        <v>1509.04</v>
      </c>
      <c r="J870" s="27">
        <v>7564.74</v>
      </c>
      <c r="K870" s="47">
        <f t="shared" si="105"/>
        <v>0.47369770805077244</v>
      </c>
      <c r="L870" s="47">
        <f t="shared" si="106"/>
        <v>0.25035625811329937</v>
      </c>
      <c r="M870" s="84">
        <f t="shared" si="107"/>
        <v>0.7240539661640718</v>
      </c>
      <c r="N870" s="47">
        <f t="shared" si="108"/>
        <v>2.9463008642729296E-2</v>
      </c>
      <c r="O870" s="47">
        <f t="shared" si="109"/>
        <v>1.1053915931016798E-2</v>
      </c>
      <c r="P870" s="47">
        <f t="shared" si="110"/>
        <v>0.1994833926876535</v>
      </c>
      <c r="Q870" s="47">
        <f t="shared" si="111"/>
        <v>1</v>
      </c>
    </row>
    <row r="871" spans="1:17" x14ac:dyDescent="0.35">
      <c r="A871" s="82">
        <v>868</v>
      </c>
      <c r="B871" s="83" t="str">
        <f>_xlfn.XLOOKUP(A871,'TAZs by City - CCAG Model'!$A:$A,'TAZs by City - CCAG Model'!$B:$B,"Unknown")</f>
        <v>San Jose</v>
      </c>
      <c r="C871" s="82">
        <f>_xlfn.XLOOKUP(A871,'TAZs by City - CCAG Model'!$A:$A,'TAZs by City - CCAG Model'!$C:$C,999)</f>
        <v>3</v>
      </c>
      <c r="D871" s="82" t="str">
        <f t="shared" si="104"/>
        <v>NO</v>
      </c>
      <c r="E871" s="27">
        <v>2890.56</v>
      </c>
      <c r="F871" s="27">
        <v>1028.0999999999999</v>
      </c>
      <c r="G871" s="27">
        <v>131.24</v>
      </c>
      <c r="H871" s="27">
        <v>46.8</v>
      </c>
      <c r="I871" s="27">
        <v>663.62</v>
      </c>
      <c r="J871" s="27">
        <v>4936.9799999999996</v>
      </c>
      <c r="K871" s="47">
        <f t="shared" si="105"/>
        <v>0.58549153531106068</v>
      </c>
      <c r="L871" s="47">
        <f t="shared" si="106"/>
        <v>0.20824471640557587</v>
      </c>
      <c r="M871" s="84">
        <f t="shared" si="107"/>
        <v>0.79373625171663653</v>
      </c>
      <c r="N871" s="47">
        <f t="shared" si="108"/>
        <v>2.6583052797459178E-2</v>
      </c>
      <c r="O871" s="47">
        <f t="shared" si="109"/>
        <v>9.4794793578260404E-3</v>
      </c>
      <c r="P871" s="47">
        <f t="shared" si="110"/>
        <v>0.13441820708206231</v>
      </c>
      <c r="Q871" s="47">
        <f t="shared" si="111"/>
        <v>1</v>
      </c>
    </row>
    <row r="872" spans="1:17" x14ac:dyDescent="0.35">
      <c r="A872" s="82">
        <v>869</v>
      </c>
      <c r="B872" s="83" t="str">
        <f>_xlfn.XLOOKUP(A872,'TAZs by City - CCAG Model'!$A:$A,'TAZs by City - CCAG Model'!$B:$B,"Unknown")</f>
        <v>Los Gatos</v>
      </c>
      <c r="C872" s="82">
        <f>_xlfn.XLOOKUP(A872,'TAZs by City - CCAG Model'!$A:$A,'TAZs by City - CCAG Model'!$C:$C,999)</f>
        <v>3</v>
      </c>
      <c r="D872" s="82" t="str">
        <f t="shared" si="104"/>
        <v>NO</v>
      </c>
      <c r="E872" s="27">
        <v>4450.9799999999996</v>
      </c>
      <c r="F872" s="27">
        <v>2991.56</v>
      </c>
      <c r="G872" s="27">
        <v>63.22</v>
      </c>
      <c r="H872" s="27">
        <v>85.32</v>
      </c>
      <c r="I872" s="27">
        <v>583.46</v>
      </c>
      <c r="J872" s="27">
        <v>8276.06</v>
      </c>
      <c r="K872" s="47">
        <f t="shared" si="105"/>
        <v>0.53781388728452906</v>
      </c>
      <c r="L872" s="47">
        <f t="shared" si="106"/>
        <v>0.36147152147277811</v>
      </c>
      <c r="M872" s="84">
        <f t="shared" si="107"/>
        <v>0.89928540875730711</v>
      </c>
      <c r="N872" s="47">
        <f t="shared" si="108"/>
        <v>7.638900636293116E-3</v>
      </c>
      <c r="O872" s="47">
        <f t="shared" si="109"/>
        <v>1.0309253437021965E-2</v>
      </c>
      <c r="P872" s="47">
        <f t="shared" si="110"/>
        <v>7.0499730548111067E-2</v>
      </c>
      <c r="Q872" s="47">
        <f t="shared" si="111"/>
        <v>1</v>
      </c>
    </row>
    <row r="873" spans="1:17" x14ac:dyDescent="0.35">
      <c r="A873" s="82">
        <v>870</v>
      </c>
      <c r="B873" s="83" t="str">
        <f>_xlfn.XLOOKUP(A873,'TAZs by City - CCAG Model'!$A:$A,'TAZs by City - CCAG Model'!$B:$B,"Unknown")</f>
        <v>San Jose</v>
      </c>
      <c r="C873" s="82">
        <f>_xlfn.XLOOKUP(A873,'TAZs by City - CCAG Model'!$A:$A,'TAZs by City - CCAG Model'!$C:$C,999)</f>
        <v>3</v>
      </c>
      <c r="D873" s="82" t="str">
        <f t="shared" si="104"/>
        <v>NO</v>
      </c>
      <c r="E873" s="27">
        <v>1302.06</v>
      </c>
      <c r="F873" s="27">
        <v>1095.3800000000001</v>
      </c>
      <c r="G873" s="27">
        <v>64.540000000000006</v>
      </c>
      <c r="H873" s="27">
        <v>22.28</v>
      </c>
      <c r="I873" s="27">
        <v>359.96</v>
      </c>
      <c r="J873" s="27">
        <v>2936.88</v>
      </c>
      <c r="K873" s="47">
        <f t="shared" si="105"/>
        <v>0.4433480428209528</v>
      </c>
      <c r="L873" s="47">
        <f t="shared" si="106"/>
        <v>0.37297404047833077</v>
      </c>
      <c r="M873" s="84">
        <f t="shared" si="107"/>
        <v>0.81632208329928357</v>
      </c>
      <c r="N873" s="47">
        <f t="shared" si="108"/>
        <v>2.1975702105635913E-2</v>
      </c>
      <c r="O873" s="47">
        <f t="shared" si="109"/>
        <v>7.5862820408052088E-3</v>
      </c>
      <c r="P873" s="47">
        <f t="shared" si="110"/>
        <v>0.12256544360001088</v>
      </c>
      <c r="Q873" s="47">
        <f t="shared" si="111"/>
        <v>1</v>
      </c>
    </row>
    <row r="874" spans="1:17" x14ac:dyDescent="0.35">
      <c r="A874" s="82">
        <v>871</v>
      </c>
      <c r="B874" s="83" t="str">
        <f>_xlfn.XLOOKUP(A874,'TAZs by City - CCAG Model'!$A:$A,'TAZs by City - CCAG Model'!$B:$B,"Unknown")</f>
        <v>San Jose</v>
      </c>
      <c r="C874" s="82">
        <f>_xlfn.XLOOKUP(A874,'TAZs by City - CCAG Model'!$A:$A,'TAZs by City - CCAG Model'!$C:$C,999)</f>
        <v>3</v>
      </c>
      <c r="D874" s="82" t="str">
        <f t="shared" si="104"/>
        <v>NO</v>
      </c>
      <c r="E874" s="27">
        <v>10905.12</v>
      </c>
      <c r="F874" s="27">
        <v>6331.66</v>
      </c>
      <c r="G874" s="27">
        <v>216.54</v>
      </c>
      <c r="H874" s="27">
        <v>215.4</v>
      </c>
      <c r="I874" s="27">
        <v>1243.26</v>
      </c>
      <c r="J874" s="27">
        <v>19164</v>
      </c>
      <c r="K874" s="47">
        <f t="shared" si="105"/>
        <v>0.56904195366311838</v>
      </c>
      <c r="L874" s="47">
        <f t="shared" si="106"/>
        <v>0.33039344604466708</v>
      </c>
      <c r="M874" s="84">
        <f t="shared" si="107"/>
        <v>0.89943539970778541</v>
      </c>
      <c r="N874" s="47">
        <f t="shared" si="108"/>
        <v>1.1299311208515968E-2</v>
      </c>
      <c r="O874" s="47">
        <f t="shared" si="109"/>
        <v>1.123982467125861E-2</v>
      </c>
      <c r="P874" s="47">
        <f t="shared" si="110"/>
        <v>6.487476518472135E-2</v>
      </c>
      <c r="Q874" s="47">
        <f t="shared" si="111"/>
        <v>1</v>
      </c>
    </row>
    <row r="875" spans="1:17" x14ac:dyDescent="0.35">
      <c r="A875" s="82">
        <v>872</v>
      </c>
      <c r="B875" s="83" t="str">
        <f>_xlfn.XLOOKUP(A875,'TAZs by City - CCAG Model'!$A:$A,'TAZs by City - CCAG Model'!$B:$B,"Unknown")</f>
        <v>Los Gatos</v>
      </c>
      <c r="C875" s="82">
        <f>_xlfn.XLOOKUP(A875,'TAZs by City - CCAG Model'!$A:$A,'TAZs by City - CCAG Model'!$C:$C,999)</f>
        <v>3</v>
      </c>
      <c r="D875" s="82" t="str">
        <f t="shared" si="104"/>
        <v>NO</v>
      </c>
      <c r="E875" s="27">
        <v>1268.5</v>
      </c>
      <c r="F875" s="27">
        <v>1037.28</v>
      </c>
      <c r="G875" s="27">
        <v>0</v>
      </c>
      <c r="H875" s="27">
        <v>20.16</v>
      </c>
      <c r="I875" s="27">
        <v>71.12</v>
      </c>
      <c r="J875" s="27">
        <v>2413.12</v>
      </c>
      <c r="K875" s="47">
        <f t="shared" si="105"/>
        <v>0.52566801485214165</v>
      </c>
      <c r="L875" s="47">
        <f t="shared" si="106"/>
        <v>0.42985015249966851</v>
      </c>
      <c r="M875" s="84">
        <f t="shared" si="107"/>
        <v>0.95551816735181005</v>
      </c>
      <c r="N875" s="47">
        <f t="shared" si="108"/>
        <v>0</v>
      </c>
      <c r="O875" s="47">
        <f t="shared" si="109"/>
        <v>8.3543296645007294E-3</v>
      </c>
      <c r="P875" s="47">
        <f t="shared" si="110"/>
        <v>2.9472218538655354E-2</v>
      </c>
      <c r="Q875" s="47">
        <f t="shared" si="111"/>
        <v>1</v>
      </c>
    </row>
    <row r="876" spans="1:17" x14ac:dyDescent="0.35">
      <c r="A876" s="82">
        <v>873</v>
      </c>
      <c r="B876" s="83" t="str">
        <f>_xlfn.XLOOKUP(A876,'TAZs by City - CCAG Model'!$A:$A,'TAZs by City - CCAG Model'!$B:$B,"Unknown")</f>
        <v>Los Gatos</v>
      </c>
      <c r="C876" s="82">
        <f>_xlfn.XLOOKUP(A876,'TAZs by City - CCAG Model'!$A:$A,'TAZs by City - CCAG Model'!$C:$C,999)</f>
        <v>3</v>
      </c>
      <c r="D876" s="82" t="str">
        <f t="shared" si="104"/>
        <v>NO</v>
      </c>
      <c r="E876" s="27">
        <v>4810.8999999999996</v>
      </c>
      <c r="F876" s="27">
        <v>3534.48</v>
      </c>
      <c r="G876" s="27">
        <v>50.24</v>
      </c>
      <c r="H876" s="27">
        <v>98.1</v>
      </c>
      <c r="I876" s="27">
        <v>514.02</v>
      </c>
      <c r="J876" s="27">
        <v>9090.2199999999993</v>
      </c>
      <c r="K876" s="47">
        <f t="shared" si="105"/>
        <v>0.52923911632501741</v>
      </c>
      <c r="L876" s="47">
        <f t="shared" si="106"/>
        <v>0.38882227272827286</v>
      </c>
      <c r="M876" s="84">
        <f t="shared" si="107"/>
        <v>0.91806138905329027</v>
      </c>
      <c r="N876" s="47">
        <f t="shared" si="108"/>
        <v>5.5268189328751124E-3</v>
      </c>
      <c r="O876" s="47">
        <f t="shared" si="109"/>
        <v>1.0791818019805902E-2</v>
      </c>
      <c r="P876" s="47">
        <f t="shared" si="110"/>
        <v>5.6546486223655754E-2</v>
      </c>
      <c r="Q876" s="47">
        <f t="shared" si="111"/>
        <v>1</v>
      </c>
    </row>
    <row r="877" spans="1:17" x14ac:dyDescent="0.35">
      <c r="A877" s="82">
        <v>874</v>
      </c>
      <c r="B877" s="83" t="str">
        <f>_xlfn.XLOOKUP(A877,'TAZs by City - CCAG Model'!$A:$A,'TAZs by City - CCAG Model'!$B:$B,"Unknown")</f>
        <v>Los Gatos</v>
      </c>
      <c r="C877" s="82">
        <f>_xlfn.XLOOKUP(A877,'TAZs by City - CCAG Model'!$A:$A,'TAZs by City - CCAG Model'!$C:$C,999)</f>
        <v>3</v>
      </c>
      <c r="D877" s="82" t="str">
        <f t="shared" si="104"/>
        <v>NO</v>
      </c>
      <c r="E877" s="27">
        <v>11438.74</v>
      </c>
      <c r="F877" s="27">
        <v>5691.46</v>
      </c>
      <c r="G877" s="27">
        <v>145.12</v>
      </c>
      <c r="H877" s="27">
        <v>184.88</v>
      </c>
      <c r="I877" s="27">
        <v>1288.26</v>
      </c>
      <c r="J877" s="27">
        <v>18927.18</v>
      </c>
      <c r="K877" s="47">
        <f t="shared" si="105"/>
        <v>0.60435521826283678</v>
      </c>
      <c r="L877" s="47">
        <f t="shared" si="106"/>
        <v>0.30070301016844558</v>
      </c>
      <c r="M877" s="84">
        <f t="shared" si="107"/>
        <v>0.90505822843128247</v>
      </c>
      <c r="N877" s="47">
        <f t="shared" si="108"/>
        <v>7.6672805985889079E-3</v>
      </c>
      <c r="O877" s="47">
        <f t="shared" si="109"/>
        <v>9.7679633204735203E-3</v>
      </c>
      <c r="P877" s="47">
        <f t="shared" si="110"/>
        <v>6.8064022215670802E-2</v>
      </c>
      <c r="Q877" s="47">
        <f t="shared" si="111"/>
        <v>1</v>
      </c>
    </row>
    <row r="878" spans="1:17" x14ac:dyDescent="0.35">
      <c r="A878" s="82">
        <v>875</v>
      </c>
      <c r="B878" s="83" t="str">
        <f>_xlfn.XLOOKUP(A878,'TAZs by City - CCAG Model'!$A:$A,'TAZs by City - CCAG Model'!$B:$B,"Unknown")</f>
        <v>San Jose</v>
      </c>
      <c r="C878" s="82">
        <f>_xlfn.XLOOKUP(A878,'TAZs by City - CCAG Model'!$A:$A,'TAZs by City - CCAG Model'!$C:$C,999)</f>
        <v>3</v>
      </c>
      <c r="D878" s="82" t="str">
        <f t="shared" si="104"/>
        <v>NO</v>
      </c>
      <c r="E878" s="27">
        <v>7617.6</v>
      </c>
      <c r="F878" s="27">
        <v>4629.38</v>
      </c>
      <c r="G878" s="27">
        <v>134.72</v>
      </c>
      <c r="H878" s="27">
        <v>143.6</v>
      </c>
      <c r="I878" s="27">
        <v>593.26</v>
      </c>
      <c r="J878" s="27">
        <v>13291</v>
      </c>
      <c r="K878" s="47">
        <f t="shared" si="105"/>
        <v>0.57313971860657587</v>
      </c>
      <c r="L878" s="47">
        <f t="shared" si="106"/>
        <v>0.34830938228876684</v>
      </c>
      <c r="M878" s="84">
        <f t="shared" si="107"/>
        <v>0.92144910089534271</v>
      </c>
      <c r="N878" s="47">
        <f t="shared" si="108"/>
        <v>1.0136182379053494E-2</v>
      </c>
      <c r="O878" s="47">
        <f t="shared" si="109"/>
        <v>1.0804303664133624E-2</v>
      </c>
      <c r="P878" s="47">
        <f t="shared" si="110"/>
        <v>4.4636219998495222E-2</v>
      </c>
      <c r="Q878" s="47">
        <f t="shared" si="111"/>
        <v>1</v>
      </c>
    </row>
    <row r="879" spans="1:17" x14ac:dyDescent="0.35">
      <c r="A879" s="82">
        <v>876</v>
      </c>
      <c r="B879" s="83" t="str">
        <f>_xlfn.XLOOKUP(A879,'TAZs by City - CCAG Model'!$A:$A,'TAZs by City - CCAG Model'!$B:$B,"Unknown")</f>
        <v>Santa Clara</v>
      </c>
      <c r="C879" s="82">
        <f>_xlfn.XLOOKUP(A879,'TAZs by City - CCAG Model'!$A:$A,'TAZs by City - CCAG Model'!$C:$C,999)</f>
        <v>3</v>
      </c>
      <c r="D879" s="82" t="str">
        <f t="shared" si="104"/>
        <v>NO</v>
      </c>
      <c r="E879" s="27">
        <v>4894.54</v>
      </c>
      <c r="F879" s="27">
        <v>2514.1799999999998</v>
      </c>
      <c r="G879" s="27">
        <v>150.88</v>
      </c>
      <c r="H879" s="27">
        <v>117.16</v>
      </c>
      <c r="I879" s="27">
        <v>2062.6799999999998</v>
      </c>
      <c r="J879" s="27">
        <v>9944.98</v>
      </c>
      <c r="K879" s="47">
        <f t="shared" si="105"/>
        <v>0.49216187463423761</v>
      </c>
      <c r="L879" s="47">
        <f t="shared" si="106"/>
        <v>0.25280895486969307</v>
      </c>
      <c r="M879" s="84">
        <f t="shared" si="107"/>
        <v>0.74497082950393056</v>
      </c>
      <c r="N879" s="47">
        <f t="shared" si="108"/>
        <v>1.517147344690487E-2</v>
      </c>
      <c r="O879" s="47">
        <f t="shared" si="109"/>
        <v>1.1780818060971466E-2</v>
      </c>
      <c r="P879" s="47">
        <f t="shared" si="110"/>
        <v>0.20740916522707939</v>
      </c>
      <c r="Q879" s="47">
        <f t="shared" si="111"/>
        <v>1</v>
      </c>
    </row>
    <row r="880" spans="1:17" x14ac:dyDescent="0.35">
      <c r="A880" s="82">
        <v>877</v>
      </c>
      <c r="B880" s="83" t="str">
        <f>_xlfn.XLOOKUP(A880,'TAZs by City - CCAG Model'!$A:$A,'TAZs by City - CCAG Model'!$B:$B,"Unknown")</f>
        <v>San Jose</v>
      </c>
      <c r="C880" s="82">
        <f>_xlfn.XLOOKUP(A880,'TAZs by City - CCAG Model'!$A:$A,'TAZs by City - CCAG Model'!$C:$C,999)</f>
        <v>3</v>
      </c>
      <c r="D880" s="82" t="str">
        <f t="shared" si="104"/>
        <v>NO</v>
      </c>
      <c r="E880" s="27">
        <v>6954.5</v>
      </c>
      <c r="F880" s="27">
        <v>2084.1999999999998</v>
      </c>
      <c r="G880" s="27">
        <v>479.4</v>
      </c>
      <c r="H880" s="27">
        <v>82.62</v>
      </c>
      <c r="I880" s="27">
        <v>240.08</v>
      </c>
      <c r="J880" s="27">
        <v>10344.82</v>
      </c>
      <c r="K880" s="47">
        <f t="shared" si="105"/>
        <v>0.67226882633047269</v>
      </c>
      <c r="L880" s="47">
        <f t="shared" si="106"/>
        <v>0.20147281441339723</v>
      </c>
      <c r="M880" s="84">
        <f t="shared" si="107"/>
        <v>0.87374164074386995</v>
      </c>
      <c r="N880" s="47">
        <f t="shared" si="108"/>
        <v>4.6342033984158253E-2</v>
      </c>
      <c r="O880" s="47">
        <f t="shared" si="109"/>
        <v>7.986605856844296E-3</v>
      </c>
      <c r="P880" s="47">
        <f t="shared" si="110"/>
        <v>2.3207750352350259E-2</v>
      </c>
      <c r="Q880" s="47">
        <f t="shared" si="111"/>
        <v>1</v>
      </c>
    </row>
    <row r="881" spans="1:17" x14ac:dyDescent="0.35">
      <c r="A881" s="82">
        <v>878</v>
      </c>
      <c r="B881" s="83" t="str">
        <f>_xlfn.XLOOKUP(A881,'TAZs by City - CCAG Model'!$A:$A,'TAZs by City - CCAG Model'!$B:$B,"Unknown")</f>
        <v>San Jose</v>
      </c>
      <c r="C881" s="82">
        <f>_xlfn.XLOOKUP(A881,'TAZs by City - CCAG Model'!$A:$A,'TAZs by City - CCAG Model'!$C:$C,999)</f>
        <v>3</v>
      </c>
      <c r="D881" s="82" t="str">
        <f t="shared" si="104"/>
        <v>NO</v>
      </c>
      <c r="E881" s="27">
        <v>9891.6</v>
      </c>
      <c r="F881" s="27">
        <v>5069.54</v>
      </c>
      <c r="G881" s="27">
        <v>238.3</v>
      </c>
      <c r="H881" s="27">
        <v>154.6</v>
      </c>
      <c r="I881" s="27">
        <v>962.72</v>
      </c>
      <c r="J881" s="27">
        <v>16596.38</v>
      </c>
      <c r="K881" s="47">
        <f t="shared" si="105"/>
        <v>0.59600949122640001</v>
      </c>
      <c r="L881" s="47">
        <f t="shared" si="106"/>
        <v>0.30546058839337253</v>
      </c>
      <c r="M881" s="84">
        <f t="shared" si="107"/>
        <v>0.90147007961977244</v>
      </c>
      <c r="N881" s="47">
        <f t="shared" si="108"/>
        <v>1.4358552889244522E-2</v>
      </c>
      <c r="O881" s="47">
        <f t="shared" si="109"/>
        <v>9.3152844174452486E-3</v>
      </c>
      <c r="P881" s="47">
        <f t="shared" si="110"/>
        <v>5.8007830623304599E-2</v>
      </c>
      <c r="Q881" s="47">
        <f t="shared" si="111"/>
        <v>1</v>
      </c>
    </row>
    <row r="882" spans="1:17" x14ac:dyDescent="0.35">
      <c r="A882" s="82">
        <v>879</v>
      </c>
      <c r="B882" s="83" t="str">
        <f>_xlfn.XLOOKUP(A882,'TAZs by City - CCAG Model'!$A:$A,'TAZs by City - CCAG Model'!$B:$B,"Unknown")</f>
        <v>San Jose</v>
      </c>
      <c r="C882" s="82">
        <f>_xlfn.XLOOKUP(A882,'TAZs by City - CCAG Model'!$A:$A,'TAZs by City - CCAG Model'!$C:$C,999)</f>
        <v>3</v>
      </c>
      <c r="D882" s="82" t="str">
        <f t="shared" si="104"/>
        <v>NO</v>
      </c>
      <c r="E882" s="27">
        <v>7338.18</v>
      </c>
      <c r="F882" s="27">
        <v>5510.04</v>
      </c>
      <c r="G882" s="27">
        <v>252.2</v>
      </c>
      <c r="H882" s="27">
        <v>178.76</v>
      </c>
      <c r="I882" s="27">
        <v>806.46</v>
      </c>
      <c r="J882" s="27">
        <v>14374.28</v>
      </c>
      <c r="K882" s="47">
        <f t="shared" si="105"/>
        <v>0.51050765673132847</v>
      </c>
      <c r="L882" s="47">
        <f t="shared" si="106"/>
        <v>0.38332633008401112</v>
      </c>
      <c r="M882" s="84">
        <f t="shared" si="107"/>
        <v>0.89383398681533965</v>
      </c>
      <c r="N882" s="47">
        <f t="shared" si="108"/>
        <v>1.7545226613089489E-2</v>
      </c>
      <c r="O882" s="47">
        <f t="shared" si="109"/>
        <v>1.2436101147327031E-2</v>
      </c>
      <c r="P882" s="47">
        <f t="shared" si="110"/>
        <v>5.6104375314798373E-2</v>
      </c>
      <c r="Q882" s="47">
        <f t="shared" si="111"/>
        <v>1</v>
      </c>
    </row>
    <row r="883" spans="1:17" x14ac:dyDescent="0.35">
      <c r="A883" s="82">
        <v>880</v>
      </c>
      <c r="B883" s="83" t="str">
        <f>_xlfn.XLOOKUP(A883,'TAZs by City - CCAG Model'!$A:$A,'TAZs by City - CCAG Model'!$B:$B,"Unknown")</f>
        <v>San Jose</v>
      </c>
      <c r="C883" s="82">
        <f>_xlfn.XLOOKUP(A883,'TAZs by City - CCAG Model'!$A:$A,'TAZs by City - CCAG Model'!$C:$C,999)</f>
        <v>3</v>
      </c>
      <c r="D883" s="82" t="str">
        <f t="shared" si="104"/>
        <v>NO</v>
      </c>
      <c r="E883" s="27">
        <v>1849.64</v>
      </c>
      <c r="F883" s="27">
        <v>1498.88</v>
      </c>
      <c r="G883" s="27">
        <v>19.02</v>
      </c>
      <c r="H883" s="27">
        <v>57.4</v>
      </c>
      <c r="I883" s="27">
        <v>250.04</v>
      </c>
      <c r="J883" s="27">
        <v>3725.64</v>
      </c>
      <c r="K883" s="47">
        <f t="shared" si="105"/>
        <v>0.49646235277697259</v>
      </c>
      <c r="L883" s="47">
        <f t="shared" si="106"/>
        <v>0.40231477007977157</v>
      </c>
      <c r="M883" s="84">
        <f t="shared" si="107"/>
        <v>0.89877712285674427</v>
      </c>
      <c r="N883" s="47">
        <f t="shared" si="108"/>
        <v>5.1051631397558538E-3</v>
      </c>
      <c r="O883" s="47">
        <f t="shared" si="109"/>
        <v>1.5406748907570243E-2</v>
      </c>
      <c r="P883" s="47">
        <f t="shared" si="110"/>
        <v>6.7113301338830381E-2</v>
      </c>
      <c r="Q883" s="47">
        <f t="shared" si="111"/>
        <v>1</v>
      </c>
    </row>
    <row r="884" spans="1:17" x14ac:dyDescent="0.35">
      <c r="A884" s="82">
        <v>881</v>
      </c>
      <c r="B884" s="83" t="str">
        <f>_xlfn.XLOOKUP(A884,'TAZs by City - CCAG Model'!$A:$A,'TAZs by City - CCAG Model'!$B:$B,"Unknown")</f>
        <v>San Jose</v>
      </c>
      <c r="C884" s="82">
        <f>_xlfn.XLOOKUP(A884,'TAZs by City - CCAG Model'!$A:$A,'TAZs by City - CCAG Model'!$C:$C,999)</f>
        <v>3</v>
      </c>
      <c r="D884" s="82" t="str">
        <f t="shared" si="104"/>
        <v>NO</v>
      </c>
      <c r="E884" s="27">
        <v>3332.68</v>
      </c>
      <c r="F884" s="27">
        <v>3063.68</v>
      </c>
      <c r="G884" s="27">
        <v>307.92</v>
      </c>
      <c r="H884" s="27">
        <v>112.56</v>
      </c>
      <c r="I884" s="27">
        <v>1204.28</v>
      </c>
      <c r="J884" s="27">
        <v>8368.0400000000009</v>
      </c>
      <c r="K884" s="47">
        <f t="shared" si="105"/>
        <v>0.39826291461321883</v>
      </c>
      <c r="L884" s="47">
        <f t="shared" si="106"/>
        <v>0.36611679676483377</v>
      </c>
      <c r="M884" s="84">
        <f t="shared" si="107"/>
        <v>0.76437971137805261</v>
      </c>
      <c r="N884" s="47">
        <f t="shared" si="108"/>
        <v>3.6797147241169975E-2</v>
      </c>
      <c r="O884" s="47">
        <f t="shared" si="109"/>
        <v>1.3451178531651377E-2</v>
      </c>
      <c r="P884" s="47">
        <f t="shared" si="110"/>
        <v>0.14391422603142431</v>
      </c>
      <c r="Q884" s="47">
        <f t="shared" si="111"/>
        <v>1</v>
      </c>
    </row>
    <row r="885" spans="1:17" x14ac:dyDescent="0.35">
      <c r="A885" s="82">
        <v>882</v>
      </c>
      <c r="B885" s="83" t="str">
        <f>_xlfn.XLOOKUP(A885,'TAZs by City - CCAG Model'!$A:$A,'TAZs by City - CCAG Model'!$B:$B,"Unknown")</f>
        <v>San Jose</v>
      </c>
      <c r="C885" s="82">
        <f>_xlfn.XLOOKUP(A885,'TAZs by City - CCAG Model'!$A:$A,'TAZs by City - CCAG Model'!$C:$C,999)</f>
        <v>3</v>
      </c>
      <c r="D885" s="82" t="str">
        <f t="shared" si="104"/>
        <v>NO</v>
      </c>
      <c r="E885" s="27">
        <v>2520.3200000000002</v>
      </c>
      <c r="F885" s="27">
        <v>2814.74</v>
      </c>
      <c r="G885" s="27">
        <v>198.82</v>
      </c>
      <c r="H885" s="27">
        <v>80.760000000000005</v>
      </c>
      <c r="I885" s="27">
        <v>354.12</v>
      </c>
      <c r="J885" s="27">
        <v>6196.36</v>
      </c>
      <c r="K885" s="47">
        <f t="shared" si="105"/>
        <v>0.40674202273592891</v>
      </c>
      <c r="L885" s="47">
        <f t="shared" si="106"/>
        <v>0.45425701540904662</v>
      </c>
      <c r="M885" s="84">
        <f t="shared" si="107"/>
        <v>0.86099903814497536</v>
      </c>
      <c r="N885" s="47">
        <f t="shared" si="108"/>
        <v>3.208657986301635E-2</v>
      </c>
      <c r="O885" s="47">
        <f t="shared" si="109"/>
        <v>1.3033458352968518E-2</v>
      </c>
      <c r="P885" s="47">
        <f t="shared" si="110"/>
        <v>5.7149681425869382E-2</v>
      </c>
      <c r="Q885" s="47">
        <f t="shared" si="111"/>
        <v>1</v>
      </c>
    </row>
    <row r="886" spans="1:17" x14ac:dyDescent="0.35">
      <c r="A886" s="82">
        <v>883</v>
      </c>
      <c r="B886" s="83" t="str">
        <f>_xlfn.XLOOKUP(A886,'TAZs by City - CCAG Model'!$A:$A,'TAZs by City - CCAG Model'!$B:$B,"Unknown")</f>
        <v>San Jose</v>
      </c>
      <c r="C886" s="82">
        <f>_xlfn.XLOOKUP(A886,'TAZs by City - CCAG Model'!$A:$A,'TAZs by City - CCAG Model'!$C:$C,999)</f>
        <v>3</v>
      </c>
      <c r="D886" s="82" t="str">
        <f t="shared" si="104"/>
        <v>NO</v>
      </c>
      <c r="E886" s="27">
        <v>4562.4799999999996</v>
      </c>
      <c r="F886" s="27">
        <v>2105.34</v>
      </c>
      <c r="G886" s="27">
        <v>156.76</v>
      </c>
      <c r="H886" s="27">
        <v>83.18</v>
      </c>
      <c r="I886" s="27">
        <v>1420.22</v>
      </c>
      <c r="J886" s="27">
        <v>8532.16</v>
      </c>
      <c r="K886" s="47">
        <f t="shared" si="105"/>
        <v>0.53473915163334951</v>
      </c>
      <c r="L886" s="47">
        <f t="shared" si="106"/>
        <v>0.2467534598507295</v>
      </c>
      <c r="M886" s="84">
        <f t="shared" si="107"/>
        <v>0.781492611484079</v>
      </c>
      <c r="N886" s="47">
        <f t="shared" si="108"/>
        <v>1.8372838765330232E-2</v>
      </c>
      <c r="O886" s="47">
        <f t="shared" si="109"/>
        <v>9.7489967370513447E-3</v>
      </c>
      <c r="P886" s="47">
        <f t="shared" si="110"/>
        <v>0.1664549188013352</v>
      </c>
      <c r="Q886" s="47">
        <f t="shared" si="111"/>
        <v>1</v>
      </c>
    </row>
    <row r="887" spans="1:17" x14ac:dyDescent="0.35">
      <c r="A887" s="82">
        <v>884</v>
      </c>
      <c r="B887" s="83" t="str">
        <f>_xlfn.XLOOKUP(A887,'TAZs by City - CCAG Model'!$A:$A,'TAZs by City - CCAG Model'!$B:$B,"Unknown")</f>
        <v>San Jose</v>
      </c>
      <c r="C887" s="82">
        <f>_xlfn.XLOOKUP(A887,'TAZs by City - CCAG Model'!$A:$A,'TAZs by City - CCAG Model'!$C:$C,999)</f>
        <v>3</v>
      </c>
      <c r="D887" s="82" t="str">
        <f t="shared" si="104"/>
        <v>NO</v>
      </c>
      <c r="E887" s="27">
        <v>2047.58</v>
      </c>
      <c r="F887" s="27">
        <v>1119.0999999999999</v>
      </c>
      <c r="G887" s="27">
        <v>101.7</v>
      </c>
      <c r="H887" s="27">
        <v>44.04</v>
      </c>
      <c r="I887" s="27">
        <v>536.9</v>
      </c>
      <c r="J887" s="27">
        <v>4000.28</v>
      </c>
      <c r="K887" s="47">
        <f t="shared" si="105"/>
        <v>0.51185916985810986</v>
      </c>
      <c r="L887" s="47">
        <f t="shared" si="106"/>
        <v>0.27975541712080149</v>
      </c>
      <c r="M887" s="84">
        <f t="shared" si="107"/>
        <v>0.79161458697891141</v>
      </c>
      <c r="N887" s="47">
        <f t="shared" si="108"/>
        <v>2.5423220374573778E-2</v>
      </c>
      <c r="O887" s="47">
        <f t="shared" si="109"/>
        <v>1.1009229353945223E-2</v>
      </c>
      <c r="P887" s="47">
        <f t="shared" si="110"/>
        <v>0.13421560490765644</v>
      </c>
      <c r="Q887" s="47">
        <f t="shared" si="111"/>
        <v>1</v>
      </c>
    </row>
    <row r="888" spans="1:17" x14ac:dyDescent="0.35">
      <c r="A888" s="82">
        <v>885</v>
      </c>
      <c r="B888" s="83" t="str">
        <f>_xlfn.XLOOKUP(A888,'TAZs by City - CCAG Model'!$A:$A,'TAZs by City - CCAG Model'!$B:$B,"Unknown")</f>
        <v>San Jose</v>
      </c>
      <c r="C888" s="82">
        <f>_xlfn.XLOOKUP(A888,'TAZs by City - CCAG Model'!$A:$A,'TAZs by City - CCAG Model'!$C:$C,999)</f>
        <v>3</v>
      </c>
      <c r="D888" s="82" t="str">
        <f t="shared" si="104"/>
        <v>NO</v>
      </c>
      <c r="E888" s="27">
        <v>2045.04</v>
      </c>
      <c r="F888" s="27">
        <v>969.46</v>
      </c>
      <c r="G888" s="27">
        <v>116.08</v>
      </c>
      <c r="H888" s="27">
        <v>39.799999999999997</v>
      </c>
      <c r="I888" s="27">
        <v>618.6</v>
      </c>
      <c r="J888" s="27">
        <v>3956.34</v>
      </c>
      <c r="K888" s="47">
        <f t="shared" si="105"/>
        <v>0.51690198516810992</v>
      </c>
      <c r="L888" s="47">
        <f t="shared" si="106"/>
        <v>0.24503960731383045</v>
      </c>
      <c r="M888" s="84">
        <f t="shared" si="107"/>
        <v>0.76194159248194038</v>
      </c>
      <c r="N888" s="47">
        <f t="shared" si="108"/>
        <v>2.9340248815824727E-2</v>
      </c>
      <c r="O888" s="47">
        <f t="shared" si="109"/>
        <v>1.0059802746983322E-2</v>
      </c>
      <c r="P888" s="47">
        <f t="shared" si="110"/>
        <v>0.15635663264532371</v>
      </c>
      <c r="Q888" s="47">
        <f t="shared" si="111"/>
        <v>1</v>
      </c>
    </row>
    <row r="889" spans="1:17" x14ac:dyDescent="0.35">
      <c r="A889" s="82">
        <v>886</v>
      </c>
      <c r="B889" s="83" t="str">
        <f>_xlfn.XLOOKUP(A889,'TAZs by City - CCAG Model'!$A:$A,'TAZs by City - CCAG Model'!$B:$B,"Unknown")</f>
        <v>San Jose</v>
      </c>
      <c r="C889" s="82">
        <f>_xlfn.XLOOKUP(A889,'TAZs by City - CCAG Model'!$A:$A,'TAZs by City - CCAG Model'!$C:$C,999)</f>
        <v>3</v>
      </c>
      <c r="D889" s="82" t="str">
        <f t="shared" si="104"/>
        <v>NO</v>
      </c>
      <c r="E889" s="27">
        <v>6058.88</v>
      </c>
      <c r="F889" s="27">
        <v>2813.18</v>
      </c>
      <c r="G889" s="27">
        <v>368</v>
      </c>
      <c r="H889" s="27">
        <v>138.96</v>
      </c>
      <c r="I889" s="27">
        <v>1691.78</v>
      </c>
      <c r="J889" s="27">
        <v>11476.14</v>
      </c>
      <c r="K889" s="47">
        <f t="shared" si="105"/>
        <v>0.52795452129374509</v>
      </c>
      <c r="L889" s="47">
        <f t="shared" si="106"/>
        <v>0.24513294539801711</v>
      </c>
      <c r="M889" s="84">
        <f t="shared" si="107"/>
        <v>0.7730874666917622</v>
      </c>
      <c r="N889" s="47">
        <f t="shared" si="108"/>
        <v>3.2066531081008078E-2</v>
      </c>
      <c r="O889" s="47">
        <f t="shared" si="109"/>
        <v>1.2108600975589355E-2</v>
      </c>
      <c r="P889" s="47">
        <f t="shared" si="110"/>
        <v>0.14741716291366261</v>
      </c>
      <c r="Q889" s="47">
        <f t="shared" si="111"/>
        <v>1</v>
      </c>
    </row>
    <row r="890" spans="1:17" x14ac:dyDescent="0.35">
      <c r="A890" s="82">
        <v>887</v>
      </c>
      <c r="B890" s="83" t="str">
        <f>_xlfn.XLOOKUP(A890,'TAZs by City - CCAG Model'!$A:$A,'TAZs by City - CCAG Model'!$B:$B,"Unknown")</f>
        <v>San Jose</v>
      </c>
      <c r="C890" s="82">
        <f>_xlfn.XLOOKUP(A890,'TAZs by City - CCAG Model'!$A:$A,'TAZs by City - CCAG Model'!$C:$C,999)</f>
        <v>3</v>
      </c>
      <c r="D890" s="82" t="str">
        <f t="shared" si="104"/>
        <v>NO</v>
      </c>
      <c r="E890" s="27">
        <v>3477.6</v>
      </c>
      <c r="F890" s="27">
        <v>1838.96</v>
      </c>
      <c r="G890" s="27">
        <v>305.14</v>
      </c>
      <c r="H890" s="27">
        <v>106.98</v>
      </c>
      <c r="I890" s="27">
        <v>1314.36</v>
      </c>
      <c r="J890" s="27">
        <v>7392.28</v>
      </c>
      <c r="K890" s="47">
        <f t="shared" si="105"/>
        <v>0.47043672588159541</v>
      </c>
      <c r="L890" s="47">
        <f t="shared" si="106"/>
        <v>0.24876763326064491</v>
      </c>
      <c r="M890" s="84">
        <f t="shared" si="107"/>
        <v>0.71920435914224023</v>
      </c>
      <c r="N890" s="47">
        <f t="shared" si="108"/>
        <v>4.127819833664309E-2</v>
      </c>
      <c r="O890" s="47">
        <f t="shared" si="109"/>
        <v>1.447185442109877E-2</v>
      </c>
      <c r="P890" s="47">
        <f t="shared" si="110"/>
        <v>0.17780170664531106</v>
      </c>
      <c r="Q890" s="47">
        <f t="shared" si="111"/>
        <v>1</v>
      </c>
    </row>
    <row r="891" spans="1:17" x14ac:dyDescent="0.35">
      <c r="A891" s="82">
        <v>888</v>
      </c>
      <c r="B891" s="83" t="str">
        <f>_xlfn.XLOOKUP(A891,'TAZs by City - CCAG Model'!$A:$A,'TAZs by City - CCAG Model'!$B:$B,"Unknown")</f>
        <v>San Jose</v>
      </c>
      <c r="C891" s="82">
        <f>_xlfn.XLOOKUP(A891,'TAZs by City - CCAG Model'!$A:$A,'TAZs by City - CCAG Model'!$C:$C,999)</f>
        <v>3</v>
      </c>
      <c r="D891" s="82" t="str">
        <f t="shared" si="104"/>
        <v>NO</v>
      </c>
      <c r="E891" s="27">
        <v>378.6</v>
      </c>
      <c r="F891" s="27">
        <v>113.96</v>
      </c>
      <c r="G891" s="27">
        <v>7.46</v>
      </c>
      <c r="H891" s="27">
        <v>4</v>
      </c>
      <c r="I891" s="27">
        <v>104.8</v>
      </c>
      <c r="J891" s="27">
        <v>651.04</v>
      </c>
      <c r="K891" s="47">
        <f t="shared" si="105"/>
        <v>0.58153108871958714</v>
      </c>
      <c r="L891" s="47">
        <f t="shared" si="106"/>
        <v>0.17504300811010076</v>
      </c>
      <c r="M891" s="84">
        <f t="shared" si="107"/>
        <v>0.7565740968296879</v>
      </c>
      <c r="N891" s="47">
        <f t="shared" si="108"/>
        <v>1.1458589333988696E-2</v>
      </c>
      <c r="O891" s="47">
        <f t="shared" si="109"/>
        <v>6.1440157286802655E-3</v>
      </c>
      <c r="P891" s="47">
        <f t="shared" si="110"/>
        <v>0.16097321209142296</v>
      </c>
      <c r="Q891" s="47">
        <f t="shared" si="111"/>
        <v>1</v>
      </c>
    </row>
    <row r="892" spans="1:17" x14ac:dyDescent="0.35">
      <c r="A892" s="82">
        <v>889</v>
      </c>
      <c r="B892" s="83" t="str">
        <f>_xlfn.XLOOKUP(A892,'TAZs by City - CCAG Model'!$A:$A,'TAZs by City - CCAG Model'!$B:$B,"Unknown")</f>
        <v>San Jose</v>
      </c>
      <c r="C892" s="82">
        <f>_xlfn.XLOOKUP(A892,'TAZs by City - CCAG Model'!$A:$A,'TAZs by City - CCAG Model'!$C:$C,999)</f>
        <v>3</v>
      </c>
      <c r="D892" s="82" t="str">
        <f t="shared" si="104"/>
        <v>NO</v>
      </c>
      <c r="E892" s="27">
        <v>4225.0200000000004</v>
      </c>
      <c r="F892" s="27">
        <v>2566.96</v>
      </c>
      <c r="G892" s="27">
        <v>378.8</v>
      </c>
      <c r="H892" s="27">
        <v>124.66</v>
      </c>
      <c r="I892" s="27">
        <v>1660.88</v>
      </c>
      <c r="J892" s="27">
        <v>9377.26</v>
      </c>
      <c r="K892" s="47">
        <f t="shared" si="105"/>
        <v>0.45056018495807948</v>
      </c>
      <c r="L892" s="47">
        <f t="shared" si="106"/>
        <v>0.27374307633573131</v>
      </c>
      <c r="M892" s="84">
        <f t="shared" si="107"/>
        <v>0.72430326129381084</v>
      </c>
      <c r="N892" s="47">
        <f t="shared" si="108"/>
        <v>4.0395595301825904E-2</v>
      </c>
      <c r="O892" s="47">
        <f t="shared" si="109"/>
        <v>1.329386195967692E-2</v>
      </c>
      <c r="P892" s="47">
        <f t="shared" si="110"/>
        <v>0.17711783612697099</v>
      </c>
      <c r="Q892" s="47">
        <f t="shared" si="111"/>
        <v>1</v>
      </c>
    </row>
    <row r="893" spans="1:17" x14ac:dyDescent="0.35">
      <c r="A893" s="82">
        <v>890</v>
      </c>
      <c r="B893" s="83" t="str">
        <f>_xlfn.XLOOKUP(A893,'TAZs by City - CCAG Model'!$A:$A,'TAZs by City - CCAG Model'!$B:$B,"Unknown")</f>
        <v>San Jose</v>
      </c>
      <c r="C893" s="82">
        <f>_xlfn.XLOOKUP(A893,'TAZs by City - CCAG Model'!$A:$A,'TAZs by City - CCAG Model'!$C:$C,999)</f>
        <v>3</v>
      </c>
      <c r="D893" s="82" t="str">
        <f t="shared" si="104"/>
        <v>NO</v>
      </c>
      <c r="E893" s="27">
        <v>7654.98</v>
      </c>
      <c r="F893" s="27">
        <v>4864.34</v>
      </c>
      <c r="G893" s="27">
        <v>698.8</v>
      </c>
      <c r="H893" s="27">
        <v>244.34</v>
      </c>
      <c r="I893" s="27">
        <v>925.76</v>
      </c>
      <c r="J893" s="27">
        <v>15120.82</v>
      </c>
      <c r="K893" s="47">
        <f t="shared" si="105"/>
        <v>0.5062542904419205</v>
      </c>
      <c r="L893" s="47">
        <f t="shared" si="106"/>
        <v>0.32169816187217359</v>
      </c>
      <c r="M893" s="84">
        <f t="shared" si="107"/>
        <v>0.82795245231409409</v>
      </c>
      <c r="N893" s="47">
        <f t="shared" si="108"/>
        <v>4.6214424879074019E-2</v>
      </c>
      <c r="O893" s="47">
        <f t="shared" si="109"/>
        <v>1.615917655259437E-2</v>
      </c>
      <c r="P893" s="47">
        <f t="shared" si="110"/>
        <v>6.1224192867847117E-2</v>
      </c>
      <c r="Q893" s="47">
        <f t="shared" si="111"/>
        <v>1</v>
      </c>
    </row>
    <row r="894" spans="1:17" x14ac:dyDescent="0.35">
      <c r="A894" s="82">
        <v>891</v>
      </c>
      <c r="B894" s="83" t="str">
        <f>_xlfn.XLOOKUP(A894,'TAZs by City - CCAG Model'!$A:$A,'TAZs by City - CCAG Model'!$B:$B,"Unknown")</f>
        <v>San Jose</v>
      </c>
      <c r="C894" s="82">
        <f>_xlfn.XLOOKUP(A894,'TAZs by City - CCAG Model'!$A:$A,'TAZs by City - CCAG Model'!$C:$C,999)</f>
        <v>3</v>
      </c>
      <c r="D894" s="82" t="str">
        <f t="shared" si="104"/>
        <v>NO</v>
      </c>
      <c r="E894" s="27">
        <v>9720.6200000000008</v>
      </c>
      <c r="F894" s="27">
        <v>6001.96</v>
      </c>
      <c r="G894" s="27">
        <v>776.4</v>
      </c>
      <c r="H894" s="27">
        <v>285.8</v>
      </c>
      <c r="I894" s="27">
        <v>1069.54</v>
      </c>
      <c r="J894" s="27">
        <v>18664.2</v>
      </c>
      <c r="K894" s="47">
        <f t="shared" si="105"/>
        <v>0.52081632215685647</v>
      </c>
      <c r="L894" s="47">
        <f t="shared" si="106"/>
        <v>0.32157606540864325</v>
      </c>
      <c r="M894" s="84">
        <f t="shared" si="107"/>
        <v>0.84239238756549983</v>
      </c>
      <c r="N894" s="47">
        <f t="shared" si="108"/>
        <v>4.1598354068216152E-2</v>
      </c>
      <c r="O894" s="47">
        <f t="shared" si="109"/>
        <v>1.5312737754631862E-2</v>
      </c>
      <c r="P894" s="47">
        <f t="shared" si="110"/>
        <v>5.7304358075888594E-2</v>
      </c>
      <c r="Q894" s="47">
        <f t="shared" si="111"/>
        <v>1</v>
      </c>
    </row>
    <row r="895" spans="1:17" x14ac:dyDescent="0.35">
      <c r="A895" s="82">
        <v>892</v>
      </c>
      <c r="B895" s="83" t="str">
        <f>_xlfn.XLOOKUP(A895,'TAZs by City - CCAG Model'!$A:$A,'TAZs by City - CCAG Model'!$B:$B,"Unknown")</f>
        <v>San Jose</v>
      </c>
      <c r="C895" s="82">
        <f>_xlfn.XLOOKUP(A895,'TAZs by City - CCAG Model'!$A:$A,'TAZs by City - CCAG Model'!$C:$C,999)</f>
        <v>3</v>
      </c>
      <c r="D895" s="82" t="str">
        <f t="shared" si="104"/>
        <v>NO</v>
      </c>
      <c r="E895" s="27">
        <v>8707.74</v>
      </c>
      <c r="F895" s="27">
        <v>6077.18</v>
      </c>
      <c r="G895" s="27">
        <v>213.34</v>
      </c>
      <c r="H895" s="27">
        <v>214.2</v>
      </c>
      <c r="I895" s="27">
        <v>821.34</v>
      </c>
      <c r="J895" s="27">
        <v>16280.26</v>
      </c>
      <c r="K895" s="47">
        <f t="shared" si="105"/>
        <v>0.53486492230468063</v>
      </c>
      <c r="L895" s="47">
        <f t="shared" si="106"/>
        <v>0.37328519323401471</v>
      </c>
      <c r="M895" s="84">
        <f t="shared" si="107"/>
        <v>0.90815011553869529</v>
      </c>
      <c r="N895" s="47">
        <f t="shared" si="108"/>
        <v>1.3104213323374442E-2</v>
      </c>
      <c r="O895" s="47">
        <f t="shared" si="109"/>
        <v>1.3157038032562133E-2</v>
      </c>
      <c r="P895" s="47">
        <f t="shared" si="110"/>
        <v>5.0450054237463036E-2</v>
      </c>
      <c r="Q895" s="47">
        <f t="shared" si="111"/>
        <v>1</v>
      </c>
    </row>
    <row r="896" spans="1:17" x14ac:dyDescent="0.35">
      <c r="A896" s="82">
        <v>893</v>
      </c>
      <c r="B896" s="83" t="str">
        <f>_xlfn.XLOOKUP(A896,'TAZs by City - CCAG Model'!$A:$A,'TAZs by City - CCAG Model'!$B:$B,"Unknown")</f>
        <v>San Jose</v>
      </c>
      <c r="C896" s="82">
        <f>_xlfn.XLOOKUP(A896,'TAZs by City - CCAG Model'!$A:$A,'TAZs by City - CCAG Model'!$C:$C,999)</f>
        <v>3</v>
      </c>
      <c r="D896" s="82" t="str">
        <f t="shared" si="104"/>
        <v>NO</v>
      </c>
      <c r="E896" s="27">
        <v>19481.939999999999</v>
      </c>
      <c r="F896" s="27">
        <v>10874.64</v>
      </c>
      <c r="G896" s="27">
        <v>615.74</v>
      </c>
      <c r="H896" s="27">
        <v>457.16</v>
      </c>
      <c r="I896" s="27">
        <v>5244.36</v>
      </c>
      <c r="J896" s="27">
        <v>37318.22</v>
      </c>
      <c r="K896" s="47">
        <f t="shared" si="105"/>
        <v>0.52204901519954594</v>
      </c>
      <c r="L896" s="47">
        <f t="shared" si="106"/>
        <v>0.29140296616505285</v>
      </c>
      <c r="M896" s="84">
        <f t="shared" si="107"/>
        <v>0.81345198136459873</v>
      </c>
      <c r="N896" s="47">
        <f t="shared" si="108"/>
        <v>1.6499715152544787E-2</v>
      </c>
      <c r="O896" s="47">
        <f t="shared" si="109"/>
        <v>1.2250316333415688E-2</v>
      </c>
      <c r="P896" s="47">
        <f t="shared" si="110"/>
        <v>0.14053081845811508</v>
      </c>
      <c r="Q896" s="47">
        <f t="shared" si="111"/>
        <v>1</v>
      </c>
    </row>
    <row r="897" spans="1:17" x14ac:dyDescent="0.35">
      <c r="A897" s="82">
        <v>894</v>
      </c>
      <c r="B897" s="83" t="str">
        <f>_xlfn.XLOOKUP(A897,'TAZs by City - CCAG Model'!$A:$A,'TAZs by City - CCAG Model'!$B:$B,"Unknown")</f>
        <v>San Jose</v>
      </c>
      <c r="C897" s="82">
        <f>_xlfn.XLOOKUP(A897,'TAZs by City - CCAG Model'!$A:$A,'TAZs by City - CCAG Model'!$C:$C,999)</f>
        <v>3</v>
      </c>
      <c r="D897" s="82" t="str">
        <f t="shared" si="104"/>
        <v>NO</v>
      </c>
      <c r="E897" s="27">
        <v>10101.76</v>
      </c>
      <c r="F897" s="27">
        <v>6503.32</v>
      </c>
      <c r="G897" s="27">
        <v>317.60000000000002</v>
      </c>
      <c r="H897" s="27">
        <v>246.5</v>
      </c>
      <c r="I897" s="27">
        <v>2766.56</v>
      </c>
      <c r="J897" s="27">
        <v>20292.38</v>
      </c>
      <c r="K897" s="47">
        <f t="shared" si="105"/>
        <v>0.49781050818090333</v>
      </c>
      <c r="L897" s="47">
        <f t="shared" si="106"/>
        <v>0.32048088987097617</v>
      </c>
      <c r="M897" s="84">
        <f t="shared" si="107"/>
        <v>0.81829139805187967</v>
      </c>
      <c r="N897" s="47">
        <f t="shared" si="108"/>
        <v>1.5651195177697245E-2</v>
      </c>
      <c r="O897" s="47">
        <f t="shared" si="109"/>
        <v>1.2147416912161115E-2</v>
      </c>
      <c r="P897" s="47">
        <f t="shared" si="110"/>
        <v>0.13633491980733653</v>
      </c>
      <c r="Q897" s="47">
        <f t="shared" si="111"/>
        <v>1</v>
      </c>
    </row>
    <row r="898" spans="1:17" x14ac:dyDescent="0.35">
      <c r="A898" s="82">
        <v>895</v>
      </c>
      <c r="B898" s="83" t="str">
        <f>_xlfn.XLOOKUP(A898,'TAZs by City - CCAG Model'!$A:$A,'TAZs by City - CCAG Model'!$B:$B,"Unknown")</f>
        <v>San Jose</v>
      </c>
      <c r="C898" s="82">
        <f>_xlfn.XLOOKUP(A898,'TAZs by City - CCAG Model'!$A:$A,'TAZs by City - CCAG Model'!$C:$C,999)</f>
        <v>3</v>
      </c>
      <c r="D898" s="82" t="str">
        <f t="shared" si="104"/>
        <v>NO</v>
      </c>
      <c r="E898" s="27">
        <v>8714.02</v>
      </c>
      <c r="F898" s="27">
        <v>4999.54</v>
      </c>
      <c r="G898" s="27">
        <v>326.62</v>
      </c>
      <c r="H898" s="27">
        <v>226.76</v>
      </c>
      <c r="I898" s="27">
        <v>807.6</v>
      </c>
      <c r="J898" s="27">
        <v>15439.74</v>
      </c>
      <c r="K898" s="47">
        <f t="shared" si="105"/>
        <v>0.56438903763923487</v>
      </c>
      <c r="L898" s="47">
        <f t="shared" si="106"/>
        <v>0.32380985690173542</v>
      </c>
      <c r="M898" s="84">
        <f t="shared" si="107"/>
        <v>0.88819889454097034</v>
      </c>
      <c r="N898" s="47">
        <f t="shared" si="108"/>
        <v>2.1154501306369148E-2</v>
      </c>
      <c r="O898" s="47">
        <f t="shared" si="109"/>
        <v>1.4686775813582353E-2</v>
      </c>
      <c r="P898" s="47">
        <f t="shared" si="110"/>
        <v>5.230658029215518E-2</v>
      </c>
      <c r="Q898" s="47">
        <f t="shared" si="111"/>
        <v>1</v>
      </c>
    </row>
    <row r="899" spans="1:17" x14ac:dyDescent="0.35">
      <c r="A899" s="82">
        <v>896</v>
      </c>
      <c r="B899" s="83" t="str">
        <f>_xlfn.XLOOKUP(A899,'TAZs by City - CCAG Model'!$A:$A,'TAZs by City - CCAG Model'!$B:$B,"Unknown")</f>
        <v>San Jose</v>
      </c>
      <c r="C899" s="82">
        <f>_xlfn.XLOOKUP(A899,'TAZs by City - CCAG Model'!$A:$A,'TAZs by City - CCAG Model'!$C:$C,999)</f>
        <v>3</v>
      </c>
      <c r="D899" s="82" t="str">
        <f t="shared" si="104"/>
        <v>NO</v>
      </c>
      <c r="E899" s="27">
        <v>6678.3</v>
      </c>
      <c r="F899" s="27">
        <v>4161.9399999999996</v>
      </c>
      <c r="G899" s="27">
        <v>196.46</v>
      </c>
      <c r="H899" s="27">
        <v>161.08000000000001</v>
      </c>
      <c r="I899" s="27">
        <v>662.5</v>
      </c>
      <c r="J899" s="27">
        <v>12094.14</v>
      </c>
      <c r="K899" s="47">
        <f t="shared" si="105"/>
        <v>0.55219304555760063</v>
      </c>
      <c r="L899" s="47">
        <f t="shared" si="106"/>
        <v>0.34412864412021027</v>
      </c>
      <c r="M899" s="84">
        <f t="shared" si="107"/>
        <v>0.8963216896778109</v>
      </c>
      <c r="N899" s="47">
        <f t="shared" si="108"/>
        <v>1.6244230677005561E-2</v>
      </c>
      <c r="O899" s="47">
        <f t="shared" si="109"/>
        <v>1.3318846978784769E-2</v>
      </c>
      <c r="P899" s="47">
        <f t="shared" si="110"/>
        <v>5.4778595253569089E-2</v>
      </c>
      <c r="Q899" s="47">
        <f t="shared" si="111"/>
        <v>1</v>
      </c>
    </row>
    <row r="900" spans="1:17" x14ac:dyDescent="0.35">
      <c r="A900" s="82">
        <v>897</v>
      </c>
      <c r="B900" s="83" t="str">
        <f>_xlfn.XLOOKUP(A900,'TAZs by City - CCAG Model'!$A:$A,'TAZs by City - CCAG Model'!$B:$B,"Unknown")</f>
        <v>San Jose</v>
      </c>
      <c r="C900" s="82">
        <f>_xlfn.XLOOKUP(A900,'TAZs by City - CCAG Model'!$A:$A,'TAZs by City - CCAG Model'!$C:$C,999)</f>
        <v>3</v>
      </c>
      <c r="D900" s="82" t="str">
        <f t="shared" si="104"/>
        <v>NO</v>
      </c>
      <c r="E900" s="27">
        <v>9529.08</v>
      </c>
      <c r="F900" s="27">
        <v>5085.78</v>
      </c>
      <c r="G900" s="27">
        <v>231.78</v>
      </c>
      <c r="H900" s="27">
        <v>179.42</v>
      </c>
      <c r="I900" s="27">
        <v>2654.06</v>
      </c>
      <c r="J900" s="27">
        <v>17952.96</v>
      </c>
      <c r="K900" s="47">
        <f t="shared" si="105"/>
        <v>0.53078043954868726</v>
      </c>
      <c r="L900" s="47">
        <f t="shared" si="106"/>
        <v>0.2832836479332656</v>
      </c>
      <c r="M900" s="84">
        <f t="shared" si="107"/>
        <v>0.81406408748195291</v>
      </c>
      <c r="N900" s="47">
        <f t="shared" si="108"/>
        <v>1.2910405860649165E-2</v>
      </c>
      <c r="O900" s="47">
        <f t="shared" si="109"/>
        <v>9.9938951571217228E-3</v>
      </c>
      <c r="P900" s="47">
        <f t="shared" si="110"/>
        <v>0.14783411760511916</v>
      </c>
      <c r="Q900" s="47">
        <f t="shared" si="111"/>
        <v>1</v>
      </c>
    </row>
    <row r="901" spans="1:17" x14ac:dyDescent="0.35">
      <c r="A901" s="82">
        <v>898</v>
      </c>
      <c r="B901" s="83" t="str">
        <f>_xlfn.XLOOKUP(A901,'TAZs by City - CCAG Model'!$A:$A,'TAZs by City - CCAG Model'!$B:$B,"Unknown")</f>
        <v>San Jose</v>
      </c>
      <c r="C901" s="82">
        <f>_xlfn.XLOOKUP(A901,'TAZs by City - CCAG Model'!$A:$A,'TAZs by City - CCAG Model'!$C:$C,999)</f>
        <v>3</v>
      </c>
      <c r="D901" s="82" t="str">
        <f t="shared" ref="D901:D964" si="112">IF(C901=2,"YES","NO")</f>
        <v>NO</v>
      </c>
      <c r="E901" s="27">
        <v>15934.72</v>
      </c>
      <c r="F901" s="27">
        <v>10493.38</v>
      </c>
      <c r="G901" s="27">
        <v>716.4</v>
      </c>
      <c r="H901" s="27">
        <v>467.7</v>
      </c>
      <c r="I901" s="27">
        <v>6354.44</v>
      </c>
      <c r="J901" s="27">
        <v>34721.120000000003</v>
      </c>
      <c r="K901" s="47">
        <f t="shared" ref="K901:K964" si="113">IFERROR(E901/$J901,0)</f>
        <v>0.45893450441690814</v>
      </c>
      <c r="L901" s="47">
        <f t="shared" ref="L901:L964" si="114">IFERROR(F901/$J901,0)</f>
        <v>0.30221893763795632</v>
      </c>
      <c r="M901" s="84">
        <f t="shared" ref="M901:M964" si="115">IFERROR((E901+F901)/J901,0)</f>
        <v>0.76115344205486446</v>
      </c>
      <c r="N901" s="47">
        <f t="shared" ref="N901:N964" si="116">IFERROR(G901/$J901,0)</f>
        <v>2.0632974973157546E-2</v>
      </c>
      <c r="O901" s="47">
        <f t="shared" ref="O901:O964" si="117">IFERROR(H901/$J901,0)</f>
        <v>1.3470187597635097E-2</v>
      </c>
      <c r="P901" s="47">
        <f t="shared" ref="P901:P964" si="118">IFERROR(I901/$J901,0)</f>
        <v>0.18301368158630826</v>
      </c>
      <c r="Q901" s="47">
        <f t="shared" ref="Q901:Q964" si="119">IFERROR(J901/$J901,0)</f>
        <v>1</v>
      </c>
    </row>
    <row r="902" spans="1:17" x14ac:dyDescent="0.35">
      <c r="A902" s="82">
        <v>899</v>
      </c>
      <c r="B902" s="83" t="str">
        <f>_xlfn.XLOOKUP(A902,'TAZs by City - CCAG Model'!$A:$A,'TAZs by City - CCAG Model'!$B:$B,"Unknown")</f>
        <v>San Jose</v>
      </c>
      <c r="C902" s="82">
        <f>_xlfn.XLOOKUP(A902,'TAZs by City - CCAG Model'!$A:$A,'TAZs by City - CCAG Model'!$C:$C,999)</f>
        <v>3</v>
      </c>
      <c r="D902" s="82" t="str">
        <f t="shared" si="112"/>
        <v>NO</v>
      </c>
      <c r="E902" s="27">
        <v>9474.26</v>
      </c>
      <c r="F902" s="27">
        <v>6149.64</v>
      </c>
      <c r="G902" s="27">
        <v>271.8</v>
      </c>
      <c r="H902" s="27">
        <v>224.18</v>
      </c>
      <c r="I902" s="27">
        <v>2817</v>
      </c>
      <c r="J902" s="27">
        <v>19248.12</v>
      </c>
      <c r="K902" s="47">
        <f t="shared" si="113"/>
        <v>0.49221742175339728</v>
      </c>
      <c r="L902" s="47">
        <f t="shared" si="114"/>
        <v>0.31949302061707846</v>
      </c>
      <c r="M902" s="84">
        <f t="shared" si="115"/>
        <v>0.81171044237047574</v>
      </c>
      <c r="N902" s="47">
        <f t="shared" si="116"/>
        <v>1.4120859595638432E-2</v>
      </c>
      <c r="O902" s="47">
        <f t="shared" si="117"/>
        <v>1.1646851744482059E-2</v>
      </c>
      <c r="P902" s="47">
        <f t="shared" si="118"/>
        <v>0.14635195541174931</v>
      </c>
      <c r="Q902" s="47">
        <f t="shared" si="119"/>
        <v>1</v>
      </c>
    </row>
    <row r="903" spans="1:17" x14ac:dyDescent="0.35">
      <c r="A903" s="82">
        <v>900</v>
      </c>
      <c r="B903" s="83" t="str">
        <f>_xlfn.XLOOKUP(A903,'TAZs by City - CCAG Model'!$A:$A,'TAZs by City - CCAG Model'!$B:$B,"Unknown")</f>
        <v>San Jose</v>
      </c>
      <c r="C903" s="82">
        <f>_xlfn.XLOOKUP(A903,'TAZs by City - CCAG Model'!$A:$A,'TAZs by City - CCAG Model'!$C:$C,999)</f>
        <v>3</v>
      </c>
      <c r="D903" s="82" t="str">
        <f t="shared" si="112"/>
        <v>NO</v>
      </c>
      <c r="E903" s="27">
        <v>20711.580000000002</v>
      </c>
      <c r="F903" s="27">
        <v>13960.18</v>
      </c>
      <c r="G903" s="27">
        <v>964.74</v>
      </c>
      <c r="H903" s="27">
        <v>646.5</v>
      </c>
      <c r="I903" s="27">
        <v>3075.34</v>
      </c>
      <c r="J903" s="27">
        <v>40354.720000000001</v>
      </c>
      <c r="K903" s="47">
        <f t="shared" si="113"/>
        <v>0.51323810448938811</v>
      </c>
      <c r="L903" s="47">
        <f t="shared" si="114"/>
        <v>0.34593673305130107</v>
      </c>
      <c r="M903" s="84">
        <f t="shared" si="115"/>
        <v>0.85917483754068924</v>
      </c>
      <c r="N903" s="47">
        <f t="shared" si="116"/>
        <v>2.390649718298132E-2</v>
      </c>
      <c r="O903" s="47">
        <f t="shared" si="117"/>
        <v>1.6020430819492736E-2</v>
      </c>
      <c r="P903" s="47">
        <f t="shared" si="118"/>
        <v>7.6207690203277334E-2</v>
      </c>
      <c r="Q903" s="47">
        <f t="shared" si="119"/>
        <v>1</v>
      </c>
    </row>
    <row r="904" spans="1:17" x14ac:dyDescent="0.35">
      <c r="A904" s="82">
        <v>901</v>
      </c>
      <c r="B904" s="83" t="str">
        <f>_xlfn.XLOOKUP(A904,'TAZs by City - CCAG Model'!$A:$A,'TAZs by City - CCAG Model'!$B:$B,"Unknown")</f>
        <v>Unincorporated</v>
      </c>
      <c r="C904" s="82">
        <f>_xlfn.XLOOKUP(A904,'TAZs by City - CCAG Model'!$A:$A,'TAZs by City - CCAG Model'!$C:$C,999)</f>
        <v>3</v>
      </c>
      <c r="D904" s="82" t="str">
        <f t="shared" si="112"/>
        <v>NO</v>
      </c>
      <c r="E904" s="27">
        <v>3765.64</v>
      </c>
      <c r="F904" s="27">
        <v>2168.34</v>
      </c>
      <c r="G904" s="27">
        <v>177.52</v>
      </c>
      <c r="H904" s="27">
        <v>94.52</v>
      </c>
      <c r="I904" s="27">
        <v>1216.42</v>
      </c>
      <c r="J904" s="27">
        <v>7647.9</v>
      </c>
      <c r="K904" s="47">
        <f t="shared" si="113"/>
        <v>0.49237568482851501</v>
      </c>
      <c r="L904" s="47">
        <f t="shared" si="114"/>
        <v>0.2835209665398345</v>
      </c>
      <c r="M904" s="84">
        <f t="shared" si="115"/>
        <v>0.77589665136834951</v>
      </c>
      <c r="N904" s="47">
        <f t="shared" si="116"/>
        <v>2.321160057009114E-2</v>
      </c>
      <c r="O904" s="47">
        <f t="shared" si="117"/>
        <v>1.2358948208004811E-2</v>
      </c>
      <c r="P904" s="47">
        <f t="shared" si="118"/>
        <v>0.15905281188300058</v>
      </c>
      <c r="Q904" s="47">
        <f t="shared" si="119"/>
        <v>1</v>
      </c>
    </row>
    <row r="905" spans="1:17" x14ac:dyDescent="0.35">
      <c r="A905" s="82">
        <v>902</v>
      </c>
      <c r="B905" s="83" t="str">
        <f>_xlfn.XLOOKUP(A905,'TAZs by City - CCAG Model'!$A:$A,'TAZs by City - CCAG Model'!$B:$B,"Unknown")</f>
        <v>San Jose</v>
      </c>
      <c r="C905" s="82">
        <f>_xlfn.XLOOKUP(A905,'TAZs by City - CCAG Model'!$A:$A,'TAZs by City - CCAG Model'!$C:$C,999)</f>
        <v>3</v>
      </c>
      <c r="D905" s="82" t="str">
        <f t="shared" si="112"/>
        <v>NO</v>
      </c>
      <c r="E905" s="27">
        <v>4081.34</v>
      </c>
      <c r="F905" s="27">
        <v>2223</v>
      </c>
      <c r="G905" s="27">
        <v>324.48</v>
      </c>
      <c r="H905" s="27">
        <v>124.18</v>
      </c>
      <c r="I905" s="27">
        <v>550.28</v>
      </c>
      <c r="J905" s="27">
        <v>7668.06</v>
      </c>
      <c r="K905" s="47">
        <f t="shared" si="113"/>
        <v>0.53225196464294744</v>
      </c>
      <c r="L905" s="47">
        <f t="shared" si="114"/>
        <v>0.28990383486827176</v>
      </c>
      <c r="M905" s="84">
        <f t="shared" si="115"/>
        <v>0.8221557995112192</v>
      </c>
      <c r="N905" s="47">
        <f t="shared" si="116"/>
        <v>4.2315787826386335E-2</v>
      </c>
      <c r="O905" s="47">
        <f t="shared" si="117"/>
        <v>1.6194448139425097E-2</v>
      </c>
      <c r="P905" s="47">
        <f t="shared" si="118"/>
        <v>7.1762610099555812E-2</v>
      </c>
      <c r="Q905" s="47">
        <f t="shared" si="119"/>
        <v>1</v>
      </c>
    </row>
    <row r="906" spans="1:17" x14ac:dyDescent="0.35">
      <c r="A906" s="82">
        <v>903</v>
      </c>
      <c r="B906" s="83" t="str">
        <f>_xlfn.XLOOKUP(A906,'TAZs by City - CCAG Model'!$A:$A,'TAZs by City - CCAG Model'!$B:$B,"Unknown")</f>
        <v>San Jose</v>
      </c>
      <c r="C906" s="82">
        <f>_xlfn.XLOOKUP(A906,'TAZs by City - CCAG Model'!$A:$A,'TAZs by City - CCAG Model'!$C:$C,999)</f>
        <v>3</v>
      </c>
      <c r="D906" s="82" t="str">
        <f t="shared" si="112"/>
        <v>NO</v>
      </c>
      <c r="E906" s="27">
        <v>0.7</v>
      </c>
      <c r="F906" s="27">
        <v>0.16</v>
      </c>
      <c r="G906" s="27">
        <v>0.26</v>
      </c>
      <c r="H906" s="27">
        <v>0</v>
      </c>
      <c r="I906" s="27">
        <v>0.36</v>
      </c>
      <c r="J906" s="27">
        <v>1.9</v>
      </c>
      <c r="K906" s="47">
        <f t="shared" si="113"/>
        <v>0.36842105263157893</v>
      </c>
      <c r="L906" s="47">
        <f t="shared" si="114"/>
        <v>8.4210526315789486E-2</v>
      </c>
      <c r="M906" s="84">
        <f t="shared" si="115"/>
        <v>0.45263157894736844</v>
      </c>
      <c r="N906" s="47">
        <f t="shared" si="116"/>
        <v>0.1368421052631579</v>
      </c>
      <c r="O906" s="47">
        <f t="shared" si="117"/>
        <v>0</v>
      </c>
      <c r="P906" s="47">
        <f t="shared" si="118"/>
        <v>0.18947368421052632</v>
      </c>
      <c r="Q906" s="47">
        <f t="shared" si="119"/>
        <v>1</v>
      </c>
    </row>
    <row r="907" spans="1:17" x14ac:dyDescent="0.35">
      <c r="A907" s="82">
        <v>904</v>
      </c>
      <c r="B907" s="83" t="str">
        <f>_xlfn.XLOOKUP(A907,'TAZs by City - CCAG Model'!$A:$A,'TAZs by City - CCAG Model'!$B:$B,"Unknown")</f>
        <v>San Jose</v>
      </c>
      <c r="C907" s="82">
        <f>_xlfn.XLOOKUP(A907,'TAZs by City - CCAG Model'!$A:$A,'TAZs by City - CCAG Model'!$C:$C,999)</f>
        <v>3</v>
      </c>
      <c r="D907" s="82" t="str">
        <f t="shared" si="112"/>
        <v>NO</v>
      </c>
      <c r="E907" s="27">
        <v>6996.86</v>
      </c>
      <c r="F907" s="27">
        <v>3723.48</v>
      </c>
      <c r="G907" s="27">
        <v>11.6</v>
      </c>
      <c r="H907" s="27">
        <v>92.88</v>
      </c>
      <c r="I907" s="27">
        <v>270.44</v>
      </c>
      <c r="J907" s="27">
        <v>11127.4</v>
      </c>
      <c r="K907" s="47">
        <f t="shared" si="113"/>
        <v>0.6287955856714057</v>
      </c>
      <c r="L907" s="47">
        <f t="shared" si="114"/>
        <v>0.33462264320506141</v>
      </c>
      <c r="M907" s="84">
        <f t="shared" si="115"/>
        <v>0.96341822887646711</v>
      </c>
      <c r="N907" s="47">
        <f t="shared" si="116"/>
        <v>1.0424717364343871E-3</v>
      </c>
      <c r="O907" s="47">
        <f t="shared" si="117"/>
        <v>8.3469633517263692E-3</v>
      </c>
      <c r="P907" s="47">
        <f t="shared" si="118"/>
        <v>2.4303970379423764E-2</v>
      </c>
      <c r="Q907" s="47">
        <f t="shared" si="119"/>
        <v>1</v>
      </c>
    </row>
    <row r="908" spans="1:17" x14ac:dyDescent="0.35">
      <c r="A908" s="82">
        <v>905</v>
      </c>
      <c r="B908" s="83" t="str">
        <f>_xlfn.XLOOKUP(A908,'TAZs by City - CCAG Model'!$A:$A,'TAZs by City - CCAG Model'!$B:$B,"Unknown")</f>
        <v>San Jose</v>
      </c>
      <c r="C908" s="82">
        <f>_xlfn.XLOOKUP(A908,'TAZs by City - CCAG Model'!$A:$A,'TAZs by City - CCAG Model'!$C:$C,999)</f>
        <v>3</v>
      </c>
      <c r="D908" s="82" t="str">
        <f t="shared" si="112"/>
        <v>NO</v>
      </c>
      <c r="E908" s="27">
        <v>1399.76</v>
      </c>
      <c r="F908" s="27">
        <v>418.18</v>
      </c>
      <c r="G908" s="27">
        <v>20.9</v>
      </c>
      <c r="H908" s="27">
        <v>13.54</v>
      </c>
      <c r="I908" s="27">
        <v>25.58</v>
      </c>
      <c r="J908" s="27">
        <v>1951.7</v>
      </c>
      <c r="K908" s="47">
        <f t="shared" si="113"/>
        <v>0.71720038940410924</v>
      </c>
      <c r="L908" s="47">
        <f t="shared" si="114"/>
        <v>0.21426448736998513</v>
      </c>
      <c r="M908" s="84">
        <f t="shared" si="115"/>
        <v>0.9314648767740944</v>
      </c>
      <c r="N908" s="47">
        <f t="shared" si="116"/>
        <v>1.0708613004047752E-2</v>
      </c>
      <c r="O908" s="47">
        <f t="shared" si="117"/>
        <v>6.9375416303735201E-3</v>
      </c>
      <c r="P908" s="47">
        <f t="shared" si="118"/>
        <v>1.3106522518829737E-2</v>
      </c>
      <c r="Q908" s="47">
        <f t="shared" si="119"/>
        <v>1</v>
      </c>
    </row>
    <row r="909" spans="1:17" x14ac:dyDescent="0.35">
      <c r="A909" s="82">
        <v>906</v>
      </c>
      <c r="B909" s="83" t="str">
        <f>_xlfn.XLOOKUP(A909,'TAZs by City - CCAG Model'!$A:$A,'TAZs by City - CCAG Model'!$B:$B,"Unknown")</f>
        <v>San Jose</v>
      </c>
      <c r="C909" s="82">
        <f>_xlfn.XLOOKUP(A909,'TAZs by City - CCAG Model'!$A:$A,'TAZs by City - CCAG Model'!$C:$C,999)</f>
        <v>3</v>
      </c>
      <c r="D909" s="82" t="str">
        <f t="shared" si="112"/>
        <v>NO</v>
      </c>
      <c r="E909" s="27">
        <v>9846.94</v>
      </c>
      <c r="F909" s="27">
        <v>4790.58</v>
      </c>
      <c r="G909" s="27">
        <v>291.89999999999998</v>
      </c>
      <c r="H909" s="27">
        <v>194.2</v>
      </c>
      <c r="I909" s="27">
        <v>663.88</v>
      </c>
      <c r="J909" s="27">
        <v>16114.72</v>
      </c>
      <c r="K909" s="47">
        <f t="shared" si="113"/>
        <v>0.61105250354954976</v>
      </c>
      <c r="L909" s="47">
        <f t="shared" si="114"/>
        <v>0.29727975416265379</v>
      </c>
      <c r="M909" s="84">
        <f t="shared" si="115"/>
        <v>0.90833225771220361</v>
      </c>
      <c r="N909" s="47">
        <f t="shared" si="116"/>
        <v>1.8113873526812752E-2</v>
      </c>
      <c r="O909" s="47">
        <f t="shared" si="117"/>
        <v>1.2051093658468778E-2</v>
      </c>
      <c r="P909" s="47">
        <f t="shared" si="118"/>
        <v>4.1197116673451356E-2</v>
      </c>
      <c r="Q909" s="47">
        <f t="shared" si="119"/>
        <v>1</v>
      </c>
    </row>
    <row r="910" spans="1:17" x14ac:dyDescent="0.35">
      <c r="A910" s="82">
        <v>907</v>
      </c>
      <c r="B910" s="83" t="str">
        <f>_xlfn.XLOOKUP(A910,'TAZs by City - CCAG Model'!$A:$A,'TAZs by City - CCAG Model'!$B:$B,"Unknown")</f>
        <v>Campbell</v>
      </c>
      <c r="C910" s="82">
        <f>_xlfn.XLOOKUP(A910,'TAZs by City - CCAG Model'!$A:$A,'TAZs by City - CCAG Model'!$C:$C,999)</f>
        <v>3</v>
      </c>
      <c r="D910" s="82" t="str">
        <f t="shared" si="112"/>
        <v>NO</v>
      </c>
      <c r="E910" s="27">
        <v>8625.02</v>
      </c>
      <c r="F910" s="27">
        <v>4338.54</v>
      </c>
      <c r="G910" s="27">
        <v>196.38</v>
      </c>
      <c r="H910" s="27">
        <v>163.06</v>
      </c>
      <c r="I910" s="27">
        <v>2044.58</v>
      </c>
      <c r="J910" s="27">
        <v>15601.02</v>
      </c>
      <c r="K910" s="47">
        <f t="shared" si="113"/>
        <v>0.55284974956765653</v>
      </c>
      <c r="L910" s="47">
        <f t="shared" si="114"/>
        <v>0.27809335543445235</v>
      </c>
      <c r="M910" s="84">
        <f t="shared" si="115"/>
        <v>0.83094310500210888</v>
      </c>
      <c r="N910" s="47">
        <f t="shared" si="116"/>
        <v>1.2587638500559578E-2</v>
      </c>
      <c r="O910" s="47">
        <f t="shared" si="117"/>
        <v>1.045188071036381E-2</v>
      </c>
      <c r="P910" s="47">
        <f t="shared" si="118"/>
        <v>0.13105425158098635</v>
      </c>
      <c r="Q910" s="47">
        <f t="shared" si="119"/>
        <v>1</v>
      </c>
    </row>
    <row r="911" spans="1:17" x14ac:dyDescent="0.35">
      <c r="A911" s="82">
        <v>908</v>
      </c>
      <c r="B911" s="83" t="str">
        <f>_xlfn.XLOOKUP(A911,'TAZs by City - CCAG Model'!$A:$A,'TAZs by City - CCAG Model'!$B:$B,"Unknown")</f>
        <v>San Jose</v>
      </c>
      <c r="C911" s="82">
        <f>_xlfn.XLOOKUP(A911,'TAZs by City - CCAG Model'!$A:$A,'TAZs by City - CCAG Model'!$C:$C,999)</f>
        <v>3</v>
      </c>
      <c r="D911" s="82" t="str">
        <f t="shared" si="112"/>
        <v>NO</v>
      </c>
      <c r="E911" s="27">
        <v>9352.4</v>
      </c>
      <c r="F911" s="27">
        <v>5377.52</v>
      </c>
      <c r="G911" s="27">
        <v>269.10000000000002</v>
      </c>
      <c r="H911" s="27">
        <v>206.36</v>
      </c>
      <c r="I911" s="27">
        <v>2287.1</v>
      </c>
      <c r="J911" s="27">
        <v>17798.7</v>
      </c>
      <c r="K911" s="47">
        <f t="shared" si="113"/>
        <v>0.52545410619876731</v>
      </c>
      <c r="L911" s="47">
        <f t="shared" si="114"/>
        <v>0.30212993083764544</v>
      </c>
      <c r="M911" s="84">
        <f t="shared" si="115"/>
        <v>0.8275840370364127</v>
      </c>
      <c r="N911" s="47">
        <f t="shared" si="116"/>
        <v>1.5119081730688197E-2</v>
      </c>
      <c r="O911" s="47">
        <f t="shared" si="117"/>
        <v>1.1594105187457512E-2</v>
      </c>
      <c r="P911" s="47">
        <f t="shared" si="118"/>
        <v>0.12849814874120019</v>
      </c>
      <c r="Q911" s="47">
        <f t="shared" si="119"/>
        <v>1</v>
      </c>
    </row>
    <row r="912" spans="1:17" x14ac:dyDescent="0.35">
      <c r="A912" s="82">
        <v>909</v>
      </c>
      <c r="B912" s="83" t="str">
        <f>_xlfn.XLOOKUP(A912,'TAZs by City - CCAG Model'!$A:$A,'TAZs by City - CCAG Model'!$B:$B,"Unknown")</f>
        <v>San Jose</v>
      </c>
      <c r="C912" s="82">
        <f>_xlfn.XLOOKUP(A912,'TAZs by City - CCAG Model'!$A:$A,'TAZs by City - CCAG Model'!$C:$C,999)</f>
        <v>3</v>
      </c>
      <c r="D912" s="82" t="str">
        <f t="shared" si="112"/>
        <v>NO</v>
      </c>
      <c r="E912" s="27">
        <v>5934.2</v>
      </c>
      <c r="F912" s="27">
        <v>3654.06</v>
      </c>
      <c r="G912" s="27">
        <v>142.38</v>
      </c>
      <c r="H912" s="27">
        <v>131.76</v>
      </c>
      <c r="I912" s="27">
        <v>1157.96</v>
      </c>
      <c r="J912" s="27">
        <v>11204.34</v>
      </c>
      <c r="K912" s="47">
        <f t="shared" si="113"/>
        <v>0.52963405251893458</v>
      </c>
      <c r="L912" s="47">
        <f t="shared" si="114"/>
        <v>0.32612898216226927</v>
      </c>
      <c r="M912" s="84">
        <f t="shared" si="115"/>
        <v>0.85576303468120385</v>
      </c>
      <c r="N912" s="47">
        <f t="shared" si="116"/>
        <v>1.270757581437193E-2</v>
      </c>
      <c r="O912" s="47">
        <f t="shared" si="117"/>
        <v>1.1759728819368208E-2</v>
      </c>
      <c r="P912" s="47">
        <f t="shared" si="118"/>
        <v>0.10334923788460543</v>
      </c>
      <c r="Q912" s="47">
        <f t="shared" si="119"/>
        <v>1</v>
      </c>
    </row>
    <row r="913" spans="1:17" x14ac:dyDescent="0.35">
      <c r="A913" s="82">
        <v>910</v>
      </c>
      <c r="B913" s="83" t="str">
        <f>_xlfn.XLOOKUP(A913,'TAZs by City - CCAG Model'!$A:$A,'TAZs by City - CCAG Model'!$B:$B,"Unknown")</f>
        <v>San Jose</v>
      </c>
      <c r="C913" s="82">
        <f>_xlfn.XLOOKUP(A913,'TAZs by City - CCAG Model'!$A:$A,'TAZs by City - CCAG Model'!$C:$C,999)</f>
        <v>3</v>
      </c>
      <c r="D913" s="82" t="str">
        <f t="shared" si="112"/>
        <v>NO</v>
      </c>
      <c r="E913" s="27">
        <v>3779.5</v>
      </c>
      <c r="F913" s="27">
        <v>2456.9</v>
      </c>
      <c r="G913" s="27">
        <v>100.28</v>
      </c>
      <c r="H913" s="27">
        <v>82.32</v>
      </c>
      <c r="I913" s="27">
        <v>998.36</v>
      </c>
      <c r="J913" s="27">
        <v>7558.52</v>
      </c>
      <c r="K913" s="47">
        <f t="shared" si="113"/>
        <v>0.5000317522477945</v>
      </c>
      <c r="L913" s="47">
        <f t="shared" si="114"/>
        <v>0.32505040669337382</v>
      </c>
      <c r="M913" s="84">
        <f t="shared" si="115"/>
        <v>0.82508215894116832</v>
      </c>
      <c r="N913" s="47">
        <f t="shared" si="116"/>
        <v>1.3267147536819377E-2</v>
      </c>
      <c r="O913" s="47">
        <f t="shared" si="117"/>
        <v>1.0891020993527832E-2</v>
      </c>
      <c r="P913" s="47">
        <f t="shared" si="118"/>
        <v>0.13208405878399473</v>
      </c>
      <c r="Q913" s="47">
        <f t="shared" si="119"/>
        <v>1</v>
      </c>
    </row>
    <row r="914" spans="1:17" x14ac:dyDescent="0.35">
      <c r="A914" s="82">
        <v>911</v>
      </c>
      <c r="B914" s="83" t="str">
        <f>_xlfn.XLOOKUP(A914,'TAZs by City - CCAG Model'!$A:$A,'TAZs by City - CCAG Model'!$B:$B,"Unknown")</f>
        <v>San Jose</v>
      </c>
      <c r="C914" s="82">
        <f>_xlfn.XLOOKUP(A914,'TAZs by City - CCAG Model'!$A:$A,'TAZs by City - CCAG Model'!$C:$C,999)</f>
        <v>3</v>
      </c>
      <c r="D914" s="82" t="str">
        <f t="shared" si="112"/>
        <v>NO</v>
      </c>
      <c r="E914" s="27">
        <v>8750.1</v>
      </c>
      <c r="F914" s="27">
        <v>5800.36</v>
      </c>
      <c r="G914" s="27">
        <v>239.88</v>
      </c>
      <c r="H914" s="27">
        <v>192.8</v>
      </c>
      <c r="I914" s="27">
        <v>2586.1999999999998</v>
      </c>
      <c r="J914" s="27">
        <v>17852.66</v>
      </c>
      <c r="K914" s="47">
        <f t="shared" si="113"/>
        <v>0.49012864189426114</v>
      </c>
      <c r="L914" s="47">
        <f t="shared" si="114"/>
        <v>0.32490172332862438</v>
      </c>
      <c r="M914" s="84">
        <f t="shared" si="115"/>
        <v>0.81503036522288552</v>
      </c>
      <c r="N914" s="47">
        <f t="shared" si="116"/>
        <v>1.3436653137403614E-2</v>
      </c>
      <c r="O914" s="47">
        <f t="shared" si="117"/>
        <v>1.0799511109268871E-2</v>
      </c>
      <c r="P914" s="47">
        <f t="shared" si="118"/>
        <v>0.14486356654974664</v>
      </c>
      <c r="Q914" s="47">
        <f t="shared" si="119"/>
        <v>1</v>
      </c>
    </row>
    <row r="915" spans="1:17" x14ac:dyDescent="0.35">
      <c r="A915" s="82">
        <v>912</v>
      </c>
      <c r="B915" s="83" t="str">
        <f>_xlfn.XLOOKUP(A915,'TAZs by City - CCAG Model'!$A:$A,'TAZs by City - CCAG Model'!$B:$B,"Unknown")</f>
        <v>San Jose</v>
      </c>
      <c r="C915" s="82">
        <f>_xlfn.XLOOKUP(A915,'TAZs by City - CCAG Model'!$A:$A,'TAZs by City - CCAG Model'!$C:$C,999)</f>
        <v>3</v>
      </c>
      <c r="D915" s="82" t="str">
        <f t="shared" si="112"/>
        <v>NO</v>
      </c>
      <c r="E915" s="27">
        <v>4749.58</v>
      </c>
      <c r="F915" s="27">
        <v>2978.34</v>
      </c>
      <c r="G915" s="27">
        <v>109.28</v>
      </c>
      <c r="H915" s="27">
        <v>98.44</v>
      </c>
      <c r="I915" s="27">
        <v>542.26</v>
      </c>
      <c r="J915" s="27">
        <v>8628.4</v>
      </c>
      <c r="K915" s="47">
        <f t="shared" si="113"/>
        <v>0.5504589495155533</v>
      </c>
      <c r="L915" s="47">
        <f t="shared" si="114"/>
        <v>0.34517871215984425</v>
      </c>
      <c r="M915" s="84">
        <f t="shared" si="115"/>
        <v>0.8956376616753976</v>
      </c>
      <c r="N915" s="47">
        <f t="shared" si="116"/>
        <v>1.2665152287793798E-2</v>
      </c>
      <c r="O915" s="47">
        <f t="shared" si="117"/>
        <v>1.1408835937137825E-2</v>
      </c>
      <c r="P915" s="47">
        <f t="shared" si="118"/>
        <v>6.2845950581799634E-2</v>
      </c>
      <c r="Q915" s="47">
        <f t="shared" si="119"/>
        <v>1</v>
      </c>
    </row>
    <row r="916" spans="1:17" x14ac:dyDescent="0.35">
      <c r="A916" s="82">
        <v>913</v>
      </c>
      <c r="B916" s="83" t="str">
        <f>_xlfn.XLOOKUP(A916,'TAZs by City - CCAG Model'!$A:$A,'TAZs by City - CCAG Model'!$B:$B,"Unknown")</f>
        <v>San Jose</v>
      </c>
      <c r="C916" s="82">
        <f>_xlfn.XLOOKUP(A916,'TAZs by City - CCAG Model'!$A:$A,'TAZs by City - CCAG Model'!$C:$C,999)</f>
        <v>3</v>
      </c>
      <c r="D916" s="82" t="str">
        <f t="shared" si="112"/>
        <v>NO</v>
      </c>
      <c r="E916" s="27">
        <v>2070.4</v>
      </c>
      <c r="F916" s="27">
        <v>1277.6600000000001</v>
      </c>
      <c r="G916" s="27">
        <v>32.799999999999997</v>
      </c>
      <c r="H916" s="27">
        <v>34.28</v>
      </c>
      <c r="I916" s="27">
        <v>167.22</v>
      </c>
      <c r="J916" s="27">
        <v>3659</v>
      </c>
      <c r="K916" s="47">
        <f t="shared" si="113"/>
        <v>0.56583766056299534</v>
      </c>
      <c r="L916" s="47">
        <f t="shared" si="114"/>
        <v>0.34918283684066687</v>
      </c>
      <c r="M916" s="84">
        <f t="shared" si="115"/>
        <v>0.91502049740366231</v>
      </c>
      <c r="N916" s="47">
        <f t="shared" si="116"/>
        <v>8.9641978682700185E-3</v>
      </c>
      <c r="O916" s="47">
        <f t="shared" si="117"/>
        <v>9.3686799672041549E-3</v>
      </c>
      <c r="P916" s="47">
        <f t="shared" si="118"/>
        <v>4.5701011205247333E-2</v>
      </c>
      <c r="Q916" s="47">
        <f t="shared" si="119"/>
        <v>1</v>
      </c>
    </row>
    <row r="917" spans="1:17" x14ac:dyDescent="0.35">
      <c r="A917" s="82">
        <v>914</v>
      </c>
      <c r="B917" s="83" t="str">
        <f>_xlfn.XLOOKUP(A917,'TAZs by City - CCAG Model'!$A:$A,'TAZs by City - CCAG Model'!$B:$B,"Unknown")</f>
        <v>San Jose</v>
      </c>
      <c r="C917" s="82">
        <f>_xlfn.XLOOKUP(A917,'TAZs by City - CCAG Model'!$A:$A,'TAZs by City - CCAG Model'!$C:$C,999)</f>
        <v>3</v>
      </c>
      <c r="D917" s="82" t="str">
        <f t="shared" si="112"/>
        <v>NO</v>
      </c>
      <c r="E917" s="27">
        <v>8572.18</v>
      </c>
      <c r="F917" s="27">
        <v>5844.86</v>
      </c>
      <c r="G917" s="27">
        <v>197.38</v>
      </c>
      <c r="H917" s="27">
        <v>193.36</v>
      </c>
      <c r="I917" s="27">
        <v>728.44</v>
      </c>
      <c r="J917" s="27">
        <v>15774.58</v>
      </c>
      <c r="K917" s="47">
        <f t="shared" si="113"/>
        <v>0.54341732077811267</v>
      </c>
      <c r="L917" s="47">
        <f t="shared" si="114"/>
        <v>0.37052396957636907</v>
      </c>
      <c r="M917" s="84">
        <f t="shared" si="115"/>
        <v>0.91394129035448179</v>
      </c>
      <c r="N917" s="47">
        <f t="shared" si="116"/>
        <v>1.2512535991449534E-2</v>
      </c>
      <c r="O917" s="47">
        <f t="shared" si="117"/>
        <v>1.2257695609011462E-2</v>
      </c>
      <c r="P917" s="47">
        <f t="shared" si="118"/>
        <v>4.6178091587858447E-2</v>
      </c>
      <c r="Q917" s="47">
        <f t="shared" si="119"/>
        <v>1</v>
      </c>
    </row>
    <row r="918" spans="1:17" x14ac:dyDescent="0.35">
      <c r="A918" s="82">
        <v>915</v>
      </c>
      <c r="B918" s="83" t="str">
        <f>_xlfn.XLOOKUP(A918,'TAZs by City - CCAG Model'!$A:$A,'TAZs by City - CCAG Model'!$B:$B,"Unknown")</f>
        <v>San Jose</v>
      </c>
      <c r="C918" s="82">
        <f>_xlfn.XLOOKUP(A918,'TAZs by City - CCAG Model'!$A:$A,'TAZs by City - CCAG Model'!$C:$C,999)</f>
        <v>3</v>
      </c>
      <c r="D918" s="82" t="str">
        <f t="shared" si="112"/>
        <v>NO</v>
      </c>
      <c r="E918" s="27">
        <v>10183.18</v>
      </c>
      <c r="F918" s="27">
        <v>6403.28</v>
      </c>
      <c r="G918" s="27">
        <v>252.42</v>
      </c>
      <c r="H918" s="27">
        <v>237.48</v>
      </c>
      <c r="I918" s="27">
        <v>960.82</v>
      </c>
      <c r="J918" s="27">
        <v>18328.54</v>
      </c>
      <c r="K918" s="47">
        <f t="shared" si="113"/>
        <v>0.55559144372655977</v>
      </c>
      <c r="L918" s="47">
        <f t="shared" si="114"/>
        <v>0.3493611602451695</v>
      </c>
      <c r="M918" s="84">
        <f t="shared" si="115"/>
        <v>0.90495260397172927</v>
      </c>
      <c r="N918" s="47">
        <f t="shared" si="116"/>
        <v>1.3771964379050376E-2</v>
      </c>
      <c r="O918" s="47">
        <f t="shared" si="117"/>
        <v>1.295684217073482E-2</v>
      </c>
      <c r="P918" s="47">
        <f t="shared" si="118"/>
        <v>5.2422069624749164E-2</v>
      </c>
      <c r="Q918" s="47">
        <f t="shared" si="119"/>
        <v>1</v>
      </c>
    </row>
    <row r="919" spans="1:17" x14ac:dyDescent="0.35">
      <c r="A919" s="82">
        <v>916</v>
      </c>
      <c r="B919" s="83" t="str">
        <f>_xlfn.XLOOKUP(A919,'TAZs by City - CCAG Model'!$A:$A,'TAZs by City - CCAG Model'!$B:$B,"Unknown")</f>
        <v>San Jose</v>
      </c>
      <c r="C919" s="82">
        <f>_xlfn.XLOOKUP(A919,'TAZs by City - CCAG Model'!$A:$A,'TAZs by City - CCAG Model'!$C:$C,999)</f>
        <v>3</v>
      </c>
      <c r="D919" s="82" t="str">
        <f t="shared" si="112"/>
        <v>NO</v>
      </c>
      <c r="E919" s="27">
        <v>7561.42</v>
      </c>
      <c r="F919" s="27">
        <v>4925.18</v>
      </c>
      <c r="G919" s="27">
        <v>200.8</v>
      </c>
      <c r="H919" s="27">
        <v>157.34</v>
      </c>
      <c r="I919" s="27">
        <v>2157.12</v>
      </c>
      <c r="J919" s="27">
        <v>15247.92</v>
      </c>
      <c r="K919" s="47">
        <f t="shared" si="113"/>
        <v>0.49589845696986867</v>
      </c>
      <c r="L919" s="47">
        <f t="shared" si="114"/>
        <v>0.32300667894375101</v>
      </c>
      <c r="M919" s="84">
        <f t="shared" si="115"/>
        <v>0.81890513591361969</v>
      </c>
      <c r="N919" s="47">
        <f t="shared" si="116"/>
        <v>1.3169009281265905E-2</v>
      </c>
      <c r="O919" s="47">
        <f t="shared" si="117"/>
        <v>1.0318784463717019E-2</v>
      </c>
      <c r="P919" s="47">
        <f t="shared" si="118"/>
        <v>0.14146978735460311</v>
      </c>
      <c r="Q919" s="47">
        <f t="shared" si="119"/>
        <v>1</v>
      </c>
    </row>
    <row r="920" spans="1:17" x14ac:dyDescent="0.35">
      <c r="A920" s="82">
        <v>917</v>
      </c>
      <c r="B920" s="83" t="str">
        <f>_xlfn.XLOOKUP(A920,'TAZs by City - CCAG Model'!$A:$A,'TAZs by City - CCAG Model'!$B:$B,"Unknown")</f>
        <v>San Jose</v>
      </c>
      <c r="C920" s="82">
        <f>_xlfn.XLOOKUP(A920,'TAZs by City - CCAG Model'!$A:$A,'TAZs by City - CCAG Model'!$C:$C,999)</f>
        <v>3</v>
      </c>
      <c r="D920" s="82" t="str">
        <f t="shared" si="112"/>
        <v>NO</v>
      </c>
      <c r="E920" s="27">
        <v>3379.86</v>
      </c>
      <c r="F920" s="27">
        <v>2300.8200000000002</v>
      </c>
      <c r="G920" s="27">
        <v>83.98</v>
      </c>
      <c r="H920" s="27">
        <v>87.58</v>
      </c>
      <c r="I920" s="27">
        <v>406.66</v>
      </c>
      <c r="J920" s="27">
        <v>6384.78</v>
      </c>
      <c r="K920" s="47">
        <f t="shared" si="113"/>
        <v>0.52936201403963801</v>
      </c>
      <c r="L920" s="47">
        <f t="shared" si="114"/>
        <v>0.36036010637798016</v>
      </c>
      <c r="M920" s="84">
        <f t="shared" si="115"/>
        <v>0.88972212041761822</v>
      </c>
      <c r="N920" s="47">
        <f t="shared" si="116"/>
        <v>1.3153154846369022E-2</v>
      </c>
      <c r="O920" s="47">
        <f t="shared" si="117"/>
        <v>1.3716995730471528E-2</v>
      </c>
      <c r="P920" s="47">
        <f t="shared" si="118"/>
        <v>6.3692092758090346E-2</v>
      </c>
      <c r="Q920" s="47">
        <f t="shared" si="119"/>
        <v>1</v>
      </c>
    </row>
    <row r="921" spans="1:17" x14ac:dyDescent="0.35">
      <c r="A921" s="82">
        <v>918</v>
      </c>
      <c r="B921" s="83" t="str">
        <f>_xlfn.XLOOKUP(A921,'TAZs by City - CCAG Model'!$A:$A,'TAZs by City - CCAG Model'!$B:$B,"Unknown")</f>
        <v>San Jose</v>
      </c>
      <c r="C921" s="82">
        <f>_xlfn.XLOOKUP(A921,'TAZs by City - CCAG Model'!$A:$A,'TAZs by City - CCAG Model'!$C:$C,999)</f>
        <v>3</v>
      </c>
      <c r="D921" s="82" t="str">
        <f t="shared" si="112"/>
        <v>NO</v>
      </c>
      <c r="E921" s="27">
        <v>6572</v>
      </c>
      <c r="F921" s="27">
        <v>4109.38</v>
      </c>
      <c r="G921" s="27">
        <v>185.08</v>
      </c>
      <c r="H921" s="27">
        <v>140.08000000000001</v>
      </c>
      <c r="I921" s="27">
        <v>523.55999999999995</v>
      </c>
      <c r="J921" s="27">
        <v>11754.72</v>
      </c>
      <c r="K921" s="47">
        <f t="shared" si="113"/>
        <v>0.55909455946207143</v>
      </c>
      <c r="L921" s="47">
        <f t="shared" si="114"/>
        <v>0.34959403541726219</v>
      </c>
      <c r="M921" s="84">
        <f t="shared" si="115"/>
        <v>0.90868859487933373</v>
      </c>
      <c r="N921" s="47">
        <f t="shared" si="116"/>
        <v>1.5745164495623888E-2</v>
      </c>
      <c r="O921" s="47">
        <f t="shared" si="117"/>
        <v>1.19169150775178E-2</v>
      </c>
      <c r="P921" s="47">
        <f t="shared" si="118"/>
        <v>4.4540405896524971E-2</v>
      </c>
      <c r="Q921" s="47">
        <f t="shared" si="119"/>
        <v>1</v>
      </c>
    </row>
    <row r="922" spans="1:17" x14ac:dyDescent="0.35">
      <c r="A922" s="82">
        <v>919</v>
      </c>
      <c r="B922" s="83" t="str">
        <f>_xlfn.XLOOKUP(A922,'TAZs by City - CCAG Model'!$A:$A,'TAZs by City - CCAG Model'!$B:$B,"Unknown")</f>
        <v>San Jose</v>
      </c>
      <c r="C922" s="82">
        <f>_xlfn.XLOOKUP(A922,'TAZs by City - CCAG Model'!$A:$A,'TAZs by City - CCAG Model'!$C:$C,999)</f>
        <v>3</v>
      </c>
      <c r="D922" s="82" t="str">
        <f t="shared" si="112"/>
        <v>NO</v>
      </c>
      <c r="E922" s="27">
        <v>9418.84</v>
      </c>
      <c r="F922" s="27">
        <v>5874.92</v>
      </c>
      <c r="G922" s="27">
        <v>235.76</v>
      </c>
      <c r="H922" s="27">
        <v>212.84</v>
      </c>
      <c r="I922" s="27">
        <v>782.12</v>
      </c>
      <c r="J922" s="27">
        <v>16799.560000000001</v>
      </c>
      <c r="K922" s="47">
        <f t="shared" si="113"/>
        <v>0.56065992204557735</v>
      </c>
      <c r="L922" s="47">
        <f t="shared" si="114"/>
        <v>0.34970677803466277</v>
      </c>
      <c r="M922" s="84">
        <f t="shared" si="115"/>
        <v>0.91036670008024012</v>
      </c>
      <c r="N922" s="47">
        <f t="shared" si="116"/>
        <v>1.4033700882642162E-2</v>
      </c>
      <c r="O922" s="47">
        <f t="shared" si="117"/>
        <v>1.2669379436128088E-2</v>
      </c>
      <c r="P922" s="47">
        <f t="shared" si="118"/>
        <v>4.6555981228079781E-2</v>
      </c>
      <c r="Q922" s="47">
        <f t="shared" si="119"/>
        <v>1</v>
      </c>
    </row>
    <row r="923" spans="1:17" x14ac:dyDescent="0.35">
      <c r="A923" s="82">
        <v>920</v>
      </c>
      <c r="B923" s="83" t="str">
        <f>_xlfn.XLOOKUP(A923,'TAZs by City - CCAG Model'!$A:$A,'TAZs by City - CCAG Model'!$B:$B,"Unknown")</f>
        <v>San Jose</v>
      </c>
      <c r="C923" s="82">
        <f>_xlfn.XLOOKUP(A923,'TAZs by City - CCAG Model'!$A:$A,'TAZs by City - CCAG Model'!$C:$C,999)</f>
        <v>3</v>
      </c>
      <c r="D923" s="82" t="str">
        <f t="shared" si="112"/>
        <v>NO</v>
      </c>
      <c r="E923" s="27">
        <v>6566.14</v>
      </c>
      <c r="F923" s="27">
        <v>3810.46</v>
      </c>
      <c r="G923" s="27">
        <v>169.6</v>
      </c>
      <c r="H923" s="27">
        <v>132.1</v>
      </c>
      <c r="I923" s="27">
        <v>2454.12</v>
      </c>
      <c r="J923" s="27">
        <v>13347.04</v>
      </c>
      <c r="K923" s="47">
        <f t="shared" si="113"/>
        <v>0.49195477049593017</v>
      </c>
      <c r="L923" s="47">
        <f t="shared" si="114"/>
        <v>0.28549101523633702</v>
      </c>
      <c r="M923" s="84">
        <f t="shared" si="115"/>
        <v>0.77744578573226719</v>
      </c>
      <c r="N923" s="47">
        <f t="shared" si="116"/>
        <v>1.2706937268487994E-2</v>
      </c>
      <c r="O923" s="47">
        <f t="shared" si="117"/>
        <v>9.8973255493352823E-3</v>
      </c>
      <c r="P923" s="47">
        <f t="shared" si="118"/>
        <v>0.18386998165885468</v>
      </c>
      <c r="Q923" s="47">
        <f t="shared" si="119"/>
        <v>1</v>
      </c>
    </row>
    <row r="924" spans="1:17" x14ac:dyDescent="0.35">
      <c r="A924" s="82">
        <v>921</v>
      </c>
      <c r="B924" s="83" t="str">
        <f>_xlfn.XLOOKUP(A924,'TAZs by City - CCAG Model'!$A:$A,'TAZs by City - CCAG Model'!$B:$B,"Unknown")</f>
        <v>San Jose</v>
      </c>
      <c r="C924" s="82">
        <f>_xlfn.XLOOKUP(A924,'TAZs by City - CCAG Model'!$A:$A,'TAZs by City - CCAG Model'!$C:$C,999)</f>
        <v>3</v>
      </c>
      <c r="D924" s="82" t="str">
        <f t="shared" si="112"/>
        <v>NO</v>
      </c>
      <c r="E924" s="27">
        <v>12917.42</v>
      </c>
      <c r="F924" s="27">
        <v>10170.280000000001</v>
      </c>
      <c r="G924" s="27">
        <v>185.34</v>
      </c>
      <c r="H924" s="27">
        <v>207.66</v>
      </c>
      <c r="I924" s="27">
        <v>1167.58</v>
      </c>
      <c r="J924" s="27">
        <v>24868.68</v>
      </c>
      <c r="K924" s="47">
        <f t="shared" si="113"/>
        <v>0.51942523688430586</v>
      </c>
      <c r="L924" s="47">
        <f t="shared" si="114"/>
        <v>0.40895938184093406</v>
      </c>
      <c r="M924" s="84">
        <f t="shared" si="115"/>
        <v>0.92838461872523992</v>
      </c>
      <c r="N924" s="47">
        <f t="shared" si="116"/>
        <v>7.4527477936102765E-3</v>
      </c>
      <c r="O924" s="47">
        <f t="shared" si="117"/>
        <v>8.3502622575866506E-3</v>
      </c>
      <c r="P924" s="47">
        <f t="shared" si="118"/>
        <v>4.6949818004011469E-2</v>
      </c>
      <c r="Q924" s="47">
        <f t="shared" si="119"/>
        <v>1</v>
      </c>
    </row>
    <row r="925" spans="1:17" x14ac:dyDescent="0.35">
      <c r="A925" s="82">
        <v>922</v>
      </c>
      <c r="B925" s="83" t="str">
        <f>_xlfn.XLOOKUP(A925,'TAZs by City - CCAG Model'!$A:$A,'TAZs by City - CCAG Model'!$B:$B,"Unknown")</f>
        <v>San Jose</v>
      </c>
      <c r="C925" s="82">
        <f>_xlfn.XLOOKUP(A925,'TAZs by City - CCAG Model'!$A:$A,'TAZs by City - CCAG Model'!$C:$C,999)</f>
        <v>3</v>
      </c>
      <c r="D925" s="82" t="str">
        <f t="shared" si="112"/>
        <v>NO</v>
      </c>
      <c r="E925" s="27">
        <v>10432.06</v>
      </c>
      <c r="F925" s="27">
        <v>8155.2</v>
      </c>
      <c r="G925" s="27">
        <v>710.08</v>
      </c>
      <c r="H925" s="27">
        <v>183.52</v>
      </c>
      <c r="I925" s="27">
        <v>932.1</v>
      </c>
      <c r="J925" s="27">
        <v>21155.18</v>
      </c>
      <c r="K925" s="47">
        <f t="shared" si="113"/>
        <v>0.49312083376270016</v>
      </c>
      <c r="L925" s="47">
        <f t="shared" si="114"/>
        <v>0.38549423829057466</v>
      </c>
      <c r="M925" s="84">
        <f t="shared" si="115"/>
        <v>0.87861507205327483</v>
      </c>
      <c r="N925" s="47">
        <f t="shared" si="116"/>
        <v>3.3565301736974112E-2</v>
      </c>
      <c r="O925" s="47">
        <f t="shared" si="117"/>
        <v>8.6749439144455411E-3</v>
      </c>
      <c r="P925" s="47">
        <f t="shared" si="118"/>
        <v>4.4060130899382564E-2</v>
      </c>
      <c r="Q925" s="47">
        <f t="shared" si="119"/>
        <v>1</v>
      </c>
    </row>
    <row r="926" spans="1:17" x14ac:dyDescent="0.35">
      <c r="A926" s="82">
        <v>923</v>
      </c>
      <c r="B926" s="83" t="str">
        <f>_xlfn.XLOOKUP(A926,'TAZs by City - CCAG Model'!$A:$A,'TAZs by City - CCAG Model'!$B:$B,"Unknown")</f>
        <v>San Jose</v>
      </c>
      <c r="C926" s="82">
        <f>_xlfn.XLOOKUP(A926,'TAZs by City - CCAG Model'!$A:$A,'TAZs by City - CCAG Model'!$C:$C,999)</f>
        <v>3</v>
      </c>
      <c r="D926" s="82" t="str">
        <f t="shared" si="112"/>
        <v>NO</v>
      </c>
      <c r="E926" s="27">
        <v>9551.06</v>
      </c>
      <c r="F926" s="27">
        <v>7303.64</v>
      </c>
      <c r="G926" s="27">
        <v>405.16</v>
      </c>
      <c r="H926" s="27">
        <v>168.74</v>
      </c>
      <c r="I926" s="27">
        <v>1188.1400000000001</v>
      </c>
      <c r="J926" s="27">
        <v>19061.8</v>
      </c>
      <c r="K926" s="47">
        <f t="shared" si="113"/>
        <v>0.50105761260741377</v>
      </c>
      <c r="L926" s="47">
        <f t="shared" si="114"/>
        <v>0.3831558404767651</v>
      </c>
      <c r="M926" s="84">
        <f t="shared" si="115"/>
        <v>0.88421345308417887</v>
      </c>
      <c r="N926" s="47">
        <f t="shared" si="116"/>
        <v>2.1255075596218618E-2</v>
      </c>
      <c r="O926" s="47">
        <f t="shared" si="117"/>
        <v>8.852259492807605E-3</v>
      </c>
      <c r="P926" s="47">
        <f t="shared" si="118"/>
        <v>6.233094461173657E-2</v>
      </c>
      <c r="Q926" s="47">
        <f t="shared" si="119"/>
        <v>1</v>
      </c>
    </row>
    <row r="927" spans="1:17" x14ac:dyDescent="0.35">
      <c r="A927" s="82">
        <v>924</v>
      </c>
      <c r="B927" s="83" t="str">
        <f>_xlfn.XLOOKUP(A927,'TAZs by City - CCAG Model'!$A:$A,'TAZs by City - CCAG Model'!$B:$B,"Unknown")</f>
        <v>San Jose</v>
      </c>
      <c r="C927" s="82">
        <f>_xlfn.XLOOKUP(A927,'TAZs by City - CCAG Model'!$A:$A,'TAZs by City - CCAG Model'!$C:$C,999)</f>
        <v>3</v>
      </c>
      <c r="D927" s="82" t="str">
        <f t="shared" si="112"/>
        <v>NO</v>
      </c>
      <c r="E927" s="27">
        <v>6111.14</v>
      </c>
      <c r="F927" s="27">
        <v>4314.1000000000004</v>
      </c>
      <c r="G927" s="27">
        <v>208.96</v>
      </c>
      <c r="H927" s="27">
        <v>114.86</v>
      </c>
      <c r="I927" s="27">
        <v>831.6</v>
      </c>
      <c r="J927" s="27">
        <v>11835.68</v>
      </c>
      <c r="K927" s="47">
        <f t="shared" si="113"/>
        <v>0.51633197247644413</v>
      </c>
      <c r="L927" s="47">
        <f t="shared" si="114"/>
        <v>0.36449954713206173</v>
      </c>
      <c r="M927" s="84">
        <f t="shared" si="115"/>
        <v>0.88083151960850592</v>
      </c>
      <c r="N927" s="47">
        <f t="shared" si="116"/>
        <v>1.765509037081097E-2</v>
      </c>
      <c r="O927" s="47">
        <f t="shared" si="117"/>
        <v>9.7045543644302644E-3</v>
      </c>
      <c r="P927" s="47">
        <f t="shared" si="118"/>
        <v>7.0262122666378268E-2</v>
      </c>
      <c r="Q927" s="47">
        <f t="shared" si="119"/>
        <v>1</v>
      </c>
    </row>
    <row r="928" spans="1:17" x14ac:dyDescent="0.35">
      <c r="A928" s="82">
        <v>925</v>
      </c>
      <c r="B928" s="83" t="str">
        <f>_xlfn.XLOOKUP(A928,'TAZs by City - CCAG Model'!$A:$A,'TAZs by City - CCAG Model'!$B:$B,"Unknown")</f>
        <v>San Jose</v>
      </c>
      <c r="C928" s="82">
        <f>_xlfn.XLOOKUP(A928,'TAZs by City - CCAG Model'!$A:$A,'TAZs by City - CCAG Model'!$C:$C,999)</f>
        <v>3</v>
      </c>
      <c r="D928" s="82" t="str">
        <f t="shared" si="112"/>
        <v>NO</v>
      </c>
      <c r="E928" s="27">
        <v>5807.76</v>
      </c>
      <c r="F928" s="27">
        <v>4853.34</v>
      </c>
      <c r="G928" s="27">
        <v>338.84</v>
      </c>
      <c r="H928" s="27">
        <v>167.38</v>
      </c>
      <c r="I928" s="27">
        <v>2120.42</v>
      </c>
      <c r="J928" s="27">
        <v>13671.96</v>
      </c>
      <c r="K928" s="47">
        <f t="shared" si="113"/>
        <v>0.42479351899800766</v>
      </c>
      <c r="L928" s="47">
        <f t="shared" si="114"/>
        <v>0.35498494729358487</v>
      </c>
      <c r="M928" s="84">
        <f t="shared" si="115"/>
        <v>0.77977846629159253</v>
      </c>
      <c r="N928" s="47">
        <f t="shared" si="116"/>
        <v>2.4783571631280372E-2</v>
      </c>
      <c r="O928" s="47">
        <f t="shared" si="117"/>
        <v>1.2242575314731758E-2</v>
      </c>
      <c r="P928" s="47">
        <f t="shared" si="118"/>
        <v>0.1550926129099266</v>
      </c>
      <c r="Q928" s="47">
        <f t="shared" si="119"/>
        <v>1</v>
      </c>
    </row>
    <row r="929" spans="1:17" x14ac:dyDescent="0.35">
      <c r="A929" s="82">
        <v>926</v>
      </c>
      <c r="B929" s="83" t="str">
        <f>_xlfn.XLOOKUP(A929,'TAZs by City - CCAG Model'!$A:$A,'TAZs by City - CCAG Model'!$B:$B,"Unknown")</f>
        <v>San Jose</v>
      </c>
      <c r="C929" s="82">
        <f>_xlfn.XLOOKUP(A929,'TAZs by City - CCAG Model'!$A:$A,'TAZs by City - CCAG Model'!$C:$C,999)</f>
        <v>3</v>
      </c>
      <c r="D929" s="82" t="str">
        <f t="shared" si="112"/>
        <v>NO</v>
      </c>
      <c r="E929" s="27">
        <v>10119.52</v>
      </c>
      <c r="F929" s="27">
        <v>6677.16</v>
      </c>
      <c r="G929" s="27">
        <v>418.36</v>
      </c>
      <c r="H929" s="27">
        <v>200.76</v>
      </c>
      <c r="I929" s="27">
        <v>1756.04</v>
      </c>
      <c r="J929" s="27">
        <v>19630.64</v>
      </c>
      <c r="K929" s="47">
        <f t="shared" si="113"/>
        <v>0.51549618351719562</v>
      </c>
      <c r="L929" s="47">
        <f t="shared" si="114"/>
        <v>0.34013969997921617</v>
      </c>
      <c r="M929" s="84">
        <f t="shared" si="115"/>
        <v>0.85563588349641173</v>
      </c>
      <c r="N929" s="47">
        <f t="shared" si="116"/>
        <v>2.1311582301952459E-2</v>
      </c>
      <c r="O929" s="47">
        <f t="shared" si="117"/>
        <v>1.0226869832058455E-2</v>
      </c>
      <c r="P929" s="47">
        <f t="shared" si="118"/>
        <v>8.9454037158238353E-2</v>
      </c>
      <c r="Q929" s="47">
        <f t="shared" si="119"/>
        <v>1</v>
      </c>
    </row>
    <row r="930" spans="1:17" x14ac:dyDescent="0.35">
      <c r="A930" s="82">
        <v>927</v>
      </c>
      <c r="B930" s="83" t="str">
        <f>_xlfn.XLOOKUP(A930,'TAZs by City - CCAG Model'!$A:$A,'TAZs by City - CCAG Model'!$B:$B,"Unknown")</f>
        <v>San Jose</v>
      </c>
      <c r="C930" s="82">
        <f>_xlfn.XLOOKUP(A930,'TAZs by City - CCAG Model'!$A:$A,'TAZs by City - CCAG Model'!$C:$C,999)</f>
        <v>3</v>
      </c>
      <c r="D930" s="82" t="str">
        <f t="shared" si="112"/>
        <v>NO</v>
      </c>
      <c r="E930" s="27">
        <v>4861.46</v>
      </c>
      <c r="F930" s="27">
        <v>3806.02</v>
      </c>
      <c r="G930" s="27">
        <v>206.36</v>
      </c>
      <c r="H930" s="27">
        <v>93</v>
      </c>
      <c r="I930" s="27">
        <v>525.4</v>
      </c>
      <c r="J930" s="27">
        <v>9739.14</v>
      </c>
      <c r="K930" s="47">
        <f t="shared" si="113"/>
        <v>0.49916727760356666</v>
      </c>
      <c r="L930" s="47">
        <f t="shared" si="114"/>
        <v>0.39079631261076442</v>
      </c>
      <c r="M930" s="84">
        <f t="shared" si="115"/>
        <v>0.88996359021433102</v>
      </c>
      <c r="N930" s="47">
        <f t="shared" si="116"/>
        <v>2.1188729189640976E-2</v>
      </c>
      <c r="O930" s="47">
        <f t="shared" si="117"/>
        <v>9.5490977642789816E-3</v>
      </c>
      <c r="P930" s="47">
        <f t="shared" si="118"/>
        <v>5.3947268444647062E-2</v>
      </c>
      <c r="Q930" s="47">
        <f t="shared" si="119"/>
        <v>1</v>
      </c>
    </row>
    <row r="931" spans="1:17" x14ac:dyDescent="0.35">
      <c r="A931" s="82">
        <v>928</v>
      </c>
      <c r="B931" s="83" t="str">
        <f>_xlfn.XLOOKUP(A931,'TAZs by City - CCAG Model'!$A:$A,'TAZs by City - CCAG Model'!$B:$B,"Unknown")</f>
        <v>San Jose</v>
      </c>
      <c r="C931" s="82">
        <f>_xlfn.XLOOKUP(A931,'TAZs by City - CCAG Model'!$A:$A,'TAZs by City - CCAG Model'!$C:$C,999)</f>
        <v>3</v>
      </c>
      <c r="D931" s="82" t="str">
        <f t="shared" si="112"/>
        <v>NO</v>
      </c>
      <c r="E931" s="27">
        <v>8040.82</v>
      </c>
      <c r="F931" s="27">
        <v>6010.18</v>
      </c>
      <c r="G931" s="27">
        <v>321.16000000000003</v>
      </c>
      <c r="H931" s="27">
        <v>165.24</v>
      </c>
      <c r="I931" s="27">
        <v>804.94</v>
      </c>
      <c r="J931" s="27">
        <v>15703.96</v>
      </c>
      <c r="K931" s="47">
        <f t="shared" si="113"/>
        <v>0.51202499242229349</v>
      </c>
      <c r="L931" s="47">
        <f t="shared" si="114"/>
        <v>0.38271748017697449</v>
      </c>
      <c r="M931" s="84">
        <f t="shared" si="115"/>
        <v>0.89474247259926798</v>
      </c>
      <c r="N931" s="47">
        <f t="shared" si="116"/>
        <v>2.0450892641091803E-2</v>
      </c>
      <c r="O931" s="47">
        <f t="shared" si="117"/>
        <v>1.0522186760536834E-2</v>
      </c>
      <c r="P931" s="47">
        <f t="shared" si="118"/>
        <v>5.1257135142983051E-2</v>
      </c>
      <c r="Q931" s="47">
        <f t="shared" si="119"/>
        <v>1</v>
      </c>
    </row>
    <row r="932" spans="1:17" x14ac:dyDescent="0.35">
      <c r="A932" s="82">
        <v>929</v>
      </c>
      <c r="B932" s="83" t="str">
        <f>_xlfn.XLOOKUP(A932,'TAZs by City - CCAG Model'!$A:$A,'TAZs by City - CCAG Model'!$B:$B,"Unknown")</f>
        <v>San Jose</v>
      </c>
      <c r="C932" s="82">
        <f>_xlfn.XLOOKUP(A932,'TAZs by City - CCAG Model'!$A:$A,'TAZs by City - CCAG Model'!$C:$C,999)</f>
        <v>3</v>
      </c>
      <c r="D932" s="82" t="str">
        <f t="shared" si="112"/>
        <v>NO</v>
      </c>
      <c r="E932" s="27">
        <v>10250.84</v>
      </c>
      <c r="F932" s="27">
        <v>9412.32</v>
      </c>
      <c r="G932" s="27">
        <v>721.92</v>
      </c>
      <c r="H932" s="27">
        <v>267.33999999999997</v>
      </c>
      <c r="I932" s="27">
        <v>1707.2</v>
      </c>
      <c r="J932" s="27">
        <v>23120.58</v>
      </c>
      <c r="K932" s="47">
        <f t="shared" si="113"/>
        <v>0.44336431006488591</v>
      </c>
      <c r="L932" s="47">
        <f t="shared" si="114"/>
        <v>0.40709705379363315</v>
      </c>
      <c r="M932" s="84">
        <f t="shared" si="115"/>
        <v>0.850461363858519</v>
      </c>
      <c r="N932" s="47">
        <f t="shared" si="116"/>
        <v>3.1224130190505597E-2</v>
      </c>
      <c r="O932" s="47">
        <f t="shared" si="117"/>
        <v>1.156285871721211E-2</v>
      </c>
      <c r="P932" s="47">
        <f t="shared" si="118"/>
        <v>7.3838978087919935E-2</v>
      </c>
      <c r="Q932" s="47">
        <f t="shared" si="119"/>
        <v>1</v>
      </c>
    </row>
    <row r="933" spans="1:17" x14ac:dyDescent="0.35">
      <c r="A933" s="82">
        <v>930</v>
      </c>
      <c r="B933" s="83" t="str">
        <f>_xlfn.XLOOKUP(A933,'TAZs by City - CCAG Model'!$A:$A,'TAZs by City - CCAG Model'!$B:$B,"Unknown")</f>
        <v>San Jose</v>
      </c>
      <c r="C933" s="82">
        <f>_xlfn.XLOOKUP(A933,'TAZs by City - CCAG Model'!$A:$A,'TAZs by City - CCAG Model'!$C:$C,999)</f>
        <v>3</v>
      </c>
      <c r="D933" s="82" t="str">
        <f t="shared" si="112"/>
        <v>NO</v>
      </c>
      <c r="E933" s="27">
        <v>7030.02</v>
      </c>
      <c r="F933" s="27">
        <v>6086.12</v>
      </c>
      <c r="G933" s="27">
        <v>210.26</v>
      </c>
      <c r="H933" s="27">
        <v>139.44</v>
      </c>
      <c r="I933" s="27">
        <v>1684.2</v>
      </c>
      <c r="J933" s="27">
        <v>15392.26</v>
      </c>
      <c r="K933" s="47">
        <f t="shared" si="113"/>
        <v>0.45672435366866204</v>
      </c>
      <c r="L933" s="47">
        <f t="shared" si="114"/>
        <v>0.39540132508156695</v>
      </c>
      <c r="M933" s="84">
        <f t="shared" si="115"/>
        <v>0.85212567875022893</v>
      </c>
      <c r="N933" s="47">
        <f t="shared" si="116"/>
        <v>1.3660112290202997E-2</v>
      </c>
      <c r="O933" s="47">
        <f t="shared" si="117"/>
        <v>9.0590985339384852E-3</v>
      </c>
      <c r="P933" s="47">
        <f t="shared" si="118"/>
        <v>0.10941862988281123</v>
      </c>
      <c r="Q933" s="47">
        <f t="shared" si="119"/>
        <v>1</v>
      </c>
    </row>
    <row r="934" spans="1:17" x14ac:dyDescent="0.35">
      <c r="A934" s="82">
        <v>931</v>
      </c>
      <c r="B934" s="83" t="str">
        <f>_xlfn.XLOOKUP(A934,'TAZs by City - CCAG Model'!$A:$A,'TAZs by City - CCAG Model'!$B:$B,"Unknown")</f>
        <v>San Jose</v>
      </c>
      <c r="C934" s="82">
        <f>_xlfn.XLOOKUP(A934,'TAZs by City - CCAG Model'!$A:$A,'TAZs by City - CCAG Model'!$C:$C,999)</f>
        <v>3</v>
      </c>
      <c r="D934" s="82" t="str">
        <f t="shared" si="112"/>
        <v>NO</v>
      </c>
      <c r="E934" s="27">
        <v>6752.44</v>
      </c>
      <c r="F934" s="27">
        <v>6332.92</v>
      </c>
      <c r="G934" s="27">
        <v>374.38</v>
      </c>
      <c r="H934" s="27">
        <v>162.34</v>
      </c>
      <c r="I934" s="27">
        <v>869.32</v>
      </c>
      <c r="J934" s="27">
        <v>14905.02</v>
      </c>
      <c r="K934" s="47">
        <f t="shared" si="113"/>
        <v>0.4530312606088418</v>
      </c>
      <c r="L934" s="47">
        <f t="shared" si="114"/>
        <v>0.42488503873191719</v>
      </c>
      <c r="M934" s="84">
        <f t="shared" si="115"/>
        <v>0.87791629934075899</v>
      </c>
      <c r="N934" s="47">
        <f t="shared" si="116"/>
        <v>2.5117712019172064E-2</v>
      </c>
      <c r="O934" s="47">
        <f t="shared" si="117"/>
        <v>1.0891632483552521E-2</v>
      </c>
      <c r="P934" s="47">
        <f t="shared" si="118"/>
        <v>5.8323974070480955E-2</v>
      </c>
      <c r="Q934" s="47">
        <f t="shared" si="119"/>
        <v>1</v>
      </c>
    </row>
    <row r="935" spans="1:17" x14ac:dyDescent="0.35">
      <c r="A935" s="82">
        <v>932</v>
      </c>
      <c r="B935" s="83" t="str">
        <f>_xlfn.XLOOKUP(A935,'TAZs by City - CCAG Model'!$A:$A,'TAZs by City - CCAG Model'!$B:$B,"Unknown")</f>
        <v>San Jose</v>
      </c>
      <c r="C935" s="82">
        <f>_xlfn.XLOOKUP(A935,'TAZs by City - CCAG Model'!$A:$A,'TAZs by City - CCAG Model'!$C:$C,999)</f>
        <v>3</v>
      </c>
      <c r="D935" s="82" t="str">
        <f t="shared" si="112"/>
        <v>NO</v>
      </c>
      <c r="E935" s="27">
        <v>15957.5</v>
      </c>
      <c r="F935" s="27">
        <v>10881.08</v>
      </c>
      <c r="G935" s="27">
        <v>754.18</v>
      </c>
      <c r="H935" s="27">
        <v>382.52</v>
      </c>
      <c r="I935" s="27">
        <v>2204.94</v>
      </c>
      <c r="J935" s="27">
        <v>30969.98</v>
      </c>
      <c r="K935" s="47">
        <f t="shared" si="113"/>
        <v>0.51525703277819357</v>
      </c>
      <c r="L935" s="47">
        <f t="shared" si="114"/>
        <v>0.35134281649519955</v>
      </c>
      <c r="M935" s="84">
        <f t="shared" si="115"/>
        <v>0.86659984927339317</v>
      </c>
      <c r="N935" s="47">
        <f t="shared" si="116"/>
        <v>2.4351969229557138E-2</v>
      </c>
      <c r="O935" s="47">
        <f t="shared" si="117"/>
        <v>1.2351315693455404E-2</v>
      </c>
      <c r="P935" s="47">
        <f t="shared" si="118"/>
        <v>7.1196042102707205E-2</v>
      </c>
      <c r="Q935" s="47">
        <f t="shared" si="119"/>
        <v>1</v>
      </c>
    </row>
    <row r="936" spans="1:17" x14ac:dyDescent="0.35">
      <c r="A936" s="82">
        <v>933</v>
      </c>
      <c r="B936" s="83" t="str">
        <f>_xlfn.XLOOKUP(A936,'TAZs by City - CCAG Model'!$A:$A,'TAZs by City - CCAG Model'!$B:$B,"Unknown")</f>
        <v>San Jose</v>
      </c>
      <c r="C936" s="82">
        <f>_xlfn.XLOOKUP(A936,'TAZs by City - CCAG Model'!$A:$A,'TAZs by City - CCAG Model'!$C:$C,999)</f>
        <v>3</v>
      </c>
      <c r="D936" s="82" t="str">
        <f t="shared" si="112"/>
        <v>NO</v>
      </c>
      <c r="E936" s="27">
        <v>9525.16</v>
      </c>
      <c r="F936" s="27">
        <v>6832.04</v>
      </c>
      <c r="G936" s="27">
        <v>442.8</v>
      </c>
      <c r="H936" s="27">
        <v>203.78</v>
      </c>
      <c r="I936" s="27">
        <v>1145.94</v>
      </c>
      <c r="J936" s="27">
        <v>18633.900000000001</v>
      </c>
      <c r="K936" s="47">
        <f t="shared" si="113"/>
        <v>0.51117372101385106</v>
      </c>
      <c r="L936" s="47">
        <f t="shared" si="114"/>
        <v>0.36664573707060782</v>
      </c>
      <c r="M936" s="84">
        <f t="shared" si="115"/>
        <v>0.87781945808445894</v>
      </c>
      <c r="N936" s="47">
        <f t="shared" si="116"/>
        <v>2.3763141371371532E-2</v>
      </c>
      <c r="O936" s="47">
        <f t="shared" si="117"/>
        <v>1.0935982268875544E-2</v>
      </c>
      <c r="P936" s="47">
        <f t="shared" si="118"/>
        <v>6.1497593096453237E-2</v>
      </c>
      <c r="Q936" s="47">
        <f t="shared" si="119"/>
        <v>1</v>
      </c>
    </row>
    <row r="937" spans="1:17" x14ac:dyDescent="0.35">
      <c r="A937" s="82">
        <v>934</v>
      </c>
      <c r="B937" s="83" t="str">
        <f>_xlfn.XLOOKUP(A937,'TAZs by City - CCAG Model'!$A:$A,'TAZs by City - CCAG Model'!$B:$B,"Unknown")</f>
        <v>San Jose</v>
      </c>
      <c r="C937" s="82">
        <f>_xlfn.XLOOKUP(A937,'TAZs by City - CCAG Model'!$A:$A,'TAZs by City - CCAG Model'!$C:$C,999)</f>
        <v>3</v>
      </c>
      <c r="D937" s="82" t="str">
        <f t="shared" si="112"/>
        <v>NO</v>
      </c>
      <c r="E937" s="27">
        <v>11160.9</v>
      </c>
      <c r="F937" s="27">
        <v>9054.2199999999993</v>
      </c>
      <c r="G937" s="27">
        <v>647.64</v>
      </c>
      <c r="H937" s="27">
        <v>287.54000000000002</v>
      </c>
      <c r="I937" s="27">
        <v>4823.8599999999997</v>
      </c>
      <c r="J937" s="27">
        <v>26663.040000000001</v>
      </c>
      <c r="K937" s="47">
        <f t="shared" si="113"/>
        <v>0.41859067833225316</v>
      </c>
      <c r="L937" s="47">
        <f t="shared" si="114"/>
        <v>0.33957943280286118</v>
      </c>
      <c r="M937" s="84">
        <f t="shared" si="115"/>
        <v>0.75817011113511434</v>
      </c>
      <c r="N937" s="47">
        <f t="shared" si="116"/>
        <v>2.4289803413264203E-2</v>
      </c>
      <c r="O937" s="47">
        <f t="shared" si="117"/>
        <v>1.0784216653464872E-2</v>
      </c>
      <c r="P937" s="47">
        <f t="shared" si="118"/>
        <v>0.18091935503228437</v>
      </c>
      <c r="Q937" s="47">
        <f t="shared" si="119"/>
        <v>1</v>
      </c>
    </row>
    <row r="938" spans="1:17" x14ac:dyDescent="0.35">
      <c r="A938" s="82">
        <v>935</v>
      </c>
      <c r="B938" s="83" t="str">
        <f>_xlfn.XLOOKUP(A938,'TAZs by City - CCAG Model'!$A:$A,'TAZs by City - CCAG Model'!$B:$B,"Unknown")</f>
        <v>San Jose</v>
      </c>
      <c r="C938" s="82">
        <f>_xlfn.XLOOKUP(A938,'TAZs by City - CCAG Model'!$A:$A,'TAZs by City - CCAG Model'!$C:$C,999)</f>
        <v>3</v>
      </c>
      <c r="D938" s="82" t="str">
        <f t="shared" si="112"/>
        <v>NO</v>
      </c>
      <c r="E938" s="27">
        <v>6442.9</v>
      </c>
      <c r="F938" s="27">
        <v>6897.98</v>
      </c>
      <c r="G938" s="27">
        <v>621.52</v>
      </c>
      <c r="H938" s="27">
        <v>246.98</v>
      </c>
      <c r="I938" s="27">
        <v>1039.8</v>
      </c>
      <c r="J938" s="27">
        <v>15895.32</v>
      </c>
      <c r="K938" s="47">
        <f t="shared" si="113"/>
        <v>0.40533314208207194</v>
      </c>
      <c r="L938" s="47">
        <f t="shared" si="114"/>
        <v>0.43396295261749995</v>
      </c>
      <c r="M938" s="84">
        <f t="shared" si="115"/>
        <v>0.83929609469957189</v>
      </c>
      <c r="N938" s="47">
        <f t="shared" si="116"/>
        <v>3.9100817095849595E-2</v>
      </c>
      <c r="O938" s="47">
        <f t="shared" si="117"/>
        <v>1.5537906754944222E-2</v>
      </c>
      <c r="P938" s="47">
        <f t="shared" si="118"/>
        <v>6.5415480783022922E-2</v>
      </c>
      <c r="Q938" s="47">
        <f t="shared" si="119"/>
        <v>1</v>
      </c>
    </row>
    <row r="939" spans="1:17" x14ac:dyDescent="0.35">
      <c r="A939" s="82">
        <v>936</v>
      </c>
      <c r="B939" s="83" t="str">
        <f>_xlfn.XLOOKUP(A939,'TAZs by City - CCAG Model'!$A:$A,'TAZs by City - CCAG Model'!$B:$B,"Unknown")</f>
        <v>San Jose</v>
      </c>
      <c r="C939" s="82">
        <f>_xlfn.XLOOKUP(A939,'TAZs by City - CCAG Model'!$A:$A,'TAZs by City - CCAG Model'!$C:$C,999)</f>
        <v>3</v>
      </c>
      <c r="D939" s="82" t="str">
        <f t="shared" si="112"/>
        <v>NO</v>
      </c>
      <c r="E939" s="27">
        <v>6229.3</v>
      </c>
      <c r="F939" s="27">
        <v>5741.68</v>
      </c>
      <c r="G939" s="27">
        <v>448.34</v>
      </c>
      <c r="H939" s="27">
        <v>197.96</v>
      </c>
      <c r="I939" s="27">
        <v>998.4</v>
      </c>
      <c r="J939" s="27">
        <v>14103.14</v>
      </c>
      <c r="K939" s="47">
        <f t="shared" si="113"/>
        <v>0.44169596274304873</v>
      </c>
      <c r="L939" s="47">
        <f t="shared" si="114"/>
        <v>0.40712068376262311</v>
      </c>
      <c r="M939" s="84">
        <f t="shared" si="115"/>
        <v>0.84881664650567179</v>
      </c>
      <c r="N939" s="47">
        <f t="shared" si="116"/>
        <v>3.1790083626766802E-2</v>
      </c>
      <c r="O939" s="47">
        <f t="shared" si="117"/>
        <v>1.4036590433052498E-2</v>
      </c>
      <c r="P939" s="47">
        <f t="shared" si="118"/>
        <v>7.0792745445340546E-2</v>
      </c>
      <c r="Q939" s="47">
        <f t="shared" si="119"/>
        <v>1</v>
      </c>
    </row>
    <row r="940" spans="1:17" x14ac:dyDescent="0.35">
      <c r="A940" s="82">
        <v>937</v>
      </c>
      <c r="B940" s="83" t="str">
        <f>_xlfn.XLOOKUP(A940,'TAZs by City - CCAG Model'!$A:$A,'TAZs by City - CCAG Model'!$B:$B,"Unknown")</f>
        <v>San Jose</v>
      </c>
      <c r="C940" s="82">
        <f>_xlfn.XLOOKUP(A940,'TAZs by City - CCAG Model'!$A:$A,'TAZs by City - CCAG Model'!$C:$C,999)</f>
        <v>3</v>
      </c>
      <c r="D940" s="82" t="str">
        <f t="shared" si="112"/>
        <v>NO</v>
      </c>
      <c r="E940" s="27">
        <v>9810.42</v>
      </c>
      <c r="F940" s="27">
        <v>7677.76</v>
      </c>
      <c r="G940" s="27">
        <v>326.98</v>
      </c>
      <c r="H940" s="27">
        <v>232.08</v>
      </c>
      <c r="I940" s="27">
        <v>1168.8</v>
      </c>
      <c r="J940" s="27">
        <v>19589.2</v>
      </c>
      <c r="K940" s="47">
        <f t="shared" si="113"/>
        <v>0.50080758785453205</v>
      </c>
      <c r="L940" s="47">
        <f t="shared" si="114"/>
        <v>0.3919384150450248</v>
      </c>
      <c r="M940" s="84">
        <f t="shared" si="115"/>
        <v>0.89274600289955686</v>
      </c>
      <c r="N940" s="47">
        <f t="shared" si="116"/>
        <v>1.6691850611561473E-2</v>
      </c>
      <c r="O940" s="47">
        <f t="shared" si="117"/>
        <v>1.1847344455107918E-2</v>
      </c>
      <c r="P940" s="47">
        <f t="shared" si="118"/>
        <v>5.9665529985910598E-2</v>
      </c>
      <c r="Q940" s="47">
        <f t="shared" si="119"/>
        <v>1</v>
      </c>
    </row>
    <row r="941" spans="1:17" x14ac:dyDescent="0.35">
      <c r="A941" s="82">
        <v>938</v>
      </c>
      <c r="B941" s="83" t="str">
        <f>_xlfn.XLOOKUP(A941,'TAZs by City - CCAG Model'!$A:$A,'TAZs by City - CCAG Model'!$B:$B,"Unknown")</f>
        <v>San Jose</v>
      </c>
      <c r="C941" s="82">
        <f>_xlfn.XLOOKUP(A941,'TAZs by City - CCAG Model'!$A:$A,'TAZs by City - CCAG Model'!$C:$C,999)</f>
        <v>3</v>
      </c>
      <c r="D941" s="82" t="str">
        <f t="shared" si="112"/>
        <v>NO</v>
      </c>
      <c r="E941" s="27">
        <v>6716.58</v>
      </c>
      <c r="F941" s="27">
        <v>4861.0200000000004</v>
      </c>
      <c r="G941" s="27">
        <v>192.22</v>
      </c>
      <c r="H941" s="27">
        <v>125.46</v>
      </c>
      <c r="I941" s="27">
        <v>853.06</v>
      </c>
      <c r="J941" s="27">
        <v>12984.92</v>
      </c>
      <c r="K941" s="47">
        <f t="shared" si="113"/>
        <v>0.51726002162508511</v>
      </c>
      <c r="L941" s="47">
        <f t="shared" si="114"/>
        <v>0.37435887167575932</v>
      </c>
      <c r="M941" s="84">
        <f t="shared" si="115"/>
        <v>0.89161889330084443</v>
      </c>
      <c r="N941" s="47">
        <f t="shared" si="116"/>
        <v>1.4803325703970452E-2</v>
      </c>
      <c r="O941" s="47">
        <f t="shared" si="117"/>
        <v>9.661977124233341E-3</v>
      </c>
      <c r="P941" s="47">
        <f t="shared" si="118"/>
        <v>6.5696207600816944E-2</v>
      </c>
      <c r="Q941" s="47">
        <f t="shared" si="119"/>
        <v>1</v>
      </c>
    </row>
    <row r="942" spans="1:17" x14ac:dyDescent="0.35">
      <c r="A942" s="82">
        <v>939</v>
      </c>
      <c r="B942" s="83" t="str">
        <f>_xlfn.XLOOKUP(A942,'TAZs by City - CCAG Model'!$A:$A,'TAZs by City - CCAG Model'!$B:$B,"Unknown")</f>
        <v>San Jose</v>
      </c>
      <c r="C942" s="82">
        <f>_xlfn.XLOOKUP(A942,'TAZs by City - CCAG Model'!$A:$A,'TAZs by City - CCAG Model'!$C:$C,999)</f>
        <v>3</v>
      </c>
      <c r="D942" s="82" t="str">
        <f t="shared" si="112"/>
        <v>NO</v>
      </c>
      <c r="E942" s="27">
        <v>3267.02</v>
      </c>
      <c r="F942" s="27">
        <v>2912.96</v>
      </c>
      <c r="G942" s="27">
        <v>84.52</v>
      </c>
      <c r="H942" s="27">
        <v>73.14</v>
      </c>
      <c r="I942" s="27">
        <v>434.78</v>
      </c>
      <c r="J942" s="27">
        <v>6884.96</v>
      </c>
      <c r="K942" s="47">
        <f t="shared" si="113"/>
        <v>0.47451546559457136</v>
      </c>
      <c r="L942" s="47">
        <f t="shared" si="114"/>
        <v>0.42309033022704562</v>
      </c>
      <c r="M942" s="84">
        <f t="shared" si="115"/>
        <v>0.89760579582161693</v>
      </c>
      <c r="N942" s="47">
        <f t="shared" si="116"/>
        <v>1.2276033557202946E-2</v>
      </c>
      <c r="O942" s="47">
        <f t="shared" si="117"/>
        <v>1.062315539959564E-2</v>
      </c>
      <c r="P942" s="47">
        <f t="shared" si="118"/>
        <v>6.314924124468406E-2</v>
      </c>
      <c r="Q942" s="47">
        <f t="shared" si="119"/>
        <v>1</v>
      </c>
    </row>
    <row r="943" spans="1:17" x14ac:dyDescent="0.35">
      <c r="A943" s="82">
        <v>940</v>
      </c>
      <c r="B943" s="83" t="str">
        <f>_xlfn.XLOOKUP(A943,'TAZs by City - CCAG Model'!$A:$A,'TAZs by City - CCAG Model'!$B:$B,"Unknown")</f>
        <v>San Jose</v>
      </c>
      <c r="C943" s="82">
        <f>_xlfn.XLOOKUP(A943,'TAZs by City - CCAG Model'!$A:$A,'TAZs by City - CCAG Model'!$C:$C,999)</f>
        <v>3</v>
      </c>
      <c r="D943" s="82" t="str">
        <f t="shared" si="112"/>
        <v>NO</v>
      </c>
      <c r="E943" s="27">
        <v>9070.5400000000009</v>
      </c>
      <c r="F943" s="27">
        <v>9549.16</v>
      </c>
      <c r="G943" s="27">
        <v>511.76</v>
      </c>
      <c r="H943" s="27">
        <v>257.56</v>
      </c>
      <c r="I943" s="27">
        <v>1566.18</v>
      </c>
      <c r="J943" s="27">
        <v>21503.56</v>
      </c>
      <c r="K943" s="47">
        <f t="shared" si="113"/>
        <v>0.42181573655710963</v>
      </c>
      <c r="L943" s="47">
        <f t="shared" si="114"/>
        <v>0.44407344644328656</v>
      </c>
      <c r="M943" s="84">
        <f t="shared" si="115"/>
        <v>0.86588918300039619</v>
      </c>
      <c r="N943" s="47">
        <f t="shared" si="116"/>
        <v>2.3798850050875293E-2</v>
      </c>
      <c r="O943" s="47">
        <f t="shared" si="117"/>
        <v>1.1977551624010162E-2</v>
      </c>
      <c r="P943" s="47">
        <f t="shared" si="118"/>
        <v>7.2833521519227507E-2</v>
      </c>
      <c r="Q943" s="47">
        <f t="shared" si="119"/>
        <v>1</v>
      </c>
    </row>
    <row r="944" spans="1:17" x14ac:dyDescent="0.35">
      <c r="A944" s="82">
        <v>941</v>
      </c>
      <c r="B944" s="83" t="str">
        <f>_xlfn.XLOOKUP(A944,'TAZs by City - CCAG Model'!$A:$A,'TAZs by City - CCAG Model'!$B:$B,"Unknown")</f>
        <v>San Jose</v>
      </c>
      <c r="C944" s="82">
        <f>_xlfn.XLOOKUP(A944,'TAZs by City - CCAG Model'!$A:$A,'TAZs by City - CCAG Model'!$C:$C,999)</f>
        <v>3</v>
      </c>
      <c r="D944" s="82" t="str">
        <f t="shared" si="112"/>
        <v>NO</v>
      </c>
      <c r="E944" s="27">
        <v>8542.7199999999993</v>
      </c>
      <c r="F944" s="27">
        <v>6779.94</v>
      </c>
      <c r="G944" s="27">
        <v>207.92</v>
      </c>
      <c r="H944" s="27">
        <v>220.94</v>
      </c>
      <c r="I944" s="27">
        <v>1274.76</v>
      </c>
      <c r="J944" s="27">
        <v>17274.64</v>
      </c>
      <c r="K944" s="47">
        <f t="shared" si="113"/>
        <v>0.4945237643157831</v>
      </c>
      <c r="L944" s="47">
        <f t="shared" si="114"/>
        <v>0.39247938017811079</v>
      </c>
      <c r="M944" s="84">
        <f t="shared" si="115"/>
        <v>0.88700314449389395</v>
      </c>
      <c r="N944" s="47">
        <f t="shared" si="116"/>
        <v>1.2036140839982772E-2</v>
      </c>
      <c r="O944" s="47">
        <f t="shared" si="117"/>
        <v>1.2789846850643487E-2</v>
      </c>
      <c r="P944" s="47">
        <f t="shared" si="118"/>
        <v>7.3793723052984025E-2</v>
      </c>
      <c r="Q944" s="47">
        <f t="shared" si="119"/>
        <v>1</v>
      </c>
    </row>
    <row r="945" spans="1:17" x14ac:dyDescent="0.35">
      <c r="A945" s="82">
        <v>942</v>
      </c>
      <c r="B945" s="83" t="str">
        <f>_xlfn.XLOOKUP(A945,'TAZs by City - CCAG Model'!$A:$A,'TAZs by City - CCAG Model'!$B:$B,"Unknown")</f>
        <v>San Jose</v>
      </c>
      <c r="C945" s="82">
        <f>_xlfn.XLOOKUP(A945,'TAZs by City - CCAG Model'!$A:$A,'TAZs by City - CCAG Model'!$C:$C,999)</f>
        <v>3</v>
      </c>
      <c r="D945" s="82" t="str">
        <f t="shared" si="112"/>
        <v>NO</v>
      </c>
      <c r="E945" s="27">
        <v>0</v>
      </c>
      <c r="F945" s="27">
        <v>0</v>
      </c>
      <c r="G945" s="27">
        <v>0</v>
      </c>
      <c r="H945" s="27">
        <v>0</v>
      </c>
      <c r="I945" s="27">
        <v>0</v>
      </c>
      <c r="J945" s="27">
        <v>0</v>
      </c>
      <c r="K945" s="47">
        <f t="shared" si="113"/>
        <v>0</v>
      </c>
      <c r="L945" s="47">
        <f t="shared" si="114"/>
        <v>0</v>
      </c>
      <c r="M945" s="84">
        <f t="shared" si="115"/>
        <v>0</v>
      </c>
      <c r="N945" s="47">
        <f t="shared" si="116"/>
        <v>0</v>
      </c>
      <c r="O945" s="47">
        <f t="shared" si="117"/>
        <v>0</v>
      </c>
      <c r="P945" s="47">
        <f t="shared" si="118"/>
        <v>0</v>
      </c>
      <c r="Q945" s="47">
        <f t="shared" si="119"/>
        <v>0</v>
      </c>
    </row>
    <row r="946" spans="1:17" x14ac:dyDescent="0.35">
      <c r="A946" s="82">
        <v>943</v>
      </c>
      <c r="B946" s="83" t="str">
        <f>_xlfn.XLOOKUP(A946,'TAZs by City - CCAG Model'!$A:$A,'TAZs by City - CCAG Model'!$B:$B,"Unknown")</f>
        <v>San Jose</v>
      </c>
      <c r="C946" s="82">
        <f>_xlfn.XLOOKUP(A946,'TAZs by City - CCAG Model'!$A:$A,'TAZs by City - CCAG Model'!$C:$C,999)</f>
        <v>3</v>
      </c>
      <c r="D946" s="82" t="str">
        <f t="shared" si="112"/>
        <v>NO</v>
      </c>
      <c r="E946" s="27">
        <v>8287.18</v>
      </c>
      <c r="F946" s="27">
        <v>8004.08</v>
      </c>
      <c r="G946" s="27">
        <v>146</v>
      </c>
      <c r="H946" s="27">
        <v>223.96</v>
      </c>
      <c r="I946" s="27">
        <v>1588</v>
      </c>
      <c r="J946" s="27">
        <v>18433.740000000002</v>
      </c>
      <c r="K946" s="47">
        <f t="shared" si="113"/>
        <v>0.44956585044597569</v>
      </c>
      <c r="L946" s="47">
        <f t="shared" si="114"/>
        <v>0.43420814224351645</v>
      </c>
      <c r="M946" s="84">
        <f t="shared" si="115"/>
        <v>0.88377399268949208</v>
      </c>
      <c r="N946" s="47">
        <f t="shared" si="116"/>
        <v>7.9202592637196787E-3</v>
      </c>
      <c r="O946" s="47">
        <f t="shared" si="117"/>
        <v>1.2149460717141502E-2</v>
      </c>
      <c r="P946" s="47">
        <f t="shared" si="118"/>
        <v>8.6146381580731846E-2</v>
      </c>
      <c r="Q946" s="47">
        <f t="shared" si="119"/>
        <v>1</v>
      </c>
    </row>
    <row r="947" spans="1:17" x14ac:dyDescent="0.35">
      <c r="A947" s="82">
        <v>944</v>
      </c>
      <c r="B947" s="83" t="str">
        <f>_xlfn.XLOOKUP(A947,'TAZs by City - CCAG Model'!$A:$A,'TAZs by City - CCAG Model'!$B:$B,"Unknown")</f>
        <v>San Jose</v>
      </c>
      <c r="C947" s="82">
        <f>_xlfn.XLOOKUP(A947,'TAZs by City - CCAG Model'!$A:$A,'TAZs by City - CCAG Model'!$C:$C,999)</f>
        <v>3</v>
      </c>
      <c r="D947" s="82" t="str">
        <f t="shared" si="112"/>
        <v>NO</v>
      </c>
      <c r="E947" s="27">
        <v>8544.64</v>
      </c>
      <c r="F947" s="27">
        <v>9342.2999999999993</v>
      </c>
      <c r="G947" s="27">
        <v>710.82</v>
      </c>
      <c r="H947" s="27">
        <v>278.44</v>
      </c>
      <c r="I947" s="27">
        <v>3206.48</v>
      </c>
      <c r="J947" s="27">
        <v>22834.44</v>
      </c>
      <c r="K947" s="47">
        <f t="shared" si="113"/>
        <v>0.3741996738260277</v>
      </c>
      <c r="L947" s="47">
        <f t="shared" si="114"/>
        <v>0.40913199535438571</v>
      </c>
      <c r="M947" s="84">
        <f t="shared" si="115"/>
        <v>0.78333166918041341</v>
      </c>
      <c r="N947" s="47">
        <f t="shared" si="116"/>
        <v>3.1129294171435784E-2</v>
      </c>
      <c r="O947" s="47">
        <f t="shared" si="117"/>
        <v>1.2193861552987505E-2</v>
      </c>
      <c r="P947" s="47">
        <f t="shared" si="118"/>
        <v>0.14042297512003798</v>
      </c>
      <c r="Q947" s="47">
        <f t="shared" si="119"/>
        <v>1</v>
      </c>
    </row>
    <row r="948" spans="1:17" x14ac:dyDescent="0.35">
      <c r="A948" s="82">
        <v>945</v>
      </c>
      <c r="B948" s="83" t="str">
        <f>_xlfn.XLOOKUP(A948,'TAZs by City - CCAG Model'!$A:$A,'TAZs by City - CCAG Model'!$B:$B,"Unknown")</f>
        <v>San Jose</v>
      </c>
      <c r="C948" s="82">
        <f>_xlfn.XLOOKUP(A948,'TAZs by City - CCAG Model'!$A:$A,'TAZs by City - CCAG Model'!$C:$C,999)</f>
        <v>3</v>
      </c>
      <c r="D948" s="82" t="str">
        <f t="shared" si="112"/>
        <v>NO</v>
      </c>
      <c r="E948" s="27">
        <v>5210.58</v>
      </c>
      <c r="F948" s="27">
        <v>3811.16</v>
      </c>
      <c r="G948" s="27">
        <v>57.56</v>
      </c>
      <c r="H948" s="27">
        <v>110.94</v>
      </c>
      <c r="I948" s="27">
        <v>576.96</v>
      </c>
      <c r="J948" s="27">
        <v>9862.2999999999993</v>
      </c>
      <c r="K948" s="47">
        <f t="shared" si="113"/>
        <v>0.52833314744025228</v>
      </c>
      <c r="L948" s="47">
        <f t="shared" si="114"/>
        <v>0.3864372408058972</v>
      </c>
      <c r="M948" s="84">
        <f t="shared" si="115"/>
        <v>0.91477038824614954</v>
      </c>
      <c r="N948" s="47">
        <f t="shared" si="116"/>
        <v>5.8363667704288049E-3</v>
      </c>
      <c r="O948" s="47">
        <f t="shared" si="117"/>
        <v>1.1248897316041898E-2</v>
      </c>
      <c r="P948" s="47">
        <f t="shared" si="118"/>
        <v>5.8501566571692212E-2</v>
      </c>
      <c r="Q948" s="47">
        <f t="shared" si="119"/>
        <v>1</v>
      </c>
    </row>
    <row r="949" spans="1:17" x14ac:dyDescent="0.35">
      <c r="A949" s="82">
        <v>946</v>
      </c>
      <c r="B949" s="83" t="str">
        <f>_xlfn.XLOOKUP(A949,'TAZs by City - CCAG Model'!$A:$A,'TAZs by City - CCAG Model'!$B:$B,"Unknown")</f>
        <v>Unincorporated</v>
      </c>
      <c r="C949" s="82">
        <f>_xlfn.XLOOKUP(A949,'TAZs by City - CCAG Model'!$A:$A,'TAZs by City - CCAG Model'!$C:$C,999)</f>
        <v>3</v>
      </c>
      <c r="D949" s="82" t="str">
        <f t="shared" si="112"/>
        <v>NO</v>
      </c>
      <c r="E949" s="27">
        <v>1719.6</v>
      </c>
      <c r="F949" s="27">
        <v>1280.6199999999999</v>
      </c>
      <c r="G949" s="27">
        <v>14.6</v>
      </c>
      <c r="H949" s="27">
        <v>28</v>
      </c>
      <c r="I949" s="27">
        <v>122.86</v>
      </c>
      <c r="J949" s="27">
        <v>3208.06</v>
      </c>
      <c r="K949" s="47">
        <f t="shared" si="113"/>
        <v>0.53602488731507514</v>
      </c>
      <c r="L949" s="47">
        <f t="shared" si="114"/>
        <v>0.39918829448327026</v>
      </c>
      <c r="M949" s="84">
        <f t="shared" si="115"/>
        <v>0.93521318179834534</v>
      </c>
      <c r="N949" s="47">
        <f t="shared" si="116"/>
        <v>4.5510370753664205E-3</v>
      </c>
      <c r="O949" s="47">
        <f t="shared" si="117"/>
        <v>8.7280163089219036E-3</v>
      </c>
      <c r="P949" s="47">
        <f t="shared" si="118"/>
        <v>3.8297288704076608E-2</v>
      </c>
      <c r="Q949" s="47">
        <f t="shared" si="119"/>
        <v>1</v>
      </c>
    </row>
    <row r="950" spans="1:17" x14ac:dyDescent="0.35">
      <c r="A950" s="82">
        <v>947</v>
      </c>
      <c r="B950" s="83" t="str">
        <f>_xlfn.XLOOKUP(A950,'TAZs by City - CCAG Model'!$A:$A,'TAZs by City - CCAG Model'!$B:$B,"Unknown")</f>
        <v>San Jose</v>
      </c>
      <c r="C950" s="82">
        <f>_xlfn.XLOOKUP(A950,'TAZs by City - CCAG Model'!$A:$A,'TAZs by City - CCAG Model'!$C:$C,999)</f>
        <v>3</v>
      </c>
      <c r="D950" s="82" t="str">
        <f t="shared" si="112"/>
        <v>NO</v>
      </c>
      <c r="E950" s="27">
        <v>5951.12</v>
      </c>
      <c r="F950" s="27">
        <v>5068.78</v>
      </c>
      <c r="G950" s="27">
        <v>591.12</v>
      </c>
      <c r="H950" s="27">
        <v>198.38</v>
      </c>
      <c r="I950" s="27">
        <v>800.82</v>
      </c>
      <c r="J950" s="27">
        <v>13231.74</v>
      </c>
      <c r="K950" s="47">
        <f t="shared" si="113"/>
        <v>0.44976095358584739</v>
      </c>
      <c r="L950" s="47">
        <f t="shared" si="114"/>
        <v>0.38307735792873798</v>
      </c>
      <c r="M950" s="84">
        <f t="shared" si="115"/>
        <v>0.83283831151458532</v>
      </c>
      <c r="N950" s="47">
        <f t="shared" si="116"/>
        <v>4.4674396564624158E-2</v>
      </c>
      <c r="O950" s="47">
        <f t="shared" si="117"/>
        <v>1.4992737160796691E-2</v>
      </c>
      <c r="P950" s="47">
        <f t="shared" si="118"/>
        <v>6.0522652349577613E-2</v>
      </c>
      <c r="Q950" s="47">
        <f t="shared" si="119"/>
        <v>1</v>
      </c>
    </row>
    <row r="951" spans="1:17" x14ac:dyDescent="0.35">
      <c r="A951" s="82">
        <v>948</v>
      </c>
      <c r="B951" s="83" t="str">
        <f>_xlfn.XLOOKUP(A951,'TAZs by City - CCAG Model'!$A:$A,'TAZs by City - CCAG Model'!$B:$B,"Unknown")</f>
        <v>San Jose</v>
      </c>
      <c r="C951" s="82">
        <f>_xlfn.XLOOKUP(A951,'TAZs by City - CCAG Model'!$A:$A,'TAZs by City - CCAG Model'!$C:$C,999)</f>
        <v>3</v>
      </c>
      <c r="D951" s="82" t="str">
        <f t="shared" si="112"/>
        <v>NO</v>
      </c>
      <c r="E951" s="27">
        <v>5164.68</v>
      </c>
      <c r="F951" s="27">
        <v>1939.82</v>
      </c>
      <c r="G951" s="27">
        <v>336.48</v>
      </c>
      <c r="H951" s="27">
        <v>81.36</v>
      </c>
      <c r="I951" s="27">
        <v>2121.64</v>
      </c>
      <c r="J951" s="27">
        <v>10026.9</v>
      </c>
      <c r="K951" s="47">
        <f t="shared" si="113"/>
        <v>0.51508242826795925</v>
      </c>
      <c r="L951" s="47">
        <f t="shared" si="114"/>
        <v>0.19346158832739929</v>
      </c>
      <c r="M951" s="84">
        <f t="shared" si="115"/>
        <v>0.70854401659535848</v>
      </c>
      <c r="N951" s="47">
        <f t="shared" si="116"/>
        <v>3.3557729707087938E-2</v>
      </c>
      <c r="O951" s="47">
        <f t="shared" si="117"/>
        <v>8.1141728749663401E-3</v>
      </c>
      <c r="P951" s="47">
        <f t="shared" si="118"/>
        <v>0.21159480996120436</v>
      </c>
      <c r="Q951" s="47">
        <f t="shared" si="119"/>
        <v>1</v>
      </c>
    </row>
    <row r="952" spans="1:17" x14ac:dyDescent="0.35">
      <c r="A952" s="82">
        <v>949</v>
      </c>
      <c r="B952" s="83" t="str">
        <f>_xlfn.XLOOKUP(A952,'TAZs by City - CCAG Model'!$A:$A,'TAZs by City - CCAG Model'!$B:$B,"Unknown")</f>
        <v>San Jose</v>
      </c>
      <c r="C952" s="82">
        <f>_xlfn.XLOOKUP(A952,'TAZs by City - CCAG Model'!$A:$A,'TAZs by City - CCAG Model'!$C:$C,999)</f>
        <v>3</v>
      </c>
      <c r="D952" s="82" t="str">
        <f t="shared" si="112"/>
        <v>NO</v>
      </c>
      <c r="E952" s="27">
        <v>2970.9</v>
      </c>
      <c r="F952" s="27">
        <v>823.76</v>
      </c>
      <c r="G952" s="27">
        <v>76.8</v>
      </c>
      <c r="H952" s="27">
        <v>38.78</v>
      </c>
      <c r="I952" s="27">
        <v>63.16</v>
      </c>
      <c r="J952" s="27">
        <v>4097.38</v>
      </c>
      <c r="K952" s="47">
        <f t="shared" si="113"/>
        <v>0.72507309549028887</v>
      </c>
      <c r="L952" s="47">
        <f t="shared" si="114"/>
        <v>0.20104554617828954</v>
      </c>
      <c r="M952" s="84">
        <f t="shared" si="115"/>
        <v>0.92611864166857838</v>
      </c>
      <c r="N952" s="47">
        <f t="shared" si="116"/>
        <v>1.8743684988944152E-2</v>
      </c>
      <c r="O952" s="47">
        <f t="shared" si="117"/>
        <v>9.4645846858236234E-3</v>
      </c>
      <c r="P952" s="47">
        <f t="shared" si="118"/>
        <v>1.5414728436220217E-2</v>
      </c>
      <c r="Q952" s="47">
        <f t="shared" si="119"/>
        <v>1</v>
      </c>
    </row>
    <row r="953" spans="1:17" x14ac:dyDescent="0.35">
      <c r="A953" s="82">
        <v>950</v>
      </c>
      <c r="B953" s="83" t="str">
        <f>_xlfn.XLOOKUP(A953,'TAZs by City - CCAG Model'!$A:$A,'TAZs by City - CCAG Model'!$B:$B,"Unknown")</f>
        <v>San Jose</v>
      </c>
      <c r="C953" s="82">
        <f>_xlfn.XLOOKUP(A953,'TAZs by City - CCAG Model'!$A:$A,'TAZs by City - CCAG Model'!$C:$C,999)</f>
        <v>3</v>
      </c>
      <c r="D953" s="82" t="str">
        <f t="shared" si="112"/>
        <v>NO</v>
      </c>
      <c r="E953" s="27">
        <v>2188.1</v>
      </c>
      <c r="F953" s="27">
        <v>634.9</v>
      </c>
      <c r="G953" s="27">
        <v>52.7</v>
      </c>
      <c r="H953" s="27">
        <v>22.12</v>
      </c>
      <c r="I953" s="27">
        <v>59.52</v>
      </c>
      <c r="J953" s="27">
        <v>3054.14</v>
      </c>
      <c r="K953" s="47">
        <f t="shared" si="113"/>
        <v>0.71643736043534345</v>
      </c>
      <c r="L953" s="47">
        <f t="shared" si="114"/>
        <v>0.2078817604955896</v>
      </c>
      <c r="M953" s="84">
        <f t="shared" si="115"/>
        <v>0.92431912093093316</v>
      </c>
      <c r="N953" s="47">
        <f t="shared" si="116"/>
        <v>1.725526662170038E-2</v>
      </c>
      <c r="O953" s="47">
        <f t="shared" si="117"/>
        <v>7.2426280393171243E-3</v>
      </c>
      <c r="P953" s="47">
        <f t="shared" si="118"/>
        <v>1.9488301125685139E-2</v>
      </c>
      <c r="Q953" s="47">
        <f t="shared" si="119"/>
        <v>1</v>
      </c>
    </row>
    <row r="954" spans="1:17" x14ac:dyDescent="0.35">
      <c r="A954" s="82">
        <v>951</v>
      </c>
      <c r="B954" s="83" t="str">
        <f>_xlfn.XLOOKUP(A954,'TAZs by City - CCAG Model'!$A:$A,'TAZs by City - CCAG Model'!$B:$B,"Unknown")</f>
        <v>San Jose</v>
      </c>
      <c r="C954" s="82">
        <f>_xlfn.XLOOKUP(A954,'TAZs by City - CCAG Model'!$A:$A,'TAZs by City - CCAG Model'!$C:$C,999)</f>
        <v>3</v>
      </c>
      <c r="D954" s="82" t="str">
        <f t="shared" si="112"/>
        <v>NO</v>
      </c>
      <c r="E954" s="27">
        <v>8188.66</v>
      </c>
      <c r="F954" s="27">
        <v>2714.62</v>
      </c>
      <c r="G954" s="27">
        <v>281.33999999999997</v>
      </c>
      <c r="H954" s="27">
        <v>132.19999999999999</v>
      </c>
      <c r="I954" s="27">
        <v>1112.3800000000001</v>
      </c>
      <c r="J954" s="27">
        <v>12745.1</v>
      </c>
      <c r="K954" s="47">
        <f t="shared" si="113"/>
        <v>0.64249476269311345</v>
      </c>
      <c r="L954" s="47">
        <f t="shared" si="114"/>
        <v>0.21299322877027249</v>
      </c>
      <c r="M954" s="84">
        <f t="shared" si="115"/>
        <v>0.85548799146338583</v>
      </c>
      <c r="N954" s="47">
        <f t="shared" si="116"/>
        <v>2.2074365834712947E-2</v>
      </c>
      <c r="O954" s="47">
        <f t="shared" si="117"/>
        <v>1.0372613788828648E-2</v>
      </c>
      <c r="P954" s="47">
        <f t="shared" si="118"/>
        <v>8.7279032726302663E-2</v>
      </c>
      <c r="Q954" s="47">
        <f t="shared" si="119"/>
        <v>1</v>
      </c>
    </row>
    <row r="955" spans="1:17" x14ac:dyDescent="0.35">
      <c r="A955" s="82">
        <v>952</v>
      </c>
      <c r="B955" s="83" t="str">
        <f>_xlfn.XLOOKUP(A955,'TAZs by City - CCAG Model'!$A:$A,'TAZs by City - CCAG Model'!$B:$B,"Unknown")</f>
        <v>San Jose</v>
      </c>
      <c r="C955" s="82">
        <f>_xlfn.XLOOKUP(A955,'TAZs by City - CCAG Model'!$A:$A,'TAZs by City - CCAG Model'!$C:$C,999)</f>
        <v>3</v>
      </c>
      <c r="D955" s="82" t="str">
        <f t="shared" si="112"/>
        <v>NO</v>
      </c>
      <c r="E955" s="27">
        <v>23094.46</v>
      </c>
      <c r="F955" s="27">
        <v>10185.58</v>
      </c>
      <c r="G955" s="27">
        <v>854.3</v>
      </c>
      <c r="H955" s="27">
        <v>395.36</v>
      </c>
      <c r="I955" s="27">
        <v>1840.08</v>
      </c>
      <c r="J955" s="27">
        <v>37242.080000000002</v>
      </c>
      <c r="K955" s="47">
        <f t="shared" si="113"/>
        <v>0.62011735112539357</v>
      </c>
      <c r="L955" s="47">
        <f t="shared" si="114"/>
        <v>0.27349653939844387</v>
      </c>
      <c r="M955" s="84">
        <f t="shared" si="115"/>
        <v>0.89361389052383755</v>
      </c>
      <c r="N955" s="47">
        <f t="shared" si="116"/>
        <v>2.2939105442016126E-2</v>
      </c>
      <c r="O955" s="47">
        <f t="shared" si="117"/>
        <v>1.061594841104471E-2</v>
      </c>
      <c r="P955" s="47">
        <f t="shared" si="118"/>
        <v>4.9408625941408206E-2</v>
      </c>
      <c r="Q955" s="47">
        <f t="shared" si="119"/>
        <v>1</v>
      </c>
    </row>
    <row r="956" spans="1:17" x14ac:dyDescent="0.35">
      <c r="A956" s="82">
        <v>953</v>
      </c>
      <c r="B956" s="83" t="str">
        <f>_xlfn.XLOOKUP(A956,'TAZs by City - CCAG Model'!$A:$A,'TAZs by City - CCAG Model'!$B:$B,"Unknown")</f>
        <v>San Jose</v>
      </c>
      <c r="C956" s="82">
        <f>_xlfn.XLOOKUP(A956,'TAZs by City - CCAG Model'!$A:$A,'TAZs by City - CCAG Model'!$C:$C,999)</f>
        <v>3</v>
      </c>
      <c r="D956" s="82" t="str">
        <f t="shared" si="112"/>
        <v>NO</v>
      </c>
      <c r="E956" s="27">
        <v>20660.400000000001</v>
      </c>
      <c r="F956" s="27">
        <v>6878.3</v>
      </c>
      <c r="G956" s="27">
        <v>1222.9000000000001</v>
      </c>
      <c r="H956" s="27">
        <v>259.42</v>
      </c>
      <c r="I956" s="27">
        <v>1933.12</v>
      </c>
      <c r="J956" s="27">
        <v>32192.12</v>
      </c>
      <c r="K956" s="47">
        <f t="shared" si="113"/>
        <v>0.6417843869866291</v>
      </c>
      <c r="L956" s="47">
        <f t="shared" si="114"/>
        <v>0.21366408922431951</v>
      </c>
      <c r="M956" s="84">
        <f t="shared" si="115"/>
        <v>0.85544847621094855</v>
      </c>
      <c r="N956" s="47">
        <f t="shared" si="116"/>
        <v>3.7987557203439853E-2</v>
      </c>
      <c r="O956" s="47">
        <f t="shared" si="117"/>
        <v>8.0584938177417336E-3</v>
      </c>
      <c r="P956" s="47">
        <f t="shared" si="118"/>
        <v>6.0049477946777036E-2</v>
      </c>
      <c r="Q956" s="47">
        <f t="shared" si="119"/>
        <v>1</v>
      </c>
    </row>
    <row r="957" spans="1:17" x14ac:dyDescent="0.35">
      <c r="A957" s="82">
        <v>954</v>
      </c>
      <c r="B957" s="83" t="str">
        <f>_xlfn.XLOOKUP(A957,'TAZs by City - CCAG Model'!$A:$A,'TAZs by City - CCAG Model'!$B:$B,"Unknown")</f>
        <v>San Jose</v>
      </c>
      <c r="C957" s="82">
        <f>_xlfn.XLOOKUP(A957,'TAZs by City - CCAG Model'!$A:$A,'TAZs by City - CCAG Model'!$C:$C,999)</f>
        <v>3</v>
      </c>
      <c r="D957" s="82" t="str">
        <f t="shared" si="112"/>
        <v>NO</v>
      </c>
      <c r="E957" s="27">
        <v>11035.86</v>
      </c>
      <c r="F957" s="27">
        <v>8525.8799999999992</v>
      </c>
      <c r="G957" s="27">
        <v>357.84</v>
      </c>
      <c r="H957" s="27">
        <v>235.62</v>
      </c>
      <c r="I957" s="27">
        <v>2215.7199999999998</v>
      </c>
      <c r="J957" s="27">
        <v>22770.76</v>
      </c>
      <c r="K957" s="47">
        <f t="shared" si="113"/>
        <v>0.48465049036571467</v>
      </c>
      <c r="L957" s="47">
        <f t="shared" si="114"/>
        <v>0.37442228542218176</v>
      </c>
      <c r="M957" s="84">
        <f t="shared" si="115"/>
        <v>0.85907277578789643</v>
      </c>
      <c r="N957" s="47">
        <f t="shared" si="116"/>
        <v>1.5714890499921828E-2</v>
      </c>
      <c r="O957" s="47">
        <f t="shared" si="117"/>
        <v>1.0347480716497826E-2</v>
      </c>
      <c r="P957" s="47">
        <f t="shared" si="118"/>
        <v>9.7305491779808836E-2</v>
      </c>
      <c r="Q957" s="47">
        <f t="shared" si="119"/>
        <v>1</v>
      </c>
    </row>
    <row r="958" spans="1:17" x14ac:dyDescent="0.35">
      <c r="A958" s="82">
        <v>955</v>
      </c>
      <c r="B958" s="83" t="str">
        <f>_xlfn.XLOOKUP(A958,'TAZs by City - CCAG Model'!$A:$A,'TAZs by City - CCAG Model'!$B:$B,"Unknown")</f>
        <v>San Jose</v>
      </c>
      <c r="C958" s="82">
        <f>_xlfn.XLOOKUP(A958,'TAZs by City - CCAG Model'!$A:$A,'TAZs by City - CCAG Model'!$C:$C,999)</f>
        <v>3</v>
      </c>
      <c r="D958" s="82" t="str">
        <f t="shared" si="112"/>
        <v>NO</v>
      </c>
      <c r="E958" s="27">
        <v>5406.1</v>
      </c>
      <c r="F958" s="27">
        <v>4335.46</v>
      </c>
      <c r="G958" s="27">
        <v>233.48</v>
      </c>
      <c r="H958" s="27">
        <v>104.56</v>
      </c>
      <c r="I958" s="27">
        <v>1432.28</v>
      </c>
      <c r="J958" s="27">
        <v>11782.16</v>
      </c>
      <c r="K958" s="47">
        <f t="shared" si="113"/>
        <v>0.45883776828696948</v>
      </c>
      <c r="L958" s="47">
        <f t="shared" si="114"/>
        <v>0.36796818240458457</v>
      </c>
      <c r="M958" s="84">
        <f t="shared" si="115"/>
        <v>0.82680595069155416</v>
      </c>
      <c r="N958" s="47">
        <f t="shared" si="116"/>
        <v>1.9816400388383792E-2</v>
      </c>
      <c r="O958" s="47">
        <f t="shared" si="117"/>
        <v>8.8744338898809737E-3</v>
      </c>
      <c r="P958" s="47">
        <f t="shared" si="118"/>
        <v>0.12156344846785309</v>
      </c>
      <c r="Q958" s="47">
        <f t="shared" si="119"/>
        <v>1</v>
      </c>
    </row>
    <row r="959" spans="1:17" x14ac:dyDescent="0.35">
      <c r="A959" s="82">
        <v>956</v>
      </c>
      <c r="B959" s="83" t="str">
        <f>_xlfn.XLOOKUP(A959,'TAZs by City - CCAG Model'!$A:$A,'TAZs by City - CCAG Model'!$B:$B,"Unknown")</f>
        <v>San Jose</v>
      </c>
      <c r="C959" s="82">
        <f>_xlfn.XLOOKUP(A959,'TAZs by City - CCAG Model'!$A:$A,'TAZs by City - CCAG Model'!$C:$C,999)</f>
        <v>3</v>
      </c>
      <c r="D959" s="82" t="str">
        <f t="shared" si="112"/>
        <v>NO</v>
      </c>
      <c r="E959" s="27">
        <v>4429.0600000000004</v>
      </c>
      <c r="F959" s="27">
        <v>3723.14</v>
      </c>
      <c r="G959" s="27">
        <v>165.1</v>
      </c>
      <c r="H959" s="27">
        <v>83.12</v>
      </c>
      <c r="I959" s="27">
        <v>779.58</v>
      </c>
      <c r="J959" s="27">
        <v>9377.9599999999991</v>
      </c>
      <c r="K959" s="47">
        <f t="shared" si="113"/>
        <v>0.4722839508805754</v>
      </c>
      <c r="L959" s="47">
        <f t="shared" si="114"/>
        <v>0.39700958417395682</v>
      </c>
      <c r="M959" s="84">
        <f t="shared" si="115"/>
        <v>0.86929353505453233</v>
      </c>
      <c r="N959" s="47">
        <f t="shared" si="116"/>
        <v>1.7605108147187663E-2</v>
      </c>
      <c r="O959" s="47">
        <f t="shared" si="117"/>
        <v>8.8633348830662543E-3</v>
      </c>
      <c r="P959" s="47">
        <f t="shared" si="118"/>
        <v>8.312895341844069E-2</v>
      </c>
      <c r="Q959" s="47">
        <f t="shared" si="119"/>
        <v>1</v>
      </c>
    </row>
    <row r="960" spans="1:17" x14ac:dyDescent="0.35">
      <c r="A960" s="82">
        <v>957</v>
      </c>
      <c r="B960" s="83" t="str">
        <f>_xlfn.XLOOKUP(A960,'TAZs by City - CCAG Model'!$A:$A,'TAZs by City - CCAG Model'!$B:$B,"Unknown")</f>
        <v>San Jose</v>
      </c>
      <c r="C960" s="82">
        <f>_xlfn.XLOOKUP(A960,'TAZs by City - CCAG Model'!$A:$A,'TAZs by City - CCAG Model'!$C:$C,999)</f>
        <v>3</v>
      </c>
      <c r="D960" s="82" t="str">
        <f t="shared" si="112"/>
        <v>NO</v>
      </c>
      <c r="E960" s="27">
        <v>12610.34</v>
      </c>
      <c r="F960" s="27">
        <v>7943.32</v>
      </c>
      <c r="G960" s="27">
        <v>482.1</v>
      </c>
      <c r="H960" s="27">
        <v>258.2</v>
      </c>
      <c r="I960" s="27">
        <v>2917.72</v>
      </c>
      <c r="J960" s="27">
        <v>24728.02</v>
      </c>
      <c r="K960" s="47">
        <f t="shared" si="113"/>
        <v>0.50996157395537534</v>
      </c>
      <c r="L960" s="47">
        <f t="shared" si="114"/>
        <v>0.32122749819840002</v>
      </c>
      <c r="M960" s="84">
        <f t="shared" si="115"/>
        <v>0.83118907215377535</v>
      </c>
      <c r="N960" s="47">
        <f t="shared" si="116"/>
        <v>1.949610199280007E-2</v>
      </c>
      <c r="O960" s="47">
        <f t="shared" si="117"/>
        <v>1.0441596213526194E-2</v>
      </c>
      <c r="P960" s="47">
        <f t="shared" si="118"/>
        <v>0.11799246361010707</v>
      </c>
      <c r="Q960" s="47">
        <f t="shared" si="119"/>
        <v>1</v>
      </c>
    </row>
    <row r="961" spans="1:17" x14ac:dyDescent="0.35">
      <c r="A961" s="82">
        <v>958</v>
      </c>
      <c r="B961" s="83" t="str">
        <f>_xlfn.XLOOKUP(A961,'TAZs by City - CCAG Model'!$A:$A,'TAZs by City - CCAG Model'!$B:$B,"Unknown")</f>
        <v>San Jose</v>
      </c>
      <c r="C961" s="82">
        <f>_xlfn.XLOOKUP(A961,'TAZs by City - CCAG Model'!$A:$A,'TAZs by City - CCAG Model'!$C:$C,999)</f>
        <v>3</v>
      </c>
      <c r="D961" s="82" t="str">
        <f t="shared" si="112"/>
        <v>NO</v>
      </c>
      <c r="E961" s="27">
        <v>5444.56</v>
      </c>
      <c r="F961" s="27">
        <v>1657.32</v>
      </c>
      <c r="G961" s="27">
        <v>415.82</v>
      </c>
      <c r="H961" s="27">
        <v>61.06</v>
      </c>
      <c r="I961" s="27">
        <v>222.56</v>
      </c>
      <c r="J961" s="27">
        <v>8249.08</v>
      </c>
      <c r="K961" s="47">
        <f t="shared" si="113"/>
        <v>0.6600202689269592</v>
      </c>
      <c r="L961" s="47">
        <f t="shared" si="114"/>
        <v>0.20090967720036659</v>
      </c>
      <c r="M961" s="84">
        <f t="shared" si="115"/>
        <v>0.86092994612732576</v>
      </c>
      <c r="N961" s="47">
        <f t="shared" si="116"/>
        <v>5.0408045503256123E-2</v>
      </c>
      <c r="O961" s="47">
        <f t="shared" si="117"/>
        <v>7.4020375605522073E-3</v>
      </c>
      <c r="P961" s="47">
        <f t="shared" si="118"/>
        <v>2.6979978373345877E-2</v>
      </c>
      <c r="Q961" s="47">
        <f t="shared" si="119"/>
        <v>1</v>
      </c>
    </row>
    <row r="962" spans="1:17" x14ac:dyDescent="0.35">
      <c r="A962" s="82">
        <v>959</v>
      </c>
      <c r="B962" s="83" t="str">
        <f>_xlfn.XLOOKUP(A962,'TAZs by City - CCAG Model'!$A:$A,'TAZs by City - CCAG Model'!$B:$B,"Unknown")</f>
        <v>San Jose</v>
      </c>
      <c r="C962" s="82">
        <f>_xlfn.XLOOKUP(A962,'TAZs by City - CCAG Model'!$A:$A,'TAZs by City - CCAG Model'!$C:$C,999)</f>
        <v>3</v>
      </c>
      <c r="D962" s="82" t="str">
        <f t="shared" si="112"/>
        <v>NO</v>
      </c>
      <c r="E962" s="27">
        <v>4417.32</v>
      </c>
      <c r="F962" s="27">
        <v>3338.92</v>
      </c>
      <c r="G962" s="27">
        <v>132.06</v>
      </c>
      <c r="H962" s="27">
        <v>124.52</v>
      </c>
      <c r="I962" s="27">
        <v>661.22</v>
      </c>
      <c r="J962" s="27">
        <v>8847.5</v>
      </c>
      <c r="K962" s="47">
        <f t="shared" si="113"/>
        <v>0.49927324102853909</v>
      </c>
      <c r="L962" s="47">
        <f t="shared" si="114"/>
        <v>0.37738570217575584</v>
      </c>
      <c r="M962" s="84">
        <f t="shared" si="115"/>
        <v>0.87665894320429494</v>
      </c>
      <c r="N962" s="47">
        <f t="shared" si="116"/>
        <v>1.492625035320712E-2</v>
      </c>
      <c r="O962" s="47">
        <f t="shared" si="117"/>
        <v>1.4074032212489403E-2</v>
      </c>
      <c r="P962" s="47">
        <f t="shared" si="118"/>
        <v>7.4735235942356606E-2</v>
      </c>
      <c r="Q962" s="47">
        <f t="shared" si="119"/>
        <v>1</v>
      </c>
    </row>
    <row r="963" spans="1:17" x14ac:dyDescent="0.35">
      <c r="A963" s="82">
        <v>960</v>
      </c>
      <c r="B963" s="83" t="str">
        <f>_xlfn.XLOOKUP(A963,'TAZs by City - CCAG Model'!$A:$A,'TAZs by City - CCAG Model'!$B:$B,"Unknown")</f>
        <v>San Jose</v>
      </c>
      <c r="C963" s="82">
        <f>_xlfn.XLOOKUP(A963,'TAZs by City - CCAG Model'!$A:$A,'TAZs by City - CCAG Model'!$C:$C,999)</f>
        <v>3</v>
      </c>
      <c r="D963" s="82" t="str">
        <f t="shared" si="112"/>
        <v>NO</v>
      </c>
      <c r="E963" s="27">
        <v>5064.26</v>
      </c>
      <c r="F963" s="27">
        <v>1499.1</v>
      </c>
      <c r="G963" s="27">
        <v>216</v>
      </c>
      <c r="H963" s="27">
        <v>57.98</v>
      </c>
      <c r="I963" s="27">
        <v>154.9</v>
      </c>
      <c r="J963" s="27">
        <v>7244.28</v>
      </c>
      <c r="K963" s="47">
        <f t="shared" si="113"/>
        <v>0.69907016294234903</v>
      </c>
      <c r="L963" s="47">
        <f t="shared" si="114"/>
        <v>0.20693567890804881</v>
      </c>
      <c r="M963" s="84">
        <f t="shared" si="115"/>
        <v>0.9060058418503979</v>
      </c>
      <c r="N963" s="47">
        <f t="shared" si="116"/>
        <v>2.9816627739402676E-2</v>
      </c>
      <c r="O963" s="47">
        <f t="shared" si="117"/>
        <v>8.0035559089378094E-3</v>
      </c>
      <c r="P963" s="47">
        <f t="shared" si="118"/>
        <v>2.1382387207562383E-2</v>
      </c>
      <c r="Q963" s="47">
        <f t="shared" si="119"/>
        <v>1</v>
      </c>
    </row>
    <row r="964" spans="1:17" x14ac:dyDescent="0.35">
      <c r="A964" s="82">
        <v>961</v>
      </c>
      <c r="B964" s="83" t="str">
        <f>_xlfn.XLOOKUP(A964,'TAZs by City - CCAG Model'!$A:$A,'TAZs by City - CCAG Model'!$B:$B,"Unknown")</f>
        <v>San Jose</v>
      </c>
      <c r="C964" s="82">
        <f>_xlfn.XLOOKUP(A964,'TAZs by City - CCAG Model'!$A:$A,'TAZs by City - CCAG Model'!$C:$C,999)</f>
        <v>3</v>
      </c>
      <c r="D964" s="82" t="str">
        <f t="shared" si="112"/>
        <v>NO</v>
      </c>
      <c r="E964" s="27">
        <v>4418.1000000000004</v>
      </c>
      <c r="F964" s="27">
        <v>1301.3800000000001</v>
      </c>
      <c r="G964" s="27">
        <v>294.42</v>
      </c>
      <c r="H964" s="27">
        <v>48.98</v>
      </c>
      <c r="I964" s="27">
        <v>151.06</v>
      </c>
      <c r="J964" s="27">
        <v>6546.42</v>
      </c>
      <c r="K964" s="47">
        <f t="shared" si="113"/>
        <v>0.67488795402678114</v>
      </c>
      <c r="L964" s="47">
        <f t="shared" si="114"/>
        <v>0.19879262253262089</v>
      </c>
      <c r="M964" s="84">
        <f t="shared" si="115"/>
        <v>0.87368057655940201</v>
      </c>
      <c r="N964" s="47">
        <f t="shared" si="116"/>
        <v>4.4974199638886603E-2</v>
      </c>
      <c r="O964" s="47">
        <f t="shared" si="117"/>
        <v>7.4819519676403278E-3</v>
      </c>
      <c r="P964" s="47">
        <f t="shared" si="118"/>
        <v>2.3075207518002207E-2</v>
      </c>
      <c r="Q964" s="47">
        <f t="shared" si="119"/>
        <v>1</v>
      </c>
    </row>
    <row r="965" spans="1:17" x14ac:dyDescent="0.35">
      <c r="A965" s="82">
        <v>962</v>
      </c>
      <c r="B965" s="83" t="str">
        <f>_xlfn.XLOOKUP(A965,'TAZs by City - CCAG Model'!$A:$A,'TAZs by City - CCAG Model'!$B:$B,"Unknown")</f>
        <v>San Jose</v>
      </c>
      <c r="C965" s="82">
        <f>_xlfn.XLOOKUP(A965,'TAZs by City - CCAG Model'!$A:$A,'TAZs by City - CCAG Model'!$C:$C,999)</f>
        <v>3</v>
      </c>
      <c r="D965" s="82" t="str">
        <f t="shared" ref="D965:D1028" si="120">IF(C965=2,"YES","NO")</f>
        <v>NO</v>
      </c>
      <c r="E965" s="27">
        <v>8450.1</v>
      </c>
      <c r="F965" s="27">
        <v>2642.14</v>
      </c>
      <c r="G965" s="27">
        <v>628.6</v>
      </c>
      <c r="H965" s="27">
        <v>99.46</v>
      </c>
      <c r="I965" s="27">
        <v>280.8</v>
      </c>
      <c r="J965" s="27">
        <v>12754.66</v>
      </c>
      <c r="K965" s="47">
        <f t="shared" ref="K965:K1028" si="121">IFERROR(E965/$J965,0)</f>
        <v>0.66251079997428397</v>
      </c>
      <c r="L965" s="47">
        <f t="shared" ref="L965:L1028" si="122">IFERROR(F965/$J965,0)</f>
        <v>0.20715095502349729</v>
      </c>
      <c r="M965" s="84">
        <f t="shared" ref="M965:M1028" si="123">IFERROR((E965+F965)/J965,0)</f>
        <v>0.8696617549977812</v>
      </c>
      <c r="N965" s="47">
        <f t="shared" ref="N965:N1028" si="124">IFERROR(G965/$J965,0)</f>
        <v>4.928394798450135E-2</v>
      </c>
      <c r="O965" s="47">
        <f t="shared" ref="O965:O1028" si="125">IFERROR(H965/$J965,0)</f>
        <v>7.7979342452092013E-3</v>
      </c>
      <c r="P965" s="47">
        <f t="shared" ref="P965:P1028" si="126">IFERROR(I965/$J965,0)</f>
        <v>2.2015482968577759E-2</v>
      </c>
      <c r="Q965" s="47">
        <f t="shared" ref="Q965:Q1028" si="127">IFERROR(J965/$J965,0)</f>
        <v>1</v>
      </c>
    </row>
    <row r="966" spans="1:17" x14ac:dyDescent="0.35">
      <c r="A966" s="82">
        <v>963</v>
      </c>
      <c r="B966" s="83" t="str">
        <f>_xlfn.XLOOKUP(A966,'TAZs by City - CCAG Model'!$A:$A,'TAZs by City - CCAG Model'!$B:$B,"Unknown")</f>
        <v>San Jose</v>
      </c>
      <c r="C966" s="82">
        <f>_xlfn.XLOOKUP(A966,'TAZs by City - CCAG Model'!$A:$A,'TAZs by City - CCAG Model'!$C:$C,999)</f>
        <v>3</v>
      </c>
      <c r="D966" s="82" t="str">
        <f t="shared" si="120"/>
        <v>NO</v>
      </c>
      <c r="E966" s="27">
        <v>5623.22</v>
      </c>
      <c r="F966" s="27">
        <v>1871.76</v>
      </c>
      <c r="G966" s="27">
        <v>447.28</v>
      </c>
      <c r="H966" s="27">
        <v>67.239999999999995</v>
      </c>
      <c r="I966" s="27">
        <v>150.86000000000001</v>
      </c>
      <c r="J966" s="27">
        <v>8641.66</v>
      </c>
      <c r="K966" s="47">
        <f t="shared" si="121"/>
        <v>0.65071062735631813</v>
      </c>
      <c r="L966" s="47">
        <f t="shared" si="122"/>
        <v>0.21659727413483057</v>
      </c>
      <c r="M966" s="84">
        <f t="shared" si="123"/>
        <v>0.86730790149114878</v>
      </c>
      <c r="N966" s="47">
        <f t="shared" si="124"/>
        <v>5.1758574162834456E-2</v>
      </c>
      <c r="O966" s="47">
        <f t="shared" si="125"/>
        <v>7.7809124635775991E-3</v>
      </c>
      <c r="P966" s="47">
        <f t="shared" si="126"/>
        <v>1.7457294084701321E-2</v>
      </c>
      <c r="Q966" s="47">
        <f t="shared" si="127"/>
        <v>1</v>
      </c>
    </row>
    <row r="967" spans="1:17" x14ac:dyDescent="0.35">
      <c r="A967" s="82">
        <v>964</v>
      </c>
      <c r="B967" s="83" t="str">
        <f>_xlfn.XLOOKUP(A967,'TAZs by City - CCAG Model'!$A:$A,'TAZs by City - CCAG Model'!$B:$B,"Unknown")</f>
        <v>San Jose</v>
      </c>
      <c r="C967" s="82">
        <f>_xlfn.XLOOKUP(A967,'TAZs by City - CCAG Model'!$A:$A,'TAZs by City - CCAG Model'!$C:$C,999)</f>
        <v>3</v>
      </c>
      <c r="D967" s="82" t="str">
        <f t="shared" si="120"/>
        <v>NO</v>
      </c>
      <c r="E967" s="27">
        <v>4786.8</v>
      </c>
      <c r="F967" s="27">
        <v>1503.1</v>
      </c>
      <c r="G967" s="27">
        <v>374.38</v>
      </c>
      <c r="H967" s="27">
        <v>56.68</v>
      </c>
      <c r="I967" s="27">
        <v>144.72</v>
      </c>
      <c r="J967" s="27">
        <v>7277.72</v>
      </c>
      <c r="K967" s="47">
        <f t="shared" si="121"/>
        <v>0.65773346597560778</v>
      </c>
      <c r="L967" s="47">
        <f t="shared" si="122"/>
        <v>0.20653446409040191</v>
      </c>
      <c r="M967" s="84">
        <f t="shared" si="123"/>
        <v>0.86426793006600955</v>
      </c>
      <c r="N967" s="47">
        <f t="shared" si="124"/>
        <v>5.1441935111545919E-2</v>
      </c>
      <c r="O967" s="47">
        <f t="shared" si="125"/>
        <v>7.788153432668473E-3</v>
      </c>
      <c r="P967" s="47">
        <f t="shared" si="126"/>
        <v>1.9885348708111879E-2</v>
      </c>
      <c r="Q967" s="47">
        <f t="shared" si="127"/>
        <v>1</v>
      </c>
    </row>
    <row r="968" spans="1:17" x14ac:dyDescent="0.35">
      <c r="A968" s="82">
        <v>965</v>
      </c>
      <c r="B968" s="83" t="str">
        <f>_xlfn.XLOOKUP(A968,'TAZs by City - CCAG Model'!$A:$A,'TAZs by City - CCAG Model'!$B:$B,"Unknown")</f>
        <v>San Jose</v>
      </c>
      <c r="C968" s="82">
        <f>_xlfn.XLOOKUP(A968,'TAZs by City - CCAG Model'!$A:$A,'TAZs by City - CCAG Model'!$C:$C,999)</f>
        <v>3</v>
      </c>
      <c r="D968" s="82" t="str">
        <f t="shared" si="120"/>
        <v>NO</v>
      </c>
      <c r="E968" s="27">
        <v>11140.18</v>
      </c>
      <c r="F968" s="27">
        <v>3388.48</v>
      </c>
      <c r="G968" s="27">
        <v>138.9</v>
      </c>
      <c r="H968" s="27">
        <v>139.56</v>
      </c>
      <c r="I968" s="27">
        <v>236.66</v>
      </c>
      <c r="J968" s="27">
        <v>15207.82</v>
      </c>
      <c r="K968" s="47">
        <f t="shared" si="121"/>
        <v>0.73252971168780279</v>
      </c>
      <c r="L968" s="47">
        <f t="shared" si="122"/>
        <v>0.2228116850409855</v>
      </c>
      <c r="M968" s="84">
        <f t="shared" si="123"/>
        <v>0.95534139672878826</v>
      </c>
      <c r="N968" s="47">
        <f t="shared" si="124"/>
        <v>9.133458970450729E-3</v>
      </c>
      <c r="O968" s="47">
        <f t="shared" si="125"/>
        <v>9.1768576955803E-3</v>
      </c>
      <c r="P968" s="47">
        <f t="shared" si="126"/>
        <v>1.5561730741158167E-2</v>
      </c>
      <c r="Q968" s="47">
        <f t="shared" si="127"/>
        <v>1</v>
      </c>
    </row>
    <row r="969" spans="1:17" x14ac:dyDescent="0.35">
      <c r="A969" s="82">
        <v>966</v>
      </c>
      <c r="B969" s="83" t="str">
        <f>_xlfn.XLOOKUP(A969,'TAZs by City - CCAG Model'!$A:$A,'TAZs by City - CCAG Model'!$B:$B,"Unknown")</f>
        <v>San Jose</v>
      </c>
      <c r="C969" s="82">
        <f>_xlfn.XLOOKUP(A969,'TAZs by City - CCAG Model'!$A:$A,'TAZs by City - CCAG Model'!$C:$C,999)</f>
        <v>3</v>
      </c>
      <c r="D969" s="82" t="str">
        <f t="shared" si="120"/>
        <v>NO</v>
      </c>
      <c r="E969" s="27">
        <v>1084.8800000000001</v>
      </c>
      <c r="F969" s="27">
        <v>471.94</v>
      </c>
      <c r="G969" s="27">
        <v>41.66</v>
      </c>
      <c r="H969" s="27">
        <v>9.7799999999999994</v>
      </c>
      <c r="I969" s="27">
        <v>27.34</v>
      </c>
      <c r="J969" s="27">
        <v>1724.22</v>
      </c>
      <c r="K969" s="47">
        <f t="shared" si="121"/>
        <v>0.62920045005857728</v>
      </c>
      <c r="L969" s="47">
        <f t="shared" si="122"/>
        <v>0.27371217130064607</v>
      </c>
      <c r="M969" s="84">
        <f t="shared" si="123"/>
        <v>0.90291262135922334</v>
      </c>
      <c r="N969" s="47">
        <f t="shared" si="124"/>
        <v>2.4161649905464499E-2</v>
      </c>
      <c r="O969" s="47">
        <f t="shared" si="125"/>
        <v>5.6721300066116852E-3</v>
      </c>
      <c r="P969" s="47">
        <f t="shared" si="126"/>
        <v>1.5856445233206898E-2</v>
      </c>
      <c r="Q969" s="47">
        <f t="shared" si="127"/>
        <v>1</v>
      </c>
    </row>
    <row r="970" spans="1:17" x14ac:dyDescent="0.35">
      <c r="A970" s="82">
        <v>967</v>
      </c>
      <c r="B970" s="83" t="str">
        <f>_xlfn.XLOOKUP(A970,'TAZs by City - CCAG Model'!$A:$A,'TAZs by City - CCAG Model'!$B:$B,"Unknown")</f>
        <v>San Jose</v>
      </c>
      <c r="C970" s="82">
        <f>_xlfn.XLOOKUP(A970,'TAZs by City - CCAG Model'!$A:$A,'TAZs by City - CCAG Model'!$C:$C,999)</f>
        <v>3</v>
      </c>
      <c r="D970" s="82" t="str">
        <f t="shared" si="120"/>
        <v>NO</v>
      </c>
      <c r="E970" s="27">
        <v>2633.04</v>
      </c>
      <c r="F970" s="27">
        <v>781.22</v>
      </c>
      <c r="G970" s="27">
        <v>41.02</v>
      </c>
      <c r="H970" s="27">
        <v>28.4</v>
      </c>
      <c r="I970" s="27">
        <v>66</v>
      </c>
      <c r="J970" s="27">
        <v>3637.96</v>
      </c>
      <c r="K970" s="47">
        <f t="shared" si="121"/>
        <v>0.7237682657313439</v>
      </c>
      <c r="L970" s="47">
        <f t="shared" si="122"/>
        <v>0.21474122860064432</v>
      </c>
      <c r="M970" s="84">
        <f t="shared" si="123"/>
        <v>0.93850949433198827</v>
      </c>
      <c r="N970" s="47">
        <f t="shared" si="124"/>
        <v>1.1275550033535279E-2</v>
      </c>
      <c r="O970" s="47">
        <f t="shared" si="125"/>
        <v>7.8065729144905383E-3</v>
      </c>
      <c r="P970" s="47">
        <f t="shared" si="126"/>
        <v>1.8142035646351251E-2</v>
      </c>
      <c r="Q970" s="47">
        <f t="shared" si="127"/>
        <v>1</v>
      </c>
    </row>
    <row r="971" spans="1:17" x14ac:dyDescent="0.35">
      <c r="A971" s="82">
        <v>968</v>
      </c>
      <c r="B971" s="83" t="str">
        <f>_xlfn.XLOOKUP(A971,'TAZs by City - CCAG Model'!$A:$A,'TAZs by City - CCAG Model'!$B:$B,"Unknown")</f>
        <v>San Jose</v>
      </c>
      <c r="C971" s="82">
        <f>_xlfn.XLOOKUP(A971,'TAZs by City - CCAG Model'!$A:$A,'TAZs by City - CCAG Model'!$C:$C,999)</f>
        <v>3</v>
      </c>
      <c r="D971" s="82" t="str">
        <f t="shared" si="120"/>
        <v>NO</v>
      </c>
      <c r="E971" s="27">
        <v>5097.4799999999996</v>
      </c>
      <c r="F971" s="27">
        <v>1483.58</v>
      </c>
      <c r="G971" s="27">
        <v>273.38</v>
      </c>
      <c r="H971" s="27">
        <v>56.94</v>
      </c>
      <c r="I971" s="27">
        <v>378.62</v>
      </c>
      <c r="J971" s="27">
        <v>7600.52</v>
      </c>
      <c r="K971" s="47">
        <f t="shared" si="121"/>
        <v>0.6706751643308615</v>
      </c>
      <c r="L971" s="47">
        <f t="shared" si="122"/>
        <v>0.19519453932099382</v>
      </c>
      <c r="M971" s="84">
        <f t="shared" si="123"/>
        <v>0.86586970365185534</v>
      </c>
      <c r="N971" s="47">
        <f t="shared" si="124"/>
        <v>3.5968591622678445E-2</v>
      </c>
      <c r="O971" s="47">
        <f t="shared" si="125"/>
        <v>7.4915926805008068E-3</v>
      </c>
      <c r="P971" s="47">
        <f t="shared" si="126"/>
        <v>4.9815012657028729E-2</v>
      </c>
      <c r="Q971" s="47">
        <f t="shared" si="127"/>
        <v>1</v>
      </c>
    </row>
    <row r="972" spans="1:17" x14ac:dyDescent="0.35">
      <c r="A972" s="82">
        <v>969</v>
      </c>
      <c r="B972" s="83" t="str">
        <f>_xlfn.XLOOKUP(A972,'TAZs by City - CCAG Model'!$A:$A,'TAZs by City - CCAG Model'!$B:$B,"Unknown")</f>
        <v>San Jose</v>
      </c>
      <c r="C972" s="82">
        <f>_xlfn.XLOOKUP(A972,'TAZs by City - CCAG Model'!$A:$A,'TAZs by City - CCAG Model'!$C:$C,999)</f>
        <v>3</v>
      </c>
      <c r="D972" s="82" t="str">
        <f t="shared" si="120"/>
        <v>NO</v>
      </c>
      <c r="E972" s="27">
        <v>3448.34</v>
      </c>
      <c r="F972" s="27">
        <v>1007.04</v>
      </c>
      <c r="G972" s="27">
        <v>142.02000000000001</v>
      </c>
      <c r="H972" s="27">
        <v>34.520000000000003</v>
      </c>
      <c r="I972" s="27">
        <v>247</v>
      </c>
      <c r="J972" s="27">
        <v>5061.8999999999996</v>
      </c>
      <c r="K972" s="47">
        <f t="shared" si="121"/>
        <v>0.68123431912918087</v>
      </c>
      <c r="L972" s="47">
        <f t="shared" si="122"/>
        <v>0.19894506015527766</v>
      </c>
      <c r="M972" s="84">
        <f t="shared" si="123"/>
        <v>0.88017937928445844</v>
      </c>
      <c r="N972" s="47">
        <f t="shared" si="124"/>
        <v>2.805665856694127E-2</v>
      </c>
      <c r="O972" s="47">
        <f t="shared" si="125"/>
        <v>6.819573677867995E-3</v>
      </c>
      <c r="P972" s="47">
        <f t="shared" si="126"/>
        <v>4.879590667535906E-2</v>
      </c>
      <c r="Q972" s="47">
        <f t="shared" si="127"/>
        <v>1</v>
      </c>
    </row>
    <row r="973" spans="1:17" x14ac:dyDescent="0.35">
      <c r="A973" s="82">
        <v>970</v>
      </c>
      <c r="B973" s="83" t="str">
        <f>_xlfn.XLOOKUP(A973,'TAZs by City - CCAG Model'!$A:$A,'TAZs by City - CCAG Model'!$B:$B,"Unknown")</f>
        <v>San Jose</v>
      </c>
      <c r="C973" s="82">
        <f>_xlfn.XLOOKUP(A973,'TAZs by City - CCAG Model'!$A:$A,'TAZs by City - CCAG Model'!$C:$C,999)</f>
        <v>3</v>
      </c>
      <c r="D973" s="82" t="str">
        <f t="shared" si="120"/>
        <v>NO</v>
      </c>
      <c r="E973" s="27">
        <v>3736.4</v>
      </c>
      <c r="F973" s="27">
        <v>1100.5999999999999</v>
      </c>
      <c r="G973" s="27">
        <v>107.02</v>
      </c>
      <c r="H973" s="27">
        <v>40.82</v>
      </c>
      <c r="I973" s="27">
        <v>144.18</v>
      </c>
      <c r="J973" s="27">
        <v>5273.4</v>
      </c>
      <c r="K973" s="47">
        <f t="shared" si="121"/>
        <v>0.70853718663480869</v>
      </c>
      <c r="L973" s="47">
        <f t="shared" si="122"/>
        <v>0.20870785451511359</v>
      </c>
      <c r="M973" s="84">
        <f t="shared" si="123"/>
        <v>0.91724504114992234</v>
      </c>
      <c r="N973" s="47">
        <f t="shared" si="124"/>
        <v>2.0294307278036942E-2</v>
      </c>
      <c r="O973" s="47">
        <f t="shared" si="125"/>
        <v>7.740736526719005E-3</v>
      </c>
      <c r="P973" s="47">
        <f t="shared" si="126"/>
        <v>2.7340994424849246E-2</v>
      </c>
      <c r="Q973" s="47">
        <f t="shared" si="127"/>
        <v>1</v>
      </c>
    </row>
    <row r="974" spans="1:17" x14ac:dyDescent="0.35">
      <c r="A974" s="82">
        <v>971</v>
      </c>
      <c r="B974" s="83" t="str">
        <f>_xlfn.XLOOKUP(A974,'TAZs by City - CCAG Model'!$A:$A,'TAZs by City - CCAG Model'!$B:$B,"Unknown")</f>
        <v>San Jose</v>
      </c>
      <c r="C974" s="82">
        <f>_xlfn.XLOOKUP(A974,'TAZs by City - CCAG Model'!$A:$A,'TAZs by City - CCAG Model'!$C:$C,999)</f>
        <v>3</v>
      </c>
      <c r="D974" s="82" t="str">
        <f t="shared" si="120"/>
        <v>NO</v>
      </c>
      <c r="E974" s="27">
        <v>5729.46</v>
      </c>
      <c r="F974" s="27">
        <v>1783</v>
      </c>
      <c r="G974" s="27">
        <v>250.4</v>
      </c>
      <c r="H974" s="27">
        <v>66.34</v>
      </c>
      <c r="I974" s="27">
        <v>215.98</v>
      </c>
      <c r="J974" s="27">
        <v>8329.64</v>
      </c>
      <c r="K974" s="47">
        <f t="shared" si="121"/>
        <v>0.68784005071047494</v>
      </c>
      <c r="L974" s="47">
        <f t="shared" si="122"/>
        <v>0.2140548691179931</v>
      </c>
      <c r="M974" s="84">
        <f t="shared" si="123"/>
        <v>0.90189491982846803</v>
      </c>
      <c r="N974" s="47">
        <f t="shared" si="124"/>
        <v>3.0061323178432683E-2</v>
      </c>
      <c r="O974" s="47">
        <f t="shared" si="125"/>
        <v>7.9643297909633565E-3</v>
      </c>
      <c r="P974" s="47">
        <f t="shared" si="126"/>
        <v>2.5929091773474005E-2</v>
      </c>
      <c r="Q974" s="47">
        <f t="shared" si="127"/>
        <v>1</v>
      </c>
    </row>
    <row r="975" spans="1:17" x14ac:dyDescent="0.35">
      <c r="A975" s="82">
        <v>972</v>
      </c>
      <c r="B975" s="83" t="str">
        <f>_xlfn.XLOOKUP(A975,'TAZs by City - CCAG Model'!$A:$A,'TAZs by City - CCAG Model'!$B:$B,"Unknown")</f>
        <v>San Jose</v>
      </c>
      <c r="C975" s="82">
        <f>_xlfn.XLOOKUP(A975,'TAZs by City - CCAG Model'!$A:$A,'TAZs by City - CCAG Model'!$C:$C,999)</f>
        <v>3</v>
      </c>
      <c r="D975" s="82" t="str">
        <f t="shared" si="120"/>
        <v>NO</v>
      </c>
      <c r="E975" s="27">
        <v>12689.18</v>
      </c>
      <c r="F975" s="27">
        <v>4735.8999999999996</v>
      </c>
      <c r="G975" s="27">
        <v>123.44</v>
      </c>
      <c r="H975" s="27">
        <v>178.46</v>
      </c>
      <c r="I975" s="27">
        <v>912.16</v>
      </c>
      <c r="J975" s="27">
        <v>18789.22</v>
      </c>
      <c r="K975" s="47">
        <f t="shared" si="121"/>
        <v>0.67534362788875746</v>
      </c>
      <c r="L975" s="47">
        <f t="shared" si="122"/>
        <v>0.25205410336352435</v>
      </c>
      <c r="M975" s="84">
        <f t="shared" si="123"/>
        <v>0.92739773125228198</v>
      </c>
      <c r="N975" s="47">
        <f t="shared" si="124"/>
        <v>6.5697245548245213E-3</v>
      </c>
      <c r="O975" s="47">
        <f t="shared" si="125"/>
        <v>9.4979993847535971E-3</v>
      </c>
      <c r="P975" s="47">
        <f t="shared" si="126"/>
        <v>4.854698598451665E-2</v>
      </c>
      <c r="Q975" s="47">
        <f t="shared" si="127"/>
        <v>1</v>
      </c>
    </row>
    <row r="976" spans="1:17" x14ac:dyDescent="0.35">
      <c r="A976" s="82">
        <v>973</v>
      </c>
      <c r="B976" s="83" t="str">
        <f>_xlfn.XLOOKUP(A976,'TAZs by City - CCAG Model'!$A:$A,'TAZs by City - CCAG Model'!$B:$B,"Unknown")</f>
        <v>San Jose</v>
      </c>
      <c r="C976" s="82">
        <f>_xlfn.XLOOKUP(A976,'TAZs by City - CCAG Model'!$A:$A,'TAZs by City - CCAG Model'!$C:$C,999)</f>
        <v>3</v>
      </c>
      <c r="D976" s="82" t="str">
        <f t="shared" si="120"/>
        <v>NO</v>
      </c>
      <c r="E976" s="27">
        <v>11329.52</v>
      </c>
      <c r="F976" s="27">
        <v>3460.38</v>
      </c>
      <c r="G976" s="27">
        <v>583.88</v>
      </c>
      <c r="H976" s="27">
        <v>138.34</v>
      </c>
      <c r="I976" s="27">
        <v>307.94</v>
      </c>
      <c r="J976" s="27">
        <v>16423.3</v>
      </c>
      <c r="K976" s="47">
        <f t="shared" si="121"/>
        <v>0.68984430656445417</v>
      </c>
      <c r="L976" s="47">
        <f t="shared" si="122"/>
        <v>0.21069943312245409</v>
      </c>
      <c r="M976" s="84">
        <f t="shared" si="123"/>
        <v>0.90054373968690837</v>
      </c>
      <c r="N976" s="47">
        <f t="shared" si="124"/>
        <v>3.5551929271218329E-2</v>
      </c>
      <c r="O976" s="47">
        <f t="shared" si="125"/>
        <v>8.4233984643768307E-3</v>
      </c>
      <c r="P976" s="47">
        <f t="shared" si="126"/>
        <v>1.8750190278445867E-2</v>
      </c>
      <c r="Q976" s="47">
        <f t="shared" si="127"/>
        <v>1</v>
      </c>
    </row>
    <row r="977" spans="1:17" x14ac:dyDescent="0.35">
      <c r="A977" s="82">
        <v>974</v>
      </c>
      <c r="B977" s="83" t="str">
        <f>_xlfn.XLOOKUP(A977,'TAZs by City - CCAG Model'!$A:$A,'TAZs by City - CCAG Model'!$B:$B,"Unknown")</f>
        <v>San Jose</v>
      </c>
      <c r="C977" s="82">
        <f>_xlfn.XLOOKUP(A977,'TAZs by City - CCAG Model'!$A:$A,'TAZs by City - CCAG Model'!$C:$C,999)</f>
        <v>3</v>
      </c>
      <c r="D977" s="82" t="str">
        <f t="shared" si="120"/>
        <v>NO</v>
      </c>
      <c r="E977" s="27">
        <v>6272.36</v>
      </c>
      <c r="F977" s="27">
        <v>1868.88</v>
      </c>
      <c r="G977" s="27">
        <v>38.9</v>
      </c>
      <c r="H977" s="27">
        <v>73.2</v>
      </c>
      <c r="I977" s="27">
        <v>124.8</v>
      </c>
      <c r="J977" s="27">
        <v>8450.32</v>
      </c>
      <c r="K977" s="47">
        <f t="shared" si="121"/>
        <v>0.74226301489174373</v>
      </c>
      <c r="L977" s="47">
        <f t="shared" si="122"/>
        <v>0.22116085544689434</v>
      </c>
      <c r="M977" s="84">
        <f t="shared" si="123"/>
        <v>0.96342387033863808</v>
      </c>
      <c r="N977" s="47">
        <f t="shared" si="124"/>
        <v>4.6033759668272917E-3</v>
      </c>
      <c r="O977" s="47">
        <f t="shared" si="125"/>
        <v>8.6623938501737222E-3</v>
      </c>
      <c r="P977" s="47">
        <f t="shared" si="126"/>
        <v>1.4768671482263393E-2</v>
      </c>
      <c r="Q977" s="47">
        <f t="shared" si="127"/>
        <v>1</v>
      </c>
    </row>
    <row r="978" spans="1:17" x14ac:dyDescent="0.35">
      <c r="A978" s="82">
        <v>975</v>
      </c>
      <c r="B978" s="83" t="str">
        <f>_xlfn.XLOOKUP(A978,'TAZs by City - CCAG Model'!$A:$A,'TAZs by City - CCAG Model'!$B:$B,"Unknown")</f>
        <v>San Jose</v>
      </c>
      <c r="C978" s="82">
        <f>_xlfn.XLOOKUP(A978,'TAZs by City - CCAG Model'!$A:$A,'TAZs by City - CCAG Model'!$C:$C,999)</f>
        <v>3</v>
      </c>
      <c r="D978" s="82" t="str">
        <f t="shared" si="120"/>
        <v>NO</v>
      </c>
      <c r="E978" s="27">
        <v>16400.3</v>
      </c>
      <c r="F978" s="27">
        <v>10608.28</v>
      </c>
      <c r="G978" s="27">
        <v>1148.8</v>
      </c>
      <c r="H978" s="27">
        <v>463.2</v>
      </c>
      <c r="I978" s="27">
        <v>3060.62</v>
      </c>
      <c r="J978" s="27">
        <v>32861.56</v>
      </c>
      <c r="K978" s="47">
        <f t="shared" si="121"/>
        <v>0.49907247251804238</v>
      </c>
      <c r="L978" s="47">
        <f t="shared" si="122"/>
        <v>0.32281729777892471</v>
      </c>
      <c r="M978" s="84">
        <f t="shared" si="123"/>
        <v>0.82188977029696719</v>
      </c>
      <c r="N978" s="47">
        <f t="shared" si="124"/>
        <v>3.4958778585070217E-2</v>
      </c>
      <c r="O978" s="47">
        <f t="shared" si="125"/>
        <v>1.4095496379356306E-2</v>
      </c>
      <c r="P978" s="47">
        <f t="shared" si="126"/>
        <v>9.3136783524580088E-2</v>
      </c>
      <c r="Q978" s="47">
        <f t="shared" si="127"/>
        <v>1</v>
      </c>
    </row>
    <row r="979" spans="1:17" x14ac:dyDescent="0.35">
      <c r="A979" s="82">
        <v>976</v>
      </c>
      <c r="B979" s="83" t="str">
        <f>_xlfn.XLOOKUP(A979,'TAZs by City - CCAG Model'!$A:$A,'TAZs by City - CCAG Model'!$B:$B,"Unknown")</f>
        <v>San Jose</v>
      </c>
      <c r="C979" s="82">
        <f>_xlfn.XLOOKUP(A979,'TAZs by City - CCAG Model'!$A:$A,'TAZs by City - CCAG Model'!$C:$C,999)</f>
        <v>3</v>
      </c>
      <c r="D979" s="82" t="str">
        <f t="shared" si="120"/>
        <v>NO</v>
      </c>
      <c r="E979" s="27">
        <v>27404.82</v>
      </c>
      <c r="F979" s="27">
        <v>13170.62</v>
      </c>
      <c r="G979" s="27">
        <v>1337.54</v>
      </c>
      <c r="H979" s="27">
        <v>443.52</v>
      </c>
      <c r="I979" s="27">
        <v>3207.8</v>
      </c>
      <c r="J979" s="27">
        <v>46916.82</v>
      </c>
      <c r="K979" s="47">
        <f t="shared" si="121"/>
        <v>0.58411503592954506</v>
      </c>
      <c r="L979" s="47">
        <f t="shared" si="122"/>
        <v>0.28072277703390813</v>
      </c>
      <c r="M979" s="84">
        <f t="shared" si="123"/>
        <v>0.8648378129634533</v>
      </c>
      <c r="N979" s="47">
        <f t="shared" si="124"/>
        <v>2.850875229821629E-2</v>
      </c>
      <c r="O979" s="47">
        <f t="shared" si="125"/>
        <v>9.4533261205682739E-3</v>
      </c>
      <c r="P979" s="47">
        <f t="shared" si="126"/>
        <v>6.8372067842620204E-2</v>
      </c>
      <c r="Q979" s="47">
        <f t="shared" si="127"/>
        <v>1</v>
      </c>
    </row>
    <row r="980" spans="1:17" x14ac:dyDescent="0.35">
      <c r="A980" s="82">
        <v>977</v>
      </c>
      <c r="B980" s="83" t="str">
        <f>_xlfn.XLOOKUP(A980,'TAZs by City - CCAG Model'!$A:$A,'TAZs by City - CCAG Model'!$B:$B,"Unknown")</f>
        <v>San Jose</v>
      </c>
      <c r="C980" s="82">
        <f>_xlfn.XLOOKUP(A980,'TAZs by City - CCAG Model'!$A:$A,'TAZs by City - CCAG Model'!$C:$C,999)</f>
        <v>3</v>
      </c>
      <c r="D980" s="82" t="str">
        <f t="shared" si="120"/>
        <v>NO</v>
      </c>
      <c r="E980" s="27">
        <v>13873.34</v>
      </c>
      <c r="F980" s="27">
        <v>4236.5600000000004</v>
      </c>
      <c r="G980" s="27">
        <v>747.86</v>
      </c>
      <c r="H980" s="27">
        <v>147.1</v>
      </c>
      <c r="I980" s="27">
        <v>574.08000000000004</v>
      </c>
      <c r="J980" s="27">
        <v>20344.2</v>
      </c>
      <c r="K980" s="47">
        <f t="shared" si="121"/>
        <v>0.68193096804003106</v>
      </c>
      <c r="L980" s="47">
        <f t="shared" si="122"/>
        <v>0.20824411871688248</v>
      </c>
      <c r="M980" s="84">
        <f t="shared" si="123"/>
        <v>0.89017508675691359</v>
      </c>
      <c r="N980" s="47">
        <f t="shared" si="124"/>
        <v>3.6760354302454751E-2</v>
      </c>
      <c r="O980" s="47">
        <f t="shared" si="125"/>
        <v>7.230562027506611E-3</v>
      </c>
      <c r="P980" s="47">
        <f t="shared" si="126"/>
        <v>2.8218361990149529E-2</v>
      </c>
      <c r="Q980" s="47">
        <f t="shared" si="127"/>
        <v>1</v>
      </c>
    </row>
    <row r="981" spans="1:17" x14ac:dyDescent="0.35">
      <c r="A981" s="82">
        <v>978</v>
      </c>
      <c r="B981" s="83" t="str">
        <f>_xlfn.XLOOKUP(A981,'TAZs by City - CCAG Model'!$A:$A,'TAZs by City - CCAG Model'!$B:$B,"Unknown")</f>
        <v>San Jose</v>
      </c>
      <c r="C981" s="82">
        <f>_xlfn.XLOOKUP(A981,'TAZs by City - CCAG Model'!$A:$A,'TAZs by City - CCAG Model'!$C:$C,999)</f>
        <v>3</v>
      </c>
      <c r="D981" s="82" t="str">
        <f t="shared" si="120"/>
        <v>NO</v>
      </c>
      <c r="E981" s="27">
        <v>1282.08</v>
      </c>
      <c r="F981" s="27">
        <v>403.72</v>
      </c>
      <c r="G981" s="27">
        <v>0</v>
      </c>
      <c r="H981" s="27">
        <v>6.92</v>
      </c>
      <c r="I981" s="27">
        <v>16.46</v>
      </c>
      <c r="J981" s="27">
        <v>1739.94</v>
      </c>
      <c r="K981" s="47">
        <f t="shared" si="121"/>
        <v>0.73685299493085965</v>
      </c>
      <c r="L981" s="47">
        <f t="shared" si="122"/>
        <v>0.23203098957435314</v>
      </c>
      <c r="M981" s="84">
        <f t="shared" si="123"/>
        <v>0.96888398450521274</v>
      </c>
      <c r="N981" s="47">
        <f t="shared" si="124"/>
        <v>0</v>
      </c>
      <c r="O981" s="47">
        <f t="shared" si="125"/>
        <v>3.9771486373093327E-3</v>
      </c>
      <c r="P981" s="47">
        <f t="shared" si="126"/>
        <v>9.4600963251606374E-3</v>
      </c>
      <c r="Q981" s="47">
        <f t="shared" si="127"/>
        <v>1</v>
      </c>
    </row>
    <row r="982" spans="1:17" x14ac:dyDescent="0.35">
      <c r="A982" s="82">
        <v>979</v>
      </c>
      <c r="B982" s="83" t="str">
        <f>_xlfn.XLOOKUP(A982,'TAZs by City - CCAG Model'!$A:$A,'TAZs by City - CCAG Model'!$B:$B,"Unknown")</f>
        <v>San Jose</v>
      </c>
      <c r="C982" s="82">
        <f>_xlfn.XLOOKUP(A982,'TAZs by City - CCAG Model'!$A:$A,'TAZs by City - CCAG Model'!$C:$C,999)</f>
        <v>3</v>
      </c>
      <c r="D982" s="82" t="str">
        <f t="shared" si="120"/>
        <v>NO</v>
      </c>
      <c r="E982" s="27">
        <v>2591.08</v>
      </c>
      <c r="F982" s="27">
        <v>1189.74</v>
      </c>
      <c r="G982" s="27">
        <v>16.82</v>
      </c>
      <c r="H982" s="27">
        <v>35.24</v>
      </c>
      <c r="I982" s="27">
        <v>72.12</v>
      </c>
      <c r="J982" s="27">
        <v>3963.36</v>
      </c>
      <c r="K982" s="47">
        <f t="shared" si="121"/>
        <v>0.65375842719308863</v>
      </c>
      <c r="L982" s="47">
        <f t="shared" si="122"/>
        <v>0.30018469177667434</v>
      </c>
      <c r="M982" s="84">
        <f t="shared" si="123"/>
        <v>0.95394311896976292</v>
      </c>
      <c r="N982" s="47">
        <f t="shared" si="124"/>
        <v>4.2438738847846271E-3</v>
      </c>
      <c r="O982" s="47">
        <f t="shared" si="125"/>
        <v>8.8914456420814657E-3</v>
      </c>
      <c r="P982" s="47">
        <f t="shared" si="126"/>
        <v>1.819668160348795E-2</v>
      </c>
      <c r="Q982" s="47">
        <f t="shared" si="127"/>
        <v>1</v>
      </c>
    </row>
    <row r="983" spans="1:17" x14ac:dyDescent="0.35">
      <c r="A983" s="82">
        <v>980</v>
      </c>
      <c r="B983" s="83" t="str">
        <f>_xlfn.XLOOKUP(A983,'TAZs by City - CCAG Model'!$A:$A,'TAZs by City - CCAG Model'!$B:$B,"Unknown")</f>
        <v>San Jose</v>
      </c>
      <c r="C983" s="82">
        <f>_xlfn.XLOOKUP(A983,'TAZs by City - CCAG Model'!$A:$A,'TAZs by City - CCAG Model'!$C:$C,999)</f>
        <v>3</v>
      </c>
      <c r="D983" s="82" t="str">
        <f t="shared" si="120"/>
        <v>NO</v>
      </c>
      <c r="E983" s="27">
        <v>524.29999999999995</v>
      </c>
      <c r="F983" s="27">
        <v>181.58</v>
      </c>
      <c r="G983" s="27">
        <v>0</v>
      </c>
      <c r="H983" s="27">
        <v>1.3</v>
      </c>
      <c r="I983" s="27">
        <v>2.46</v>
      </c>
      <c r="J983" s="27">
        <v>743.38</v>
      </c>
      <c r="K983" s="47">
        <f t="shared" si="121"/>
        <v>0.70529204444564009</v>
      </c>
      <c r="L983" s="47">
        <f t="shared" si="122"/>
        <v>0.24426269202830317</v>
      </c>
      <c r="M983" s="84">
        <f t="shared" si="123"/>
        <v>0.94955473647394339</v>
      </c>
      <c r="N983" s="47">
        <f t="shared" si="124"/>
        <v>0</v>
      </c>
      <c r="O983" s="47">
        <f t="shared" si="125"/>
        <v>1.7487691355699644E-3</v>
      </c>
      <c r="P983" s="47">
        <f t="shared" si="126"/>
        <v>3.309209287309317E-3</v>
      </c>
      <c r="Q983" s="47">
        <f t="shared" si="127"/>
        <v>1</v>
      </c>
    </row>
    <row r="984" spans="1:17" x14ac:dyDescent="0.35">
      <c r="A984" s="82">
        <v>981</v>
      </c>
      <c r="B984" s="83" t="str">
        <f>_xlfn.XLOOKUP(A984,'TAZs by City - CCAG Model'!$A:$A,'TAZs by City - CCAG Model'!$B:$B,"Unknown")</f>
        <v>San Jose</v>
      </c>
      <c r="C984" s="82">
        <f>_xlfn.XLOOKUP(A984,'TAZs by City - CCAG Model'!$A:$A,'TAZs by City - CCAG Model'!$C:$C,999)</f>
        <v>3</v>
      </c>
      <c r="D984" s="82" t="str">
        <f t="shared" si="120"/>
        <v>NO</v>
      </c>
      <c r="E984" s="27">
        <v>4806.5</v>
      </c>
      <c r="F984" s="27">
        <v>3396.54</v>
      </c>
      <c r="G984" s="27">
        <v>196</v>
      </c>
      <c r="H984" s="27">
        <v>97.52</v>
      </c>
      <c r="I984" s="27">
        <v>1440.84</v>
      </c>
      <c r="J984" s="27">
        <v>10179.36</v>
      </c>
      <c r="K984" s="47">
        <f t="shared" si="121"/>
        <v>0.47218096226088868</v>
      </c>
      <c r="L984" s="47">
        <f t="shared" si="122"/>
        <v>0.33366930730419198</v>
      </c>
      <c r="M984" s="84">
        <f t="shared" si="123"/>
        <v>0.80585026956508077</v>
      </c>
      <c r="N984" s="47">
        <f t="shared" si="124"/>
        <v>1.9254648622310241E-2</v>
      </c>
      <c r="O984" s="47">
        <f t="shared" si="125"/>
        <v>9.580170069631095E-3</v>
      </c>
      <c r="P984" s="47">
        <f t="shared" si="126"/>
        <v>0.14154524449474229</v>
      </c>
      <c r="Q984" s="47">
        <f t="shared" si="127"/>
        <v>1</v>
      </c>
    </row>
    <row r="985" spans="1:17" x14ac:dyDescent="0.35">
      <c r="A985" s="82">
        <v>982</v>
      </c>
      <c r="B985" s="83" t="str">
        <f>_xlfn.XLOOKUP(A985,'TAZs by City - CCAG Model'!$A:$A,'TAZs by City - CCAG Model'!$B:$B,"Unknown")</f>
        <v>San Jose</v>
      </c>
      <c r="C985" s="82">
        <f>_xlfn.XLOOKUP(A985,'TAZs by City - CCAG Model'!$A:$A,'TAZs by City - CCAG Model'!$C:$C,999)</f>
        <v>3</v>
      </c>
      <c r="D985" s="82" t="str">
        <f t="shared" si="120"/>
        <v>NO</v>
      </c>
      <c r="E985" s="27">
        <v>4735.38</v>
      </c>
      <c r="F985" s="27">
        <v>3711.78</v>
      </c>
      <c r="G985" s="27">
        <v>289.60000000000002</v>
      </c>
      <c r="H985" s="27">
        <v>109.34</v>
      </c>
      <c r="I985" s="27">
        <v>662.5</v>
      </c>
      <c r="J985" s="27">
        <v>9838.32</v>
      </c>
      <c r="K985" s="47">
        <f t="shared" si="121"/>
        <v>0.48131998146024935</v>
      </c>
      <c r="L985" s="47">
        <f t="shared" si="122"/>
        <v>0.37727782792184034</v>
      </c>
      <c r="M985" s="84">
        <f t="shared" si="123"/>
        <v>0.85859780938208963</v>
      </c>
      <c r="N985" s="47">
        <f t="shared" si="124"/>
        <v>2.9435919953813255E-2</v>
      </c>
      <c r="O985" s="47">
        <f t="shared" si="125"/>
        <v>1.1113686076484604E-2</v>
      </c>
      <c r="P985" s="47">
        <f t="shared" si="126"/>
        <v>6.7338732629148065E-2</v>
      </c>
      <c r="Q985" s="47">
        <f t="shared" si="127"/>
        <v>1</v>
      </c>
    </row>
    <row r="986" spans="1:17" x14ac:dyDescent="0.35">
      <c r="A986" s="82">
        <v>983</v>
      </c>
      <c r="B986" s="83" t="str">
        <f>_xlfn.XLOOKUP(A986,'TAZs by City - CCAG Model'!$A:$A,'TAZs by City - CCAG Model'!$B:$B,"Unknown")</f>
        <v>San Jose</v>
      </c>
      <c r="C986" s="82">
        <f>_xlfn.XLOOKUP(A986,'TAZs by City - CCAG Model'!$A:$A,'TAZs by City - CCAG Model'!$C:$C,999)</f>
        <v>3</v>
      </c>
      <c r="D986" s="82" t="str">
        <f t="shared" si="120"/>
        <v>NO</v>
      </c>
      <c r="E986" s="27">
        <v>13491.28</v>
      </c>
      <c r="F986" s="27">
        <v>10723.7</v>
      </c>
      <c r="G986" s="27">
        <v>402.7</v>
      </c>
      <c r="H986" s="27">
        <v>299.39999999999998</v>
      </c>
      <c r="I986" s="27">
        <v>1565.9</v>
      </c>
      <c r="J986" s="27">
        <v>26921.66</v>
      </c>
      <c r="K986" s="47">
        <f t="shared" si="121"/>
        <v>0.50113105952604708</v>
      </c>
      <c r="L986" s="47">
        <f t="shared" si="122"/>
        <v>0.39832982067227657</v>
      </c>
      <c r="M986" s="84">
        <f t="shared" si="123"/>
        <v>0.89946088019832371</v>
      </c>
      <c r="N986" s="47">
        <f t="shared" si="124"/>
        <v>1.4958215800957296E-2</v>
      </c>
      <c r="O986" s="47">
        <f t="shared" si="125"/>
        <v>1.112115671916219E-2</v>
      </c>
      <c r="P986" s="47">
        <f t="shared" si="126"/>
        <v>5.8165061144075075E-2</v>
      </c>
      <c r="Q986" s="47">
        <f t="shared" si="127"/>
        <v>1</v>
      </c>
    </row>
    <row r="987" spans="1:17" x14ac:dyDescent="0.35">
      <c r="A987" s="82">
        <v>984</v>
      </c>
      <c r="B987" s="83" t="str">
        <f>_xlfn.XLOOKUP(A987,'TAZs by City - CCAG Model'!$A:$A,'TAZs by City - CCAG Model'!$B:$B,"Unknown")</f>
        <v>San Jose</v>
      </c>
      <c r="C987" s="82">
        <f>_xlfn.XLOOKUP(A987,'TAZs by City - CCAG Model'!$A:$A,'TAZs by City - CCAG Model'!$C:$C,999)</f>
        <v>3</v>
      </c>
      <c r="D987" s="82" t="str">
        <f t="shared" si="120"/>
        <v>NO</v>
      </c>
      <c r="E987" s="27">
        <v>9096.2000000000007</v>
      </c>
      <c r="F987" s="27">
        <v>6024</v>
      </c>
      <c r="G987" s="27">
        <v>199.22</v>
      </c>
      <c r="H987" s="27">
        <v>166.08</v>
      </c>
      <c r="I987" s="27">
        <v>802.82</v>
      </c>
      <c r="J987" s="27">
        <v>16524.900000000001</v>
      </c>
      <c r="K987" s="47">
        <f t="shared" si="121"/>
        <v>0.55045416311142581</v>
      </c>
      <c r="L987" s="47">
        <f t="shared" si="122"/>
        <v>0.36454078390792072</v>
      </c>
      <c r="M987" s="84">
        <f t="shared" si="123"/>
        <v>0.91499494701934647</v>
      </c>
      <c r="N987" s="47">
        <f t="shared" si="124"/>
        <v>1.2055746176981403E-2</v>
      </c>
      <c r="O987" s="47">
        <f t="shared" si="125"/>
        <v>1.0050287747580924E-2</v>
      </c>
      <c r="P987" s="47">
        <f t="shared" si="126"/>
        <v>4.8582442253810913E-2</v>
      </c>
      <c r="Q987" s="47">
        <f t="shared" si="127"/>
        <v>1</v>
      </c>
    </row>
    <row r="988" spans="1:17" x14ac:dyDescent="0.35">
      <c r="A988" s="82">
        <v>985</v>
      </c>
      <c r="B988" s="83" t="str">
        <f>_xlfn.XLOOKUP(A988,'TAZs by City - CCAG Model'!$A:$A,'TAZs by City - CCAG Model'!$B:$B,"Unknown")</f>
        <v>San Jose</v>
      </c>
      <c r="C988" s="82">
        <f>_xlfn.XLOOKUP(A988,'TAZs by City - CCAG Model'!$A:$A,'TAZs by City - CCAG Model'!$C:$C,999)</f>
        <v>3</v>
      </c>
      <c r="D988" s="82" t="str">
        <f t="shared" si="120"/>
        <v>NO</v>
      </c>
      <c r="E988" s="27">
        <v>3527.04</v>
      </c>
      <c r="F988" s="27">
        <v>3139.46</v>
      </c>
      <c r="G988" s="27">
        <v>100.6</v>
      </c>
      <c r="H988" s="27">
        <v>94.46</v>
      </c>
      <c r="I988" s="27">
        <v>538.36</v>
      </c>
      <c r="J988" s="27">
        <v>7538.76</v>
      </c>
      <c r="K988" s="47">
        <f t="shared" si="121"/>
        <v>0.4678541298568995</v>
      </c>
      <c r="L988" s="47">
        <f t="shared" si="122"/>
        <v>0.41644249186868926</v>
      </c>
      <c r="M988" s="84">
        <f t="shared" si="123"/>
        <v>0.88429662172558876</v>
      </c>
      <c r="N988" s="47">
        <f t="shared" si="124"/>
        <v>1.3344369631079911E-2</v>
      </c>
      <c r="O988" s="47">
        <f t="shared" si="125"/>
        <v>1.2529912081031892E-2</v>
      </c>
      <c r="P988" s="47">
        <f t="shared" si="126"/>
        <v>7.1412274697695635E-2</v>
      </c>
      <c r="Q988" s="47">
        <f t="shared" si="127"/>
        <v>1</v>
      </c>
    </row>
    <row r="989" spans="1:17" x14ac:dyDescent="0.35">
      <c r="A989" s="82">
        <v>986</v>
      </c>
      <c r="B989" s="83" t="str">
        <f>_xlfn.XLOOKUP(A989,'TAZs by City - CCAG Model'!$A:$A,'TAZs by City - CCAG Model'!$B:$B,"Unknown")</f>
        <v>San Jose</v>
      </c>
      <c r="C989" s="82">
        <f>_xlfn.XLOOKUP(A989,'TAZs by City - CCAG Model'!$A:$A,'TAZs by City - CCAG Model'!$C:$C,999)</f>
        <v>3</v>
      </c>
      <c r="D989" s="82" t="str">
        <f t="shared" si="120"/>
        <v>NO</v>
      </c>
      <c r="E989" s="27">
        <v>10242.1</v>
      </c>
      <c r="F989" s="27">
        <v>8413.14</v>
      </c>
      <c r="G989" s="27">
        <v>461.96</v>
      </c>
      <c r="H989" s="27">
        <v>254.3</v>
      </c>
      <c r="I989" s="27">
        <v>1311.9</v>
      </c>
      <c r="J989" s="27">
        <v>21183.08</v>
      </c>
      <c r="K989" s="47">
        <f t="shared" si="121"/>
        <v>0.48350381530919956</v>
      </c>
      <c r="L989" s="47">
        <f t="shared" si="122"/>
        <v>0.39716320761664492</v>
      </c>
      <c r="M989" s="84">
        <f t="shared" si="123"/>
        <v>0.88066702292584442</v>
      </c>
      <c r="N989" s="47">
        <f t="shared" si="124"/>
        <v>2.1807971267634355E-2</v>
      </c>
      <c r="O989" s="47">
        <f t="shared" si="125"/>
        <v>1.2004864259588313E-2</v>
      </c>
      <c r="P989" s="47">
        <f t="shared" si="126"/>
        <v>6.1931503822862395E-2</v>
      </c>
      <c r="Q989" s="47">
        <f t="shared" si="127"/>
        <v>1</v>
      </c>
    </row>
    <row r="990" spans="1:17" x14ac:dyDescent="0.35">
      <c r="A990" s="82">
        <v>987</v>
      </c>
      <c r="B990" s="83" t="str">
        <f>_xlfn.XLOOKUP(A990,'TAZs by City - CCAG Model'!$A:$A,'TAZs by City - CCAG Model'!$B:$B,"Unknown")</f>
        <v>San Jose</v>
      </c>
      <c r="C990" s="82">
        <f>_xlfn.XLOOKUP(A990,'TAZs by City - CCAG Model'!$A:$A,'TAZs by City - CCAG Model'!$C:$C,999)</f>
        <v>3</v>
      </c>
      <c r="D990" s="82" t="str">
        <f t="shared" si="120"/>
        <v>NO</v>
      </c>
      <c r="E990" s="27">
        <v>1067.6600000000001</v>
      </c>
      <c r="F990" s="27">
        <v>680.18</v>
      </c>
      <c r="G990" s="27">
        <v>34.5</v>
      </c>
      <c r="H990" s="27">
        <v>18.48</v>
      </c>
      <c r="I990" s="27">
        <v>331.56</v>
      </c>
      <c r="J990" s="27">
        <v>2206.06</v>
      </c>
      <c r="K990" s="47">
        <f t="shared" si="121"/>
        <v>0.48396689119969544</v>
      </c>
      <c r="L990" s="47">
        <f t="shared" si="122"/>
        <v>0.30832343635259241</v>
      </c>
      <c r="M990" s="84">
        <f t="shared" si="123"/>
        <v>0.7922903275522879</v>
      </c>
      <c r="N990" s="47">
        <f t="shared" si="124"/>
        <v>1.563874056009356E-2</v>
      </c>
      <c r="O990" s="47">
        <f t="shared" si="125"/>
        <v>8.3769253782762024E-3</v>
      </c>
      <c r="P990" s="47">
        <f t="shared" si="126"/>
        <v>0.15029509623491655</v>
      </c>
      <c r="Q990" s="47">
        <f t="shared" si="127"/>
        <v>1</v>
      </c>
    </row>
    <row r="991" spans="1:17" x14ac:dyDescent="0.35">
      <c r="A991" s="82">
        <v>988</v>
      </c>
      <c r="B991" s="83" t="str">
        <f>_xlfn.XLOOKUP(A991,'TAZs by City - CCAG Model'!$A:$A,'TAZs by City - CCAG Model'!$B:$B,"Unknown")</f>
        <v>San Jose</v>
      </c>
      <c r="C991" s="82">
        <f>_xlfn.XLOOKUP(A991,'TAZs by City - CCAG Model'!$A:$A,'TAZs by City - CCAG Model'!$C:$C,999)</f>
        <v>3</v>
      </c>
      <c r="D991" s="82" t="str">
        <f t="shared" si="120"/>
        <v>NO</v>
      </c>
      <c r="E991" s="27">
        <v>5434.72</v>
      </c>
      <c r="F991" s="27">
        <v>3903.72</v>
      </c>
      <c r="G991" s="27">
        <v>248.02</v>
      </c>
      <c r="H991" s="27">
        <v>122.3</v>
      </c>
      <c r="I991" s="27">
        <v>1550.38</v>
      </c>
      <c r="J991" s="27">
        <v>11551.44</v>
      </c>
      <c r="K991" s="47">
        <f t="shared" si="121"/>
        <v>0.47047987090786952</v>
      </c>
      <c r="L991" s="47">
        <f t="shared" si="122"/>
        <v>0.33794228252062075</v>
      </c>
      <c r="M991" s="84">
        <f t="shared" si="123"/>
        <v>0.80842215342849033</v>
      </c>
      <c r="N991" s="47">
        <f t="shared" si="124"/>
        <v>2.1470916180147237E-2</v>
      </c>
      <c r="O991" s="47">
        <f t="shared" si="125"/>
        <v>1.0587424598145339E-2</v>
      </c>
      <c r="P991" s="47">
        <f t="shared" si="126"/>
        <v>0.1342153012957692</v>
      </c>
      <c r="Q991" s="47">
        <f t="shared" si="127"/>
        <v>1</v>
      </c>
    </row>
    <row r="992" spans="1:17" x14ac:dyDescent="0.35">
      <c r="A992" s="82">
        <v>989</v>
      </c>
      <c r="B992" s="83" t="str">
        <f>_xlfn.XLOOKUP(A992,'TAZs by City - CCAG Model'!$A:$A,'TAZs by City - CCAG Model'!$B:$B,"Unknown")</f>
        <v>San Jose</v>
      </c>
      <c r="C992" s="82">
        <f>_xlfn.XLOOKUP(A992,'TAZs by City - CCAG Model'!$A:$A,'TAZs by City - CCAG Model'!$C:$C,999)</f>
        <v>3</v>
      </c>
      <c r="D992" s="82" t="str">
        <f t="shared" si="120"/>
        <v>NO</v>
      </c>
      <c r="E992" s="27">
        <v>7921</v>
      </c>
      <c r="F992" s="27">
        <v>4521.38</v>
      </c>
      <c r="G992" s="27">
        <v>318.66000000000003</v>
      </c>
      <c r="H992" s="27">
        <v>144.84</v>
      </c>
      <c r="I992" s="27">
        <v>2872.44</v>
      </c>
      <c r="J992" s="27">
        <v>16141.34</v>
      </c>
      <c r="K992" s="47">
        <f t="shared" si="121"/>
        <v>0.49072753563210986</v>
      </c>
      <c r="L992" s="47">
        <f t="shared" si="122"/>
        <v>0.28011181227828669</v>
      </c>
      <c r="M992" s="84">
        <f t="shared" si="123"/>
        <v>0.77083934791039654</v>
      </c>
      <c r="N992" s="47">
        <f t="shared" si="124"/>
        <v>1.9741855384992821E-2</v>
      </c>
      <c r="O992" s="47">
        <f t="shared" si="125"/>
        <v>8.9732327055870205E-3</v>
      </c>
      <c r="P992" s="47">
        <f t="shared" si="126"/>
        <v>0.17795548572795072</v>
      </c>
      <c r="Q992" s="47">
        <f t="shared" si="127"/>
        <v>1</v>
      </c>
    </row>
    <row r="993" spans="1:17" x14ac:dyDescent="0.35">
      <c r="A993" s="82">
        <v>990</v>
      </c>
      <c r="B993" s="83" t="str">
        <f>_xlfn.XLOOKUP(A993,'TAZs by City - CCAG Model'!$A:$A,'TAZs by City - CCAG Model'!$B:$B,"Unknown")</f>
        <v>San Jose</v>
      </c>
      <c r="C993" s="82">
        <f>_xlfn.XLOOKUP(A993,'TAZs by City - CCAG Model'!$A:$A,'TAZs by City - CCAG Model'!$C:$C,999)</f>
        <v>3</v>
      </c>
      <c r="D993" s="82" t="str">
        <f t="shared" si="120"/>
        <v>NO</v>
      </c>
      <c r="E993" s="27">
        <v>2880.46</v>
      </c>
      <c r="F993" s="27">
        <v>2102.2600000000002</v>
      </c>
      <c r="G993" s="27">
        <v>202.26</v>
      </c>
      <c r="H993" s="27">
        <v>65.64</v>
      </c>
      <c r="I993" s="27">
        <v>1185</v>
      </c>
      <c r="J993" s="27">
        <v>6669.2</v>
      </c>
      <c r="K993" s="47">
        <f t="shared" si="121"/>
        <v>0.43190487614706413</v>
      </c>
      <c r="L993" s="47">
        <f t="shared" si="122"/>
        <v>0.31521921669765496</v>
      </c>
      <c r="M993" s="84">
        <f t="shared" si="123"/>
        <v>0.74712409284471903</v>
      </c>
      <c r="N993" s="47">
        <f t="shared" si="124"/>
        <v>3.032747555928747E-2</v>
      </c>
      <c r="O993" s="47">
        <f t="shared" si="125"/>
        <v>9.8422599412223352E-3</v>
      </c>
      <c r="P993" s="47">
        <f t="shared" si="126"/>
        <v>0.17768248065735021</v>
      </c>
      <c r="Q993" s="47">
        <f t="shared" si="127"/>
        <v>1</v>
      </c>
    </row>
    <row r="994" spans="1:17" x14ac:dyDescent="0.35">
      <c r="A994" s="82">
        <v>991</v>
      </c>
      <c r="B994" s="83" t="str">
        <f>_xlfn.XLOOKUP(A994,'TAZs by City - CCAG Model'!$A:$A,'TAZs by City - CCAG Model'!$B:$B,"Unknown")</f>
        <v>San Jose</v>
      </c>
      <c r="C994" s="82">
        <f>_xlfn.XLOOKUP(A994,'TAZs by City - CCAG Model'!$A:$A,'TAZs by City - CCAG Model'!$C:$C,999)</f>
        <v>3</v>
      </c>
      <c r="D994" s="82" t="str">
        <f t="shared" si="120"/>
        <v>NO</v>
      </c>
      <c r="E994" s="27">
        <v>4007.48</v>
      </c>
      <c r="F994" s="27">
        <v>2453.6799999999998</v>
      </c>
      <c r="G994" s="27">
        <v>193.02</v>
      </c>
      <c r="H994" s="27">
        <v>81.16</v>
      </c>
      <c r="I994" s="27">
        <v>1533.4</v>
      </c>
      <c r="J994" s="27">
        <v>8507.7199999999993</v>
      </c>
      <c r="K994" s="47">
        <f t="shared" si="121"/>
        <v>0.47104041975993571</v>
      </c>
      <c r="L994" s="47">
        <f t="shared" si="122"/>
        <v>0.28840629451839034</v>
      </c>
      <c r="M994" s="84">
        <f t="shared" si="123"/>
        <v>0.75944671427832611</v>
      </c>
      <c r="N994" s="47">
        <f t="shared" si="124"/>
        <v>2.2687629588185793E-2</v>
      </c>
      <c r="O994" s="47">
        <f t="shared" si="125"/>
        <v>9.5395711189366836E-3</v>
      </c>
      <c r="P994" s="47">
        <f t="shared" si="126"/>
        <v>0.18023630302830843</v>
      </c>
      <c r="Q994" s="47">
        <f t="shared" si="127"/>
        <v>1</v>
      </c>
    </row>
    <row r="995" spans="1:17" x14ac:dyDescent="0.35">
      <c r="A995" s="82">
        <v>992</v>
      </c>
      <c r="B995" s="83" t="str">
        <f>_xlfn.XLOOKUP(A995,'TAZs by City - CCAG Model'!$A:$A,'TAZs by City - CCAG Model'!$B:$B,"Unknown")</f>
        <v>San Jose</v>
      </c>
      <c r="C995" s="82">
        <f>_xlfn.XLOOKUP(A995,'TAZs by City - CCAG Model'!$A:$A,'TAZs by City - CCAG Model'!$C:$C,999)</f>
        <v>3</v>
      </c>
      <c r="D995" s="82" t="str">
        <f t="shared" si="120"/>
        <v>NO</v>
      </c>
      <c r="E995" s="27">
        <v>3718.68</v>
      </c>
      <c r="F995" s="27">
        <v>2521.14</v>
      </c>
      <c r="G995" s="27">
        <v>286.98</v>
      </c>
      <c r="H995" s="27">
        <v>92.96</v>
      </c>
      <c r="I995" s="27">
        <v>1223.76</v>
      </c>
      <c r="J995" s="27">
        <v>8176.76</v>
      </c>
      <c r="K995" s="47">
        <f t="shared" si="121"/>
        <v>0.454786492449332</v>
      </c>
      <c r="L995" s="47">
        <f t="shared" si="122"/>
        <v>0.30832994976005162</v>
      </c>
      <c r="M995" s="84">
        <f t="shared" si="123"/>
        <v>0.76311644220938357</v>
      </c>
      <c r="N995" s="47">
        <f t="shared" si="124"/>
        <v>3.5097031097892077E-2</v>
      </c>
      <c r="O995" s="47">
        <f t="shared" si="125"/>
        <v>1.1368806226427093E-2</v>
      </c>
      <c r="P995" s="47">
        <f t="shared" si="126"/>
        <v>0.14966319177767232</v>
      </c>
      <c r="Q995" s="47">
        <f t="shared" si="127"/>
        <v>1</v>
      </c>
    </row>
    <row r="996" spans="1:17" x14ac:dyDescent="0.35">
      <c r="A996" s="82">
        <v>993</v>
      </c>
      <c r="B996" s="83" t="str">
        <f>_xlfn.XLOOKUP(A996,'TAZs by City - CCAG Model'!$A:$A,'TAZs by City - CCAG Model'!$B:$B,"Unknown")</f>
        <v>San Jose</v>
      </c>
      <c r="C996" s="82">
        <f>_xlfn.XLOOKUP(A996,'TAZs by City - CCAG Model'!$A:$A,'TAZs by City - CCAG Model'!$C:$C,999)</f>
        <v>3</v>
      </c>
      <c r="D996" s="82" t="str">
        <f t="shared" si="120"/>
        <v>NO</v>
      </c>
      <c r="E996" s="27">
        <v>4709.18</v>
      </c>
      <c r="F996" s="27">
        <v>3648.8</v>
      </c>
      <c r="G996" s="27">
        <v>253.64</v>
      </c>
      <c r="H996" s="27">
        <v>95.56</v>
      </c>
      <c r="I996" s="27">
        <v>1663.02</v>
      </c>
      <c r="J996" s="27">
        <v>10657.16</v>
      </c>
      <c r="K996" s="47">
        <f t="shared" si="121"/>
        <v>0.4418794500598659</v>
      </c>
      <c r="L996" s="47">
        <f t="shared" si="122"/>
        <v>0.34238014630539471</v>
      </c>
      <c r="M996" s="84">
        <f t="shared" si="123"/>
        <v>0.78425959636526055</v>
      </c>
      <c r="N996" s="47">
        <f t="shared" si="124"/>
        <v>2.3799961715879277E-2</v>
      </c>
      <c r="O996" s="47">
        <f t="shared" si="125"/>
        <v>8.9667416084585391E-3</v>
      </c>
      <c r="P996" s="47">
        <f t="shared" si="126"/>
        <v>0.15604720206884387</v>
      </c>
      <c r="Q996" s="47">
        <f t="shared" si="127"/>
        <v>1</v>
      </c>
    </row>
    <row r="997" spans="1:17" x14ac:dyDescent="0.35">
      <c r="A997" s="82">
        <v>994</v>
      </c>
      <c r="B997" s="83" t="str">
        <f>_xlfn.XLOOKUP(A997,'TAZs by City - CCAG Model'!$A:$A,'TAZs by City - CCAG Model'!$B:$B,"Unknown")</f>
        <v>San Jose</v>
      </c>
      <c r="C997" s="82">
        <f>_xlfn.XLOOKUP(A997,'TAZs by City - CCAG Model'!$A:$A,'TAZs by City - CCAG Model'!$C:$C,999)</f>
        <v>3</v>
      </c>
      <c r="D997" s="82" t="str">
        <f t="shared" si="120"/>
        <v>NO</v>
      </c>
      <c r="E997" s="27">
        <v>2807.34</v>
      </c>
      <c r="F997" s="27">
        <v>2002.6</v>
      </c>
      <c r="G997" s="27">
        <v>136.97999999999999</v>
      </c>
      <c r="H997" s="27">
        <v>52.86</v>
      </c>
      <c r="I997" s="27">
        <v>718.84</v>
      </c>
      <c r="J997" s="27">
        <v>5897.4</v>
      </c>
      <c r="K997" s="47">
        <f t="shared" si="121"/>
        <v>0.47603011496591724</v>
      </c>
      <c r="L997" s="47">
        <f t="shared" si="122"/>
        <v>0.33957337131617321</v>
      </c>
      <c r="M997" s="84">
        <f t="shared" si="123"/>
        <v>0.81560348628209056</v>
      </c>
      <c r="N997" s="47">
        <f t="shared" si="124"/>
        <v>2.3227184861125242E-2</v>
      </c>
      <c r="O997" s="47">
        <f t="shared" si="125"/>
        <v>8.9632719503510028E-3</v>
      </c>
      <c r="P997" s="47">
        <f t="shared" si="126"/>
        <v>0.12189100281479975</v>
      </c>
      <c r="Q997" s="47">
        <f t="shared" si="127"/>
        <v>1</v>
      </c>
    </row>
    <row r="998" spans="1:17" x14ac:dyDescent="0.35">
      <c r="A998" s="82">
        <v>995</v>
      </c>
      <c r="B998" s="83" t="str">
        <f>_xlfn.XLOOKUP(A998,'TAZs by City - CCAG Model'!$A:$A,'TAZs by City - CCAG Model'!$B:$B,"Unknown")</f>
        <v>San Jose</v>
      </c>
      <c r="C998" s="82">
        <f>_xlfn.XLOOKUP(A998,'TAZs by City - CCAG Model'!$A:$A,'TAZs by City - CCAG Model'!$C:$C,999)</f>
        <v>3</v>
      </c>
      <c r="D998" s="82" t="str">
        <f t="shared" si="120"/>
        <v>NO</v>
      </c>
      <c r="E998" s="27">
        <v>1222.7</v>
      </c>
      <c r="F998" s="27">
        <v>820.9</v>
      </c>
      <c r="G998" s="27">
        <v>67.66</v>
      </c>
      <c r="H998" s="27">
        <v>22</v>
      </c>
      <c r="I998" s="27">
        <v>113.58</v>
      </c>
      <c r="J998" s="27">
        <v>2352.1799999999998</v>
      </c>
      <c r="K998" s="47">
        <f t="shared" si="121"/>
        <v>0.51981566036612847</v>
      </c>
      <c r="L998" s="47">
        <f t="shared" si="122"/>
        <v>0.34899540001190388</v>
      </c>
      <c r="M998" s="84">
        <f t="shared" si="123"/>
        <v>0.86881106037803235</v>
      </c>
      <c r="N998" s="47">
        <f t="shared" si="124"/>
        <v>2.8764805414551609E-2</v>
      </c>
      <c r="O998" s="47">
        <f t="shared" si="125"/>
        <v>9.3530257038151841E-3</v>
      </c>
      <c r="P998" s="47">
        <f t="shared" si="126"/>
        <v>4.8287120883605851E-2</v>
      </c>
      <c r="Q998" s="47">
        <f t="shared" si="127"/>
        <v>1</v>
      </c>
    </row>
    <row r="999" spans="1:17" x14ac:dyDescent="0.35">
      <c r="A999" s="82">
        <v>996</v>
      </c>
      <c r="B999" s="83" t="str">
        <f>_xlfn.XLOOKUP(A999,'TAZs by City - CCAG Model'!$A:$A,'TAZs by City - CCAG Model'!$B:$B,"Unknown")</f>
        <v>San Jose</v>
      </c>
      <c r="C999" s="82">
        <f>_xlfn.XLOOKUP(A999,'TAZs by City - CCAG Model'!$A:$A,'TAZs by City - CCAG Model'!$C:$C,999)</f>
        <v>3</v>
      </c>
      <c r="D999" s="82" t="str">
        <f t="shared" si="120"/>
        <v>NO</v>
      </c>
      <c r="E999" s="27">
        <v>9296.9599999999991</v>
      </c>
      <c r="F999" s="27">
        <v>6683.34</v>
      </c>
      <c r="G999" s="27">
        <v>685.62</v>
      </c>
      <c r="H999" s="27">
        <v>173.4</v>
      </c>
      <c r="I999" s="27">
        <v>847.04</v>
      </c>
      <c r="J999" s="27">
        <v>18403.46</v>
      </c>
      <c r="K999" s="47">
        <f t="shared" si="121"/>
        <v>0.50517457043403791</v>
      </c>
      <c r="L999" s="47">
        <f t="shared" si="122"/>
        <v>0.363156710748957</v>
      </c>
      <c r="M999" s="84">
        <f t="shared" si="123"/>
        <v>0.86833128118299496</v>
      </c>
      <c r="N999" s="47">
        <f t="shared" si="124"/>
        <v>3.7254950971176072E-2</v>
      </c>
      <c r="O999" s="47">
        <f t="shared" si="125"/>
        <v>9.4221412712609479E-3</v>
      </c>
      <c r="P999" s="47">
        <f t="shared" si="126"/>
        <v>4.60261276955529E-2</v>
      </c>
      <c r="Q999" s="47">
        <f t="shared" si="127"/>
        <v>1</v>
      </c>
    </row>
    <row r="1000" spans="1:17" x14ac:dyDescent="0.35">
      <c r="A1000" s="82">
        <v>997</v>
      </c>
      <c r="B1000" s="83" t="str">
        <f>_xlfn.XLOOKUP(A1000,'TAZs by City - CCAG Model'!$A:$A,'TAZs by City - CCAG Model'!$B:$B,"Unknown")</f>
        <v>San Jose</v>
      </c>
      <c r="C1000" s="82">
        <f>_xlfn.XLOOKUP(A1000,'TAZs by City - CCAG Model'!$A:$A,'TAZs by City - CCAG Model'!$C:$C,999)</f>
        <v>3</v>
      </c>
      <c r="D1000" s="82" t="str">
        <f t="shared" si="120"/>
        <v>NO</v>
      </c>
      <c r="E1000" s="27">
        <v>10321.66</v>
      </c>
      <c r="F1000" s="27">
        <v>3100.4</v>
      </c>
      <c r="G1000" s="27">
        <v>272.52</v>
      </c>
      <c r="H1000" s="27">
        <v>126.8</v>
      </c>
      <c r="I1000" s="27">
        <v>539.66</v>
      </c>
      <c r="J1000" s="27">
        <v>14661.16</v>
      </c>
      <c r="K1000" s="47">
        <f t="shared" si="121"/>
        <v>0.70401387066234866</v>
      </c>
      <c r="L1000" s="47">
        <f t="shared" si="122"/>
        <v>0.21147030657874274</v>
      </c>
      <c r="M1000" s="84">
        <f t="shared" si="123"/>
        <v>0.91548417724109143</v>
      </c>
      <c r="N1000" s="47">
        <f t="shared" si="124"/>
        <v>1.8587887997948319E-2</v>
      </c>
      <c r="O1000" s="47">
        <f t="shared" si="125"/>
        <v>8.6487017398350474E-3</v>
      </c>
      <c r="P1000" s="47">
        <f t="shared" si="126"/>
        <v>3.6808820038796382E-2</v>
      </c>
      <c r="Q1000" s="47">
        <f t="shared" si="127"/>
        <v>1</v>
      </c>
    </row>
    <row r="1001" spans="1:17" x14ac:dyDescent="0.35">
      <c r="A1001" s="82">
        <v>998</v>
      </c>
      <c r="B1001" s="83" t="str">
        <f>_xlfn.XLOOKUP(A1001,'TAZs by City - CCAG Model'!$A:$A,'TAZs by City - CCAG Model'!$B:$B,"Unknown")</f>
        <v>San Jose</v>
      </c>
      <c r="C1001" s="82">
        <f>_xlfn.XLOOKUP(A1001,'TAZs by City - CCAG Model'!$A:$A,'TAZs by City - CCAG Model'!$C:$C,999)</f>
        <v>3</v>
      </c>
      <c r="D1001" s="82" t="str">
        <f t="shared" si="120"/>
        <v>NO</v>
      </c>
      <c r="E1001" s="27">
        <v>3985.64</v>
      </c>
      <c r="F1001" s="27">
        <v>1747.74</v>
      </c>
      <c r="G1001" s="27">
        <v>208.96</v>
      </c>
      <c r="H1001" s="27">
        <v>62.38</v>
      </c>
      <c r="I1001" s="27">
        <v>275.74</v>
      </c>
      <c r="J1001" s="27">
        <v>6531.48</v>
      </c>
      <c r="K1001" s="47">
        <f t="shared" si="121"/>
        <v>0.61022004201191771</v>
      </c>
      <c r="L1001" s="47">
        <f t="shared" si="122"/>
        <v>0.26758713185985417</v>
      </c>
      <c r="M1001" s="84">
        <f t="shared" si="123"/>
        <v>0.87780717387177187</v>
      </c>
      <c r="N1001" s="47">
        <f t="shared" si="124"/>
        <v>3.1992748963481484E-2</v>
      </c>
      <c r="O1001" s="47">
        <f t="shared" si="125"/>
        <v>9.5506684549290528E-3</v>
      </c>
      <c r="P1001" s="47">
        <f t="shared" si="126"/>
        <v>4.2217077905773275E-2</v>
      </c>
      <c r="Q1001" s="47">
        <f t="shared" si="127"/>
        <v>1</v>
      </c>
    </row>
    <row r="1002" spans="1:17" x14ac:dyDescent="0.35">
      <c r="A1002" s="82">
        <v>999</v>
      </c>
      <c r="B1002" s="83" t="str">
        <f>_xlfn.XLOOKUP(A1002,'TAZs by City - CCAG Model'!$A:$A,'TAZs by City - CCAG Model'!$B:$B,"Unknown")</f>
        <v>Unincorporated</v>
      </c>
      <c r="C1002" s="82">
        <f>_xlfn.XLOOKUP(A1002,'TAZs by City - CCAG Model'!$A:$A,'TAZs by City - CCAG Model'!$C:$C,999)</f>
        <v>3</v>
      </c>
      <c r="D1002" s="82" t="str">
        <f t="shared" si="120"/>
        <v>NO</v>
      </c>
      <c r="E1002" s="27">
        <v>355.44</v>
      </c>
      <c r="F1002" s="27">
        <v>268.7</v>
      </c>
      <c r="G1002" s="27">
        <v>0.57999999999999996</v>
      </c>
      <c r="H1002" s="27">
        <v>2.36</v>
      </c>
      <c r="I1002" s="27">
        <v>2.46</v>
      </c>
      <c r="J1002" s="27">
        <v>645.88</v>
      </c>
      <c r="K1002" s="47">
        <f t="shared" si="121"/>
        <v>0.55031894469560905</v>
      </c>
      <c r="L1002" s="47">
        <f t="shared" si="122"/>
        <v>0.41602155199108193</v>
      </c>
      <c r="M1002" s="84">
        <f t="shared" si="123"/>
        <v>0.96634049668669098</v>
      </c>
      <c r="N1002" s="47">
        <f t="shared" si="124"/>
        <v>8.9799962841394677E-4</v>
      </c>
      <c r="O1002" s="47">
        <f t="shared" si="125"/>
        <v>3.6539295225119215E-3</v>
      </c>
      <c r="P1002" s="47">
        <f t="shared" si="126"/>
        <v>3.8087570446522574E-3</v>
      </c>
      <c r="Q1002" s="47">
        <f t="shared" si="127"/>
        <v>1</v>
      </c>
    </row>
    <row r="1003" spans="1:17" x14ac:dyDescent="0.35">
      <c r="A1003" s="82">
        <v>1000</v>
      </c>
      <c r="B1003" s="83" t="str">
        <f>_xlfn.XLOOKUP(A1003,'TAZs by City - CCAG Model'!$A:$A,'TAZs by City - CCAG Model'!$B:$B,"Unknown")</f>
        <v>San Jose</v>
      </c>
      <c r="C1003" s="82">
        <f>_xlfn.XLOOKUP(A1003,'TAZs by City - CCAG Model'!$A:$A,'TAZs by City - CCAG Model'!$C:$C,999)</f>
        <v>3</v>
      </c>
      <c r="D1003" s="82" t="str">
        <f t="shared" si="120"/>
        <v>NO</v>
      </c>
      <c r="E1003" s="27">
        <v>3281.84</v>
      </c>
      <c r="F1003" s="27">
        <v>2619.52</v>
      </c>
      <c r="G1003" s="27">
        <v>122</v>
      </c>
      <c r="H1003" s="27">
        <v>60.04</v>
      </c>
      <c r="I1003" s="27">
        <v>576.82000000000005</v>
      </c>
      <c r="J1003" s="27">
        <v>6821.7</v>
      </c>
      <c r="K1003" s="47">
        <f t="shared" si="121"/>
        <v>0.48108829177477758</v>
      </c>
      <c r="L1003" s="47">
        <f t="shared" si="122"/>
        <v>0.38399812363487107</v>
      </c>
      <c r="M1003" s="84">
        <f t="shared" si="123"/>
        <v>0.8650864154096487</v>
      </c>
      <c r="N1003" s="47">
        <f t="shared" si="124"/>
        <v>1.7884105135083629E-2</v>
      </c>
      <c r="O1003" s="47">
        <f t="shared" si="125"/>
        <v>8.8013251828723046E-3</v>
      </c>
      <c r="P1003" s="47">
        <f t="shared" si="126"/>
        <v>8.4556635442778208E-2</v>
      </c>
      <c r="Q1003" s="47">
        <f t="shared" si="127"/>
        <v>1</v>
      </c>
    </row>
    <row r="1004" spans="1:17" x14ac:dyDescent="0.35">
      <c r="A1004" s="82">
        <v>1001</v>
      </c>
      <c r="B1004" s="83" t="str">
        <f>_xlfn.XLOOKUP(A1004,'TAZs by City - CCAG Model'!$A:$A,'TAZs by City - CCAG Model'!$B:$B,"Unknown")</f>
        <v>San Jose</v>
      </c>
      <c r="C1004" s="82">
        <f>_xlfn.XLOOKUP(A1004,'TAZs by City - CCAG Model'!$A:$A,'TAZs by City - CCAG Model'!$C:$C,999)</f>
        <v>3</v>
      </c>
      <c r="D1004" s="82" t="str">
        <f t="shared" si="120"/>
        <v>NO</v>
      </c>
      <c r="E1004" s="27">
        <v>3823.98</v>
      </c>
      <c r="F1004" s="27">
        <v>2856.68</v>
      </c>
      <c r="G1004" s="27">
        <v>114.56</v>
      </c>
      <c r="H1004" s="27">
        <v>70.48</v>
      </c>
      <c r="I1004" s="27">
        <v>1033.44</v>
      </c>
      <c r="J1004" s="27">
        <v>8050.96</v>
      </c>
      <c r="K1004" s="47">
        <f t="shared" si="121"/>
        <v>0.47497192881345829</v>
      </c>
      <c r="L1004" s="47">
        <f t="shared" si="122"/>
        <v>0.35482476623905718</v>
      </c>
      <c r="M1004" s="84">
        <f t="shared" si="123"/>
        <v>0.82979669505251541</v>
      </c>
      <c r="N1004" s="47">
        <f t="shared" si="124"/>
        <v>1.4229358983276529E-2</v>
      </c>
      <c r="O1004" s="47">
        <f t="shared" si="125"/>
        <v>8.7542355197392611E-3</v>
      </c>
      <c r="P1004" s="47">
        <f t="shared" si="126"/>
        <v>0.12836233194550711</v>
      </c>
      <c r="Q1004" s="47">
        <f t="shared" si="127"/>
        <v>1</v>
      </c>
    </row>
    <row r="1005" spans="1:17" x14ac:dyDescent="0.35">
      <c r="A1005" s="82">
        <v>1002</v>
      </c>
      <c r="B1005" s="83" t="str">
        <f>_xlfn.XLOOKUP(A1005,'TAZs by City - CCAG Model'!$A:$A,'TAZs by City - CCAG Model'!$B:$B,"Unknown")</f>
        <v>San Jose</v>
      </c>
      <c r="C1005" s="82">
        <f>_xlfn.XLOOKUP(A1005,'TAZs by City - CCAG Model'!$A:$A,'TAZs by City - CCAG Model'!$C:$C,999)</f>
        <v>3</v>
      </c>
      <c r="D1005" s="82" t="str">
        <f t="shared" si="120"/>
        <v>NO</v>
      </c>
      <c r="E1005" s="27">
        <v>2686.18</v>
      </c>
      <c r="F1005" s="27">
        <v>2206.88</v>
      </c>
      <c r="G1005" s="27">
        <v>120.1</v>
      </c>
      <c r="H1005" s="27">
        <v>47.72</v>
      </c>
      <c r="I1005" s="27">
        <v>748.92</v>
      </c>
      <c r="J1005" s="27">
        <v>5960.14</v>
      </c>
      <c r="K1005" s="47">
        <f t="shared" si="121"/>
        <v>0.45069075558627814</v>
      </c>
      <c r="L1005" s="47">
        <f t="shared" si="122"/>
        <v>0.37027318150244792</v>
      </c>
      <c r="M1005" s="84">
        <f t="shared" si="123"/>
        <v>0.82096393708872595</v>
      </c>
      <c r="N1005" s="47">
        <f t="shared" si="124"/>
        <v>2.0150533376732758E-2</v>
      </c>
      <c r="O1005" s="47">
        <f t="shared" si="125"/>
        <v>8.0065233367001432E-3</v>
      </c>
      <c r="P1005" s="47">
        <f t="shared" si="126"/>
        <v>0.1256547664987735</v>
      </c>
      <c r="Q1005" s="47">
        <f t="shared" si="127"/>
        <v>1</v>
      </c>
    </row>
    <row r="1006" spans="1:17" x14ac:dyDescent="0.35">
      <c r="A1006" s="82">
        <v>1003</v>
      </c>
      <c r="B1006" s="83" t="str">
        <f>_xlfn.XLOOKUP(A1006,'TAZs by City - CCAG Model'!$A:$A,'TAZs by City - CCAG Model'!$B:$B,"Unknown")</f>
        <v>San Jose</v>
      </c>
      <c r="C1006" s="82">
        <f>_xlfn.XLOOKUP(A1006,'TAZs by City - CCAG Model'!$A:$A,'TAZs by City - CCAG Model'!$C:$C,999)</f>
        <v>3</v>
      </c>
      <c r="D1006" s="82" t="str">
        <f t="shared" si="120"/>
        <v>NO</v>
      </c>
      <c r="E1006" s="27">
        <v>3754.88</v>
      </c>
      <c r="F1006" s="27">
        <v>3021.2</v>
      </c>
      <c r="G1006" s="27">
        <v>189.58</v>
      </c>
      <c r="H1006" s="27">
        <v>70.62</v>
      </c>
      <c r="I1006" s="27">
        <v>470.04</v>
      </c>
      <c r="J1006" s="27">
        <v>7726.16</v>
      </c>
      <c r="K1006" s="47">
        <f t="shared" si="121"/>
        <v>0.48599563042960542</v>
      </c>
      <c r="L1006" s="47">
        <f t="shared" si="122"/>
        <v>0.39103513258850447</v>
      </c>
      <c r="M1006" s="84">
        <f t="shared" si="123"/>
        <v>0.87703076301810989</v>
      </c>
      <c r="N1006" s="47">
        <f t="shared" si="124"/>
        <v>2.4537415740807856E-2</v>
      </c>
      <c r="O1006" s="47">
        <f t="shared" si="125"/>
        <v>9.1403750375348182E-3</v>
      </c>
      <c r="P1006" s="47">
        <f t="shared" si="126"/>
        <v>6.0837466477525706E-2</v>
      </c>
      <c r="Q1006" s="47">
        <f t="shared" si="127"/>
        <v>1</v>
      </c>
    </row>
    <row r="1007" spans="1:17" x14ac:dyDescent="0.35">
      <c r="A1007" s="82">
        <v>1004</v>
      </c>
      <c r="B1007" s="83" t="str">
        <f>_xlfn.XLOOKUP(A1007,'TAZs by City - CCAG Model'!$A:$A,'TAZs by City - CCAG Model'!$B:$B,"Unknown")</f>
        <v>San Jose</v>
      </c>
      <c r="C1007" s="82">
        <f>_xlfn.XLOOKUP(A1007,'TAZs by City - CCAG Model'!$A:$A,'TAZs by City - CCAG Model'!$C:$C,999)</f>
        <v>3</v>
      </c>
      <c r="D1007" s="82" t="str">
        <f t="shared" si="120"/>
        <v>NO</v>
      </c>
      <c r="E1007" s="27">
        <v>7377.5</v>
      </c>
      <c r="F1007" s="27">
        <v>5361.48</v>
      </c>
      <c r="G1007" s="27">
        <v>291.48</v>
      </c>
      <c r="H1007" s="27">
        <v>146.78</v>
      </c>
      <c r="I1007" s="27">
        <v>1058.92</v>
      </c>
      <c r="J1007" s="27">
        <v>14560.32</v>
      </c>
      <c r="K1007" s="47">
        <f t="shared" si="121"/>
        <v>0.50668529263093121</v>
      </c>
      <c r="L1007" s="47">
        <f t="shared" si="122"/>
        <v>0.36822542361706334</v>
      </c>
      <c r="M1007" s="84">
        <f t="shared" si="123"/>
        <v>0.87491071624799455</v>
      </c>
      <c r="N1007" s="47">
        <f t="shared" si="124"/>
        <v>2.0018790795806686E-2</v>
      </c>
      <c r="O1007" s="47">
        <f t="shared" si="125"/>
        <v>1.0080822399507703E-2</v>
      </c>
      <c r="P1007" s="47">
        <f t="shared" si="126"/>
        <v>7.2726423595085826E-2</v>
      </c>
      <c r="Q1007" s="47">
        <f t="shared" si="127"/>
        <v>1</v>
      </c>
    </row>
    <row r="1008" spans="1:17" x14ac:dyDescent="0.35">
      <c r="A1008" s="82">
        <v>1005</v>
      </c>
      <c r="B1008" s="83" t="str">
        <f>_xlfn.XLOOKUP(A1008,'TAZs by City - CCAG Model'!$A:$A,'TAZs by City - CCAG Model'!$B:$B,"Unknown")</f>
        <v>San Jose</v>
      </c>
      <c r="C1008" s="82">
        <f>_xlfn.XLOOKUP(A1008,'TAZs by City - CCAG Model'!$A:$A,'TAZs by City - CCAG Model'!$C:$C,999)</f>
        <v>3</v>
      </c>
      <c r="D1008" s="82" t="str">
        <f t="shared" si="120"/>
        <v>NO</v>
      </c>
      <c r="E1008" s="27">
        <v>7924.34</v>
      </c>
      <c r="F1008" s="27">
        <v>4048.52</v>
      </c>
      <c r="G1008" s="27">
        <v>330.36</v>
      </c>
      <c r="H1008" s="27">
        <v>197.4</v>
      </c>
      <c r="I1008" s="27">
        <v>1318.86</v>
      </c>
      <c r="J1008" s="27">
        <v>14185.6</v>
      </c>
      <c r="K1008" s="47">
        <f t="shared" si="121"/>
        <v>0.55861859914279266</v>
      </c>
      <c r="L1008" s="47">
        <f t="shared" si="122"/>
        <v>0.28539645838032934</v>
      </c>
      <c r="M1008" s="84">
        <f t="shared" si="123"/>
        <v>0.844015057523122</v>
      </c>
      <c r="N1008" s="47">
        <f t="shared" si="124"/>
        <v>2.3288405143243852E-2</v>
      </c>
      <c r="O1008" s="47">
        <f t="shared" si="125"/>
        <v>1.3915519963907061E-2</v>
      </c>
      <c r="P1008" s="47">
        <f t="shared" si="126"/>
        <v>9.2971745995939534E-2</v>
      </c>
      <c r="Q1008" s="47">
        <f t="shared" si="127"/>
        <v>1</v>
      </c>
    </row>
    <row r="1009" spans="1:17" x14ac:dyDescent="0.35">
      <c r="A1009" s="82">
        <v>1006</v>
      </c>
      <c r="B1009" s="83" t="str">
        <f>_xlfn.XLOOKUP(A1009,'TAZs by City - CCAG Model'!$A:$A,'TAZs by City - CCAG Model'!$B:$B,"Unknown")</f>
        <v>San Jose</v>
      </c>
      <c r="C1009" s="82">
        <f>_xlfn.XLOOKUP(A1009,'TAZs by City - CCAG Model'!$A:$A,'TAZs by City - CCAG Model'!$C:$C,999)</f>
        <v>3</v>
      </c>
      <c r="D1009" s="82" t="str">
        <f t="shared" si="120"/>
        <v>NO</v>
      </c>
      <c r="E1009" s="27">
        <v>8007.66</v>
      </c>
      <c r="F1009" s="27">
        <v>4959.28</v>
      </c>
      <c r="G1009" s="27">
        <v>171.84</v>
      </c>
      <c r="H1009" s="27">
        <v>134.04</v>
      </c>
      <c r="I1009" s="27">
        <v>654.54</v>
      </c>
      <c r="J1009" s="27">
        <v>14135.36</v>
      </c>
      <c r="K1009" s="47">
        <f t="shared" si="121"/>
        <v>0.56649848323636609</v>
      </c>
      <c r="L1009" s="47">
        <f t="shared" si="122"/>
        <v>0.35084214339075903</v>
      </c>
      <c r="M1009" s="84">
        <f t="shared" si="123"/>
        <v>0.91734062662712501</v>
      </c>
      <c r="N1009" s="47">
        <f t="shared" si="124"/>
        <v>1.2156747334344509E-2</v>
      </c>
      <c r="O1009" s="47">
        <f t="shared" si="125"/>
        <v>9.4826024947366021E-3</v>
      </c>
      <c r="P1009" s="47">
        <f t="shared" si="126"/>
        <v>4.63051524687026E-2</v>
      </c>
      <c r="Q1009" s="47">
        <f t="shared" si="127"/>
        <v>1</v>
      </c>
    </row>
    <row r="1010" spans="1:17" x14ac:dyDescent="0.35">
      <c r="A1010" s="82">
        <v>1007</v>
      </c>
      <c r="B1010" s="83" t="str">
        <f>_xlfn.XLOOKUP(A1010,'TAZs by City - CCAG Model'!$A:$A,'TAZs by City - CCAG Model'!$B:$B,"Unknown")</f>
        <v>San Jose</v>
      </c>
      <c r="C1010" s="82">
        <f>_xlfn.XLOOKUP(A1010,'TAZs by City - CCAG Model'!$A:$A,'TAZs by City - CCAG Model'!$C:$C,999)</f>
        <v>3</v>
      </c>
      <c r="D1010" s="82" t="str">
        <f t="shared" si="120"/>
        <v>NO</v>
      </c>
      <c r="E1010" s="27">
        <v>6364.04</v>
      </c>
      <c r="F1010" s="27">
        <v>4821.46</v>
      </c>
      <c r="G1010" s="27">
        <v>175.5</v>
      </c>
      <c r="H1010" s="27">
        <v>109.96</v>
      </c>
      <c r="I1010" s="27">
        <v>818.06</v>
      </c>
      <c r="J1010" s="27">
        <v>12490.14</v>
      </c>
      <c r="K1010" s="47">
        <f t="shared" si="121"/>
        <v>0.50952511340945739</v>
      </c>
      <c r="L1010" s="47">
        <f t="shared" si="122"/>
        <v>0.38602129359638887</v>
      </c>
      <c r="M1010" s="84">
        <f t="shared" si="123"/>
        <v>0.8955464070058462</v>
      </c>
      <c r="N1010" s="47">
        <f t="shared" si="124"/>
        <v>1.4051083494660589E-2</v>
      </c>
      <c r="O1010" s="47">
        <f t="shared" si="125"/>
        <v>8.8037443935776536E-3</v>
      </c>
      <c r="P1010" s="47">
        <f t="shared" si="126"/>
        <v>6.5496463610495964E-2</v>
      </c>
      <c r="Q1010" s="47">
        <f t="shared" si="127"/>
        <v>1</v>
      </c>
    </row>
    <row r="1011" spans="1:17" x14ac:dyDescent="0.35">
      <c r="A1011" s="82">
        <v>1008</v>
      </c>
      <c r="B1011" s="83" t="str">
        <f>_xlfn.XLOOKUP(A1011,'TAZs by City - CCAG Model'!$A:$A,'TAZs by City - CCAG Model'!$B:$B,"Unknown")</f>
        <v>San Jose</v>
      </c>
      <c r="C1011" s="82">
        <f>_xlfn.XLOOKUP(A1011,'TAZs by City - CCAG Model'!$A:$A,'TAZs by City - CCAG Model'!$C:$C,999)</f>
        <v>3</v>
      </c>
      <c r="D1011" s="82" t="str">
        <f t="shared" si="120"/>
        <v>NO</v>
      </c>
      <c r="E1011" s="27">
        <v>6229.58</v>
      </c>
      <c r="F1011" s="27">
        <v>4420.54</v>
      </c>
      <c r="G1011" s="27">
        <v>188.1</v>
      </c>
      <c r="H1011" s="27">
        <v>122.42</v>
      </c>
      <c r="I1011" s="27">
        <v>660.08</v>
      </c>
      <c r="J1011" s="27">
        <v>11844.54</v>
      </c>
      <c r="K1011" s="47">
        <f t="shared" si="121"/>
        <v>0.52594528787103589</v>
      </c>
      <c r="L1011" s="47">
        <f t="shared" si="122"/>
        <v>0.37321331178754091</v>
      </c>
      <c r="M1011" s="84">
        <f t="shared" si="123"/>
        <v>0.8991585996585767</v>
      </c>
      <c r="N1011" s="47">
        <f t="shared" si="124"/>
        <v>1.5880734920900263E-2</v>
      </c>
      <c r="O1011" s="47">
        <f t="shared" si="125"/>
        <v>1.0335563896951675E-2</v>
      </c>
      <c r="P1011" s="47">
        <f t="shared" si="126"/>
        <v>5.5728631082338359E-2</v>
      </c>
      <c r="Q1011" s="47">
        <f t="shared" si="127"/>
        <v>1</v>
      </c>
    </row>
    <row r="1012" spans="1:17" x14ac:dyDescent="0.35">
      <c r="A1012" s="82">
        <v>1009</v>
      </c>
      <c r="B1012" s="83" t="str">
        <f>_xlfn.XLOOKUP(A1012,'TAZs by City - CCAG Model'!$A:$A,'TAZs by City - CCAG Model'!$B:$B,"Unknown")</f>
        <v>San Jose</v>
      </c>
      <c r="C1012" s="82">
        <f>_xlfn.XLOOKUP(A1012,'TAZs by City - CCAG Model'!$A:$A,'TAZs by City - CCAG Model'!$C:$C,999)</f>
        <v>3</v>
      </c>
      <c r="D1012" s="82" t="str">
        <f t="shared" si="120"/>
        <v>NO</v>
      </c>
      <c r="E1012" s="27">
        <v>7492.14</v>
      </c>
      <c r="F1012" s="27">
        <v>4070.5</v>
      </c>
      <c r="G1012" s="27">
        <v>359.72</v>
      </c>
      <c r="H1012" s="27">
        <v>171.42</v>
      </c>
      <c r="I1012" s="27">
        <v>650.16</v>
      </c>
      <c r="J1012" s="27">
        <v>13139.16</v>
      </c>
      <c r="K1012" s="47">
        <f t="shared" si="121"/>
        <v>0.57021453426246427</v>
      </c>
      <c r="L1012" s="47">
        <f t="shared" si="122"/>
        <v>0.30979910435674729</v>
      </c>
      <c r="M1012" s="84">
        <f t="shared" si="123"/>
        <v>0.88001363861921156</v>
      </c>
      <c r="N1012" s="47">
        <f t="shared" si="124"/>
        <v>2.7377701466456E-2</v>
      </c>
      <c r="O1012" s="47">
        <f t="shared" si="125"/>
        <v>1.3046496123039828E-2</v>
      </c>
      <c r="P1012" s="47">
        <f t="shared" si="126"/>
        <v>4.9482615327007207E-2</v>
      </c>
      <c r="Q1012" s="47">
        <f t="shared" si="127"/>
        <v>1</v>
      </c>
    </row>
    <row r="1013" spans="1:17" x14ac:dyDescent="0.35">
      <c r="A1013" s="82">
        <v>1010</v>
      </c>
      <c r="B1013" s="83" t="str">
        <f>_xlfn.XLOOKUP(A1013,'TAZs by City - CCAG Model'!$A:$A,'TAZs by City - CCAG Model'!$B:$B,"Unknown")</f>
        <v>San Jose</v>
      </c>
      <c r="C1013" s="82">
        <f>_xlfn.XLOOKUP(A1013,'TAZs by City - CCAG Model'!$A:$A,'TAZs by City - CCAG Model'!$C:$C,999)</f>
        <v>3</v>
      </c>
      <c r="D1013" s="82" t="str">
        <f t="shared" si="120"/>
        <v>NO</v>
      </c>
      <c r="E1013" s="27">
        <v>9891.42</v>
      </c>
      <c r="F1013" s="27">
        <v>5163.6000000000004</v>
      </c>
      <c r="G1013" s="27">
        <v>340.1</v>
      </c>
      <c r="H1013" s="27">
        <v>216.18</v>
      </c>
      <c r="I1013" s="27">
        <v>641.55999999999995</v>
      </c>
      <c r="J1013" s="27">
        <v>16619.080000000002</v>
      </c>
      <c r="K1013" s="47">
        <f t="shared" si="121"/>
        <v>0.59518457098708222</v>
      </c>
      <c r="L1013" s="47">
        <f t="shared" si="122"/>
        <v>0.31070311954693036</v>
      </c>
      <c r="M1013" s="84">
        <f t="shared" si="123"/>
        <v>0.90588769053401264</v>
      </c>
      <c r="N1013" s="47">
        <f t="shared" si="124"/>
        <v>2.0464430040652071E-2</v>
      </c>
      <c r="O1013" s="47">
        <f t="shared" si="125"/>
        <v>1.3007940271061936E-2</v>
      </c>
      <c r="P1013" s="47">
        <f t="shared" si="126"/>
        <v>3.8603821631522317E-2</v>
      </c>
      <c r="Q1013" s="47">
        <f t="shared" si="127"/>
        <v>1</v>
      </c>
    </row>
    <row r="1014" spans="1:17" x14ac:dyDescent="0.35">
      <c r="A1014" s="82">
        <v>1011</v>
      </c>
      <c r="B1014" s="83" t="str">
        <f>_xlfn.XLOOKUP(A1014,'TAZs by City - CCAG Model'!$A:$A,'TAZs by City - CCAG Model'!$B:$B,"Unknown")</f>
        <v>San Jose</v>
      </c>
      <c r="C1014" s="82">
        <f>_xlfn.XLOOKUP(A1014,'TAZs by City - CCAG Model'!$A:$A,'TAZs by City - CCAG Model'!$C:$C,999)</f>
        <v>3</v>
      </c>
      <c r="D1014" s="82" t="str">
        <f t="shared" si="120"/>
        <v>NO</v>
      </c>
      <c r="E1014" s="27">
        <v>2858.52</v>
      </c>
      <c r="F1014" s="27">
        <v>753.92</v>
      </c>
      <c r="G1014" s="27">
        <v>60.84</v>
      </c>
      <c r="H1014" s="27">
        <v>35.46</v>
      </c>
      <c r="I1014" s="27">
        <v>91.72</v>
      </c>
      <c r="J1014" s="27">
        <v>3903.92</v>
      </c>
      <c r="K1014" s="47">
        <f t="shared" si="121"/>
        <v>0.73221787331707611</v>
      </c>
      <c r="L1014" s="47">
        <f t="shared" si="122"/>
        <v>0.19311871144900508</v>
      </c>
      <c r="M1014" s="84">
        <f t="shared" si="123"/>
        <v>0.92533658476608127</v>
      </c>
      <c r="N1014" s="47">
        <f t="shared" si="124"/>
        <v>1.5584335744584931E-2</v>
      </c>
      <c r="O1014" s="47">
        <f t="shared" si="125"/>
        <v>9.0831779339740574E-3</v>
      </c>
      <c r="P1014" s="47">
        <f t="shared" si="126"/>
        <v>2.3494333900284842E-2</v>
      </c>
      <c r="Q1014" s="47">
        <f t="shared" si="127"/>
        <v>1</v>
      </c>
    </row>
    <row r="1015" spans="1:17" x14ac:dyDescent="0.35">
      <c r="A1015" s="82">
        <v>1012</v>
      </c>
      <c r="B1015" s="83" t="str">
        <f>_xlfn.XLOOKUP(A1015,'TAZs by City - CCAG Model'!$A:$A,'TAZs by City - CCAG Model'!$B:$B,"Unknown")</f>
        <v>San Jose</v>
      </c>
      <c r="C1015" s="82">
        <f>_xlfn.XLOOKUP(A1015,'TAZs by City - CCAG Model'!$A:$A,'TAZs by City - CCAG Model'!$C:$C,999)</f>
        <v>3</v>
      </c>
      <c r="D1015" s="82" t="str">
        <f t="shared" si="120"/>
        <v>NO</v>
      </c>
      <c r="E1015" s="27">
        <v>1007.72</v>
      </c>
      <c r="F1015" s="27">
        <v>330.98</v>
      </c>
      <c r="G1015" s="27">
        <v>15.62</v>
      </c>
      <c r="H1015" s="27">
        <v>10.86</v>
      </c>
      <c r="I1015" s="27">
        <v>27.2</v>
      </c>
      <c r="J1015" s="27">
        <v>1458.52</v>
      </c>
      <c r="K1015" s="47">
        <f t="shared" si="121"/>
        <v>0.69091956229602614</v>
      </c>
      <c r="L1015" s="47">
        <f t="shared" si="122"/>
        <v>0.22692866741628501</v>
      </c>
      <c r="M1015" s="84">
        <f t="shared" si="123"/>
        <v>0.91784822971231117</v>
      </c>
      <c r="N1015" s="47">
        <f t="shared" si="124"/>
        <v>1.0709486328607081E-2</v>
      </c>
      <c r="O1015" s="47">
        <f t="shared" si="125"/>
        <v>7.4459040671365495E-3</v>
      </c>
      <c r="P1015" s="47">
        <f t="shared" si="126"/>
        <v>1.8649041494117325E-2</v>
      </c>
      <c r="Q1015" s="47">
        <f t="shared" si="127"/>
        <v>1</v>
      </c>
    </row>
    <row r="1016" spans="1:17" x14ac:dyDescent="0.35">
      <c r="A1016" s="82">
        <v>1013</v>
      </c>
      <c r="B1016" s="83" t="str">
        <f>_xlfn.XLOOKUP(A1016,'TAZs by City - CCAG Model'!$A:$A,'TAZs by City - CCAG Model'!$B:$B,"Unknown")</f>
        <v>San Jose</v>
      </c>
      <c r="C1016" s="82">
        <f>_xlfn.XLOOKUP(A1016,'TAZs by City - CCAG Model'!$A:$A,'TAZs by City - CCAG Model'!$C:$C,999)</f>
        <v>3</v>
      </c>
      <c r="D1016" s="82" t="str">
        <f t="shared" si="120"/>
        <v>NO</v>
      </c>
      <c r="E1016" s="27">
        <v>3114.86</v>
      </c>
      <c r="F1016" s="27">
        <v>2399.34</v>
      </c>
      <c r="G1016" s="27">
        <v>193.82</v>
      </c>
      <c r="H1016" s="27">
        <v>65.680000000000007</v>
      </c>
      <c r="I1016" s="27">
        <v>1151.32</v>
      </c>
      <c r="J1016" s="27">
        <v>7152.76</v>
      </c>
      <c r="K1016" s="47">
        <f t="shared" si="121"/>
        <v>0.43547665516527884</v>
      </c>
      <c r="L1016" s="47">
        <f t="shared" si="122"/>
        <v>0.33544254245913468</v>
      </c>
      <c r="M1016" s="84">
        <f t="shared" si="123"/>
        <v>0.77091919762441363</v>
      </c>
      <c r="N1016" s="47">
        <f t="shared" si="124"/>
        <v>2.7097232397004792E-2</v>
      </c>
      <c r="O1016" s="47">
        <f t="shared" si="125"/>
        <v>9.182469424390027E-3</v>
      </c>
      <c r="P1016" s="47">
        <f t="shared" si="126"/>
        <v>0.16096164277845193</v>
      </c>
      <c r="Q1016" s="47">
        <f t="shared" si="127"/>
        <v>1</v>
      </c>
    </row>
    <row r="1017" spans="1:17" x14ac:dyDescent="0.35">
      <c r="A1017" s="82">
        <v>1014</v>
      </c>
      <c r="B1017" s="83" t="str">
        <f>_xlfn.XLOOKUP(A1017,'TAZs by City - CCAG Model'!$A:$A,'TAZs by City - CCAG Model'!$B:$B,"Unknown")</f>
        <v>San Jose</v>
      </c>
      <c r="C1017" s="82">
        <f>_xlfn.XLOOKUP(A1017,'TAZs by City - CCAG Model'!$A:$A,'TAZs by City - CCAG Model'!$C:$C,999)</f>
        <v>3</v>
      </c>
      <c r="D1017" s="82" t="str">
        <f t="shared" si="120"/>
        <v>NO</v>
      </c>
      <c r="E1017" s="27">
        <v>2429.54</v>
      </c>
      <c r="F1017" s="27">
        <v>1849.18</v>
      </c>
      <c r="G1017" s="27">
        <v>168.7</v>
      </c>
      <c r="H1017" s="27">
        <v>47.84</v>
      </c>
      <c r="I1017" s="27">
        <v>451.2</v>
      </c>
      <c r="J1017" s="27">
        <v>5141.24</v>
      </c>
      <c r="K1017" s="47">
        <f t="shared" si="121"/>
        <v>0.47255914915467867</v>
      </c>
      <c r="L1017" s="47">
        <f t="shared" si="122"/>
        <v>0.35967587585874228</v>
      </c>
      <c r="M1017" s="84">
        <f t="shared" si="123"/>
        <v>0.83223502501342095</v>
      </c>
      <c r="N1017" s="47">
        <f t="shared" si="124"/>
        <v>3.2813095673417308E-2</v>
      </c>
      <c r="O1017" s="47">
        <f t="shared" si="125"/>
        <v>9.3051481743703871E-3</v>
      </c>
      <c r="P1017" s="47">
        <f t="shared" si="126"/>
        <v>8.7760929269981566E-2</v>
      </c>
      <c r="Q1017" s="47">
        <f t="shared" si="127"/>
        <v>1</v>
      </c>
    </row>
    <row r="1018" spans="1:17" x14ac:dyDescent="0.35">
      <c r="A1018" s="82">
        <v>1015</v>
      </c>
      <c r="B1018" s="83" t="str">
        <f>_xlfn.XLOOKUP(A1018,'TAZs by City - CCAG Model'!$A:$A,'TAZs by City - CCAG Model'!$B:$B,"Unknown")</f>
        <v>San Jose</v>
      </c>
      <c r="C1018" s="82">
        <f>_xlfn.XLOOKUP(A1018,'TAZs by City - CCAG Model'!$A:$A,'TAZs by City - CCAG Model'!$C:$C,999)</f>
        <v>3</v>
      </c>
      <c r="D1018" s="82" t="str">
        <f t="shared" si="120"/>
        <v>NO</v>
      </c>
      <c r="E1018" s="27">
        <v>4245.1000000000004</v>
      </c>
      <c r="F1018" s="27">
        <v>3019.4</v>
      </c>
      <c r="G1018" s="27">
        <v>194.3</v>
      </c>
      <c r="H1018" s="27">
        <v>98.64</v>
      </c>
      <c r="I1018" s="27">
        <v>1565.82</v>
      </c>
      <c r="J1018" s="27">
        <v>9359.86</v>
      </c>
      <c r="K1018" s="47">
        <f t="shared" si="121"/>
        <v>0.45354310855076896</v>
      </c>
      <c r="L1018" s="47">
        <f t="shared" si="122"/>
        <v>0.32259029515398735</v>
      </c>
      <c r="M1018" s="84">
        <f t="shared" si="123"/>
        <v>0.77613340370475625</v>
      </c>
      <c r="N1018" s="47">
        <f t="shared" si="124"/>
        <v>2.0758857504278909E-2</v>
      </c>
      <c r="O1018" s="47">
        <f t="shared" si="125"/>
        <v>1.0538619167380707E-2</v>
      </c>
      <c r="P1018" s="47">
        <f t="shared" si="126"/>
        <v>0.16729096375373134</v>
      </c>
      <c r="Q1018" s="47">
        <f t="shared" si="127"/>
        <v>1</v>
      </c>
    </row>
    <row r="1019" spans="1:17" x14ac:dyDescent="0.35">
      <c r="A1019" s="82">
        <v>1016</v>
      </c>
      <c r="B1019" s="83" t="str">
        <f>_xlfn.XLOOKUP(A1019,'TAZs by City - CCAG Model'!$A:$A,'TAZs by City - CCAG Model'!$B:$B,"Unknown")</f>
        <v>San Jose</v>
      </c>
      <c r="C1019" s="82">
        <f>_xlfn.XLOOKUP(A1019,'TAZs by City - CCAG Model'!$A:$A,'TAZs by City - CCAG Model'!$C:$C,999)</f>
        <v>3</v>
      </c>
      <c r="D1019" s="82" t="str">
        <f t="shared" si="120"/>
        <v>NO</v>
      </c>
      <c r="E1019" s="27">
        <v>3267.72</v>
      </c>
      <c r="F1019" s="27">
        <v>1301.8599999999999</v>
      </c>
      <c r="G1019" s="27">
        <v>661.56</v>
      </c>
      <c r="H1019" s="27">
        <v>82.66</v>
      </c>
      <c r="I1019" s="27">
        <v>621.08000000000004</v>
      </c>
      <c r="J1019" s="27">
        <v>6637.64</v>
      </c>
      <c r="K1019" s="47">
        <f t="shared" si="121"/>
        <v>0.49230148064673585</v>
      </c>
      <c r="L1019" s="47">
        <f t="shared" si="122"/>
        <v>0.19613296292055607</v>
      </c>
      <c r="M1019" s="84">
        <f t="shared" si="123"/>
        <v>0.688434443567292</v>
      </c>
      <c r="N1019" s="47">
        <f t="shared" si="124"/>
        <v>9.9667954272904216E-2</v>
      </c>
      <c r="O1019" s="47">
        <f t="shared" si="125"/>
        <v>1.2453221325651888E-2</v>
      </c>
      <c r="P1019" s="47">
        <f t="shared" si="126"/>
        <v>9.3569401172705957E-2</v>
      </c>
      <c r="Q1019" s="47">
        <f t="shared" si="127"/>
        <v>1</v>
      </c>
    </row>
    <row r="1020" spans="1:17" x14ac:dyDescent="0.35">
      <c r="A1020" s="82">
        <v>1017</v>
      </c>
      <c r="B1020" s="83" t="str">
        <f>_xlfn.XLOOKUP(A1020,'TAZs by City - CCAG Model'!$A:$A,'TAZs by City - CCAG Model'!$B:$B,"Unknown")</f>
        <v>San Jose</v>
      </c>
      <c r="C1020" s="82">
        <f>_xlfn.XLOOKUP(A1020,'TAZs by City - CCAG Model'!$A:$A,'TAZs by City - CCAG Model'!$C:$C,999)</f>
        <v>3</v>
      </c>
      <c r="D1020" s="82" t="str">
        <f t="shared" si="120"/>
        <v>NO</v>
      </c>
      <c r="E1020" s="27">
        <v>8044.02</v>
      </c>
      <c r="F1020" s="27">
        <v>5092.8999999999996</v>
      </c>
      <c r="G1020" s="27">
        <v>357.52</v>
      </c>
      <c r="H1020" s="27">
        <v>151.66</v>
      </c>
      <c r="I1020" s="27">
        <v>2748.86</v>
      </c>
      <c r="J1020" s="27">
        <v>16794.560000000001</v>
      </c>
      <c r="K1020" s="47">
        <f t="shared" si="121"/>
        <v>0.47896580797591598</v>
      </c>
      <c r="L1020" s="47">
        <f t="shared" si="122"/>
        <v>0.30324700379170394</v>
      </c>
      <c r="M1020" s="84">
        <f t="shared" si="123"/>
        <v>0.78221281176761992</v>
      </c>
      <c r="N1020" s="47">
        <f t="shared" si="124"/>
        <v>2.128784558809519E-2</v>
      </c>
      <c r="O1020" s="47">
        <f t="shared" si="125"/>
        <v>9.0303050511594228E-3</v>
      </c>
      <c r="P1020" s="47">
        <f t="shared" si="126"/>
        <v>0.16367561877179276</v>
      </c>
      <c r="Q1020" s="47">
        <f t="shared" si="127"/>
        <v>1</v>
      </c>
    </row>
    <row r="1021" spans="1:17" x14ac:dyDescent="0.35">
      <c r="A1021" s="82">
        <v>1018</v>
      </c>
      <c r="B1021" s="83" t="str">
        <f>_xlfn.XLOOKUP(A1021,'TAZs by City - CCAG Model'!$A:$A,'TAZs by City - CCAG Model'!$B:$B,"Unknown")</f>
        <v>Unincorporated</v>
      </c>
      <c r="C1021" s="82">
        <f>_xlfn.XLOOKUP(A1021,'TAZs by City - CCAG Model'!$A:$A,'TAZs by City - CCAG Model'!$C:$C,999)</f>
        <v>3</v>
      </c>
      <c r="D1021" s="82" t="str">
        <f t="shared" si="120"/>
        <v>NO</v>
      </c>
      <c r="E1021" s="27">
        <v>2840.74</v>
      </c>
      <c r="F1021" s="27">
        <v>2089.92</v>
      </c>
      <c r="G1021" s="27">
        <v>21.02</v>
      </c>
      <c r="H1021" s="27">
        <v>60.46</v>
      </c>
      <c r="I1021" s="27">
        <v>225.84</v>
      </c>
      <c r="J1021" s="27">
        <v>5294.4</v>
      </c>
      <c r="K1021" s="47">
        <f t="shared" si="121"/>
        <v>0.5365556059232397</v>
      </c>
      <c r="L1021" s="47">
        <f t="shared" si="122"/>
        <v>0.39474161378059841</v>
      </c>
      <c r="M1021" s="84">
        <f t="shared" si="123"/>
        <v>0.93129721970383805</v>
      </c>
      <c r="N1021" s="47">
        <f t="shared" si="124"/>
        <v>3.9702326987005139E-3</v>
      </c>
      <c r="O1021" s="47">
        <f t="shared" si="125"/>
        <v>1.141961317618616E-2</v>
      </c>
      <c r="P1021" s="47">
        <f t="shared" si="126"/>
        <v>4.2656391659111517E-2</v>
      </c>
      <c r="Q1021" s="47">
        <f t="shared" si="127"/>
        <v>1</v>
      </c>
    </row>
    <row r="1022" spans="1:17" x14ac:dyDescent="0.35">
      <c r="A1022" s="82">
        <v>1019</v>
      </c>
      <c r="B1022" s="83" t="str">
        <f>_xlfn.XLOOKUP(A1022,'TAZs by City - CCAG Model'!$A:$A,'TAZs by City - CCAG Model'!$B:$B,"Unknown")</f>
        <v>San Jose</v>
      </c>
      <c r="C1022" s="82">
        <f>_xlfn.XLOOKUP(A1022,'TAZs by City - CCAG Model'!$A:$A,'TAZs by City - CCAG Model'!$C:$C,999)</f>
        <v>3</v>
      </c>
      <c r="D1022" s="82" t="str">
        <f t="shared" si="120"/>
        <v>NO</v>
      </c>
      <c r="E1022" s="27">
        <v>18587.3</v>
      </c>
      <c r="F1022" s="27">
        <v>14003.4</v>
      </c>
      <c r="G1022" s="27">
        <v>734.3</v>
      </c>
      <c r="H1022" s="27">
        <v>474.04</v>
      </c>
      <c r="I1022" s="27">
        <v>2732.96</v>
      </c>
      <c r="J1022" s="27">
        <v>37299.54</v>
      </c>
      <c r="K1022" s="47">
        <f t="shared" si="121"/>
        <v>0.49832518041777457</v>
      </c>
      <c r="L1022" s="47">
        <f t="shared" si="122"/>
        <v>0.37543090343741503</v>
      </c>
      <c r="M1022" s="84">
        <f t="shared" si="123"/>
        <v>0.87375608385518955</v>
      </c>
      <c r="N1022" s="47">
        <f t="shared" si="124"/>
        <v>1.9686569861183272E-2</v>
      </c>
      <c r="O1022" s="47">
        <f t="shared" si="125"/>
        <v>1.2709003918010785E-2</v>
      </c>
      <c r="P1022" s="47">
        <f t="shared" si="126"/>
        <v>7.3270608699195758E-2</v>
      </c>
      <c r="Q1022" s="47">
        <f t="shared" si="127"/>
        <v>1</v>
      </c>
    </row>
    <row r="1023" spans="1:17" x14ac:dyDescent="0.35">
      <c r="A1023" s="82">
        <v>1020</v>
      </c>
      <c r="B1023" s="83" t="str">
        <f>_xlfn.XLOOKUP(A1023,'TAZs by City - CCAG Model'!$A:$A,'TAZs by City - CCAG Model'!$B:$B,"Unknown")</f>
        <v>Unincorporated</v>
      </c>
      <c r="C1023" s="82">
        <f>_xlfn.XLOOKUP(A1023,'TAZs by City - CCAG Model'!$A:$A,'TAZs by City - CCAG Model'!$C:$C,999)</f>
        <v>3</v>
      </c>
      <c r="D1023" s="82" t="str">
        <f t="shared" si="120"/>
        <v>NO</v>
      </c>
      <c r="E1023" s="27">
        <v>3782.34</v>
      </c>
      <c r="F1023" s="27">
        <v>2785.7</v>
      </c>
      <c r="G1023" s="27">
        <v>55.24</v>
      </c>
      <c r="H1023" s="27">
        <v>84.1</v>
      </c>
      <c r="I1023" s="27">
        <v>331.62</v>
      </c>
      <c r="J1023" s="27">
        <v>7119.98</v>
      </c>
      <c r="K1023" s="47">
        <f t="shared" si="121"/>
        <v>0.53122902030623687</v>
      </c>
      <c r="L1023" s="47">
        <f t="shared" si="122"/>
        <v>0.39125109901994104</v>
      </c>
      <c r="M1023" s="84">
        <f t="shared" si="123"/>
        <v>0.92248011932617791</v>
      </c>
      <c r="N1023" s="47">
        <f t="shared" si="124"/>
        <v>7.7584487596875275E-3</v>
      </c>
      <c r="O1023" s="47">
        <f t="shared" si="125"/>
        <v>1.1811830932109359E-2</v>
      </c>
      <c r="P1023" s="47">
        <f t="shared" si="126"/>
        <v>4.6575973528015534E-2</v>
      </c>
      <c r="Q1023" s="47">
        <f t="shared" si="127"/>
        <v>1</v>
      </c>
    </row>
    <row r="1024" spans="1:17" x14ac:dyDescent="0.35">
      <c r="A1024" s="82">
        <v>1021</v>
      </c>
      <c r="B1024" s="83" t="str">
        <f>_xlfn.XLOOKUP(A1024,'TAZs by City - CCAG Model'!$A:$A,'TAZs by City - CCAG Model'!$B:$B,"Unknown")</f>
        <v>Unincorporated</v>
      </c>
      <c r="C1024" s="82">
        <f>_xlfn.XLOOKUP(A1024,'TAZs by City - CCAG Model'!$A:$A,'TAZs by City - CCAG Model'!$C:$C,999)</f>
        <v>3</v>
      </c>
      <c r="D1024" s="82" t="str">
        <f t="shared" si="120"/>
        <v>NO</v>
      </c>
      <c r="E1024" s="27">
        <v>3136.34</v>
      </c>
      <c r="F1024" s="27">
        <v>2312.7199999999998</v>
      </c>
      <c r="G1024" s="27">
        <v>0</v>
      </c>
      <c r="H1024" s="27">
        <v>47.36</v>
      </c>
      <c r="I1024" s="27">
        <v>142.80000000000001</v>
      </c>
      <c r="J1024" s="27">
        <v>5664.6</v>
      </c>
      <c r="K1024" s="47">
        <f t="shared" si="121"/>
        <v>0.55367369275853551</v>
      </c>
      <c r="L1024" s="47">
        <f t="shared" si="122"/>
        <v>0.40827595946757045</v>
      </c>
      <c r="M1024" s="84">
        <f t="shared" si="123"/>
        <v>0.96194965222610584</v>
      </c>
      <c r="N1024" s="47">
        <f t="shared" si="124"/>
        <v>0</v>
      </c>
      <c r="O1024" s="47">
        <f t="shared" si="125"/>
        <v>8.3606962539279021E-3</v>
      </c>
      <c r="P1024" s="47">
        <f t="shared" si="126"/>
        <v>2.5209193941319777E-2</v>
      </c>
      <c r="Q1024" s="47">
        <f t="shared" si="127"/>
        <v>1</v>
      </c>
    </row>
    <row r="1025" spans="1:17" x14ac:dyDescent="0.35">
      <c r="A1025" s="82">
        <v>1022</v>
      </c>
      <c r="B1025" s="83" t="str">
        <f>_xlfn.XLOOKUP(A1025,'TAZs by City - CCAG Model'!$A:$A,'TAZs by City - CCAG Model'!$B:$B,"Unknown")</f>
        <v>Unincorporated</v>
      </c>
      <c r="C1025" s="82">
        <f>_xlfn.XLOOKUP(A1025,'TAZs by City - CCAG Model'!$A:$A,'TAZs by City - CCAG Model'!$C:$C,999)</f>
        <v>3</v>
      </c>
      <c r="D1025" s="82" t="str">
        <f t="shared" si="120"/>
        <v>NO</v>
      </c>
      <c r="E1025" s="27">
        <v>6192.84</v>
      </c>
      <c r="F1025" s="27">
        <v>4278.3999999999996</v>
      </c>
      <c r="G1025" s="27">
        <v>0</v>
      </c>
      <c r="H1025" s="27">
        <v>94.42</v>
      </c>
      <c r="I1025" s="27">
        <v>401.86</v>
      </c>
      <c r="J1025" s="27">
        <v>10997.42</v>
      </c>
      <c r="K1025" s="47">
        <f t="shared" si="121"/>
        <v>0.56311753120277297</v>
      </c>
      <c r="L1025" s="47">
        <f t="shared" si="122"/>
        <v>0.38903670133540408</v>
      </c>
      <c r="M1025" s="84">
        <f t="shared" si="123"/>
        <v>0.9521542325381771</v>
      </c>
      <c r="N1025" s="47">
        <f t="shared" si="124"/>
        <v>0</v>
      </c>
      <c r="O1025" s="47">
        <f t="shared" si="125"/>
        <v>8.585650088839018E-3</v>
      </c>
      <c r="P1025" s="47">
        <f t="shared" si="126"/>
        <v>3.6541297868045414E-2</v>
      </c>
      <c r="Q1025" s="47">
        <f t="shared" si="127"/>
        <v>1</v>
      </c>
    </row>
    <row r="1026" spans="1:17" x14ac:dyDescent="0.35">
      <c r="A1026" s="82">
        <v>1023</v>
      </c>
      <c r="B1026" s="83" t="str">
        <f>_xlfn.XLOOKUP(A1026,'TAZs by City - CCAG Model'!$A:$A,'TAZs by City - CCAG Model'!$B:$B,"Unknown")</f>
        <v>San Jose</v>
      </c>
      <c r="C1026" s="82">
        <f>_xlfn.XLOOKUP(A1026,'TAZs by City - CCAG Model'!$A:$A,'TAZs by City - CCAG Model'!$C:$C,999)</f>
        <v>3</v>
      </c>
      <c r="D1026" s="82" t="str">
        <f t="shared" si="120"/>
        <v>NO</v>
      </c>
      <c r="E1026" s="27">
        <v>5648.82</v>
      </c>
      <c r="F1026" s="27">
        <v>4188.1000000000004</v>
      </c>
      <c r="G1026" s="27">
        <v>311.33999999999997</v>
      </c>
      <c r="H1026" s="27">
        <v>153.30000000000001</v>
      </c>
      <c r="I1026" s="27">
        <v>580.55999999999995</v>
      </c>
      <c r="J1026" s="27">
        <v>11232.9</v>
      </c>
      <c r="K1026" s="47">
        <f t="shared" si="121"/>
        <v>0.502881713537911</v>
      </c>
      <c r="L1026" s="47">
        <f t="shared" si="122"/>
        <v>0.37284227581479407</v>
      </c>
      <c r="M1026" s="84">
        <f t="shared" si="123"/>
        <v>0.87572398935270501</v>
      </c>
      <c r="N1026" s="47">
        <f t="shared" si="124"/>
        <v>2.7716796196885933E-2</v>
      </c>
      <c r="O1026" s="47">
        <f t="shared" si="125"/>
        <v>1.3647410730977754E-2</v>
      </c>
      <c r="P1026" s="47">
        <f t="shared" si="126"/>
        <v>5.168389285046604E-2</v>
      </c>
      <c r="Q1026" s="47">
        <f t="shared" si="127"/>
        <v>1</v>
      </c>
    </row>
    <row r="1027" spans="1:17" x14ac:dyDescent="0.35">
      <c r="A1027" s="82">
        <v>1024</v>
      </c>
      <c r="B1027" s="83" t="str">
        <f>_xlfn.XLOOKUP(A1027,'TAZs by City - CCAG Model'!$A:$A,'TAZs by City - CCAG Model'!$B:$B,"Unknown")</f>
        <v>San Jose</v>
      </c>
      <c r="C1027" s="82">
        <f>_xlfn.XLOOKUP(A1027,'TAZs by City - CCAG Model'!$A:$A,'TAZs by City - CCAG Model'!$C:$C,999)</f>
        <v>3</v>
      </c>
      <c r="D1027" s="82" t="str">
        <f t="shared" si="120"/>
        <v>NO</v>
      </c>
      <c r="E1027" s="27">
        <v>4128.4399999999996</v>
      </c>
      <c r="F1027" s="27">
        <v>1642.34</v>
      </c>
      <c r="G1027" s="27">
        <v>137.88</v>
      </c>
      <c r="H1027" s="27">
        <v>65.34</v>
      </c>
      <c r="I1027" s="27">
        <v>334.64</v>
      </c>
      <c r="J1027" s="27">
        <v>6485.62</v>
      </c>
      <c r="K1027" s="47">
        <f t="shared" si="121"/>
        <v>0.63655286618704143</v>
      </c>
      <c r="L1027" s="47">
        <f t="shared" si="122"/>
        <v>0.25322791036169245</v>
      </c>
      <c r="M1027" s="84">
        <f t="shared" si="123"/>
        <v>0.889780776548734</v>
      </c>
      <c r="N1027" s="47">
        <f t="shared" si="124"/>
        <v>2.1259339893487439E-2</v>
      </c>
      <c r="O1027" s="47">
        <f t="shared" si="125"/>
        <v>1.0074595798088695E-2</v>
      </c>
      <c r="P1027" s="47">
        <f t="shared" si="126"/>
        <v>5.1597225862754829E-2</v>
      </c>
      <c r="Q1027" s="47">
        <f t="shared" si="127"/>
        <v>1</v>
      </c>
    </row>
    <row r="1028" spans="1:17" x14ac:dyDescent="0.35">
      <c r="A1028" s="82">
        <v>1025</v>
      </c>
      <c r="B1028" s="83" t="str">
        <f>_xlfn.XLOOKUP(A1028,'TAZs by City - CCAG Model'!$A:$A,'TAZs by City - CCAG Model'!$B:$B,"Unknown")</f>
        <v>San Jose</v>
      </c>
      <c r="C1028" s="82">
        <f>_xlfn.XLOOKUP(A1028,'TAZs by City - CCAG Model'!$A:$A,'TAZs by City - CCAG Model'!$C:$C,999)</f>
        <v>3</v>
      </c>
      <c r="D1028" s="82" t="str">
        <f t="shared" si="120"/>
        <v>NO</v>
      </c>
      <c r="E1028" s="27">
        <v>13132.56</v>
      </c>
      <c r="F1028" s="27">
        <v>10465.08</v>
      </c>
      <c r="G1028" s="27">
        <v>806.44</v>
      </c>
      <c r="H1028" s="27">
        <v>479.12</v>
      </c>
      <c r="I1028" s="27">
        <v>2083.58</v>
      </c>
      <c r="J1028" s="27">
        <v>27805.66</v>
      </c>
      <c r="K1028" s="47">
        <f t="shared" si="121"/>
        <v>0.47229808607312324</v>
      </c>
      <c r="L1028" s="47">
        <f t="shared" si="122"/>
        <v>0.37636509976745741</v>
      </c>
      <c r="M1028" s="84">
        <f t="shared" si="123"/>
        <v>0.84866318584058065</v>
      </c>
      <c r="N1028" s="47">
        <f t="shared" si="124"/>
        <v>2.900272822152037E-2</v>
      </c>
      <c r="O1028" s="47">
        <f t="shared" si="125"/>
        <v>1.7231024187161895E-2</v>
      </c>
      <c r="P1028" s="47">
        <f t="shared" si="126"/>
        <v>7.4933664584836329E-2</v>
      </c>
      <c r="Q1028" s="47">
        <f t="shared" si="127"/>
        <v>1</v>
      </c>
    </row>
    <row r="1029" spans="1:17" x14ac:dyDescent="0.35">
      <c r="A1029" s="82">
        <v>1026</v>
      </c>
      <c r="B1029" s="83" t="str">
        <f>_xlfn.XLOOKUP(A1029,'TAZs by City - CCAG Model'!$A:$A,'TAZs by City - CCAG Model'!$B:$B,"Unknown")</f>
        <v>San Jose</v>
      </c>
      <c r="C1029" s="82">
        <f>_xlfn.XLOOKUP(A1029,'TAZs by City - CCAG Model'!$A:$A,'TAZs by City - CCAG Model'!$C:$C,999)</f>
        <v>3</v>
      </c>
      <c r="D1029" s="82" t="str">
        <f t="shared" ref="D1029:D1092" si="128">IF(C1029=2,"YES","NO")</f>
        <v>NO</v>
      </c>
      <c r="E1029" s="27">
        <v>9916.7199999999993</v>
      </c>
      <c r="F1029" s="27">
        <v>3945.84</v>
      </c>
      <c r="G1029" s="27">
        <v>450</v>
      </c>
      <c r="H1029" s="27">
        <v>183.88</v>
      </c>
      <c r="I1029" s="27">
        <v>2150.2800000000002</v>
      </c>
      <c r="J1029" s="27">
        <v>17130.919999999998</v>
      </c>
      <c r="K1029" s="47">
        <f t="shared" ref="K1029:K1092" si="129">IFERROR(E1029/$J1029,0)</f>
        <v>0.57887842567707981</v>
      </c>
      <c r="L1029" s="47">
        <f t="shared" ref="L1029:L1092" si="130">IFERROR(F1029/$J1029,0)</f>
        <v>0.23033438951323107</v>
      </c>
      <c r="M1029" s="84">
        <f t="shared" ref="M1029:M1092" si="131">IFERROR((E1029+F1029)/J1029,0)</f>
        <v>0.80921281519031085</v>
      </c>
      <c r="N1029" s="47">
        <f t="shared" ref="N1029:N1092" si="132">IFERROR(G1029/$J1029,0)</f>
        <v>2.6268291486972097E-2</v>
      </c>
      <c r="O1029" s="47">
        <f t="shared" ref="O1029:O1092" si="133">IFERROR(H1029/$J1029,0)</f>
        <v>1.073380764138762E-2</v>
      </c>
      <c r="P1029" s="47">
        <f t="shared" ref="P1029:P1092" si="134">IFERROR(I1029/$J1029,0)</f>
        <v>0.12552040404134748</v>
      </c>
      <c r="Q1029" s="47">
        <f t="shared" ref="Q1029:Q1092" si="135">IFERROR(J1029/$J1029,0)</f>
        <v>1</v>
      </c>
    </row>
    <row r="1030" spans="1:17" x14ac:dyDescent="0.35">
      <c r="A1030" s="82">
        <v>1027</v>
      </c>
      <c r="B1030" s="83" t="str">
        <f>_xlfn.XLOOKUP(A1030,'TAZs by City - CCAG Model'!$A:$A,'TAZs by City - CCAG Model'!$B:$B,"Unknown")</f>
        <v>San Jose</v>
      </c>
      <c r="C1030" s="82">
        <f>_xlfn.XLOOKUP(A1030,'TAZs by City - CCAG Model'!$A:$A,'TAZs by City - CCAG Model'!$C:$C,999)</f>
        <v>3</v>
      </c>
      <c r="D1030" s="82" t="str">
        <f t="shared" si="128"/>
        <v>NO</v>
      </c>
      <c r="E1030" s="27">
        <v>4581.3599999999997</v>
      </c>
      <c r="F1030" s="27">
        <v>3529.46</v>
      </c>
      <c r="G1030" s="27">
        <v>377.2</v>
      </c>
      <c r="H1030" s="27">
        <v>143</v>
      </c>
      <c r="I1030" s="27">
        <v>1441.16</v>
      </c>
      <c r="J1030" s="27">
        <v>10490.74</v>
      </c>
      <c r="K1030" s="47">
        <f t="shared" si="129"/>
        <v>0.43670513233575514</v>
      </c>
      <c r="L1030" s="47">
        <f t="shared" si="130"/>
        <v>0.33643575191073272</v>
      </c>
      <c r="M1030" s="84">
        <f t="shared" si="131"/>
        <v>0.77314088424648786</v>
      </c>
      <c r="N1030" s="47">
        <f t="shared" si="132"/>
        <v>3.5955518867115191E-2</v>
      </c>
      <c r="O1030" s="47">
        <f t="shared" si="133"/>
        <v>1.3631068923641231E-2</v>
      </c>
      <c r="P1030" s="47">
        <f t="shared" si="134"/>
        <v>0.13737448454541817</v>
      </c>
      <c r="Q1030" s="47">
        <f t="shared" si="135"/>
        <v>1</v>
      </c>
    </row>
    <row r="1031" spans="1:17" x14ac:dyDescent="0.35">
      <c r="A1031" s="82">
        <v>1028</v>
      </c>
      <c r="B1031" s="83" t="str">
        <f>_xlfn.XLOOKUP(A1031,'TAZs by City - CCAG Model'!$A:$A,'TAZs by City - CCAG Model'!$B:$B,"Unknown")</f>
        <v>San Jose</v>
      </c>
      <c r="C1031" s="82">
        <f>_xlfn.XLOOKUP(A1031,'TAZs by City - CCAG Model'!$A:$A,'TAZs by City - CCAG Model'!$C:$C,999)</f>
        <v>3</v>
      </c>
      <c r="D1031" s="82" t="str">
        <f t="shared" si="128"/>
        <v>NO</v>
      </c>
      <c r="E1031" s="27">
        <v>2085.96</v>
      </c>
      <c r="F1031" s="27">
        <v>1667.36</v>
      </c>
      <c r="G1031" s="27">
        <v>122.42</v>
      </c>
      <c r="H1031" s="27">
        <v>51.3</v>
      </c>
      <c r="I1031" s="27">
        <v>756.7</v>
      </c>
      <c r="J1031" s="27">
        <v>4845.6000000000004</v>
      </c>
      <c r="K1031" s="47">
        <f t="shared" si="129"/>
        <v>0.43048538880633974</v>
      </c>
      <c r="L1031" s="47">
        <f t="shared" si="130"/>
        <v>0.34409773815420169</v>
      </c>
      <c r="M1031" s="84">
        <f t="shared" si="131"/>
        <v>0.77458312696054143</v>
      </c>
      <c r="N1031" s="47">
        <f t="shared" si="132"/>
        <v>2.526415717351824E-2</v>
      </c>
      <c r="O1031" s="47">
        <f t="shared" si="133"/>
        <v>1.0586924219910846E-2</v>
      </c>
      <c r="P1031" s="47">
        <f t="shared" si="134"/>
        <v>0.15616229156348027</v>
      </c>
      <c r="Q1031" s="47">
        <f t="shared" si="135"/>
        <v>1</v>
      </c>
    </row>
    <row r="1032" spans="1:17" x14ac:dyDescent="0.35">
      <c r="A1032" s="82">
        <v>1029</v>
      </c>
      <c r="B1032" s="83" t="str">
        <f>_xlfn.XLOOKUP(A1032,'TAZs by City - CCAG Model'!$A:$A,'TAZs by City - CCAG Model'!$B:$B,"Unknown")</f>
        <v>San Jose</v>
      </c>
      <c r="C1032" s="82">
        <f>_xlfn.XLOOKUP(A1032,'TAZs by City - CCAG Model'!$A:$A,'TAZs by City - CCAG Model'!$C:$C,999)</f>
        <v>3</v>
      </c>
      <c r="D1032" s="82" t="str">
        <f t="shared" si="128"/>
        <v>NO</v>
      </c>
      <c r="E1032" s="27">
        <v>5352.08</v>
      </c>
      <c r="F1032" s="27">
        <v>4042.52</v>
      </c>
      <c r="G1032" s="27">
        <v>297.74</v>
      </c>
      <c r="H1032" s="27">
        <v>144.78</v>
      </c>
      <c r="I1032" s="27">
        <v>2086.88</v>
      </c>
      <c r="J1032" s="27">
        <v>12266.76</v>
      </c>
      <c r="K1032" s="47">
        <f t="shared" si="129"/>
        <v>0.43630754983385994</v>
      </c>
      <c r="L1032" s="47">
        <f t="shared" si="130"/>
        <v>0.32955075341818052</v>
      </c>
      <c r="M1032" s="84">
        <f t="shared" si="131"/>
        <v>0.76585830325204052</v>
      </c>
      <c r="N1032" s="47">
        <f t="shared" si="132"/>
        <v>2.4272097929689665E-2</v>
      </c>
      <c r="O1032" s="47">
        <f t="shared" si="133"/>
        <v>1.1802627588703129E-2</v>
      </c>
      <c r="P1032" s="47">
        <f t="shared" si="134"/>
        <v>0.17012479252875251</v>
      </c>
      <c r="Q1032" s="47">
        <f t="shared" si="135"/>
        <v>1</v>
      </c>
    </row>
    <row r="1033" spans="1:17" x14ac:dyDescent="0.35">
      <c r="A1033" s="82">
        <v>1030</v>
      </c>
      <c r="B1033" s="83" t="str">
        <f>_xlfn.XLOOKUP(A1033,'TAZs by City - CCAG Model'!$A:$A,'TAZs by City - CCAG Model'!$B:$B,"Unknown")</f>
        <v>Unincorporated</v>
      </c>
      <c r="C1033" s="82">
        <f>_xlfn.XLOOKUP(A1033,'TAZs by City - CCAG Model'!$A:$A,'TAZs by City - CCAG Model'!$C:$C,999)</f>
        <v>3</v>
      </c>
      <c r="D1033" s="82" t="str">
        <f t="shared" si="128"/>
        <v>NO</v>
      </c>
      <c r="E1033" s="27">
        <v>11547.6</v>
      </c>
      <c r="F1033" s="27">
        <v>8827.06</v>
      </c>
      <c r="G1033" s="27">
        <v>499.06</v>
      </c>
      <c r="H1033" s="27">
        <v>336.42</v>
      </c>
      <c r="I1033" s="27">
        <v>3914.42</v>
      </c>
      <c r="J1033" s="27">
        <v>25664.76</v>
      </c>
      <c r="K1033" s="47">
        <f t="shared" si="129"/>
        <v>0.44993991761465923</v>
      </c>
      <c r="L1033" s="47">
        <f t="shared" si="130"/>
        <v>0.3439369781755216</v>
      </c>
      <c r="M1033" s="84">
        <f t="shared" si="131"/>
        <v>0.79387689579018084</v>
      </c>
      <c r="N1033" s="47">
        <f t="shared" si="132"/>
        <v>1.9445340614913213E-2</v>
      </c>
      <c r="O1033" s="47">
        <f t="shared" si="133"/>
        <v>1.3108246482725731E-2</v>
      </c>
      <c r="P1033" s="47">
        <f t="shared" si="134"/>
        <v>0.15252120027617638</v>
      </c>
      <c r="Q1033" s="47">
        <f t="shared" si="135"/>
        <v>1</v>
      </c>
    </row>
    <row r="1034" spans="1:17" x14ac:dyDescent="0.35">
      <c r="A1034" s="82">
        <v>1031</v>
      </c>
      <c r="B1034" s="83" t="str">
        <f>_xlfn.XLOOKUP(A1034,'TAZs by City - CCAG Model'!$A:$A,'TAZs by City - CCAG Model'!$B:$B,"Unknown")</f>
        <v>Unincorporated</v>
      </c>
      <c r="C1034" s="82">
        <f>_xlfn.XLOOKUP(A1034,'TAZs by City - CCAG Model'!$A:$A,'TAZs by City - CCAG Model'!$C:$C,999)</f>
        <v>3</v>
      </c>
      <c r="D1034" s="82" t="str">
        <f t="shared" si="128"/>
        <v>NO</v>
      </c>
      <c r="E1034" s="27">
        <v>8578.94</v>
      </c>
      <c r="F1034" s="27">
        <v>6561.44</v>
      </c>
      <c r="G1034" s="27">
        <v>465.98</v>
      </c>
      <c r="H1034" s="27">
        <v>228.52</v>
      </c>
      <c r="I1034" s="27">
        <v>3104.44</v>
      </c>
      <c r="J1034" s="27">
        <v>19451.599999999999</v>
      </c>
      <c r="K1034" s="47">
        <f t="shared" si="129"/>
        <v>0.44104032573155943</v>
      </c>
      <c r="L1034" s="47">
        <f t="shared" si="130"/>
        <v>0.33732135145694958</v>
      </c>
      <c r="M1034" s="84">
        <f t="shared" si="131"/>
        <v>0.77836167718850902</v>
      </c>
      <c r="N1034" s="47">
        <f t="shared" si="132"/>
        <v>2.3955869954142592E-2</v>
      </c>
      <c r="O1034" s="47">
        <f t="shared" si="133"/>
        <v>1.1748133829607849E-2</v>
      </c>
      <c r="P1034" s="47">
        <f t="shared" si="134"/>
        <v>0.15959818215468138</v>
      </c>
      <c r="Q1034" s="47">
        <f t="shared" si="135"/>
        <v>1</v>
      </c>
    </row>
    <row r="1035" spans="1:17" x14ac:dyDescent="0.35">
      <c r="A1035" s="82">
        <v>1032</v>
      </c>
      <c r="B1035" s="83" t="str">
        <f>_xlfn.XLOOKUP(A1035,'TAZs by City - CCAG Model'!$A:$A,'TAZs by City - CCAG Model'!$B:$B,"Unknown")</f>
        <v>San Jose</v>
      </c>
      <c r="C1035" s="82">
        <f>_xlfn.XLOOKUP(A1035,'TAZs by City - CCAG Model'!$A:$A,'TAZs by City - CCAG Model'!$C:$C,999)</f>
        <v>3</v>
      </c>
      <c r="D1035" s="82" t="str">
        <f t="shared" si="128"/>
        <v>NO</v>
      </c>
      <c r="E1035" s="27">
        <v>3978.18</v>
      </c>
      <c r="F1035" s="27">
        <v>3676.08</v>
      </c>
      <c r="G1035" s="27">
        <v>114.26</v>
      </c>
      <c r="H1035" s="27">
        <v>105.52</v>
      </c>
      <c r="I1035" s="27">
        <v>533.28</v>
      </c>
      <c r="J1035" s="27">
        <v>8555.94</v>
      </c>
      <c r="K1035" s="47">
        <f t="shared" si="129"/>
        <v>0.46496118486104387</v>
      </c>
      <c r="L1035" s="47">
        <f t="shared" si="130"/>
        <v>0.42965238185401017</v>
      </c>
      <c r="M1035" s="84">
        <f t="shared" si="131"/>
        <v>0.8946135667150541</v>
      </c>
      <c r="N1035" s="47">
        <f t="shared" si="132"/>
        <v>1.3354464851319667E-2</v>
      </c>
      <c r="O1035" s="47">
        <f t="shared" si="133"/>
        <v>1.2332952311493534E-2</v>
      </c>
      <c r="P1035" s="47">
        <f t="shared" si="134"/>
        <v>6.2328627830489688E-2</v>
      </c>
      <c r="Q1035" s="47">
        <f t="shared" si="135"/>
        <v>1</v>
      </c>
    </row>
    <row r="1036" spans="1:17" x14ac:dyDescent="0.35">
      <c r="A1036" s="82">
        <v>1033</v>
      </c>
      <c r="B1036" s="83" t="str">
        <f>_xlfn.XLOOKUP(A1036,'TAZs by City - CCAG Model'!$A:$A,'TAZs by City - CCAG Model'!$B:$B,"Unknown")</f>
        <v>Unincorporated</v>
      </c>
      <c r="C1036" s="82">
        <f>_xlfn.XLOOKUP(A1036,'TAZs by City - CCAG Model'!$A:$A,'TAZs by City - CCAG Model'!$C:$C,999)</f>
        <v>3</v>
      </c>
      <c r="D1036" s="82" t="str">
        <f t="shared" si="128"/>
        <v>NO</v>
      </c>
      <c r="E1036" s="27">
        <v>6326.1</v>
      </c>
      <c r="F1036" s="27">
        <v>5074.26</v>
      </c>
      <c r="G1036" s="27">
        <v>400.1</v>
      </c>
      <c r="H1036" s="27">
        <v>182.82</v>
      </c>
      <c r="I1036" s="27">
        <v>2060.38</v>
      </c>
      <c r="J1036" s="27">
        <v>14493.88</v>
      </c>
      <c r="K1036" s="47">
        <f t="shared" si="129"/>
        <v>0.43646697778648647</v>
      </c>
      <c r="L1036" s="47">
        <f t="shared" si="130"/>
        <v>0.35009673048210699</v>
      </c>
      <c r="M1036" s="84">
        <f t="shared" si="131"/>
        <v>0.78656370826859345</v>
      </c>
      <c r="N1036" s="47">
        <f t="shared" si="132"/>
        <v>2.7604754558475719E-2</v>
      </c>
      <c r="O1036" s="47">
        <f t="shared" si="133"/>
        <v>1.2613599671033567E-2</v>
      </c>
      <c r="P1036" s="47">
        <f t="shared" si="134"/>
        <v>0.14215517170005548</v>
      </c>
      <c r="Q1036" s="47">
        <f t="shared" si="135"/>
        <v>1</v>
      </c>
    </row>
    <row r="1037" spans="1:17" x14ac:dyDescent="0.35">
      <c r="A1037" s="82">
        <v>1034</v>
      </c>
      <c r="B1037" s="83" t="str">
        <f>_xlfn.XLOOKUP(A1037,'TAZs by City - CCAG Model'!$A:$A,'TAZs by City - CCAG Model'!$B:$B,"Unknown")</f>
        <v>San Jose</v>
      </c>
      <c r="C1037" s="82">
        <f>_xlfn.XLOOKUP(A1037,'TAZs by City - CCAG Model'!$A:$A,'TAZs by City - CCAG Model'!$C:$C,999)</f>
        <v>3</v>
      </c>
      <c r="D1037" s="82" t="str">
        <f t="shared" si="128"/>
        <v>NO</v>
      </c>
      <c r="E1037" s="27">
        <v>8964.94</v>
      </c>
      <c r="F1037" s="27">
        <v>5792.68</v>
      </c>
      <c r="G1037" s="27">
        <v>688.46</v>
      </c>
      <c r="H1037" s="27">
        <v>266.74</v>
      </c>
      <c r="I1037" s="27">
        <v>1064.32</v>
      </c>
      <c r="J1037" s="27">
        <v>17500.259999999998</v>
      </c>
      <c r="K1037" s="47">
        <f t="shared" si="129"/>
        <v>0.51227467477626054</v>
      </c>
      <c r="L1037" s="47">
        <f t="shared" si="130"/>
        <v>0.33100536792024809</v>
      </c>
      <c r="M1037" s="84">
        <f t="shared" si="131"/>
        <v>0.84328004269650858</v>
      </c>
      <c r="N1037" s="47">
        <f t="shared" si="132"/>
        <v>3.9339986948765338E-2</v>
      </c>
      <c r="O1037" s="47">
        <f t="shared" si="133"/>
        <v>1.5242059260833841E-2</v>
      </c>
      <c r="P1037" s="47">
        <f t="shared" si="134"/>
        <v>6.0817382141751038E-2</v>
      </c>
      <c r="Q1037" s="47">
        <f t="shared" si="135"/>
        <v>1</v>
      </c>
    </row>
    <row r="1038" spans="1:17" x14ac:dyDescent="0.35">
      <c r="A1038" s="82">
        <v>1035</v>
      </c>
      <c r="B1038" s="83" t="str">
        <f>_xlfn.XLOOKUP(A1038,'TAZs by City - CCAG Model'!$A:$A,'TAZs by City - CCAG Model'!$B:$B,"Unknown")</f>
        <v>San Jose</v>
      </c>
      <c r="C1038" s="82">
        <f>_xlfn.XLOOKUP(A1038,'TAZs by City - CCAG Model'!$A:$A,'TAZs by City - CCAG Model'!$C:$C,999)</f>
        <v>3</v>
      </c>
      <c r="D1038" s="82" t="str">
        <f t="shared" si="128"/>
        <v>NO</v>
      </c>
      <c r="E1038" s="27">
        <v>10495</v>
      </c>
      <c r="F1038" s="27">
        <v>4734.5</v>
      </c>
      <c r="G1038" s="27">
        <v>572.14</v>
      </c>
      <c r="H1038" s="27">
        <v>204.52</v>
      </c>
      <c r="I1038" s="27">
        <v>1036.08</v>
      </c>
      <c r="J1038" s="27">
        <v>17648.98</v>
      </c>
      <c r="K1038" s="47">
        <f t="shared" si="129"/>
        <v>0.59465192889334118</v>
      </c>
      <c r="L1038" s="47">
        <f t="shared" si="130"/>
        <v>0.26825912885617187</v>
      </c>
      <c r="M1038" s="84">
        <f t="shared" si="131"/>
        <v>0.86291105774951304</v>
      </c>
      <c r="N1038" s="47">
        <f t="shared" si="132"/>
        <v>3.2417737455648993E-2</v>
      </c>
      <c r="O1038" s="47">
        <f t="shared" si="133"/>
        <v>1.1588205097405064E-2</v>
      </c>
      <c r="P1038" s="47">
        <f t="shared" si="134"/>
        <v>5.8704809003126524E-2</v>
      </c>
      <c r="Q1038" s="47">
        <f t="shared" si="135"/>
        <v>1</v>
      </c>
    </row>
    <row r="1039" spans="1:17" x14ac:dyDescent="0.35">
      <c r="A1039" s="82">
        <v>1036</v>
      </c>
      <c r="B1039" s="83" t="str">
        <f>_xlfn.XLOOKUP(A1039,'TAZs by City - CCAG Model'!$A:$A,'TAZs by City - CCAG Model'!$B:$B,"Unknown")</f>
        <v>San Jose</v>
      </c>
      <c r="C1039" s="82">
        <f>_xlfn.XLOOKUP(A1039,'TAZs by City - CCAG Model'!$A:$A,'TAZs by City - CCAG Model'!$C:$C,999)</f>
        <v>3</v>
      </c>
      <c r="D1039" s="82" t="str">
        <f t="shared" si="128"/>
        <v>NO</v>
      </c>
      <c r="E1039" s="27">
        <v>3598.06</v>
      </c>
      <c r="F1039" s="27">
        <v>2735.58</v>
      </c>
      <c r="G1039" s="27">
        <v>212.54</v>
      </c>
      <c r="H1039" s="27">
        <v>99.68</v>
      </c>
      <c r="I1039" s="27">
        <v>408.38</v>
      </c>
      <c r="J1039" s="27">
        <v>7306.84</v>
      </c>
      <c r="K1039" s="47">
        <f t="shared" si="129"/>
        <v>0.49242353739783545</v>
      </c>
      <c r="L1039" s="47">
        <f t="shared" si="130"/>
        <v>0.37438619156844816</v>
      </c>
      <c r="M1039" s="84">
        <f t="shared" si="131"/>
        <v>0.8668097289662835</v>
      </c>
      <c r="N1039" s="47">
        <f t="shared" si="132"/>
        <v>2.9087813610261068E-2</v>
      </c>
      <c r="O1039" s="47">
        <f t="shared" si="133"/>
        <v>1.3642012142047726E-2</v>
      </c>
      <c r="P1039" s="47">
        <f t="shared" si="134"/>
        <v>5.58900974976871E-2</v>
      </c>
      <c r="Q1039" s="47">
        <f t="shared" si="135"/>
        <v>1</v>
      </c>
    </row>
    <row r="1040" spans="1:17" x14ac:dyDescent="0.35">
      <c r="A1040" s="82">
        <v>1037</v>
      </c>
      <c r="B1040" s="83" t="str">
        <f>_xlfn.XLOOKUP(A1040,'TAZs by City - CCAG Model'!$A:$A,'TAZs by City - CCAG Model'!$B:$B,"Unknown")</f>
        <v>San Jose</v>
      </c>
      <c r="C1040" s="82">
        <f>_xlfn.XLOOKUP(A1040,'TAZs by City - CCAG Model'!$A:$A,'TAZs by City - CCAG Model'!$C:$C,999)</f>
        <v>3</v>
      </c>
      <c r="D1040" s="82" t="str">
        <f t="shared" si="128"/>
        <v>NO</v>
      </c>
      <c r="E1040" s="27">
        <v>7779.12</v>
      </c>
      <c r="F1040" s="27">
        <v>6933.84</v>
      </c>
      <c r="G1040" s="27">
        <v>558.58000000000004</v>
      </c>
      <c r="H1040" s="27">
        <v>251.96</v>
      </c>
      <c r="I1040" s="27">
        <v>1178.54</v>
      </c>
      <c r="J1040" s="27">
        <v>17299.12</v>
      </c>
      <c r="K1040" s="47">
        <f t="shared" si="129"/>
        <v>0.44968298965496512</v>
      </c>
      <c r="L1040" s="47">
        <f t="shared" si="130"/>
        <v>0.40082038855155644</v>
      </c>
      <c r="M1040" s="84">
        <f t="shared" si="131"/>
        <v>0.85050337820652144</v>
      </c>
      <c r="N1040" s="47">
        <f t="shared" si="132"/>
        <v>3.228950374354303E-2</v>
      </c>
      <c r="O1040" s="47">
        <f t="shared" si="133"/>
        <v>1.4564902723375526E-2</v>
      </c>
      <c r="P1040" s="47">
        <f t="shared" si="134"/>
        <v>6.8127164850003932E-2</v>
      </c>
      <c r="Q1040" s="47">
        <f t="shared" si="135"/>
        <v>1</v>
      </c>
    </row>
    <row r="1041" spans="1:17" x14ac:dyDescent="0.35">
      <c r="A1041" s="82">
        <v>1038</v>
      </c>
      <c r="B1041" s="83" t="str">
        <f>_xlfn.XLOOKUP(A1041,'TAZs by City - CCAG Model'!$A:$A,'TAZs by City - CCAG Model'!$B:$B,"Unknown")</f>
        <v>San Jose</v>
      </c>
      <c r="C1041" s="82">
        <f>_xlfn.XLOOKUP(A1041,'TAZs by City - CCAG Model'!$A:$A,'TAZs by City - CCAG Model'!$C:$C,999)</f>
        <v>3</v>
      </c>
      <c r="D1041" s="82" t="str">
        <f t="shared" si="128"/>
        <v>NO</v>
      </c>
      <c r="E1041" s="27">
        <v>1293.3800000000001</v>
      </c>
      <c r="F1041" s="27">
        <v>616.20000000000005</v>
      </c>
      <c r="G1041" s="27">
        <v>69.64</v>
      </c>
      <c r="H1041" s="27">
        <v>22.14</v>
      </c>
      <c r="I1041" s="27">
        <v>334.78</v>
      </c>
      <c r="J1041" s="27">
        <v>2456.16</v>
      </c>
      <c r="K1041" s="47">
        <f t="shared" si="129"/>
        <v>0.52658621588170162</v>
      </c>
      <c r="L1041" s="47">
        <f t="shared" si="130"/>
        <v>0.2508794215360563</v>
      </c>
      <c r="M1041" s="84">
        <f t="shared" si="131"/>
        <v>0.77746563741775787</v>
      </c>
      <c r="N1041" s="47">
        <f t="shared" si="132"/>
        <v>2.8353201745814606E-2</v>
      </c>
      <c r="O1041" s="47">
        <f t="shared" si="133"/>
        <v>9.0140707445769009E-3</v>
      </c>
      <c r="P1041" s="47">
        <f t="shared" si="134"/>
        <v>0.13630219529672333</v>
      </c>
      <c r="Q1041" s="47">
        <f t="shared" si="135"/>
        <v>1</v>
      </c>
    </row>
    <row r="1042" spans="1:17" x14ac:dyDescent="0.35">
      <c r="A1042" s="82">
        <v>1039</v>
      </c>
      <c r="B1042" s="83" t="str">
        <f>_xlfn.XLOOKUP(A1042,'TAZs by City - CCAG Model'!$A:$A,'TAZs by City - CCAG Model'!$B:$B,"Unknown")</f>
        <v>San Jose</v>
      </c>
      <c r="C1042" s="82">
        <f>_xlfn.XLOOKUP(A1042,'TAZs by City - CCAG Model'!$A:$A,'TAZs by City - CCAG Model'!$C:$C,999)</f>
        <v>3</v>
      </c>
      <c r="D1042" s="82" t="str">
        <f t="shared" si="128"/>
        <v>NO</v>
      </c>
      <c r="E1042" s="27">
        <v>3744.86</v>
      </c>
      <c r="F1042" s="27">
        <v>3225.98</v>
      </c>
      <c r="G1042" s="27">
        <v>299.98</v>
      </c>
      <c r="H1042" s="27">
        <v>122.78</v>
      </c>
      <c r="I1042" s="27">
        <v>1388.98</v>
      </c>
      <c r="J1042" s="27">
        <v>9125.48</v>
      </c>
      <c r="K1042" s="47">
        <f t="shared" si="129"/>
        <v>0.41037402964008474</v>
      </c>
      <c r="L1042" s="47">
        <f t="shared" si="130"/>
        <v>0.35351345901804621</v>
      </c>
      <c r="M1042" s="84">
        <f t="shared" si="131"/>
        <v>0.76388748865813094</v>
      </c>
      <c r="N1042" s="47">
        <f t="shared" si="132"/>
        <v>3.2872791349057809E-2</v>
      </c>
      <c r="O1042" s="47">
        <f t="shared" si="133"/>
        <v>1.3454634715105399E-2</v>
      </c>
      <c r="P1042" s="47">
        <f t="shared" si="134"/>
        <v>0.15220897969202718</v>
      </c>
      <c r="Q1042" s="47">
        <f t="shared" si="135"/>
        <v>1</v>
      </c>
    </row>
    <row r="1043" spans="1:17" x14ac:dyDescent="0.35">
      <c r="A1043" s="82">
        <v>1040</v>
      </c>
      <c r="B1043" s="83" t="str">
        <f>_xlfn.XLOOKUP(A1043,'TAZs by City - CCAG Model'!$A:$A,'TAZs by City - CCAG Model'!$B:$B,"Unknown")</f>
        <v>San Jose</v>
      </c>
      <c r="C1043" s="82">
        <f>_xlfn.XLOOKUP(A1043,'TAZs by City - CCAG Model'!$A:$A,'TAZs by City - CCAG Model'!$C:$C,999)</f>
        <v>3</v>
      </c>
      <c r="D1043" s="82" t="str">
        <f t="shared" si="128"/>
        <v>NO</v>
      </c>
      <c r="E1043" s="27">
        <v>6701.96</v>
      </c>
      <c r="F1043" s="27">
        <v>6533.74</v>
      </c>
      <c r="G1043" s="27">
        <v>570.54</v>
      </c>
      <c r="H1043" s="27">
        <v>222.88</v>
      </c>
      <c r="I1043" s="27">
        <v>1782.68</v>
      </c>
      <c r="J1043" s="27">
        <v>16422.5</v>
      </c>
      <c r="K1043" s="47">
        <f t="shared" si="129"/>
        <v>0.40809620946871672</v>
      </c>
      <c r="L1043" s="47">
        <f t="shared" si="130"/>
        <v>0.39785294565382856</v>
      </c>
      <c r="M1043" s="84">
        <f t="shared" si="131"/>
        <v>0.80594915512254528</v>
      </c>
      <c r="N1043" s="47">
        <f t="shared" si="132"/>
        <v>3.4741360937737858E-2</v>
      </c>
      <c r="O1043" s="47">
        <f t="shared" si="133"/>
        <v>1.3571624295935454E-2</v>
      </c>
      <c r="P1043" s="47">
        <f t="shared" si="134"/>
        <v>0.10855107322271275</v>
      </c>
      <c r="Q1043" s="47">
        <f t="shared" si="135"/>
        <v>1</v>
      </c>
    </row>
    <row r="1044" spans="1:17" x14ac:dyDescent="0.35">
      <c r="A1044" s="82">
        <v>1041</v>
      </c>
      <c r="B1044" s="83" t="str">
        <f>_xlfn.XLOOKUP(A1044,'TAZs by City - CCAG Model'!$A:$A,'TAZs by City - CCAG Model'!$B:$B,"Unknown")</f>
        <v>San Jose</v>
      </c>
      <c r="C1044" s="82">
        <f>_xlfn.XLOOKUP(A1044,'TAZs by City - CCAG Model'!$A:$A,'TAZs by City - CCAG Model'!$C:$C,999)</f>
        <v>3</v>
      </c>
      <c r="D1044" s="82" t="str">
        <f t="shared" si="128"/>
        <v>NO</v>
      </c>
      <c r="E1044" s="27">
        <v>2797.26</v>
      </c>
      <c r="F1044" s="27">
        <v>2367</v>
      </c>
      <c r="G1044" s="27">
        <v>192.1</v>
      </c>
      <c r="H1044" s="27">
        <v>84.2</v>
      </c>
      <c r="I1044" s="27">
        <v>1534.76</v>
      </c>
      <c r="J1044" s="27">
        <v>7210.94</v>
      </c>
      <c r="K1044" s="47">
        <f t="shared" si="129"/>
        <v>0.387918912097452</v>
      </c>
      <c r="L1044" s="47">
        <f t="shared" si="130"/>
        <v>0.32825124047627635</v>
      </c>
      <c r="M1044" s="84">
        <f t="shared" si="131"/>
        <v>0.71617015257372829</v>
      </c>
      <c r="N1044" s="47">
        <f t="shared" si="132"/>
        <v>2.664007743789298E-2</v>
      </c>
      <c r="O1044" s="47">
        <f t="shared" si="133"/>
        <v>1.1676702343938517E-2</v>
      </c>
      <c r="P1044" s="47">
        <f t="shared" si="134"/>
        <v>0.21283771602592727</v>
      </c>
      <c r="Q1044" s="47">
        <f t="shared" si="135"/>
        <v>1</v>
      </c>
    </row>
    <row r="1045" spans="1:17" x14ac:dyDescent="0.35">
      <c r="A1045" s="82">
        <v>1042</v>
      </c>
      <c r="B1045" s="83" t="str">
        <f>_xlfn.XLOOKUP(A1045,'TAZs by City - CCAG Model'!$A:$A,'TAZs by City - CCAG Model'!$B:$B,"Unknown")</f>
        <v>San Jose</v>
      </c>
      <c r="C1045" s="82">
        <f>_xlfn.XLOOKUP(A1045,'TAZs by City - CCAG Model'!$A:$A,'TAZs by City - CCAG Model'!$C:$C,999)</f>
        <v>3</v>
      </c>
      <c r="D1045" s="82" t="str">
        <f t="shared" si="128"/>
        <v>NO</v>
      </c>
      <c r="E1045" s="27">
        <v>4606.82</v>
      </c>
      <c r="F1045" s="27">
        <v>4590.5600000000004</v>
      </c>
      <c r="G1045" s="27">
        <v>322.94</v>
      </c>
      <c r="H1045" s="27">
        <v>145.4</v>
      </c>
      <c r="I1045" s="27">
        <v>2210.7399999999998</v>
      </c>
      <c r="J1045" s="27">
        <v>12233.98</v>
      </c>
      <c r="K1045" s="47">
        <f t="shared" si="129"/>
        <v>0.3765593862340792</v>
      </c>
      <c r="L1045" s="47">
        <f t="shared" si="130"/>
        <v>0.37523030117753997</v>
      </c>
      <c r="M1045" s="84">
        <f t="shared" si="131"/>
        <v>0.75178968741161922</v>
      </c>
      <c r="N1045" s="47">
        <f t="shared" si="132"/>
        <v>2.6396969751462732E-2</v>
      </c>
      <c r="O1045" s="47">
        <f t="shared" si="133"/>
        <v>1.1884930333382922E-2</v>
      </c>
      <c r="P1045" s="47">
        <f t="shared" si="134"/>
        <v>0.18070488916934635</v>
      </c>
      <c r="Q1045" s="47">
        <f t="shared" si="135"/>
        <v>1</v>
      </c>
    </row>
    <row r="1046" spans="1:17" x14ac:dyDescent="0.35">
      <c r="A1046" s="82">
        <v>1043</v>
      </c>
      <c r="B1046" s="83" t="str">
        <f>_xlfn.XLOOKUP(A1046,'TAZs by City - CCAG Model'!$A:$A,'TAZs by City - CCAG Model'!$B:$B,"Unknown")</f>
        <v>San Jose</v>
      </c>
      <c r="C1046" s="82">
        <f>_xlfn.XLOOKUP(A1046,'TAZs by City - CCAG Model'!$A:$A,'TAZs by City - CCAG Model'!$C:$C,999)</f>
        <v>3</v>
      </c>
      <c r="D1046" s="82" t="str">
        <f t="shared" si="128"/>
        <v>NO</v>
      </c>
      <c r="E1046" s="27">
        <v>7800.62</v>
      </c>
      <c r="F1046" s="27">
        <v>6112.8</v>
      </c>
      <c r="G1046" s="27">
        <v>642.24</v>
      </c>
      <c r="H1046" s="27">
        <v>202.78</v>
      </c>
      <c r="I1046" s="27">
        <v>2618.96</v>
      </c>
      <c r="J1046" s="27">
        <v>18060.04</v>
      </c>
      <c r="K1046" s="47">
        <f t="shared" si="129"/>
        <v>0.43192706106963213</v>
      </c>
      <c r="L1046" s="47">
        <f t="shared" si="130"/>
        <v>0.33847101113840278</v>
      </c>
      <c r="M1046" s="84">
        <f t="shared" si="131"/>
        <v>0.77039807220803491</v>
      </c>
      <c r="N1046" s="47">
        <f t="shared" si="132"/>
        <v>3.5561383031266817E-2</v>
      </c>
      <c r="O1046" s="47">
        <f t="shared" si="133"/>
        <v>1.1228103592240106E-2</v>
      </c>
      <c r="P1046" s="47">
        <f t="shared" si="134"/>
        <v>0.14501407527336593</v>
      </c>
      <c r="Q1046" s="47">
        <f t="shared" si="135"/>
        <v>1</v>
      </c>
    </row>
    <row r="1047" spans="1:17" x14ac:dyDescent="0.35">
      <c r="A1047" s="82">
        <v>1044</v>
      </c>
      <c r="B1047" s="83" t="str">
        <f>_xlfn.XLOOKUP(A1047,'TAZs by City - CCAG Model'!$A:$A,'TAZs by City - CCAG Model'!$B:$B,"Unknown")</f>
        <v>San Jose</v>
      </c>
      <c r="C1047" s="82">
        <f>_xlfn.XLOOKUP(A1047,'TAZs by City - CCAG Model'!$A:$A,'TAZs by City - CCAG Model'!$C:$C,999)</f>
        <v>3</v>
      </c>
      <c r="D1047" s="82" t="str">
        <f t="shared" si="128"/>
        <v>NO</v>
      </c>
      <c r="E1047" s="27">
        <v>4381.92</v>
      </c>
      <c r="F1047" s="27">
        <v>4318.8999999999996</v>
      </c>
      <c r="G1047" s="27">
        <v>358.16</v>
      </c>
      <c r="H1047" s="27">
        <v>122.06</v>
      </c>
      <c r="I1047" s="27">
        <v>1802.88</v>
      </c>
      <c r="J1047" s="27">
        <v>11378.44</v>
      </c>
      <c r="K1047" s="47">
        <f t="shared" si="129"/>
        <v>0.38510727305324804</v>
      </c>
      <c r="L1047" s="47">
        <f t="shared" si="130"/>
        <v>0.37956872822636489</v>
      </c>
      <c r="M1047" s="84">
        <f t="shared" si="131"/>
        <v>0.76467600127961299</v>
      </c>
      <c r="N1047" s="47">
        <f t="shared" si="132"/>
        <v>3.1477074185916526E-2</v>
      </c>
      <c r="O1047" s="47">
        <f t="shared" si="133"/>
        <v>1.0727305324807267E-2</v>
      </c>
      <c r="P1047" s="47">
        <f t="shared" si="134"/>
        <v>0.15844702788782997</v>
      </c>
      <c r="Q1047" s="47">
        <f t="shared" si="135"/>
        <v>1</v>
      </c>
    </row>
    <row r="1048" spans="1:17" x14ac:dyDescent="0.35">
      <c r="A1048" s="82">
        <v>1045</v>
      </c>
      <c r="B1048" s="83" t="str">
        <f>_xlfn.XLOOKUP(A1048,'TAZs by City - CCAG Model'!$A:$A,'TAZs by City - CCAG Model'!$B:$B,"Unknown")</f>
        <v>San Jose</v>
      </c>
      <c r="C1048" s="82">
        <f>_xlfn.XLOOKUP(A1048,'TAZs by City - CCAG Model'!$A:$A,'TAZs by City - CCAG Model'!$C:$C,999)</f>
        <v>3</v>
      </c>
      <c r="D1048" s="82" t="str">
        <f t="shared" si="128"/>
        <v>NO</v>
      </c>
      <c r="E1048" s="27">
        <v>8374</v>
      </c>
      <c r="F1048" s="27">
        <v>6820.58</v>
      </c>
      <c r="G1048" s="27">
        <v>668.64</v>
      </c>
      <c r="H1048" s="27">
        <v>231.3</v>
      </c>
      <c r="I1048" s="27">
        <v>3634.76</v>
      </c>
      <c r="J1048" s="27">
        <v>20440.12</v>
      </c>
      <c r="K1048" s="47">
        <f t="shared" si="129"/>
        <v>0.40968448326135076</v>
      </c>
      <c r="L1048" s="47">
        <f t="shared" si="130"/>
        <v>0.33368590791052111</v>
      </c>
      <c r="M1048" s="84">
        <f t="shared" si="131"/>
        <v>0.74337039117187187</v>
      </c>
      <c r="N1048" s="47">
        <f t="shared" si="132"/>
        <v>3.2712136719353899E-2</v>
      </c>
      <c r="O1048" s="47">
        <f t="shared" si="133"/>
        <v>1.1315980532403921E-2</v>
      </c>
      <c r="P1048" s="47">
        <f t="shared" si="134"/>
        <v>0.17782478772140284</v>
      </c>
      <c r="Q1048" s="47">
        <f t="shared" si="135"/>
        <v>1</v>
      </c>
    </row>
    <row r="1049" spans="1:17" x14ac:dyDescent="0.35">
      <c r="A1049" s="82">
        <v>1046</v>
      </c>
      <c r="B1049" s="83" t="str">
        <f>_xlfn.XLOOKUP(A1049,'TAZs by City - CCAG Model'!$A:$A,'TAZs by City - CCAG Model'!$B:$B,"Unknown")</f>
        <v>San Jose</v>
      </c>
      <c r="C1049" s="82">
        <f>_xlfn.XLOOKUP(A1049,'TAZs by City - CCAG Model'!$A:$A,'TAZs by City - CCAG Model'!$C:$C,999)</f>
        <v>3</v>
      </c>
      <c r="D1049" s="82" t="str">
        <f t="shared" si="128"/>
        <v>NO</v>
      </c>
      <c r="E1049" s="27">
        <v>5828.62</v>
      </c>
      <c r="F1049" s="27">
        <v>4381.1000000000004</v>
      </c>
      <c r="G1049" s="27">
        <v>310.86</v>
      </c>
      <c r="H1049" s="27">
        <v>137.84</v>
      </c>
      <c r="I1049" s="27">
        <v>2251.16</v>
      </c>
      <c r="J1049" s="27">
        <v>13261.72</v>
      </c>
      <c r="K1049" s="47">
        <f t="shared" si="129"/>
        <v>0.43950709259432413</v>
      </c>
      <c r="L1049" s="47">
        <f t="shared" si="130"/>
        <v>0.3303568466232133</v>
      </c>
      <c r="M1049" s="84">
        <f t="shared" si="131"/>
        <v>0.76986393921753749</v>
      </c>
      <c r="N1049" s="47">
        <f t="shared" si="132"/>
        <v>2.3440398379697358E-2</v>
      </c>
      <c r="O1049" s="47">
        <f t="shared" si="133"/>
        <v>1.0393825235339006E-2</v>
      </c>
      <c r="P1049" s="47">
        <f t="shared" si="134"/>
        <v>0.16974872037714564</v>
      </c>
      <c r="Q1049" s="47">
        <f t="shared" si="135"/>
        <v>1</v>
      </c>
    </row>
    <row r="1050" spans="1:17" x14ac:dyDescent="0.35">
      <c r="A1050" s="82">
        <v>1047</v>
      </c>
      <c r="B1050" s="83" t="str">
        <f>_xlfn.XLOOKUP(A1050,'TAZs by City - CCAG Model'!$A:$A,'TAZs by City - CCAG Model'!$B:$B,"Unknown")</f>
        <v>San Jose</v>
      </c>
      <c r="C1050" s="82">
        <f>_xlfn.XLOOKUP(A1050,'TAZs by City - CCAG Model'!$A:$A,'TAZs by City - CCAG Model'!$C:$C,999)</f>
        <v>3</v>
      </c>
      <c r="D1050" s="82" t="str">
        <f t="shared" si="128"/>
        <v>NO</v>
      </c>
      <c r="E1050" s="27">
        <v>6882.18</v>
      </c>
      <c r="F1050" s="27">
        <v>6993.08</v>
      </c>
      <c r="G1050" s="27">
        <v>538.98</v>
      </c>
      <c r="H1050" s="27">
        <v>212.98</v>
      </c>
      <c r="I1050" s="27">
        <v>1709.26</v>
      </c>
      <c r="J1050" s="27">
        <v>16913.8</v>
      </c>
      <c r="K1050" s="47">
        <f t="shared" si="129"/>
        <v>0.40689732644349585</v>
      </c>
      <c r="L1050" s="47">
        <f t="shared" si="130"/>
        <v>0.41345410256713455</v>
      </c>
      <c r="M1050" s="84">
        <f t="shared" si="131"/>
        <v>0.82035142901063041</v>
      </c>
      <c r="N1050" s="47">
        <f t="shared" si="132"/>
        <v>3.1866286700800529E-2</v>
      </c>
      <c r="O1050" s="47">
        <f t="shared" si="133"/>
        <v>1.2592084569996097E-2</v>
      </c>
      <c r="P1050" s="47">
        <f t="shared" si="134"/>
        <v>0.10105712495122326</v>
      </c>
      <c r="Q1050" s="47">
        <f t="shared" si="135"/>
        <v>1</v>
      </c>
    </row>
    <row r="1051" spans="1:17" x14ac:dyDescent="0.35">
      <c r="A1051" s="82">
        <v>1048</v>
      </c>
      <c r="B1051" s="83" t="str">
        <f>_xlfn.XLOOKUP(A1051,'TAZs by City - CCAG Model'!$A:$A,'TAZs by City - CCAG Model'!$B:$B,"Unknown")</f>
        <v>San Jose</v>
      </c>
      <c r="C1051" s="82">
        <f>_xlfn.XLOOKUP(A1051,'TAZs by City - CCAG Model'!$A:$A,'TAZs by City - CCAG Model'!$C:$C,999)</f>
        <v>3</v>
      </c>
      <c r="D1051" s="82" t="str">
        <f t="shared" si="128"/>
        <v>NO</v>
      </c>
      <c r="E1051" s="27">
        <v>6724.42</v>
      </c>
      <c r="F1051" s="27">
        <v>5550.72</v>
      </c>
      <c r="G1051" s="27">
        <v>413.32</v>
      </c>
      <c r="H1051" s="27">
        <v>172.42</v>
      </c>
      <c r="I1051" s="27">
        <v>2264.04</v>
      </c>
      <c r="J1051" s="27">
        <v>15585.5</v>
      </c>
      <c r="K1051" s="47">
        <f t="shared" si="129"/>
        <v>0.43145359468736966</v>
      </c>
      <c r="L1051" s="47">
        <f t="shared" si="130"/>
        <v>0.35614641814507075</v>
      </c>
      <c r="M1051" s="84">
        <f t="shared" si="131"/>
        <v>0.78760001283244041</v>
      </c>
      <c r="N1051" s="47">
        <f t="shared" si="132"/>
        <v>2.6519521349972732E-2</v>
      </c>
      <c r="O1051" s="47">
        <f t="shared" si="133"/>
        <v>1.1062846876904814E-2</v>
      </c>
      <c r="P1051" s="47">
        <f t="shared" si="134"/>
        <v>0.14526579192197875</v>
      </c>
      <c r="Q1051" s="47">
        <f t="shared" si="135"/>
        <v>1</v>
      </c>
    </row>
    <row r="1052" spans="1:17" x14ac:dyDescent="0.35">
      <c r="A1052" s="82">
        <v>1049</v>
      </c>
      <c r="B1052" s="83" t="str">
        <f>_xlfn.XLOOKUP(A1052,'TAZs by City - CCAG Model'!$A:$A,'TAZs by City - CCAG Model'!$B:$B,"Unknown")</f>
        <v>San Jose</v>
      </c>
      <c r="C1052" s="82">
        <f>_xlfn.XLOOKUP(A1052,'TAZs by City - CCAG Model'!$A:$A,'TAZs by City - CCAG Model'!$C:$C,999)</f>
        <v>3</v>
      </c>
      <c r="D1052" s="82" t="str">
        <f t="shared" si="128"/>
        <v>NO</v>
      </c>
      <c r="E1052" s="27">
        <v>4250.1000000000004</v>
      </c>
      <c r="F1052" s="27">
        <v>4439.24</v>
      </c>
      <c r="G1052" s="27">
        <v>271.27999999999997</v>
      </c>
      <c r="H1052" s="27">
        <v>120.38</v>
      </c>
      <c r="I1052" s="27">
        <v>696.4</v>
      </c>
      <c r="J1052" s="27">
        <v>10078.4</v>
      </c>
      <c r="K1052" s="47">
        <f t="shared" si="129"/>
        <v>0.42170384187966348</v>
      </c>
      <c r="L1052" s="47">
        <f t="shared" si="130"/>
        <v>0.44047070963645024</v>
      </c>
      <c r="M1052" s="84">
        <f t="shared" si="131"/>
        <v>0.86217455151611366</v>
      </c>
      <c r="N1052" s="47">
        <f t="shared" si="132"/>
        <v>2.6916970947769486E-2</v>
      </c>
      <c r="O1052" s="47">
        <f t="shared" si="133"/>
        <v>1.1944356247023337E-2</v>
      </c>
      <c r="P1052" s="47">
        <f t="shared" si="134"/>
        <v>6.909826956659787E-2</v>
      </c>
      <c r="Q1052" s="47">
        <f t="shared" si="135"/>
        <v>1</v>
      </c>
    </row>
    <row r="1053" spans="1:17" x14ac:dyDescent="0.35">
      <c r="A1053" s="82">
        <v>1050</v>
      </c>
      <c r="B1053" s="83" t="str">
        <f>_xlfn.XLOOKUP(A1053,'TAZs by City - CCAG Model'!$A:$A,'TAZs by City - CCAG Model'!$B:$B,"Unknown")</f>
        <v>San Jose</v>
      </c>
      <c r="C1053" s="82">
        <f>_xlfn.XLOOKUP(A1053,'TAZs by City - CCAG Model'!$A:$A,'TAZs by City - CCAG Model'!$C:$C,999)</f>
        <v>3</v>
      </c>
      <c r="D1053" s="82" t="str">
        <f t="shared" si="128"/>
        <v>NO</v>
      </c>
      <c r="E1053" s="27">
        <v>3068.6</v>
      </c>
      <c r="F1053" s="27">
        <v>3005.9</v>
      </c>
      <c r="G1053" s="27">
        <v>145.41999999999999</v>
      </c>
      <c r="H1053" s="27">
        <v>82.24</v>
      </c>
      <c r="I1053" s="27">
        <v>844.96</v>
      </c>
      <c r="J1053" s="27">
        <v>7329</v>
      </c>
      <c r="K1053" s="47">
        <f t="shared" si="129"/>
        <v>0.41869286396507027</v>
      </c>
      <c r="L1053" s="47">
        <f t="shared" si="130"/>
        <v>0.41013780870514394</v>
      </c>
      <c r="M1053" s="84">
        <f t="shared" si="131"/>
        <v>0.82883067267021426</v>
      </c>
      <c r="N1053" s="47">
        <f t="shared" si="132"/>
        <v>1.9841724655478236E-2</v>
      </c>
      <c r="O1053" s="47">
        <f t="shared" si="133"/>
        <v>1.122117614954291E-2</v>
      </c>
      <c r="P1053" s="47">
        <f t="shared" si="134"/>
        <v>0.11528994405785237</v>
      </c>
      <c r="Q1053" s="47">
        <f t="shared" si="135"/>
        <v>1</v>
      </c>
    </row>
    <row r="1054" spans="1:17" x14ac:dyDescent="0.35">
      <c r="A1054" s="82">
        <v>1051</v>
      </c>
      <c r="B1054" s="83" t="str">
        <f>_xlfn.XLOOKUP(A1054,'TAZs by City - CCAG Model'!$A:$A,'TAZs by City - CCAG Model'!$B:$B,"Unknown")</f>
        <v>San Jose</v>
      </c>
      <c r="C1054" s="82">
        <f>_xlfn.XLOOKUP(A1054,'TAZs by City - CCAG Model'!$A:$A,'TAZs by City - CCAG Model'!$C:$C,999)</f>
        <v>3</v>
      </c>
      <c r="D1054" s="82" t="str">
        <f t="shared" si="128"/>
        <v>NO</v>
      </c>
      <c r="E1054" s="27">
        <v>3094.76</v>
      </c>
      <c r="F1054" s="27">
        <v>2677.02</v>
      </c>
      <c r="G1054" s="27">
        <v>124.54</v>
      </c>
      <c r="H1054" s="27">
        <v>78.260000000000005</v>
      </c>
      <c r="I1054" s="27">
        <v>741.6</v>
      </c>
      <c r="J1054" s="27">
        <v>6883.74</v>
      </c>
      <c r="K1054" s="47">
        <f t="shared" si="129"/>
        <v>0.44957537617632282</v>
      </c>
      <c r="L1054" s="47">
        <f t="shared" si="130"/>
        <v>0.38889034158756725</v>
      </c>
      <c r="M1054" s="84">
        <f t="shared" si="131"/>
        <v>0.83846571776389012</v>
      </c>
      <c r="N1054" s="47">
        <f t="shared" si="132"/>
        <v>1.8091909339980883E-2</v>
      </c>
      <c r="O1054" s="47">
        <f t="shared" si="133"/>
        <v>1.1368819856647696E-2</v>
      </c>
      <c r="P1054" s="47">
        <f t="shared" si="134"/>
        <v>0.10773213398530451</v>
      </c>
      <c r="Q1054" s="47">
        <f t="shared" si="135"/>
        <v>1</v>
      </c>
    </row>
    <row r="1055" spans="1:17" x14ac:dyDescent="0.35">
      <c r="A1055" s="82">
        <v>1052</v>
      </c>
      <c r="B1055" s="83" t="str">
        <f>_xlfn.XLOOKUP(A1055,'TAZs by City - CCAG Model'!$A:$A,'TAZs by City - CCAG Model'!$B:$B,"Unknown")</f>
        <v>San Jose</v>
      </c>
      <c r="C1055" s="82">
        <f>_xlfn.XLOOKUP(A1055,'TAZs by City - CCAG Model'!$A:$A,'TAZs by City - CCAG Model'!$C:$C,999)</f>
        <v>3</v>
      </c>
      <c r="D1055" s="82" t="str">
        <f t="shared" si="128"/>
        <v>NO</v>
      </c>
      <c r="E1055" s="27">
        <v>2730.34</v>
      </c>
      <c r="F1055" s="27">
        <v>3096.36</v>
      </c>
      <c r="G1055" s="27">
        <v>174.84</v>
      </c>
      <c r="H1055" s="27">
        <v>78.06</v>
      </c>
      <c r="I1055" s="27">
        <v>1147.06</v>
      </c>
      <c r="J1055" s="27">
        <v>7439.9</v>
      </c>
      <c r="K1055" s="47">
        <f t="shared" si="129"/>
        <v>0.36698611540477699</v>
      </c>
      <c r="L1055" s="47">
        <f t="shared" si="130"/>
        <v>0.4161830132125432</v>
      </c>
      <c r="M1055" s="84">
        <f t="shared" si="131"/>
        <v>0.78316912861732024</v>
      </c>
      <c r="N1055" s="47">
        <f t="shared" si="132"/>
        <v>2.3500315864460546E-2</v>
      </c>
      <c r="O1055" s="47">
        <f t="shared" si="133"/>
        <v>1.0492076506404657E-2</v>
      </c>
      <c r="P1055" s="47">
        <f t="shared" si="134"/>
        <v>0.15417680345165929</v>
      </c>
      <c r="Q1055" s="47">
        <f t="shared" si="135"/>
        <v>1</v>
      </c>
    </row>
    <row r="1056" spans="1:17" x14ac:dyDescent="0.35">
      <c r="A1056" s="82">
        <v>1053</v>
      </c>
      <c r="B1056" s="83" t="str">
        <f>_xlfn.XLOOKUP(A1056,'TAZs by City - CCAG Model'!$A:$A,'TAZs by City - CCAG Model'!$B:$B,"Unknown")</f>
        <v>San Jose</v>
      </c>
      <c r="C1056" s="82">
        <f>_xlfn.XLOOKUP(A1056,'TAZs by City - CCAG Model'!$A:$A,'TAZs by City - CCAG Model'!$C:$C,999)</f>
        <v>3</v>
      </c>
      <c r="D1056" s="82" t="str">
        <f t="shared" si="128"/>
        <v>NO</v>
      </c>
      <c r="E1056" s="27">
        <v>8537.86</v>
      </c>
      <c r="F1056" s="27">
        <v>8772.3799999999992</v>
      </c>
      <c r="G1056" s="27">
        <v>700.74</v>
      </c>
      <c r="H1056" s="27">
        <v>263.45999999999998</v>
      </c>
      <c r="I1056" s="27">
        <v>1484.68</v>
      </c>
      <c r="J1056" s="27">
        <v>20498.5</v>
      </c>
      <c r="K1056" s="47">
        <f t="shared" si="129"/>
        <v>0.41651145205746765</v>
      </c>
      <c r="L1056" s="47">
        <f t="shared" si="130"/>
        <v>0.42795228919189204</v>
      </c>
      <c r="M1056" s="84">
        <f t="shared" si="131"/>
        <v>0.84446374124935963</v>
      </c>
      <c r="N1056" s="47">
        <f t="shared" si="132"/>
        <v>3.4184940361489863E-2</v>
      </c>
      <c r="O1056" s="47">
        <f t="shared" si="133"/>
        <v>1.2852647754713759E-2</v>
      </c>
      <c r="P1056" s="47">
        <f t="shared" si="134"/>
        <v>7.2428714296168012E-2</v>
      </c>
      <c r="Q1056" s="47">
        <f t="shared" si="135"/>
        <v>1</v>
      </c>
    </row>
    <row r="1057" spans="1:17" x14ac:dyDescent="0.35">
      <c r="A1057" s="82">
        <v>1054</v>
      </c>
      <c r="B1057" s="83" t="str">
        <f>_xlfn.XLOOKUP(A1057,'TAZs by City - CCAG Model'!$A:$A,'TAZs by City - CCAG Model'!$B:$B,"Unknown")</f>
        <v>San Jose</v>
      </c>
      <c r="C1057" s="82">
        <f>_xlfn.XLOOKUP(A1057,'TAZs by City - CCAG Model'!$A:$A,'TAZs by City - CCAG Model'!$C:$C,999)</f>
        <v>3</v>
      </c>
      <c r="D1057" s="82" t="str">
        <f t="shared" si="128"/>
        <v>NO</v>
      </c>
      <c r="E1057" s="27">
        <v>2599.3000000000002</v>
      </c>
      <c r="F1057" s="27">
        <v>2048.7800000000002</v>
      </c>
      <c r="G1057" s="27">
        <v>156.58000000000001</v>
      </c>
      <c r="H1057" s="27">
        <v>64.16</v>
      </c>
      <c r="I1057" s="27">
        <v>292.33999999999997</v>
      </c>
      <c r="J1057" s="27">
        <v>5363.72</v>
      </c>
      <c r="K1057" s="47">
        <f t="shared" si="129"/>
        <v>0.48460769764268086</v>
      </c>
      <c r="L1057" s="47">
        <f t="shared" si="130"/>
        <v>0.38196997606139027</v>
      </c>
      <c r="M1057" s="84">
        <f t="shared" si="131"/>
        <v>0.86657767370407102</v>
      </c>
      <c r="N1057" s="47">
        <f t="shared" si="132"/>
        <v>2.9192426151998987E-2</v>
      </c>
      <c r="O1057" s="47">
        <f t="shared" si="133"/>
        <v>1.196184737458331E-2</v>
      </c>
      <c r="P1057" s="47">
        <f t="shared" si="134"/>
        <v>5.4503217915924017E-2</v>
      </c>
      <c r="Q1057" s="47">
        <f t="shared" si="135"/>
        <v>1</v>
      </c>
    </row>
    <row r="1058" spans="1:17" x14ac:dyDescent="0.35">
      <c r="A1058" s="82">
        <v>1055</v>
      </c>
      <c r="B1058" s="83" t="str">
        <f>_xlfn.XLOOKUP(A1058,'TAZs by City - CCAG Model'!$A:$A,'TAZs by City - CCAG Model'!$B:$B,"Unknown")</f>
        <v>San Jose</v>
      </c>
      <c r="C1058" s="82">
        <f>_xlfn.XLOOKUP(A1058,'TAZs by City - CCAG Model'!$A:$A,'TAZs by City - CCAG Model'!$C:$C,999)</f>
        <v>3</v>
      </c>
      <c r="D1058" s="82" t="str">
        <f t="shared" si="128"/>
        <v>NO</v>
      </c>
      <c r="E1058" s="27">
        <v>4611.24</v>
      </c>
      <c r="F1058" s="27">
        <v>3474.88</v>
      </c>
      <c r="G1058" s="27">
        <v>151.72</v>
      </c>
      <c r="H1058" s="27">
        <v>96.32</v>
      </c>
      <c r="I1058" s="27">
        <v>606.88</v>
      </c>
      <c r="J1058" s="27">
        <v>9138.7000000000007</v>
      </c>
      <c r="K1058" s="47">
        <f t="shared" si="129"/>
        <v>0.50458380294790284</v>
      </c>
      <c r="L1058" s="47">
        <f t="shared" si="130"/>
        <v>0.38023788941534353</v>
      </c>
      <c r="M1058" s="84">
        <f t="shared" si="131"/>
        <v>0.88482169236324637</v>
      </c>
      <c r="N1058" s="47">
        <f t="shared" si="132"/>
        <v>1.6601923687176511E-2</v>
      </c>
      <c r="O1058" s="47">
        <f t="shared" si="133"/>
        <v>1.0539792311816778E-2</v>
      </c>
      <c r="P1058" s="47">
        <f t="shared" si="134"/>
        <v>6.6407694748706045E-2</v>
      </c>
      <c r="Q1058" s="47">
        <f t="shared" si="135"/>
        <v>1</v>
      </c>
    </row>
    <row r="1059" spans="1:17" x14ac:dyDescent="0.35">
      <c r="A1059" s="82">
        <v>1056</v>
      </c>
      <c r="B1059" s="83" t="str">
        <f>_xlfn.XLOOKUP(A1059,'TAZs by City - CCAG Model'!$A:$A,'TAZs by City - CCAG Model'!$B:$B,"Unknown")</f>
        <v>San Jose</v>
      </c>
      <c r="C1059" s="82">
        <f>_xlfn.XLOOKUP(A1059,'TAZs by City - CCAG Model'!$A:$A,'TAZs by City - CCAG Model'!$C:$C,999)</f>
        <v>3</v>
      </c>
      <c r="D1059" s="82" t="str">
        <f t="shared" si="128"/>
        <v>NO</v>
      </c>
      <c r="E1059" s="27">
        <v>7178.36</v>
      </c>
      <c r="F1059" s="27">
        <v>6136.92</v>
      </c>
      <c r="G1059" s="27">
        <v>430.54</v>
      </c>
      <c r="H1059" s="27">
        <v>216.12</v>
      </c>
      <c r="I1059" s="27">
        <v>1182.8800000000001</v>
      </c>
      <c r="J1059" s="27">
        <v>15617.68</v>
      </c>
      <c r="K1059" s="47">
        <f t="shared" si="129"/>
        <v>0.45963036763462944</v>
      </c>
      <c r="L1059" s="47">
        <f t="shared" si="130"/>
        <v>0.39294696779547283</v>
      </c>
      <c r="M1059" s="84">
        <f t="shared" si="131"/>
        <v>0.85257733543010217</v>
      </c>
      <c r="N1059" s="47">
        <f t="shared" si="132"/>
        <v>2.756747481059927E-2</v>
      </c>
      <c r="O1059" s="47">
        <f t="shared" si="133"/>
        <v>1.383816290255659E-2</v>
      </c>
      <c r="P1059" s="47">
        <f t="shared" si="134"/>
        <v>7.5739802582713955E-2</v>
      </c>
      <c r="Q1059" s="47">
        <f t="shared" si="135"/>
        <v>1</v>
      </c>
    </row>
    <row r="1060" spans="1:17" x14ac:dyDescent="0.35">
      <c r="A1060" s="82">
        <v>1057</v>
      </c>
      <c r="B1060" s="83" t="str">
        <f>_xlfn.XLOOKUP(A1060,'TAZs by City - CCAG Model'!$A:$A,'TAZs by City - CCAG Model'!$B:$B,"Unknown")</f>
        <v>San Jose</v>
      </c>
      <c r="C1060" s="82">
        <f>_xlfn.XLOOKUP(A1060,'TAZs by City - CCAG Model'!$A:$A,'TAZs by City - CCAG Model'!$C:$C,999)</f>
        <v>3</v>
      </c>
      <c r="D1060" s="82" t="str">
        <f t="shared" si="128"/>
        <v>NO</v>
      </c>
      <c r="E1060" s="27">
        <v>18966.12</v>
      </c>
      <c r="F1060" s="27">
        <v>10344.08</v>
      </c>
      <c r="G1060" s="27">
        <v>671.04</v>
      </c>
      <c r="H1060" s="27">
        <v>299.2</v>
      </c>
      <c r="I1060" s="27">
        <v>3574.66</v>
      </c>
      <c r="J1060" s="27">
        <v>34554.720000000001</v>
      </c>
      <c r="K1060" s="47">
        <f t="shared" si="129"/>
        <v>0.54887204989651195</v>
      </c>
      <c r="L1060" s="47">
        <f t="shared" si="130"/>
        <v>0.29935360494890423</v>
      </c>
      <c r="M1060" s="84">
        <f t="shared" si="131"/>
        <v>0.84822565484541612</v>
      </c>
      <c r="N1060" s="47">
        <f t="shared" si="132"/>
        <v>1.9419633555126475E-2</v>
      </c>
      <c r="O1060" s="47">
        <f t="shared" si="133"/>
        <v>8.6587302689762786E-3</v>
      </c>
      <c r="P1060" s="47">
        <f t="shared" si="134"/>
        <v>0.10344925382118564</v>
      </c>
      <c r="Q1060" s="47">
        <f t="shared" si="135"/>
        <v>1</v>
      </c>
    </row>
    <row r="1061" spans="1:17" x14ac:dyDescent="0.35">
      <c r="A1061" s="82">
        <v>1058</v>
      </c>
      <c r="B1061" s="83" t="str">
        <f>_xlfn.XLOOKUP(A1061,'TAZs by City - CCAG Model'!$A:$A,'TAZs by City - CCAG Model'!$B:$B,"Unknown")</f>
        <v>San Jose</v>
      </c>
      <c r="C1061" s="82">
        <f>_xlfn.XLOOKUP(A1061,'TAZs by City - CCAG Model'!$A:$A,'TAZs by City - CCAG Model'!$C:$C,999)</f>
        <v>3</v>
      </c>
      <c r="D1061" s="82" t="str">
        <f t="shared" si="128"/>
        <v>NO</v>
      </c>
      <c r="E1061" s="27">
        <v>8408.98</v>
      </c>
      <c r="F1061" s="27">
        <v>6983.78</v>
      </c>
      <c r="G1061" s="27">
        <v>604.41999999999996</v>
      </c>
      <c r="H1061" s="27">
        <v>235.66</v>
      </c>
      <c r="I1061" s="27">
        <v>2976.78</v>
      </c>
      <c r="J1061" s="27">
        <v>19857.060000000001</v>
      </c>
      <c r="K1061" s="47">
        <f t="shared" si="129"/>
        <v>0.42347557997004587</v>
      </c>
      <c r="L1061" s="47">
        <f t="shared" si="130"/>
        <v>0.3517026186152431</v>
      </c>
      <c r="M1061" s="84">
        <f t="shared" si="131"/>
        <v>0.77517819858528891</v>
      </c>
      <c r="N1061" s="47">
        <f t="shared" si="132"/>
        <v>3.043854427594014E-2</v>
      </c>
      <c r="O1061" s="47">
        <f t="shared" si="133"/>
        <v>1.186781930456976E-2</v>
      </c>
      <c r="P1061" s="47">
        <f t="shared" si="134"/>
        <v>0.14991040969811242</v>
      </c>
      <c r="Q1061" s="47">
        <f t="shared" si="135"/>
        <v>1</v>
      </c>
    </row>
    <row r="1062" spans="1:17" x14ac:dyDescent="0.35">
      <c r="A1062" s="82">
        <v>1059</v>
      </c>
      <c r="B1062" s="83" t="str">
        <f>_xlfn.XLOOKUP(A1062,'TAZs by City - CCAG Model'!$A:$A,'TAZs by City - CCAG Model'!$B:$B,"Unknown")</f>
        <v>San Jose</v>
      </c>
      <c r="C1062" s="82">
        <f>_xlfn.XLOOKUP(A1062,'TAZs by City - CCAG Model'!$A:$A,'TAZs by City - CCAG Model'!$C:$C,999)</f>
        <v>3</v>
      </c>
      <c r="D1062" s="82" t="str">
        <f t="shared" si="128"/>
        <v>NO</v>
      </c>
      <c r="E1062" s="27">
        <v>3167.1</v>
      </c>
      <c r="F1062" s="27">
        <v>2448.42</v>
      </c>
      <c r="G1062" s="27">
        <v>97.06</v>
      </c>
      <c r="H1062" s="27">
        <v>73.319999999999993</v>
      </c>
      <c r="I1062" s="27">
        <v>726.08</v>
      </c>
      <c r="J1062" s="27">
        <v>6650.12</v>
      </c>
      <c r="K1062" s="47">
        <f t="shared" si="129"/>
        <v>0.47624704516610228</v>
      </c>
      <c r="L1062" s="47">
        <f t="shared" si="130"/>
        <v>0.36817681485446879</v>
      </c>
      <c r="M1062" s="84">
        <f t="shared" si="131"/>
        <v>0.84442386002057113</v>
      </c>
      <c r="N1062" s="47">
        <f t="shared" si="132"/>
        <v>1.4595225349317006E-2</v>
      </c>
      <c r="O1062" s="47">
        <f t="shared" si="133"/>
        <v>1.1025364955820346E-2</v>
      </c>
      <c r="P1062" s="47">
        <f t="shared" si="134"/>
        <v>0.10918299218660717</v>
      </c>
      <c r="Q1062" s="47">
        <f t="shared" si="135"/>
        <v>1</v>
      </c>
    </row>
    <row r="1063" spans="1:17" x14ac:dyDescent="0.35">
      <c r="A1063" s="82">
        <v>1060</v>
      </c>
      <c r="B1063" s="83" t="str">
        <f>_xlfn.XLOOKUP(A1063,'TAZs by City - CCAG Model'!$A:$A,'TAZs by City - CCAG Model'!$B:$B,"Unknown")</f>
        <v>San Jose</v>
      </c>
      <c r="C1063" s="82">
        <f>_xlfn.XLOOKUP(A1063,'TAZs by City - CCAG Model'!$A:$A,'TAZs by City - CCAG Model'!$C:$C,999)</f>
        <v>3</v>
      </c>
      <c r="D1063" s="82" t="str">
        <f t="shared" si="128"/>
        <v>NO</v>
      </c>
      <c r="E1063" s="27">
        <v>9272.4599999999991</v>
      </c>
      <c r="F1063" s="27">
        <v>8740.52</v>
      </c>
      <c r="G1063" s="27">
        <v>663.08</v>
      </c>
      <c r="H1063" s="27">
        <v>284.14</v>
      </c>
      <c r="I1063" s="27">
        <v>1077.22</v>
      </c>
      <c r="J1063" s="27">
        <v>20736.240000000002</v>
      </c>
      <c r="K1063" s="47">
        <f t="shared" si="129"/>
        <v>0.44716206988345036</v>
      </c>
      <c r="L1063" s="47">
        <f t="shared" si="130"/>
        <v>0.42150939611038452</v>
      </c>
      <c r="M1063" s="84">
        <f t="shared" si="131"/>
        <v>0.86867146599383482</v>
      </c>
      <c r="N1063" s="47">
        <f t="shared" si="132"/>
        <v>3.1976867551687285E-2</v>
      </c>
      <c r="O1063" s="47">
        <f t="shared" si="133"/>
        <v>1.370258060284796E-2</v>
      </c>
      <c r="P1063" s="47">
        <f t="shared" si="134"/>
        <v>5.1948665717603572E-2</v>
      </c>
      <c r="Q1063" s="47">
        <f t="shared" si="135"/>
        <v>1</v>
      </c>
    </row>
    <row r="1064" spans="1:17" x14ac:dyDescent="0.35">
      <c r="A1064" s="82">
        <v>1061</v>
      </c>
      <c r="B1064" s="83" t="str">
        <f>_xlfn.XLOOKUP(A1064,'TAZs by City - CCAG Model'!$A:$A,'TAZs by City - CCAG Model'!$B:$B,"Unknown")</f>
        <v>San Jose</v>
      </c>
      <c r="C1064" s="82">
        <f>_xlfn.XLOOKUP(A1064,'TAZs by City - CCAG Model'!$A:$A,'TAZs by City - CCAG Model'!$C:$C,999)</f>
        <v>3</v>
      </c>
      <c r="D1064" s="82" t="str">
        <f t="shared" si="128"/>
        <v>NO</v>
      </c>
      <c r="E1064" s="27">
        <v>13577.8</v>
      </c>
      <c r="F1064" s="27">
        <v>10080.08</v>
      </c>
      <c r="G1064" s="27">
        <v>666.08</v>
      </c>
      <c r="H1064" s="27">
        <v>347.74</v>
      </c>
      <c r="I1064" s="27">
        <v>2074.36</v>
      </c>
      <c r="J1064" s="27">
        <v>27441.4</v>
      </c>
      <c r="K1064" s="47">
        <f t="shared" si="129"/>
        <v>0.4947925397392261</v>
      </c>
      <c r="L1064" s="47">
        <f t="shared" si="130"/>
        <v>0.36733111284409686</v>
      </c>
      <c r="M1064" s="84">
        <f t="shared" si="131"/>
        <v>0.86212365258332291</v>
      </c>
      <c r="N1064" s="47">
        <f t="shared" si="132"/>
        <v>2.4272814069253027E-2</v>
      </c>
      <c r="O1064" s="47">
        <f t="shared" si="133"/>
        <v>1.2672093989373719E-2</v>
      </c>
      <c r="P1064" s="47">
        <f t="shared" si="134"/>
        <v>7.559235315982421E-2</v>
      </c>
      <c r="Q1064" s="47">
        <f t="shared" si="135"/>
        <v>1</v>
      </c>
    </row>
    <row r="1065" spans="1:17" x14ac:dyDescent="0.35">
      <c r="A1065" s="82">
        <v>1062</v>
      </c>
      <c r="B1065" s="83" t="str">
        <f>_xlfn.XLOOKUP(A1065,'TAZs by City - CCAG Model'!$A:$A,'TAZs by City - CCAG Model'!$B:$B,"Unknown")</f>
        <v>San Jose</v>
      </c>
      <c r="C1065" s="82">
        <f>_xlfn.XLOOKUP(A1065,'TAZs by City - CCAG Model'!$A:$A,'TAZs by City - CCAG Model'!$C:$C,999)</f>
        <v>3</v>
      </c>
      <c r="D1065" s="82" t="str">
        <f t="shared" si="128"/>
        <v>NO</v>
      </c>
      <c r="E1065" s="27">
        <v>9624.7999999999993</v>
      </c>
      <c r="F1065" s="27">
        <v>7532.24</v>
      </c>
      <c r="G1065" s="27">
        <v>242.26</v>
      </c>
      <c r="H1065" s="27">
        <v>217.1</v>
      </c>
      <c r="I1065" s="27">
        <v>726.58</v>
      </c>
      <c r="J1065" s="27">
        <v>18619.88</v>
      </c>
      <c r="K1065" s="47">
        <f t="shared" si="129"/>
        <v>0.5169098834149306</v>
      </c>
      <c r="L1065" s="47">
        <f t="shared" si="130"/>
        <v>0.40452677460864406</v>
      </c>
      <c r="M1065" s="84">
        <f t="shared" si="131"/>
        <v>0.92143665802357477</v>
      </c>
      <c r="N1065" s="47">
        <f t="shared" si="132"/>
        <v>1.3010824989205085E-2</v>
      </c>
      <c r="O1065" s="47">
        <f t="shared" si="133"/>
        <v>1.1659581049931578E-2</v>
      </c>
      <c r="P1065" s="47">
        <f t="shared" si="134"/>
        <v>3.9021733759830889E-2</v>
      </c>
      <c r="Q1065" s="47">
        <f t="shared" si="135"/>
        <v>1</v>
      </c>
    </row>
    <row r="1066" spans="1:17" x14ac:dyDescent="0.35">
      <c r="A1066" s="82">
        <v>1063</v>
      </c>
      <c r="B1066" s="83" t="str">
        <f>_xlfn.XLOOKUP(A1066,'TAZs by City - CCAG Model'!$A:$A,'TAZs by City - CCAG Model'!$B:$B,"Unknown")</f>
        <v>San Jose</v>
      </c>
      <c r="C1066" s="82">
        <f>_xlfn.XLOOKUP(A1066,'TAZs by City - CCAG Model'!$A:$A,'TAZs by City - CCAG Model'!$C:$C,999)</f>
        <v>3</v>
      </c>
      <c r="D1066" s="82" t="str">
        <f t="shared" si="128"/>
        <v>NO</v>
      </c>
      <c r="E1066" s="27">
        <v>7797.56</v>
      </c>
      <c r="F1066" s="27">
        <v>6717.68</v>
      </c>
      <c r="G1066" s="27">
        <v>203.46</v>
      </c>
      <c r="H1066" s="27">
        <v>214.2</v>
      </c>
      <c r="I1066" s="27">
        <v>948.78</v>
      </c>
      <c r="J1066" s="27">
        <v>16122.68</v>
      </c>
      <c r="K1066" s="47">
        <f t="shared" si="129"/>
        <v>0.48363919646113429</v>
      </c>
      <c r="L1066" s="47">
        <f t="shared" si="130"/>
        <v>0.41666025747580426</v>
      </c>
      <c r="M1066" s="84">
        <f t="shared" si="131"/>
        <v>0.90029945393693855</v>
      </c>
      <c r="N1066" s="47">
        <f t="shared" si="132"/>
        <v>1.2619490059965217E-2</v>
      </c>
      <c r="O1066" s="47">
        <f t="shared" si="133"/>
        <v>1.3285632413469721E-2</v>
      </c>
      <c r="P1066" s="47">
        <f t="shared" si="134"/>
        <v>5.8847536513780586E-2</v>
      </c>
      <c r="Q1066" s="47">
        <f t="shared" si="135"/>
        <v>1</v>
      </c>
    </row>
    <row r="1067" spans="1:17" x14ac:dyDescent="0.35">
      <c r="A1067" s="82">
        <v>1064</v>
      </c>
      <c r="B1067" s="83" t="str">
        <f>_xlfn.XLOOKUP(A1067,'TAZs by City - CCAG Model'!$A:$A,'TAZs by City - CCAG Model'!$B:$B,"Unknown")</f>
        <v>Unincorporated</v>
      </c>
      <c r="C1067" s="82">
        <f>_xlfn.XLOOKUP(A1067,'TAZs by City - CCAG Model'!$A:$A,'TAZs by City - CCAG Model'!$C:$C,999)</f>
        <v>3</v>
      </c>
      <c r="D1067" s="82" t="str">
        <f t="shared" si="128"/>
        <v>NO</v>
      </c>
      <c r="E1067" s="27">
        <v>2419.1799999999998</v>
      </c>
      <c r="F1067" s="27">
        <v>2081.56</v>
      </c>
      <c r="G1067" s="27">
        <v>0</v>
      </c>
      <c r="H1067" s="27">
        <v>35.74</v>
      </c>
      <c r="I1067" s="27">
        <v>74.56</v>
      </c>
      <c r="J1067" s="27">
        <v>4625.68</v>
      </c>
      <c r="K1067" s="47">
        <f t="shared" si="129"/>
        <v>0.52298905242040084</v>
      </c>
      <c r="L1067" s="47">
        <f t="shared" si="130"/>
        <v>0.45000086473772499</v>
      </c>
      <c r="M1067" s="84">
        <f t="shared" si="131"/>
        <v>0.97298991715812588</v>
      </c>
      <c r="N1067" s="47">
        <f t="shared" si="132"/>
        <v>0</v>
      </c>
      <c r="O1067" s="47">
        <f t="shared" si="133"/>
        <v>7.7264315733038165E-3</v>
      </c>
      <c r="P1067" s="47">
        <f t="shared" si="134"/>
        <v>1.6118711194894587E-2</v>
      </c>
      <c r="Q1067" s="47">
        <f t="shared" si="135"/>
        <v>1</v>
      </c>
    </row>
    <row r="1068" spans="1:17" x14ac:dyDescent="0.35">
      <c r="A1068" s="82">
        <v>1065</v>
      </c>
      <c r="B1068" s="83" t="str">
        <f>_xlfn.XLOOKUP(A1068,'TAZs by City - CCAG Model'!$A:$A,'TAZs by City - CCAG Model'!$B:$B,"Unknown")</f>
        <v>Unincorporated</v>
      </c>
      <c r="C1068" s="82">
        <f>_xlfn.XLOOKUP(A1068,'TAZs by City - CCAG Model'!$A:$A,'TAZs by City - CCAG Model'!$C:$C,999)</f>
        <v>3</v>
      </c>
      <c r="D1068" s="82" t="str">
        <f t="shared" si="128"/>
        <v>NO</v>
      </c>
      <c r="E1068" s="27">
        <v>454.34</v>
      </c>
      <c r="F1068" s="27">
        <v>322.98</v>
      </c>
      <c r="G1068" s="27">
        <v>2.2999999999999998</v>
      </c>
      <c r="H1068" s="27">
        <v>6.14</v>
      </c>
      <c r="I1068" s="27">
        <v>33.380000000000003</v>
      </c>
      <c r="J1068" s="27">
        <v>847.58</v>
      </c>
      <c r="K1068" s="47">
        <f t="shared" si="129"/>
        <v>0.53604379527596213</v>
      </c>
      <c r="L1068" s="47">
        <f t="shared" si="130"/>
        <v>0.38106137473748791</v>
      </c>
      <c r="M1068" s="84">
        <f t="shared" si="131"/>
        <v>0.91710517001344993</v>
      </c>
      <c r="N1068" s="47">
        <f t="shared" si="132"/>
        <v>2.7136081549824203E-3</v>
      </c>
      <c r="O1068" s="47">
        <f t="shared" si="133"/>
        <v>7.2441539441704611E-3</v>
      </c>
      <c r="P1068" s="47">
        <f t="shared" si="134"/>
        <v>3.938271313622313E-2</v>
      </c>
      <c r="Q1068" s="47">
        <f t="shared" si="135"/>
        <v>1</v>
      </c>
    </row>
    <row r="1069" spans="1:17" x14ac:dyDescent="0.35">
      <c r="A1069" s="82">
        <v>1066</v>
      </c>
      <c r="B1069" s="83" t="str">
        <f>_xlfn.XLOOKUP(A1069,'TAZs by City - CCAG Model'!$A:$A,'TAZs by City - CCAG Model'!$B:$B,"Unknown")</f>
        <v>San Jose</v>
      </c>
      <c r="C1069" s="82">
        <f>_xlfn.XLOOKUP(A1069,'TAZs by City - CCAG Model'!$A:$A,'TAZs by City - CCAG Model'!$C:$C,999)</f>
        <v>3</v>
      </c>
      <c r="D1069" s="82" t="str">
        <f t="shared" si="128"/>
        <v>NO</v>
      </c>
      <c r="E1069" s="27">
        <v>733.24</v>
      </c>
      <c r="F1069" s="27">
        <v>326.27999999999997</v>
      </c>
      <c r="G1069" s="27">
        <v>10.54</v>
      </c>
      <c r="H1069" s="27">
        <v>8.36</v>
      </c>
      <c r="I1069" s="27">
        <v>74.86</v>
      </c>
      <c r="J1069" s="27">
        <v>1198.24</v>
      </c>
      <c r="K1069" s="47">
        <f t="shared" si="129"/>
        <v>0.61193083188676722</v>
      </c>
      <c r="L1069" s="47">
        <f t="shared" si="130"/>
        <v>0.27229937241287216</v>
      </c>
      <c r="M1069" s="84">
        <f t="shared" si="131"/>
        <v>0.8842302042996395</v>
      </c>
      <c r="N1069" s="47">
        <f t="shared" si="132"/>
        <v>8.7962344772332755E-3</v>
      </c>
      <c r="O1069" s="47">
        <f t="shared" si="133"/>
        <v>6.9768994525303777E-3</v>
      </c>
      <c r="P1069" s="47">
        <f t="shared" si="134"/>
        <v>6.2474963279476561E-2</v>
      </c>
      <c r="Q1069" s="47">
        <f t="shared" si="135"/>
        <v>1</v>
      </c>
    </row>
    <row r="1070" spans="1:17" x14ac:dyDescent="0.35">
      <c r="A1070" s="82">
        <v>1067</v>
      </c>
      <c r="B1070" s="83" t="str">
        <f>_xlfn.XLOOKUP(A1070,'TAZs by City - CCAG Model'!$A:$A,'TAZs by City - CCAG Model'!$B:$B,"Unknown")</f>
        <v>San Jose</v>
      </c>
      <c r="C1070" s="82">
        <f>_xlfn.XLOOKUP(A1070,'TAZs by City - CCAG Model'!$A:$A,'TAZs by City - CCAG Model'!$C:$C,999)</f>
        <v>3</v>
      </c>
      <c r="D1070" s="82" t="str">
        <f t="shared" si="128"/>
        <v>NO</v>
      </c>
      <c r="E1070" s="27">
        <v>2708.12</v>
      </c>
      <c r="F1070" s="27">
        <v>2344.7600000000002</v>
      </c>
      <c r="G1070" s="27">
        <v>23.12</v>
      </c>
      <c r="H1070" s="27">
        <v>55.74</v>
      </c>
      <c r="I1070" s="27">
        <v>334.16</v>
      </c>
      <c r="J1070" s="27">
        <v>5515.94</v>
      </c>
      <c r="K1070" s="47">
        <f t="shared" si="129"/>
        <v>0.49096255579284764</v>
      </c>
      <c r="L1070" s="47">
        <f t="shared" si="130"/>
        <v>0.42508801763616</v>
      </c>
      <c r="M1070" s="84">
        <f t="shared" si="131"/>
        <v>0.91605057342900764</v>
      </c>
      <c r="N1070" s="47">
        <f t="shared" si="132"/>
        <v>4.1914886673894208E-3</v>
      </c>
      <c r="O1070" s="47">
        <f t="shared" si="133"/>
        <v>1.0105258577867055E-2</v>
      </c>
      <c r="P1070" s="47">
        <f t="shared" si="134"/>
        <v>6.0580789493721837E-2</v>
      </c>
      <c r="Q1070" s="47">
        <f t="shared" si="135"/>
        <v>1</v>
      </c>
    </row>
    <row r="1071" spans="1:17" x14ac:dyDescent="0.35">
      <c r="A1071" s="82">
        <v>1068</v>
      </c>
      <c r="B1071" s="83" t="str">
        <f>_xlfn.XLOOKUP(A1071,'TAZs by City - CCAG Model'!$A:$A,'TAZs by City - CCAG Model'!$B:$B,"Unknown")</f>
        <v>San Jose</v>
      </c>
      <c r="C1071" s="82">
        <f>_xlfn.XLOOKUP(A1071,'TAZs by City - CCAG Model'!$A:$A,'TAZs by City - CCAG Model'!$C:$C,999)</f>
        <v>3</v>
      </c>
      <c r="D1071" s="82" t="str">
        <f t="shared" si="128"/>
        <v>NO</v>
      </c>
      <c r="E1071" s="27">
        <v>6283.72</v>
      </c>
      <c r="F1071" s="27">
        <v>5256.06</v>
      </c>
      <c r="G1071" s="27">
        <v>223.8</v>
      </c>
      <c r="H1071" s="27">
        <v>135.24</v>
      </c>
      <c r="I1071" s="27">
        <v>970.46</v>
      </c>
      <c r="J1071" s="27">
        <v>13128.64</v>
      </c>
      <c r="K1071" s="47">
        <f t="shared" si="129"/>
        <v>0.47862687985960467</v>
      </c>
      <c r="L1071" s="47">
        <f t="shared" si="130"/>
        <v>0.4003506836961026</v>
      </c>
      <c r="M1071" s="84">
        <f t="shared" si="131"/>
        <v>0.87897756355570733</v>
      </c>
      <c r="N1071" s="47">
        <f t="shared" si="132"/>
        <v>1.7046700953030933E-2</v>
      </c>
      <c r="O1071" s="47">
        <f t="shared" si="133"/>
        <v>1.0301143149633169E-2</v>
      </c>
      <c r="P1071" s="47">
        <f t="shared" si="134"/>
        <v>7.3919309235381578E-2</v>
      </c>
      <c r="Q1071" s="47">
        <f t="shared" si="135"/>
        <v>1</v>
      </c>
    </row>
    <row r="1072" spans="1:17" x14ac:dyDescent="0.35">
      <c r="A1072" s="82">
        <v>1069</v>
      </c>
      <c r="B1072" s="83" t="str">
        <f>_xlfn.XLOOKUP(A1072,'TAZs by City - CCAG Model'!$A:$A,'TAZs by City - CCAG Model'!$B:$B,"Unknown")</f>
        <v>San Jose</v>
      </c>
      <c r="C1072" s="82">
        <f>_xlfn.XLOOKUP(A1072,'TAZs by City - CCAG Model'!$A:$A,'TAZs by City - CCAG Model'!$C:$C,999)</f>
        <v>3</v>
      </c>
      <c r="D1072" s="82" t="str">
        <f t="shared" si="128"/>
        <v>NO</v>
      </c>
      <c r="E1072" s="27">
        <v>3807.46</v>
      </c>
      <c r="F1072" s="27">
        <v>3242.66</v>
      </c>
      <c r="G1072" s="27">
        <v>133.47999999999999</v>
      </c>
      <c r="H1072" s="27">
        <v>84.04</v>
      </c>
      <c r="I1072" s="27">
        <v>562.94000000000005</v>
      </c>
      <c r="J1072" s="27">
        <v>8004.38</v>
      </c>
      <c r="K1072" s="47">
        <f t="shared" si="129"/>
        <v>0.47567206954192581</v>
      </c>
      <c r="L1072" s="47">
        <f t="shared" si="130"/>
        <v>0.4051107018907148</v>
      </c>
      <c r="M1072" s="84">
        <f t="shared" si="131"/>
        <v>0.88078277143264061</v>
      </c>
      <c r="N1072" s="47">
        <f t="shared" si="132"/>
        <v>1.6675869961196244E-2</v>
      </c>
      <c r="O1072" s="47">
        <f t="shared" si="133"/>
        <v>1.0499251659716305E-2</v>
      </c>
      <c r="P1072" s="47">
        <f t="shared" si="134"/>
        <v>7.0328994875305778E-2</v>
      </c>
      <c r="Q1072" s="47">
        <f t="shared" si="135"/>
        <v>1</v>
      </c>
    </row>
    <row r="1073" spans="1:17" x14ac:dyDescent="0.35">
      <c r="A1073" s="82">
        <v>1070</v>
      </c>
      <c r="B1073" s="83" t="str">
        <f>_xlfn.XLOOKUP(A1073,'TAZs by City - CCAG Model'!$A:$A,'TAZs by City - CCAG Model'!$B:$B,"Unknown")</f>
        <v>San Jose</v>
      </c>
      <c r="C1073" s="82">
        <f>_xlfn.XLOOKUP(A1073,'TAZs by City - CCAG Model'!$A:$A,'TAZs by City - CCAG Model'!$C:$C,999)</f>
        <v>3</v>
      </c>
      <c r="D1073" s="82" t="str">
        <f t="shared" si="128"/>
        <v>NO</v>
      </c>
      <c r="E1073" s="27">
        <v>5893.34</v>
      </c>
      <c r="F1073" s="27">
        <v>5120.22</v>
      </c>
      <c r="G1073" s="27">
        <v>96.58</v>
      </c>
      <c r="H1073" s="27">
        <v>124.92</v>
      </c>
      <c r="I1073" s="27">
        <v>952.34</v>
      </c>
      <c r="J1073" s="27">
        <v>12320.6</v>
      </c>
      <c r="K1073" s="47">
        <f t="shared" si="129"/>
        <v>0.47833222407999609</v>
      </c>
      <c r="L1073" s="47">
        <f t="shared" si="130"/>
        <v>0.41558203334253202</v>
      </c>
      <c r="M1073" s="84">
        <f t="shared" si="131"/>
        <v>0.89391425742252817</v>
      </c>
      <c r="N1073" s="47">
        <f t="shared" si="132"/>
        <v>7.8389039494829796E-3</v>
      </c>
      <c r="O1073" s="47">
        <f t="shared" si="133"/>
        <v>1.0139116601464214E-2</v>
      </c>
      <c r="P1073" s="47">
        <f t="shared" si="134"/>
        <v>7.7296560232456207E-2</v>
      </c>
      <c r="Q1073" s="47">
        <f t="shared" si="135"/>
        <v>1</v>
      </c>
    </row>
    <row r="1074" spans="1:17" x14ac:dyDescent="0.35">
      <c r="A1074" s="82">
        <v>1071</v>
      </c>
      <c r="B1074" s="83" t="str">
        <f>_xlfn.XLOOKUP(A1074,'TAZs by City - CCAG Model'!$A:$A,'TAZs by City - CCAG Model'!$B:$B,"Unknown")</f>
        <v>San Jose</v>
      </c>
      <c r="C1074" s="82">
        <f>_xlfn.XLOOKUP(A1074,'TAZs by City - CCAG Model'!$A:$A,'TAZs by City - CCAG Model'!$C:$C,999)</f>
        <v>3</v>
      </c>
      <c r="D1074" s="82" t="str">
        <f t="shared" si="128"/>
        <v>NO</v>
      </c>
      <c r="E1074" s="27">
        <v>4506.1400000000003</v>
      </c>
      <c r="F1074" s="27">
        <v>3911.22</v>
      </c>
      <c r="G1074" s="27">
        <v>153.84</v>
      </c>
      <c r="H1074" s="27">
        <v>92.96</v>
      </c>
      <c r="I1074" s="27">
        <v>454.16</v>
      </c>
      <c r="J1074" s="27">
        <v>9307.7199999999993</v>
      </c>
      <c r="K1074" s="47">
        <f t="shared" si="129"/>
        <v>0.4841293034169486</v>
      </c>
      <c r="L1074" s="47">
        <f t="shared" si="130"/>
        <v>0.42021246878934909</v>
      </c>
      <c r="M1074" s="84">
        <f t="shared" si="131"/>
        <v>0.90434177220629774</v>
      </c>
      <c r="N1074" s="47">
        <f t="shared" si="132"/>
        <v>1.6528215287954517E-2</v>
      </c>
      <c r="O1074" s="47">
        <f t="shared" si="133"/>
        <v>9.9874083019257133E-3</v>
      </c>
      <c r="P1074" s="47">
        <f t="shared" si="134"/>
        <v>4.8793904414829843E-2</v>
      </c>
      <c r="Q1074" s="47">
        <f t="shared" si="135"/>
        <v>1</v>
      </c>
    </row>
    <row r="1075" spans="1:17" x14ac:dyDescent="0.35">
      <c r="A1075" s="82">
        <v>1072</v>
      </c>
      <c r="B1075" s="83" t="str">
        <f>_xlfn.XLOOKUP(A1075,'TAZs by City - CCAG Model'!$A:$A,'TAZs by City - CCAG Model'!$B:$B,"Unknown")</f>
        <v>San Jose</v>
      </c>
      <c r="C1075" s="82">
        <f>_xlfn.XLOOKUP(A1075,'TAZs by City - CCAG Model'!$A:$A,'TAZs by City - CCAG Model'!$C:$C,999)</f>
        <v>3</v>
      </c>
      <c r="D1075" s="82" t="str">
        <f t="shared" si="128"/>
        <v>NO</v>
      </c>
      <c r="E1075" s="27">
        <v>2972.6</v>
      </c>
      <c r="F1075" s="27">
        <v>2598.7800000000002</v>
      </c>
      <c r="G1075" s="27">
        <v>141.5</v>
      </c>
      <c r="H1075" s="27">
        <v>69.64</v>
      </c>
      <c r="I1075" s="27">
        <v>322.42</v>
      </c>
      <c r="J1075" s="27">
        <v>6272.04</v>
      </c>
      <c r="K1075" s="47">
        <f t="shared" si="129"/>
        <v>0.47394468147524565</v>
      </c>
      <c r="L1075" s="47">
        <f t="shared" si="130"/>
        <v>0.41434365852258598</v>
      </c>
      <c r="M1075" s="84">
        <f t="shared" si="131"/>
        <v>0.88828833999783163</v>
      </c>
      <c r="N1075" s="47">
        <f t="shared" si="132"/>
        <v>2.2560442854318533E-2</v>
      </c>
      <c r="O1075" s="47">
        <f t="shared" si="133"/>
        <v>1.1103245515015849E-2</v>
      </c>
      <c r="P1075" s="47">
        <f t="shared" si="134"/>
        <v>5.1405922156108702E-2</v>
      </c>
      <c r="Q1075" s="47">
        <f t="shared" si="135"/>
        <v>1</v>
      </c>
    </row>
    <row r="1076" spans="1:17" x14ac:dyDescent="0.35">
      <c r="A1076" s="82">
        <v>1073</v>
      </c>
      <c r="B1076" s="83" t="str">
        <f>_xlfn.XLOOKUP(A1076,'TAZs by City - CCAG Model'!$A:$A,'TAZs by City - CCAG Model'!$B:$B,"Unknown")</f>
        <v>San Jose</v>
      </c>
      <c r="C1076" s="82">
        <f>_xlfn.XLOOKUP(A1076,'TAZs by City - CCAG Model'!$A:$A,'TAZs by City - CCAG Model'!$C:$C,999)</f>
        <v>3</v>
      </c>
      <c r="D1076" s="82" t="str">
        <f t="shared" si="128"/>
        <v>NO</v>
      </c>
      <c r="E1076" s="27">
        <v>7128.02</v>
      </c>
      <c r="F1076" s="27">
        <v>5464</v>
      </c>
      <c r="G1076" s="27">
        <v>103.46</v>
      </c>
      <c r="H1076" s="27">
        <v>144.76</v>
      </c>
      <c r="I1076" s="27">
        <v>587.1</v>
      </c>
      <c r="J1076" s="27">
        <v>13567.48</v>
      </c>
      <c r="K1076" s="47">
        <f t="shared" si="129"/>
        <v>0.52537538290087771</v>
      </c>
      <c r="L1076" s="47">
        <f t="shared" si="130"/>
        <v>0.4027276988799689</v>
      </c>
      <c r="M1076" s="84">
        <f t="shared" si="131"/>
        <v>0.92810308178084666</v>
      </c>
      <c r="N1076" s="47">
        <f t="shared" si="132"/>
        <v>7.6255870655420168E-3</v>
      </c>
      <c r="O1076" s="47">
        <f t="shared" si="133"/>
        <v>1.0669630616739438E-2</v>
      </c>
      <c r="P1076" s="47">
        <f t="shared" si="134"/>
        <v>4.3272590046198704E-2</v>
      </c>
      <c r="Q1076" s="47">
        <f t="shared" si="135"/>
        <v>1</v>
      </c>
    </row>
    <row r="1077" spans="1:17" x14ac:dyDescent="0.35">
      <c r="A1077" s="82">
        <v>1074</v>
      </c>
      <c r="B1077" s="83" t="str">
        <f>_xlfn.XLOOKUP(A1077,'TAZs by City - CCAG Model'!$A:$A,'TAZs by City - CCAG Model'!$B:$B,"Unknown")</f>
        <v>San Jose</v>
      </c>
      <c r="C1077" s="82">
        <f>_xlfn.XLOOKUP(A1077,'TAZs by City - CCAG Model'!$A:$A,'TAZs by City - CCAG Model'!$C:$C,999)</f>
        <v>3</v>
      </c>
      <c r="D1077" s="82" t="str">
        <f t="shared" si="128"/>
        <v>NO</v>
      </c>
      <c r="E1077" s="27">
        <v>4779.88</v>
      </c>
      <c r="F1077" s="27">
        <v>3420.42</v>
      </c>
      <c r="G1077" s="27">
        <v>50.2</v>
      </c>
      <c r="H1077" s="27">
        <v>73.36</v>
      </c>
      <c r="I1077" s="27">
        <v>230.12</v>
      </c>
      <c r="J1077" s="27">
        <v>8643.2199999999993</v>
      </c>
      <c r="K1077" s="47">
        <f t="shared" si="129"/>
        <v>0.55302074921152078</v>
      </c>
      <c r="L1077" s="47">
        <f t="shared" si="130"/>
        <v>0.39573446007390767</v>
      </c>
      <c r="M1077" s="84">
        <f t="shared" si="131"/>
        <v>0.94875520928542834</v>
      </c>
      <c r="N1077" s="47">
        <f t="shared" si="132"/>
        <v>5.8080206219441374E-3</v>
      </c>
      <c r="O1077" s="47">
        <f t="shared" si="133"/>
        <v>8.4875775463311137E-3</v>
      </c>
      <c r="P1077" s="47">
        <f t="shared" si="134"/>
        <v>2.6624336763382168E-2</v>
      </c>
      <c r="Q1077" s="47">
        <f t="shared" si="135"/>
        <v>1</v>
      </c>
    </row>
    <row r="1078" spans="1:17" x14ac:dyDescent="0.35">
      <c r="A1078" s="82">
        <v>1075</v>
      </c>
      <c r="B1078" s="83" t="str">
        <f>_xlfn.XLOOKUP(A1078,'TAZs by City - CCAG Model'!$A:$A,'TAZs by City - CCAG Model'!$B:$B,"Unknown")</f>
        <v>Unincorporated</v>
      </c>
      <c r="C1078" s="82">
        <f>_xlfn.XLOOKUP(A1078,'TAZs by City - CCAG Model'!$A:$A,'TAZs by City - CCAG Model'!$C:$C,999)</f>
        <v>3</v>
      </c>
      <c r="D1078" s="82" t="str">
        <f t="shared" si="128"/>
        <v>NO</v>
      </c>
      <c r="E1078" s="27">
        <v>200.58</v>
      </c>
      <c r="F1078" s="27">
        <v>158.13999999999999</v>
      </c>
      <c r="G1078" s="27">
        <v>0</v>
      </c>
      <c r="H1078" s="27">
        <v>1.98</v>
      </c>
      <c r="I1078" s="27">
        <v>6.52</v>
      </c>
      <c r="J1078" s="27">
        <v>379.78</v>
      </c>
      <c r="K1078" s="47">
        <f t="shared" si="129"/>
        <v>0.52814787508557592</v>
      </c>
      <c r="L1078" s="47">
        <f t="shared" si="130"/>
        <v>0.41639896782347674</v>
      </c>
      <c r="M1078" s="84">
        <f t="shared" si="131"/>
        <v>0.94454684290905278</v>
      </c>
      <c r="N1078" s="47">
        <f t="shared" si="132"/>
        <v>0</v>
      </c>
      <c r="O1078" s="47">
        <f t="shared" si="133"/>
        <v>5.2135446837642853E-3</v>
      </c>
      <c r="P1078" s="47">
        <f t="shared" si="134"/>
        <v>1.7167834009163201E-2</v>
      </c>
      <c r="Q1078" s="47">
        <f t="shared" si="135"/>
        <v>1</v>
      </c>
    </row>
    <row r="1079" spans="1:17" x14ac:dyDescent="0.35">
      <c r="A1079" s="82">
        <v>1076</v>
      </c>
      <c r="B1079" s="83" t="str">
        <f>_xlfn.XLOOKUP(A1079,'TAZs by City - CCAG Model'!$A:$A,'TAZs by City - CCAG Model'!$B:$B,"Unknown")</f>
        <v>San Jose</v>
      </c>
      <c r="C1079" s="82">
        <f>_xlfn.XLOOKUP(A1079,'TAZs by City - CCAG Model'!$A:$A,'TAZs by City - CCAG Model'!$C:$C,999)</f>
        <v>3</v>
      </c>
      <c r="D1079" s="82" t="str">
        <f t="shared" si="128"/>
        <v>NO</v>
      </c>
      <c r="E1079" s="27">
        <v>21534.34</v>
      </c>
      <c r="F1079" s="27">
        <v>13264.8</v>
      </c>
      <c r="G1079" s="27">
        <v>890.42</v>
      </c>
      <c r="H1079" s="27">
        <v>481.64</v>
      </c>
      <c r="I1079" s="27">
        <v>2264.62</v>
      </c>
      <c r="J1079" s="27">
        <v>39365.379999999997</v>
      </c>
      <c r="K1079" s="47">
        <f t="shared" si="129"/>
        <v>0.54703752383439463</v>
      </c>
      <c r="L1079" s="47">
        <f t="shared" si="130"/>
        <v>0.33696613623442734</v>
      </c>
      <c r="M1079" s="84">
        <f t="shared" si="131"/>
        <v>0.88400366006882192</v>
      </c>
      <c r="N1079" s="47">
        <f t="shared" si="132"/>
        <v>2.2619367576281496E-2</v>
      </c>
      <c r="O1079" s="47">
        <f t="shared" si="133"/>
        <v>1.2235116236652613E-2</v>
      </c>
      <c r="P1079" s="47">
        <f t="shared" si="134"/>
        <v>5.7528213877269828E-2</v>
      </c>
      <c r="Q1079" s="47">
        <f t="shared" si="135"/>
        <v>1</v>
      </c>
    </row>
    <row r="1080" spans="1:17" x14ac:dyDescent="0.35">
      <c r="A1080" s="82">
        <v>1077</v>
      </c>
      <c r="B1080" s="83" t="str">
        <f>_xlfn.XLOOKUP(A1080,'TAZs by City - CCAG Model'!$A:$A,'TAZs by City - CCAG Model'!$B:$B,"Unknown")</f>
        <v>San Jose</v>
      </c>
      <c r="C1080" s="82">
        <f>_xlfn.XLOOKUP(A1080,'TAZs by City - CCAG Model'!$A:$A,'TAZs by City - CCAG Model'!$C:$C,999)</f>
        <v>3</v>
      </c>
      <c r="D1080" s="82" t="str">
        <f t="shared" si="128"/>
        <v>NO</v>
      </c>
      <c r="E1080" s="27">
        <v>4742.4799999999996</v>
      </c>
      <c r="F1080" s="27">
        <v>4338</v>
      </c>
      <c r="G1080" s="27">
        <v>66.22</v>
      </c>
      <c r="H1080" s="27">
        <v>92.26</v>
      </c>
      <c r="I1080" s="27">
        <v>672.56</v>
      </c>
      <c r="J1080" s="27">
        <v>10005.08</v>
      </c>
      <c r="K1080" s="47">
        <f t="shared" si="129"/>
        <v>0.47400720434019517</v>
      </c>
      <c r="L1080" s="47">
        <f t="shared" si="130"/>
        <v>0.43357974149132239</v>
      </c>
      <c r="M1080" s="84">
        <f t="shared" si="131"/>
        <v>0.90758694583151756</v>
      </c>
      <c r="N1080" s="47">
        <f t="shared" si="132"/>
        <v>6.6186377320321278E-3</v>
      </c>
      <c r="O1080" s="47">
        <f t="shared" si="133"/>
        <v>9.2213155716895819E-3</v>
      </c>
      <c r="P1080" s="47">
        <f t="shared" si="134"/>
        <v>6.7221851299539823E-2</v>
      </c>
      <c r="Q1080" s="47">
        <f t="shared" si="135"/>
        <v>1</v>
      </c>
    </row>
    <row r="1081" spans="1:17" x14ac:dyDescent="0.35">
      <c r="A1081" s="82">
        <v>1078</v>
      </c>
      <c r="B1081" s="83" t="str">
        <f>_xlfn.XLOOKUP(A1081,'TAZs by City - CCAG Model'!$A:$A,'TAZs by City - CCAG Model'!$B:$B,"Unknown")</f>
        <v>San Jose</v>
      </c>
      <c r="C1081" s="82">
        <f>_xlfn.XLOOKUP(A1081,'TAZs by City - CCAG Model'!$A:$A,'TAZs by City - CCAG Model'!$C:$C,999)</f>
        <v>3</v>
      </c>
      <c r="D1081" s="82" t="str">
        <f t="shared" si="128"/>
        <v>NO</v>
      </c>
      <c r="E1081" s="27">
        <v>1793.64</v>
      </c>
      <c r="F1081" s="27">
        <v>593.62</v>
      </c>
      <c r="G1081" s="27">
        <v>73.14</v>
      </c>
      <c r="H1081" s="27">
        <v>20.86</v>
      </c>
      <c r="I1081" s="27">
        <v>26.84</v>
      </c>
      <c r="J1081" s="27">
        <v>2633.88</v>
      </c>
      <c r="K1081" s="47">
        <f t="shared" si="129"/>
        <v>0.68098774431636977</v>
      </c>
      <c r="L1081" s="47">
        <f t="shared" si="130"/>
        <v>0.22537852901422994</v>
      </c>
      <c r="M1081" s="84">
        <f t="shared" si="131"/>
        <v>0.90636627333059971</v>
      </c>
      <c r="N1081" s="47">
        <f t="shared" si="132"/>
        <v>2.7768918857351131E-2</v>
      </c>
      <c r="O1081" s="47">
        <f t="shared" si="133"/>
        <v>7.9198748614211726E-3</v>
      </c>
      <c r="P1081" s="47">
        <f t="shared" si="134"/>
        <v>1.0190289610764347E-2</v>
      </c>
      <c r="Q1081" s="47">
        <f t="shared" si="135"/>
        <v>1</v>
      </c>
    </row>
    <row r="1082" spans="1:17" x14ac:dyDescent="0.35">
      <c r="A1082" s="82">
        <v>1079</v>
      </c>
      <c r="B1082" s="83" t="str">
        <f>_xlfn.XLOOKUP(A1082,'TAZs by City - CCAG Model'!$A:$A,'TAZs by City - CCAG Model'!$B:$B,"Unknown")</f>
        <v>San Jose</v>
      </c>
      <c r="C1082" s="82">
        <f>_xlfn.XLOOKUP(A1082,'TAZs by City - CCAG Model'!$A:$A,'TAZs by City - CCAG Model'!$C:$C,999)</f>
        <v>3</v>
      </c>
      <c r="D1082" s="82" t="str">
        <f t="shared" si="128"/>
        <v>NO</v>
      </c>
      <c r="E1082" s="27">
        <v>21450.52</v>
      </c>
      <c r="F1082" s="27">
        <v>7492.42</v>
      </c>
      <c r="G1082" s="27">
        <v>2192.58</v>
      </c>
      <c r="H1082" s="27">
        <v>302.7</v>
      </c>
      <c r="I1082" s="27">
        <v>1211.02</v>
      </c>
      <c r="J1082" s="27">
        <v>34855.64</v>
      </c>
      <c r="K1082" s="47">
        <f t="shared" si="129"/>
        <v>0.61541030375571937</v>
      </c>
      <c r="L1082" s="47">
        <f t="shared" si="130"/>
        <v>0.21495574317384505</v>
      </c>
      <c r="M1082" s="84">
        <f t="shared" si="131"/>
        <v>0.83036604692956439</v>
      </c>
      <c r="N1082" s="47">
        <f t="shared" si="132"/>
        <v>6.2904597362148568E-2</v>
      </c>
      <c r="O1082" s="47">
        <f t="shared" si="133"/>
        <v>8.6843908188172694E-3</v>
      </c>
      <c r="P1082" s="47">
        <f t="shared" si="134"/>
        <v>3.474387502280836E-2</v>
      </c>
      <c r="Q1082" s="47">
        <f t="shared" si="135"/>
        <v>1</v>
      </c>
    </row>
    <row r="1083" spans="1:17" x14ac:dyDescent="0.35">
      <c r="A1083" s="82">
        <v>1080</v>
      </c>
      <c r="B1083" s="83" t="str">
        <f>_xlfn.XLOOKUP(A1083,'TAZs by City - CCAG Model'!$A:$A,'TAZs by City - CCAG Model'!$B:$B,"Unknown")</f>
        <v>San Jose</v>
      </c>
      <c r="C1083" s="82">
        <f>_xlfn.XLOOKUP(A1083,'TAZs by City - CCAG Model'!$A:$A,'TAZs by City - CCAG Model'!$C:$C,999)</f>
        <v>3</v>
      </c>
      <c r="D1083" s="82" t="str">
        <f t="shared" si="128"/>
        <v>NO</v>
      </c>
      <c r="E1083" s="27">
        <v>6251.22</v>
      </c>
      <c r="F1083" s="27">
        <v>3070.98</v>
      </c>
      <c r="G1083" s="27">
        <v>631.1</v>
      </c>
      <c r="H1083" s="27">
        <v>140.94</v>
      </c>
      <c r="I1083" s="27">
        <v>453.38</v>
      </c>
      <c r="J1083" s="27">
        <v>11212.46</v>
      </c>
      <c r="K1083" s="47">
        <f t="shared" si="129"/>
        <v>0.55752439696551881</v>
      </c>
      <c r="L1083" s="47">
        <f t="shared" si="130"/>
        <v>0.27388994029856073</v>
      </c>
      <c r="M1083" s="84">
        <f t="shared" si="131"/>
        <v>0.83141433726407954</v>
      </c>
      <c r="N1083" s="47">
        <f t="shared" si="132"/>
        <v>5.6285596559541802E-2</v>
      </c>
      <c r="O1083" s="47">
        <f t="shared" si="133"/>
        <v>1.256994450816324E-2</v>
      </c>
      <c r="P1083" s="47">
        <f t="shared" si="134"/>
        <v>4.0435372790627575E-2</v>
      </c>
      <c r="Q1083" s="47">
        <f t="shared" si="135"/>
        <v>1</v>
      </c>
    </row>
    <row r="1084" spans="1:17" x14ac:dyDescent="0.35">
      <c r="A1084" s="82">
        <v>1081</v>
      </c>
      <c r="B1084" s="83" t="str">
        <f>_xlfn.XLOOKUP(A1084,'TAZs by City - CCAG Model'!$A:$A,'TAZs by City - CCAG Model'!$B:$B,"Unknown")</f>
        <v>San Jose</v>
      </c>
      <c r="C1084" s="82">
        <f>_xlfn.XLOOKUP(A1084,'TAZs by City - CCAG Model'!$A:$A,'TAZs by City - CCAG Model'!$C:$C,999)</f>
        <v>3</v>
      </c>
      <c r="D1084" s="82" t="str">
        <f t="shared" si="128"/>
        <v>NO</v>
      </c>
      <c r="E1084" s="27">
        <v>5857.68</v>
      </c>
      <c r="F1084" s="27">
        <v>1922.4</v>
      </c>
      <c r="G1084" s="27">
        <v>465.3</v>
      </c>
      <c r="H1084" s="27">
        <v>72.36</v>
      </c>
      <c r="I1084" s="27">
        <v>277.26</v>
      </c>
      <c r="J1084" s="27">
        <v>9096.2800000000007</v>
      </c>
      <c r="K1084" s="47">
        <f t="shared" si="129"/>
        <v>0.64396434586446327</v>
      </c>
      <c r="L1084" s="47">
        <f t="shared" si="130"/>
        <v>0.21133914083559432</v>
      </c>
      <c r="M1084" s="84">
        <f t="shared" si="131"/>
        <v>0.85530348670005751</v>
      </c>
      <c r="N1084" s="47">
        <f t="shared" si="132"/>
        <v>5.115277893820331E-2</v>
      </c>
      <c r="O1084" s="47">
        <f t="shared" si="133"/>
        <v>7.9549002449352917E-3</v>
      </c>
      <c r="P1084" s="47">
        <f t="shared" si="134"/>
        <v>3.048059206620728E-2</v>
      </c>
      <c r="Q1084" s="47">
        <f t="shared" si="135"/>
        <v>1</v>
      </c>
    </row>
    <row r="1085" spans="1:17" x14ac:dyDescent="0.35">
      <c r="A1085" s="82">
        <v>1082</v>
      </c>
      <c r="B1085" s="83" t="str">
        <f>_xlfn.XLOOKUP(A1085,'TAZs by City - CCAG Model'!$A:$A,'TAZs by City - CCAG Model'!$B:$B,"Unknown")</f>
        <v>San Jose</v>
      </c>
      <c r="C1085" s="82">
        <f>_xlfn.XLOOKUP(A1085,'TAZs by City - CCAG Model'!$A:$A,'TAZs by City - CCAG Model'!$C:$C,999)</f>
        <v>3</v>
      </c>
      <c r="D1085" s="82" t="str">
        <f t="shared" si="128"/>
        <v>NO</v>
      </c>
      <c r="E1085" s="27">
        <v>6791.36</v>
      </c>
      <c r="F1085" s="27">
        <v>3348.74</v>
      </c>
      <c r="G1085" s="27">
        <v>662.66</v>
      </c>
      <c r="H1085" s="27">
        <v>148.08000000000001</v>
      </c>
      <c r="I1085" s="27">
        <v>484.4</v>
      </c>
      <c r="J1085" s="27">
        <v>12130.8</v>
      </c>
      <c r="K1085" s="47">
        <f t="shared" si="129"/>
        <v>0.55984436310878094</v>
      </c>
      <c r="L1085" s="47">
        <f t="shared" si="130"/>
        <v>0.2760526923203746</v>
      </c>
      <c r="M1085" s="84">
        <f t="shared" si="131"/>
        <v>0.83589705542915549</v>
      </c>
      <c r="N1085" s="47">
        <f t="shared" si="132"/>
        <v>5.4626240643650875E-2</v>
      </c>
      <c r="O1085" s="47">
        <f t="shared" si="133"/>
        <v>1.2206944307053123E-2</v>
      </c>
      <c r="P1085" s="47">
        <f t="shared" si="134"/>
        <v>3.9931414251327201E-2</v>
      </c>
      <c r="Q1085" s="47">
        <f t="shared" si="135"/>
        <v>1</v>
      </c>
    </row>
    <row r="1086" spans="1:17" x14ac:dyDescent="0.35">
      <c r="A1086" s="82">
        <v>1083</v>
      </c>
      <c r="B1086" s="83" t="str">
        <f>_xlfn.XLOOKUP(A1086,'TAZs by City - CCAG Model'!$A:$A,'TAZs by City - CCAG Model'!$B:$B,"Unknown")</f>
        <v>San Jose</v>
      </c>
      <c r="C1086" s="82">
        <f>_xlfn.XLOOKUP(A1086,'TAZs by City - CCAG Model'!$A:$A,'TAZs by City - CCAG Model'!$C:$C,999)</f>
        <v>3</v>
      </c>
      <c r="D1086" s="82" t="str">
        <f t="shared" si="128"/>
        <v>NO</v>
      </c>
      <c r="E1086" s="27">
        <v>13337.9</v>
      </c>
      <c r="F1086" s="27">
        <v>5732.86</v>
      </c>
      <c r="G1086" s="27">
        <v>1441.08</v>
      </c>
      <c r="H1086" s="27">
        <v>283.27999999999997</v>
      </c>
      <c r="I1086" s="27">
        <v>1035.18</v>
      </c>
      <c r="J1086" s="27">
        <v>23290.74</v>
      </c>
      <c r="K1086" s="47">
        <f t="shared" si="129"/>
        <v>0.57266965326133901</v>
      </c>
      <c r="L1086" s="47">
        <f t="shared" si="130"/>
        <v>0.24614331704359754</v>
      </c>
      <c r="M1086" s="84">
        <f t="shared" si="131"/>
        <v>0.81881297030493649</v>
      </c>
      <c r="N1086" s="47">
        <f t="shared" si="132"/>
        <v>6.187351711452705E-2</v>
      </c>
      <c r="O1086" s="47">
        <f t="shared" si="133"/>
        <v>1.2162773703197063E-2</v>
      </c>
      <c r="P1086" s="47">
        <f t="shared" si="134"/>
        <v>4.4445990123113309E-2</v>
      </c>
      <c r="Q1086" s="47">
        <f t="shared" si="135"/>
        <v>1</v>
      </c>
    </row>
    <row r="1087" spans="1:17" x14ac:dyDescent="0.35">
      <c r="A1087" s="82">
        <v>1084</v>
      </c>
      <c r="B1087" s="83" t="str">
        <f>_xlfn.XLOOKUP(A1087,'TAZs by City - CCAG Model'!$A:$A,'TAZs by City - CCAG Model'!$B:$B,"Unknown")</f>
        <v>San Jose</v>
      </c>
      <c r="C1087" s="82">
        <f>_xlfn.XLOOKUP(A1087,'TAZs by City - CCAG Model'!$A:$A,'TAZs by City - CCAG Model'!$C:$C,999)</f>
        <v>3</v>
      </c>
      <c r="D1087" s="82" t="str">
        <f t="shared" si="128"/>
        <v>NO</v>
      </c>
      <c r="E1087" s="27">
        <v>9520.92</v>
      </c>
      <c r="F1087" s="27">
        <v>3587.06</v>
      </c>
      <c r="G1087" s="27">
        <v>625.79999999999995</v>
      </c>
      <c r="H1087" s="27">
        <v>186.54</v>
      </c>
      <c r="I1087" s="27">
        <v>774.96</v>
      </c>
      <c r="J1087" s="27">
        <v>15348.4</v>
      </c>
      <c r="K1087" s="47">
        <f t="shared" si="129"/>
        <v>0.62032003335852604</v>
      </c>
      <c r="L1087" s="47">
        <f t="shared" si="130"/>
        <v>0.23370905110630424</v>
      </c>
      <c r="M1087" s="84">
        <f t="shared" si="131"/>
        <v>0.85402908446483017</v>
      </c>
      <c r="N1087" s="47">
        <f t="shared" si="132"/>
        <v>4.0772979593964191E-2</v>
      </c>
      <c r="O1087" s="47">
        <f t="shared" si="133"/>
        <v>1.2153709832946757E-2</v>
      </c>
      <c r="P1087" s="47">
        <f t="shared" si="134"/>
        <v>5.0491256417607051E-2</v>
      </c>
      <c r="Q1087" s="47">
        <f t="shared" si="135"/>
        <v>1</v>
      </c>
    </row>
    <row r="1088" spans="1:17" x14ac:dyDescent="0.35">
      <c r="A1088" s="82">
        <v>1085</v>
      </c>
      <c r="B1088" s="83" t="str">
        <f>_xlfn.XLOOKUP(A1088,'TAZs by City - CCAG Model'!$A:$A,'TAZs by City - CCAG Model'!$B:$B,"Unknown")</f>
        <v>San Jose</v>
      </c>
      <c r="C1088" s="82">
        <f>_xlfn.XLOOKUP(A1088,'TAZs by City - CCAG Model'!$A:$A,'TAZs by City - CCAG Model'!$C:$C,999)</f>
        <v>3</v>
      </c>
      <c r="D1088" s="82" t="str">
        <f t="shared" si="128"/>
        <v>NO</v>
      </c>
      <c r="E1088" s="27">
        <v>3170.62</v>
      </c>
      <c r="F1088" s="27">
        <v>1217.76</v>
      </c>
      <c r="G1088" s="27">
        <v>140.52000000000001</v>
      </c>
      <c r="H1088" s="27">
        <v>56.66</v>
      </c>
      <c r="I1088" s="27">
        <v>215.52</v>
      </c>
      <c r="J1088" s="27">
        <v>4988.4799999999996</v>
      </c>
      <c r="K1088" s="47">
        <f t="shared" si="129"/>
        <v>0.63558839566360903</v>
      </c>
      <c r="L1088" s="47">
        <f t="shared" si="130"/>
        <v>0.2441144396689974</v>
      </c>
      <c r="M1088" s="84">
        <f t="shared" si="131"/>
        <v>0.8797028353326064</v>
      </c>
      <c r="N1088" s="47">
        <f t="shared" si="132"/>
        <v>2.8168901148245561E-2</v>
      </c>
      <c r="O1088" s="47">
        <f t="shared" si="133"/>
        <v>1.1358169221887229E-2</v>
      </c>
      <c r="P1088" s="47">
        <f t="shared" si="134"/>
        <v>4.3203540958368085E-2</v>
      </c>
      <c r="Q1088" s="47">
        <f t="shared" si="135"/>
        <v>1</v>
      </c>
    </row>
    <row r="1089" spans="1:17" x14ac:dyDescent="0.35">
      <c r="A1089" s="82">
        <v>1086</v>
      </c>
      <c r="B1089" s="83" t="str">
        <f>_xlfn.XLOOKUP(A1089,'TAZs by City - CCAG Model'!$A:$A,'TAZs by City - CCAG Model'!$B:$B,"Unknown")</f>
        <v>San Jose</v>
      </c>
      <c r="C1089" s="82">
        <f>_xlfn.XLOOKUP(A1089,'TAZs by City - CCAG Model'!$A:$A,'TAZs by City - CCAG Model'!$C:$C,999)</f>
        <v>3</v>
      </c>
      <c r="D1089" s="82" t="str">
        <f t="shared" si="128"/>
        <v>NO</v>
      </c>
      <c r="E1089" s="27">
        <v>1193.44</v>
      </c>
      <c r="F1089" s="27">
        <v>916.52</v>
      </c>
      <c r="G1089" s="27">
        <v>84.1</v>
      </c>
      <c r="H1089" s="27">
        <v>34.9</v>
      </c>
      <c r="I1089" s="27">
        <v>131.5</v>
      </c>
      <c r="J1089" s="27">
        <v>2477.9</v>
      </c>
      <c r="K1089" s="47">
        <f t="shared" si="129"/>
        <v>0.48163364138988662</v>
      </c>
      <c r="L1089" s="47">
        <f t="shared" si="130"/>
        <v>0.36987771903628069</v>
      </c>
      <c r="M1089" s="84">
        <f t="shared" si="131"/>
        <v>0.85151136042616726</v>
      </c>
      <c r="N1089" s="47">
        <f t="shared" si="132"/>
        <v>3.3940029863997738E-2</v>
      </c>
      <c r="O1089" s="47">
        <f t="shared" si="133"/>
        <v>1.408450704225352E-2</v>
      </c>
      <c r="P1089" s="47">
        <f t="shared" si="134"/>
        <v>5.3069131119092776E-2</v>
      </c>
      <c r="Q1089" s="47">
        <f t="shared" si="135"/>
        <v>1</v>
      </c>
    </row>
    <row r="1090" spans="1:17" x14ac:dyDescent="0.35">
      <c r="A1090" s="82">
        <v>1087</v>
      </c>
      <c r="B1090" s="83" t="str">
        <f>_xlfn.XLOOKUP(A1090,'TAZs by City - CCAG Model'!$A:$A,'TAZs by City - CCAG Model'!$B:$B,"Unknown")</f>
        <v>San Jose</v>
      </c>
      <c r="C1090" s="82">
        <f>_xlfn.XLOOKUP(A1090,'TAZs by City - CCAG Model'!$A:$A,'TAZs by City - CCAG Model'!$C:$C,999)</f>
        <v>3</v>
      </c>
      <c r="D1090" s="82" t="str">
        <f t="shared" si="128"/>
        <v>NO</v>
      </c>
      <c r="E1090" s="27">
        <v>4728.76</v>
      </c>
      <c r="F1090" s="27">
        <v>2189.12</v>
      </c>
      <c r="G1090" s="27">
        <v>367.48</v>
      </c>
      <c r="H1090" s="27">
        <v>109.1</v>
      </c>
      <c r="I1090" s="27">
        <v>390.04</v>
      </c>
      <c r="J1090" s="27">
        <v>8188.24</v>
      </c>
      <c r="K1090" s="47">
        <f t="shared" si="129"/>
        <v>0.57750627729524295</v>
      </c>
      <c r="L1090" s="47">
        <f t="shared" si="130"/>
        <v>0.26734927163834965</v>
      </c>
      <c r="M1090" s="84">
        <f t="shared" si="131"/>
        <v>0.8448555489335926</v>
      </c>
      <c r="N1090" s="47">
        <f t="shared" si="132"/>
        <v>4.4878997195978626E-2</v>
      </c>
      <c r="O1090" s="47">
        <f t="shared" si="133"/>
        <v>1.3323986595410002E-2</v>
      </c>
      <c r="P1090" s="47">
        <f t="shared" si="134"/>
        <v>4.7634168026340219E-2</v>
      </c>
      <c r="Q1090" s="47">
        <f t="shared" si="135"/>
        <v>1</v>
      </c>
    </row>
    <row r="1091" spans="1:17" x14ac:dyDescent="0.35">
      <c r="A1091" s="82">
        <v>1088</v>
      </c>
      <c r="B1091" s="83" t="str">
        <f>_xlfn.XLOOKUP(A1091,'TAZs by City - CCAG Model'!$A:$A,'TAZs by City - CCAG Model'!$B:$B,"Unknown")</f>
        <v>San Jose</v>
      </c>
      <c r="C1091" s="82">
        <f>_xlfn.XLOOKUP(A1091,'TAZs by City - CCAG Model'!$A:$A,'TAZs by City - CCAG Model'!$C:$C,999)</f>
        <v>3</v>
      </c>
      <c r="D1091" s="82" t="str">
        <f t="shared" si="128"/>
        <v>NO</v>
      </c>
      <c r="E1091" s="27">
        <v>10515.5</v>
      </c>
      <c r="F1091" s="27">
        <v>3546.96</v>
      </c>
      <c r="G1091" s="27">
        <v>899.14</v>
      </c>
      <c r="H1091" s="27">
        <v>146.28</v>
      </c>
      <c r="I1091" s="27">
        <v>598.78</v>
      </c>
      <c r="J1091" s="27">
        <v>16630.2</v>
      </c>
      <c r="K1091" s="47">
        <f t="shared" si="129"/>
        <v>0.63231350194224967</v>
      </c>
      <c r="L1091" s="47">
        <f t="shared" si="130"/>
        <v>0.213284265973951</v>
      </c>
      <c r="M1091" s="84">
        <f t="shared" si="131"/>
        <v>0.84559776791620056</v>
      </c>
      <c r="N1091" s="47">
        <f t="shared" si="132"/>
        <v>5.4066697935081953E-2</v>
      </c>
      <c r="O1091" s="47">
        <f t="shared" si="133"/>
        <v>8.7960457480968351E-3</v>
      </c>
      <c r="P1091" s="47">
        <f t="shared" si="134"/>
        <v>3.6005580209498379E-2</v>
      </c>
      <c r="Q1091" s="47">
        <f t="shared" si="135"/>
        <v>1</v>
      </c>
    </row>
    <row r="1092" spans="1:17" x14ac:dyDescent="0.35">
      <c r="A1092" s="82">
        <v>1089</v>
      </c>
      <c r="B1092" s="83" t="str">
        <f>_xlfn.XLOOKUP(A1092,'TAZs by City - CCAG Model'!$A:$A,'TAZs by City - CCAG Model'!$B:$B,"Unknown")</f>
        <v>San Jose</v>
      </c>
      <c r="C1092" s="82">
        <f>_xlfn.XLOOKUP(A1092,'TAZs by City - CCAG Model'!$A:$A,'TAZs by City - CCAG Model'!$C:$C,999)</f>
        <v>3</v>
      </c>
      <c r="D1092" s="82" t="str">
        <f t="shared" si="128"/>
        <v>NO</v>
      </c>
      <c r="E1092" s="27">
        <v>1689.7</v>
      </c>
      <c r="F1092" s="27">
        <v>1055.58</v>
      </c>
      <c r="G1092" s="27">
        <v>137.56</v>
      </c>
      <c r="H1092" s="27">
        <v>47.54</v>
      </c>
      <c r="I1092" s="27">
        <v>239.08</v>
      </c>
      <c r="J1092" s="27">
        <v>3348.46</v>
      </c>
      <c r="K1092" s="47">
        <f t="shared" si="129"/>
        <v>0.50462003428441737</v>
      </c>
      <c r="L1092" s="47">
        <f t="shared" si="130"/>
        <v>0.315243425335826</v>
      </c>
      <c r="M1092" s="84">
        <f t="shared" si="131"/>
        <v>0.81986345962024321</v>
      </c>
      <c r="N1092" s="47">
        <f t="shared" si="132"/>
        <v>4.108157182704885E-2</v>
      </c>
      <c r="O1092" s="47">
        <f t="shared" si="133"/>
        <v>1.4197571420891992E-2</v>
      </c>
      <c r="P1092" s="47">
        <f t="shared" si="134"/>
        <v>7.1399986859631004E-2</v>
      </c>
      <c r="Q1092" s="47">
        <f t="shared" si="135"/>
        <v>1</v>
      </c>
    </row>
    <row r="1093" spans="1:17" x14ac:dyDescent="0.35">
      <c r="A1093" s="82">
        <v>1090</v>
      </c>
      <c r="B1093" s="83" t="str">
        <f>_xlfn.XLOOKUP(A1093,'TAZs by City - CCAG Model'!$A:$A,'TAZs by City - CCAG Model'!$B:$B,"Unknown")</f>
        <v>San Jose</v>
      </c>
      <c r="C1093" s="82">
        <f>_xlfn.XLOOKUP(A1093,'TAZs by City - CCAG Model'!$A:$A,'TAZs by City - CCAG Model'!$C:$C,999)</f>
        <v>3</v>
      </c>
      <c r="D1093" s="82" t="str">
        <f t="shared" ref="D1093:D1156" si="136">IF(C1093=2,"YES","NO")</f>
        <v>NO</v>
      </c>
      <c r="E1093" s="27">
        <v>2111.3200000000002</v>
      </c>
      <c r="F1093" s="27">
        <v>1284.32</v>
      </c>
      <c r="G1093" s="27">
        <v>144.76</v>
      </c>
      <c r="H1093" s="27">
        <v>62.88</v>
      </c>
      <c r="I1093" s="27">
        <v>252.22</v>
      </c>
      <c r="J1093" s="27">
        <v>4045.62</v>
      </c>
      <c r="K1093" s="47">
        <f t="shared" ref="K1093:K1156" si="137">IFERROR(E1093/$J1093,0)</f>
        <v>0.52187798161962817</v>
      </c>
      <c r="L1093" s="47">
        <f t="shared" ref="L1093:L1156" si="138">IFERROR(F1093/$J1093,0)</f>
        <v>0.31745937581878675</v>
      </c>
      <c r="M1093" s="84">
        <f t="shared" ref="M1093:M1156" si="139">IFERROR((E1093+F1093)/J1093,0)</f>
        <v>0.83933735743841498</v>
      </c>
      <c r="N1093" s="47">
        <f t="shared" ref="N1093:N1156" si="140">IFERROR(G1093/$J1093,0)</f>
        <v>3.5781907346710759E-2</v>
      </c>
      <c r="O1093" s="47">
        <f t="shared" ref="O1093:O1156" si="141">IFERROR(H1093/$J1093,0)</f>
        <v>1.5542735106114763E-2</v>
      </c>
      <c r="P1093" s="47">
        <f t="shared" ref="P1093:P1156" si="142">IFERROR(I1093/$J1093,0)</f>
        <v>6.2343967055729407E-2</v>
      </c>
      <c r="Q1093" s="47">
        <f t="shared" ref="Q1093:Q1156" si="143">IFERROR(J1093/$J1093,0)</f>
        <v>1</v>
      </c>
    </row>
    <row r="1094" spans="1:17" x14ac:dyDescent="0.35">
      <c r="A1094" s="82">
        <v>1091</v>
      </c>
      <c r="B1094" s="83" t="str">
        <f>_xlfn.XLOOKUP(A1094,'TAZs by City - CCAG Model'!$A:$A,'TAZs by City - CCAG Model'!$B:$B,"Unknown")</f>
        <v>San Jose</v>
      </c>
      <c r="C1094" s="82">
        <f>_xlfn.XLOOKUP(A1094,'TAZs by City - CCAG Model'!$A:$A,'TAZs by City - CCAG Model'!$C:$C,999)</f>
        <v>3</v>
      </c>
      <c r="D1094" s="82" t="str">
        <f t="shared" si="136"/>
        <v>NO</v>
      </c>
      <c r="E1094" s="27">
        <v>2337.64</v>
      </c>
      <c r="F1094" s="27">
        <v>1687.58</v>
      </c>
      <c r="G1094" s="27">
        <v>169</v>
      </c>
      <c r="H1094" s="27">
        <v>72.459999999999994</v>
      </c>
      <c r="I1094" s="27">
        <v>286.22000000000003</v>
      </c>
      <c r="J1094" s="27">
        <v>4757.28</v>
      </c>
      <c r="K1094" s="47">
        <f t="shared" si="137"/>
        <v>0.49138162983889955</v>
      </c>
      <c r="L1094" s="47">
        <f t="shared" si="138"/>
        <v>0.35473631991390037</v>
      </c>
      <c r="M1094" s="84">
        <f t="shared" si="139"/>
        <v>0.84611794975279997</v>
      </c>
      <c r="N1094" s="47">
        <f t="shared" si="140"/>
        <v>3.552450139575556E-2</v>
      </c>
      <c r="O1094" s="47">
        <f t="shared" si="141"/>
        <v>1.5231392728618034E-2</v>
      </c>
      <c r="P1094" s="47">
        <f t="shared" si="142"/>
        <v>6.0164631890492058E-2</v>
      </c>
      <c r="Q1094" s="47">
        <f t="shared" si="143"/>
        <v>1</v>
      </c>
    </row>
    <row r="1095" spans="1:17" x14ac:dyDescent="0.35">
      <c r="A1095" s="82">
        <v>1092</v>
      </c>
      <c r="B1095" s="83" t="str">
        <f>_xlfn.XLOOKUP(A1095,'TAZs by City - CCAG Model'!$A:$A,'TAZs by City - CCAG Model'!$B:$B,"Unknown")</f>
        <v>San Jose</v>
      </c>
      <c r="C1095" s="82">
        <f>_xlfn.XLOOKUP(A1095,'TAZs by City - CCAG Model'!$A:$A,'TAZs by City - CCAG Model'!$C:$C,999)</f>
        <v>3</v>
      </c>
      <c r="D1095" s="82" t="str">
        <f t="shared" si="136"/>
        <v>NO</v>
      </c>
      <c r="E1095" s="27">
        <v>1341.76</v>
      </c>
      <c r="F1095" s="27">
        <v>1177.3399999999999</v>
      </c>
      <c r="G1095" s="27">
        <v>96.94</v>
      </c>
      <c r="H1095" s="27">
        <v>51.96</v>
      </c>
      <c r="I1095" s="27">
        <v>186.46</v>
      </c>
      <c r="J1095" s="27">
        <v>2980.86</v>
      </c>
      <c r="K1095" s="47">
        <f t="shared" si="137"/>
        <v>0.45012513167340967</v>
      </c>
      <c r="L1095" s="47">
        <f t="shared" si="138"/>
        <v>0.39496655327657115</v>
      </c>
      <c r="M1095" s="84">
        <f t="shared" si="139"/>
        <v>0.84509168494998077</v>
      </c>
      <c r="N1095" s="47">
        <f t="shared" si="140"/>
        <v>3.2520816140308502E-2</v>
      </c>
      <c r="O1095" s="47">
        <f t="shared" si="141"/>
        <v>1.7431211126990198E-2</v>
      </c>
      <c r="P1095" s="47">
        <f t="shared" si="142"/>
        <v>6.2552417758633419E-2</v>
      </c>
      <c r="Q1095" s="47">
        <f t="shared" si="143"/>
        <v>1</v>
      </c>
    </row>
    <row r="1096" spans="1:17" x14ac:dyDescent="0.35">
      <c r="A1096" s="82">
        <v>1093</v>
      </c>
      <c r="B1096" s="83" t="str">
        <f>_xlfn.XLOOKUP(A1096,'TAZs by City - CCAG Model'!$A:$A,'TAZs by City - CCAG Model'!$B:$B,"Unknown")</f>
        <v>San Jose</v>
      </c>
      <c r="C1096" s="82">
        <f>_xlfn.XLOOKUP(A1096,'TAZs by City - CCAG Model'!$A:$A,'TAZs by City - CCAG Model'!$C:$C,999)</f>
        <v>3</v>
      </c>
      <c r="D1096" s="82" t="str">
        <f t="shared" si="136"/>
        <v>NO</v>
      </c>
      <c r="E1096" s="27">
        <v>866.9</v>
      </c>
      <c r="F1096" s="27">
        <v>581.26</v>
      </c>
      <c r="G1096" s="27">
        <v>51.64</v>
      </c>
      <c r="H1096" s="27">
        <v>24.78</v>
      </c>
      <c r="I1096" s="27">
        <v>78.599999999999994</v>
      </c>
      <c r="J1096" s="27">
        <v>1684.4</v>
      </c>
      <c r="K1096" s="47">
        <f t="shared" si="137"/>
        <v>0.51466397530277841</v>
      </c>
      <c r="L1096" s="47">
        <f t="shared" si="138"/>
        <v>0.3450843030159107</v>
      </c>
      <c r="M1096" s="84">
        <f t="shared" si="139"/>
        <v>0.85974827831868905</v>
      </c>
      <c r="N1096" s="47">
        <f t="shared" si="140"/>
        <v>3.0657800997387793E-2</v>
      </c>
      <c r="O1096" s="47">
        <f t="shared" si="141"/>
        <v>1.4711469959629542E-2</v>
      </c>
      <c r="P1096" s="47">
        <f t="shared" si="142"/>
        <v>4.6663500356209919E-2</v>
      </c>
      <c r="Q1096" s="47">
        <f t="shared" si="143"/>
        <v>1</v>
      </c>
    </row>
    <row r="1097" spans="1:17" x14ac:dyDescent="0.35">
      <c r="A1097" s="82">
        <v>1094</v>
      </c>
      <c r="B1097" s="83" t="str">
        <f>_xlfn.XLOOKUP(A1097,'TAZs by City - CCAG Model'!$A:$A,'TAZs by City - CCAG Model'!$B:$B,"Unknown")</f>
        <v>San Jose</v>
      </c>
      <c r="C1097" s="82">
        <f>_xlfn.XLOOKUP(A1097,'TAZs by City - CCAG Model'!$A:$A,'TAZs by City - CCAG Model'!$C:$C,999)</f>
        <v>3</v>
      </c>
      <c r="D1097" s="82" t="str">
        <f t="shared" si="136"/>
        <v>NO</v>
      </c>
      <c r="E1097" s="27">
        <v>10065.68</v>
      </c>
      <c r="F1097" s="27">
        <v>3873</v>
      </c>
      <c r="G1097" s="27">
        <v>1022.38</v>
      </c>
      <c r="H1097" s="27">
        <v>187.74</v>
      </c>
      <c r="I1097" s="27">
        <v>780.28</v>
      </c>
      <c r="J1097" s="27">
        <v>16976.78</v>
      </c>
      <c r="K1097" s="47">
        <f t="shared" si="137"/>
        <v>0.59290866701459288</v>
      </c>
      <c r="L1097" s="47">
        <f t="shared" si="138"/>
        <v>0.22813513516697514</v>
      </c>
      <c r="M1097" s="84">
        <f t="shared" si="139"/>
        <v>0.82104380218156803</v>
      </c>
      <c r="N1097" s="47">
        <f t="shared" si="140"/>
        <v>6.0222256517431461E-2</v>
      </c>
      <c r="O1097" s="47">
        <f t="shared" si="141"/>
        <v>1.1058634205073048E-2</v>
      </c>
      <c r="P1097" s="47">
        <f t="shared" si="142"/>
        <v>4.5961601670045794E-2</v>
      </c>
      <c r="Q1097" s="47">
        <f t="shared" si="143"/>
        <v>1</v>
      </c>
    </row>
    <row r="1098" spans="1:17" x14ac:dyDescent="0.35">
      <c r="A1098" s="82">
        <v>1095</v>
      </c>
      <c r="B1098" s="83" t="str">
        <f>_xlfn.XLOOKUP(A1098,'TAZs by City - CCAG Model'!$A:$A,'TAZs by City - CCAG Model'!$B:$B,"Unknown")</f>
        <v>San Jose</v>
      </c>
      <c r="C1098" s="82">
        <f>_xlfn.XLOOKUP(A1098,'TAZs by City - CCAG Model'!$A:$A,'TAZs by City - CCAG Model'!$C:$C,999)</f>
        <v>3</v>
      </c>
      <c r="D1098" s="82" t="str">
        <f t="shared" si="136"/>
        <v>NO</v>
      </c>
      <c r="E1098" s="27">
        <v>2636.4</v>
      </c>
      <c r="F1098" s="27">
        <v>1254.92</v>
      </c>
      <c r="G1098" s="27">
        <v>251.76</v>
      </c>
      <c r="H1098" s="27">
        <v>60.58</v>
      </c>
      <c r="I1098" s="27">
        <v>254.74</v>
      </c>
      <c r="J1098" s="27">
        <v>4756.4799999999996</v>
      </c>
      <c r="K1098" s="47">
        <f t="shared" si="137"/>
        <v>0.55427543057050599</v>
      </c>
      <c r="L1098" s="47">
        <f t="shared" si="138"/>
        <v>0.26383375941872983</v>
      </c>
      <c r="M1098" s="84">
        <f t="shared" si="139"/>
        <v>0.81810918998923587</v>
      </c>
      <c r="N1098" s="47">
        <f t="shared" si="140"/>
        <v>5.292989773950485E-2</v>
      </c>
      <c r="O1098" s="47">
        <f t="shared" si="141"/>
        <v>1.2736309203444564E-2</v>
      </c>
      <c r="P1098" s="47">
        <f t="shared" si="142"/>
        <v>5.3556411463939725E-2</v>
      </c>
      <c r="Q1098" s="47">
        <f t="shared" si="143"/>
        <v>1</v>
      </c>
    </row>
    <row r="1099" spans="1:17" x14ac:dyDescent="0.35">
      <c r="A1099" s="82">
        <v>1096</v>
      </c>
      <c r="B1099" s="83" t="str">
        <f>_xlfn.XLOOKUP(A1099,'TAZs by City - CCAG Model'!$A:$A,'TAZs by City - CCAG Model'!$B:$B,"Unknown")</f>
        <v>San Jose</v>
      </c>
      <c r="C1099" s="82">
        <f>_xlfn.XLOOKUP(A1099,'TAZs by City - CCAG Model'!$A:$A,'TAZs by City - CCAG Model'!$C:$C,999)</f>
        <v>3</v>
      </c>
      <c r="D1099" s="82" t="str">
        <f t="shared" si="136"/>
        <v>NO</v>
      </c>
      <c r="E1099" s="27">
        <v>2411.8000000000002</v>
      </c>
      <c r="F1099" s="27">
        <v>1236.2</v>
      </c>
      <c r="G1099" s="27">
        <v>276.95999999999998</v>
      </c>
      <c r="H1099" s="27">
        <v>75.88</v>
      </c>
      <c r="I1099" s="27">
        <v>385.12</v>
      </c>
      <c r="J1099" s="27">
        <v>4707.3999999999996</v>
      </c>
      <c r="K1099" s="47">
        <f t="shared" si="137"/>
        <v>0.5123422696180483</v>
      </c>
      <c r="L1099" s="47">
        <f t="shared" si="138"/>
        <v>0.26260780898160346</v>
      </c>
      <c r="M1099" s="84">
        <f t="shared" si="139"/>
        <v>0.7749500785996517</v>
      </c>
      <c r="N1099" s="47">
        <f t="shared" si="140"/>
        <v>5.8835025704210391E-2</v>
      </c>
      <c r="O1099" s="47">
        <f t="shared" si="141"/>
        <v>1.6119301525258103E-2</v>
      </c>
      <c r="P1099" s="47">
        <f t="shared" si="142"/>
        <v>8.1811615753919362E-2</v>
      </c>
      <c r="Q1099" s="47">
        <f t="shared" si="143"/>
        <v>1</v>
      </c>
    </row>
    <row r="1100" spans="1:17" x14ac:dyDescent="0.35">
      <c r="A1100" s="82">
        <v>1097</v>
      </c>
      <c r="B1100" s="83" t="str">
        <f>_xlfn.XLOOKUP(A1100,'TAZs by City - CCAG Model'!$A:$A,'TAZs by City - CCAG Model'!$B:$B,"Unknown")</f>
        <v>San Jose</v>
      </c>
      <c r="C1100" s="82">
        <f>_xlfn.XLOOKUP(A1100,'TAZs by City - CCAG Model'!$A:$A,'TAZs by City - CCAG Model'!$C:$C,999)</f>
        <v>3</v>
      </c>
      <c r="D1100" s="82" t="str">
        <f t="shared" si="136"/>
        <v>NO</v>
      </c>
      <c r="E1100" s="27">
        <v>3934.4</v>
      </c>
      <c r="F1100" s="27">
        <v>1433.4</v>
      </c>
      <c r="G1100" s="27">
        <v>348.02</v>
      </c>
      <c r="H1100" s="27">
        <v>67.78</v>
      </c>
      <c r="I1100" s="27">
        <v>352.96</v>
      </c>
      <c r="J1100" s="27">
        <v>6526.08</v>
      </c>
      <c r="K1100" s="47">
        <f t="shared" si="137"/>
        <v>0.60287339413553009</v>
      </c>
      <c r="L1100" s="47">
        <f t="shared" si="138"/>
        <v>0.21964180641365108</v>
      </c>
      <c r="M1100" s="84">
        <f t="shared" si="139"/>
        <v>0.82251520054918115</v>
      </c>
      <c r="N1100" s="47">
        <f t="shared" si="140"/>
        <v>5.3327571834853385E-2</v>
      </c>
      <c r="O1100" s="47">
        <f t="shared" si="141"/>
        <v>1.0386020398156321E-2</v>
      </c>
      <c r="P1100" s="47">
        <f t="shared" si="142"/>
        <v>5.4084534667058939E-2</v>
      </c>
      <c r="Q1100" s="47">
        <f t="shared" si="143"/>
        <v>1</v>
      </c>
    </row>
    <row r="1101" spans="1:17" x14ac:dyDescent="0.35">
      <c r="A1101" s="82">
        <v>1098</v>
      </c>
      <c r="B1101" s="83" t="str">
        <f>_xlfn.XLOOKUP(A1101,'TAZs by City - CCAG Model'!$A:$A,'TAZs by City - CCAG Model'!$B:$B,"Unknown")</f>
        <v>San Jose</v>
      </c>
      <c r="C1101" s="82">
        <f>_xlfn.XLOOKUP(A1101,'TAZs by City - CCAG Model'!$A:$A,'TAZs by City - CCAG Model'!$C:$C,999)</f>
        <v>3</v>
      </c>
      <c r="D1101" s="82" t="str">
        <f t="shared" si="136"/>
        <v>NO</v>
      </c>
      <c r="E1101" s="27">
        <v>8803.64</v>
      </c>
      <c r="F1101" s="27">
        <v>4620.9799999999996</v>
      </c>
      <c r="G1101" s="27">
        <v>1120.04</v>
      </c>
      <c r="H1101" s="27">
        <v>251.86</v>
      </c>
      <c r="I1101" s="27">
        <v>1188.8800000000001</v>
      </c>
      <c r="J1101" s="27">
        <v>17137.419999999998</v>
      </c>
      <c r="K1101" s="47">
        <f t="shared" si="137"/>
        <v>0.51370859791030388</v>
      </c>
      <c r="L1101" s="47">
        <f t="shared" si="138"/>
        <v>0.26964268833931831</v>
      </c>
      <c r="M1101" s="84">
        <f t="shared" si="139"/>
        <v>0.78335128624962225</v>
      </c>
      <c r="N1101" s="47">
        <f t="shared" si="140"/>
        <v>6.535639553678442E-2</v>
      </c>
      <c r="O1101" s="47">
        <f t="shared" si="141"/>
        <v>1.4696494571528272E-2</v>
      </c>
      <c r="P1101" s="47">
        <f t="shared" si="142"/>
        <v>6.9373336243145137E-2</v>
      </c>
      <c r="Q1101" s="47">
        <f t="shared" si="143"/>
        <v>1</v>
      </c>
    </row>
    <row r="1102" spans="1:17" x14ac:dyDescent="0.35">
      <c r="A1102" s="82">
        <v>1099</v>
      </c>
      <c r="B1102" s="83" t="str">
        <f>_xlfn.XLOOKUP(A1102,'TAZs by City - CCAG Model'!$A:$A,'TAZs by City - CCAG Model'!$B:$B,"Unknown")</f>
        <v>San Jose</v>
      </c>
      <c r="C1102" s="82">
        <f>_xlfn.XLOOKUP(A1102,'TAZs by City - CCAG Model'!$A:$A,'TAZs by City - CCAG Model'!$C:$C,999)</f>
        <v>3</v>
      </c>
      <c r="D1102" s="82" t="str">
        <f t="shared" si="136"/>
        <v>NO</v>
      </c>
      <c r="E1102" s="27">
        <v>4253.82</v>
      </c>
      <c r="F1102" s="27">
        <v>2328.98</v>
      </c>
      <c r="G1102" s="27">
        <v>433.44</v>
      </c>
      <c r="H1102" s="27">
        <v>118.06</v>
      </c>
      <c r="I1102" s="27">
        <v>553.84</v>
      </c>
      <c r="J1102" s="27">
        <v>8161.22</v>
      </c>
      <c r="K1102" s="47">
        <f t="shared" si="137"/>
        <v>0.52122354255858805</v>
      </c>
      <c r="L1102" s="47">
        <f t="shared" si="138"/>
        <v>0.28537154984181284</v>
      </c>
      <c r="M1102" s="84">
        <f t="shared" si="139"/>
        <v>0.80659509240040084</v>
      </c>
      <c r="N1102" s="47">
        <f t="shared" si="140"/>
        <v>5.3109706636997898E-2</v>
      </c>
      <c r="O1102" s="47">
        <f t="shared" si="141"/>
        <v>1.4465974449898422E-2</v>
      </c>
      <c r="P1102" s="47">
        <f t="shared" si="142"/>
        <v>6.786240292505287E-2</v>
      </c>
      <c r="Q1102" s="47">
        <f t="shared" si="143"/>
        <v>1</v>
      </c>
    </row>
    <row r="1103" spans="1:17" x14ac:dyDescent="0.35">
      <c r="A1103" s="82">
        <v>1100</v>
      </c>
      <c r="B1103" s="83" t="str">
        <f>_xlfn.XLOOKUP(A1103,'TAZs by City - CCAG Model'!$A:$A,'TAZs by City - CCAG Model'!$B:$B,"Unknown")</f>
        <v>San Jose</v>
      </c>
      <c r="C1103" s="82">
        <f>_xlfn.XLOOKUP(A1103,'TAZs by City - CCAG Model'!$A:$A,'TAZs by City - CCAG Model'!$C:$C,999)</f>
        <v>3</v>
      </c>
      <c r="D1103" s="82" t="str">
        <f t="shared" si="136"/>
        <v>NO</v>
      </c>
      <c r="E1103" s="27">
        <v>5623.08</v>
      </c>
      <c r="F1103" s="27">
        <v>2947.36</v>
      </c>
      <c r="G1103" s="27">
        <v>501.64</v>
      </c>
      <c r="H1103" s="27">
        <v>172.24</v>
      </c>
      <c r="I1103" s="27">
        <v>695.74</v>
      </c>
      <c r="J1103" s="27">
        <v>10477.959999999999</v>
      </c>
      <c r="K1103" s="47">
        <f t="shared" si="137"/>
        <v>0.53665789905668659</v>
      </c>
      <c r="L1103" s="47">
        <f t="shared" si="138"/>
        <v>0.2812913964168598</v>
      </c>
      <c r="M1103" s="84">
        <f t="shared" si="139"/>
        <v>0.81794929547354644</v>
      </c>
      <c r="N1103" s="47">
        <f t="shared" si="140"/>
        <v>4.7875731535527911E-2</v>
      </c>
      <c r="O1103" s="47">
        <f t="shared" si="141"/>
        <v>1.6438314328361629E-2</v>
      </c>
      <c r="P1103" s="47">
        <f t="shared" si="142"/>
        <v>6.6400329835196933E-2</v>
      </c>
      <c r="Q1103" s="47">
        <f t="shared" si="143"/>
        <v>1</v>
      </c>
    </row>
    <row r="1104" spans="1:17" x14ac:dyDescent="0.35">
      <c r="A1104" s="82">
        <v>1101</v>
      </c>
      <c r="B1104" s="83" t="str">
        <f>_xlfn.XLOOKUP(A1104,'TAZs by City - CCAG Model'!$A:$A,'TAZs by City - CCAG Model'!$B:$B,"Unknown")</f>
        <v>San Jose</v>
      </c>
      <c r="C1104" s="82">
        <f>_xlfn.XLOOKUP(A1104,'TAZs by City - CCAG Model'!$A:$A,'TAZs by City - CCAG Model'!$C:$C,999)</f>
        <v>3</v>
      </c>
      <c r="D1104" s="82" t="str">
        <f t="shared" si="136"/>
        <v>NO</v>
      </c>
      <c r="E1104" s="27">
        <v>2386.42</v>
      </c>
      <c r="F1104" s="27">
        <v>1259.82</v>
      </c>
      <c r="G1104" s="27">
        <v>174.38</v>
      </c>
      <c r="H1104" s="27">
        <v>56.28</v>
      </c>
      <c r="I1104" s="27">
        <v>598.88</v>
      </c>
      <c r="J1104" s="27">
        <v>4698.76</v>
      </c>
      <c r="K1104" s="47">
        <f t="shared" si="137"/>
        <v>0.50788293081578972</v>
      </c>
      <c r="L1104" s="47">
        <f t="shared" si="138"/>
        <v>0.26811754590572828</v>
      </c>
      <c r="M1104" s="84">
        <f t="shared" si="139"/>
        <v>0.77600047672151795</v>
      </c>
      <c r="N1104" s="47">
        <f t="shared" si="140"/>
        <v>3.7111918889238864E-2</v>
      </c>
      <c r="O1104" s="47">
        <f t="shared" si="141"/>
        <v>1.1977628140190178E-2</v>
      </c>
      <c r="P1104" s="47">
        <f t="shared" si="142"/>
        <v>0.12745490299568396</v>
      </c>
      <c r="Q1104" s="47">
        <f t="shared" si="143"/>
        <v>1</v>
      </c>
    </row>
    <row r="1105" spans="1:17" x14ac:dyDescent="0.35">
      <c r="A1105" s="82">
        <v>1102</v>
      </c>
      <c r="B1105" s="83" t="str">
        <f>_xlfn.XLOOKUP(A1105,'TAZs by City - CCAG Model'!$A:$A,'TAZs by City - CCAG Model'!$B:$B,"Unknown")</f>
        <v>San Jose</v>
      </c>
      <c r="C1105" s="82">
        <f>_xlfn.XLOOKUP(A1105,'TAZs by City - CCAG Model'!$A:$A,'TAZs by City - CCAG Model'!$C:$C,999)</f>
        <v>3</v>
      </c>
      <c r="D1105" s="82" t="str">
        <f t="shared" si="136"/>
        <v>NO</v>
      </c>
      <c r="E1105" s="27">
        <v>1753.62</v>
      </c>
      <c r="F1105" s="27">
        <v>1290.24</v>
      </c>
      <c r="G1105" s="27">
        <v>157.32</v>
      </c>
      <c r="H1105" s="27">
        <v>48.16</v>
      </c>
      <c r="I1105" s="27">
        <v>550.91999999999996</v>
      </c>
      <c r="J1105" s="27">
        <v>3987.44</v>
      </c>
      <c r="K1105" s="47">
        <f t="shared" si="137"/>
        <v>0.43978592781333381</v>
      </c>
      <c r="L1105" s="47">
        <f t="shared" si="138"/>
        <v>0.32357602873021285</v>
      </c>
      <c r="M1105" s="84">
        <f t="shared" si="139"/>
        <v>0.76336195654354666</v>
      </c>
      <c r="N1105" s="47">
        <f t="shared" si="140"/>
        <v>3.9453885199526514E-2</v>
      </c>
      <c r="O1105" s="47">
        <f t="shared" si="141"/>
        <v>1.2077924683506209E-2</v>
      </c>
      <c r="P1105" s="47">
        <f t="shared" si="142"/>
        <v>0.13816383444014205</v>
      </c>
      <c r="Q1105" s="47">
        <f t="shared" si="143"/>
        <v>1</v>
      </c>
    </row>
    <row r="1106" spans="1:17" x14ac:dyDescent="0.35">
      <c r="A1106" s="82">
        <v>1103</v>
      </c>
      <c r="B1106" s="83" t="str">
        <f>_xlfn.XLOOKUP(A1106,'TAZs by City - CCAG Model'!$A:$A,'TAZs by City - CCAG Model'!$B:$B,"Unknown")</f>
        <v>San Jose</v>
      </c>
      <c r="C1106" s="82">
        <f>_xlfn.XLOOKUP(A1106,'TAZs by City - CCAG Model'!$A:$A,'TAZs by City - CCAG Model'!$C:$C,999)</f>
        <v>3</v>
      </c>
      <c r="D1106" s="82" t="str">
        <f t="shared" si="136"/>
        <v>NO</v>
      </c>
      <c r="E1106" s="27">
        <v>1013.12</v>
      </c>
      <c r="F1106" s="27">
        <v>662.3</v>
      </c>
      <c r="G1106" s="27">
        <v>52.64</v>
      </c>
      <c r="H1106" s="27">
        <v>26.6</v>
      </c>
      <c r="I1106" s="27">
        <v>204.82</v>
      </c>
      <c r="J1106" s="27">
        <v>2051.98</v>
      </c>
      <c r="K1106" s="47">
        <f t="shared" si="137"/>
        <v>0.49372800904492248</v>
      </c>
      <c r="L1106" s="47">
        <f t="shared" si="138"/>
        <v>0.32276143042329847</v>
      </c>
      <c r="M1106" s="84">
        <f t="shared" si="139"/>
        <v>0.81648943946822095</v>
      </c>
      <c r="N1106" s="47">
        <f t="shared" si="140"/>
        <v>2.5653271474380842E-2</v>
      </c>
      <c r="O1106" s="47">
        <f t="shared" si="141"/>
        <v>1.296308930886266E-2</v>
      </c>
      <c r="P1106" s="47">
        <f t="shared" si="142"/>
        <v>9.9815787678242479E-2</v>
      </c>
      <c r="Q1106" s="47">
        <f t="shared" si="143"/>
        <v>1</v>
      </c>
    </row>
    <row r="1107" spans="1:17" x14ac:dyDescent="0.35">
      <c r="A1107" s="82">
        <v>1104</v>
      </c>
      <c r="B1107" s="83" t="str">
        <f>_xlfn.XLOOKUP(A1107,'TAZs by City - CCAG Model'!$A:$A,'TAZs by City - CCAG Model'!$B:$B,"Unknown")</f>
        <v>San Jose</v>
      </c>
      <c r="C1107" s="82">
        <f>_xlfn.XLOOKUP(A1107,'TAZs by City - CCAG Model'!$A:$A,'TAZs by City - CCAG Model'!$C:$C,999)</f>
        <v>3</v>
      </c>
      <c r="D1107" s="82" t="str">
        <f t="shared" si="136"/>
        <v>NO</v>
      </c>
      <c r="E1107" s="27">
        <v>1118.48</v>
      </c>
      <c r="F1107" s="27">
        <v>789.06</v>
      </c>
      <c r="G1107" s="27">
        <v>50.38</v>
      </c>
      <c r="H1107" s="27">
        <v>31.48</v>
      </c>
      <c r="I1107" s="27">
        <v>204.12</v>
      </c>
      <c r="J1107" s="27">
        <v>2282</v>
      </c>
      <c r="K1107" s="47">
        <f t="shared" si="137"/>
        <v>0.49013146362839616</v>
      </c>
      <c r="L1107" s="47">
        <f t="shared" si="138"/>
        <v>0.34577563540753725</v>
      </c>
      <c r="M1107" s="84">
        <f t="shared" si="139"/>
        <v>0.83590709903593341</v>
      </c>
      <c r="N1107" s="47">
        <f t="shared" si="140"/>
        <v>2.2077125328659072E-2</v>
      </c>
      <c r="O1107" s="47">
        <f t="shared" si="141"/>
        <v>1.3794916739702016E-2</v>
      </c>
      <c r="P1107" s="47">
        <f t="shared" si="142"/>
        <v>8.9447852760736205E-2</v>
      </c>
      <c r="Q1107" s="47">
        <f t="shared" si="143"/>
        <v>1</v>
      </c>
    </row>
    <row r="1108" spans="1:17" x14ac:dyDescent="0.35">
      <c r="A1108" s="82">
        <v>1105</v>
      </c>
      <c r="B1108" s="83" t="str">
        <f>_xlfn.XLOOKUP(A1108,'TAZs by City - CCAG Model'!$A:$A,'TAZs by City - CCAG Model'!$B:$B,"Unknown")</f>
        <v>San Jose</v>
      </c>
      <c r="C1108" s="82">
        <f>_xlfn.XLOOKUP(A1108,'TAZs by City - CCAG Model'!$A:$A,'TAZs by City - CCAG Model'!$C:$C,999)</f>
        <v>3</v>
      </c>
      <c r="D1108" s="82" t="str">
        <f t="shared" si="136"/>
        <v>NO</v>
      </c>
      <c r="E1108" s="27">
        <v>743.64</v>
      </c>
      <c r="F1108" s="27">
        <v>505.64</v>
      </c>
      <c r="G1108" s="27">
        <v>32.76</v>
      </c>
      <c r="H1108" s="27">
        <v>16.079999999999998</v>
      </c>
      <c r="I1108" s="27">
        <v>132.58000000000001</v>
      </c>
      <c r="J1108" s="27">
        <v>1490.94</v>
      </c>
      <c r="K1108" s="47">
        <f t="shared" si="137"/>
        <v>0.4987725864219888</v>
      </c>
      <c r="L1108" s="47">
        <f t="shared" si="138"/>
        <v>0.33914174950031523</v>
      </c>
      <c r="M1108" s="84">
        <f t="shared" si="139"/>
        <v>0.83791433592230402</v>
      </c>
      <c r="N1108" s="47">
        <f t="shared" si="140"/>
        <v>2.1972715199806831E-2</v>
      </c>
      <c r="O1108" s="47">
        <f t="shared" si="141"/>
        <v>1.0785142259245843E-2</v>
      </c>
      <c r="P1108" s="47">
        <f t="shared" si="142"/>
        <v>8.8923766214602878E-2</v>
      </c>
      <c r="Q1108" s="47">
        <f t="shared" si="143"/>
        <v>1</v>
      </c>
    </row>
    <row r="1109" spans="1:17" x14ac:dyDescent="0.35">
      <c r="A1109" s="82">
        <v>1106</v>
      </c>
      <c r="B1109" s="83" t="str">
        <f>_xlfn.XLOOKUP(A1109,'TAZs by City - CCAG Model'!$A:$A,'TAZs by City - CCAG Model'!$B:$B,"Unknown")</f>
        <v>San Jose</v>
      </c>
      <c r="C1109" s="82">
        <f>_xlfn.XLOOKUP(A1109,'TAZs by City - CCAG Model'!$A:$A,'TAZs by City - CCAG Model'!$C:$C,999)</f>
        <v>3</v>
      </c>
      <c r="D1109" s="82" t="str">
        <f t="shared" si="136"/>
        <v>NO</v>
      </c>
      <c r="E1109" s="27">
        <v>891.02</v>
      </c>
      <c r="F1109" s="27">
        <v>611.4</v>
      </c>
      <c r="G1109" s="27">
        <v>29.4</v>
      </c>
      <c r="H1109" s="27">
        <v>20.04</v>
      </c>
      <c r="I1109" s="27">
        <v>111.42</v>
      </c>
      <c r="J1109" s="27">
        <v>1725.6</v>
      </c>
      <c r="K1109" s="47">
        <f t="shared" si="137"/>
        <v>0.51635373203523416</v>
      </c>
      <c r="L1109" s="47">
        <f t="shared" si="138"/>
        <v>0.35431154381084839</v>
      </c>
      <c r="M1109" s="84">
        <f t="shared" si="139"/>
        <v>0.87066527584608266</v>
      </c>
      <c r="N1109" s="47">
        <f t="shared" si="140"/>
        <v>1.7037552155771907E-2</v>
      </c>
      <c r="O1109" s="47">
        <f t="shared" si="141"/>
        <v>1.1613351877607789E-2</v>
      </c>
      <c r="P1109" s="47">
        <f t="shared" si="142"/>
        <v>6.4568845618915169E-2</v>
      </c>
      <c r="Q1109" s="47">
        <f t="shared" si="143"/>
        <v>1</v>
      </c>
    </row>
    <row r="1110" spans="1:17" x14ac:dyDescent="0.35">
      <c r="A1110" s="82">
        <v>1107</v>
      </c>
      <c r="B1110" s="83" t="str">
        <f>_xlfn.XLOOKUP(A1110,'TAZs by City - CCAG Model'!$A:$A,'TAZs by City - CCAG Model'!$B:$B,"Unknown")</f>
        <v>San Jose</v>
      </c>
      <c r="C1110" s="82">
        <f>_xlfn.XLOOKUP(A1110,'TAZs by City - CCAG Model'!$A:$A,'TAZs by City - CCAG Model'!$C:$C,999)</f>
        <v>3</v>
      </c>
      <c r="D1110" s="82" t="str">
        <f t="shared" si="136"/>
        <v>NO</v>
      </c>
      <c r="E1110" s="27">
        <v>2291.08</v>
      </c>
      <c r="F1110" s="27">
        <v>1152.82</v>
      </c>
      <c r="G1110" s="27">
        <v>203.46</v>
      </c>
      <c r="H1110" s="27">
        <v>54.04</v>
      </c>
      <c r="I1110" s="27">
        <v>777.88</v>
      </c>
      <c r="J1110" s="27">
        <v>4733.66</v>
      </c>
      <c r="K1110" s="47">
        <f t="shared" si="137"/>
        <v>0.48399758326538028</v>
      </c>
      <c r="L1110" s="47">
        <f t="shared" si="138"/>
        <v>0.24353671366342322</v>
      </c>
      <c r="M1110" s="84">
        <f t="shared" si="139"/>
        <v>0.72753429692880345</v>
      </c>
      <c r="N1110" s="47">
        <f t="shared" si="140"/>
        <v>4.2981540710570684E-2</v>
      </c>
      <c r="O1110" s="47">
        <f t="shared" si="141"/>
        <v>1.1416113535826401E-2</v>
      </c>
      <c r="P1110" s="47">
        <f t="shared" si="142"/>
        <v>0.1643295040201451</v>
      </c>
      <c r="Q1110" s="47">
        <f t="shared" si="143"/>
        <v>1</v>
      </c>
    </row>
    <row r="1111" spans="1:17" x14ac:dyDescent="0.35">
      <c r="A1111" s="82">
        <v>1108</v>
      </c>
      <c r="B1111" s="83" t="str">
        <f>_xlfn.XLOOKUP(A1111,'TAZs by City - CCAG Model'!$A:$A,'TAZs by City - CCAG Model'!$B:$B,"Unknown")</f>
        <v>San Jose</v>
      </c>
      <c r="C1111" s="82">
        <f>_xlfn.XLOOKUP(A1111,'TAZs by City - CCAG Model'!$A:$A,'TAZs by City - CCAG Model'!$C:$C,999)</f>
        <v>3</v>
      </c>
      <c r="D1111" s="82" t="str">
        <f t="shared" si="136"/>
        <v>NO</v>
      </c>
      <c r="E1111" s="27">
        <v>1388.62</v>
      </c>
      <c r="F1111" s="27">
        <v>942.94</v>
      </c>
      <c r="G1111" s="27">
        <v>114.18</v>
      </c>
      <c r="H1111" s="27">
        <v>38.020000000000003</v>
      </c>
      <c r="I1111" s="27">
        <v>513.98</v>
      </c>
      <c r="J1111" s="27">
        <v>3150.74</v>
      </c>
      <c r="K1111" s="47">
        <f t="shared" si="137"/>
        <v>0.44072820988085337</v>
      </c>
      <c r="L1111" s="47">
        <f t="shared" si="138"/>
        <v>0.29927572570253341</v>
      </c>
      <c r="M1111" s="84">
        <f t="shared" si="139"/>
        <v>0.74000393558338684</v>
      </c>
      <c r="N1111" s="47">
        <f t="shared" si="140"/>
        <v>3.6239105733891087E-2</v>
      </c>
      <c r="O1111" s="47">
        <f t="shared" si="141"/>
        <v>1.206700648101716E-2</v>
      </c>
      <c r="P1111" s="47">
        <f t="shared" si="142"/>
        <v>0.16312993138119936</v>
      </c>
      <c r="Q1111" s="47">
        <f t="shared" si="143"/>
        <v>1</v>
      </c>
    </row>
    <row r="1112" spans="1:17" x14ac:dyDescent="0.35">
      <c r="A1112" s="82">
        <v>1109</v>
      </c>
      <c r="B1112" s="83" t="str">
        <f>_xlfn.XLOOKUP(A1112,'TAZs by City - CCAG Model'!$A:$A,'TAZs by City - CCAG Model'!$B:$B,"Unknown")</f>
        <v>San Jose</v>
      </c>
      <c r="C1112" s="82">
        <f>_xlfn.XLOOKUP(A1112,'TAZs by City - CCAG Model'!$A:$A,'TAZs by City - CCAG Model'!$C:$C,999)</f>
        <v>3</v>
      </c>
      <c r="D1112" s="82" t="str">
        <f t="shared" si="136"/>
        <v>NO</v>
      </c>
      <c r="E1112" s="27">
        <v>658.18</v>
      </c>
      <c r="F1112" s="27">
        <v>378.24</v>
      </c>
      <c r="G1112" s="27">
        <v>30.1</v>
      </c>
      <c r="H1112" s="27">
        <v>13.32</v>
      </c>
      <c r="I1112" s="27">
        <v>189.2</v>
      </c>
      <c r="J1112" s="27">
        <v>1342.64</v>
      </c>
      <c r="K1112" s="47">
        <f t="shared" si="137"/>
        <v>0.4902133110886015</v>
      </c>
      <c r="L1112" s="47">
        <f t="shared" si="138"/>
        <v>0.28171363880116784</v>
      </c>
      <c r="M1112" s="84">
        <f t="shared" si="139"/>
        <v>0.7719269498897694</v>
      </c>
      <c r="N1112" s="47">
        <f t="shared" si="140"/>
        <v>2.241851873920038E-2</v>
      </c>
      <c r="O1112" s="47">
        <f t="shared" si="141"/>
        <v>9.9207531430614299E-3</v>
      </c>
      <c r="P1112" s="47">
        <f t="shared" si="142"/>
        <v>0.14091640350354523</v>
      </c>
      <c r="Q1112" s="47">
        <f t="shared" si="143"/>
        <v>1</v>
      </c>
    </row>
    <row r="1113" spans="1:17" x14ac:dyDescent="0.35">
      <c r="A1113" s="82">
        <v>1110</v>
      </c>
      <c r="B1113" s="83" t="str">
        <f>_xlfn.XLOOKUP(A1113,'TAZs by City - CCAG Model'!$A:$A,'TAZs by City - CCAG Model'!$B:$B,"Unknown")</f>
        <v>San Jose</v>
      </c>
      <c r="C1113" s="82">
        <f>_xlfn.XLOOKUP(A1113,'TAZs by City - CCAG Model'!$A:$A,'TAZs by City - CCAG Model'!$C:$C,999)</f>
        <v>3</v>
      </c>
      <c r="D1113" s="82" t="str">
        <f t="shared" si="136"/>
        <v>NO</v>
      </c>
      <c r="E1113" s="27">
        <v>497.42</v>
      </c>
      <c r="F1113" s="27">
        <v>359.66</v>
      </c>
      <c r="G1113" s="27">
        <v>26.74</v>
      </c>
      <c r="H1113" s="27">
        <v>10.64</v>
      </c>
      <c r="I1113" s="27">
        <v>159.62</v>
      </c>
      <c r="J1113" s="27">
        <v>1112.4000000000001</v>
      </c>
      <c r="K1113" s="47">
        <f t="shared" si="137"/>
        <v>0.4471592952175476</v>
      </c>
      <c r="L1113" s="47">
        <f t="shared" si="138"/>
        <v>0.32331895001797917</v>
      </c>
      <c r="M1113" s="84">
        <f t="shared" si="139"/>
        <v>0.77047824523552677</v>
      </c>
      <c r="N1113" s="47">
        <f t="shared" si="140"/>
        <v>2.4038115785688596E-2</v>
      </c>
      <c r="O1113" s="47">
        <f t="shared" si="141"/>
        <v>9.5649047105357786E-3</v>
      </c>
      <c r="P1113" s="47">
        <f t="shared" si="142"/>
        <v>0.14349154980222942</v>
      </c>
      <c r="Q1113" s="47">
        <f t="shared" si="143"/>
        <v>1</v>
      </c>
    </row>
    <row r="1114" spans="1:17" x14ac:dyDescent="0.35">
      <c r="A1114" s="82">
        <v>1111</v>
      </c>
      <c r="B1114" s="83" t="str">
        <f>_xlfn.XLOOKUP(A1114,'TAZs by City - CCAG Model'!$A:$A,'TAZs by City - CCAG Model'!$B:$B,"Unknown")</f>
        <v>San Jose</v>
      </c>
      <c r="C1114" s="82">
        <f>_xlfn.XLOOKUP(A1114,'TAZs by City - CCAG Model'!$A:$A,'TAZs by City - CCAG Model'!$C:$C,999)</f>
        <v>3</v>
      </c>
      <c r="D1114" s="82" t="str">
        <f t="shared" si="136"/>
        <v>NO</v>
      </c>
      <c r="E1114" s="27">
        <v>803.98</v>
      </c>
      <c r="F1114" s="27">
        <v>582</v>
      </c>
      <c r="G1114" s="27">
        <v>28.6</v>
      </c>
      <c r="H1114" s="27">
        <v>16.48</v>
      </c>
      <c r="I1114" s="27">
        <v>191.1</v>
      </c>
      <c r="J1114" s="27">
        <v>1678.2</v>
      </c>
      <c r="K1114" s="47">
        <f t="shared" si="137"/>
        <v>0.47907281611250147</v>
      </c>
      <c r="L1114" s="47">
        <f t="shared" si="138"/>
        <v>0.34680014301036827</v>
      </c>
      <c r="M1114" s="84">
        <f t="shared" si="139"/>
        <v>0.82587295912286973</v>
      </c>
      <c r="N1114" s="47">
        <f t="shared" si="140"/>
        <v>1.7042068883327374E-2</v>
      </c>
      <c r="O1114" s="47">
        <f t="shared" si="141"/>
        <v>9.8200452866166136E-3</v>
      </c>
      <c r="P1114" s="47">
        <f t="shared" si="142"/>
        <v>0.11387200572041473</v>
      </c>
      <c r="Q1114" s="47">
        <f t="shared" si="143"/>
        <v>1</v>
      </c>
    </row>
    <row r="1115" spans="1:17" x14ac:dyDescent="0.35">
      <c r="A1115" s="82">
        <v>1112</v>
      </c>
      <c r="B1115" s="83" t="str">
        <f>_xlfn.XLOOKUP(A1115,'TAZs by City - CCAG Model'!$A:$A,'TAZs by City - CCAG Model'!$B:$B,"Unknown")</f>
        <v>San Jose</v>
      </c>
      <c r="C1115" s="82">
        <f>_xlfn.XLOOKUP(A1115,'TAZs by City - CCAG Model'!$A:$A,'TAZs by City - CCAG Model'!$C:$C,999)</f>
        <v>3</v>
      </c>
      <c r="D1115" s="82" t="str">
        <f t="shared" si="136"/>
        <v>NO</v>
      </c>
      <c r="E1115" s="27">
        <v>2545.62</v>
      </c>
      <c r="F1115" s="27">
        <v>1584.36</v>
      </c>
      <c r="G1115" s="27">
        <v>341.8</v>
      </c>
      <c r="H1115" s="27">
        <v>85.68</v>
      </c>
      <c r="I1115" s="27">
        <v>581.86</v>
      </c>
      <c r="J1115" s="27">
        <v>5526.86</v>
      </c>
      <c r="K1115" s="47">
        <f t="shared" si="137"/>
        <v>0.46059064278812928</v>
      </c>
      <c r="L1115" s="47">
        <f t="shared" si="138"/>
        <v>0.28666548456085372</v>
      </c>
      <c r="M1115" s="84">
        <f t="shared" si="139"/>
        <v>0.74725612734898295</v>
      </c>
      <c r="N1115" s="47">
        <f t="shared" si="140"/>
        <v>6.1843433703766701E-2</v>
      </c>
      <c r="O1115" s="47">
        <f t="shared" si="141"/>
        <v>1.5502473375479026E-2</v>
      </c>
      <c r="P1115" s="47">
        <f t="shared" si="142"/>
        <v>0.10527858494696808</v>
      </c>
      <c r="Q1115" s="47">
        <f t="shared" si="143"/>
        <v>1</v>
      </c>
    </row>
    <row r="1116" spans="1:17" x14ac:dyDescent="0.35">
      <c r="A1116" s="82">
        <v>1113</v>
      </c>
      <c r="B1116" s="83" t="str">
        <f>_xlfn.XLOOKUP(A1116,'TAZs by City - CCAG Model'!$A:$A,'TAZs by City - CCAG Model'!$B:$B,"Unknown")</f>
        <v>San Jose</v>
      </c>
      <c r="C1116" s="82">
        <f>_xlfn.XLOOKUP(A1116,'TAZs by City - CCAG Model'!$A:$A,'TAZs by City - CCAG Model'!$C:$C,999)</f>
        <v>3</v>
      </c>
      <c r="D1116" s="82" t="str">
        <f t="shared" si="136"/>
        <v>NO</v>
      </c>
      <c r="E1116" s="27">
        <v>1345.72</v>
      </c>
      <c r="F1116" s="27">
        <v>993.1</v>
      </c>
      <c r="G1116" s="27">
        <v>145.97999999999999</v>
      </c>
      <c r="H1116" s="27">
        <v>39.479999999999997</v>
      </c>
      <c r="I1116" s="27">
        <v>502.52</v>
      </c>
      <c r="J1116" s="27">
        <v>3208.58</v>
      </c>
      <c r="K1116" s="47">
        <f t="shared" si="137"/>
        <v>0.41941294903041221</v>
      </c>
      <c r="L1116" s="47">
        <f t="shared" si="138"/>
        <v>0.30951386594692981</v>
      </c>
      <c r="M1116" s="84">
        <f t="shared" si="139"/>
        <v>0.72892681497734202</v>
      </c>
      <c r="N1116" s="47">
        <f t="shared" si="140"/>
        <v>4.5496761807403897E-2</v>
      </c>
      <c r="O1116" s="47">
        <f t="shared" si="141"/>
        <v>1.2304508536486545E-2</v>
      </c>
      <c r="P1116" s="47">
        <f t="shared" si="142"/>
        <v>0.15661756914273603</v>
      </c>
      <c r="Q1116" s="47">
        <f t="shared" si="143"/>
        <v>1</v>
      </c>
    </row>
    <row r="1117" spans="1:17" x14ac:dyDescent="0.35">
      <c r="A1117" s="82">
        <v>1114</v>
      </c>
      <c r="B1117" s="83" t="str">
        <f>_xlfn.XLOOKUP(A1117,'TAZs by City - CCAG Model'!$A:$A,'TAZs by City - CCAG Model'!$B:$B,"Unknown")</f>
        <v>San Jose</v>
      </c>
      <c r="C1117" s="82">
        <f>_xlfn.XLOOKUP(A1117,'TAZs by City - CCAG Model'!$A:$A,'TAZs by City - CCAG Model'!$C:$C,999)</f>
        <v>3</v>
      </c>
      <c r="D1117" s="82" t="str">
        <f t="shared" si="136"/>
        <v>NO</v>
      </c>
      <c r="E1117" s="27">
        <v>681.94</v>
      </c>
      <c r="F1117" s="27">
        <v>540.44000000000005</v>
      </c>
      <c r="G1117" s="27">
        <v>56.22</v>
      </c>
      <c r="H1117" s="27">
        <v>17.920000000000002</v>
      </c>
      <c r="I1117" s="27">
        <v>215.62</v>
      </c>
      <c r="J1117" s="27">
        <v>1597.6</v>
      </c>
      <c r="K1117" s="47">
        <f t="shared" si="137"/>
        <v>0.42685277916875319</v>
      </c>
      <c r="L1117" s="47">
        <f t="shared" si="138"/>
        <v>0.33828242363545324</v>
      </c>
      <c r="M1117" s="84">
        <f t="shared" si="139"/>
        <v>0.76513520280420644</v>
      </c>
      <c r="N1117" s="47">
        <f t="shared" si="140"/>
        <v>3.5190285428142218E-2</v>
      </c>
      <c r="O1117" s="47">
        <f t="shared" si="141"/>
        <v>1.1216825237856786E-2</v>
      </c>
      <c r="P1117" s="47">
        <f t="shared" si="142"/>
        <v>0.13496494742113171</v>
      </c>
      <c r="Q1117" s="47">
        <f t="shared" si="143"/>
        <v>1</v>
      </c>
    </row>
    <row r="1118" spans="1:17" x14ac:dyDescent="0.35">
      <c r="A1118" s="82">
        <v>1115</v>
      </c>
      <c r="B1118" s="83" t="str">
        <f>_xlfn.XLOOKUP(A1118,'TAZs by City - CCAG Model'!$A:$A,'TAZs by City - CCAG Model'!$B:$B,"Unknown")</f>
        <v>San Jose</v>
      </c>
      <c r="C1118" s="82">
        <f>_xlfn.XLOOKUP(A1118,'TAZs by City - CCAG Model'!$A:$A,'TAZs by City - CCAG Model'!$C:$C,999)</f>
        <v>3</v>
      </c>
      <c r="D1118" s="82" t="str">
        <f t="shared" si="136"/>
        <v>NO</v>
      </c>
      <c r="E1118" s="27">
        <v>924.38</v>
      </c>
      <c r="F1118" s="27">
        <v>556.36</v>
      </c>
      <c r="G1118" s="27">
        <v>54.32</v>
      </c>
      <c r="H1118" s="27">
        <v>23.94</v>
      </c>
      <c r="I1118" s="27">
        <v>198.18</v>
      </c>
      <c r="J1118" s="27">
        <v>1854.18</v>
      </c>
      <c r="K1118" s="47">
        <f t="shared" si="137"/>
        <v>0.49853843747640464</v>
      </c>
      <c r="L1118" s="47">
        <f t="shared" si="138"/>
        <v>0.30005716812822919</v>
      </c>
      <c r="M1118" s="84">
        <f t="shared" si="139"/>
        <v>0.79859560560463383</v>
      </c>
      <c r="N1118" s="47">
        <f t="shared" si="140"/>
        <v>2.9295969107637876E-2</v>
      </c>
      <c r="O1118" s="47">
        <f t="shared" si="141"/>
        <v>1.2911367828366178E-2</v>
      </c>
      <c r="P1118" s="47">
        <f t="shared" si="142"/>
        <v>0.10688282691000874</v>
      </c>
      <c r="Q1118" s="47">
        <f t="shared" si="143"/>
        <v>1</v>
      </c>
    </row>
    <row r="1119" spans="1:17" x14ac:dyDescent="0.35">
      <c r="A1119" s="82">
        <v>1116</v>
      </c>
      <c r="B1119" s="83" t="str">
        <f>_xlfn.XLOOKUP(A1119,'TAZs by City - CCAG Model'!$A:$A,'TAZs by City - CCAG Model'!$B:$B,"Unknown")</f>
        <v>San Jose</v>
      </c>
      <c r="C1119" s="82">
        <f>_xlfn.XLOOKUP(A1119,'TAZs by City - CCAG Model'!$A:$A,'TAZs by City - CCAG Model'!$C:$C,999)</f>
        <v>3</v>
      </c>
      <c r="D1119" s="82" t="str">
        <f t="shared" si="136"/>
        <v>NO</v>
      </c>
      <c r="E1119" s="27">
        <v>969.3</v>
      </c>
      <c r="F1119" s="27">
        <v>684.52</v>
      </c>
      <c r="G1119" s="27">
        <v>55.16</v>
      </c>
      <c r="H1119" s="27">
        <v>24.24</v>
      </c>
      <c r="I1119" s="27">
        <v>195.7</v>
      </c>
      <c r="J1119" s="27">
        <v>2015.94</v>
      </c>
      <c r="K1119" s="47">
        <f t="shared" si="137"/>
        <v>0.48081788148456794</v>
      </c>
      <c r="L1119" s="47">
        <f t="shared" si="138"/>
        <v>0.33955375656021508</v>
      </c>
      <c r="M1119" s="84">
        <f t="shared" si="139"/>
        <v>0.82037163804478308</v>
      </c>
      <c r="N1119" s="47">
        <f t="shared" si="140"/>
        <v>2.7361925454130576E-2</v>
      </c>
      <c r="O1119" s="47">
        <f t="shared" si="141"/>
        <v>1.2024167385934105E-2</v>
      </c>
      <c r="P1119" s="47">
        <f t="shared" si="142"/>
        <v>9.70763018740637E-2</v>
      </c>
      <c r="Q1119" s="47">
        <f t="shared" si="143"/>
        <v>1</v>
      </c>
    </row>
    <row r="1120" spans="1:17" x14ac:dyDescent="0.35">
      <c r="A1120" s="82">
        <v>1117</v>
      </c>
      <c r="B1120" s="83" t="str">
        <f>_xlfn.XLOOKUP(A1120,'TAZs by City - CCAG Model'!$A:$A,'TAZs by City - CCAG Model'!$B:$B,"Unknown")</f>
        <v>San Jose</v>
      </c>
      <c r="C1120" s="82">
        <f>_xlfn.XLOOKUP(A1120,'TAZs by City - CCAG Model'!$A:$A,'TAZs by City - CCAG Model'!$C:$C,999)</f>
        <v>3</v>
      </c>
      <c r="D1120" s="82" t="str">
        <f t="shared" si="136"/>
        <v>NO</v>
      </c>
      <c r="E1120" s="27">
        <v>745.86</v>
      </c>
      <c r="F1120" s="27">
        <v>497.68</v>
      </c>
      <c r="G1120" s="27">
        <v>30.02</v>
      </c>
      <c r="H1120" s="27">
        <v>16.100000000000001</v>
      </c>
      <c r="I1120" s="27">
        <v>149.18</v>
      </c>
      <c r="J1120" s="27">
        <v>1497.56</v>
      </c>
      <c r="K1120" s="47">
        <f t="shared" si="137"/>
        <v>0.49805016159619653</v>
      </c>
      <c r="L1120" s="47">
        <f t="shared" si="138"/>
        <v>0.33232725233045757</v>
      </c>
      <c r="M1120" s="84">
        <f t="shared" si="139"/>
        <v>0.83037741392665398</v>
      </c>
      <c r="N1120" s="47">
        <f t="shared" si="140"/>
        <v>2.0045941398007427E-2</v>
      </c>
      <c r="O1120" s="47">
        <f t="shared" si="141"/>
        <v>1.075082133603996E-2</v>
      </c>
      <c r="P1120" s="47">
        <f t="shared" si="142"/>
        <v>9.9615374342263419E-2</v>
      </c>
      <c r="Q1120" s="47">
        <f t="shared" si="143"/>
        <v>1</v>
      </c>
    </row>
    <row r="1121" spans="1:17" x14ac:dyDescent="0.35">
      <c r="A1121" s="82">
        <v>1118</v>
      </c>
      <c r="B1121" s="83" t="str">
        <f>_xlfn.XLOOKUP(A1121,'TAZs by City - CCAG Model'!$A:$A,'TAZs by City - CCAG Model'!$B:$B,"Unknown")</f>
        <v>San Jose</v>
      </c>
      <c r="C1121" s="82">
        <f>_xlfn.XLOOKUP(A1121,'TAZs by City - CCAG Model'!$A:$A,'TAZs by City - CCAG Model'!$C:$C,999)</f>
        <v>3</v>
      </c>
      <c r="D1121" s="82" t="str">
        <f t="shared" si="136"/>
        <v>NO</v>
      </c>
      <c r="E1121" s="27">
        <v>887.52</v>
      </c>
      <c r="F1121" s="27">
        <v>703.5</v>
      </c>
      <c r="G1121" s="27">
        <v>69.44</v>
      </c>
      <c r="H1121" s="27">
        <v>26.02</v>
      </c>
      <c r="I1121" s="27">
        <v>191.08</v>
      </c>
      <c r="J1121" s="27">
        <v>1980.78</v>
      </c>
      <c r="K1121" s="47">
        <f t="shared" si="137"/>
        <v>0.44806591342804347</v>
      </c>
      <c r="L1121" s="47">
        <f t="shared" si="138"/>
        <v>0.35516311755974922</v>
      </c>
      <c r="M1121" s="84">
        <f t="shared" si="139"/>
        <v>0.80322903098779264</v>
      </c>
      <c r="N1121" s="47">
        <f t="shared" si="140"/>
        <v>3.5056896778036938E-2</v>
      </c>
      <c r="O1121" s="47">
        <f t="shared" si="141"/>
        <v>1.3136239259281698E-2</v>
      </c>
      <c r="P1121" s="47">
        <f t="shared" si="142"/>
        <v>9.6467048334494501E-2</v>
      </c>
      <c r="Q1121" s="47">
        <f t="shared" si="143"/>
        <v>1</v>
      </c>
    </row>
    <row r="1122" spans="1:17" x14ac:dyDescent="0.35">
      <c r="A1122" s="82">
        <v>1119</v>
      </c>
      <c r="B1122" s="83" t="str">
        <f>_xlfn.XLOOKUP(A1122,'TAZs by City - CCAG Model'!$A:$A,'TAZs by City - CCAG Model'!$B:$B,"Unknown")</f>
        <v>San Jose</v>
      </c>
      <c r="C1122" s="82">
        <f>_xlfn.XLOOKUP(A1122,'TAZs by City - CCAG Model'!$A:$A,'TAZs by City - CCAG Model'!$C:$C,999)</f>
        <v>3</v>
      </c>
      <c r="D1122" s="82" t="str">
        <f t="shared" si="136"/>
        <v>NO</v>
      </c>
      <c r="E1122" s="27">
        <v>1230.76</v>
      </c>
      <c r="F1122" s="27">
        <v>874.42</v>
      </c>
      <c r="G1122" s="27">
        <v>80.28</v>
      </c>
      <c r="H1122" s="27">
        <v>38.14</v>
      </c>
      <c r="I1122" s="27">
        <v>214.76</v>
      </c>
      <c r="J1122" s="27">
        <v>2559.2600000000002</v>
      </c>
      <c r="K1122" s="47">
        <f t="shared" si="137"/>
        <v>0.48090463649648724</v>
      </c>
      <c r="L1122" s="47">
        <f t="shared" si="138"/>
        <v>0.34166907621734405</v>
      </c>
      <c r="M1122" s="84">
        <f t="shared" si="139"/>
        <v>0.82257371271383117</v>
      </c>
      <c r="N1122" s="47">
        <f t="shared" si="140"/>
        <v>3.1368442440392927E-2</v>
      </c>
      <c r="O1122" s="47">
        <f t="shared" si="141"/>
        <v>1.4902745324820455E-2</v>
      </c>
      <c r="P1122" s="47">
        <f t="shared" si="142"/>
        <v>8.3914881645475628E-2</v>
      </c>
      <c r="Q1122" s="47">
        <f t="shared" si="143"/>
        <v>1</v>
      </c>
    </row>
    <row r="1123" spans="1:17" x14ac:dyDescent="0.35">
      <c r="A1123" s="82">
        <v>1120</v>
      </c>
      <c r="B1123" s="83" t="str">
        <f>_xlfn.XLOOKUP(A1123,'TAZs by City - CCAG Model'!$A:$A,'TAZs by City - CCAG Model'!$B:$B,"Unknown")</f>
        <v>San Jose</v>
      </c>
      <c r="C1123" s="82">
        <f>_xlfn.XLOOKUP(A1123,'TAZs by City - CCAG Model'!$A:$A,'TAZs by City - CCAG Model'!$C:$C,999)</f>
        <v>3</v>
      </c>
      <c r="D1123" s="82" t="str">
        <f t="shared" si="136"/>
        <v>NO</v>
      </c>
      <c r="E1123" s="27">
        <v>1116.54</v>
      </c>
      <c r="F1123" s="27">
        <v>928.02</v>
      </c>
      <c r="G1123" s="27">
        <v>65.099999999999994</v>
      </c>
      <c r="H1123" s="27">
        <v>33.479999999999997</v>
      </c>
      <c r="I1123" s="27">
        <v>186.68</v>
      </c>
      <c r="J1123" s="27">
        <v>2425.16</v>
      </c>
      <c r="K1123" s="47">
        <f t="shared" si="137"/>
        <v>0.46039848917184845</v>
      </c>
      <c r="L1123" s="47">
        <f t="shared" si="138"/>
        <v>0.38266341189859637</v>
      </c>
      <c r="M1123" s="84">
        <f t="shared" si="139"/>
        <v>0.84306190107044487</v>
      </c>
      <c r="N1123" s="47">
        <f t="shared" si="140"/>
        <v>2.6843589701298059E-2</v>
      </c>
      <c r="O1123" s="47">
        <f t="shared" si="141"/>
        <v>1.3805274703524715E-2</v>
      </c>
      <c r="P1123" s="47">
        <f t="shared" si="142"/>
        <v>7.6976364446057169E-2</v>
      </c>
      <c r="Q1123" s="47">
        <f t="shared" si="143"/>
        <v>1</v>
      </c>
    </row>
    <row r="1124" spans="1:17" x14ac:dyDescent="0.35">
      <c r="A1124" s="82">
        <v>1121</v>
      </c>
      <c r="B1124" s="83" t="str">
        <f>_xlfn.XLOOKUP(A1124,'TAZs by City - CCAG Model'!$A:$A,'TAZs by City - CCAG Model'!$B:$B,"Unknown")</f>
        <v>San Jose</v>
      </c>
      <c r="C1124" s="82">
        <f>_xlfn.XLOOKUP(A1124,'TAZs by City - CCAG Model'!$A:$A,'TAZs by City - CCAG Model'!$C:$C,999)</f>
        <v>3</v>
      </c>
      <c r="D1124" s="82" t="str">
        <f t="shared" si="136"/>
        <v>NO</v>
      </c>
      <c r="E1124" s="27">
        <v>628.55999999999995</v>
      </c>
      <c r="F1124" s="27">
        <v>467.04</v>
      </c>
      <c r="G1124" s="27">
        <v>49.18</v>
      </c>
      <c r="H1124" s="27">
        <v>18.64</v>
      </c>
      <c r="I1124" s="27">
        <v>136.34</v>
      </c>
      <c r="J1124" s="27">
        <v>1382.4</v>
      </c>
      <c r="K1124" s="47">
        <f t="shared" si="137"/>
        <v>0.45468749999999991</v>
      </c>
      <c r="L1124" s="47">
        <f t="shared" si="138"/>
        <v>0.33784722222222219</v>
      </c>
      <c r="M1124" s="84">
        <f t="shared" si="139"/>
        <v>0.7925347222222221</v>
      </c>
      <c r="N1124" s="47">
        <f t="shared" si="140"/>
        <v>3.5575810185185186E-2</v>
      </c>
      <c r="O1124" s="47">
        <f t="shared" si="141"/>
        <v>1.3483796296296296E-2</v>
      </c>
      <c r="P1124" s="47">
        <f t="shared" si="142"/>
        <v>9.8625578703703698E-2</v>
      </c>
      <c r="Q1124" s="47">
        <f t="shared" si="143"/>
        <v>1</v>
      </c>
    </row>
    <row r="1125" spans="1:17" x14ac:dyDescent="0.35">
      <c r="A1125" s="82">
        <v>1122</v>
      </c>
      <c r="B1125" s="83" t="str">
        <f>_xlfn.XLOOKUP(A1125,'TAZs by City - CCAG Model'!$A:$A,'TAZs by City - CCAG Model'!$B:$B,"Unknown")</f>
        <v>San Jose</v>
      </c>
      <c r="C1125" s="82">
        <f>_xlfn.XLOOKUP(A1125,'TAZs by City - CCAG Model'!$A:$A,'TAZs by City - CCAG Model'!$C:$C,999)</f>
        <v>3</v>
      </c>
      <c r="D1125" s="82" t="str">
        <f t="shared" si="136"/>
        <v>NO</v>
      </c>
      <c r="E1125" s="27">
        <v>882.9</v>
      </c>
      <c r="F1125" s="27">
        <v>656.48</v>
      </c>
      <c r="G1125" s="27">
        <v>71.599999999999994</v>
      </c>
      <c r="H1125" s="27">
        <v>27.28</v>
      </c>
      <c r="I1125" s="27">
        <v>184.14</v>
      </c>
      <c r="J1125" s="27">
        <v>1932.22</v>
      </c>
      <c r="K1125" s="47">
        <f t="shared" si="137"/>
        <v>0.45693554564180061</v>
      </c>
      <c r="L1125" s="47">
        <f t="shared" si="138"/>
        <v>0.33975427228783472</v>
      </c>
      <c r="M1125" s="84">
        <f t="shared" si="139"/>
        <v>0.79668981792963534</v>
      </c>
      <c r="N1125" s="47">
        <f t="shared" si="140"/>
        <v>3.7055821800830127E-2</v>
      </c>
      <c r="O1125" s="47">
        <f t="shared" si="141"/>
        <v>1.4118475121880532E-2</v>
      </c>
      <c r="P1125" s="47">
        <f t="shared" si="142"/>
        <v>9.5299707072693571E-2</v>
      </c>
      <c r="Q1125" s="47">
        <f t="shared" si="143"/>
        <v>1</v>
      </c>
    </row>
    <row r="1126" spans="1:17" x14ac:dyDescent="0.35">
      <c r="A1126" s="82">
        <v>1123</v>
      </c>
      <c r="B1126" s="83" t="str">
        <f>_xlfn.XLOOKUP(A1126,'TAZs by City - CCAG Model'!$A:$A,'TAZs by City - CCAG Model'!$B:$B,"Unknown")</f>
        <v>San Jose</v>
      </c>
      <c r="C1126" s="82">
        <f>_xlfn.XLOOKUP(A1126,'TAZs by City - CCAG Model'!$A:$A,'TAZs by City - CCAG Model'!$C:$C,999)</f>
        <v>3</v>
      </c>
      <c r="D1126" s="82" t="str">
        <f t="shared" si="136"/>
        <v>NO</v>
      </c>
      <c r="E1126" s="27">
        <v>611.16</v>
      </c>
      <c r="F1126" s="27">
        <v>415.72</v>
      </c>
      <c r="G1126" s="27">
        <v>27.26</v>
      </c>
      <c r="H1126" s="27">
        <v>15.62</v>
      </c>
      <c r="I1126" s="27">
        <v>93.2</v>
      </c>
      <c r="J1126" s="27">
        <v>1229.0999999999999</v>
      </c>
      <c r="K1126" s="47">
        <f t="shared" si="137"/>
        <v>0.49724188430558947</v>
      </c>
      <c r="L1126" s="47">
        <f t="shared" si="138"/>
        <v>0.33823122610039869</v>
      </c>
      <c r="M1126" s="84">
        <f t="shared" si="139"/>
        <v>0.83547311040598826</v>
      </c>
      <c r="N1126" s="47">
        <f t="shared" si="140"/>
        <v>2.2178830038239367E-2</v>
      </c>
      <c r="O1126" s="47">
        <f t="shared" si="141"/>
        <v>1.2708485883980148E-2</v>
      </c>
      <c r="P1126" s="47">
        <f t="shared" si="142"/>
        <v>7.5827841510048011E-2</v>
      </c>
      <c r="Q1126" s="47">
        <f t="shared" si="143"/>
        <v>1</v>
      </c>
    </row>
    <row r="1127" spans="1:17" x14ac:dyDescent="0.35">
      <c r="A1127" s="82">
        <v>1124</v>
      </c>
      <c r="B1127" s="83" t="str">
        <f>_xlfn.XLOOKUP(A1127,'TAZs by City - CCAG Model'!$A:$A,'TAZs by City - CCAG Model'!$B:$B,"Unknown")</f>
        <v>San Jose</v>
      </c>
      <c r="C1127" s="82">
        <f>_xlfn.XLOOKUP(A1127,'TAZs by City - CCAG Model'!$A:$A,'TAZs by City - CCAG Model'!$C:$C,999)</f>
        <v>3</v>
      </c>
      <c r="D1127" s="82" t="str">
        <f t="shared" si="136"/>
        <v>NO</v>
      </c>
      <c r="E1127" s="27">
        <v>441.82</v>
      </c>
      <c r="F1127" s="27">
        <v>340.76</v>
      </c>
      <c r="G1127" s="27">
        <v>44.74</v>
      </c>
      <c r="H1127" s="27">
        <v>13</v>
      </c>
      <c r="I1127" s="27">
        <v>99.18</v>
      </c>
      <c r="J1127" s="27">
        <v>1017.8</v>
      </c>
      <c r="K1127" s="47">
        <f t="shared" si="137"/>
        <v>0.43409314207113381</v>
      </c>
      <c r="L1127" s="47">
        <f t="shared" si="138"/>
        <v>0.33480055020632737</v>
      </c>
      <c r="M1127" s="84">
        <f t="shared" si="139"/>
        <v>0.76889369227746118</v>
      </c>
      <c r="N1127" s="47">
        <f t="shared" si="140"/>
        <v>4.3957555511888388E-2</v>
      </c>
      <c r="O1127" s="47">
        <f t="shared" si="141"/>
        <v>1.2772646885439182E-2</v>
      </c>
      <c r="P1127" s="47">
        <f t="shared" si="142"/>
        <v>9.7445470622912173E-2</v>
      </c>
      <c r="Q1127" s="47">
        <f t="shared" si="143"/>
        <v>1</v>
      </c>
    </row>
    <row r="1128" spans="1:17" x14ac:dyDescent="0.35">
      <c r="A1128" s="82">
        <v>1125</v>
      </c>
      <c r="B1128" s="83" t="str">
        <f>_xlfn.XLOOKUP(A1128,'TAZs by City - CCAG Model'!$A:$A,'TAZs by City - CCAG Model'!$B:$B,"Unknown")</f>
        <v>San Jose</v>
      </c>
      <c r="C1128" s="82">
        <f>_xlfn.XLOOKUP(A1128,'TAZs by City - CCAG Model'!$A:$A,'TAZs by City - CCAG Model'!$C:$C,999)</f>
        <v>3</v>
      </c>
      <c r="D1128" s="82" t="str">
        <f t="shared" si="136"/>
        <v>NO</v>
      </c>
      <c r="E1128" s="27">
        <v>2867.9</v>
      </c>
      <c r="F1128" s="27">
        <v>1784.42</v>
      </c>
      <c r="G1128" s="27">
        <v>231</v>
      </c>
      <c r="H1128" s="27">
        <v>88.74</v>
      </c>
      <c r="I1128" s="27">
        <v>587.91999999999996</v>
      </c>
      <c r="J1128" s="27">
        <v>5838.64</v>
      </c>
      <c r="K1128" s="47">
        <f t="shared" si="137"/>
        <v>0.49119315457024237</v>
      </c>
      <c r="L1128" s="47">
        <f t="shared" si="138"/>
        <v>0.30562254223586316</v>
      </c>
      <c r="M1128" s="84">
        <f t="shared" si="139"/>
        <v>0.79681569680610542</v>
      </c>
      <c r="N1128" s="47">
        <f t="shared" si="140"/>
        <v>3.9564008056670728E-2</v>
      </c>
      <c r="O1128" s="47">
        <f t="shared" si="141"/>
        <v>1.5198744913198963E-2</v>
      </c>
      <c r="P1128" s="47">
        <f t="shared" si="142"/>
        <v>0.10069468232328076</v>
      </c>
      <c r="Q1128" s="47">
        <f t="shared" si="143"/>
        <v>1</v>
      </c>
    </row>
    <row r="1129" spans="1:17" x14ac:dyDescent="0.35">
      <c r="A1129" s="82">
        <v>1126</v>
      </c>
      <c r="B1129" s="83" t="str">
        <f>_xlfn.XLOOKUP(A1129,'TAZs by City - CCAG Model'!$A:$A,'TAZs by City - CCAG Model'!$B:$B,"Unknown")</f>
        <v>San Jose</v>
      </c>
      <c r="C1129" s="82">
        <f>_xlfn.XLOOKUP(A1129,'TAZs by City - CCAG Model'!$A:$A,'TAZs by City - CCAG Model'!$C:$C,999)</f>
        <v>3</v>
      </c>
      <c r="D1129" s="82" t="str">
        <f t="shared" si="136"/>
        <v>NO</v>
      </c>
      <c r="E1129" s="27">
        <v>4707.8</v>
      </c>
      <c r="F1129" s="27">
        <v>2120.88</v>
      </c>
      <c r="G1129" s="27">
        <v>359.24</v>
      </c>
      <c r="H1129" s="27">
        <v>109.56</v>
      </c>
      <c r="I1129" s="27">
        <v>682.28</v>
      </c>
      <c r="J1129" s="27">
        <v>8379</v>
      </c>
      <c r="K1129" s="47">
        <f t="shared" si="137"/>
        <v>0.56185702351115885</v>
      </c>
      <c r="L1129" s="47">
        <f t="shared" si="138"/>
        <v>0.25311851056211959</v>
      </c>
      <c r="M1129" s="84">
        <f t="shared" si="139"/>
        <v>0.8149755340732785</v>
      </c>
      <c r="N1129" s="47">
        <f t="shared" si="140"/>
        <v>4.2873851294903925E-2</v>
      </c>
      <c r="O1129" s="47">
        <f t="shared" si="141"/>
        <v>1.3075546007876835E-2</v>
      </c>
      <c r="P1129" s="47">
        <f t="shared" si="142"/>
        <v>8.1427377968731354E-2</v>
      </c>
      <c r="Q1129" s="47">
        <f t="shared" si="143"/>
        <v>1</v>
      </c>
    </row>
    <row r="1130" spans="1:17" x14ac:dyDescent="0.35">
      <c r="A1130" s="82">
        <v>1127</v>
      </c>
      <c r="B1130" s="83" t="str">
        <f>_xlfn.XLOOKUP(A1130,'TAZs by City - CCAG Model'!$A:$A,'TAZs by City - CCAG Model'!$B:$B,"Unknown")</f>
        <v>San Jose</v>
      </c>
      <c r="C1130" s="82">
        <f>_xlfn.XLOOKUP(A1130,'TAZs by City - CCAG Model'!$A:$A,'TAZs by City - CCAG Model'!$C:$C,999)</f>
        <v>3</v>
      </c>
      <c r="D1130" s="82" t="str">
        <f t="shared" si="136"/>
        <v>NO</v>
      </c>
      <c r="E1130" s="27">
        <v>1020.7</v>
      </c>
      <c r="F1130" s="27">
        <v>693.92</v>
      </c>
      <c r="G1130" s="27">
        <v>124.6</v>
      </c>
      <c r="H1130" s="27">
        <v>35.4</v>
      </c>
      <c r="I1130" s="27">
        <v>258.95999999999998</v>
      </c>
      <c r="J1130" s="27">
        <v>2295.5</v>
      </c>
      <c r="K1130" s="47">
        <f t="shared" si="137"/>
        <v>0.44465258113700723</v>
      </c>
      <c r="L1130" s="47">
        <f t="shared" si="138"/>
        <v>0.30229579612284901</v>
      </c>
      <c r="M1130" s="84">
        <f t="shared" si="139"/>
        <v>0.74694837725985619</v>
      </c>
      <c r="N1130" s="47">
        <f t="shared" si="140"/>
        <v>5.4280113265083856E-2</v>
      </c>
      <c r="O1130" s="47">
        <f t="shared" si="141"/>
        <v>1.5421476802439556E-2</v>
      </c>
      <c r="P1130" s="47">
        <f t="shared" si="142"/>
        <v>0.11281202352428664</v>
      </c>
      <c r="Q1130" s="47">
        <f t="shared" si="143"/>
        <v>1</v>
      </c>
    </row>
    <row r="1131" spans="1:17" x14ac:dyDescent="0.35">
      <c r="A1131" s="82">
        <v>1128</v>
      </c>
      <c r="B1131" s="83" t="str">
        <f>_xlfn.XLOOKUP(A1131,'TAZs by City - CCAG Model'!$A:$A,'TAZs by City - CCAG Model'!$B:$B,"Unknown")</f>
        <v>San Jose</v>
      </c>
      <c r="C1131" s="82">
        <f>_xlfn.XLOOKUP(A1131,'TAZs by City - CCAG Model'!$A:$A,'TAZs by City - CCAG Model'!$C:$C,999)</f>
        <v>3</v>
      </c>
      <c r="D1131" s="82" t="str">
        <f t="shared" si="136"/>
        <v>NO</v>
      </c>
      <c r="E1131" s="27">
        <v>805.84</v>
      </c>
      <c r="F1131" s="27">
        <v>575.70000000000005</v>
      </c>
      <c r="G1131" s="27">
        <v>124.62</v>
      </c>
      <c r="H1131" s="27">
        <v>26.78</v>
      </c>
      <c r="I1131" s="27">
        <v>241.62</v>
      </c>
      <c r="J1131" s="27">
        <v>1931.16</v>
      </c>
      <c r="K1131" s="47">
        <f t="shared" si="137"/>
        <v>0.41728287661302016</v>
      </c>
      <c r="L1131" s="47">
        <f t="shared" si="138"/>
        <v>0.29811097992916175</v>
      </c>
      <c r="M1131" s="84">
        <f t="shared" si="139"/>
        <v>0.71539385654218191</v>
      </c>
      <c r="N1131" s="47">
        <f t="shared" si="140"/>
        <v>6.4531162617287016E-2</v>
      </c>
      <c r="O1131" s="47">
        <f t="shared" si="141"/>
        <v>1.3867312910375112E-2</v>
      </c>
      <c r="P1131" s="47">
        <f t="shared" si="142"/>
        <v>0.12511651028397439</v>
      </c>
      <c r="Q1131" s="47">
        <f t="shared" si="143"/>
        <v>1</v>
      </c>
    </row>
    <row r="1132" spans="1:17" x14ac:dyDescent="0.35">
      <c r="A1132" s="82">
        <v>1129</v>
      </c>
      <c r="B1132" s="83" t="str">
        <f>_xlfn.XLOOKUP(A1132,'TAZs by City - CCAG Model'!$A:$A,'TAZs by City - CCAG Model'!$B:$B,"Unknown")</f>
        <v>San Jose</v>
      </c>
      <c r="C1132" s="82">
        <f>_xlfn.XLOOKUP(A1132,'TAZs by City - CCAG Model'!$A:$A,'TAZs by City - CCAG Model'!$C:$C,999)</f>
        <v>3</v>
      </c>
      <c r="D1132" s="82" t="str">
        <f t="shared" si="136"/>
        <v>NO</v>
      </c>
      <c r="E1132" s="27">
        <v>2374.06</v>
      </c>
      <c r="F1132" s="27">
        <v>1408.82</v>
      </c>
      <c r="G1132" s="27">
        <v>294.5</v>
      </c>
      <c r="H1132" s="27">
        <v>83.5</v>
      </c>
      <c r="I1132" s="27">
        <v>680.96</v>
      </c>
      <c r="J1132" s="27">
        <v>5179.84</v>
      </c>
      <c r="K1132" s="47">
        <f t="shared" si="137"/>
        <v>0.45832689812812749</v>
      </c>
      <c r="L1132" s="47">
        <f t="shared" si="138"/>
        <v>0.27198137394205224</v>
      </c>
      <c r="M1132" s="84">
        <f t="shared" si="139"/>
        <v>0.73030827207017979</v>
      </c>
      <c r="N1132" s="47">
        <f t="shared" si="140"/>
        <v>5.6855037993451533E-2</v>
      </c>
      <c r="O1132" s="47">
        <f t="shared" si="141"/>
        <v>1.6120189040588127E-2</v>
      </c>
      <c r="P1132" s="47">
        <f t="shared" si="142"/>
        <v>0.13146352010872922</v>
      </c>
      <c r="Q1132" s="47">
        <f t="shared" si="143"/>
        <v>1</v>
      </c>
    </row>
    <row r="1133" spans="1:17" x14ac:dyDescent="0.35">
      <c r="A1133" s="82">
        <v>1130</v>
      </c>
      <c r="B1133" s="83" t="str">
        <f>_xlfn.XLOOKUP(A1133,'TAZs by City - CCAG Model'!$A:$A,'TAZs by City - CCAG Model'!$B:$B,"Unknown")</f>
        <v>San Jose</v>
      </c>
      <c r="C1133" s="82">
        <f>_xlfn.XLOOKUP(A1133,'TAZs by City - CCAG Model'!$A:$A,'TAZs by City - CCAG Model'!$C:$C,999)</f>
        <v>3</v>
      </c>
      <c r="D1133" s="82" t="str">
        <f t="shared" si="136"/>
        <v>NO</v>
      </c>
      <c r="E1133" s="27">
        <v>1862.94</v>
      </c>
      <c r="F1133" s="27">
        <v>1211.3800000000001</v>
      </c>
      <c r="G1133" s="27">
        <v>262.08</v>
      </c>
      <c r="H1133" s="27">
        <v>67.400000000000006</v>
      </c>
      <c r="I1133" s="27">
        <v>491.94</v>
      </c>
      <c r="J1133" s="27">
        <v>4196.2</v>
      </c>
      <c r="K1133" s="47">
        <f t="shared" si="137"/>
        <v>0.44395881988465757</v>
      </c>
      <c r="L1133" s="47">
        <f t="shared" si="138"/>
        <v>0.28868500071493258</v>
      </c>
      <c r="M1133" s="84">
        <f t="shared" si="139"/>
        <v>0.73264382059959021</v>
      </c>
      <c r="N1133" s="47">
        <f t="shared" si="140"/>
        <v>6.2456508269386583E-2</v>
      </c>
      <c r="O1133" s="47">
        <f t="shared" si="141"/>
        <v>1.6062151470377962E-2</v>
      </c>
      <c r="P1133" s="47">
        <f t="shared" si="142"/>
        <v>0.11723464086554503</v>
      </c>
      <c r="Q1133" s="47">
        <f t="shared" si="143"/>
        <v>1</v>
      </c>
    </row>
    <row r="1134" spans="1:17" x14ac:dyDescent="0.35">
      <c r="A1134" s="82">
        <v>1131</v>
      </c>
      <c r="B1134" s="83" t="str">
        <f>_xlfn.XLOOKUP(A1134,'TAZs by City - CCAG Model'!$A:$A,'TAZs by City - CCAG Model'!$B:$B,"Unknown")</f>
        <v>San Jose</v>
      </c>
      <c r="C1134" s="82">
        <f>_xlfn.XLOOKUP(A1134,'TAZs by City - CCAG Model'!$A:$A,'TAZs by City - CCAG Model'!$C:$C,999)</f>
        <v>3</v>
      </c>
      <c r="D1134" s="82" t="str">
        <f t="shared" si="136"/>
        <v>NO</v>
      </c>
      <c r="E1134" s="27">
        <v>1372.32</v>
      </c>
      <c r="F1134" s="27">
        <v>778.54</v>
      </c>
      <c r="G1134" s="27">
        <v>196.3</v>
      </c>
      <c r="H1134" s="27">
        <v>45.32</v>
      </c>
      <c r="I1134" s="27">
        <v>368.26</v>
      </c>
      <c r="J1134" s="27">
        <v>3006.26</v>
      </c>
      <c r="K1134" s="47">
        <f t="shared" si="137"/>
        <v>0.45648746282756641</v>
      </c>
      <c r="L1134" s="47">
        <f t="shared" si="138"/>
        <v>0.25897294312534508</v>
      </c>
      <c r="M1134" s="84">
        <f t="shared" si="139"/>
        <v>0.71546040595291138</v>
      </c>
      <c r="N1134" s="47">
        <f t="shared" si="140"/>
        <v>6.529708009287287E-2</v>
      </c>
      <c r="O1134" s="47">
        <f t="shared" si="141"/>
        <v>1.5075209729032086E-2</v>
      </c>
      <c r="P1134" s="47">
        <f t="shared" si="142"/>
        <v>0.12249772142130087</v>
      </c>
      <c r="Q1134" s="47">
        <f t="shared" si="143"/>
        <v>1</v>
      </c>
    </row>
    <row r="1135" spans="1:17" x14ac:dyDescent="0.35">
      <c r="A1135" s="82">
        <v>1132</v>
      </c>
      <c r="B1135" s="83" t="str">
        <f>_xlfn.XLOOKUP(A1135,'TAZs by City - CCAG Model'!$A:$A,'TAZs by City - CCAG Model'!$B:$B,"Unknown")</f>
        <v>San Jose</v>
      </c>
      <c r="C1135" s="82">
        <f>_xlfn.XLOOKUP(A1135,'TAZs by City - CCAG Model'!$A:$A,'TAZs by City - CCAG Model'!$C:$C,999)</f>
        <v>3</v>
      </c>
      <c r="D1135" s="82" t="str">
        <f t="shared" si="136"/>
        <v>NO</v>
      </c>
      <c r="E1135" s="27">
        <v>4824.96</v>
      </c>
      <c r="F1135" s="27">
        <v>2866.22</v>
      </c>
      <c r="G1135" s="27">
        <v>708.08</v>
      </c>
      <c r="H1135" s="27">
        <v>162.28</v>
      </c>
      <c r="I1135" s="27">
        <v>1377.6</v>
      </c>
      <c r="J1135" s="27">
        <v>10685.9</v>
      </c>
      <c r="K1135" s="47">
        <f t="shared" si="137"/>
        <v>0.45152584246530475</v>
      </c>
      <c r="L1135" s="47">
        <f t="shared" si="138"/>
        <v>0.26822448272957822</v>
      </c>
      <c r="M1135" s="84">
        <f t="shared" si="139"/>
        <v>0.71975032519488302</v>
      </c>
      <c r="N1135" s="47">
        <f t="shared" si="140"/>
        <v>6.6263019492976735E-2</v>
      </c>
      <c r="O1135" s="47">
        <f t="shared" si="141"/>
        <v>1.518636708185553E-2</v>
      </c>
      <c r="P1135" s="47">
        <f t="shared" si="142"/>
        <v>0.12891754555067894</v>
      </c>
      <c r="Q1135" s="47">
        <f t="shared" si="143"/>
        <v>1</v>
      </c>
    </row>
    <row r="1136" spans="1:17" x14ac:dyDescent="0.35">
      <c r="A1136" s="82">
        <v>1133</v>
      </c>
      <c r="B1136" s="83" t="str">
        <f>_xlfn.XLOOKUP(A1136,'TAZs by City - CCAG Model'!$A:$A,'TAZs by City - CCAG Model'!$B:$B,"Unknown")</f>
        <v>San Jose</v>
      </c>
      <c r="C1136" s="82">
        <f>_xlfn.XLOOKUP(A1136,'TAZs by City - CCAG Model'!$A:$A,'TAZs by City - CCAG Model'!$C:$C,999)</f>
        <v>3</v>
      </c>
      <c r="D1136" s="82" t="str">
        <f t="shared" si="136"/>
        <v>NO</v>
      </c>
      <c r="E1136" s="27">
        <v>1576.42</v>
      </c>
      <c r="F1136" s="27">
        <v>943.62</v>
      </c>
      <c r="G1136" s="27">
        <v>267.42</v>
      </c>
      <c r="H1136" s="27">
        <v>59.94</v>
      </c>
      <c r="I1136" s="27">
        <v>393.58</v>
      </c>
      <c r="J1136" s="27">
        <v>3548.7</v>
      </c>
      <c r="K1136" s="47">
        <f t="shared" si="137"/>
        <v>0.44422464564488406</v>
      </c>
      <c r="L1136" s="47">
        <f t="shared" si="138"/>
        <v>0.26590582466818835</v>
      </c>
      <c r="M1136" s="84">
        <f t="shared" si="139"/>
        <v>0.71013047031307241</v>
      </c>
      <c r="N1136" s="47">
        <f t="shared" si="140"/>
        <v>7.5357173049285658E-2</v>
      </c>
      <c r="O1136" s="47">
        <f t="shared" si="141"/>
        <v>1.6890692366218617E-2</v>
      </c>
      <c r="P1136" s="47">
        <f t="shared" si="142"/>
        <v>0.11090821991151689</v>
      </c>
      <c r="Q1136" s="47">
        <f t="shared" si="143"/>
        <v>1</v>
      </c>
    </row>
    <row r="1137" spans="1:17" x14ac:dyDescent="0.35">
      <c r="A1137" s="82">
        <v>1134</v>
      </c>
      <c r="B1137" s="83" t="str">
        <f>_xlfn.XLOOKUP(A1137,'TAZs by City - CCAG Model'!$A:$A,'TAZs by City - CCAG Model'!$B:$B,"Unknown")</f>
        <v>San Jose</v>
      </c>
      <c r="C1137" s="82">
        <f>_xlfn.XLOOKUP(A1137,'TAZs by City - CCAG Model'!$A:$A,'TAZs by City - CCAG Model'!$C:$C,999)</f>
        <v>3</v>
      </c>
      <c r="D1137" s="82" t="str">
        <f t="shared" si="136"/>
        <v>NO</v>
      </c>
      <c r="E1137" s="27">
        <v>2669.28</v>
      </c>
      <c r="F1137" s="27">
        <v>1594.8</v>
      </c>
      <c r="G1137" s="27">
        <v>532.6</v>
      </c>
      <c r="H1137" s="27">
        <v>110.16</v>
      </c>
      <c r="I1137" s="27">
        <v>744.8</v>
      </c>
      <c r="J1137" s="27">
        <v>6224.54</v>
      </c>
      <c r="K1137" s="47">
        <f t="shared" si="137"/>
        <v>0.42883168876736277</v>
      </c>
      <c r="L1137" s="47">
        <f t="shared" si="138"/>
        <v>0.25621170399740384</v>
      </c>
      <c r="M1137" s="84">
        <f t="shared" si="139"/>
        <v>0.68504339276476656</v>
      </c>
      <c r="N1137" s="47">
        <f t="shared" si="140"/>
        <v>8.5564555774402612E-2</v>
      </c>
      <c r="O1137" s="47">
        <f t="shared" si="141"/>
        <v>1.7697693323522702E-2</v>
      </c>
      <c r="P1137" s="47">
        <f t="shared" si="142"/>
        <v>0.11965542835293852</v>
      </c>
      <c r="Q1137" s="47">
        <f t="shared" si="143"/>
        <v>1</v>
      </c>
    </row>
    <row r="1138" spans="1:17" x14ac:dyDescent="0.35">
      <c r="A1138" s="82">
        <v>1135</v>
      </c>
      <c r="B1138" s="83" t="str">
        <f>_xlfn.XLOOKUP(A1138,'TAZs by City - CCAG Model'!$A:$A,'TAZs by City - CCAG Model'!$B:$B,"Unknown")</f>
        <v>San Jose</v>
      </c>
      <c r="C1138" s="82">
        <f>_xlfn.XLOOKUP(A1138,'TAZs by City - CCAG Model'!$A:$A,'TAZs by City - CCAG Model'!$C:$C,999)</f>
        <v>3</v>
      </c>
      <c r="D1138" s="82" t="str">
        <f t="shared" si="136"/>
        <v>NO</v>
      </c>
      <c r="E1138" s="27">
        <v>11404.94</v>
      </c>
      <c r="F1138" s="27">
        <v>5906.26</v>
      </c>
      <c r="G1138" s="27">
        <v>3410.42</v>
      </c>
      <c r="H1138" s="27">
        <v>335.56</v>
      </c>
      <c r="I1138" s="27">
        <v>2999.24</v>
      </c>
      <c r="J1138" s="27">
        <v>27489.82</v>
      </c>
      <c r="K1138" s="47">
        <f t="shared" si="137"/>
        <v>0.41487867145001317</v>
      </c>
      <c r="L1138" s="47">
        <f t="shared" si="138"/>
        <v>0.21485262544461914</v>
      </c>
      <c r="M1138" s="84">
        <f t="shared" si="139"/>
        <v>0.62973129689463225</v>
      </c>
      <c r="N1138" s="47">
        <f t="shared" si="140"/>
        <v>0.1240611979270872</v>
      </c>
      <c r="O1138" s="47">
        <f t="shared" si="141"/>
        <v>1.2206700516773118E-2</v>
      </c>
      <c r="P1138" s="47">
        <f t="shared" si="142"/>
        <v>0.10910366091884195</v>
      </c>
      <c r="Q1138" s="47">
        <f t="shared" si="143"/>
        <v>1</v>
      </c>
    </row>
    <row r="1139" spans="1:17" x14ac:dyDescent="0.35">
      <c r="A1139" s="82">
        <v>1136</v>
      </c>
      <c r="B1139" s="83" t="str">
        <f>_xlfn.XLOOKUP(A1139,'TAZs by City - CCAG Model'!$A:$A,'TAZs by City - CCAG Model'!$B:$B,"Unknown")</f>
        <v>San Jose</v>
      </c>
      <c r="C1139" s="82">
        <f>_xlfn.XLOOKUP(A1139,'TAZs by City - CCAG Model'!$A:$A,'TAZs by City - CCAG Model'!$C:$C,999)</f>
        <v>3</v>
      </c>
      <c r="D1139" s="82" t="str">
        <f t="shared" si="136"/>
        <v>NO</v>
      </c>
      <c r="E1139" s="27">
        <v>1426.2</v>
      </c>
      <c r="F1139" s="27">
        <v>826.6</v>
      </c>
      <c r="G1139" s="27">
        <v>97.44</v>
      </c>
      <c r="H1139" s="27">
        <v>34</v>
      </c>
      <c r="I1139" s="27">
        <v>278.60000000000002</v>
      </c>
      <c r="J1139" s="27">
        <v>2810.14</v>
      </c>
      <c r="K1139" s="47">
        <f t="shared" si="137"/>
        <v>0.50751919833175574</v>
      </c>
      <c r="L1139" s="47">
        <f t="shared" si="138"/>
        <v>0.29414904595500579</v>
      </c>
      <c r="M1139" s="84">
        <f t="shared" si="139"/>
        <v>0.80166824428676164</v>
      </c>
      <c r="N1139" s="47">
        <f t="shared" si="140"/>
        <v>3.4674429032005523E-2</v>
      </c>
      <c r="O1139" s="47">
        <f t="shared" si="141"/>
        <v>1.2099041328901763E-2</v>
      </c>
      <c r="P1139" s="47">
        <f t="shared" si="142"/>
        <v>9.9140968065647983E-2</v>
      </c>
      <c r="Q1139" s="47">
        <f t="shared" si="143"/>
        <v>1</v>
      </c>
    </row>
    <row r="1140" spans="1:17" x14ac:dyDescent="0.35">
      <c r="A1140" s="82">
        <v>1137</v>
      </c>
      <c r="B1140" s="83" t="str">
        <f>_xlfn.XLOOKUP(A1140,'TAZs by City - CCAG Model'!$A:$A,'TAZs by City - CCAG Model'!$B:$B,"Unknown")</f>
        <v>San Jose</v>
      </c>
      <c r="C1140" s="82">
        <f>_xlfn.XLOOKUP(A1140,'TAZs by City - CCAG Model'!$A:$A,'TAZs by City - CCAG Model'!$C:$C,999)</f>
        <v>3</v>
      </c>
      <c r="D1140" s="82" t="str">
        <f t="shared" si="136"/>
        <v>NO</v>
      </c>
      <c r="E1140" s="27">
        <v>2361.84</v>
      </c>
      <c r="F1140" s="27">
        <v>1398.78</v>
      </c>
      <c r="G1140" s="27">
        <v>190.62</v>
      </c>
      <c r="H1140" s="27">
        <v>74.14</v>
      </c>
      <c r="I1140" s="27">
        <v>543.79999999999995</v>
      </c>
      <c r="J1140" s="27">
        <v>4805.34</v>
      </c>
      <c r="K1140" s="47">
        <f t="shared" si="137"/>
        <v>0.4915032026870107</v>
      </c>
      <c r="L1140" s="47">
        <f t="shared" si="138"/>
        <v>0.2910886638614541</v>
      </c>
      <c r="M1140" s="84">
        <f t="shared" si="139"/>
        <v>0.7825918665484648</v>
      </c>
      <c r="N1140" s="47">
        <f t="shared" si="140"/>
        <v>3.9668368939554742E-2</v>
      </c>
      <c r="O1140" s="47">
        <f t="shared" si="141"/>
        <v>1.5428668939138541E-2</v>
      </c>
      <c r="P1140" s="47">
        <f t="shared" si="142"/>
        <v>0.11316576974782221</v>
      </c>
      <c r="Q1140" s="47">
        <f t="shared" si="143"/>
        <v>1</v>
      </c>
    </row>
    <row r="1141" spans="1:17" x14ac:dyDescent="0.35">
      <c r="A1141" s="82">
        <v>1138</v>
      </c>
      <c r="B1141" s="83" t="str">
        <f>_xlfn.XLOOKUP(A1141,'TAZs by City - CCAG Model'!$A:$A,'TAZs by City - CCAG Model'!$B:$B,"Unknown")</f>
        <v>San Jose</v>
      </c>
      <c r="C1141" s="82">
        <f>_xlfn.XLOOKUP(A1141,'TAZs by City - CCAG Model'!$A:$A,'TAZs by City - CCAG Model'!$C:$C,999)</f>
        <v>3</v>
      </c>
      <c r="D1141" s="82" t="str">
        <f t="shared" si="136"/>
        <v>NO</v>
      </c>
      <c r="E1141" s="27">
        <v>4686.1400000000003</v>
      </c>
      <c r="F1141" s="27">
        <v>2696.7</v>
      </c>
      <c r="G1141" s="27">
        <v>324.2</v>
      </c>
      <c r="H1141" s="27">
        <v>122.7</v>
      </c>
      <c r="I1141" s="27">
        <v>794.92</v>
      </c>
      <c r="J1141" s="27">
        <v>8992.02</v>
      </c>
      <c r="K1141" s="47">
        <f t="shared" si="137"/>
        <v>0.52114430350466301</v>
      </c>
      <c r="L1141" s="47">
        <f t="shared" si="138"/>
        <v>0.29989924399634338</v>
      </c>
      <c r="M1141" s="84">
        <f t="shared" si="139"/>
        <v>0.82104354750100639</v>
      </c>
      <c r="N1141" s="47">
        <f t="shared" si="140"/>
        <v>3.6054190270929112E-2</v>
      </c>
      <c r="O1141" s="47">
        <f t="shared" si="141"/>
        <v>1.3645432283291185E-2</v>
      </c>
      <c r="P1141" s="47">
        <f t="shared" si="142"/>
        <v>8.8402828285524274E-2</v>
      </c>
      <c r="Q1141" s="47">
        <f t="shared" si="143"/>
        <v>1</v>
      </c>
    </row>
    <row r="1142" spans="1:17" x14ac:dyDescent="0.35">
      <c r="A1142" s="82">
        <v>1139</v>
      </c>
      <c r="B1142" s="83" t="str">
        <f>_xlfn.XLOOKUP(A1142,'TAZs by City - CCAG Model'!$A:$A,'TAZs by City - CCAG Model'!$B:$B,"Unknown")</f>
        <v>San Jose</v>
      </c>
      <c r="C1142" s="82">
        <f>_xlfn.XLOOKUP(A1142,'TAZs by City - CCAG Model'!$A:$A,'TAZs by City - CCAG Model'!$C:$C,999)</f>
        <v>3</v>
      </c>
      <c r="D1142" s="82" t="str">
        <f t="shared" si="136"/>
        <v>NO</v>
      </c>
      <c r="E1142" s="27">
        <v>2348.94</v>
      </c>
      <c r="F1142" s="27">
        <v>1505.82</v>
      </c>
      <c r="G1142" s="27">
        <v>164.68</v>
      </c>
      <c r="H1142" s="27">
        <v>74.12</v>
      </c>
      <c r="I1142" s="27">
        <v>437.52</v>
      </c>
      <c r="J1142" s="27">
        <v>4734.78</v>
      </c>
      <c r="K1142" s="47">
        <f t="shared" si="137"/>
        <v>0.49610330363818383</v>
      </c>
      <c r="L1142" s="47">
        <f t="shared" si="138"/>
        <v>0.31803378404065236</v>
      </c>
      <c r="M1142" s="84">
        <f t="shared" si="139"/>
        <v>0.8141370876788363</v>
      </c>
      <c r="N1142" s="47">
        <f t="shared" si="140"/>
        <v>3.4780919071213452E-2</v>
      </c>
      <c r="O1142" s="47">
        <f t="shared" si="141"/>
        <v>1.5654370424813827E-2</v>
      </c>
      <c r="P1142" s="47">
        <f t="shared" si="142"/>
        <v>9.2405560554027849E-2</v>
      </c>
      <c r="Q1142" s="47">
        <f t="shared" si="143"/>
        <v>1</v>
      </c>
    </row>
    <row r="1143" spans="1:17" x14ac:dyDescent="0.35">
      <c r="A1143" s="82">
        <v>1140</v>
      </c>
      <c r="B1143" s="83" t="str">
        <f>_xlfn.XLOOKUP(A1143,'TAZs by City - CCAG Model'!$A:$A,'TAZs by City - CCAG Model'!$B:$B,"Unknown")</f>
        <v>San Jose</v>
      </c>
      <c r="C1143" s="82">
        <f>_xlfn.XLOOKUP(A1143,'TAZs by City - CCAG Model'!$A:$A,'TAZs by City - CCAG Model'!$C:$C,999)</f>
        <v>3</v>
      </c>
      <c r="D1143" s="82" t="str">
        <f t="shared" si="136"/>
        <v>NO</v>
      </c>
      <c r="E1143" s="27">
        <v>929.42</v>
      </c>
      <c r="F1143" s="27">
        <v>580.98</v>
      </c>
      <c r="G1143" s="27">
        <v>55.28</v>
      </c>
      <c r="H1143" s="27">
        <v>24.7</v>
      </c>
      <c r="I1143" s="27">
        <v>130.84</v>
      </c>
      <c r="J1143" s="27">
        <v>1808.72</v>
      </c>
      <c r="K1143" s="47">
        <f t="shared" si="137"/>
        <v>0.51385510195055062</v>
      </c>
      <c r="L1143" s="47">
        <f t="shared" si="138"/>
        <v>0.32121057985757884</v>
      </c>
      <c r="M1143" s="84">
        <f t="shared" si="139"/>
        <v>0.83506568180812957</v>
      </c>
      <c r="N1143" s="47">
        <f t="shared" si="140"/>
        <v>3.0563050112786944E-2</v>
      </c>
      <c r="O1143" s="47">
        <f t="shared" si="141"/>
        <v>1.3656066168340041E-2</v>
      </c>
      <c r="P1143" s="47">
        <f t="shared" si="142"/>
        <v>7.2338449290105716E-2</v>
      </c>
      <c r="Q1143" s="47">
        <f t="shared" si="143"/>
        <v>1</v>
      </c>
    </row>
    <row r="1144" spans="1:17" x14ac:dyDescent="0.35">
      <c r="A1144" s="82">
        <v>1141</v>
      </c>
      <c r="B1144" s="83" t="str">
        <f>_xlfn.XLOOKUP(A1144,'TAZs by City - CCAG Model'!$A:$A,'TAZs by City - CCAG Model'!$B:$B,"Unknown")</f>
        <v>San Jose</v>
      </c>
      <c r="C1144" s="82">
        <f>_xlfn.XLOOKUP(A1144,'TAZs by City - CCAG Model'!$A:$A,'TAZs by City - CCAG Model'!$C:$C,999)</f>
        <v>3</v>
      </c>
      <c r="D1144" s="82" t="str">
        <f t="shared" si="136"/>
        <v>NO</v>
      </c>
      <c r="E1144" s="27">
        <v>5008.84</v>
      </c>
      <c r="F1144" s="27">
        <v>2725.24</v>
      </c>
      <c r="G1144" s="27">
        <v>1257.78</v>
      </c>
      <c r="H1144" s="27">
        <v>259.88</v>
      </c>
      <c r="I1144" s="27">
        <v>1534.76</v>
      </c>
      <c r="J1144" s="27">
        <v>12080.4</v>
      </c>
      <c r="K1144" s="47">
        <f t="shared" si="137"/>
        <v>0.41462534353167119</v>
      </c>
      <c r="L1144" s="47">
        <f t="shared" si="138"/>
        <v>0.22559186781894638</v>
      </c>
      <c r="M1144" s="84">
        <f t="shared" si="139"/>
        <v>0.64021721135061749</v>
      </c>
      <c r="N1144" s="47">
        <f t="shared" si="140"/>
        <v>0.10411741333068442</v>
      </c>
      <c r="O1144" s="47">
        <f t="shared" si="141"/>
        <v>2.1512532697592797E-2</v>
      </c>
      <c r="P1144" s="47">
        <f t="shared" si="142"/>
        <v>0.12704546207079237</v>
      </c>
      <c r="Q1144" s="47">
        <f t="shared" si="143"/>
        <v>1</v>
      </c>
    </row>
    <row r="1145" spans="1:17" x14ac:dyDescent="0.35">
      <c r="A1145" s="82">
        <v>1142</v>
      </c>
      <c r="B1145" s="83" t="str">
        <f>_xlfn.XLOOKUP(A1145,'TAZs by City - CCAG Model'!$A:$A,'TAZs by City - CCAG Model'!$B:$B,"Unknown")</f>
        <v>San Jose</v>
      </c>
      <c r="C1145" s="82">
        <f>_xlfn.XLOOKUP(A1145,'TAZs by City - CCAG Model'!$A:$A,'TAZs by City - CCAG Model'!$C:$C,999)</f>
        <v>3</v>
      </c>
      <c r="D1145" s="82" t="str">
        <f t="shared" si="136"/>
        <v>NO</v>
      </c>
      <c r="E1145" s="27">
        <v>25634.58</v>
      </c>
      <c r="F1145" s="27">
        <v>8424.7000000000007</v>
      </c>
      <c r="G1145" s="27">
        <v>5944.94</v>
      </c>
      <c r="H1145" s="27">
        <v>903.2</v>
      </c>
      <c r="I1145" s="27">
        <v>5142.8</v>
      </c>
      <c r="J1145" s="27">
        <v>52013.54</v>
      </c>
      <c r="K1145" s="47">
        <f t="shared" si="137"/>
        <v>0.4928443632177314</v>
      </c>
      <c r="L1145" s="47">
        <f t="shared" si="138"/>
        <v>0.16197128670726893</v>
      </c>
      <c r="M1145" s="84">
        <f t="shared" si="139"/>
        <v>0.6548156499250003</v>
      </c>
      <c r="N1145" s="47">
        <f t="shared" si="140"/>
        <v>0.11429600830860578</v>
      </c>
      <c r="O1145" s="47">
        <f t="shared" si="141"/>
        <v>1.7364709266087255E-2</v>
      </c>
      <c r="P1145" s="47">
        <f t="shared" si="142"/>
        <v>9.8874254665227562E-2</v>
      </c>
      <c r="Q1145" s="47">
        <f t="shared" si="143"/>
        <v>1</v>
      </c>
    </row>
    <row r="1146" spans="1:17" x14ac:dyDescent="0.35">
      <c r="A1146" s="82">
        <v>1143</v>
      </c>
      <c r="B1146" s="83" t="str">
        <f>_xlfn.XLOOKUP(A1146,'TAZs by City - CCAG Model'!$A:$A,'TAZs by City - CCAG Model'!$B:$B,"Unknown")</f>
        <v>San Jose</v>
      </c>
      <c r="C1146" s="82">
        <f>_xlfn.XLOOKUP(A1146,'TAZs by City - CCAG Model'!$A:$A,'TAZs by City - CCAG Model'!$C:$C,999)</f>
        <v>3</v>
      </c>
      <c r="D1146" s="82" t="str">
        <f t="shared" si="136"/>
        <v>NO</v>
      </c>
      <c r="E1146" s="27">
        <v>3542.08</v>
      </c>
      <c r="F1146" s="27">
        <v>1498.98</v>
      </c>
      <c r="G1146" s="27">
        <v>859.62</v>
      </c>
      <c r="H1146" s="27">
        <v>172.22</v>
      </c>
      <c r="I1146" s="27">
        <v>1535.56</v>
      </c>
      <c r="J1146" s="27">
        <v>8518.36</v>
      </c>
      <c r="K1146" s="47">
        <f t="shared" si="137"/>
        <v>0.41581712911875052</v>
      </c>
      <c r="L1146" s="47">
        <f t="shared" si="138"/>
        <v>0.17597049197263323</v>
      </c>
      <c r="M1146" s="84">
        <f t="shared" si="139"/>
        <v>0.59178762109138372</v>
      </c>
      <c r="N1146" s="47">
        <f t="shared" si="140"/>
        <v>0.10091379091750055</v>
      </c>
      <c r="O1146" s="47">
        <f t="shared" si="141"/>
        <v>2.0217506656210818E-2</v>
      </c>
      <c r="P1146" s="47">
        <f t="shared" si="142"/>
        <v>0.18026474579613913</v>
      </c>
      <c r="Q1146" s="47">
        <f t="shared" si="143"/>
        <v>1</v>
      </c>
    </row>
    <row r="1147" spans="1:17" x14ac:dyDescent="0.35">
      <c r="A1147" s="82">
        <v>1144</v>
      </c>
      <c r="B1147" s="83" t="str">
        <f>_xlfn.XLOOKUP(A1147,'TAZs by City - CCAG Model'!$A:$A,'TAZs by City - CCAG Model'!$B:$B,"Unknown")</f>
        <v>San Jose</v>
      </c>
      <c r="C1147" s="82">
        <f>_xlfn.XLOOKUP(A1147,'TAZs by City - CCAG Model'!$A:$A,'TAZs by City - CCAG Model'!$C:$C,999)</f>
        <v>3</v>
      </c>
      <c r="D1147" s="82" t="str">
        <f t="shared" si="136"/>
        <v>NO</v>
      </c>
      <c r="E1147" s="27">
        <v>2641.92</v>
      </c>
      <c r="F1147" s="27">
        <v>1540.52</v>
      </c>
      <c r="G1147" s="27">
        <v>536.86</v>
      </c>
      <c r="H1147" s="27">
        <v>143.76</v>
      </c>
      <c r="I1147" s="27">
        <v>707.26</v>
      </c>
      <c r="J1147" s="27">
        <v>6152.54</v>
      </c>
      <c r="K1147" s="47">
        <f t="shared" si="137"/>
        <v>0.42940314081663833</v>
      </c>
      <c r="L1147" s="47">
        <f t="shared" si="138"/>
        <v>0.25038764477760406</v>
      </c>
      <c r="M1147" s="84">
        <f t="shared" si="139"/>
        <v>0.67979078559424244</v>
      </c>
      <c r="N1147" s="47">
        <f t="shared" si="140"/>
        <v>8.7258270567928051E-2</v>
      </c>
      <c r="O1147" s="47">
        <f t="shared" si="141"/>
        <v>2.3365959424887933E-2</v>
      </c>
      <c r="P1147" s="47">
        <f t="shared" si="142"/>
        <v>0.1149541490181291</v>
      </c>
      <c r="Q1147" s="47">
        <f t="shared" si="143"/>
        <v>1</v>
      </c>
    </row>
    <row r="1148" spans="1:17" x14ac:dyDescent="0.35">
      <c r="A1148" s="82">
        <v>1145</v>
      </c>
      <c r="B1148" s="83" t="str">
        <f>_xlfn.XLOOKUP(A1148,'TAZs by City - CCAG Model'!$A:$A,'TAZs by City - CCAG Model'!$B:$B,"Unknown")</f>
        <v>San Jose</v>
      </c>
      <c r="C1148" s="82">
        <f>_xlfn.XLOOKUP(A1148,'TAZs by City - CCAG Model'!$A:$A,'TAZs by City - CCAG Model'!$C:$C,999)</f>
        <v>3</v>
      </c>
      <c r="D1148" s="82" t="str">
        <f t="shared" si="136"/>
        <v>NO</v>
      </c>
      <c r="E1148" s="27">
        <v>1914.64</v>
      </c>
      <c r="F1148" s="27">
        <v>1240.76</v>
      </c>
      <c r="G1148" s="27">
        <v>323.83999999999997</v>
      </c>
      <c r="H1148" s="27">
        <v>98.92</v>
      </c>
      <c r="I1148" s="27">
        <v>471.18</v>
      </c>
      <c r="J1148" s="27">
        <v>4415.5600000000004</v>
      </c>
      <c r="K1148" s="47">
        <f t="shared" si="137"/>
        <v>0.43361204467836467</v>
      </c>
      <c r="L1148" s="47">
        <f t="shared" si="138"/>
        <v>0.28099720080805152</v>
      </c>
      <c r="M1148" s="84">
        <f t="shared" si="139"/>
        <v>0.71460924548641613</v>
      </c>
      <c r="N1148" s="47">
        <f t="shared" si="140"/>
        <v>7.3340640824719847E-2</v>
      </c>
      <c r="O1148" s="47">
        <f t="shared" si="141"/>
        <v>2.2402594461404666E-2</v>
      </c>
      <c r="P1148" s="47">
        <f t="shared" si="142"/>
        <v>0.10670900180271584</v>
      </c>
      <c r="Q1148" s="47">
        <f t="shared" si="143"/>
        <v>1</v>
      </c>
    </row>
    <row r="1149" spans="1:17" x14ac:dyDescent="0.35">
      <c r="A1149" s="82">
        <v>1146</v>
      </c>
      <c r="B1149" s="83" t="str">
        <f>_xlfn.XLOOKUP(A1149,'TAZs by City - CCAG Model'!$A:$A,'TAZs by City - CCAG Model'!$B:$B,"Unknown")</f>
        <v>San Jose</v>
      </c>
      <c r="C1149" s="82">
        <f>_xlfn.XLOOKUP(A1149,'TAZs by City - CCAG Model'!$A:$A,'TAZs by City - CCAG Model'!$C:$C,999)</f>
        <v>3</v>
      </c>
      <c r="D1149" s="82" t="str">
        <f t="shared" si="136"/>
        <v>NO</v>
      </c>
      <c r="E1149" s="27">
        <v>4491.78</v>
      </c>
      <c r="F1149" s="27">
        <v>2513.36</v>
      </c>
      <c r="G1149" s="27">
        <v>844.06</v>
      </c>
      <c r="H1149" s="27">
        <v>163.58000000000001</v>
      </c>
      <c r="I1149" s="27">
        <v>1061.04</v>
      </c>
      <c r="J1149" s="27">
        <v>9957.82</v>
      </c>
      <c r="K1149" s="47">
        <f t="shared" si="137"/>
        <v>0.45108065821635657</v>
      </c>
      <c r="L1149" s="47">
        <f t="shared" si="138"/>
        <v>0.25240062583979228</v>
      </c>
      <c r="M1149" s="84">
        <f t="shared" si="139"/>
        <v>0.70348128405614885</v>
      </c>
      <c r="N1149" s="47">
        <f t="shared" si="140"/>
        <v>8.4763532580424225E-2</v>
      </c>
      <c r="O1149" s="47">
        <f t="shared" si="141"/>
        <v>1.6427290310529818E-2</v>
      </c>
      <c r="P1149" s="47">
        <f t="shared" si="142"/>
        <v>0.1065534424201281</v>
      </c>
      <c r="Q1149" s="47">
        <f t="shared" si="143"/>
        <v>1</v>
      </c>
    </row>
    <row r="1150" spans="1:17" x14ac:dyDescent="0.35">
      <c r="A1150" s="82">
        <v>1147</v>
      </c>
      <c r="B1150" s="83" t="str">
        <f>_xlfn.XLOOKUP(A1150,'TAZs by City - CCAG Model'!$A:$A,'TAZs by City - CCAG Model'!$B:$B,"Unknown")</f>
        <v>San Jose</v>
      </c>
      <c r="C1150" s="82">
        <f>_xlfn.XLOOKUP(A1150,'TAZs by City - CCAG Model'!$A:$A,'TAZs by City - CCAG Model'!$C:$C,999)</f>
        <v>3</v>
      </c>
      <c r="D1150" s="82" t="str">
        <f t="shared" si="136"/>
        <v>NO</v>
      </c>
      <c r="E1150" s="27">
        <v>11324.94</v>
      </c>
      <c r="F1150" s="27">
        <v>5206.8599999999997</v>
      </c>
      <c r="G1150" s="27">
        <v>1905.74</v>
      </c>
      <c r="H1150" s="27">
        <v>365.2</v>
      </c>
      <c r="I1150" s="27">
        <v>2148.2600000000002</v>
      </c>
      <c r="J1150" s="27">
        <v>22881.78</v>
      </c>
      <c r="K1150" s="47">
        <f t="shared" si="137"/>
        <v>0.49493264947045207</v>
      </c>
      <c r="L1150" s="47">
        <f t="shared" si="138"/>
        <v>0.22755484931679265</v>
      </c>
      <c r="M1150" s="84">
        <f t="shared" si="139"/>
        <v>0.72248749878724472</v>
      </c>
      <c r="N1150" s="47">
        <f t="shared" si="140"/>
        <v>8.3286352722559173E-2</v>
      </c>
      <c r="O1150" s="47">
        <f t="shared" si="141"/>
        <v>1.5960296795091991E-2</v>
      </c>
      <c r="P1150" s="47">
        <f t="shared" si="142"/>
        <v>9.3885178513210085E-2</v>
      </c>
      <c r="Q1150" s="47">
        <f t="shared" si="143"/>
        <v>1</v>
      </c>
    </row>
    <row r="1151" spans="1:17" x14ac:dyDescent="0.35">
      <c r="A1151" s="82">
        <v>1148</v>
      </c>
      <c r="B1151" s="83" t="str">
        <f>_xlfn.XLOOKUP(A1151,'TAZs by City - CCAG Model'!$A:$A,'TAZs by City - CCAG Model'!$B:$B,"Unknown")</f>
        <v>San Jose</v>
      </c>
      <c r="C1151" s="82">
        <f>_xlfn.XLOOKUP(A1151,'TAZs by City - CCAG Model'!$A:$A,'TAZs by City - CCAG Model'!$C:$C,999)</f>
        <v>3</v>
      </c>
      <c r="D1151" s="82" t="str">
        <f t="shared" si="136"/>
        <v>NO</v>
      </c>
      <c r="E1151" s="27">
        <v>2014.8</v>
      </c>
      <c r="F1151" s="27">
        <v>1071.6199999999999</v>
      </c>
      <c r="G1151" s="27">
        <v>236.54</v>
      </c>
      <c r="H1151" s="27">
        <v>65.84</v>
      </c>
      <c r="I1151" s="27">
        <v>465.32</v>
      </c>
      <c r="J1151" s="27">
        <v>4136.82</v>
      </c>
      <c r="K1151" s="47">
        <f t="shared" si="137"/>
        <v>0.487040770446865</v>
      </c>
      <c r="L1151" s="47">
        <f t="shared" si="138"/>
        <v>0.25904438675117603</v>
      </c>
      <c r="M1151" s="84">
        <f t="shared" si="139"/>
        <v>0.74608515719804103</v>
      </c>
      <c r="N1151" s="47">
        <f t="shared" si="140"/>
        <v>5.71791859447595E-2</v>
      </c>
      <c r="O1151" s="47">
        <f t="shared" si="141"/>
        <v>1.5915606673725231E-2</v>
      </c>
      <c r="P1151" s="47">
        <f t="shared" si="142"/>
        <v>0.11248253489395237</v>
      </c>
      <c r="Q1151" s="47">
        <f t="shared" si="143"/>
        <v>1</v>
      </c>
    </row>
    <row r="1152" spans="1:17" x14ac:dyDescent="0.35">
      <c r="A1152" s="82">
        <v>1149</v>
      </c>
      <c r="B1152" s="83" t="str">
        <f>_xlfn.XLOOKUP(A1152,'TAZs by City - CCAG Model'!$A:$A,'TAZs by City - CCAG Model'!$B:$B,"Unknown")</f>
        <v>San Jose</v>
      </c>
      <c r="C1152" s="82">
        <f>_xlfn.XLOOKUP(A1152,'TAZs by City - CCAG Model'!$A:$A,'TAZs by City - CCAG Model'!$C:$C,999)</f>
        <v>3</v>
      </c>
      <c r="D1152" s="82" t="str">
        <f t="shared" si="136"/>
        <v>NO</v>
      </c>
      <c r="E1152" s="27">
        <v>5469.52</v>
      </c>
      <c r="F1152" s="27">
        <v>2577.04</v>
      </c>
      <c r="G1152" s="27">
        <v>1147.54</v>
      </c>
      <c r="H1152" s="27">
        <v>208.34</v>
      </c>
      <c r="I1152" s="27">
        <v>1323.62</v>
      </c>
      <c r="J1152" s="27">
        <v>11908.08</v>
      </c>
      <c r="K1152" s="47">
        <f t="shared" si="137"/>
        <v>0.45931166065394258</v>
      </c>
      <c r="L1152" s="47">
        <f t="shared" si="138"/>
        <v>0.21641104191439761</v>
      </c>
      <c r="M1152" s="84">
        <f t="shared" si="139"/>
        <v>0.67572270256834022</v>
      </c>
      <c r="N1152" s="47">
        <f t="shared" si="140"/>
        <v>9.6366500728916837E-2</v>
      </c>
      <c r="O1152" s="47">
        <f t="shared" si="141"/>
        <v>1.7495683603066154E-2</v>
      </c>
      <c r="P1152" s="47">
        <f t="shared" si="142"/>
        <v>0.11115309940813296</v>
      </c>
      <c r="Q1152" s="47">
        <f t="shared" si="143"/>
        <v>1</v>
      </c>
    </row>
    <row r="1153" spans="1:17" x14ac:dyDescent="0.35">
      <c r="A1153" s="82">
        <v>1150</v>
      </c>
      <c r="B1153" s="83" t="str">
        <f>_xlfn.XLOOKUP(A1153,'TAZs by City - CCAG Model'!$A:$A,'TAZs by City - CCAG Model'!$B:$B,"Unknown")</f>
        <v>San Jose</v>
      </c>
      <c r="C1153" s="82">
        <f>_xlfn.XLOOKUP(A1153,'TAZs by City - CCAG Model'!$A:$A,'TAZs by City - CCAG Model'!$C:$C,999)</f>
        <v>3</v>
      </c>
      <c r="D1153" s="82" t="str">
        <f t="shared" si="136"/>
        <v>NO</v>
      </c>
      <c r="E1153" s="27">
        <v>4162.2</v>
      </c>
      <c r="F1153" s="27">
        <v>3174.52</v>
      </c>
      <c r="G1153" s="27">
        <v>290.26</v>
      </c>
      <c r="H1153" s="27">
        <v>155.26</v>
      </c>
      <c r="I1153" s="27">
        <v>1809.28</v>
      </c>
      <c r="J1153" s="27">
        <v>9925.86</v>
      </c>
      <c r="K1153" s="47">
        <f t="shared" si="137"/>
        <v>0.41932890449794774</v>
      </c>
      <c r="L1153" s="47">
        <f t="shared" si="138"/>
        <v>0.31982316897477897</v>
      </c>
      <c r="M1153" s="84">
        <f t="shared" si="139"/>
        <v>0.73915207347272671</v>
      </c>
      <c r="N1153" s="47">
        <f t="shared" si="140"/>
        <v>2.9242806164906616E-2</v>
      </c>
      <c r="O1153" s="47">
        <f t="shared" si="141"/>
        <v>1.5641969562335149E-2</v>
      </c>
      <c r="P1153" s="47">
        <f t="shared" si="142"/>
        <v>0.18227941961704072</v>
      </c>
      <c r="Q1153" s="47">
        <f t="shared" si="143"/>
        <v>1</v>
      </c>
    </row>
    <row r="1154" spans="1:17" x14ac:dyDescent="0.35">
      <c r="A1154" s="82">
        <v>1151</v>
      </c>
      <c r="B1154" s="83" t="str">
        <f>_xlfn.XLOOKUP(A1154,'TAZs by City - CCAG Model'!$A:$A,'TAZs by City - CCAG Model'!$B:$B,"Unknown")</f>
        <v>San Jose</v>
      </c>
      <c r="C1154" s="82">
        <f>_xlfn.XLOOKUP(A1154,'TAZs by City - CCAG Model'!$A:$A,'TAZs by City - CCAG Model'!$C:$C,999)</f>
        <v>3</v>
      </c>
      <c r="D1154" s="82" t="str">
        <f t="shared" si="136"/>
        <v>NO</v>
      </c>
      <c r="E1154" s="27">
        <v>7224.48</v>
      </c>
      <c r="F1154" s="27">
        <v>4379.66</v>
      </c>
      <c r="G1154" s="27">
        <v>421.3</v>
      </c>
      <c r="H1154" s="27">
        <v>179.52</v>
      </c>
      <c r="I1154" s="27">
        <v>3150.46</v>
      </c>
      <c r="J1154" s="27">
        <v>15816.96</v>
      </c>
      <c r="K1154" s="47">
        <f t="shared" si="137"/>
        <v>0.456755280407866</v>
      </c>
      <c r="L1154" s="47">
        <f t="shared" si="138"/>
        <v>0.27689644533462815</v>
      </c>
      <c r="M1154" s="84">
        <f t="shared" si="139"/>
        <v>0.73365172574249415</v>
      </c>
      <c r="N1154" s="47">
        <f t="shared" si="140"/>
        <v>2.6635965444687226E-2</v>
      </c>
      <c r="O1154" s="47">
        <f t="shared" si="141"/>
        <v>1.1349842194707454E-2</v>
      </c>
      <c r="P1154" s="47">
        <f t="shared" si="142"/>
        <v>0.19918239661730194</v>
      </c>
      <c r="Q1154" s="47">
        <f t="shared" si="143"/>
        <v>1</v>
      </c>
    </row>
    <row r="1155" spans="1:17" x14ac:dyDescent="0.35">
      <c r="A1155" s="82">
        <v>1152</v>
      </c>
      <c r="B1155" s="83" t="str">
        <f>_xlfn.XLOOKUP(A1155,'TAZs by City - CCAG Model'!$A:$A,'TAZs by City - CCAG Model'!$B:$B,"Unknown")</f>
        <v>San Jose</v>
      </c>
      <c r="C1155" s="82">
        <f>_xlfn.XLOOKUP(A1155,'TAZs by City - CCAG Model'!$A:$A,'TAZs by City - CCAG Model'!$C:$C,999)</f>
        <v>3</v>
      </c>
      <c r="D1155" s="82" t="str">
        <f t="shared" si="136"/>
        <v>NO</v>
      </c>
      <c r="E1155" s="27">
        <v>4752.68</v>
      </c>
      <c r="F1155" s="27">
        <v>2632.32</v>
      </c>
      <c r="G1155" s="27">
        <v>305.14</v>
      </c>
      <c r="H1155" s="27">
        <v>125.36</v>
      </c>
      <c r="I1155" s="27">
        <v>2226.4</v>
      </c>
      <c r="J1155" s="27">
        <v>10395.26</v>
      </c>
      <c r="K1155" s="47">
        <f t="shared" si="137"/>
        <v>0.45719683778953102</v>
      </c>
      <c r="L1155" s="47">
        <f t="shared" si="138"/>
        <v>0.2532231036068362</v>
      </c>
      <c r="M1155" s="84">
        <f t="shared" si="139"/>
        <v>0.71041994139636722</v>
      </c>
      <c r="N1155" s="47">
        <f t="shared" si="140"/>
        <v>2.9353763157439063E-2</v>
      </c>
      <c r="O1155" s="47">
        <f t="shared" si="141"/>
        <v>1.2059342431069545E-2</v>
      </c>
      <c r="P1155" s="47">
        <f t="shared" si="142"/>
        <v>0.21417453724101176</v>
      </c>
      <c r="Q1155" s="47">
        <f t="shared" si="143"/>
        <v>1</v>
      </c>
    </row>
    <row r="1156" spans="1:17" x14ac:dyDescent="0.35">
      <c r="A1156" s="82">
        <v>1153</v>
      </c>
      <c r="B1156" s="83" t="str">
        <f>_xlfn.XLOOKUP(A1156,'TAZs by City - CCAG Model'!$A:$A,'TAZs by City - CCAG Model'!$B:$B,"Unknown")</f>
        <v>San Jose</v>
      </c>
      <c r="C1156" s="82">
        <f>_xlfn.XLOOKUP(A1156,'TAZs by City - CCAG Model'!$A:$A,'TAZs by City - CCAG Model'!$C:$C,999)</f>
        <v>3</v>
      </c>
      <c r="D1156" s="82" t="str">
        <f t="shared" si="136"/>
        <v>NO</v>
      </c>
      <c r="E1156" s="27">
        <v>5542.38</v>
      </c>
      <c r="F1156" s="27">
        <v>3814.4</v>
      </c>
      <c r="G1156" s="27">
        <v>426.48</v>
      </c>
      <c r="H1156" s="27">
        <v>172.36</v>
      </c>
      <c r="I1156" s="27">
        <v>2534.6999999999998</v>
      </c>
      <c r="J1156" s="27">
        <v>12961.06</v>
      </c>
      <c r="K1156" s="47">
        <f t="shared" si="137"/>
        <v>0.42761780286488915</v>
      </c>
      <c r="L1156" s="47">
        <f t="shared" si="138"/>
        <v>0.29429691707314065</v>
      </c>
      <c r="M1156" s="84">
        <f t="shared" si="139"/>
        <v>0.7219147199380298</v>
      </c>
      <c r="N1156" s="47">
        <f t="shared" si="140"/>
        <v>3.2904716126613102E-2</v>
      </c>
      <c r="O1156" s="47">
        <f t="shared" si="141"/>
        <v>1.3298295046855738E-2</v>
      </c>
      <c r="P1156" s="47">
        <f t="shared" si="142"/>
        <v>0.1955627086056233</v>
      </c>
      <c r="Q1156" s="47">
        <f t="shared" si="143"/>
        <v>1</v>
      </c>
    </row>
    <row r="1157" spans="1:17" x14ac:dyDescent="0.35">
      <c r="A1157" s="82">
        <v>1154</v>
      </c>
      <c r="B1157" s="83" t="str">
        <f>_xlfn.XLOOKUP(A1157,'TAZs by City - CCAG Model'!$A:$A,'TAZs by City - CCAG Model'!$B:$B,"Unknown")</f>
        <v>San Jose</v>
      </c>
      <c r="C1157" s="82">
        <f>_xlfn.XLOOKUP(A1157,'TAZs by City - CCAG Model'!$A:$A,'TAZs by City - CCAG Model'!$C:$C,999)</f>
        <v>3</v>
      </c>
      <c r="D1157" s="82" t="str">
        <f t="shared" ref="D1157:D1220" si="144">IF(C1157=2,"YES","NO")</f>
        <v>NO</v>
      </c>
      <c r="E1157" s="27">
        <v>8129.58</v>
      </c>
      <c r="F1157" s="27">
        <v>7195.9</v>
      </c>
      <c r="G1157" s="27">
        <v>560.88</v>
      </c>
      <c r="H1157" s="27">
        <v>317.8</v>
      </c>
      <c r="I1157" s="27">
        <v>1201.32</v>
      </c>
      <c r="J1157" s="27">
        <v>18001.259999999998</v>
      </c>
      <c r="K1157" s="47">
        <f t="shared" ref="K1157:K1220" si="145">IFERROR(E1157/$J1157,0)</f>
        <v>0.45161172051289744</v>
      </c>
      <c r="L1157" s="47">
        <f t="shared" ref="L1157:L1220" si="146">IFERROR(F1157/$J1157,0)</f>
        <v>0.39974424012541349</v>
      </c>
      <c r="M1157" s="84">
        <f t="shared" ref="M1157:M1220" si="147">IFERROR((E1157+F1157)/J1157,0)</f>
        <v>0.85135596063831087</v>
      </c>
      <c r="N1157" s="47">
        <f t="shared" ref="N1157:N1220" si="148">IFERROR(G1157/$J1157,0)</f>
        <v>3.1157818952673316E-2</v>
      </c>
      <c r="O1157" s="47">
        <f t="shared" ref="O1157:O1220" si="149">IFERROR(H1157/$J1157,0)</f>
        <v>1.7654319753172835E-2</v>
      </c>
      <c r="P1157" s="47">
        <f t="shared" ref="P1157:P1220" si="150">IFERROR(I1157/$J1157,0)</f>
        <v>6.6735328527003118E-2</v>
      </c>
      <c r="Q1157" s="47">
        <f t="shared" ref="Q1157:Q1220" si="151">IFERROR(J1157/$J1157,0)</f>
        <v>1</v>
      </c>
    </row>
    <row r="1158" spans="1:17" x14ac:dyDescent="0.35">
      <c r="A1158" s="82">
        <v>1155</v>
      </c>
      <c r="B1158" s="83" t="str">
        <f>_xlfn.XLOOKUP(A1158,'TAZs by City - CCAG Model'!$A:$A,'TAZs by City - CCAG Model'!$B:$B,"Unknown")</f>
        <v>San Jose</v>
      </c>
      <c r="C1158" s="82">
        <f>_xlfn.XLOOKUP(A1158,'TAZs by City - CCAG Model'!$A:$A,'TAZs by City - CCAG Model'!$C:$C,999)</f>
        <v>3</v>
      </c>
      <c r="D1158" s="82" t="str">
        <f t="shared" si="144"/>
        <v>NO</v>
      </c>
      <c r="E1158" s="27">
        <v>2619.62</v>
      </c>
      <c r="F1158" s="27">
        <v>2640.86</v>
      </c>
      <c r="G1158" s="27">
        <v>192.84</v>
      </c>
      <c r="H1158" s="27">
        <v>101.7</v>
      </c>
      <c r="I1158" s="27">
        <v>497.72</v>
      </c>
      <c r="J1158" s="27">
        <v>6277.72</v>
      </c>
      <c r="K1158" s="47">
        <f t="shared" si="145"/>
        <v>0.41728844230070788</v>
      </c>
      <c r="L1158" s="47">
        <f t="shared" si="146"/>
        <v>0.42067183627176746</v>
      </c>
      <c r="M1158" s="84">
        <f t="shared" si="147"/>
        <v>0.83796027857247524</v>
      </c>
      <c r="N1158" s="47">
        <f t="shared" si="148"/>
        <v>3.0718158821992698E-2</v>
      </c>
      <c r="O1158" s="47">
        <f t="shared" si="149"/>
        <v>1.6200149098717368E-2</v>
      </c>
      <c r="P1158" s="47">
        <f t="shared" si="150"/>
        <v>7.9283561547823095E-2</v>
      </c>
      <c r="Q1158" s="47">
        <f t="shared" si="151"/>
        <v>1</v>
      </c>
    </row>
    <row r="1159" spans="1:17" x14ac:dyDescent="0.35">
      <c r="A1159" s="82">
        <v>1156</v>
      </c>
      <c r="B1159" s="83" t="str">
        <f>_xlfn.XLOOKUP(A1159,'TAZs by City - CCAG Model'!$A:$A,'TAZs by City - CCAG Model'!$B:$B,"Unknown")</f>
        <v>San Jose</v>
      </c>
      <c r="C1159" s="82">
        <f>_xlfn.XLOOKUP(A1159,'TAZs by City - CCAG Model'!$A:$A,'TAZs by City - CCAG Model'!$C:$C,999)</f>
        <v>3</v>
      </c>
      <c r="D1159" s="82" t="str">
        <f t="shared" si="144"/>
        <v>NO</v>
      </c>
      <c r="E1159" s="27">
        <v>773.8</v>
      </c>
      <c r="F1159" s="27">
        <v>644.55999999999995</v>
      </c>
      <c r="G1159" s="27">
        <v>34.14</v>
      </c>
      <c r="H1159" s="27">
        <v>21</v>
      </c>
      <c r="I1159" s="27">
        <v>102.86</v>
      </c>
      <c r="J1159" s="27">
        <v>1649.34</v>
      </c>
      <c r="K1159" s="47">
        <f t="shared" si="145"/>
        <v>0.46915735991366242</v>
      </c>
      <c r="L1159" s="47">
        <f t="shared" si="146"/>
        <v>0.39079874373992018</v>
      </c>
      <c r="M1159" s="84">
        <f t="shared" si="147"/>
        <v>0.85995610365358266</v>
      </c>
      <c r="N1159" s="47">
        <f t="shared" si="148"/>
        <v>2.0699188766415657E-2</v>
      </c>
      <c r="O1159" s="47">
        <f t="shared" si="149"/>
        <v>1.2732365673542145E-2</v>
      </c>
      <c r="P1159" s="47">
        <f t="shared" si="150"/>
        <v>6.2364339675264051E-2</v>
      </c>
      <c r="Q1159" s="47">
        <f t="shared" si="151"/>
        <v>1</v>
      </c>
    </row>
    <row r="1160" spans="1:17" x14ac:dyDescent="0.35">
      <c r="A1160" s="82">
        <v>1157</v>
      </c>
      <c r="B1160" s="83" t="str">
        <f>_xlfn.XLOOKUP(A1160,'TAZs by City - CCAG Model'!$A:$A,'TAZs by City - CCAG Model'!$B:$B,"Unknown")</f>
        <v>San Jose</v>
      </c>
      <c r="C1160" s="82">
        <f>_xlfn.XLOOKUP(A1160,'TAZs by City - CCAG Model'!$A:$A,'TAZs by City - CCAG Model'!$C:$C,999)</f>
        <v>3</v>
      </c>
      <c r="D1160" s="82" t="str">
        <f t="shared" si="144"/>
        <v>NO</v>
      </c>
      <c r="E1160" s="27">
        <v>3759.48</v>
      </c>
      <c r="F1160" s="27">
        <v>2850.18</v>
      </c>
      <c r="G1160" s="27">
        <v>309.10000000000002</v>
      </c>
      <c r="H1160" s="27">
        <v>135.04</v>
      </c>
      <c r="I1160" s="27">
        <v>659.56</v>
      </c>
      <c r="J1160" s="27">
        <v>8055.96</v>
      </c>
      <c r="K1160" s="47">
        <f t="shared" si="145"/>
        <v>0.46667063888102722</v>
      </c>
      <c r="L1160" s="47">
        <f t="shared" si="146"/>
        <v>0.35379768519208138</v>
      </c>
      <c r="M1160" s="84">
        <f t="shared" si="147"/>
        <v>0.82046832407310855</v>
      </c>
      <c r="N1160" s="47">
        <f t="shared" si="148"/>
        <v>3.8369108088918018E-2</v>
      </c>
      <c r="O1160" s="47">
        <f t="shared" si="149"/>
        <v>1.6762744601512419E-2</v>
      </c>
      <c r="P1160" s="47">
        <f t="shared" si="150"/>
        <v>8.1872303238844271E-2</v>
      </c>
      <c r="Q1160" s="47">
        <f t="shared" si="151"/>
        <v>1</v>
      </c>
    </row>
    <row r="1161" spans="1:17" x14ac:dyDescent="0.35">
      <c r="A1161" s="82">
        <v>1158</v>
      </c>
      <c r="B1161" s="83" t="str">
        <f>_xlfn.XLOOKUP(A1161,'TAZs by City - CCAG Model'!$A:$A,'TAZs by City - CCAG Model'!$B:$B,"Unknown")</f>
        <v>San Jose</v>
      </c>
      <c r="C1161" s="82">
        <f>_xlfn.XLOOKUP(A1161,'TAZs by City - CCAG Model'!$A:$A,'TAZs by City - CCAG Model'!$C:$C,999)</f>
        <v>3</v>
      </c>
      <c r="D1161" s="82" t="str">
        <f t="shared" si="144"/>
        <v>NO</v>
      </c>
      <c r="E1161" s="27">
        <v>4310.5</v>
      </c>
      <c r="F1161" s="27">
        <v>3247.78</v>
      </c>
      <c r="G1161" s="27">
        <v>508.78</v>
      </c>
      <c r="H1161" s="27">
        <v>174.5</v>
      </c>
      <c r="I1161" s="27">
        <v>976.38</v>
      </c>
      <c r="J1161" s="27">
        <v>9760.56</v>
      </c>
      <c r="K1161" s="47">
        <f t="shared" si="145"/>
        <v>0.4416242510675617</v>
      </c>
      <c r="L1161" s="47">
        <f t="shared" si="146"/>
        <v>0.33274525232158814</v>
      </c>
      <c r="M1161" s="84">
        <f t="shared" si="147"/>
        <v>0.77436950338914989</v>
      </c>
      <c r="N1161" s="47">
        <f t="shared" si="148"/>
        <v>5.2126107518421075E-2</v>
      </c>
      <c r="O1161" s="47">
        <f t="shared" si="149"/>
        <v>1.7878072569606662E-2</v>
      </c>
      <c r="P1161" s="47">
        <f t="shared" si="150"/>
        <v>0.10003319481669085</v>
      </c>
      <c r="Q1161" s="47">
        <f t="shared" si="151"/>
        <v>1</v>
      </c>
    </row>
    <row r="1162" spans="1:17" x14ac:dyDescent="0.35">
      <c r="A1162" s="82">
        <v>1159</v>
      </c>
      <c r="B1162" s="83" t="str">
        <f>_xlfn.XLOOKUP(A1162,'TAZs by City - CCAG Model'!$A:$A,'TAZs by City - CCAG Model'!$B:$B,"Unknown")</f>
        <v>San Jose</v>
      </c>
      <c r="C1162" s="82">
        <f>_xlfn.XLOOKUP(A1162,'TAZs by City - CCAG Model'!$A:$A,'TAZs by City - CCAG Model'!$C:$C,999)</f>
        <v>3</v>
      </c>
      <c r="D1162" s="82" t="str">
        <f t="shared" si="144"/>
        <v>NO</v>
      </c>
      <c r="E1162" s="27">
        <v>2473.62</v>
      </c>
      <c r="F1162" s="27">
        <v>1763.96</v>
      </c>
      <c r="G1162" s="27">
        <v>312.56</v>
      </c>
      <c r="H1162" s="27">
        <v>93.88</v>
      </c>
      <c r="I1162" s="27">
        <v>524.79999999999995</v>
      </c>
      <c r="J1162" s="27">
        <v>5522.76</v>
      </c>
      <c r="K1162" s="47">
        <f t="shared" si="145"/>
        <v>0.44789561740868694</v>
      </c>
      <c r="L1162" s="47">
        <f t="shared" si="146"/>
        <v>0.31939827187855346</v>
      </c>
      <c r="M1162" s="84">
        <f t="shared" si="147"/>
        <v>0.7672938892872404</v>
      </c>
      <c r="N1162" s="47">
        <f t="shared" si="148"/>
        <v>5.6594890960316939E-2</v>
      </c>
      <c r="O1162" s="47">
        <f t="shared" si="149"/>
        <v>1.6998747003309937E-2</v>
      </c>
      <c r="P1162" s="47">
        <f t="shared" si="150"/>
        <v>9.5024951292469698E-2</v>
      </c>
      <c r="Q1162" s="47">
        <f t="shared" si="151"/>
        <v>1</v>
      </c>
    </row>
    <row r="1163" spans="1:17" x14ac:dyDescent="0.35">
      <c r="A1163" s="82">
        <v>1160</v>
      </c>
      <c r="B1163" s="83" t="str">
        <f>_xlfn.XLOOKUP(A1163,'TAZs by City - CCAG Model'!$A:$A,'TAZs by City - CCAG Model'!$B:$B,"Unknown")</f>
        <v>San Jose</v>
      </c>
      <c r="C1163" s="82">
        <f>_xlfn.XLOOKUP(A1163,'TAZs by City - CCAG Model'!$A:$A,'TAZs by City - CCAG Model'!$C:$C,999)</f>
        <v>3</v>
      </c>
      <c r="D1163" s="82" t="str">
        <f t="shared" si="144"/>
        <v>NO</v>
      </c>
      <c r="E1163" s="27">
        <v>2667.36</v>
      </c>
      <c r="F1163" s="27">
        <v>1899</v>
      </c>
      <c r="G1163" s="27">
        <v>334.78</v>
      </c>
      <c r="H1163" s="27">
        <v>106.56</v>
      </c>
      <c r="I1163" s="27">
        <v>615.9</v>
      </c>
      <c r="J1163" s="27">
        <v>6000.24</v>
      </c>
      <c r="K1163" s="47">
        <f t="shared" si="145"/>
        <v>0.44454221831126761</v>
      </c>
      <c r="L1163" s="47">
        <f t="shared" si="146"/>
        <v>0.31648734050637978</v>
      </c>
      <c r="M1163" s="84">
        <f t="shared" si="147"/>
        <v>0.76102955881764744</v>
      </c>
      <c r="N1163" s="47">
        <f t="shared" si="148"/>
        <v>5.5794434889271091E-2</v>
      </c>
      <c r="O1163" s="47">
        <f t="shared" si="149"/>
        <v>1.7759289628414863E-2</v>
      </c>
      <c r="P1163" s="47">
        <f t="shared" si="150"/>
        <v>0.10264589416423343</v>
      </c>
      <c r="Q1163" s="47">
        <f t="shared" si="151"/>
        <v>1</v>
      </c>
    </row>
    <row r="1164" spans="1:17" x14ac:dyDescent="0.35">
      <c r="A1164" s="82">
        <v>1161</v>
      </c>
      <c r="B1164" s="83" t="str">
        <f>_xlfn.XLOOKUP(A1164,'TAZs by City - CCAG Model'!$A:$A,'TAZs by City - CCAG Model'!$B:$B,"Unknown")</f>
        <v>San Jose</v>
      </c>
      <c r="C1164" s="82">
        <f>_xlfn.XLOOKUP(A1164,'TAZs by City - CCAG Model'!$A:$A,'TAZs by City - CCAG Model'!$C:$C,999)</f>
        <v>3</v>
      </c>
      <c r="D1164" s="82" t="str">
        <f t="shared" si="144"/>
        <v>NO</v>
      </c>
      <c r="E1164" s="27">
        <v>224.34</v>
      </c>
      <c r="F1164" s="27">
        <v>132.12</v>
      </c>
      <c r="G1164" s="27">
        <v>11.54</v>
      </c>
      <c r="H1164" s="27">
        <v>3.02</v>
      </c>
      <c r="I1164" s="27">
        <v>20.399999999999999</v>
      </c>
      <c r="J1164" s="27">
        <v>435.5</v>
      </c>
      <c r="K1164" s="47">
        <f t="shared" si="145"/>
        <v>0.51513203214695757</v>
      </c>
      <c r="L1164" s="47">
        <f t="shared" si="146"/>
        <v>0.30337543053960964</v>
      </c>
      <c r="M1164" s="84">
        <f t="shared" si="147"/>
        <v>0.81850746268656727</v>
      </c>
      <c r="N1164" s="47">
        <f t="shared" si="148"/>
        <v>2.6498277841561422E-2</v>
      </c>
      <c r="O1164" s="47">
        <f t="shared" si="149"/>
        <v>6.9345579793340991E-3</v>
      </c>
      <c r="P1164" s="47">
        <f t="shared" si="150"/>
        <v>4.6842709529276688E-2</v>
      </c>
      <c r="Q1164" s="47">
        <f t="shared" si="151"/>
        <v>1</v>
      </c>
    </row>
    <row r="1165" spans="1:17" x14ac:dyDescent="0.35">
      <c r="A1165" s="82">
        <v>1162</v>
      </c>
      <c r="B1165" s="83" t="str">
        <f>_xlfn.XLOOKUP(A1165,'TAZs by City - CCAG Model'!$A:$A,'TAZs by City - CCAG Model'!$B:$B,"Unknown")</f>
        <v>San Jose</v>
      </c>
      <c r="C1165" s="82">
        <f>_xlfn.XLOOKUP(A1165,'TAZs by City - CCAG Model'!$A:$A,'TAZs by City - CCAG Model'!$C:$C,999)</f>
        <v>3</v>
      </c>
      <c r="D1165" s="82" t="str">
        <f t="shared" si="144"/>
        <v>NO</v>
      </c>
      <c r="E1165" s="27">
        <v>511.76</v>
      </c>
      <c r="F1165" s="27">
        <v>364.88</v>
      </c>
      <c r="G1165" s="27">
        <v>32.6</v>
      </c>
      <c r="H1165" s="27">
        <v>10.08</v>
      </c>
      <c r="I1165" s="27">
        <v>77.42</v>
      </c>
      <c r="J1165" s="27">
        <v>1065.76</v>
      </c>
      <c r="K1165" s="47">
        <f t="shared" si="145"/>
        <v>0.48018315568233</v>
      </c>
      <c r="L1165" s="47">
        <f t="shared" si="146"/>
        <v>0.34236601110944304</v>
      </c>
      <c r="M1165" s="84">
        <f t="shared" si="147"/>
        <v>0.82254916679177303</v>
      </c>
      <c r="N1165" s="47">
        <f t="shared" si="148"/>
        <v>3.0588500225191415E-2</v>
      </c>
      <c r="O1165" s="47">
        <f t="shared" si="149"/>
        <v>9.4580393334334177E-3</v>
      </c>
      <c r="P1165" s="47">
        <f t="shared" si="150"/>
        <v>7.2642996547065006E-2</v>
      </c>
      <c r="Q1165" s="47">
        <f t="shared" si="151"/>
        <v>1</v>
      </c>
    </row>
    <row r="1166" spans="1:17" x14ac:dyDescent="0.35">
      <c r="A1166" s="82">
        <v>1163</v>
      </c>
      <c r="B1166" s="83" t="str">
        <f>_xlfn.XLOOKUP(A1166,'TAZs by City - CCAG Model'!$A:$A,'TAZs by City - CCAG Model'!$B:$B,"Unknown")</f>
        <v>San Jose</v>
      </c>
      <c r="C1166" s="82">
        <f>_xlfn.XLOOKUP(A1166,'TAZs by City - CCAG Model'!$A:$A,'TAZs by City - CCAG Model'!$C:$C,999)</f>
        <v>3</v>
      </c>
      <c r="D1166" s="82" t="str">
        <f t="shared" si="144"/>
        <v>NO</v>
      </c>
      <c r="E1166" s="27">
        <v>4650.26</v>
      </c>
      <c r="F1166" s="27">
        <v>2261.66</v>
      </c>
      <c r="G1166" s="27">
        <v>215.76</v>
      </c>
      <c r="H1166" s="27">
        <v>106.46</v>
      </c>
      <c r="I1166" s="27">
        <v>453.66</v>
      </c>
      <c r="J1166" s="27">
        <v>7943.62</v>
      </c>
      <c r="K1166" s="47">
        <f t="shared" si="145"/>
        <v>0.58540816403604401</v>
      </c>
      <c r="L1166" s="47">
        <f t="shared" si="146"/>
        <v>0.28471402207054214</v>
      </c>
      <c r="M1166" s="84">
        <f t="shared" si="147"/>
        <v>0.8701221861065862</v>
      </c>
      <c r="N1166" s="47">
        <f t="shared" si="148"/>
        <v>2.7161420108212628E-2</v>
      </c>
      <c r="O1166" s="47">
        <f t="shared" si="149"/>
        <v>1.3401950244347035E-2</v>
      </c>
      <c r="P1166" s="47">
        <f t="shared" si="150"/>
        <v>5.710998260239035E-2</v>
      </c>
      <c r="Q1166" s="47">
        <f t="shared" si="151"/>
        <v>1</v>
      </c>
    </row>
    <row r="1167" spans="1:17" x14ac:dyDescent="0.35">
      <c r="A1167" s="82">
        <v>1164</v>
      </c>
      <c r="B1167" s="83" t="str">
        <f>_xlfn.XLOOKUP(A1167,'TAZs by City - CCAG Model'!$A:$A,'TAZs by City - CCAG Model'!$B:$B,"Unknown")</f>
        <v>San Jose</v>
      </c>
      <c r="C1167" s="82">
        <f>_xlfn.XLOOKUP(A1167,'TAZs by City - CCAG Model'!$A:$A,'TAZs by City - CCAG Model'!$C:$C,999)</f>
        <v>3</v>
      </c>
      <c r="D1167" s="82" t="str">
        <f t="shared" si="144"/>
        <v>NO</v>
      </c>
      <c r="E1167" s="27">
        <v>2230.98</v>
      </c>
      <c r="F1167" s="27">
        <v>1434.86</v>
      </c>
      <c r="G1167" s="27">
        <v>236.88</v>
      </c>
      <c r="H1167" s="27">
        <v>74.84</v>
      </c>
      <c r="I1167" s="27">
        <v>381.68</v>
      </c>
      <c r="J1167" s="27">
        <v>4638.74</v>
      </c>
      <c r="K1167" s="47">
        <f t="shared" si="145"/>
        <v>0.4809452566860829</v>
      </c>
      <c r="L1167" s="47">
        <f t="shared" si="146"/>
        <v>0.30932106563420236</v>
      </c>
      <c r="M1167" s="84">
        <f t="shared" si="147"/>
        <v>0.79026632232028526</v>
      </c>
      <c r="N1167" s="47">
        <f t="shared" si="148"/>
        <v>5.10655910872349E-2</v>
      </c>
      <c r="O1167" s="47">
        <f t="shared" si="149"/>
        <v>1.6133691476564758E-2</v>
      </c>
      <c r="P1167" s="47">
        <f t="shared" si="150"/>
        <v>8.2280964227354841E-2</v>
      </c>
      <c r="Q1167" s="47">
        <f t="shared" si="151"/>
        <v>1</v>
      </c>
    </row>
    <row r="1168" spans="1:17" x14ac:dyDescent="0.35">
      <c r="A1168" s="82">
        <v>1165</v>
      </c>
      <c r="B1168" s="83" t="str">
        <f>_xlfn.XLOOKUP(A1168,'TAZs by City - CCAG Model'!$A:$A,'TAZs by City - CCAG Model'!$B:$B,"Unknown")</f>
        <v>San Jose</v>
      </c>
      <c r="C1168" s="82">
        <f>_xlfn.XLOOKUP(A1168,'TAZs by City - CCAG Model'!$A:$A,'TAZs by City - CCAG Model'!$C:$C,999)</f>
        <v>3</v>
      </c>
      <c r="D1168" s="82" t="str">
        <f t="shared" si="144"/>
        <v>NO</v>
      </c>
      <c r="E1168" s="27">
        <v>3202.84</v>
      </c>
      <c r="F1168" s="27">
        <v>1071.1400000000001</v>
      </c>
      <c r="G1168" s="27">
        <v>77.84</v>
      </c>
      <c r="H1168" s="27">
        <v>45.5</v>
      </c>
      <c r="I1168" s="27">
        <v>374.08</v>
      </c>
      <c r="J1168" s="27">
        <v>4892.1000000000004</v>
      </c>
      <c r="K1168" s="47">
        <f t="shared" si="145"/>
        <v>0.65469634717197112</v>
      </c>
      <c r="L1168" s="47">
        <f t="shared" si="146"/>
        <v>0.21895300586660127</v>
      </c>
      <c r="M1168" s="84">
        <f t="shared" si="147"/>
        <v>0.87364935303857238</v>
      </c>
      <c r="N1168" s="47">
        <f t="shared" si="148"/>
        <v>1.5911367306473703E-2</v>
      </c>
      <c r="O1168" s="47">
        <f t="shared" si="149"/>
        <v>9.3007093068416414E-3</v>
      </c>
      <c r="P1168" s="47">
        <f t="shared" si="150"/>
        <v>7.6466139285787285E-2</v>
      </c>
      <c r="Q1168" s="47">
        <f t="shared" si="151"/>
        <v>1</v>
      </c>
    </row>
    <row r="1169" spans="1:17" x14ac:dyDescent="0.35">
      <c r="A1169" s="82">
        <v>1166</v>
      </c>
      <c r="B1169" s="83" t="str">
        <f>_xlfn.XLOOKUP(A1169,'TAZs by City - CCAG Model'!$A:$A,'TAZs by City - CCAG Model'!$B:$B,"Unknown")</f>
        <v>San Jose</v>
      </c>
      <c r="C1169" s="82">
        <f>_xlfn.XLOOKUP(A1169,'TAZs by City - CCAG Model'!$A:$A,'TAZs by City - CCAG Model'!$C:$C,999)</f>
        <v>3</v>
      </c>
      <c r="D1169" s="82" t="str">
        <f t="shared" si="144"/>
        <v>NO</v>
      </c>
      <c r="E1169" s="27">
        <v>2086.6799999999998</v>
      </c>
      <c r="F1169" s="27">
        <v>1774.18</v>
      </c>
      <c r="G1169" s="27">
        <v>121.92</v>
      </c>
      <c r="H1169" s="27">
        <v>66.02</v>
      </c>
      <c r="I1169" s="27">
        <v>226.96</v>
      </c>
      <c r="J1169" s="27">
        <v>4437.8999999999996</v>
      </c>
      <c r="K1169" s="47">
        <f t="shared" si="145"/>
        <v>0.47019536267153383</v>
      </c>
      <c r="L1169" s="47">
        <f t="shared" si="146"/>
        <v>0.39977917483494452</v>
      </c>
      <c r="M1169" s="84">
        <f t="shared" si="147"/>
        <v>0.86997453750647824</v>
      </c>
      <c r="N1169" s="47">
        <f t="shared" si="148"/>
        <v>2.7472453187318328E-2</v>
      </c>
      <c r="O1169" s="47">
        <f t="shared" si="149"/>
        <v>1.4876405507109218E-2</v>
      </c>
      <c r="P1169" s="47">
        <f t="shared" si="150"/>
        <v>5.1141305572455449E-2</v>
      </c>
      <c r="Q1169" s="47">
        <f t="shared" si="151"/>
        <v>1</v>
      </c>
    </row>
    <row r="1170" spans="1:17" x14ac:dyDescent="0.35">
      <c r="A1170" s="82">
        <v>1167</v>
      </c>
      <c r="B1170" s="83" t="str">
        <f>_xlfn.XLOOKUP(A1170,'TAZs by City - CCAG Model'!$A:$A,'TAZs by City - CCAG Model'!$B:$B,"Unknown")</f>
        <v>San Jose</v>
      </c>
      <c r="C1170" s="82">
        <f>_xlfn.XLOOKUP(A1170,'TAZs by City - CCAG Model'!$A:$A,'TAZs by City - CCAG Model'!$C:$C,999)</f>
        <v>3</v>
      </c>
      <c r="D1170" s="82" t="str">
        <f t="shared" si="144"/>
        <v>NO</v>
      </c>
      <c r="E1170" s="27">
        <v>2264.14</v>
      </c>
      <c r="F1170" s="27">
        <v>1994.72</v>
      </c>
      <c r="G1170" s="27">
        <v>106.6</v>
      </c>
      <c r="H1170" s="27">
        <v>68.900000000000006</v>
      </c>
      <c r="I1170" s="27">
        <v>255.22</v>
      </c>
      <c r="J1170" s="27">
        <v>4829.7</v>
      </c>
      <c r="K1170" s="47">
        <f t="shared" si="145"/>
        <v>0.46879516326065801</v>
      </c>
      <c r="L1170" s="47">
        <f t="shared" si="146"/>
        <v>0.41301116011346461</v>
      </c>
      <c r="M1170" s="84">
        <f t="shared" si="147"/>
        <v>0.88180632337412257</v>
      </c>
      <c r="N1170" s="47">
        <f t="shared" si="148"/>
        <v>2.2071764291777957E-2</v>
      </c>
      <c r="O1170" s="47">
        <f t="shared" si="149"/>
        <v>1.4265896432490632E-2</v>
      </c>
      <c r="P1170" s="47">
        <f t="shared" si="150"/>
        <v>5.2843861937594466E-2</v>
      </c>
      <c r="Q1170" s="47">
        <f t="shared" si="151"/>
        <v>1</v>
      </c>
    </row>
    <row r="1171" spans="1:17" x14ac:dyDescent="0.35">
      <c r="A1171" s="82">
        <v>1168</v>
      </c>
      <c r="B1171" s="83" t="str">
        <f>_xlfn.XLOOKUP(A1171,'TAZs by City - CCAG Model'!$A:$A,'TAZs by City - CCAG Model'!$B:$B,"Unknown")</f>
        <v>San Jose</v>
      </c>
      <c r="C1171" s="82">
        <f>_xlfn.XLOOKUP(A1171,'TAZs by City - CCAG Model'!$A:$A,'TAZs by City - CCAG Model'!$C:$C,999)</f>
        <v>3</v>
      </c>
      <c r="D1171" s="82" t="str">
        <f t="shared" si="144"/>
        <v>NO</v>
      </c>
      <c r="E1171" s="27">
        <v>2084.8200000000002</v>
      </c>
      <c r="F1171" s="27">
        <v>1376.66</v>
      </c>
      <c r="G1171" s="27">
        <v>154.46</v>
      </c>
      <c r="H1171" s="27">
        <v>60.98</v>
      </c>
      <c r="I1171" s="27">
        <v>950.92</v>
      </c>
      <c r="J1171" s="27">
        <v>4819.4399999999996</v>
      </c>
      <c r="K1171" s="47">
        <f t="shared" si="145"/>
        <v>0.43258552860913307</v>
      </c>
      <c r="L1171" s="47">
        <f t="shared" si="146"/>
        <v>0.28564729512142495</v>
      </c>
      <c r="M1171" s="84">
        <f t="shared" si="147"/>
        <v>0.71823282373055808</v>
      </c>
      <c r="N1171" s="47">
        <f t="shared" si="148"/>
        <v>3.2049366731404481E-2</v>
      </c>
      <c r="O1171" s="47">
        <f t="shared" si="149"/>
        <v>1.2652922331225206E-2</v>
      </c>
      <c r="P1171" s="47">
        <f t="shared" si="150"/>
        <v>0.19730923094799396</v>
      </c>
      <c r="Q1171" s="47">
        <f t="shared" si="151"/>
        <v>1</v>
      </c>
    </row>
    <row r="1172" spans="1:17" x14ac:dyDescent="0.35">
      <c r="A1172" s="82">
        <v>1169</v>
      </c>
      <c r="B1172" s="83" t="str">
        <f>_xlfn.XLOOKUP(A1172,'TAZs by City - CCAG Model'!$A:$A,'TAZs by City - CCAG Model'!$B:$B,"Unknown")</f>
        <v>San Jose</v>
      </c>
      <c r="C1172" s="82">
        <f>_xlfn.XLOOKUP(A1172,'TAZs by City - CCAG Model'!$A:$A,'TAZs by City - CCAG Model'!$C:$C,999)</f>
        <v>3</v>
      </c>
      <c r="D1172" s="82" t="str">
        <f t="shared" si="144"/>
        <v>NO</v>
      </c>
      <c r="E1172" s="27">
        <v>907.66</v>
      </c>
      <c r="F1172" s="27">
        <v>658.2</v>
      </c>
      <c r="G1172" s="27">
        <v>55.58</v>
      </c>
      <c r="H1172" s="27">
        <v>20.54</v>
      </c>
      <c r="I1172" s="27">
        <v>298.48</v>
      </c>
      <c r="J1172" s="27">
        <v>2023.3</v>
      </c>
      <c r="K1172" s="47">
        <f t="shared" si="145"/>
        <v>0.44860376612464786</v>
      </c>
      <c r="L1172" s="47">
        <f t="shared" si="146"/>
        <v>0.32531013690505611</v>
      </c>
      <c r="M1172" s="84">
        <f t="shared" si="147"/>
        <v>0.77391390302970398</v>
      </c>
      <c r="N1172" s="47">
        <f t="shared" si="148"/>
        <v>2.7469974793653932E-2</v>
      </c>
      <c r="O1172" s="47">
        <f t="shared" si="149"/>
        <v>1.0151732318489596E-2</v>
      </c>
      <c r="P1172" s="47">
        <f t="shared" si="150"/>
        <v>0.1475213759699501</v>
      </c>
      <c r="Q1172" s="47">
        <f t="shared" si="151"/>
        <v>1</v>
      </c>
    </row>
    <row r="1173" spans="1:17" x14ac:dyDescent="0.35">
      <c r="A1173" s="82">
        <v>1170</v>
      </c>
      <c r="B1173" s="83" t="str">
        <f>_xlfn.XLOOKUP(A1173,'TAZs by City - CCAG Model'!$A:$A,'TAZs by City - CCAG Model'!$B:$B,"Unknown")</f>
        <v>San Jose</v>
      </c>
      <c r="C1173" s="82">
        <f>_xlfn.XLOOKUP(A1173,'TAZs by City - CCAG Model'!$A:$A,'TAZs by City - CCAG Model'!$C:$C,999)</f>
        <v>3</v>
      </c>
      <c r="D1173" s="82" t="str">
        <f t="shared" si="144"/>
        <v>NO</v>
      </c>
      <c r="E1173" s="27">
        <v>938.18</v>
      </c>
      <c r="F1173" s="27">
        <v>620.38</v>
      </c>
      <c r="G1173" s="27">
        <v>56.3</v>
      </c>
      <c r="H1173" s="27">
        <v>19.100000000000001</v>
      </c>
      <c r="I1173" s="27">
        <v>490.88</v>
      </c>
      <c r="J1173" s="27">
        <v>2209.04</v>
      </c>
      <c r="K1173" s="47">
        <f t="shared" si="145"/>
        <v>0.42470032231195448</v>
      </c>
      <c r="L1173" s="47">
        <f t="shared" si="146"/>
        <v>0.28083692463694637</v>
      </c>
      <c r="M1173" s="84">
        <f t="shared" si="147"/>
        <v>0.70553724694890085</v>
      </c>
      <c r="N1173" s="47">
        <f t="shared" si="148"/>
        <v>2.5486184043747511E-2</v>
      </c>
      <c r="O1173" s="47">
        <f t="shared" si="149"/>
        <v>8.6462897910404533E-3</v>
      </c>
      <c r="P1173" s="47">
        <f t="shared" si="150"/>
        <v>0.22221417448303335</v>
      </c>
      <c r="Q1173" s="47">
        <f t="shared" si="151"/>
        <v>1</v>
      </c>
    </row>
    <row r="1174" spans="1:17" x14ac:dyDescent="0.35">
      <c r="A1174" s="82">
        <v>1171</v>
      </c>
      <c r="B1174" s="83" t="str">
        <f>_xlfn.XLOOKUP(A1174,'TAZs by City - CCAG Model'!$A:$A,'TAZs by City - CCAG Model'!$B:$B,"Unknown")</f>
        <v>San Jose</v>
      </c>
      <c r="C1174" s="82">
        <f>_xlfn.XLOOKUP(A1174,'TAZs by City - CCAG Model'!$A:$A,'TAZs by City - CCAG Model'!$C:$C,999)</f>
        <v>3</v>
      </c>
      <c r="D1174" s="82" t="str">
        <f t="shared" si="144"/>
        <v>NO</v>
      </c>
      <c r="E1174" s="27">
        <v>566.52</v>
      </c>
      <c r="F1174" s="27">
        <v>385.76</v>
      </c>
      <c r="G1174" s="27">
        <v>29.22</v>
      </c>
      <c r="H1174" s="27">
        <v>10.199999999999999</v>
      </c>
      <c r="I1174" s="27">
        <v>284.58</v>
      </c>
      <c r="J1174" s="27">
        <v>1330.18</v>
      </c>
      <c r="K1174" s="47">
        <f t="shared" si="145"/>
        <v>0.42589724698912923</v>
      </c>
      <c r="L1174" s="47">
        <f t="shared" si="146"/>
        <v>0.29000586386804789</v>
      </c>
      <c r="M1174" s="84">
        <f t="shared" si="147"/>
        <v>0.71590311085717717</v>
      </c>
      <c r="N1174" s="47">
        <f t="shared" si="148"/>
        <v>2.1966951841104209E-2</v>
      </c>
      <c r="O1174" s="47">
        <f t="shared" si="149"/>
        <v>7.6681351396051655E-3</v>
      </c>
      <c r="P1174" s="47">
        <f t="shared" si="150"/>
        <v>0.21394097039498411</v>
      </c>
      <c r="Q1174" s="47">
        <f t="shared" si="151"/>
        <v>1</v>
      </c>
    </row>
    <row r="1175" spans="1:17" x14ac:dyDescent="0.35">
      <c r="A1175" s="82">
        <v>1172</v>
      </c>
      <c r="B1175" s="83" t="str">
        <f>_xlfn.XLOOKUP(A1175,'TAZs by City - CCAG Model'!$A:$A,'TAZs by City - CCAG Model'!$B:$B,"Unknown")</f>
        <v>San Jose</v>
      </c>
      <c r="C1175" s="82">
        <f>_xlfn.XLOOKUP(A1175,'TAZs by City - CCAG Model'!$A:$A,'TAZs by City - CCAG Model'!$C:$C,999)</f>
        <v>3</v>
      </c>
      <c r="D1175" s="82" t="str">
        <f t="shared" si="144"/>
        <v>NO</v>
      </c>
      <c r="E1175" s="27">
        <v>2806.04</v>
      </c>
      <c r="F1175" s="27">
        <v>1274.8599999999999</v>
      </c>
      <c r="G1175" s="27">
        <v>141.82</v>
      </c>
      <c r="H1175" s="27">
        <v>56.94</v>
      </c>
      <c r="I1175" s="27">
        <v>1009.24</v>
      </c>
      <c r="J1175" s="27">
        <v>5481.4</v>
      </c>
      <c r="K1175" s="47">
        <f t="shared" si="145"/>
        <v>0.51192031232896706</v>
      </c>
      <c r="L1175" s="47">
        <f t="shared" si="146"/>
        <v>0.23257926807020105</v>
      </c>
      <c r="M1175" s="84">
        <f t="shared" si="147"/>
        <v>0.74449958039916808</v>
      </c>
      <c r="N1175" s="47">
        <f t="shared" si="148"/>
        <v>2.5872952165505163E-2</v>
      </c>
      <c r="O1175" s="47">
        <f t="shared" si="149"/>
        <v>1.038785711679498E-2</v>
      </c>
      <c r="P1175" s="47">
        <f t="shared" si="150"/>
        <v>0.18412084503958845</v>
      </c>
      <c r="Q1175" s="47">
        <f t="shared" si="151"/>
        <v>1</v>
      </c>
    </row>
    <row r="1176" spans="1:17" x14ac:dyDescent="0.35">
      <c r="A1176" s="82">
        <v>1173</v>
      </c>
      <c r="B1176" s="83" t="str">
        <f>_xlfn.XLOOKUP(A1176,'TAZs by City - CCAG Model'!$A:$A,'TAZs by City - CCAG Model'!$B:$B,"Unknown")</f>
        <v>San Jose</v>
      </c>
      <c r="C1176" s="82">
        <f>_xlfn.XLOOKUP(A1176,'TAZs by City - CCAG Model'!$A:$A,'TAZs by City - CCAG Model'!$C:$C,999)</f>
        <v>3</v>
      </c>
      <c r="D1176" s="82" t="str">
        <f t="shared" si="144"/>
        <v>NO</v>
      </c>
      <c r="E1176" s="27">
        <v>3734.56</v>
      </c>
      <c r="F1176" s="27">
        <v>2481.3200000000002</v>
      </c>
      <c r="G1176" s="27">
        <v>323.83999999999997</v>
      </c>
      <c r="H1176" s="27">
        <v>121.18</v>
      </c>
      <c r="I1176" s="27">
        <v>1607.42</v>
      </c>
      <c r="J1176" s="27">
        <v>8634.9599999999991</v>
      </c>
      <c r="K1176" s="47">
        <f t="shared" si="145"/>
        <v>0.43249302834060616</v>
      </c>
      <c r="L1176" s="47">
        <f t="shared" si="146"/>
        <v>0.28735743998814128</v>
      </c>
      <c r="M1176" s="84">
        <f t="shared" si="147"/>
        <v>0.71985046832874744</v>
      </c>
      <c r="N1176" s="47">
        <f t="shared" si="148"/>
        <v>3.7503358440571816E-2</v>
      </c>
      <c r="O1176" s="47">
        <f t="shared" si="149"/>
        <v>1.4033649258363678E-2</v>
      </c>
      <c r="P1176" s="47">
        <f t="shared" si="150"/>
        <v>0.18615257048092873</v>
      </c>
      <c r="Q1176" s="47">
        <f t="shared" si="151"/>
        <v>1</v>
      </c>
    </row>
    <row r="1177" spans="1:17" x14ac:dyDescent="0.35">
      <c r="A1177" s="82">
        <v>1174</v>
      </c>
      <c r="B1177" s="83" t="str">
        <f>_xlfn.XLOOKUP(A1177,'TAZs by City - CCAG Model'!$A:$A,'TAZs by City - CCAG Model'!$B:$B,"Unknown")</f>
        <v>San Jose</v>
      </c>
      <c r="C1177" s="82">
        <f>_xlfn.XLOOKUP(A1177,'TAZs by City - CCAG Model'!$A:$A,'TAZs by City - CCAG Model'!$C:$C,999)</f>
        <v>3</v>
      </c>
      <c r="D1177" s="82" t="str">
        <f t="shared" si="144"/>
        <v>NO</v>
      </c>
      <c r="E1177" s="27">
        <v>5546.28</v>
      </c>
      <c r="F1177" s="27">
        <v>4617.28</v>
      </c>
      <c r="G1177" s="27">
        <v>282.74</v>
      </c>
      <c r="H1177" s="27">
        <v>178.22</v>
      </c>
      <c r="I1177" s="27">
        <v>692.96</v>
      </c>
      <c r="J1177" s="27">
        <v>11643.52</v>
      </c>
      <c r="K1177" s="47">
        <f t="shared" si="145"/>
        <v>0.47634048809981855</v>
      </c>
      <c r="L1177" s="47">
        <f t="shared" si="146"/>
        <v>0.39655361952399271</v>
      </c>
      <c r="M1177" s="84">
        <f t="shared" si="147"/>
        <v>0.87289410762381126</v>
      </c>
      <c r="N1177" s="47">
        <f t="shared" si="148"/>
        <v>2.4283034683669543E-2</v>
      </c>
      <c r="O1177" s="47">
        <f t="shared" si="149"/>
        <v>1.5306367833782223E-2</v>
      </c>
      <c r="P1177" s="47">
        <f t="shared" si="150"/>
        <v>5.9514648491177928E-2</v>
      </c>
      <c r="Q1177" s="47">
        <f t="shared" si="151"/>
        <v>1</v>
      </c>
    </row>
    <row r="1178" spans="1:17" x14ac:dyDescent="0.35">
      <c r="A1178" s="82">
        <v>1175</v>
      </c>
      <c r="B1178" s="83" t="str">
        <f>_xlfn.XLOOKUP(A1178,'TAZs by City - CCAG Model'!$A:$A,'TAZs by City - CCAG Model'!$B:$B,"Unknown")</f>
        <v>San Jose</v>
      </c>
      <c r="C1178" s="82">
        <f>_xlfn.XLOOKUP(A1178,'TAZs by City - CCAG Model'!$A:$A,'TAZs by City - CCAG Model'!$C:$C,999)</f>
        <v>3</v>
      </c>
      <c r="D1178" s="82" t="str">
        <f t="shared" si="144"/>
        <v>NO</v>
      </c>
      <c r="E1178" s="27">
        <v>10331.14</v>
      </c>
      <c r="F1178" s="27">
        <v>9404.36</v>
      </c>
      <c r="G1178" s="27">
        <v>732.24</v>
      </c>
      <c r="H1178" s="27">
        <v>364.94</v>
      </c>
      <c r="I1178" s="27">
        <v>1567.5</v>
      </c>
      <c r="J1178" s="27">
        <v>23164.84</v>
      </c>
      <c r="K1178" s="47">
        <f t="shared" si="145"/>
        <v>0.44598365453851613</v>
      </c>
      <c r="L1178" s="47">
        <f t="shared" si="146"/>
        <v>0.40597560786087883</v>
      </c>
      <c r="M1178" s="84">
        <f t="shared" si="147"/>
        <v>0.8519592623993949</v>
      </c>
      <c r="N1178" s="47">
        <f t="shared" si="148"/>
        <v>3.1609974426760556E-2</v>
      </c>
      <c r="O1178" s="47">
        <f t="shared" si="149"/>
        <v>1.5754047945075383E-2</v>
      </c>
      <c r="P1178" s="47">
        <f t="shared" si="150"/>
        <v>6.7667205989767248E-2</v>
      </c>
      <c r="Q1178" s="47">
        <f t="shared" si="151"/>
        <v>1</v>
      </c>
    </row>
    <row r="1179" spans="1:17" x14ac:dyDescent="0.35">
      <c r="A1179" s="82">
        <v>1176</v>
      </c>
      <c r="B1179" s="83" t="str">
        <f>_xlfn.XLOOKUP(A1179,'TAZs by City - CCAG Model'!$A:$A,'TAZs by City - CCAG Model'!$B:$B,"Unknown")</f>
        <v>San Jose</v>
      </c>
      <c r="C1179" s="82">
        <f>_xlfn.XLOOKUP(A1179,'TAZs by City - CCAG Model'!$A:$A,'TAZs by City - CCAG Model'!$C:$C,999)</f>
        <v>3</v>
      </c>
      <c r="D1179" s="82" t="str">
        <f t="shared" si="144"/>
        <v>NO</v>
      </c>
      <c r="E1179" s="27">
        <v>8154.64</v>
      </c>
      <c r="F1179" s="27">
        <v>7835.54</v>
      </c>
      <c r="G1179" s="27">
        <v>474.92</v>
      </c>
      <c r="H1179" s="27">
        <v>245.72</v>
      </c>
      <c r="I1179" s="27">
        <v>1047.0999999999999</v>
      </c>
      <c r="J1179" s="27">
        <v>18270.72</v>
      </c>
      <c r="K1179" s="47">
        <f t="shared" si="145"/>
        <v>0.44632285974499086</v>
      </c>
      <c r="L1179" s="47">
        <f t="shared" si="146"/>
        <v>0.42885775711083085</v>
      </c>
      <c r="M1179" s="84">
        <f t="shared" si="147"/>
        <v>0.87518061685582171</v>
      </c>
      <c r="N1179" s="47">
        <f t="shared" si="148"/>
        <v>2.5993502171780859E-2</v>
      </c>
      <c r="O1179" s="47">
        <f t="shared" si="149"/>
        <v>1.3448840549250385E-2</v>
      </c>
      <c r="P1179" s="47">
        <f t="shared" si="150"/>
        <v>5.7310275676054359E-2</v>
      </c>
      <c r="Q1179" s="47">
        <f t="shared" si="151"/>
        <v>1</v>
      </c>
    </row>
    <row r="1180" spans="1:17" x14ac:dyDescent="0.35">
      <c r="A1180" s="82">
        <v>1177</v>
      </c>
      <c r="B1180" s="83" t="str">
        <f>_xlfn.XLOOKUP(A1180,'TAZs by City - CCAG Model'!$A:$A,'TAZs by City - CCAG Model'!$B:$B,"Unknown")</f>
        <v>San Jose</v>
      </c>
      <c r="C1180" s="82">
        <f>_xlfn.XLOOKUP(A1180,'TAZs by City - CCAG Model'!$A:$A,'TAZs by City - CCAG Model'!$C:$C,999)</f>
        <v>3</v>
      </c>
      <c r="D1180" s="82" t="str">
        <f t="shared" si="144"/>
        <v>NO</v>
      </c>
      <c r="E1180" s="27">
        <v>5415.06</v>
      </c>
      <c r="F1180" s="27">
        <v>4077.18</v>
      </c>
      <c r="G1180" s="27">
        <v>198.36</v>
      </c>
      <c r="H1180" s="27">
        <v>123.74</v>
      </c>
      <c r="I1180" s="27">
        <v>1296.06</v>
      </c>
      <c r="J1180" s="27">
        <v>11353.62</v>
      </c>
      <c r="K1180" s="47">
        <f t="shared" si="145"/>
        <v>0.47694567899929713</v>
      </c>
      <c r="L1180" s="47">
        <f t="shared" si="146"/>
        <v>0.35910837248384214</v>
      </c>
      <c r="M1180" s="84">
        <f t="shared" si="147"/>
        <v>0.83605405148313927</v>
      </c>
      <c r="N1180" s="47">
        <f t="shared" si="148"/>
        <v>1.7471079708498257E-2</v>
      </c>
      <c r="O1180" s="47">
        <f t="shared" si="149"/>
        <v>1.0898726573550989E-2</v>
      </c>
      <c r="P1180" s="47">
        <f t="shared" si="150"/>
        <v>0.11415389981345156</v>
      </c>
      <c r="Q1180" s="47">
        <f t="shared" si="151"/>
        <v>1</v>
      </c>
    </row>
    <row r="1181" spans="1:17" x14ac:dyDescent="0.35">
      <c r="A1181" s="82">
        <v>1178</v>
      </c>
      <c r="B1181" s="83" t="str">
        <f>_xlfn.XLOOKUP(A1181,'TAZs by City - CCAG Model'!$A:$A,'TAZs by City - CCAG Model'!$B:$B,"Unknown")</f>
        <v>San Jose</v>
      </c>
      <c r="C1181" s="82">
        <f>_xlfn.XLOOKUP(A1181,'TAZs by City - CCAG Model'!$A:$A,'TAZs by City - CCAG Model'!$C:$C,999)</f>
        <v>3</v>
      </c>
      <c r="D1181" s="82" t="str">
        <f t="shared" si="144"/>
        <v>NO</v>
      </c>
      <c r="E1181" s="27">
        <v>3441.98</v>
      </c>
      <c r="F1181" s="27">
        <v>3211.92</v>
      </c>
      <c r="G1181" s="27">
        <v>162.9</v>
      </c>
      <c r="H1181" s="27">
        <v>80.98</v>
      </c>
      <c r="I1181" s="27">
        <v>1169.46</v>
      </c>
      <c r="J1181" s="27">
        <v>8257.58</v>
      </c>
      <c r="K1181" s="47">
        <f t="shared" si="145"/>
        <v>0.41682672163030815</v>
      </c>
      <c r="L1181" s="47">
        <f t="shared" si="146"/>
        <v>0.38896625887972019</v>
      </c>
      <c r="M1181" s="84">
        <f t="shared" si="147"/>
        <v>0.80579298051002834</v>
      </c>
      <c r="N1181" s="47">
        <f t="shared" si="148"/>
        <v>1.9727329314399619E-2</v>
      </c>
      <c r="O1181" s="47">
        <f t="shared" si="149"/>
        <v>9.8067472552491163E-3</v>
      </c>
      <c r="P1181" s="47">
        <f t="shared" si="150"/>
        <v>0.14162260613884456</v>
      </c>
      <c r="Q1181" s="47">
        <f t="shared" si="151"/>
        <v>1</v>
      </c>
    </row>
    <row r="1182" spans="1:17" x14ac:dyDescent="0.35">
      <c r="A1182" s="82">
        <v>1179</v>
      </c>
      <c r="B1182" s="83" t="str">
        <f>_xlfn.XLOOKUP(A1182,'TAZs by City - CCAG Model'!$A:$A,'TAZs by City - CCAG Model'!$B:$B,"Unknown")</f>
        <v>San Jose</v>
      </c>
      <c r="C1182" s="82">
        <f>_xlfn.XLOOKUP(A1182,'TAZs by City - CCAG Model'!$A:$A,'TAZs by City - CCAG Model'!$C:$C,999)</f>
        <v>3</v>
      </c>
      <c r="D1182" s="82" t="str">
        <f t="shared" si="144"/>
        <v>NO</v>
      </c>
      <c r="E1182" s="27">
        <v>3781.26</v>
      </c>
      <c r="F1182" s="27">
        <v>3303.76</v>
      </c>
      <c r="G1182" s="27">
        <v>149.16</v>
      </c>
      <c r="H1182" s="27">
        <v>88.6</v>
      </c>
      <c r="I1182" s="27">
        <v>796.12</v>
      </c>
      <c r="J1182" s="27">
        <v>8304.94</v>
      </c>
      <c r="K1182" s="47">
        <f t="shared" si="145"/>
        <v>0.45530250670083106</v>
      </c>
      <c r="L1182" s="47">
        <f t="shared" si="146"/>
        <v>0.39780660667024687</v>
      </c>
      <c r="M1182" s="84">
        <f t="shared" si="147"/>
        <v>0.85310911337107798</v>
      </c>
      <c r="N1182" s="47">
        <f t="shared" si="148"/>
        <v>1.796039465667422E-2</v>
      </c>
      <c r="O1182" s="47">
        <f t="shared" si="149"/>
        <v>1.0668349199392168E-2</v>
      </c>
      <c r="P1182" s="47">
        <f t="shared" si="150"/>
        <v>9.5861017659368997E-2</v>
      </c>
      <c r="Q1182" s="47">
        <f t="shared" si="151"/>
        <v>1</v>
      </c>
    </row>
    <row r="1183" spans="1:17" x14ac:dyDescent="0.35">
      <c r="A1183" s="82">
        <v>1180</v>
      </c>
      <c r="B1183" s="83" t="str">
        <f>_xlfn.XLOOKUP(A1183,'TAZs by City - CCAG Model'!$A:$A,'TAZs by City - CCAG Model'!$B:$B,"Unknown")</f>
        <v>San Jose</v>
      </c>
      <c r="C1183" s="82">
        <f>_xlfn.XLOOKUP(A1183,'TAZs by City - CCAG Model'!$A:$A,'TAZs by City - CCAG Model'!$C:$C,999)</f>
        <v>3</v>
      </c>
      <c r="D1183" s="82" t="str">
        <f t="shared" si="144"/>
        <v>NO</v>
      </c>
      <c r="E1183" s="27">
        <v>4233.2</v>
      </c>
      <c r="F1183" s="27">
        <v>3153.18</v>
      </c>
      <c r="G1183" s="27">
        <v>139.94</v>
      </c>
      <c r="H1183" s="27">
        <v>84.96</v>
      </c>
      <c r="I1183" s="27">
        <v>1357.78</v>
      </c>
      <c r="J1183" s="27">
        <v>9153.24</v>
      </c>
      <c r="K1183" s="47">
        <f t="shared" si="145"/>
        <v>0.46248104496331355</v>
      </c>
      <c r="L1183" s="47">
        <f t="shared" si="146"/>
        <v>0.34448785348139016</v>
      </c>
      <c r="M1183" s="84">
        <f t="shared" si="147"/>
        <v>0.80696889844470365</v>
      </c>
      <c r="N1183" s="47">
        <f t="shared" si="148"/>
        <v>1.5288575411548261E-2</v>
      </c>
      <c r="O1183" s="47">
        <f t="shared" si="149"/>
        <v>9.281959175111763E-3</v>
      </c>
      <c r="P1183" s="47">
        <f t="shared" si="150"/>
        <v>0.1483387303293697</v>
      </c>
      <c r="Q1183" s="47">
        <f t="shared" si="151"/>
        <v>1</v>
      </c>
    </row>
    <row r="1184" spans="1:17" x14ac:dyDescent="0.35">
      <c r="A1184" s="82">
        <v>1181</v>
      </c>
      <c r="B1184" s="83" t="str">
        <f>_xlfn.XLOOKUP(A1184,'TAZs by City - CCAG Model'!$A:$A,'TAZs by City - CCAG Model'!$B:$B,"Unknown")</f>
        <v>San Jose</v>
      </c>
      <c r="C1184" s="82">
        <f>_xlfn.XLOOKUP(A1184,'TAZs by City - CCAG Model'!$A:$A,'TAZs by City - CCAG Model'!$C:$C,999)</f>
        <v>3</v>
      </c>
      <c r="D1184" s="82" t="str">
        <f t="shared" si="144"/>
        <v>NO</v>
      </c>
      <c r="E1184" s="27">
        <v>8314.9599999999991</v>
      </c>
      <c r="F1184" s="27">
        <v>7100.42</v>
      </c>
      <c r="G1184" s="27">
        <v>454.04</v>
      </c>
      <c r="H1184" s="27">
        <v>223.5</v>
      </c>
      <c r="I1184" s="27">
        <v>1205.26</v>
      </c>
      <c r="J1184" s="27">
        <v>17794.34</v>
      </c>
      <c r="K1184" s="47">
        <f t="shared" si="145"/>
        <v>0.4672811691807619</v>
      </c>
      <c r="L1184" s="47">
        <f t="shared" si="146"/>
        <v>0.39902688158144667</v>
      </c>
      <c r="M1184" s="84">
        <f t="shared" si="147"/>
        <v>0.86630805076220863</v>
      </c>
      <c r="N1184" s="47">
        <f t="shared" si="148"/>
        <v>2.5515978676365632E-2</v>
      </c>
      <c r="O1184" s="47">
        <f t="shared" si="149"/>
        <v>1.2560173628243588E-2</v>
      </c>
      <c r="P1184" s="47">
        <f t="shared" si="150"/>
        <v>6.7732773454930048E-2</v>
      </c>
      <c r="Q1184" s="47">
        <f t="shared" si="151"/>
        <v>1</v>
      </c>
    </row>
    <row r="1185" spans="1:17" x14ac:dyDescent="0.35">
      <c r="A1185" s="82">
        <v>1182</v>
      </c>
      <c r="B1185" s="83" t="str">
        <f>_xlfn.XLOOKUP(A1185,'TAZs by City - CCAG Model'!$A:$A,'TAZs by City - CCAG Model'!$B:$B,"Unknown")</f>
        <v>San Jose</v>
      </c>
      <c r="C1185" s="82">
        <f>_xlfn.XLOOKUP(A1185,'TAZs by City - CCAG Model'!$A:$A,'TAZs by City - CCAG Model'!$C:$C,999)</f>
        <v>3</v>
      </c>
      <c r="D1185" s="82" t="str">
        <f t="shared" si="144"/>
        <v>NO</v>
      </c>
      <c r="E1185" s="27">
        <v>1841.46</v>
      </c>
      <c r="F1185" s="27">
        <v>1398.22</v>
      </c>
      <c r="G1185" s="27">
        <v>75.260000000000005</v>
      </c>
      <c r="H1185" s="27">
        <v>46.46</v>
      </c>
      <c r="I1185" s="27">
        <v>247.86</v>
      </c>
      <c r="J1185" s="27">
        <v>3725.38</v>
      </c>
      <c r="K1185" s="47">
        <f t="shared" si="145"/>
        <v>0.49430125248967888</v>
      </c>
      <c r="L1185" s="47">
        <f t="shared" si="146"/>
        <v>0.37532278586345552</v>
      </c>
      <c r="M1185" s="84">
        <f t="shared" si="147"/>
        <v>0.86962403835313451</v>
      </c>
      <c r="N1185" s="47">
        <f t="shared" si="148"/>
        <v>2.0201965973940913E-2</v>
      </c>
      <c r="O1185" s="47">
        <f t="shared" si="149"/>
        <v>1.2471210990556668E-2</v>
      </c>
      <c r="P1185" s="47">
        <f t="shared" si="150"/>
        <v>6.6532810075750667E-2</v>
      </c>
      <c r="Q1185" s="47">
        <f t="shared" si="151"/>
        <v>1</v>
      </c>
    </row>
    <row r="1186" spans="1:17" x14ac:dyDescent="0.35">
      <c r="A1186" s="82">
        <v>1183</v>
      </c>
      <c r="B1186" s="83" t="str">
        <f>_xlfn.XLOOKUP(A1186,'TAZs by City - CCAG Model'!$A:$A,'TAZs by City - CCAG Model'!$B:$B,"Unknown")</f>
        <v>San Jose</v>
      </c>
      <c r="C1186" s="82">
        <f>_xlfn.XLOOKUP(A1186,'TAZs by City - CCAG Model'!$A:$A,'TAZs by City - CCAG Model'!$C:$C,999)</f>
        <v>3</v>
      </c>
      <c r="D1186" s="82" t="str">
        <f t="shared" si="144"/>
        <v>NO</v>
      </c>
      <c r="E1186" s="27">
        <v>8680.14</v>
      </c>
      <c r="F1186" s="27">
        <v>3378.84</v>
      </c>
      <c r="G1186" s="27">
        <v>310.68</v>
      </c>
      <c r="H1186" s="27">
        <v>144.04</v>
      </c>
      <c r="I1186" s="27">
        <v>1807.92</v>
      </c>
      <c r="J1186" s="27">
        <v>14670.44</v>
      </c>
      <c r="K1186" s="47">
        <f t="shared" si="145"/>
        <v>0.59167550530181778</v>
      </c>
      <c r="L1186" s="47">
        <f t="shared" si="146"/>
        <v>0.23031620046842494</v>
      </c>
      <c r="M1186" s="84">
        <f t="shared" si="147"/>
        <v>0.82199170577024272</v>
      </c>
      <c r="N1186" s="47">
        <f t="shared" si="148"/>
        <v>2.1177278936419085E-2</v>
      </c>
      <c r="O1186" s="47">
        <f t="shared" si="149"/>
        <v>9.8183830887144472E-3</v>
      </c>
      <c r="P1186" s="47">
        <f t="shared" si="150"/>
        <v>0.12323556757670527</v>
      </c>
      <c r="Q1186" s="47">
        <f t="shared" si="151"/>
        <v>1</v>
      </c>
    </row>
    <row r="1187" spans="1:17" x14ac:dyDescent="0.35">
      <c r="A1187" s="82">
        <v>1184</v>
      </c>
      <c r="B1187" s="83" t="str">
        <f>_xlfn.XLOOKUP(A1187,'TAZs by City - CCAG Model'!$A:$A,'TAZs by City - CCAG Model'!$B:$B,"Unknown")</f>
        <v>San Jose</v>
      </c>
      <c r="C1187" s="82">
        <f>_xlfn.XLOOKUP(A1187,'TAZs by City - CCAG Model'!$A:$A,'TAZs by City - CCAG Model'!$C:$C,999)</f>
        <v>3</v>
      </c>
      <c r="D1187" s="82" t="str">
        <f t="shared" si="144"/>
        <v>NO</v>
      </c>
      <c r="E1187" s="27">
        <v>10281.52</v>
      </c>
      <c r="F1187" s="27">
        <v>3352.76</v>
      </c>
      <c r="G1187" s="27">
        <v>339.4</v>
      </c>
      <c r="H1187" s="27">
        <v>142.88</v>
      </c>
      <c r="I1187" s="27">
        <v>1990.64</v>
      </c>
      <c r="J1187" s="27">
        <v>16475.72</v>
      </c>
      <c r="K1187" s="47">
        <f t="shared" si="145"/>
        <v>0.6240407096017655</v>
      </c>
      <c r="L1187" s="47">
        <f t="shared" si="146"/>
        <v>0.20349702471272879</v>
      </c>
      <c r="M1187" s="84">
        <f t="shared" si="147"/>
        <v>0.82753773431449429</v>
      </c>
      <c r="N1187" s="47">
        <f t="shared" si="148"/>
        <v>2.0600010196822959E-2</v>
      </c>
      <c r="O1187" s="47">
        <f t="shared" si="149"/>
        <v>8.6721551470891698E-3</v>
      </c>
      <c r="P1187" s="47">
        <f t="shared" si="150"/>
        <v>0.12082264083147808</v>
      </c>
      <c r="Q1187" s="47">
        <f t="shared" si="151"/>
        <v>1</v>
      </c>
    </row>
    <row r="1188" spans="1:17" x14ac:dyDescent="0.35">
      <c r="A1188" s="82">
        <v>1185</v>
      </c>
      <c r="B1188" s="83" t="str">
        <f>_xlfn.XLOOKUP(A1188,'TAZs by City - CCAG Model'!$A:$A,'TAZs by City - CCAG Model'!$B:$B,"Unknown")</f>
        <v>San Jose</v>
      </c>
      <c r="C1188" s="82">
        <f>_xlfn.XLOOKUP(A1188,'TAZs by City - CCAG Model'!$A:$A,'TAZs by City - CCAG Model'!$C:$C,999)</f>
        <v>3</v>
      </c>
      <c r="D1188" s="82" t="str">
        <f t="shared" si="144"/>
        <v>NO</v>
      </c>
      <c r="E1188" s="27">
        <v>6155.06</v>
      </c>
      <c r="F1188" s="27">
        <v>3526.82</v>
      </c>
      <c r="G1188" s="27">
        <v>261.32</v>
      </c>
      <c r="H1188" s="27">
        <v>140.02000000000001</v>
      </c>
      <c r="I1188" s="27">
        <v>1578.26</v>
      </c>
      <c r="J1188" s="27">
        <v>11965.52</v>
      </c>
      <c r="K1188" s="47">
        <f t="shared" si="145"/>
        <v>0.51439970849574446</v>
      </c>
      <c r="L1188" s="47">
        <f t="shared" si="146"/>
        <v>0.29474857757957867</v>
      </c>
      <c r="M1188" s="84">
        <f t="shared" si="147"/>
        <v>0.80914828607532319</v>
      </c>
      <c r="N1188" s="47">
        <f t="shared" si="148"/>
        <v>2.1839418596099457E-2</v>
      </c>
      <c r="O1188" s="47">
        <f t="shared" si="149"/>
        <v>1.1701956956321164E-2</v>
      </c>
      <c r="P1188" s="47">
        <f t="shared" si="150"/>
        <v>0.13190066123327696</v>
      </c>
      <c r="Q1188" s="47">
        <f t="shared" si="151"/>
        <v>1</v>
      </c>
    </row>
    <row r="1189" spans="1:17" x14ac:dyDescent="0.35">
      <c r="A1189" s="82">
        <v>1186</v>
      </c>
      <c r="B1189" s="83" t="str">
        <f>_xlfn.XLOOKUP(A1189,'TAZs by City - CCAG Model'!$A:$A,'TAZs by City - CCAG Model'!$B:$B,"Unknown")</f>
        <v>San Jose</v>
      </c>
      <c r="C1189" s="82">
        <f>_xlfn.XLOOKUP(A1189,'TAZs by City - CCAG Model'!$A:$A,'TAZs by City - CCAG Model'!$C:$C,999)</f>
        <v>3</v>
      </c>
      <c r="D1189" s="82" t="str">
        <f t="shared" si="144"/>
        <v>NO</v>
      </c>
      <c r="E1189" s="27">
        <v>5762.14</v>
      </c>
      <c r="F1189" s="27">
        <v>1901.04</v>
      </c>
      <c r="G1189" s="27">
        <v>123.72</v>
      </c>
      <c r="H1189" s="27">
        <v>80.98</v>
      </c>
      <c r="I1189" s="27">
        <v>1137.56</v>
      </c>
      <c r="J1189" s="27">
        <v>9167.92</v>
      </c>
      <c r="K1189" s="47">
        <f t="shared" si="145"/>
        <v>0.6285111562928124</v>
      </c>
      <c r="L1189" s="47">
        <f t="shared" si="146"/>
        <v>0.20735783034755975</v>
      </c>
      <c r="M1189" s="84">
        <f t="shared" si="147"/>
        <v>0.83586898664037212</v>
      </c>
      <c r="N1189" s="47">
        <f t="shared" si="148"/>
        <v>1.349488215429454E-2</v>
      </c>
      <c r="O1189" s="47">
        <f t="shared" si="149"/>
        <v>8.8329741097217251E-3</v>
      </c>
      <c r="P1189" s="47">
        <f t="shared" si="150"/>
        <v>0.12408048935854588</v>
      </c>
      <c r="Q1189" s="47">
        <f t="shared" si="151"/>
        <v>1</v>
      </c>
    </row>
    <row r="1190" spans="1:17" x14ac:dyDescent="0.35">
      <c r="A1190" s="82">
        <v>1187</v>
      </c>
      <c r="B1190" s="83" t="str">
        <f>_xlfn.XLOOKUP(A1190,'TAZs by City - CCAG Model'!$A:$A,'TAZs by City - CCAG Model'!$B:$B,"Unknown")</f>
        <v>San Jose</v>
      </c>
      <c r="C1190" s="82">
        <f>_xlfn.XLOOKUP(A1190,'TAZs by City - CCAG Model'!$A:$A,'TAZs by City - CCAG Model'!$C:$C,999)</f>
        <v>3</v>
      </c>
      <c r="D1190" s="82" t="str">
        <f t="shared" si="144"/>
        <v>NO</v>
      </c>
      <c r="E1190" s="27">
        <v>9740.2800000000007</v>
      </c>
      <c r="F1190" s="27">
        <v>6888.6</v>
      </c>
      <c r="G1190" s="27">
        <v>763.92</v>
      </c>
      <c r="H1190" s="27">
        <v>323.24</v>
      </c>
      <c r="I1190" s="27">
        <v>1179.6600000000001</v>
      </c>
      <c r="J1190" s="27">
        <v>19694.3</v>
      </c>
      <c r="K1190" s="47">
        <f t="shared" si="145"/>
        <v>0.49457355681593157</v>
      </c>
      <c r="L1190" s="47">
        <f t="shared" si="146"/>
        <v>0.3497763312227396</v>
      </c>
      <c r="M1190" s="84">
        <f t="shared" si="147"/>
        <v>0.84434988803867117</v>
      </c>
      <c r="N1190" s="47">
        <f t="shared" si="148"/>
        <v>3.8788888155456148E-2</v>
      </c>
      <c r="O1190" s="47">
        <f t="shared" si="149"/>
        <v>1.6412870729094205E-2</v>
      </c>
      <c r="P1190" s="47">
        <f t="shared" si="150"/>
        <v>5.9898549326454872E-2</v>
      </c>
      <c r="Q1190" s="47">
        <f t="shared" si="151"/>
        <v>1</v>
      </c>
    </row>
    <row r="1191" spans="1:17" x14ac:dyDescent="0.35">
      <c r="A1191" s="82">
        <v>1188</v>
      </c>
      <c r="B1191" s="83" t="str">
        <f>_xlfn.XLOOKUP(A1191,'TAZs by City - CCAG Model'!$A:$A,'TAZs by City - CCAG Model'!$B:$B,"Unknown")</f>
        <v>San Jose</v>
      </c>
      <c r="C1191" s="82">
        <f>_xlfn.XLOOKUP(A1191,'TAZs by City - CCAG Model'!$A:$A,'TAZs by City - CCAG Model'!$C:$C,999)</f>
        <v>3</v>
      </c>
      <c r="D1191" s="82" t="str">
        <f t="shared" si="144"/>
        <v>NO</v>
      </c>
      <c r="E1191" s="27">
        <v>7658.48</v>
      </c>
      <c r="F1191" s="27">
        <v>4401.58</v>
      </c>
      <c r="G1191" s="27">
        <v>463.68</v>
      </c>
      <c r="H1191" s="27">
        <v>201.74</v>
      </c>
      <c r="I1191" s="27">
        <v>1536.16</v>
      </c>
      <c r="J1191" s="27">
        <v>14761.64</v>
      </c>
      <c r="K1191" s="47">
        <f t="shared" si="145"/>
        <v>0.51880956316506832</v>
      </c>
      <c r="L1191" s="47">
        <f t="shared" si="146"/>
        <v>0.29817689633401168</v>
      </c>
      <c r="M1191" s="84">
        <f t="shared" si="147"/>
        <v>0.81698645949908</v>
      </c>
      <c r="N1191" s="47">
        <f t="shared" si="148"/>
        <v>3.1411144019228218E-2</v>
      </c>
      <c r="O1191" s="47">
        <f t="shared" si="149"/>
        <v>1.3666503179863485E-2</v>
      </c>
      <c r="P1191" s="47">
        <f t="shared" si="150"/>
        <v>0.10406431805680129</v>
      </c>
      <c r="Q1191" s="47">
        <f t="shared" si="151"/>
        <v>1</v>
      </c>
    </row>
    <row r="1192" spans="1:17" x14ac:dyDescent="0.35">
      <c r="A1192" s="82">
        <v>1189</v>
      </c>
      <c r="B1192" s="83" t="str">
        <f>_xlfn.XLOOKUP(A1192,'TAZs by City - CCAG Model'!$A:$A,'TAZs by City - CCAG Model'!$B:$B,"Unknown")</f>
        <v>San Jose</v>
      </c>
      <c r="C1192" s="82">
        <f>_xlfn.XLOOKUP(A1192,'TAZs by City - CCAG Model'!$A:$A,'TAZs by City - CCAG Model'!$C:$C,999)</f>
        <v>3</v>
      </c>
      <c r="D1192" s="82" t="str">
        <f t="shared" si="144"/>
        <v>NO</v>
      </c>
      <c r="E1192" s="27">
        <v>4881.54</v>
      </c>
      <c r="F1192" s="27">
        <v>2791.96</v>
      </c>
      <c r="G1192" s="27">
        <v>560.02</v>
      </c>
      <c r="H1192" s="27">
        <v>155.22</v>
      </c>
      <c r="I1192" s="27">
        <v>513.4</v>
      </c>
      <c r="J1192" s="27">
        <v>9501.68</v>
      </c>
      <c r="K1192" s="47">
        <f t="shared" si="145"/>
        <v>0.51375546219194923</v>
      </c>
      <c r="L1192" s="47">
        <f t="shared" si="146"/>
        <v>0.29383856328565056</v>
      </c>
      <c r="M1192" s="84">
        <f t="shared" si="147"/>
        <v>0.80759402547759973</v>
      </c>
      <c r="N1192" s="47">
        <f t="shared" si="148"/>
        <v>5.8939050778388659E-2</v>
      </c>
      <c r="O1192" s="47">
        <f t="shared" si="149"/>
        <v>1.6336058465450321E-2</v>
      </c>
      <c r="P1192" s="47">
        <f t="shared" si="150"/>
        <v>5.4032550033257271E-2</v>
      </c>
      <c r="Q1192" s="47">
        <f t="shared" si="151"/>
        <v>1</v>
      </c>
    </row>
    <row r="1193" spans="1:17" x14ac:dyDescent="0.35">
      <c r="A1193" s="82">
        <v>1190</v>
      </c>
      <c r="B1193" s="83" t="str">
        <f>_xlfn.XLOOKUP(A1193,'TAZs by City - CCAG Model'!$A:$A,'TAZs by City - CCAG Model'!$B:$B,"Unknown")</f>
        <v>San Jose</v>
      </c>
      <c r="C1193" s="82">
        <f>_xlfn.XLOOKUP(A1193,'TAZs by City - CCAG Model'!$A:$A,'TAZs by City - CCAG Model'!$C:$C,999)</f>
        <v>3</v>
      </c>
      <c r="D1193" s="82" t="str">
        <f t="shared" si="144"/>
        <v>NO</v>
      </c>
      <c r="E1193" s="27">
        <v>10196.219999999999</v>
      </c>
      <c r="F1193" s="27">
        <v>7005.88</v>
      </c>
      <c r="G1193" s="27">
        <v>536.70000000000005</v>
      </c>
      <c r="H1193" s="27">
        <v>263.82</v>
      </c>
      <c r="I1193" s="27">
        <v>3671.82</v>
      </c>
      <c r="J1193" s="27">
        <v>22253.5</v>
      </c>
      <c r="K1193" s="47">
        <f t="shared" si="145"/>
        <v>0.45818500460601702</v>
      </c>
      <c r="L1193" s="47">
        <f t="shared" si="146"/>
        <v>0.31482148875457794</v>
      </c>
      <c r="M1193" s="84">
        <f t="shared" si="147"/>
        <v>0.7730064933605949</v>
      </c>
      <c r="N1193" s="47">
        <f t="shared" si="148"/>
        <v>2.4117554541982163E-2</v>
      </c>
      <c r="O1193" s="47">
        <f t="shared" si="149"/>
        <v>1.1855213786595367E-2</v>
      </c>
      <c r="P1193" s="47">
        <f t="shared" si="150"/>
        <v>0.16499966297436358</v>
      </c>
      <c r="Q1193" s="47">
        <f t="shared" si="151"/>
        <v>1</v>
      </c>
    </row>
    <row r="1194" spans="1:17" x14ac:dyDescent="0.35">
      <c r="A1194" s="82">
        <v>1191</v>
      </c>
      <c r="B1194" s="83" t="str">
        <f>_xlfn.XLOOKUP(A1194,'TAZs by City - CCAG Model'!$A:$A,'TAZs by City - CCAG Model'!$B:$B,"Unknown")</f>
        <v>San Jose</v>
      </c>
      <c r="C1194" s="82">
        <f>_xlfn.XLOOKUP(A1194,'TAZs by City - CCAG Model'!$A:$A,'TAZs by City - CCAG Model'!$C:$C,999)</f>
        <v>3</v>
      </c>
      <c r="D1194" s="82" t="str">
        <f t="shared" si="144"/>
        <v>NO</v>
      </c>
      <c r="E1194" s="27">
        <v>6794.44</v>
      </c>
      <c r="F1194" s="27">
        <v>5000.0600000000004</v>
      </c>
      <c r="G1194" s="27">
        <v>533.04</v>
      </c>
      <c r="H1194" s="27">
        <v>227.48</v>
      </c>
      <c r="I1194" s="27">
        <v>886.72</v>
      </c>
      <c r="J1194" s="27">
        <v>14011.88</v>
      </c>
      <c r="K1194" s="47">
        <f t="shared" si="145"/>
        <v>0.48490566576362343</v>
      </c>
      <c r="L1194" s="47">
        <f t="shared" si="146"/>
        <v>0.35684433495005674</v>
      </c>
      <c r="M1194" s="84">
        <f t="shared" si="147"/>
        <v>0.84175000071368011</v>
      </c>
      <c r="N1194" s="47">
        <f t="shared" si="148"/>
        <v>3.8042004356303366E-2</v>
      </c>
      <c r="O1194" s="47">
        <f t="shared" si="149"/>
        <v>1.6234795045347233E-2</v>
      </c>
      <c r="P1194" s="47">
        <f t="shared" si="150"/>
        <v>6.3283442336074816E-2</v>
      </c>
      <c r="Q1194" s="47">
        <f t="shared" si="151"/>
        <v>1</v>
      </c>
    </row>
    <row r="1195" spans="1:17" x14ac:dyDescent="0.35">
      <c r="A1195" s="82">
        <v>1192</v>
      </c>
      <c r="B1195" s="83" t="str">
        <f>_xlfn.XLOOKUP(A1195,'TAZs by City - CCAG Model'!$A:$A,'TAZs by City - CCAG Model'!$B:$B,"Unknown")</f>
        <v>San Jose</v>
      </c>
      <c r="C1195" s="82">
        <f>_xlfn.XLOOKUP(A1195,'TAZs by City - CCAG Model'!$A:$A,'TAZs by City - CCAG Model'!$C:$C,999)</f>
        <v>3</v>
      </c>
      <c r="D1195" s="82" t="str">
        <f t="shared" si="144"/>
        <v>NO</v>
      </c>
      <c r="E1195" s="27">
        <v>4507.32</v>
      </c>
      <c r="F1195" s="27">
        <v>3392</v>
      </c>
      <c r="G1195" s="27">
        <v>254.72</v>
      </c>
      <c r="H1195" s="27">
        <v>104.1</v>
      </c>
      <c r="I1195" s="27">
        <v>1469.18</v>
      </c>
      <c r="J1195" s="27">
        <v>10020.959999999999</v>
      </c>
      <c r="K1195" s="47">
        <f t="shared" si="145"/>
        <v>0.44978924174929347</v>
      </c>
      <c r="L1195" s="47">
        <f t="shared" si="146"/>
        <v>0.3384905238619853</v>
      </c>
      <c r="M1195" s="84">
        <f t="shared" si="147"/>
        <v>0.78827976561127877</v>
      </c>
      <c r="N1195" s="47">
        <f t="shared" si="148"/>
        <v>2.5418722357937764E-2</v>
      </c>
      <c r="O1195" s="47">
        <f t="shared" si="149"/>
        <v>1.0388226277721894E-2</v>
      </c>
      <c r="P1195" s="47">
        <f t="shared" si="150"/>
        <v>0.14661070396449044</v>
      </c>
      <c r="Q1195" s="47">
        <f t="shared" si="151"/>
        <v>1</v>
      </c>
    </row>
    <row r="1196" spans="1:17" x14ac:dyDescent="0.35">
      <c r="A1196" s="82">
        <v>1193</v>
      </c>
      <c r="B1196" s="83" t="str">
        <f>_xlfn.XLOOKUP(A1196,'TAZs by City - CCAG Model'!$A:$A,'TAZs by City - CCAG Model'!$B:$B,"Unknown")</f>
        <v>San Jose</v>
      </c>
      <c r="C1196" s="82">
        <f>_xlfn.XLOOKUP(A1196,'TAZs by City - CCAG Model'!$A:$A,'TAZs by City - CCAG Model'!$C:$C,999)</f>
        <v>3</v>
      </c>
      <c r="D1196" s="82" t="str">
        <f t="shared" si="144"/>
        <v>NO</v>
      </c>
      <c r="E1196" s="27">
        <v>1369.62</v>
      </c>
      <c r="F1196" s="27">
        <v>613.16</v>
      </c>
      <c r="G1196" s="27">
        <v>243.94</v>
      </c>
      <c r="H1196" s="27">
        <v>36.74</v>
      </c>
      <c r="I1196" s="27">
        <v>258.72000000000003</v>
      </c>
      <c r="J1196" s="27">
        <v>2817.62</v>
      </c>
      <c r="K1196" s="47">
        <f t="shared" si="145"/>
        <v>0.48609109816085916</v>
      </c>
      <c r="L1196" s="47">
        <f t="shared" si="146"/>
        <v>0.21761628608541961</v>
      </c>
      <c r="M1196" s="84">
        <f t="shared" si="147"/>
        <v>0.70370738424627877</v>
      </c>
      <c r="N1196" s="47">
        <f t="shared" si="148"/>
        <v>8.6576614305690622E-2</v>
      </c>
      <c r="O1196" s="47">
        <f t="shared" si="149"/>
        <v>1.3039373655780411E-2</v>
      </c>
      <c r="P1196" s="47">
        <f t="shared" si="150"/>
        <v>9.1822176162860869E-2</v>
      </c>
      <c r="Q1196" s="47">
        <f t="shared" si="151"/>
        <v>1</v>
      </c>
    </row>
    <row r="1197" spans="1:17" x14ac:dyDescent="0.35">
      <c r="A1197" s="82">
        <v>1194</v>
      </c>
      <c r="B1197" s="83" t="str">
        <f>_xlfn.XLOOKUP(A1197,'TAZs by City - CCAG Model'!$A:$A,'TAZs by City - CCAG Model'!$B:$B,"Unknown")</f>
        <v>San Jose</v>
      </c>
      <c r="C1197" s="82">
        <f>_xlfn.XLOOKUP(A1197,'TAZs by City - CCAG Model'!$A:$A,'TAZs by City - CCAG Model'!$C:$C,999)</f>
        <v>3</v>
      </c>
      <c r="D1197" s="82" t="str">
        <f t="shared" si="144"/>
        <v>NO</v>
      </c>
      <c r="E1197" s="27">
        <v>2521.6999999999998</v>
      </c>
      <c r="F1197" s="27">
        <v>911.22</v>
      </c>
      <c r="G1197" s="27">
        <v>406.08</v>
      </c>
      <c r="H1197" s="27">
        <v>46.32</v>
      </c>
      <c r="I1197" s="27">
        <v>417.76</v>
      </c>
      <c r="J1197" s="27">
        <v>4753.6000000000004</v>
      </c>
      <c r="K1197" s="47">
        <f t="shared" si="145"/>
        <v>0.53048216088858957</v>
      </c>
      <c r="L1197" s="47">
        <f t="shared" si="146"/>
        <v>0.19169050824638167</v>
      </c>
      <c r="M1197" s="84">
        <f t="shared" si="147"/>
        <v>0.72217266913497136</v>
      </c>
      <c r="N1197" s="47">
        <f t="shared" si="148"/>
        <v>8.5425782564792996E-2</v>
      </c>
      <c r="O1197" s="47">
        <f t="shared" si="149"/>
        <v>9.744193874116458E-3</v>
      </c>
      <c r="P1197" s="47">
        <f t="shared" si="150"/>
        <v>8.7882867721305949E-2</v>
      </c>
      <c r="Q1197" s="47">
        <f t="shared" si="151"/>
        <v>1</v>
      </c>
    </row>
    <row r="1198" spans="1:17" x14ac:dyDescent="0.35">
      <c r="A1198" s="82">
        <v>1195</v>
      </c>
      <c r="B1198" s="83" t="str">
        <f>_xlfn.XLOOKUP(A1198,'TAZs by City - CCAG Model'!$A:$A,'TAZs by City - CCAG Model'!$B:$B,"Unknown")</f>
        <v>San Jose</v>
      </c>
      <c r="C1198" s="82">
        <f>_xlfn.XLOOKUP(A1198,'TAZs by City - CCAG Model'!$A:$A,'TAZs by City - CCAG Model'!$C:$C,999)</f>
        <v>3</v>
      </c>
      <c r="D1198" s="82" t="str">
        <f t="shared" si="144"/>
        <v>NO</v>
      </c>
      <c r="E1198" s="27">
        <v>2812.4</v>
      </c>
      <c r="F1198" s="27">
        <v>1067.3399999999999</v>
      </c>
      <c r="G1198" s="27">
        <v>523.76</v>
      </c>
      <c r="H1198" s="27">
        <v>55.48</v>
      </c>
      <c r="I1198" s="27">
        <v>528.79999999999995</v>
      </c>
      <c r="J1198" s="27">
        <v>5551.26</v>
      </c>
      <c r="K1198" s="47">
        <f t="shared" si="145"/>
        <v>0.50662372146143397</v>
      </c>
      <c r="L1198" s="47">
        <f t="shared" si="146"/>
        <v>0.19226986305811652</v>
      </c>
      <c r="M1198" s="84">
        <f t="shared" si="147"/>
        <v>0.69889358451955041</v>
      </c>
      <c r="N1198" s="47">
        <f t="shared" si="148"/>
        <v>9.4349751227649215E-2</v>
      </c>
      <c r="O1198" s="47">
        <f t="shared" si="149"/>
        <v>9.9941274593515692E-3</v>
      </c>
      <c r="P1198" s="47">
        <f t="shared" si="150"/>
        <v>9.5257653217467736E-2</v>
      </c>
      <c r="Q1198" s="47">
        <f t="shared" si="151"/>
        <v>1</v>
      </c>
    </row>
    <row r="1199" spans="1:17" x14ac:dyDescent="0.35">
      <c r="A1199" s="82">
        <v>1196</v>
      </c>
      <c r="B1199" s="83" t="str">
        <f>_xlfn.XLOOKUP(A1199,'TAZs by City - CCAG Model'!$A:$A,'TAZs by City - CCAG Model'!$B:$B,"Unknown")</f>
        <v>San Jose</v>
      </c>
      <c r="C1199" s="82">
        <f>_xlfn.XLOOKUP(A1199,'TAZs by City - CCAG Model'!$A:$A,'TAZs by City - CCAG Model'!$C:$C,999)</f>
        <v>3</v>
      </c>
      <c r="D1199" s="82" t="str">
        <f t="shared" si="144"/>
        <v>NO</v>
      </c>
      <c r="E1199" s="27">
        <v>1032.0999999999999</v>
      </c>
      <c r="F1199" s="27">
        <v>459.5</v>
      </c>
      <c r="G1199" s="27">
        <v>280.62</v>
      </c>
      <c r="H1199" s="27">
        <v>26.68</v>
      </c>
      <c r="I1199" s="27">
        <v>163.44</v>
      </c>
      <c r="J1199" s="27">
        <v>2291.92</v>
      </c>
      <c r="K1199" s="47">
        <f t="shared" si="145"/>
        <v>0.45032112813710767</v>
      </c>
      <c r="L1199" s="47">
        <f t="shared" si="146"/>
        <v>0.20048692799050577</v>
      </c>
      <c r="M1199" s="84">
        <f t="shared" si="147"/>
        <v>0.6508080561276135</v>
      </c>
      <c r="N1199" s="47">
        <f t="shared" si="148"/>
        <v>0.1224388285804042</v>
      </c>
      <c r="O1199" s="47">
        <f t="shared" si="149"/>
        <v>1.1640894970156026E-2</v>
      </c>
      <c r="P1199" s="47">
        <f t="shared" si="150"/>
        <v>7.1311389577297629E-2</v>
      </c>
      <c r="Q1199" s="47">
        <f t="shared" si="151"/>
        <v>1</v>
      </c>
    </row>
    <row r="1200" spans="1:17" x14ac:dyDescent="0.35">
      <c r="A1200" s="82">
        <v>1197</v>
      </c>
      <c r="B1200" s="83" t="str">
        <f>_xlfn.XLOOKUP(A1200,'TAZs by City - CCAG Model'!$A:$A,'TAZs by City - CCAG Model'!$B:$B,"Unknown")</f>
        <v>San Jose</v>
      </c>
      <c r="C1200" s="82">
        <f>_xlfn.XLOOKUP(A1200,'TAZs by City - CCAG Model'!$A:$A,'TAZs by City - CCAG Model'!$C:$C,999)</f>
        <v>3</v>
      </c>
      <c r="D1200" s="82" t="str">
        <f t="shared" si="144"/>
        <v>NO</v>
      </c>
      <c r="E1200" s="27">
        <v>9283.18</v>
      </c>
      <c r="F1200" s="27">
        <v>3999.14</v>
      </c>
      <c r="G1200" s="27">
        <v>3096</v>
      </c>
      <c r="H1200" s="27">
        <v>229.58</v>
      </c>
      <c r="I1200" s="27">
        <v>1843.88</v>
      </c>
      <c r="J1200" s="27">
        <v>21567.9</v>
      </c>
      <c r="K1200" s="47">
        <f t="shared" si="145"/>
        <v>0.43041649859281617</v>
      </c>
      <c r="L1200" s="47">
        <f t="shared" si="146"/>
        <v>0.18542092646942909</v>
      </c>
      <c r="M1200" s="84">
        <f t="shared" si="147"/>
        <v>0.61583742506224526</v>
      </c>
      <c r="N1200" s="47">
        <f t="shared" si="148"/>
        <v>0.14354665961915625</v>
      </c>
      <c r="O1200" s="47">
        <f t="shared" si="149"/>
        <v>1.0644522647082006E-2</v>
      </c>
      <c r="P1200" s="47">
        <f t="shared" si="150"/>
        <v>8.5491865225636246E-2</v>
      </c>
      <c r="Q1200" s="47">
        <f t="shared" si="151"/>
        <v>1</v>
      </c>
    </row>
    <row r="1201" spans="1:17" x14ac:dyDescent="0.35">
      <c r="A1201" s="82">
        <v>1198</v>
      </c>
      <c r="B1201" s="83" t="str">
        <f>_xlfn.XLOOKUP(A1201,'TAZs by City - CCAG Model'!$A:$A,'TAZs by City - CCAG Model'!$B:$B,"Unknown")</f>
        <v>San Jose</v>
      </c>
      <c r="C1201" s="82">
        <f>_xlfn.XLOOKUP(A1201,'TAZs by City - CCAG Model'!$A:$A,'TAZs by City - CCAG Model'!$C:$C,999)</f>
        <v>3</v>
      </c>
      <c r="D1201" s="82" t="str">
        <f t="shared" si="144"/>
        <v>NO</v>
      </c>
      <c r="E1201" s="27">
        <v>11912.94</v>
      </c>
      <c r="F1201" s="27">
        <v>4660.74</v>
      </c>
      <c r="G1201" s="27">
        <v>2009.22</v>
      </c>
      <c r="H1201" s="27">
        <v>297.56</v>
      </c>
      <c r="I1201" s="27">
        <v>2104.98</v>
      </c>
      <c r="J1201" s="27">
        <v>23017</v>
      </c>
      <c r="K1201" s="47">
        <f t="shared" si="145"/>
        <v>0.51757136029890949</v>
      </c>
      <c r="L1201" s="47">
        <f t="shared" si="146"/>
        <v>0.20249120215492897</v>
      </c>
      <c r="M1201" s="84">
        <f t="shared" si="147"/>
        <v>0.72006256245383848</v>
      </c>
      <c r="N1201" s="47">
        <f t="shared" si="148"/>
        <v>8.7292870487031327E-2</v>
      </c>
      <c r="O1201" s="47">
        <f t="shared" si="149"/>
        <v>1.2927835947343268E-2</v>
      </c>
      <c r="P1201" s="47">
        <f t="shared" si="150"/>
        <v>9.1453273667289392E-2</v>
      </c>
      <c r="Q1201" s="47">
        <f t="shared" si="151"/>
        <v>1</v>
      </c>
    </row>
    <row r="1202" spans="1:17" x14ac:dyDescent="0.35">
      <c r="A1202" s="82">
        <v>1199</v>
      </c>
      <c r="B1202" s="83" t="str">
        <f>_xlfn.XLOOKUP(A1202,'TAZs by City - CCAG Model'!$A:$A,'TAZs by City - CCAG Model'!$B:$B,"Unknown")</f>
        <v>San Jose</v>
      </c>
      <c r="C1202" s="82">
        <f>_xlfn.XLOOKUP(A1202,'TAZs by City - CCAG Model'!$A:$A,'TAZs by City - CCAG Model'!$C:$C,999)</f>
        <v>3</v>
      </c>
      <c r="D1202" s="82" t="str">
        <f t="shared" si="144"/>
        <v>NO</v>
      </c>
      <c r="E1202" s="27">
        <v>341.36</v>
      </c>
      <c r="F1202" s="27">
        <v>111.26</v>
      </c>
      <c r="G1202" s="27">
        <v>18.12</v>
      </c>
      <c r="H1202" s="27">
        <v>3.74</v>
      </c>
      <c r="I1202" s="27">
        <v>40.9</v>
      </c>
      <c r="J1202" s="27">
        <v>579.20000000000005</v>
      </c>
      <c r="K1202" s="47">
        <f t="shared" si="145"/>
        <v>0.58936464088397789</v>
      </c>
      <c r="L1202" s="47">
        <f t="shared" si="146"/>
        <v>0.19209254143646409</v>
      </c>
      <c r="M1202" s="84">
        <f t="shared" si="147"/>
        <v>0.78145718232044192</v>
      </c>
      <c r="N1202" s="47">
        <f t="shared" si="148"/>
        <v>3.1284530386740332E-2</v>
      </c>
      <c r="O1202" s="47">
        <f t="shared" si="149"/>
        <v>6.4571823204419886E-3</v>
      </c>
      <c r="P1202" s="47">
        <f t="shared" si="150"/>
        <v>7.0614640883977897E-2</v>
      </c>
      <c r="Q1202" s="47">
        <f t="shared" si="151"/>
        <v>1</v>
      </c>
    </row>
    <row r="1203" spans="1:17" x14ac:dyDescent="0.35">
      <c r="A1203" s="82">
        <v>1200</v>
      </c>
      <c r="B1203" s="83" t="str">
        <f>_xlfn.XLOOKUP(A1203,'TAZs by City - CCAG Model'!$A:$A,'TAZs by City - CCAG Model'!$B:$B,"Unknown")</f>
        <v>San Jose</v>
      </c>
      <c r="C1203" s="82">
        <f>_xlfn.XLOOKUP(A1203,'TAZs by City - CCAG Model'!$A:$A,'TAZs by City - CCAG Model'!$C:$C,999)</f>
        <v>3</v>
      </c>
      <c r="D1203" s="82" t="str">
        <f t="shared" si="144"/>
        <v>NO</v>
      </c>
      <c r="E1203" s="27">
        <v>1791.92</v>
      </c>
      <c r="F1203" s="27">
        <v>735.74</v>
      </c>
      <c r="G1203" s="27">
        <v>252.86</v>
      </c>
      <c r="H1203" s="27">
        <v>45.48</v>
      </c>
      <c r="I1203" s="27">
        <v>264.68</v>
      </c>
      <c r="J1203" s="27">
        <v>3391.98</v>
      </c>
      <c r="K1203" s="47">
        <f t="shared" si="145"/>
        <v>0.52828141675363649</v>
      </c>
      <c r="L1203" s="47">
        <f t="shared" si="146"/>
        <v>0.2169057600575475</v>
      </c>
      <c r="M1203" s="84">
        <f t="shared" si="147"/>
        <v>0.74518717681118396</v>
      </c>
      <c r="N1203" s="47">
        <f t="shared" si="148"/>
        <v>7.4546430108668099E-2</v>
      </c>
      <c r="O1203" s="47">
        <f t="shared" si="149"/>
        <v>1.3408097925105689E-2</v>
      </c>
      <c r="P1203" s="47">
        <f t="shared" si="150"/>
        <v>7.8031120466512185E-2</v>
      </c>
      <c r="Q1203" s="47">
        <f t="shared" si="151"/>
        <v>1</v>
      </c>
    </row>
    <row r="1204" spans="1:17" x14ac:dyDescent="0.35">
      <c r="A1204" s="82">
        <v>1201</v>
      </c>
      <c r="B1204" s="83" t="str">
        <f>_xlfn.XLOOKUP(A1204,'TAZs by City - CCAG Model'!$A:$A,'TAZs by City - CCAG Model'!$B:$B,"Unknown")</f>
        <v>San Jose</v>
      </c>
      <c r="C1204" s="82">
        <f>_xlfn.XLOOKUP(A1204,'TAZs by City - CCAG Model'!$A:$A,'TAZs by City - CCAG Model'!$C:$C,999)</f>
        <v>3</v>
      </c>
      <c r="D1204" s="82" t="str">
        <f t="shared" si="144"/>
        <v>NO</v>
      </c>
      <c r="E1204" s="27">
        <v>4953.62</v>
      </c>
      <c r="F1204" s="27">
        <v>2104.34</v>
      </c>
      <c r="G1204" s="27">
        <v>1476</v>
      </c>
      <c r="H1204" s="27">
        <v>122.76</v>
      </c>
      <c r="I1204" s="27">
        <v>854.5</v>
      </c>
      <c r="J1204" s="27">
        <v>11020.98</v>
      </c>
      <c r="K1204" s="47">
        <f t="shared" si="145"/>
        <v>0.44947182555453324</v>
      </c>
      <c r="L1204" s="47">
        <f t="shared" si="146"/>
        <v>0.19093946273380411</v>
      </c>
      <c r="M1204" s="84">
        <f t="shared" si="147"/>
        <v>0.64041128828833738</v>
      </c>
      <c r="N1204" s="47">
        <f t="shared" si="148"/>
        <v>0.13392638404207249</v>
      </c>
      <c r="O1204" s="47">
        <f t="shared" si="149"/>
        <v>1.1138755355694321E-2</v>
      </c>
      <c r="P1204" s="47">
        <f t="shared" si="150"/>
        <v>7.7533939812974892E-2</v>
      </c>
      <c r="Q1204" s="47">
        <f t="shared" si="151"/>
        <v>1</v>
      </c>
    </row>
    <row r="1205" spans="1:17" x14ac:dyDescent="0.35">
      <c r="A1205" s="82">
        <v>1202</v>
      </c>
      <c r="B1205" s="83" t="str">
        <f>_xlfn.XLOOKUP(A1205,'TAZs by City - CCAG Model'!$A:$A,'TAZs by City - CCAG Model'!$B:$B,"Unknown")</f>
        <v>San Jose</v>
      </c>
      <c r="C1205" s="82">
        <f>_xlfn.XLOOKUP(A1205,'TAZs by City - CCAG Model'!$A:$A,'TAZs by City - CCAG Model'!$C:$C,999)</f>
        <v>3</v>
      </c>
      <c r="D1205" s="82" t="str">
        <f t="shared" si="144"/>
        <v>NO</v>
      </c>
      <c r="E1205" s="27">
        <v>2949.54</v>
      </c>
      <c r="F1205" s="27">
        <v>1678.62</v>
      </c>
      <c r="G1205" s="27">
        <v>353.46</v>
      </c>
      <c r="H1205" s="27">
        <v>101.18</v>
      </c>
      <c r="I1205" s="27">
        <v>412.32</v>
      </c>
      <c r="J1205" s="27">
        <v>5888.14</v>
      </c>
      <c r="K1205" s="47">
        <f t="shared" si="145"/>
        <v>0.50092898606351066</v>
      </c>
      <c r="L1205" s="47">
        <f t="shared" si="146"/>
        <v>0.28508493344247926</v>
      </c>
      <c r="M1205" s="84">
        <f t="shared" si="147"/>
        <v>0.78601391950598998</v>
      </c>
      <c r="N1205" s="47">
        <f t="shared" si="148"/>
        <v>6.0029143328793125E-2</v>
      </c>
      <c r="O1205" s="47">
        <f t="shared" si="149"/>
        <v>1.7183694681172663E-2</v>
      </c>
      <c r="P1205" s="47">
        <f t="shared" si="150"/>
        <v>7.0025508904339909E-2</v>
      </c>
      <c r="Q1205" s="47">
        <f t="shared" si="151"/>
        <v>1</v>
      </c>
    </row>
    <row r="1206" spans="1:17" x14ac:dyDescent="0.35">
      <c r="A1206" s="82">
        <v>1203</v>
      </c>
      <c r="B1206" s="83" t="str">
        <f>_xlfn.XLOOKUP(A1206,'TAZs by City - CCAG Model'!$A:$A,'TAZs by City - CCAG Model'!$B:$B,"Unknown")</f>
        <v>San Jose</v>
      </c>
      <c r="C1206" s="82">
        <f>_xlfn.XLOOKUP(A1206,'TAZs by City - CCAG Model'!$A:$A,'TAZs by City - CCAG Model'!$C:$C,999)</f>
        <v>3</v>
      </c>
      <c r="D1206" s="82" t="str">
        <f t="shared" si="144"/>
        <v>NO</v>
      </c>
      <c r="E1206" s="27">
        <v>1183.32</v>
      </c>
      <c r="F1206" s="27">
        <v>626.1</v>
      </c>
      <c r="G1206" s="27">
        <v>66.900000000000006</v>
      </c>
      <c r="H1206" s="27">
        <v>25.06</v>
      </c>
      <c r="I1206" s="27">
        <v>100.94</v>
      </c>
      <c r="J1206" s="27">
        <v>2118.6799999999998</v>
      </c>
      <c r="K1206" s="47">
        <f t="shared" si="145"/>
        <v>0.5585175675420545</v>
      </c>
      <c r="L1206" s="47">
        <f t="shared" si="146"/>
        <v>0.29551418807937019</v>
      </c>
      <c r="M1206" s="84">
        <f t="shared" si="147"/>
        <v>0.85403175562142475</v>
      </c>
      <c r="N1206" s="47">
        <f t="shared" si="148"/>
        <v>3.1576264466554656E-2</v>
      </c>
      <c r="O1206" s="47">
        <f t="shared" si="149"/>
        <v>1.1828119395095059E-2</v>
      </c>
      <c r="P1206" s="47">
        <f t="shared" si="150"/>
        <v>4.7642871976891273E-2</v>
      </c>
      <c r="Q1206" s="47">
        <f t="shared" si="151"/>
        <v>1</v>
      </c>
    </row>
    <row r="1207" spans="1:17" x14ac:dyDescent="0.35">
      <c r="A1207" s="82">
        <v>1204</v>
      </c>
      <c r="B1207" s="83" t="str">
        <f>_xlfn.XLOOKUP(A1207,'TAZs by City - CCAG Model'!$A:$A,'TAZs by City - CCAG Model'!$B:$B,"Unknown")</f>
        <v>San Jose</v>
      </c>
      <c r="C1207" s="82">
        <f>_xlfn.XLOOKUP(A1207,'TAZs by City - CCAG Model'!$A:$A,'TAZs by City - CCAG Model'!$C:$C,999)</f>
        <v>3</v>
      </c>
      <c r="D1207" s="82" t="str">
        <f t="shared" si="144"/>
        <v>NO</v>
      </c>
      <c r="E1207" s="27">
        <v>3198.62</v>
      </c>
      <c r="F1207" s="27">
        <v>1812.06</v>
      </c>
      <c r="G1207" s="27">
        <v>525.79999999999995</v>
      </c>
      <c r="H1207" s="27">
        <v>116.98</v>
      </c>
      <c r="I1207" s="27">
        <v>515.36</v>
      </c>
      <c r="J1207" s="27">
        <v>6734.52</v>
      </c>
      <c r="K1207" s="47">
        <f t="shared" si="145"/>
        <v>0.47495886863503262</v>
      </c>
      <c r="L1207" s="47">
        <f t="shared" si="146"/>
        <v>0.26907040145400113</v>
      </c>
      <c r="M1207" s="84">
        <f t="shared" si="147"/>
        <v>0.74402927008903386</v>
      </c>
      <c r="N1207" s="47">
        <f t="shared" si="148"/>
        <v>7.8075349096891816E-2</v>
      </c>
      <c r="O1207" s="47">
        <f t="shared" si="149"/>
        <v>1.7370206042895409E-2</v>
      </c>
      <c r="P1207" s="47">
        <f t="shared" si="150"/>
        <v>7.6525127254800637E-2</v>
      </c>
      <c r="Q1207" s="47">
        <f t="shared" si="151"/>
        <v>1</v>
      </c>
    </row>
    <row r="1208" spans="1:17" x14ac:dyDescent="0.35">
      <c r="A1208" s="82">
        <v>1205</v>
      </c>
      <c r="B1208" s="83" t="str">
        <f>_xlfn.XLOOKUP(A1208,'TAZs by City - CCAG Model'!$A:$A,'TAZs by City - CCAG Model'!$B:$B,"Unknown")</f>
        <v>San Jose</v>
      </c>
      <c r="C1208" s="82">
        <f>_xlfn.XLOOKUP(A1208,'TAZs by City - CCAG Model'!$A:$A,'TAZs by City - CCAG Model'!$C:$C,999)</f>
        <v>3</v>
      </c>
      <c r="D1208" s="82" t="str">
        <f t="shared" si="144"/>
        <v>NO</v>
      </c>
      <c r="E1208" s="27">
        <v>8623.9</v>
      </c>
      <c r="F1208" s="27">
        <v>3688.26</v>
      </c>
      <c r="G1208" s="27">
        <v>2601.84</v>
      </c>
      <c r="H1208" s="27">
        <v>217.38</v>
      </c>
      <c r="I1208" s="27">
        <v>1370.4</v>
      </c>
      <c r="J1208" s="27">
        <v>19125.2</v>
      </c>
      <c r="K1208" s="47">
        <f t="shared" si="145"/>
        <v>0.45091816033296378</v>
      </c>
      <c r="L1208" s="47">
        <f t="shared" si="146"/>
        <v>0.19284817936544454</v>
      </c>
      <c r="M1208" s="84">
        <f t="shared" si="147"/>
        <v>0.64376633969840835</v>
      </c>
      <c r="N1208" s="47">
        <f t="shared" si="148"/>
        <v>0.13604249890197226</v>
      </c>
      <c r="O1208" s="47">
        <f t="shared" si="149"/>
        <v>1.1366155648045511E-2</v>
      </c>
      <c r="P1208" s="47">
        <f t="shared" si="150"/>
        <v>7.1654152636312307E-2</v>
      </c>
      <c r="Q1208" s="47">
        <f t="shared" si="151"/>
        <v>1</v>
      </c>
    </row>
    <row r="1209" spans="1:17" x14ac:dyDescent="0.35">
      <c r="A1209" s="82">
        <v>1206</v>
      </c>
      <c r="B1209" s="83" t="str">
        <f>_xlfn.XLOOKUP(A1209,'TAZs by City - CCAG Model'!$A:$A,'TAZs by City - CCAG Model'!$B:$B,"Unknown")</f>
        <v>Santa Clara</v>
      </c>
      <c r="C1209" s="82">
        <f>_xlfn.XLOOKUP(A1209,'TAZs by City - CCAG Model'!$A:$A,'TAZs by City - CCAG Model'!$C:$C,999)</f>
        <v>3</v>
      </c>
      <c r="D1209" s="82" t="str">
        <f t="shared" si="144"/>
        <v>NO</v>
      </c>
      <c r="E1209" s="27">
        <v>3085.96</v>
      </c>
      <c r="F1209" s="27">
        <v>1055.24</v>
      </c>
      <c r="G1209" s="27">
        <v>159.36000000000001</v>
      </c>
      <c r="H1209" s="27">
        <v>30.88</v>
      </c>
      <c r="I1209" s="27">
        <v>105.7</v>
      </c>
      <c r="J1209" s="27">
        <v>4639.18</v>
      </c>
      <c r="K1209" s="47">
        <f t="shared" si="145"/>
        <v>0.66519514224496568</v>
      </c>
      <c r="L1209" s="47">
        <f t="shared" si="146"/>
        <v>0.22746261192710779</v>
      </c>
      <c r="M1209" s="84">
        <f t="shared" si="147"/>
        <v>0.89265775417207338</v>
      </c>
      <c r="N1209" s="47">
        <f t="shared" si="148"/>
        <v>3.435089821908182E-2</v>
      </c>
      <c r="O1209" s="47">
        <f t="shared" si="149"/>
        <v>6.6563487512879427E-3</v>
      </c>
      <c r="P1209" s="47">
        <f t="shared" si="150"/>
        <v>2.2784198931707758E-2</v>
      </c>
      <c r="Q1209" s="47">
        <f t="shared" si="151"/>
        <v>1</v>
      </c>
    </row>
    <row r="1210" spans="1:17" x14ac:dyDescent="0.35">
      <c r="A1210" s="82">
        <v>1207</v>
      </c>
      <c r="B1210" s="83" t="str">
        <f>_xlfn.XLOOKUP(A1210,'TAZs by City - CCAG Model'!$A:$A,'TAZs by City - CCAG Model'!$B:$B,"Unknown")</f>
        <v>Santa Clara</v>
      </c>
      <c r="C1210" s="82">
        <f>_xlfn.XLOOKUP(A1210,'TAZs by City - CCAG Model'!$A:$A,'TAZs by City - CCAG Model'!$C:$C,999)</f>
        <v>3</v>
      </c>
      <c r="D1210" s="82" t="str">
        <f t="shared" si="144"/>
        <v>NO</v>
      </c>
      <c r="E1210" s="27">
        <v>1887.64</v>
      </c>
      <c r="F1210" s="27">
        <v>608.79999999999995</v>
      </c>
      <c r="G1210" s="27">
        <v>10.94</v>
      </c>
      <c r="H1210" s="27">
        <v>20.64</v>
      </c>
      <c r="I1210" s="27">
        <v>36.26</v>
      </c>
      <c r="J1210" s="27">
        <v>2614.8200000000002</v>
      </c>
      <c r="K1210" s="47">
        <f t="shared" si="145"/>
        <v>0.72190055147199428</v>
      </c>
      <c r="L1210" s="47">
        <f t="shared" si="146"/>
        <v>0.23282673377134944</v>
      </c>
      <c r="M1210" s="84">
        <f t="shared" si="147"/>
        <v>0.95472728524334372</v>
      </c>
      <c r="N1210" s="47">
        <f t="shared" si="148"/>
        <v>4.1838443946428426E-3</v>
      </c>
      <c r="O1210" s="47">
        <f t="shared" si="149"/>
        <v>7.8934687664925316E-3</v>
      </c>
      <c r="P1210" s="47">
        <f t="shared" si="150"/>
        <v>1.3867111311677284E-2</v>
      </c>
      <c r="Q1210" s="47">
        <f t="shared" si="151"/>
        <v>1</v>
      </c>
    </row>
    <row r="1211" spans="1:17" x14ac:dyDescent="0.35">
      <c r="A1211" s="82">
        <v>1208</v>
      </c>
      <c r="B1211" s="83" t="str">
        <f>_xlfn.XLOOKUP(A1211,'TAZs by City - CCAG Model'!$A:$A,'TAZs by City - CCAG Model'!$B:$B,"Unknown")</f>
        <v>Santa Clara</v>
      </c>
      <c r="C1211" s="82">
        <f>_xlfn.XLOOKUP(A1211,'TAZs by City - CCAG Model'!$A:$A,'TAZs by City - CCAG Model'!$C:$C,999)</f>
        <v>3</v>
      </c>
      <c r="D1211" s="82" t="str">
        <f t="shared" si="144"/>
        <v>NO</v>
      </c>
      <c r="E1211" s="27">
        <v>2634.04</v>
      </c>
      <c r="F1211" s="27">
        <v>804.02</v>
      </c>
      <c r="G1211" s="27">
        <v>37.119999999999997</v>
      </c>
      <c r="H1211" s="27">
        <v>30.94</v>
      </c>
      <c r="I1211" s="27">
        <v>65.459999999999994</v>
      </c>
      <c r="J1211" s="27">
        <v>3653.16</v>
      </c>
      <c r="K1211" s="47">
        <f t="shared" si="145"/>
        <v>0.72103055984408027</v>
      </c>
      <c r="L1211" s="47">
        <f t="shared" si="146"/>
        <v>0.22008890932781483</v>
      </c>
      <c r="M1211" s="84">
        <f t="shared" si="147"/>
        <v>0.94111946917189504</v>
      </c>
      <c r="N1211" s="47">
        <f t="shared" si="148"/>
        <v>1.0161066035979809E-2</v>
      </c>
      <c r="O1211" s="47">
        <f t="shared" si="149"/>
        <v>8.4693799340844651E-3</v>
      </c>
      <c r="P1211" s="47">
        <f t="shared" si="150"/>
        <v>1.7918733370561376E-2</v>
      </c>
      <c r="Q1211" s="47">
        <f t="shared" si="151"/>
        <v>1</v>
      </c>
    </row>
    <row r="1212" spans="1:17" x14ac:dyDescent="0.35">
      <c r="A1212" s="82">
        <v>1209</v>
      </c>
      <c r="B1212" s="83" t="str">
        <f>_xlfn.XLOOKUP(A1212,'TAZs by City - CCAG Model'!$A:$A,'TAZs by City - CCAG Model'!$B:$B,"Unknown")</f>
        <v>Santa Clara</v>
      </c>
      <c r="C1212" s="82">
        <f>_xlfn.XLOOKUP(A1212,'TAZs by City - CCAG Model'!$A:$A,'TAZs by City - CCAG Model'!$C:$C,999)</f>
        <v>3</v>
      </c>
      <c r="D1212" s="82" t="str">
        <f t="shared" si="144"/>
        <v>NO</v>
      </c>
      <c r="E1212" s="27">
        <v>656.9</v>
      </c>
      <c r="F1212" s="27">
        <v>304.8</v>
      </c>
      <c r="G1212" s="27">
        <v>45.64</v>
      </c>
      <c r="H1212" s="27">
        <v>11.54</v>
      </c>
      <c r="I1212" s="27">
        <v>166.38</v>
      </c>
      <c r="J1212" s="27">
        <v>1281.92</v>
      </c>
      <c r="K1212" s="47">
        <f t="shared" si="145"/>
        <v>0.51243447329006486</v>
      </c>
      <c r="L1212" s="47">
        <f t="shared" si="146"/>
        <v>0.23776834747878181</v>
      </c>
      <c r="M1212" s="84">
        <f t="shared" si="147"/>
        <v>0.7502028207688467</v>
      </c>
      <c r="N1212" s="47">
        <f t="shared" si="148"/>
        <v>3.5602845731402891E-2</v>
      </c>
      <c r="O1212" s="47">
        <f t="shared" si="149"/>
        <v>9.002121817274087E-3</v>
      </c>
      <c r="P1212" s="47">
        <f t="shared" si="150"/>
        <v>0.12978969046430353</v>
      </c>
      <c r="Q1212" s="47">
        <f t="shared" si="151"/>
        <v>1</v>
      </c>
    </row>
    <row r="1213" spans="1:17" x14ac:dyDescent="0.35">
      <c r="A1213" s="82">
        <v>1210</v>
      </c>
      <c r="B1213" s="83" t="str">
        <f>_xlfn.XLOOKUP(A1213,'TAZs by City - CCAG Model'!$A:$A,'TAZs by City - CCAG Model'!$B:$B,"Unknown")</f>
        <v>Santa Clara</v>
      </c>
      <c r="C1213" s="82">
        <f>_xlfn.XLOOKUP(A1213,'TAZs by City - CCAG Model'!$A:$A,'TAZs by City - CCAG Model'!$C:$C,999)</f>
        <v>3</v>
      </c>
      <c r="D1213" s="82" t="str">
        <f t="shared" si="144"/>
        <v>NO</v>
      </c>
      <c r="E1213" s="27">
        <v>8286.5</v>
      </c>
      <c r="F1213" s="27">
        <v>2942.8</v>
      </c>
      <c r="G1213" s="27">
        <v>927.24</v>
      </c>
      <c r="H1213" s="27">
        <v>212.1</v>
      </c>
      <c r="I1213" s="27">
        <v>2492.7800000000002</v>
      </c>
      <c r="J1213" s="27">
        <v>15822.2</v>
      </c>
      <c r="K1213" s="47">
        <f t="shared" si="145"/>
        <v>0.52372615691875968</v>
      </c>
      <c r="L1213" s="47">
        <f t="shared" si="146"/>
        <v>0.18599183425819418</v>
      </c>
      <c r="M1213" s="84">
        <f t="shared" si="147"/>
        <v>0.70971799117695378</v>
      </c>
      <c r="N1213" s="47">
        <f t="shared" si="148"/>
        <v>5.8603733994008415E-2</v>
      </c>
      <c r="O1213" s="47">
        <f t="shared" si="149"/>
        <v>1.3405215456763282E-2</v>
      </c>
      <c r="P1213" s="47">
        <f t="shared" si="150"/>
        <v>0.15754951903022335</v>
      </c>
      <c r="Q1213" s="47">
        <f t="shared" si="151"/>
        <v>1</v>
      </c>
    </row>
    <row r="1214" spans="1:17" x14ac:dyDescent="0.35">
      <c r="A1214" s="82">
        <v>1211</v>
      </c>
      <c r="B1214" s="83" t="str">
        <f>_xlfn.XLOOKUP(A1214,'TAZs by City - CCAG Model'!$A:$A,'TAZs by City - CCAG Model'!$B:$B,"Unknown")</f>
        <v>Santa Clara</v>
      </c>
      <c r="C1214" s="82">
        <f>_xlfn.XLOOKUP(A1214,'TAZs by City - CCAG Model'!$A:$A,'TAZs by City - CCAG Model'!$C:$C,999)</f>
        <v>3</v>
      </c>
      <c r="D1214" s="82" t="str">
        <f t="shared" si="144"/>
        <v>NO</v>
      </c>
      <c r="E1214" s="27">
        <v>4434.9799999999996</v>
      </c>
      <c r="F1214" s="27">
        <v>1595.44</v>
      </c>
      <c r="G1214" s="27">
        <v>310.36</v>
      </c>
      <c r="H1214" s="27">
        <v>90.48</v>
      </c>
      <c r="I1214" s="27">
        <v>1370.68</v>
      </c>
      <c r="J1214" s="27">
        <v>8153.94</v>
      </c>
      <c r="K1214" s="47">
        <f t="shared" si="145"/>
        <v>0.54390638145485493</v>
      </c>
      <c r="L1214" s="47">
        <f t="shared" si="146"/>
        <v>0.19566491781887041</v>
      </c>
      <c r="M1214" s="84">
        <f t="shared" si="147"/>
        <v>0.73957129927372534</v>
      </c>
      <c r="N1214" s="47">
        <f t="shared" si="148"/>
        <v>3.8062580789164503E-2</v>
      </c>
      <c r="O1214" s="47">
        <f t="shared" si="149"/>
        <v>1.1096476059426487E-2</v>
      </c>
      <c r="P1214" s="47">
        <f t="shared" si="150"/>
        <v>0.16810032941130301</v>
      </c>
      <c r="Q1214" s="47">
        <f t="shared" si="151"/>
        <v>1</v>
      </c>
    </row>
    <row r="1215" spans="1:17" x14ac:dyDescent="0.35">
      <c r="A1215" s="82">
        <v>1212</v>
      </c>
      <c r="B1215" s="83" t="str">
        <f>_xlfn.XLOOKUP(A1215,'TAZs by City - CCAG Model'!$A:$A,'TAZs by City - CCAG Model'!$B:$B,"Unknown")</f>
        <v>Santa Clara</v>
      </c>
      <c r="C1215" s="82">
        <f>_xlfn.XLOOKUP(A1215,'TAZs by City - CCAG Model'!$A:$A,'TAZs by City - CCAG Model'!$C:$C,999)</f>
        <v>3</v>
      </c>
      <c r="D1215" s="82" t="str">
        <f t="shared" si="144"/>
        <v>NO</v>
      </c>
      <c r="E1215" s="27">
        <v>902</v>
      </c>
      <c r="F1215" s="27">
        <v>436.4</v>
      </c>
      <c r="G1215" s="27">
        <v>28.02</v>
      </c>
      <c r="H1215" s="27">
        <v>12.14</v>
      </c>
      <c r="I1215" s="27">
        <v>453.9</v>
      </c>
      <c r="J1215" s="27">
        <v>1899.68</v>
      </c>
      <c r="K1215" s="47">
        <f t="shared" si="145"/>
        <v>0.47481681125242142</v>
      </c>
      <c r="L1215" s="47">
        <f t="shared" si="146"/>
        <v>0.22972290069906509</v>
      </c>
      <c r="M1215" s="84">
        <f t="shared" si="147"/>
        <v>0.70453971195148657</v>
      </c>
      <c r="N1215" s="47">
        <f t="shared" si="148"/>
        <v>1.4749852606754821E-2</v>
      </c>
      <c r="O1215" s="47">
        <f t="shared" si="149"/>
        <v>6.3905499873662935E-3</v>
      </c>
      <c r="P1215" s="47">
        <f t="shared" si="150"/>
        <v>0.23893497852269854</v>
      </c>
      <c r="Q1215" s="47">
        <f t="shared" si="151"/>
        <v>1</v>
      </c>
    </row>
    <row r="1216" spans="1:17" x14ac:dyDescent="0.35">
      <c r="A1216" s="82">
        <v>1213</v>
      </c>
      <c r="B1216" s="83" t="str">
        <f>_xlfn.XLOOKUP(A1216,'TAZs by City - CCAG Model'!$A:$A,'TAZs by City - CCAG Model'!$B:$B,"Unknown")</f>
        <v>Santa Clara</v>
      </c>
      <c r="C1216" s="82">
        <f>_xlfn.XLOOKUP(A1216,'TAZs by City - CCAG Model'!$A:$A,'TAZs by City - CCAG Model'!$C:$C,999)</f>
        <v>3</v>
      </c>
      <c r="D1216" s="82" t="str">
        <f t="shared" si="144"/>
        <v>NO</v>
      </c>
      <c r="E1216" s="27">
        <v>1695.22</v>
      </c>
      <c r="F1216" s="27">
        <v>806.96</v>
      </c>
      <c r="G1216" s="27">
        <v>24.94</v>
      </c>
      <c r="H1216" s="27">
        <v>23.16</v>
      </c>
      <c r="I1216" s="27">
        <v>159.58000000000001</v>
      </c>
      <c r="J1216" s="27">
        <v>2779.02</v>
      </c>
      <c r="K1216" s="47">
        <f t="shared" si="145"/>
        <v>0.61000640513562332</v>
      </c>
      <c r="L1216" s="47">
        <f t="shared" si="146"/>
        <v>0.29037574396729782</v>
      </c>
      <c r="M1216" s="84">
        <f t="shared" si="147"/>
        <v>0.90038214910292125</v>
      </c>
      <c r="N1216" s="47">
        <f t="shared" si="148"/>
        <v>8.9743866542882026E-3</v>
      </c>
      <c r="O1216" s="47">
        <f t="shared" si="149"/>
        <v>8.3338730919532786E-3</v>
      </c>
      <c r="P1216" s="47">
        <f t="shared" si="150"/>
        <v>5.7423120380565816E-2</v>
      </c>
      <c r="Q1216" s="47">
        <f t="shared" si="151"/>
        <v>1</v>
      </c>
    </row>
    <row r="1217" spans="1:17" x14ac:dyDescent="0.35">
      <c r="A1217" s="82">
        <v>1214</v>
      </c>
      <c r="B1217" s="83" t="str">
        <f>_xlfn.XLOOKUP(A1217,'TAZs by City - CCAG Model'!$A:$A,'TAZs by City - CCAG Model'!$B:$B,"Unknown")</f>
        <v>Santa Clara</v>
      </c>
      <c r="C1217" s="82">
        <f>_xlfn.XLOOKUP(A1217,'TAZs by City - CCAG Model'!$A:$A,'TAZs by City - CCAG Model'!$C:$C,999)</f>
        <v>3</v>
      </c>
      <c r="D1217" s="82" t="str">
        <f t="shared" si="144"/>
        <v>NO</v>
      </c>
      <c r="E1217" s="27">
        <v>1665.28</v>
      </c>
      <c r="F1217" s="27">
        <v>466.88</v>
      </c>
      <c r="G1217" s="27">
        <v>76.599999999999994</v>
      </c>
      <c r="H1217" s="27">
        <v>18.04</v>
      </c>
      <c r="I1217" s="27">
        <v>15.16</v>
      </c>
      <c r="J1217" s="27">
        <v>2367.1799999999998</v>
      </c>
      <c r="K1217" s="47">
        <f t="shared" si="145"/>
        <v>0.70348684933127181</v>
      </c>
      <c r="L1217" s="47">
        <f t="shared" si="146"/>
        <v>0.1972304598720841</v>
      </c>
      <c r="M1217" s="84">
        <f t="shared" si="147"/>
        <v>0.90071730920335591</v>
      </c>
      <c r="N1217" s="47">
        <f t="shared" si="148"/>
        <v>3.2359178431720446E-2</v>
      </c>
      <c r="O1217" s="47">
        <f t="shared" si="149"/>
        <v>7.6208822311780262E-3</v>
      </c>
      <c r="P1217" s="47">
        <f t="shared" si="150"/>
        <v>6.4042447131185632E-3</v>
      </c>
      <c r="Q1217" s="47">
        <f t="shared" si="151"/>
        <v>1</v>
      </c>
    </row>
    <row r="1218" spans="1:17" x14ac:dyDescent="0.35">
      <c r="A1218" s="82">
        <v>1215</v>
      </c>
      <c r="B1218" s="83" t="str">
        <f>_xlfn.XLOOKUP(A1218,'TAZs by City - CCAG Model'!$A:$A,'TAZs by City - CCAG Model'!$B:$B,"Unknown")</f>
        <v>Sunnyvale</v>
      </c>
      <c r="C1218" s="82">
        <f>_xlfn.XLOOKUP(A1218,'TAZs by City - CCAG Model'!$A:$A,'TAZs by City - CCAG Model'!$C:$C,999)</f>
        <v>3</v>
      </c>
      <c r="D1218" s="82" t="str">
        <f t="shared" si="144"/>
        <v>NO</v>
      </c>
      <c r="E1218" s="27">
        <v>3421.9</v>
      </c>
      <c r="F1218" s="27">
        <v>945.86</v>
      </c>
      <c r="G1218" s="27">
        <v>58.58</v>
      </c>
      <c r="H1218" s="27">
        <v>39.06</v>
      </c>
      <c r="I1218" s="27">
        <v>97.04</v>
      </c>
      <c r="J1218" s="27">
        <v>4663.5600000000004</v>
      </c>
      <c r="K1218" s="47">
        <f t="shared" si="145"/>
        <v>0.73375275540574147</v>
      </c>
      <c r="L1218" s="47">
        <f t="shared" si="146"/>
        <v>0.20281930542332466</v>
      </c>
      <c r="M1218" s="84">
        <f t="shared" si="147"/>
        <v>0.93657206082906619</v>
      </c>
      <c r="N1218" s="47">
        <f t="shared" si="148"/>
        <v>1.2561219326008455E-2</v>
      </c>
      <c r="O1218" s="47">
        <f t="shared" si="149"/>
        <v>8.3755757404214808E-3</v>
      </c>
      <c r="P1218" s="47">
        <f t="shared" si="150"/>
        <v>2.0808137989004109E-2</v>
      </c>
      <c r="Q1218" s="47">
        <f t="shared" si="151"/>
        <v>1</v>
      </c>
    </row>
    <row r="1219" spans="1:17" x14ac:dyDescent="0.35">
      <c r="A1219" s="82">
        <v>1216</v>
      </c>
      <c r="B1219" s="83" t="str">
        <f>_xlfn.XLOOKUP(A1219,'TAZs by City - CCAG Model'!$A:$A,'TAZs by City - CCAG Model'!$B:$B,"Unknown")</f>
        <v>Santa Clara</v>
      </c>
      <c r="C1219" s="82">
        <f>_xlfn.XLOOKUP(A1219,'TAZs by City - CCAG Model'!$A:$A,'TAZs by City - CCAG Model'!$C:$C,999)</f>
        <v>3</v>
      </c>
      <c r="D1219" s="82" t="str">
        <f t="shared" si="144"/>
        <v>NO</v>
      </c>
      <c r="E1219" s="27">
        <v>6142.32</v>
      </c>
      <c r="F1219" s="27">
        <v>4068.7</v>
      </c>
      <c r="G1219" s="27">
        <v>224.24</v>
      </c>
      <c r="H1219" s="27">
        <v>171.98</v>
      </c>
      <c r="I1219" s="27">
        <v>830.56</v>
      </c>
      <c r="J1219" s="27">
        <v>11694.84</v>
      </c>
      <c r="K1219" s="47">
        <f t="shared" si="145"/>
        <v>0.52521624921760368</v>
      </c>
      <c r="L1219" s="47">
        <f t="shared" si="146"/>
        <v>0.34790557203005767</v>
      </c>
      <c r="M1219" s="84">
        <f t="shared" si="147"/>
        <v>0.87312182124766136</v>
      </c>
      <c r="N1219" s="47">
        <f t="shared" si="148"/>
        <v>1.9174268309784488E-2</v>
      </c>
      <c r="O1219" s="47">
        <f t="shared" si="149"/>
        <v>1.470563085942176E-2</v>
      </c>
      <c r="P1219" s="47">
        <f t="shared" si="150"/>
        <v>7.1019355544838569E-2</v>
      </c>
      <c r="Q1219" s="47">
        <f t="shared" si="151"/>
        <v>1</v>
      </c>
    </row>
    <row r="1220" spans="1:17" x14ac:dyDescent="0.35">
      <c r="A1220" s="82">
        <v>1217</v>
      </c>
      <c r="B1220" s="83" t="str">
        <f>_xlfn.XLOOKUP(A1220,'TAZs by City - CCAG Model'!$A:$A,'TAZs by City - CCAG Model'!$B:$B,"Unknown")</f>
        <v>Santa Clara</v>
      </c>
      <c r="C1220" s="82">
        <f>_xlfn.XLOOKUP(A1220,'TAZs by City - CCAG Model'!$A:$A,'TAZs by City - CCAG Model'!$C:$C,999)</f>
        <v>3</v>
      </c>
      <c r="D1220" s="82" t="str">
        <f t="shared" si="144"/>
        <v>NO</v>
      </c>
      <c r="E1220" s="27">
        <v>2187.06</v>
      </c>
      <c r="F1220" s="27">
        <v>1546.7</v>
      </c>
      <c r="G1220" s="27">
        <v>45.74</v>
      </c>
      <c r="H1220" s="27">
        <v>58.44</v>
      </c>
      <c r="I1220" s="27">
        <v>340.96</v>
      </c>
      <c r="J1220" s="27">
        <v>4253.4799999999996</v>
      </c>
      <c r="K1220" s="47">
        <f t="shared" si="145"/>
        <v>0.51418132917046755</v>
      </c>
      <c r="L1220" s="47">
        <f t="shared" si="146"/>
        <v>0.36363166160414534</v>
      </c>
      <c r="M1220" s="84">
        <f t="shared" si="147"/>
        <v>0.87781299077461294</v>
      </c>
      <c r="N1220" s="47">
        <f t="shared" si="148"/>
        <v>1.0753547683308728E-2</v>
      </c>
      <c r="O1220" s="47">
        <f t="shared" si="149"/>
        <v>1.3739338141944949E-2</v>
      </c>
      <c r="P1220" s="47">
        <f t="shared" si="150"/>
        <v>8.0160245258000515E-2</v>
      </c>
      <c r="Q1220" s="47">
        <f t="shared" si="151"/>
        <v>1</v>
      </c>
    </row>
    <row r="1221" spans="1:17" x14ac:dyDescent="0.35">
      <c r="A1221" s="82">
        <v>1218</v>
      </c>
      <c r="B1221" s="83" t="str">
        <f>_xlfn.XLOOKUP(A1221,'TAZs by City - CCAG Model'!$A:$A,'TAZs by City - CCAG Model'!$B:$B,"Unknown")</f>
        <v>Santa Clara</v>
      </c>
      <c r="C1221" s="82">
        <f>_xlfn.XLOOKUP(A1221,'TAZs by City - CCAG Model'!$A:$A,'TAZs by City - CCAG Model'!$C:$C,999)</f>
        <v>3</v>
      </c>
      <c r="D1221" s="82" t="str">
        <f t="shared" ref="D1221:D1284" si="152">IF(C1221=2,"YES","NO")</f>
        <v>NO</v>
      </c>
      <c r="E1221" s="27">
        <v>1996.14</v>
      </c>
      <c r="F1221" s="27">
        <v>1220.58</v>
      </c>
      <c r="G1221" s="27">
        <v>42.54</v>
      </c>
      <c r="H1221" s="27">
        <v>43.08</v>
      </c>
      <c r="I1221" s="27">
        <v>446.66</v>
      </c>
      <c r="J1221" s="27">
        <v>3834.7</v>
      </c>
      <c r="K1221" s="47">
        <f t="shared" ref="K1221:K1284" si="153">IFERROR(E1221/$J1221,0)</f>
        <v>0.52054658773828466</v>
      </c>
      <c r="L1221" s="47">
        <f t="shared" ref="L1221:L1284" si="154">IFERROR(F1221/$J1221,0)</f>
        <v>0.31829869350927059</v>
      </c>
      <c r="M1221" s="84">
        <f t="shared" ref="M1221:M1284" si="155">IFERROR((E1221+F1221)/J1221,0)</f>
        <v>0.83884528124755531</v>
      </c>
      <c r="N1221" s="47">
        <f t="shared" ref="N1221:N1284" si="156">IFERROR(G1221/$J1221,0)</f>
        <v>1.1093436253161917E-2</v>
      </c>
      <c r="O1221" s="47">
        <f t="shared" ref="O1221:O1284" si="157">IFERROR(H1221/$J1221,0)</f>
        <v>1.1234255613216157E-2</v>
      </c>
      <c r="P1221" s="47">
        <f t="shared" ref="P1221:P1284" si="158">IFERROR(I1221/$J1221,0)</f>
        <v>0.1164784728922732</v>
      </c>
      <c r="Q1221" s="47">
        <f t="shared" ref="Q1221:Q1284" si="159">IFERROR(J1221/$J1221,0)</f>
        <v>1</v>
      </c>
    </row>
    <row r="1222" spans="1:17" x14ac:dyDescent="0.35">
      <c r="A1222" s="82">
        <v>1219</v>
      </c>
      <c r="B1222" s="83" t="str">
        <f>_xlfn.XLOOKUP(A1222,'TAZs by City - CCAG Model'!$A:$A,'TAZs by City - CCAG Model'!$B:$B,"Unknown")</f>
        <v>Santa Clara</v>
      </c>
      <c r="C1222" s="82">
        <f>_xlfn.XLOOKUP(A1222,'TAZs by City - CCAG Model'!$A:$A,'TAZs by City - CCAG Model'!$C:$C,999)</f>
        <v>3</v>
      </c>
      <c r="D1222" s="82" t="str">
        <f t="shared" si="152"/>
        <v>NO</v>
      </c>
      <c r="E1222" s="27">
        <v>13254.36</v>
      </c>
      <c r="F1222" s="27">
        <v>3916.64</v>
      </c>
      <c r="G1222" s="27">
        <v>433.96</v>
      </c>
      <c r="H1222" s="27">
        <v>140.1</v>
      </c>
      <c r="I1222" s="27">
        <v>1180.1400000000001</v>
      </c>
      <c r="J1222" s="27">
        <v>19379.66</v>
      </c>
      <c r="K1222" s="47">
        <f t="shared" si="153"/>
        <v>0.68393150344226894</v>
      </c>
      <c r="L1222" s="47">
        <f t="shared" si="154"/>
        <v>0.20210055284767636</v>
      </c>
      <c r="M1222" s="84">
        <f t="shared" si="155"/>
        <v>0.88603205628994519</v>
      </c>
      <c r="N1222" s="47">
        <f t="shared" si="156"/>
        <v>2.2392549714494475E-2</v>
      </c>
      <c r="O1222" s="47">
        <f t="shared" si="157"/>
        <v>7.2292289957615356E-3</v>
      </c>
      <c r="P1222" s="47">
        <f t="shared" si="158"/>
        <v>6.0895805189564736E-2</v>
      </c>
      <c r="Q1222" s="47">
        <f t="shared" si="159"/>
        <v>1</v>
      </c>
    </row>
    <row r="1223" spans="1:17" x14ac:dyDescent="0.35">
      <c r="A1223" s="82">
        <v>1220</v>
      </c>
      <c r="B1223" s="83" t="str">
        <f>_xlfn.XLOOKUP(A1223,'TAZs by City - CCAG Model'!$A:$A,'TAZs by City - CCAG Model'!$B:$B,"Unknown")</f>
        <v>San Jose</v>
      </c>
      <c r="C1223" s="82">
        <f>_xlfn.XLOOKUP(A1223,'TAZs by City - CCAG Model'!$A:$A,'TAZs by City - CCAG Model'!$C:$C,999)</f>
        <v>3</v>
      </c>
      <c r="D1223" s="82" t="str">
        <f t="shared" si="152"/>
        <v>NO</v>
      </c>
      <c r="E1223" s="27">
        <v>4322.5600000000004</v>
      </c>
      <c r="F1223" s="27">
        <v>2115.2399999999998</v>
      </c>
      <c r="G1223" s="27">
        <v>228.2</v>
      </c>
      <c r="H1223" s="27">
        <v>106.78</v>
      </c>
      <c r="I1223" s="27">
        <v>1397.28</v>
      </c>
      <c r="J1223" s="27">
        <v>8447.5400000000009</v>
      </c>
      <c r="K1223" s="47">
        <f t="shared" si="153"/>
        <v>0.51169452882140831</v>
      </c>
      <c r="L1223" s="47">
        <f t="shared" si="154"/>
        <v>0.25039715704216842</v>
      </c>
      <c r="M1223" s="84">
        <f t="shared" si="155"/>
        <v>0.76209168586357678</v>
      </c>
      <c r="N1223" s="47">
        <f t="shared" si="156"/>
        <v>2.701378152692973E-2</v>
      </c>
      <c r="O1223" s="47">
        <f t="shared" si="157"/>
        <v>1.2640366307824525E-2</v>
      </c>
      <c r="P1223" s="47">
        <f t="shared" si="158"/>
        <v>0.16540673379469051</v>
      </c>
      <c r="Q1223" s="47">
        <f t="shared" si="159"/>
        <v>1</v>
      </c>
    </row>
    <row r="1224" spans="1:17" x14ac:dyDescent="0.35">
      <c r="A1224" s="82">
        <v>1221</v>
      </c>
      <c r="B1224" s="83" t="str">
        <f>_xlfn.XLOOKUP(A1224,'TAZs by City - CCAG Model'!$A:$A,'TAZs by City - CCAG Model'!$B:$B,"Unknown")</f>
        <v>Santa Clara</v>
      </c>
      <c r="C1224" s="82">
        <f>_xlfn.XLOOKUP(A1224,'TAZs by City - CCAG Model'!$A:$A,'TAZs by City - CCAG Model'!$C:$C,999)</f>
        <v>3</v>
      </c>
      <c r="D1224" s="82" t="str">
        <f t="shared" si="152"/>
        <v>NO</v>
      </c>
      <c r="E1224" s="27">
        <v>2989.62</v>
      </c>
      <c r="F1224" s="27">
        <v>1525.32</v>
      </c>
      <c r="G1224" s="27">
        <v>111.74</v>
      </c>
      <c r="H1224" s="27">
        <v>62.74</v>
      </c>
      <c r="I1224" s="27">
        <v>961</v>
      </c>
      <c r="J1224" s="27">
        <v>5814.66</v>
      </c>
      <c r="K1224" s="47">
        <f t="shared" si="153"/>
        <v>0.51415216022948895</v>
      </c>
      <c r="L1224" s="47">
        <f t="shared" si="154"/>
        <v>0.26232316248929427</v>
      </c>
      <c r="M1224" s="84">
        <f t="shared" si="155"/>
        <v>0.77647532271878317</v>
      </c>
      <c r="N1224" s="47">
        <f t="shared" si="156"/>
        <v>1.9216944756873144E-2</v>
      </c>
      <c r="O1224" s="47">
        <f t="shared" si="157"/>
        <v>1.0789968802991061E-2</v>
      </c>
      <c r="P1224" s="47">
        <f t="shared" si="158"/>
        <v>0.16527191615674863</v>
      </c>
      <c r="Q1224" s="47">
        <f t="shared" si="159"/>
        <v>1</v>
      </c>
    </row>
    <row r="1225" spans="1:17" x14ac:dyDescent="0.35">
      <c r="A1225" s="82">
        <v>1222</v>
      </c>
      <c r="B1225" s="83" t="str">
        <f>_xlfn.XLOOKUP(A1225,'TAZs by City - CCAG Model'!$A:$A,'TAZs by City - CCAG Model'!$B:$B,"Unknown")</f>
        <v>Santa Clara</v>
      </c>
      <c r="C1225" s="82">
        <f>_xlfn.XLOOKUP(A1225,'TAZs by City - CCAG Model'!$A:$A,'TAZs by City - CCAG Model'!$C:$C,999)</f>
        <v>3</v>
      </c>
      <c r="D1225" s="82" t="str">
        <f t="shared" si="152"/>
        <v>NO</v>
      </c>
      <c r="E1225" s="27">
        <v>694.94</v>
      </c>
      <c r="F1225" s="27">
        <v>490.1</v>
      </c>
      <c r="G1225" s="27">
        <v>33.520000000000003</v>
      </c>
      <c r="H1225" s="27">
        <v>14.6</v>
      </c>
      <c r="I1225" s="27">
        <v>393.4</v>
      </c>
      <c r="J1225" s="27">
        <v>1688.78</v>
      </c>
      <c r="K1225" s="47">
        <f t="shared" si="153"/>
        <v>0.41150416276838908</v>
      </c>
      <c r="L1225" s="47">
        <f t="shared" si="154"/>
        <v>0.29020950034936466</v>
      </c>
      <c r="M1225" s="84">
        <f t="shared" si="155"/>
        <v>0.70171366311775363</v>
      </c>
      <c r="N1225" s="47">
        <f t="shared" si="156"/>
        <v>1.9848648136524594E-2</v>
      </c>
      <c r="O1225" s="47">
        <f t="shared" si="157"/>
        <v>8.645294236075747E-3</v>
      </c>
      <c r="P1225" s="47">
        <f t="shared" si="158"/>
        <v>0.23294922962138348</v>
      </c>
      <c r="Q1225" s="47">
        <f t="shared" si="159"/>
        <v>1</v>
      </c>
    </row>
    <row r="1226" spans="1:17" x14ac:dyDescent="0.35">
      <c r="A1226" s="82">
        <v>1223</v>
      </c>
      <c r="B1226" s="83" t="str">
        <f>_xlfn.XLOOKUP(A1226,'TAZs by City - CCAG Model'!$A:$A,'TAZs by City - CCAG Model'!$B:$B,"Unknown")</f>
        <v>Santa Clara</v>
      </c>
      <c r="C1226" s="82">
        <f>_xlfn.XLOOKUP(A1226,'TAZs by City - CCAG Model'!$A:$A,'TAZs by City - CCAG Model'!$C:$C,999)</f>
        <v>3</v>
      </c>
      <c r="D1226" s="82" t="str">
        <f t="shared" si="152"/>
        <v>NO</v>
      </c>
      <c r="E1226" s="27">
        <v>2896.96</v>
      </c>
      <c r="F1226" s="27">
        <v>2110.5</v>
      </c>
      <c r="G1226" s="27">
        <v>103.26</v>
      </c>
      <c r="H1226" s="27">
        <v>81.02</v>
      </c>
      <c r="I1226" s="27">
        <v>1131.74</v>
      </c>
      <c r="J1226" s="27">
        <v>6457.7</v>
      </c>
      <c r="K1226" s="47">
        <f t="shared" si="153"/>
        <v>0.44860554067237562</v>
      </c>
      <c r="L1226" s="47">
        <f t="shared" si="154"/>
        <v>0.32681914613562107</v>
      </c>
      <c r="M1226" s="84">
        <f t="shared" si="155"/>
        <v>0.7754246868079967</v>
      </c>
      <c r="N1226" s="47">
        <f t="shared" si="156"/>
        <v>1.5990213233813898E-2</v>
      </c>
      <c r="O1226" s="47">
        <f t="shared" si="157"/>
        <v>1.2546262601235734E-2</v>
      </c>
      <c r="P1226" s="47">
        <f t="shared" si="158"/>
        <v>0.17525434752311195</v>
      </c>
      <c r="Q1226" s="47">
        <f t="shared" si="159"/>
        <v>1</v>
      </c>
    </row>
    <row r="1227" spans="1:17" x14ac:dyDescent="0.35">
      <c r="A1227" s="82">
        <v>1224</v>
      </c>
      <c r="B1227" s="83" t="str">
        <f>_xlfn.XLOOKUP(A1227,'TAZs by City - CCAG Model'!$A:$A,'TAZs by City - CCAG Model'!$B:$B,"Unknown")</f>
        <v>Santa Clara</v>
      </c>
      <c r="C1227" s="82">
        <f>_xlfn.XLOOKUP(A1227,'TAZs by City - CCAG Model'!$A:$A,'TAZs by City - CCAG Model'!$C:$C,999)</f>
        <v>3</v>
      </c>
      <c r="D1227" s="82" t="str">
        <f t="shared" si="152"/>
        <v>NO</v>
      </c>
      <c r="E1227" s="27">
        <v>2703.4</v>
      </c>
      <c r="F1227" s="27">
        <v>1767.32</v>
      </c>
      <c r="G1227" s="27">
        <v>63.66</v>
      </c>
      <c r="H1227" s="27">
        <v>58.48</v>
      </c>
      <c r="I1227" s="27">
        <v>870.58</v>
      </c>
      <c r="J1227" s="27">
        <v>5561.38</v>
      </c>
      <c r="K1227" s="47">
        <f t="shared" si="153"/>
        <v>0.48610237027500369</v>
      </c>
      <c r="L1227" s="47">
        <f t="shared" si="154"/>
        <v>0.31778443479855717</v>
      </c>
      <c r="M1227" s="84">
        <f t="shared" si="155"/>
        <v>0.80388680507356092</v>
      </c>
      <c r="N1227" s="47">
        <f t="shared" si="156"/>
        <v>1.1446799175744149E-2</v>
      </c>
      <c r="O1227" s="47">
        <f t="shared" si="157"/>
        <v>1.0515375680136944E-2</v>
      </c>
      <c r="P1227" s="47">
        <f t="shared" si="158"/>
        <v>0.15654028316712759</v>
      </c>
      <c r="Q1227" s="47">
        <f t="shared" si="159"/>
        <v>1</v>
      </c>
    </row>
    <row r="1228" spans="1:17" x14ac:dyDescent="0.35">
      <c r="A1228" s="82">
        <v>1225</v>
      </c>
      <c r="B1228" s="83" t="str">
        <f>_xlfn.XLOOKUP(A1228,'TAZs by City - CCAG Model'!$A:$A,'TAZs by City - CCAG Model'!$B:$B,"Unknown")</f>
        <v>Santa Clara</v>
      </c>
      <c r="C1228" s="82">
        <f>_xlfn.XLOOKUP(A1228,'TAZs by City - CCAG Model'!$A:$A,'TAZs by City - CCAG Model'!$C:$C,999)</f>
        <v>3</v>
      </c>
      <c r="D1228" s="82" t="str">
        <f t="shared" si="152"/>
        <v>NO</v>
      </c>
      <c r="E1228" s="27">
        <v>2309.5</v>
      </c>
      <c r="F1228" s="27">
        <v>1571.86</v>
      </c>
      <c r="G1228" s="27">
        <v>43.92</v>
      </c>
      <c r="H1228" s="27">
        <v>47.3</v>
      </c>
      <c r="I1228" s="27">
        <v>772.72</v>
      </c>
      <c r="J1228" s="27">
        <v>4816.1000000000004</v>
      </c>
      <c r="K1228" s="47">
        <f t="shared" si="153"/>
        <v>0.47953738502107512</v>
      </c>
      <c r="L1228" s="47">
        <f t="shared" si="154"/>
        <v>0.32637611345279371</v>
      </c>
      <c r="M1228" s="84">
        <f t="shared" si="155"/>
        <v>0.80591349847386873</v>
      </c>
      <c r="N1228" s="47">
        <f t="shared" si="156"/>
        <v>9.1194119723427662E-3</v>
      </c>
      <c r="O1228" s="47">
        <f t="shared" si="157"/>
        <v>9.8212246423454649E-3</v>
      </c>
      <c r="P1228" s="47">
        <f t="shared" si="158"/>
        <v>0.1604451734806171</v>
      </c>
      <c r="Q1228" s="47">
        <f t="shared" si="159"/>
        <v>1</v>
      </c>
    </row>
    <row r="1229" spans="1:17" x14ac:dyDescent="0.35">
      <c r="A1229" s="82">
        <v>1226</v>
      </c>
      <c r="B1229" s="83" t="str">
        <f>_xlfn.XLOOKUP(A1229,'TAZs by City - CCAG Model'!$A:$A,'TAZs by City - CCAG Model'!$B:$B,"Unknown")</f>
        <v>Santa Clara</v>
      </c>
      <c r="C1229" s="82">
        <f>_xlfn.XLOOKUP(A1229,'TAZs by City - CCAG Model'!$A:$A,'TAZs by City - CCAG Model'!$C:$C,999)</f>
        <v>3</v>
      </c>
      <c r="D1229" s="82" t="str">
        <f t="shared" si="152"/>
        <v>NO</v>
      </c>
      <c r="E1229" s="27">
        <v>598.26</v>
      </c>
      <c r="F1229" s="27">
        <v>421.52</v>
      </c>
      <c r="G1229" s="27">
        <v>19.760000000000002</v>
      </c>
      <c r="H1229" s="27">
        <v>10.72</v>
      </c>
      <c r="I1229" s="27">
        <v>67.94</v>
      </c>
      <c r="J1229" s="27">
        <v>1168.28</v>
      </c>
      <c r="K1229" s="47">
        <f t="shared" si="153"/>
        <v>0.51208614373266681</v>
      </c>
      <c r="L1229" s="47">
        <f t="shared" si="154"/>
        <v>0.36080391686924368</v>
      </c>
      <c r="M1229" s="84">
        <f t="shared" si="155"/>
        <v>0.87289006060191054</v>
      </c>
      <c r="N1229" s="47">
        <f t="shared" si="156"/>
        <v>1.6913753552230633E-2</v>
      </c>
      <c r="O1229" s="47">
        <f t="shared" si="157"/>
        <v>9.1758824939226907E-3</v>
      </c>
      <c r="P1229" s="47">
        <f t="shared" si="158"/>
        <v>5.8153867223610781E-2</v>
      </c>
      <c r="Q1229" s="47">
        <f t="shared" si="159"/>
        <v>1</v>
      </c>
    </row>
    <row r="1230" spans="1:17" x14ac:dyDescent="0.35">
      <c r="A1230" s="82">
        <v>1227</v>
      </c>
      <c r="B1230" s="83" t="str">
        <f>_xlfn.XLOOKUP(A1230,'TAZs by City - CCAG Model'!$A:$A,'TAZs by City - CCAG Model'!$B:$B,"Unknown")</f>
        <v>Santa Clara</v>
      </c>
      <c r="C1230" s="82">
        <f>_xlfn.XLOOKUP(A1230,'TAZs by City - CCAG Model'!$A:$A,'TAZs by City - CCAG Model'!$C:$C,999)</f>
        <v>3</v>
      </c>
      <c r="D1230" s="82" t="str">
        <f t="shared" si="152"/>
        <v>NO</v>
      </c>
      <c r="E1230" s="27">
        <v>3933.34</v>
      </c>
      <c r="F1230" s="27">
        <v>1122.58</v>
      </c>
      <c r="G1230" s="27">
        <v>79.98</v>
      </c>
      <c r="H1230" s="27">
        <v>48.44</v>
      </c>
      <c r="I1230" s="27">
        <v>142.63999999999999</v>
      </c>
      <c r="J1230" s="27">
        <v>5448.3</v>
      </c>
      <c r="K1230" s="47">
        <f t="shared" si="153"/>
        <v>0.72193895343501646</v>
      </c>
      <c r="L1230" s="47">
        <f t="shared" si="154"/>
        <v>0.20604225171154303</v>
      </c>
      <c r="M1230" s="84">
        <f t="shared" si="155"/>
        <v>0.92798120514655946</v>
      </c>
      <c r="N1230" s="47">
        <f t="shared" si="156"/>
        <v>1.4679808380595783E-2</v>
      </c>
      <c r="O1230" s="47">
        <f t="shared" si="157"/>
        <v>8.8908466861222762E-3</v>
      </c>
      <c r="P1230" s="47">
        <f t="shared" si="158"/>
        <v>2.6180643503478145E-2</v>
      </c>
      <c r="Q1230" s="47">
        <f t="shared" si="159"/>
        <v>1</v>
      </c>
    </row>
    <row r="1231" spans="1:17" x14ac:dyDescent="0.35">
      <c r="A1231" s="82">
        <v>1228</v>
      </c>
      <c r="B1231" s="83" t="str">
        <f>_xlfn.XLOOKUP(A1231,'TAZs by City - CCAG Model'!$A:$A,'TAZs by City - CCAG Model'!$B:$B,"Unknown")</f>
        <v>Santa Clara</v>
      </c>
      <c r="C1231" s="82">
        <f>_xlfn.XLOOKUP(A1231,'TAZs by City - CCAG Model'!$A:$A,'TAZs by City - CCAG Model'!$C:$C,999)</f>
        <v>3</v>
      </c>
      <c r="D1231" s="82" t="str">
        <f t="shared" si="152"/>
        <v>NO</v>
      </c>
      <c r="E1231" s="27">
        <v>735.96</v>
      </c>
      <c r="F1231" s="27">
        <v>418.74</v>
      </c>
      <c r="G1231" s="27">
        <v>38.799999999999997</v>
      </c>
      <c r="H1231" s="27">
        <v>14.44</v>
      </c>
      <c r="I1231" s="27">
        <v>332.6</v>
      </c>
      <c r="J1231" s="27">
        <v>1616.5</v>
      </c>
      <c r="K1231" s="47">
        <f t="shared" si="153"/>
        <v>0.45527992576554288</v>
      </c>
      <c r="L1231" s="47">
        <f t="shared" si="154"/>
        <v>0.25904113826167646</v>
      </c>
      <c r="M1231" s="84">
        <f t="shared" si="155"/>
        <v>0.71432106402721929</v>
      </c>
      <c r="N1231" s="47">
        <f t="shared" si="156"/>
        <v>2.4002474481905348E-2</v>
      </c>
      <c r="O1231" s="47">
        <f t="shared" si="157"/>
        <v>8.9328796783173514E-3</v>
      </c>
      <c r="P1231" s="47">
        <f t="shared" si="158"/>
        <v>0.20575317042994123</v>
      </c>
      <c r="Q1231" s="47">
        <f t="shared" si="159"/>
        <v>1</v>
      </c>
    </row>
    <row r="1232" spans="1:17" x14ac:dyDescent="0.35">
      <c r="A1232" s="82">
        <v>1229</v>
      </c>
      <c r="B1232" s="83" t="str">
        <f>_xlfn.XLOOKUP(A1232,'TAZs by City - CCAG Model'!$A:$A,'TAZs by City - CCAG Model'!$B:$B,"Unknown")</f>
        <v>Santa Clara</v>
      </c>
      <c r="C1232" s="82">
        <f>_xlfn.XLOOKUP(A1232,'TAZs by City - CCAG Model'!$A:$A,'TAZs by City - CCAG Model'!$C:$C,999)</f>
        <v>3</v>
      </c>
      <c r="D1232" s="82" t="str">
        <f t="shared" si="152"/>
        <v>NO</v>
      </c>
      <c r="E1232" s="27">
        <v>2504.06</v>
      </c>
      <c r="F1232" s="27">
        <v>764.08</v>
      </c>
      <c r="G1232" s="27">
        <v>18.12</v>
      </c>
      <c r="H1232" s="27">
        <v>29.34</v>
      </c>
      <c r="I1232" s="27">
        <v>46.24</v>
      </c>
      <c r="J1232" s="27">
        <v>3416.82</v>
      </c>
      <c r="K1232" s="47">
        <f t="shared" si="153"/>
        <v>0.73286272030718613</v>
      </c>
      <c r="L1232" s="47">
        <f t="shared" si="154"/>
        <v>0.22362313496174807</v>
      </c>
      <c r="M1232" s="84">
        <f t="shared" si="155"/>
        <v>0.95648585526893415</v>
      </c>
      <c r="N1232" s="47">
        <f t="shared" si="156"/>
        <v>5.3031766379264935E-3</v>
      </c>
      <c r="O1232" s="47">
        <f t="shared" si="157"/>
        <v>8.5869317084306448E-3</v>
      </c>
      <c r="P1232" s="47">
        <f t="shared" si="158"/>
        <v>1.3533051199653479E-2</v>
      </c>
      <c r="Q1232" s="47">
        <f t="shared" si="159"/>
        <v>1</v>
      </c>
    </row>
    <row r="1233" spans="1:17" x14ac:dyDescent="0.35">
      <c r="A1233" s="82">
        <v>1230</v>
      </c>
      <c r="B1233" s="83" t="str">
        <f>_xlfn.XLOOKUP(A1233,'TAZs by City - CCAG Model'!$A:$A,'TAZs by City - CCAG Model'!$B:$B,"Unknown")</f>
        <v>Santa Clara</v>
      </c>
      <c r="C1233" s="82">
        <f>_xlfn.XLOOKUP(A1233,'TAZs by City - CCAG Model'!$A:$A,'TAZs by City - CCAG Model'!$C:$C,999)</f>
        <v>3</v>
      </c>
      <c r="D1233" s="82" t="str">
        <f t="shared" si="152"/>
        <v>NO</v>
      </c>
      <c r="E1233" s="27">
        <v>8.9600000000000009</v>
      </c>
      <c r="F1233" s="27">
        <v>1.2</v>
      </c>
      <c r="G1233" s="27">
        <v>0</v>
      </c>
      <c r="H1233" s="27">
        <v>0</v>
      </c>
      <c r="I1233" s="27">
        <v>0.54</v>
      </c>
      <c r="J1233" s="27">
        <v>16.96</v>
      </c>
      <c r="K1233" s="47">
        <f t="shared" si="153"/>
        <v>0.52830188679245282</v>
      </c>
      <c r="L1233" s="47">
        <f t="shared" si="154"/>
        <v>7.0754716981132074E-2</v>
      </c>
      <c r="M1233" s="84">
        <f t="shared" si="155"/>
        <v>0.59905660377358494</v>
      </c>
      <c r="N1233" s="47">
        <f t="shared" si="156"/>
        <v>0</v>
      </c>
      <c r="O1233" s="47">
        <f t="shared" si="157"/>
        <v>0</v>
      </c>
      <c r="P1233" s="47">
        <f t="shared" si="158"/>
        <v>3.1839622641509434E-2</v>
      </c>
      <c r="Q1233" s="47">
        <f t="shared" si="159"/>
        <v>1</v>
      </c>
    </row>
    <row r="1234" spans="1:17" x14ac:dyDescent="0.35">
      <c r="A1234" s="82">
        <v>1231</v>
      </c>
      <c r="B1234" s="83" t="str">
        <f>_xlfn.XLOOKUP(A1234,'TAZs by City - CCAG Model'!$A:$A,'TAZs by City - CCAG Model'!$B:$B,"Unknown")</f>
        <v>Santa Clara</v>
      </c>
      <c r="C1234" s="82">
        <f>_xlfn.XLOOKUP(A1234,'TAZs by City - CCAG Model'!$A:$A,'TAZs by City - CCAG Model'!$C:$C,999)</f>
        <v>3</v>
      </c>
      <c r="D1234" s="82" t="str">
        <f t="shared" si="152"/>
        <v>NO</v>
      </c>
      <c r="E1234" s="27">
        <v>103.48</v>
      </c>
      <c r="F1234" s="27">
        <v>10.96</v>
      </c>
      <c r="G1234" s="27">
        <v>0.04</v>
      </c>
      <c r="H1234" s="27">
        <v>0.16</v>
      </c>
      <c r="I1234" s="27">
        <v>1.1599999999999999</v>
      </c>
      <c r="J1234" s="27">
        <v>143.58000000000001</v>
      </c>
      <c r="K1234" s="47">
        <f t="shared" si="153"/>
        <v>0.72071319125226352</v>
      </c>
      <c r="L1234" s="47">
        <f t="shared" si="154"/>
        <v>7.6333751218832707E-2</v>
      </c>
      <c r="M1234" s="84">
        <f t="shared" si="155"/>
        <v>0.7970469424710962</v>
      </c>
      <c r="N1234" s="47">
        <f t="shared" si="156"/>
        <v>2.7859033291544781E-4</v>
      </c>
      <c r="O1234" s="47">
        <f t="shared" si="157"/>
        <v>1.1143613316617913E-3</v>
      </c>
      <c r="P1234" s="47">
        <f t="shared" si="158"/>
        <v>8.0791196545479862E-3</v>
      </c>
      <c r="Q1234" s="47">
        <f t="shared" si="159"/>
        <v>1</v>
      </c>
    </row>
    <row r="1235" spans="1:17" x14ac:dyDescent="0.35">
      <c r="A1235" s="82">
        <v>1232</v>
      </c>
      <c r="B1235" s="83" t="str">
        <f>_xlfn.XLOOKUP(A1235,'TAZs by City - CCAG Model'!$A:$A,'TAZs by City - CCAG Model'!$B:$B,"Unknown")</f>
        <v>Santa Clara</v>
      </c>
      <c r="C1235" s="82">
        <f>_xlfn.XLOOKUP(A1235,'TAZs by City - CCAG Model'!$A:$A,'TAZs by City - CCAG Model'!$C:$C,999)</f>
        <v>3</v>
      </c>
      <c r="D1235" s="82" t="str">
        <f t="shared" si="152"/>
        <v>NO</v>
      </c>
      <c r="E1235" s="27">
        <v>4016.34</v>
      </c>
      <c r="F1235" s="27">
        <v>1098.9000000000001</v>
      </c>
      <c r="G1235" s="27">
        <v>201.86</v>
      </c>
      <c r="H1235" s="27">
        <v>46.32</v>
      </c>
      <c r="I1235" s="27">
        <v>161.02000000000001</v>
      </c>
      <c r="J1235" s="27">
        <v>5767.26</v>
      </c>
      <c r="K1235" s="47">
        <f t="shared" si="153"/>
        <v>0.69640349143267344</v>
      </c>
      <c r="L1235" s="47">
        <f t="shared" si="154"/>
        <v>0.19054108883594637</v>
      </c>
      <c r="M1235" s="84">
        <f t="shared" si="155"/>
        <v>0.88694458026861966</v>
      </c>
      <c r="N1235" s="47">
        <f t="shared" si="156"/>
        <v>3.5001023016128979E-2</v>
      </c>
      <c r="O1235" s="47">
        <f t="shared" si="157"/>
        <v>8.031543575285318E-3</v>
      </c>
      <c r="P1235" s="47">
        <f t="shared" si="158"/>
        <v>2.791967069284201E-2</v>
      </c>
      <c r="Q1235" s="47">
        <f t="shared" si="159"/>
        <v>1</v>
      </c>
    </row>
    <row r="1236" spans="1:17" x14ac:dyDescent="0.35">
      <c r="A1236" s="82">
        <v>1233</v>
      </c>
      <c r="B1236" s="83" t="str">
        <f>_xlfn.XLOOKUP(A1236,'TAZs by City - CCAG Model'!$A:$A,'TAZs by City - CCAG Model'!$B:$B,"Unknown")</f>
        <v>Santa Clara</v>
      </c>
      <c r="C1236" s="82">
        <f>_xlfn.XLOOKUP(A1236,'TAZs by City - CCAG Model'!$A:$A,'TAZs by City - CCAG Model'!$C:$C,999)</f>
        <v>3</v>
      </c>
      <c r="D1236" s="82" t="str">
        <f t="shared" si="152"/>
        <v>NO</v>
      </c>
      <c r="E1236" s="27">
        <v>1452.76</v>
      </c>
      <c r="F1236" s="27">
        <v>413.24</v>
      </c>
      <c r="G1236" s="27">
        <v>13.76</v>
      </c>
      <c r="H1236" s="27">
        <v>13.6</v>
      </c>
      <c r="I1236" s="27">
        <v>39.700000000000003</v>
      </c>
      <c r="J1236" s="27">
        <v>1990.94</v>
      </c>
      <c r="K1236" s="47">
        <f t="shared" si="153"/>
        <v>0.72968547520266802</v>
      </c>
      <c r="L1236" s="47">
        <f t="shared" si="154"/>
        <v>0.20756024792309161</v>
      </c>
      <c r="M1236" s="84">
        <f t="shared" si="155"/>
        <v>0.93724572312575971</v>
      </c>
      <c r="N1236" s="47">
        <f t="shared" si="156"/>
        <v>6.9113082262649804E-3</v>
      </c>
      <c r="O1236" s="47">
        <f t="shared" si="157"/>
        <v>6.8309441771223639E-3</v>
      </c>
      <c r="P1236" s="47">
        <f t="shared" si="158"/>
        <v>1.9940329693511609E-2</v>
      </c>
      <c r="Q1236" s="47">
        <f t="shared" si="159"/>
        <v>1</v>
      </c>
    </row>
    <row r="1237" spans="1:17" x14ac:dyDescent="0.35">
      <c r="A1237" s="82">
        <v>1234</v>
      </c>
      <c r="B1237" s="83" t="str">
        <f>_xlfn.XLOOKUP(A1237,'TAZs by City - CCAG Model'!$A:$A,'TAZs by City - CCAG Model'!$B:$B,"Unknown")</f>
        <v>Santa Clara</v>
      </c>
      <c r="C1237" s="82">
        <f>_xlfn.XLOOKUP(A1237,'TAZs by City - CCAG Model'!$A:$A,'TAZs by City - CCAG Model'!$C:$C,999)</f>
        <v>3</v>
      </c>
      <c r="D1237" s="82" t="str">
        <f t="shared" si="152"/>
        <v>NO</v>
      </c>
      <c r="E1237" s="27">
        <v>985.7</v>
      </c>
      <c r="F1237" s="27">
        <v>445.68</v>
      </c>
      <c r="G1237" s="27">
        <v>42.2</v>
      </c>
      <c r="H1237" s="27">
        <v>9.7200000000000006</v>
      </c>
      <c r="I1237" s="27">
        <v>16.36</v>
      </c>
      <c r="J1237" s="27">
        <v>1595.18</v>
      </c>
      <c r="K1237" s="47">
        <f t="shared" si="153"/>
        <v>0.61792399603806469</v>
      </c>
      <c r="L1237" s="47">
        <f t="shared" si="154"/>
        <v>0.27939166739803656</v>
      </c>
      <c r="M1237" s="84">
        <f t="shared" si="155"/>
        <v>0.89731566343610125</v>
      </c>
      <c r="N1237" s="47">
        <f t="shared" si="156"/>
        <v>2.6454694767988566E-2</v>
      </c>
      <c r="O1237" s="47">
        <f t="shared" si="157"/>
        <v>6.0933562356599259E-3</v>
      </c>
      <c r="P1237" s="47">
        <f t="shared" si="158"/>
        <v>1.0255895886357651E-2</v>
      </c>
      <c r="Q1237" s="47">
        <f t="shared" si="159"/>
        <v>1</v>
      </c>
    </row>
    <row r="1238" spans="1:17" x14ac:dyDescent="0.35">
      <c r="A1238" s="82">
        <v>1235</v>
      </c>
      <c r="B1238" s="83" t="str">
        <f>_xlfn.XLOOKUP(A1238,'TAZs by City - CCAG Model'!$A:$A,'TAZs by City - CCAG Model'!$B:$B,"Unknown")</f>
        <v>Santa Clara</v>
      </c>
      <c r="C1238" s="82">
        <f>_xlfn.XLOOKUP(A1238,'TAZs by City - CCAG Model'!$A:$A,'TAZs by City - CCAG Model'!$C:$C,999)</f>
        <v>3</v>
      </c>
      <c r="D1238" s="82" t="str">
        <f t="shared" si="152"/>
        <v>NO</v>
      </c>
      <c r="E1238" s="27">
        <v>2560.1799999999998</v>
      </c>
      <c r="F1238" s="27">
        <v>1669.04</v>
      </c>
      <c r="G1238" s="27">
        <v>68.900000000000006</v>
      </c>
      <c r="H1238" s="27">
        <v>60.18</v>
      </c>
      <c r="I1238" s="27">
        <v>932.72</v>
      </c>
      <c r="J1238" s="27">
        <v>5402.64</v>
      </c>
      <c r="K1238" s="47">
        <f t="shared" si="153"/>
        <v>0.47387573482593687</v>
      </c>
      <c r="L1238" s="47">
        <f t="shared" si="154"/>
        <v>0.30893044881761506</v>
      </c>
      <c r="M1238" s="84">
        <f t="shared" si="155"/>
        <v>0.78280618364355192</v>
      </c>
      <c r="N1238" s="47">
        <f t="shared" si="156"/>
        <v>1.2753024447307243E-2</v>
      </c>
      <c r="O1238" s="47">
        <f t="shared" si="157"/>
        <v>1.1138998711740926E-2</v>
      </c>
      <c r="P1238" s="47">
        <f t="shared" si="158"/>
        <v>0.17264152340337316</v>
      </c>
      <c r="Q1238" s="47">
        <f t="shared" si="159"/>
        <v>1</v>
      </c>
    </row>
    <row r="1239" spans="1:17" x14ac:dyDescent="0.35">
      <c r="A1239" s="82">
        <v>1236</v>
      </c>
      <c r="B1239" s="83" t="str">
        <f>_xlfn.XLOOKUP(A1239,'TAZs by City - CCAG Model'!$A:$A,'TAZs by City - CCAG Model'!$B:$B,"Unknown")</f>
        <v>Santa Clara</v>
      </c>
      <c r="C1239" s="82">
        <f>_xlfn.XLOOKUP(A1239,'TAZs by City - CCAG Model'!$A:$A,'TAZs by City - CCAG Model'!$C:$C,999)</f>
        <v>3</v>
      </c>
      <c r="D1239" s="82" t="str">
        <f t="shared" si="152"/>
        <v>NO</v>
      </c>
      <c r="E1239" s="27">
        <v>7001.54</v>
      </c>
      <c r="F1239" s="27">
        <v>4553.78</v>
      </c>
      <c r="G1239" s="27">
        <v>165.2</v>
      </c>
      <c r="H1239" s="27">
        <v>161.12</v>
      </c>
      <c r="I1239" s="27">
        <v>820.76</v>
      </c>
      <c r="J1239" s="27">
        <v>12906.52</v>
      </c>
      <c r="K1239" s="47">
        <f t="shared" si="153"/>
        <v>0.54248085463781093</v>
      </c>
      <c r="L1239" s="47">
        <f t="shared" si="154"/>
        <v>0.35282787304401181</v>
      </c>
      <c r="M1239" s="84">
        <f t="shared" si="155"/>
        <v>0.89530872768182279</v>
      </c>
      <c r="N1239" s="47">
        <f t="shared" si="156"/>
        <v>1.2799732228362098E-2</v>
      </c>
      <c r="O1239" s="47">
        <f t="shared" si="157"/>
        <v>1.2483612933618047E-2</v>
      </c>
      <c r="P1239" s="47">
        <f t="shared" si="158"/>
        <v>6.359266479267843E-2</v>
      </c>
      <c r="Q1239" s="47">
        <f t="shared" si="159"/>
        <v>1</v>
      </c>
    </row>
    <row r="1240" spans="1:17" x14ac:dyDescent="0.35">
      <c r="A1240" s="82">
        <v>1237</v>
      </c>
      <c r="B1240" s="83" t="str">
        <f>_xlfn.XLOOKUP(A1240,'TAZs by City - CCAG Model'!$A:$A,'TAZs by City - CCAG Model'!$B:$B,"Unknown")</f>
        <v>Santa Clara</v>
      </c>
      <c r="C1240" s="82">
        <f>_xlfn.XLOOKUP(A1240,'TAZs by City - CCAG Model'!$A:$A,'TAZs by City - CCAG Model'!$C:$C,999)</f>
        <v>3</v>
      </c>
      <c r="D1240" s="82" t="str">
        <f t="shared" si="152"/>
        <v>NO</v>
      </c>
      <c r="E1240" s="27">
        <v>1335.74</v>
      </c>
      <c r="F1240" s="27">
        <v>944.7</v>
      </c>
      <c r="G1240" s="27">
        <v>24.76</v>
      </c>
      <c r="H1240" s="27">
        <v>27.92</v>
      </c>
      <c r="I1240" s="27">
        <v>198.32</v>
      </c>
      <c r="J1240" s="27">
        <v>2587.08</v>
      </c>
      <c r="K1240" s="47">
        <f t="shared" si="153"/>
        <v>0.51631182646072016</v>
      </c>
      <c r="L1240" s="47">
        <f t="shared" si="154"/>
        <v>0.36516072174034048</v>
      </c>
      <c r="M1240" s="84">
        <f t="shared" si="155"/>
        <v>0.88147254820106069</v>
      </c>
      <c r="N1240" s="47">
        <f t="shared" si="156"/>
        <v>9.5706356200813275E-3</v>
      </c>
      <c r="O1240" s="47">
        <f t="shared" si="157"/>
        <v>1.0792089923775068E-2</v>
      </c>
      <c r="P1240" s="47">
        <f t="shared" si="158"/>
        <v>7.6657853641943816E-2</v>
      </c>
      <c r="Q1240" s="47">
        <f t="shared" si="159"/>
        <v>1</v>
      </c>
    </row>
    <row r="1241" spans="1:17" x14ac:dyDescent="0.35">
      <c r="A1241" s="82">
        <v>1238</v>
      </c>
      <c r="B1241" s="83" t="str">
        <f>_xlfn.XLOOKUP(A1241,'TAZs by City - CCAG Model'!$A:$A,'TAZs by City - CCAG Model'!$B:$B,"Unknown")</f>
        <v>Santa Clara</v>
      </c>
      <c r="C1241" s="82">
        <f>_xlfn.XLOOKUP(A1241,'TAZs by City - CCAG Model'!$A:$A,'TAZs by City - CCAG Model'!$C:$C,999)</f>
        <v>3</v>
      </c>
      <c r="D1241" s="82" t="str">
        <f t="shared" si="152"/>
        <v>NO</v>
      </c>
      <c r="E1241" s="27">
        <v>740.22</v>
      </c>
      <c r="F1241" s="27">
        <v>512.86</v>
      </c>
      <c r="G1241" s="27">
        <v>11.9</v>
      </c>
      <c r="H1241" s="27">
        <v>15.94</v>
      </c>
      <c r="I1241" s="27">
        <v>105.2</v>
      </c>
      <c r="J1241" s="27">
        <v>1422.94</v>
      </c>
      <c r="K1241" s="47">
        <f t="shared" si="153"/>
        <v>0.52020464671735989</v>
      </c>
      <c r="L1241" s="47">
        <f t="shared" si="154"/>
        <v>0.36042278662487526</v>
      </c>
      <c r="M1241" s="84">
        <f t="shared" si="155"/>
        <v>0.88062743334223503</v>
      </c>
      <c r="N1241" s="47">
        <f t="shared" si="156"/>
        <v>8.3629668151854603E-3</v>
      </c>
      <c r="O1241" s="47">
        <f t="shared" si="157"/>
        <v>1.1202158910424894E-2</v>
      </c>
      <c r="P1241" s="47">
        <f t="shared" si="158"/>
        <v>7.3931437727521893E-2</v>
      </c>
      <c r="Q1241" s="47">
        <f t="shared" si="159"/>
        <v>1</v>
      </c>
    </row>
    <row r="1242" spans="1:17" x14ac:dyDescent="0.35">
      <c r="A1242" s="82">
        <v>1239</v>
      </c>
      <c r="B1242" s="83" t="str">
        <f>_xlfn.XLOOKUP(A1242,'TAZs by City - CCAG Model'!$A:$A,'TAZs by City - CCAG Model'!$B:$B,"Unknown")</f>
        <v>Santa Clara</v>
      </c>
      <c r="C1242" s="82">
        <f>_xlfn.XLOOKUP(A1242,'TAZs by City - CCAG Model'!$A:$A,'TAZs by City - CCAG Model'!$C:$C,999)</f>
        <v>3</v>
      </c>
      <c r="D1242" s="82" t="str">
        <f t="shared" si="152"/>
        <v>NO</v>
      </c>
      <c r="E1242" s="27">
        <v>937.64</v>
      </c>
      <c r="F1242" s="27">
        <v>617.02</v>
      </c>
      <c r="G1242" s="27">
        <v>16.62</v>
      </c>
      <c r="H1242" s="27">
        <v>19.18</v>
      </c>
      <c r="I1242" s="27">
        <v>327.74</v>
      </c>
      <c r="J1242" s="27">
        <v>1958.1</v>
      </c>
      <c r="K1242" s="47">
        <f t="shared" si="153"/>
        <v>0.47885194831724631</v>
      </c>
      <c r="L1242" s="47">
        <f t="shared" si="154"/>
        <v>0.31511158776364845</v>
      </c>
      <c r="M1242" s="84">
        <f t="shared" si="155"/>
        <v>0.79396353608089476</v>
      </c>
      <c r="N1242" s="47">
        <f t="shared" si="156"/>
        <v>8.4878198253408917E-3</v>
      </c>
      <c r="O1242" s="47">
        <f t="shared" si="157"/>
        <v>9.7952096419998986E-3</v>
      </c>
      <c r="P1242" s="47">
        <f t="shared" si="158"/>
        <v>0.16737653848118075</v>
      </c>
      <c r="Q1242" s="47">
        <f t="shared" si="159"/>
        <v>1</v>
      </c>
    </row>
    <row r="1243" spans="1:17" x14ac:dyDescent="0.35">
      <c r="A1243" s="82">
        <v>1240</v>
      </c>
      <c r="B1243" s="83" t="str">
        <f>_xlfn.XLOOKUP(A1243,'TAZs by City - CCAG Model'!$A:$A,'TAZs by City - CCAG Model'!$B:$B,"Unknown")</f>
        <v>Santa Clara</v>
      </c>
      <c r="C1243" s="82">
        <f>_xlfn.XLOOKUP(A1243,'TAZs by City - CCAG Model'!$A:$A,'TAZs by City - CCAG Model'!$C:$C,999)</f>
        <v>3</v>
      </c>
      <c r="D1243" s="82" t="str">
        <f t="shared" si="152"/>
        <v>NO</v>
      </c>
      <c r="E1243" s="27">
        <v>4444.6400000000003</v>
      </c>
      <c r="F1243" s="27">
        <v>2609.8200000000002</v>
      </c>
      <c r="G1243" s="27">
        <v>84.68</v>
      </c>
      <c r="H1243" s="27">
        <v>111.52</v>
      </c>
      <c r="I1243" s="27">
        <v>749.94</v>
      </c>
      <c r="J1243" s="27">
        <v>8126.78</v>
      </c>
      <c r="K1243" s="47">
        <f t="shared" si="153"/>
        <v>0.54691279941132898</v>
      </c>
      <c r="L1243" s="47">
        <f t="shared" si="154"/>
        <v>0.32113826140242507</v>
      </c>
      <c r="M1243" s="84">
        <f t="shared" si="155"/>
        <v>0.86805106081375416</v>
      </c>
      <c r="N1243" s="47">
        <f t="shared" si="156"/>
        <v>1.0419871092855967E-2</v>
      </c>
      <c r="O1243" s="47">
        <f t="shared" si="157"/>
        <v>1.3722532171413525E-2</v>
      </c>
      <c r="P1243" s="47">
        <f t="shared" si="158"/>
        <v>9.2280091253854543E-2</v>
      </c>
      <c r="Q1243" s="47">
        <f t="shared" si="159"/>
        <v>1</v>
      </c>
    </row>
    <row r="1244" spans="1:17" x14ac:dyDescent="0.35">
      <c r="A1244" s="82">
        <v>1241</v>
      </c>
      <c r="B1244" s="83" t="str">
        <f>_xlfn.XLOOKUP(A1244,'TAZs by City - CCAG Model'!$A:$A,'TAZs by City - CCAG Model'!$B:$B,"Unknown")</f>
        <v>Santa Clara</v>
      </c>
      <c r="C1244" s="82">
        <f>_xlfn.XLOOKUP(A1244,'TAZs by City - CCAG Model'!$A:$A,'TAZs by City - CCAG Model'!$C:$C,999)</f>
        <v>3</v>
      </c>
      <c r="D1244" s="82" t="str">
        <f t="shared" si="152"/>
        <v>NO</v>
      </c>
      <c r="E1244" s="27">
        <v>7509.26</v>
      </c>
      <c r="F1244" s="27">
        <v>4129.04</v>
      </c>
      <c r="G1244" s="27">
        <v>219.7</v>
      </c>
      <c r="H1244" s="27">
        <v>165.62</v>
      </c>
      <c r="I1244" s="27">
        <v>1194.02</v>
      </c>
      <c r="J1244" s="27">
        <v>13471.92</v>
      </c>
      <c r="K1244" s="47">
        <f t="shared" si="153"/>
        <v>0.55740087530210991</v>
      </c>
      <c r="L1244" s="47">
        <f t="shared" si="154"/>
        <v>0.30649231883799782</v>
      </c>
      <c r="M1244" s="84">
        <f t="shared" si="155"/>
        <v>0.86389319414010768</v>
      </c>
      <c r="N1244" s="47">
        <f t="shared" si="156"/>
        <v>1.6307994703056432E-2</v>
      </c>
      <c r="O1244" s="47">
        <f t="shared" si="157"/>
        <v>1.229371908384254E-2</v>
      </c>
      <c r="P1244" s="47">
        <f t="shared" si="158"/>
        <v>8.8630276901881841E-2</v>
      </c>
      <c r="Q1244" s="47">
        <f t="shared" si="159"/>
        <v>1</v>
      </c>
    </row>
    <row r="1245" spans="1:17" x14ac:dyDescent="0.35">
      <c r="A1245" s="82">
        <v>1242</v>
      </c>
      <c r="B1245" s="83" t="str">
        <f>_xlfn.XLOOKUP(A1245,'TAZs by City - CCAG Model'!$A:$A,'TAZs by City - CCAG Model'!$B:$B,"Unknown")</f>
        <v>Santa Clara</v>
      </c>
      <c r="C1245" s="82">
        <f>_xlfn.XLOOKUP(A1245,'TAZs by City - CCAG Model'!$A:$A,'TAZs by City - CCAG Model'!$C:$C,999)</f>
        <v>3</v>
      </c>
      <c r="D1245" s="82" t="str">
        <f t="shared" si="152"/>
        <v>NO</v>
      </c>
      <c r="E1245" s="27">
        <v>4441.9399999999996</v>
      </c>
      <c r="F1245" s="27">
        <v>1225.5</v>
      </c>
      <c r="G1245" s="27">
        <v>76.78</v>
      </c>
      <c r="H1245" s="27">
        <v>54.64</v>
      </c>
      <c r="I1245" s="27">
        <v>132.24</v>
      </c>
      <c r="J1245" s="27">
        <v>6050</v>
      </c>
      <c r="K1245" s="47">
        <f t="shared" si="153"/>
        <v>0.73420495867768587</v>
      </c>
      <c r="L1245" s="47">
        <f t="shared" si="154"/>
        <v>0.20256198347107437</v>
      </c>
      <c r="M1245" s="84">
        <f t="shared" si="155"/>
        <v>0.93676694214876022</v>
      </c>
      <c r="N1245" s="47">
        <f t="shared" si="156"/>
        <v>1.2690909090909091E-2</v>
      </c>
      <c r="O1245" s="47">
        <f t="shared" si="157"/>
        <v>9.0314049586776857E-3</v>
      </c>
      <c r="P1245" s="47">
        <f t="shared" si="158"/>
        <v>2.1857851239669424E-2</v>
      </c>
      <c r="Q1245" s="47">
        <f t="shared" si="159"/>
        <v>1</v>
      </c>
    </row>
    <row r="1246" spans="1:17" x14ac:dyDescent="0.35">
      <c r="A1246" s="82">
        <v>1243</v>
      </c>
      <c r="B1246" s="83" t="str">
        <f>_xlfn.XLOOKUP(A1246,'TAZs by City - CCAG Model'!$A:$A,'TAZs by City - CCAG Model'!$B:$B,"Unknown")</f>
        <v>Santa Clara</v>
      </c>
      <c r="C1246" s="82">
        <f>_xlfn.XLOOKUP(A1246,'TAZs by City - CCAG Model'!$A:$A,'TAZs by City - CCAG Model'!$C:$C,999)</f>
        <v>3</v>
      </c>
      <c r="D1246" s="82" t="str">
        <f t="shared" si="152"/>
        <v>NO</v>
      </c>
      <c r="E1246" s="27">
        <v>4881.32</v>
      </c>
      <c r="F1246" s="27">
        <v>1472.92</v>
      </c>
      <c r="G1246" s="27">
        <v>203.14</v>
      </c>
      <c r="H1246" s="27">
        <v>68.319999999999993</v>
      </c>
      <c r="I1246" s="27">
        <v>76.22</v>
      </c>
      <c r="J1246" s="27">
        <v>6941.94</v>
      </c>
      <c r="K1246" s="47">
        <f t="shared" si="153"/>
        <v>0.70316366894556848</v>
      </c>
      <c r="L1246" s="47">
        <f t="shared" si="154"/>
        <v>0.21217699951310443</v>
      </c>
      <c r="M1246" s="84">
        <f t="shared" si="155"/>
        <v>0.91534066845867301</v>
      </c>
      <c r="N1246" s="47">
        <f t="shared" si="156"/>
        <v>2.9262713304926288E-2</v>
      </c>
      <c r="O1246" s="47">
        <f t="shared" si="157"/>
        <v>9.8416292851854093E-3</v>
      </c>
      <c r="P1246" s="47">
        <f t="shared" si="158"/>
        <v>1.0979639697260421E-2</v>
      </c>
      <c r="Q1246" s="47">
        <f t="shared" si="159"/>
        <v>1</v>
      </c>
    </row>
    <row r="1247" spans="1:17" x14ac:dyDescent="0.35">
      <c r="A1247" s="82">
        <v>1244</v>
      </c>
      <c r="B1247" s="83" t="str">
        <f>_xlfn.XLOOKUP(A1247,'TAZs by City - CCAG Model'!$A:$A,'TAZs by City - CCAG Model'!$B:$B,"Unknown")</f>
        <v>Santa Clara</v>
      </c>
      <c r="C1247" s="82">
        <f>_xlfn.XLOOKUP(A1247,'TAZs by City - CCAG Model'!$A:$A,'TAZs by City - CCAG Model'!$C:$C,999)</f>
        <v>3</v>
      </c>
      <c r="D1247" s="82" t="str">
        <f t="shared" si="152"/>
        <v>NO</v>
      </c>
      <c r="E1247" s="27">
        <v>5857.92</v>
      </c>
      <c r="F1247" s="27">
        <v>3607.62</v>
      </c>
      <c r="G1247" s="27">
        <v>97.68</v>
      </c>
      <c r="H1247" s="27">
        <v>137.34</v>
      </c>
      <c r="I1247" s="27">
        <v>697.4</v>
      </c>
      <c r="J1247" s="27">
        <v>10532.42</v>
      </c>
      <c r="K1247" s="47">
        <f t="shared" si="153"/>
        <v>0.55617987129263735</v>
      </c>
      <c r="L1247" s="47">
        <f t="shared" si="154"/>
        <v>0.3425252695961612</v>
      </c>
      <c r="M1247" s="84">
        <f t="shared" si="155"/>
        <v>0.89870514088879871</v>
      </c>
      <c r="N1247" s="47">
        <f t="shared" si="156"/>
        <v>9.2742218787325234E-3</v>
      </c>
      <c r="O1247" s="47">
        <f t="shared" si="157"/>
        <v>1.303973825578547E-2</v>
      </c>
      <c r="P1247" s="47">
        <f t="shared" si="158"/>
        <v>6.6214602152211935E-2</v>
      </c>
      <c r="Q1247" s="47">
        <f t="shared" si="159"/>
        <v>1</v>
      </c>
    </row>
    <row r="1248" spans="1:17" x14ac:dyDescent="0.35">
      <c r="A1248" s="82">
        <v>1245</v>
      </c>
      <c r="B1248" s="83" t="str">
        <f>_xlfn.XLOOKUP(A1248,'TAZs by City - CCAG Model'!$A:$A,'TAZs by City - CCAG Model'!$B:$B,"Unknown")</f>
        <v>Santa Clara</v>
      </c>
      <c r="C1248" s="82">
        <f>_xlfn.XLOOKUP(A1248,'TAZs by City - CCAG Model'!$A:$A,'TAZs by City - CCAG Model'!$C:$C,999)</f>
        <v>3</v>
      </c>
      <c r="D1248" s="82" t="str">
        <f t="shared" si="152"/>
        <v>NO</v>
      </c>
      <c r="E1248" s="27">
        <v>4048.82</v>
      </c>
      <c r="F1248" s="27">
        <v>2458.2399999999998</v>
      </c>
      <c r="G1248" s="27">
        <v>86.38</v>
      </c>
      <c r="H1248" s="27">
        <v>91.54</v>
      </c>
      <c r="I1248" s="27">
        <v>527.5</v>
      </c>
      <c r="J1248" s="27">
        <v>7340.54</v>
      </c>
      <c r="K1248" s="47">
        <f t="shared" si="153"/>
        <v>0.55156977552060205</v>
      </c>
      <c r="L1248" s="47">
        <f t="shared" si="154"/>
        <v>0.33488544439509899</v>
      </c>
      <c r="M1248" s="84">
        <f t="shared" si="155"/>
        <v>0.88645521991570098</v>
      </c>
      <c r="N1248" s="47">
        <f t="shared" si="156"/>
        <v>1.1767526639729502E-2</v>
      </c>
      <c r="O1248" s="47">
        <f t="shared" si="157"/>
        <v>1.2470472199592946E-2</v>
      </c>
      <c r="P1248" s="47">
        <f t="shared" si="158"/>
        <v>7.1861198222474096E-2</v>
      </c>
      <c r="Q1248" s="47">
        <f t="shared" si="159"/>
        <v>1</v>
      </c>
    </row>
    <row r="1249" spans="1:17" x14ac:dyDescent="0.35">
      <c r="A1249" s="82">
        <v>1246</v>
      </c>
      <c r="B1249" s="83" t="str">
        <f>_xlfn.XLOOKUP(A1249,'TAZs by City - CCAG Model'!$A:$A,'TAZs by City - CCAG Model'!$B:$B,"Unknown")</f>
        <v>Santa Clara</v>
      </c>
      <c r="C1249" s="82">
        <f>_xlfn.XLOOKUP(A1249,'TAZs by City - CCAG Model'!$A:$A,'TAZs by City - CCAG Model'!$C:$C,999)</f>
        <v>3</v>
      </c>
      <c r="D1249" s="82" t="str">
        <f t="shared" si="152"/>
        <v>NO</v>
      </c>
      <c r="E1249" s="27">
        <v>5508.26</v>
      </c>
      <c r="F1249" s="27">
        <v>3307.28</v>
      </c>
      <c r="G1249" s="27">
        <v>149.96</v>
      </c>
      <c r="H1249" s="27">
        <v>127.9</v>
      </c>
      <c r="I1249" s="27">
        <v>989.94</v>
      </c>
      <c r="J1249" s="27">
        <v>10274.52</v>
      </c>
      <c r="K1249" s="47">
        <f t="shared" si="153"/>
        <v>0.5361087427928507</v>
      </c>
      <c r="L1249" s="47">
        <f t="shared" si="154"/>
        <v>0.32189143629094108</v>
      </c>
      <c r="M1249" s="84">
        <f t="shared" si="155"/>
        <v>0.85800017908379178</v>
      </c>
      <c r="N1249" s="47">
        <f t="shared" si="156"/>
        <v>1.459532902753608E-2</v>
      </c>
      <c r="O1249" s="47">
        <f t="shared" si="157"/>
        <v>1.2448270089502965E-2</v>
      </c>
      <c r="P1249" s="47">
        <f t="shared" si="158"/>
        <v>9.6349026523866815E-2</v>
      </c>
      <c r="Q1249" s="47">
        <f t="shared" si="159"/>
        <v>1</v>
      </c>
    </row>
    <row r="1250" spans="1:17" x14ac:dyDescent="0.35">
      <c r="A1250" s="82">
        <v>1247</v>
      </c>
      <c r="B1250" s="83" t="str">
        <f>_xlfn.XLOOKUP(A1250,'TAZs by City - CCAG Model'!$A:$A,'TAZs by City - CCAG Model'!$B:$B,"Unknown")</f>
        <v>Santa Clara</v>
      </c>
      <c r="C1250" s="82">
        <f>_xlfn.XLOOKUP(A1250,'TAZs by City - CCAG Model'!$A:$A,'TAZs by City - CCAG Model'!$C:$C,999)</f>
        <v>3</v>
      </c>
      <c r="D1250" s="82" t="str">
        <f t="shared" si="152"/>
        <v>NO</v>
      </c>
      <c r="E1250" s="27">
        <v>6700.74</v>
      </c>
      <c r="F1250" s="27">
        <v>3760.7</v>
      </c>
      <c r="G1250" s="27">
        <v>188.14</v>
      </c>
      <c r="H1250" s="27">
        <v>151.88</v>
      </c>
      <c r="I1250" s="27">
        <v>1978.54</v>
      </c>
      <c r="J1250" s="27">
        <v>13010.58</v>
      </c>
      <c r="K1250" s="47">
        <f t="shared" si="153"/>
        <v>0.5150223894707231</v>
      </c>
      <c r="L1250" s="47">
        <f t="shared" si="154"/>
        <v>0.28904937366358763</v>
      </c>
      <c r="M1250" s="84">
        <f t="shared" si="155"/>
        <v>0.80407176313431061</v>
      </c>
      <c r="N1250" s="47">
        <f t="shared" si="156"/>
        <v>1.4460539038228887E-2</v>
      </c>
      <c r="O1250" s="47">
        <f t="shared" si="157"/>
        <v>1.1673576427799528E-2</v>
      </c>
      <c r="P1250" s="47">
        <f t="shared" si="158"/>
        <v>0.15207162171094601</v>
      </c>
      <c r="Q1250" s="47">
        <f t="shared" si="159"/>
        <v>1</v>
      </c>
    </row>
    <row r="1251" spans="1:17" x14ac:dyDescent="0.35">
      <c r="A1251" s="82">
        <v>1248</v>
      </c>
      <c r="B1251" s="83" t="str">
        <f>_xlfn.XLOOKUP(A1251,'TAZs by City - CCAG Model'!$A:$A,'TAZs by City - CCAG Model'!$B:$B,"Unknown")</f>
        <v>Santa Clara</v>
      </c>
      <c r="C1251" s="82">
        <f>_xlfn.XLOOKUP(A1251,'TAZs by City - CCAG Model'!$A:$A,'TAZs by City - CCAG Model'!$C:$C,999)</f>
        <v>3</v>
      </c>
      <c r="D1251" s="82" t="str">
        <f t="shared" si="152"/>
        <v>NO</v>
      </c>
      <c r="E1251" s="27">
        <v>3300.7</v>
      </c>
      <c r="F1251" s="27">
        <v>1606</v>
      </c>
      <c r="G1251" s="27">
        <v>140.56</v>
      </c>
      <c r="H1251" s="27">
        <v>72.900000000000006</v>
      </c>
      <c r="I1251" s="27">
        <v>1359.76</v>
      </c>
      <c r="J1251" s="27">
        <v>6670.18</v>
      </c>
      <c r="K1251" s="47">
        <f t="shared" si="153"/>
        <v>0.49484421709758952</v>
      </c>
      <c r="L1251" s="47">
        <f t="shared" si="154"/>
        <v>0.24077311256967576</v>
      </c>
      <c r="M1251" s="84">
        <f t="shared" si="155"/>
        <v>0.73561732966726534</v>
      </c>
      <c r="N1251" s="47">
        <f t="shared" si="156"/>
        <v>2.1072894584553938E-2</v>
      </c>
      <c r="O1251" s="47">
        <f t="shared" si="157"/>
        <v>1.0929240290366977E-2</v>
      </c>
      <c r="P1251" s="47">
        <f t="shared" si="158"/>
        <v>0.20385656758888065</v>
      </c>
      <c r="Q1251" s="47">
        <f t="shared" si="159"/>
        <v>1</v>
      </c>
    </row>
    <row r="1252" spans="1:17" x14ac:dyDescent="0.35">
      <c r="A1252" s="82">
        <v>1249</v>
      </c>
      <c r="B1252" s="83" t="str">
        <f>_xlfn.XLOOKUP(A1252,'TAZs by City - CCAG Model'!$A:$A,'TAZs by City - CCAG Model'!$B:$B,"Unknown")</f>
        <v>Santa Clara</v>
      </c>
      <c r="C1252" s="82">
        <f>_xlfn.XLOOKUP(A1252,'TAZs by City - CCAG Model'!$A:$A,'TAZs by City - CCAG Model'!$C:$C,999)</f>
        <v>3</v>
      </c>
      <c r="D1252" s="82" t="str">
        <f t="shared" si="152"/>
        <v>NO</v>
      </c>
      <c r="E1252" s="27">
        <v>4397.58</v>
      </c>
      <c r="F1252" s="27">
        <v>1812.22</v>
      </c>
      <c r="G1252" s="27">
        <v>138.91999999999999</v>
      </c>
      <c r="H1252" s="27">
        <v>73.14</v>
      </c>
      <c r="I1252" s="27">
        <v>1348.14</v>
      </c>
      <c r="J1252" s="27">
        <v>7956.32</v>
      </c>
      <c r="K1252" s="47">
        <f t="shared" si="153"/>
        <v>0.55271532567820303</v>
      </c>
      <c r="L1252" s="47">
        <f t="shared" si="154"/>
        <v>0.22777113037183019</v>
      </c>
      <c r="M1252" s="84">
        <f t="shared" si="155"/>
        <v>0.78048645605003319</v>
      </c>
      <c r="N1252" s="47">
        <f t="shared" si="156"/>
        <v>1.7460333420475798E-2</v>
      </c>
      <c r="O1252" s="47">
        <f t="shared" si="157"/>
        <v>9.1926920988597751E-3</v>
      </c>
      <c r="P1252" s="47">
        <f t="shared" si="158"/>
        <v>0.16944265690671065</v>
      </c>
      <c r="Q1252" s="47">
        <f t="shared" si="159"/>
        <v>1</v>
      </c>
    </row>
    <row r="1253" spans="1:17" x14ac:dyDescent="0.35">
      <c r="A1253" s="82">
        <v>1250</v>
      </c>
      <c r="B1253" s="83" t="str">
        <f>_xlfn.XLOOKUP(A1253,'TAZs by City - CCAG Model'!$A:$A,'TAZs by City - CCAG Model'!$B:$B,"Unknown")</f>
        <v>Santa Clara</v>
      </c>
      <c r="C1253" s="82">
        <f>_xlfn.XLOOKUP(A1253,'TAZs by City - CCAG Model'!$A:$A,'TAZs by City - CCAG Model'!$C:$C,999)</f>
        <v>3</v>
      </c>
      <c r="D1253" s="82" t="str">
        <f t="shared" si="152"/>
        <v>NO</v>
      </c>
      <c r="E1253" s="27">
        <v>2360.96</v>
      </c>
      <c r="F1253" s="27">
        <v>1604.28</v>
      </c>
      <c r="G1253" s="27">
        <v>35.880000000000003</v>
      </c>
      <c r="H1253" s="27">
        <v>56.08</v>
      </c>
      <c r="I1253" s="27">
        <v>356.58</v>
      </c>
      <c r="J1253" s="27">
        <v>4485.18</v>
      </c>
      <c r="K1253" s="47">
        <f t="shared" si="153"/>
        <v>0.52639135999001152</v>
      </c>
      <c r="L1253" s="47">
        <f t="shared" si="154"/>
        <v>0.35768464141907347</v>
      </c>
      <c r="M1253" s="84">
        <f t="shared" si="155"/>
        <v>0.88407600140908493</v>
      </c>
      <c r="N1253" s="47">
        <f t="shared" si="156"/>
        <v>7.9996789426511304E-3</v>
      </c>
      <c r="O1253" s="47">
        <f t="shared" si="157"/>
        <v>1.2503400086507117E-2</v>
      </c>
      <c r="P1253" s="47">
        <f t="shared" si="158"/>
        <v>7.9501826013671686E-2</v>
      </c>
      <c r="Q1253" s="47">
        <f t="shared" si="159"/>
        <v>1</v>
      </c>
    </row>
    <row r="1254" spans="1:17" x14ac:dyDescent="0.35">
      <c r="A1254" s="82">
        <v>1251</v>
      </c>
      <c r="B1254" s="83" t="str">
        <f>_xlfn.XLOOKUP(A1254,'TAZs by City - CCAG Model'!$A:$A,'TAZs by City - CCAG Model'!$B:$B,"Unknown")</f>
        <v>Santa Clara</v>
      </c>
      <c r="C1254" s="82">
        <f>_xlfn.XLOOKUP(A1254,'TAZs by City - CCAG Model'!$A:$A,'TAZs by City - CCAG Model'!$C:$C,999)</f>
        <v>3</v>
      </c>
      <c r="D1254" s="82" t="str">
        <f t="shared" si="152"/>
        <v>NO</v>
      </c>
      <c r="E1254" s="27">
        <v>2359.3000000000002</v>
      </c>
      <c r="F1254" s="27">
        <v>1481.48</v>
      </c>
      <c r="G1254" s="27">
        <v>45.4</v>
      </c>
      <c r="H1254" s="27">
        <v>56.6</v>
      </c>
      <c r="I1254" s="27">
        <v>249.28</v>
      </c>
      <c r="J1254" s="27">
        <v>4279.9399999999996</v>
      </c>
      <c r="K1254" s="47">
        <f t="shared" si="153"/>
        <v>0.55124604550531087</v>
      </c>
      <c r="L1254" s="47">
        <f t="shared" si="154"/>
        <v>0.34614503941644048</v>
      </c>
      <c r="M1254" s="84">
        <f t="shared" si="155"/>
        <v>0.89739108492175135</v>
      </c>
      <c r="N1254" s="47">
        <f t="shared" si="156"/>
        <v>1.0607625340542158E-2</v>
      </c>
      <c r="O1254" s="47">
        <f t="shared" si="157"/>
        <v>1.3224484455389563E-2</v>
      </c>
      <c r="P1254" s="47">
        <f t="shared" si="158"/>
        <v>5.8243807156175095E-2</v>
      </c>
      <c r="Q1254" s="47">
        <f t="shared" si="159"/>
        <v>1</v>
      </c>
    </row>
    <row r="1255" spans="1:17" x14ac:dyDescent="0.35">
      <c r="A1255" s="82">
        <v>1252</v>
      </c>
      <c r="B1255" s="83" t="str">
        <f>_xlfn.XLOOKUP(A1255,'TAZs by City - CCAG Model'!$A:$A,'TAZs by City - CCAG Model'!$B:$B,"Unknown")</f>
        <v>Santa Clara</v>
      </c>
      <c r="C1255" s="82">
        <f>_xlfn.XLOOKUP(A1255,'TAZs by City - CCAG Model'!$A:$A,'TAZs by City - CCAG Model'!$C:$C,999)</f>
        <v>3</v>
      </c>
      <c r="D1255" s="82" t="str">
        <f t="shared" si="152"/>
        <v>NO</v>
      </c>
      <c r="E1255" s="27">
        <v>2200.88</v>
      </c>
      <c r="F1255" s="27">
        <v>1336.64</v>
      </c>
      <c r="G1255" s="27">
        <v>71.38</v>
      </c>
      <c r="H1255" s="27">
        <v>49.9</v>
      </c>
      <c r="I1255" s="27">
        <v>588.74</v>
      </c>
      <c r="J1255" s="27">
        <v>4352.6400000000003</v>
      </c>
      <c r="K1255" s="47">
        <f t="shared" si="153"/>
        <v>0.50564255256579915</v>
      </c>
      <c r="L1255" s="47">
        <f t="shared" si="154"/>
        <v>0.30708719305984417</v>
      </c>
      <c r="M1255" s="84">
        <f t="shared" si="155"/>
        <v>0.81272974562564337</v>
      </c>
      <c r="N1255" s="47">
        <f t="shared" si="156"/>
        <v>1.6399242758417878E-2</v>
      </c>
      <c r="O1255" s="47">
        <f t="shared" si="157"/>
        <v>1.1464306719600057E-2</v>
      </c>
      <c r="P1255" s="47">
        <f t="shared" si="158"/>
        <v>0.13526043964122922</v>
      </c>
      <c r="Q1255" s="47">
        <f t="shared" si="159"/>
        <v>1</v>
      </c>
    </row>
    <row r="1256" spans="1:17" x14ac:dyDescent="0.35">
      <c r="A1256" s="82">
        <v>1253</v>
      </c>
      <c r="B1256" s="83" t="str">
        <f>_xlfn.XLOOKUP(A1256,'TAZs by City - CCAG Model'!$A:$A,'TAZs by City - CCAG Model'!$B:$B,"Unknown")</f>
        <v>Santa Clara</v>
      </c>
      <c r="C1256" s="82">
        <f>_xlfn.XLOOKUP(A1256,'TAZs by City - CCAG Model'!$A:$A,'TAZs by City - CCAG Model'!$C:$C,999)</f>
        <v>3</v>
      </c>
      <c r="D1256" s="82" t="str">
        <f t="shared" si="152"/>
        <v>NO</v>
      </c>
      <c r="E1256" s="27">
        <v>4360.26</v>
      </c>
      <c r="F1256" s="27">
        <v>2926.68</v>
      </c>
      <c r="G1256" s="27">
        <v>132.96</v>
      </c>
      <c r="H1256" s="27">
        <v>123.18</v>
      </c>
      <c r="I1256" s="27">
        <v>883</v>
      </c>
      <c r="J1256" s="27">
        <v>8597.48</v>
      </c>
      <c r="K1256" s="47">
        <f t="shared" si="153"/>
        <v>0.50715558512494363</v>
      </c>
      <c r="L1256" s="47">
        <f t="shared" si="154"/>
        <v>0.34041137635679292</v>
      </c>
      <c r="M1256" s="84">
        <f t="shared" si="155"/>
        <v>0.8475669614817366</v>
      </c>
      <c r="N1256" s="47">
        <f t="shared" si="156"/>
        <v>1.5464996719969109E-2</v>
      </c>
      <c r="O1256" s="47">
        <f t="shared" si="157"/>
        <v>1.4327454091198817E-2</v>
      </c>
      <c r="P1256" s="47">
        <f t="shared" si="158"/>
        <v>0.10270451341555899</v>
      </c>
      <c r="Q1256" s="47">
        <f t="shared" si="159"/>
        <v>1</v>
      </c>
    </row>
    <row r="1257" spans="1:17" x14ac:dyDescent="0.35">
      <c r="A1257" s="82">
        <v>1254</v>
      </c>
      <c r="B1257" s="83" t="str">
        <f>_xlfn.XLOOKUP(A1257,'TAZs by City - CCAG Model'!$A:$A,'TAZs by City - CCAG Model'!$B:$B,"Unknown")</f>
        <v>Santa Clara</v>
      </c>
      <c r="C1257" s="82">
        <f>_xlfn.XLOOKUP(A1257,'TAZs by City - CCAG Model'!$A:$A,'TAZs by City - CCAG Model'!$C:$C,999)</f>
        <v>3</v>
      </c>
      <c r="D1257" s="82" t="str">
        <f t="shared" si="152"/>
        <v>NO</v>
      </c>
      <c r="E1257" s="27">
        <v>2110.92</v>
      </c>
      <c r="F1257" s="27">
        <v>1282.3</v>
      </c>
      <c r="G1257" s="27">
        <v>46.76</v>
      </c>
      <c r="H1257" s="27">
        <v>50.86</v>
      </c>
      <c r="I1257" s="27">
        <v>235.48</v>
      </c>
      <c r="J1257" s="27">
        <v>3814.32</v>
      </c>
      <c r="K1257" s="47">
        <f t="shared" si="153"/>
        <v>0.55341974454162213</v>
      </c>
      <c r="L1257" s="47">
        <f t="shared" si="154"/>
        <v>0.33618049875207112</v>
      </c>
      <c r="M1257" s="84">
        <f t="shared" si="155"/>
        <v>0.88960024329369325</v>
      </c>
      <c r="N1257" s="47">
        <f t="shared" si="156"/>
        <v>1.2259065836112333E-2</v>
      </c>
      <c r="O1257" s="47">
        <f t="shared" si="157"/>
        <v>1.3333962541160678E-2</v>
      </c>
      <c r="P1257" s="47">
        <f t="shared" si="158"/>
        <v>6.1735774659703431E-2</v>
      </c>
      <c r="Q1257" s="47">
        <f t="shared" si="159"/>
        <v>1</v>
      </c>
    </row>
    <row r="1258" spans="1:17" x14ac:dyDescent="0.35">
      <c r="A1258" s="82">
        <v>1255</v>
      </c>
      <c r="B1258" s="83" t="str">
        <f>_xlfn.XLOOKUP(A1258,'TAZs by City - CCAG Model'!$A:$A,'TAZs by City - CCAG Model'!$B:$B,"Unknown")</f>
        <v>Santa Clara</v>
      </c>
      <c r="C1258" s="82">
        <f>_xlfn.XLOOKUP(A1258,'TAZs by City - CCAG Model'!$A:$A,'TAZs by City - CCAG Model'!$C:$C,999)</f>
        <v>3</v>
      </c>
      <c r="D1258" s="82" t="str">
        <f t="shared" si="152"/>
        <v>NO</v>
      </c>
      <c r="E1258" s="27">
        <v>2631.74</v>
      </c>
      <c r="F1258" s="27">
        <v>1384.76</v>
      </c>
      <c r="G1258" s="27">
        <v>67.260000000000005</v>
      </c>
      <c r="H1258" s="27">
        <v>60</v>
      </c>
      <c r="I1258" s="27">
        <v>548.22</v>
      </c>
      <c r="J1258" s="27">
        <v>4807.3</v>
      </c>
      <c r="K1258" s="47">
        <f t="shared" si="153"/>
        <v>0.54744659164187792</v>
      </c>
      <c r="L1258" s="47">
        <f t="shared" si="154"/>
        <v>0.28805358517255009</v>
      </c>
      <c r="M1258" s="84">
        <f t="shared" si="155"/>
        <v>0.83550017681442801</v>
      </c>
      <c r="N1258" s="47">
        <f t="shared" si="156"/>
        <v>1.399122168368939E-2</v>
      </c>
      <c r="O1258" s="47">
        <f t="shared" si="157"/>
        <v>1.2481018451105609E-2</v>
      </c>
      <c r="P1258" s="47">
        <f t="shared" si="158"/>
        <v>0.11403906558775197</v>
      </c>
      <c r="Q1258" s="47">
        <f t="shared" si="159"/>
        <v>1</v>
      </c>
    </row>
    <row r="1259" spans="1:17" x14ac:dyDescent="0.35">
      <c r="A1259" s="82">
        <v>1256</v>
      </c>
      <c r="B1259" s="83" t="str">
        <f>_xlfn.XLOOKUP(A1259,'TAZs by City - CCAG Model'!$A:$A,'TAZs by City - CCAG Model'!$B:$B,"Unknown")</f>
        <v>Santa Clara</v>
      </c>
      <c r="C1259" s="82">
        <f>_xlfn.XLOOKUP(A1259,'TAZs by City - CCAG Model'!$A:$A,'TAZs by City - CCAG Model'!$C:$C,999)</f>
        <v>3</v>
      </c>
      <c r="D1259" s="82" t="str">
        <f t="shared" si="152"/>
        <v>NO</v>
      </c>
      <c r="E1259" s="27">
        <v>2042.22</v>
      </c>
      <c r="F1259" s="27">
        <v>1008.9</v>
      </c>
      <c r="G1259" s="27">
        <v>61.7</v>
      </c>
      <c r="H1259" s="27">
        <v>46.96</v>
      </c>
      <c r="I1259" s="27">
        <v>525.36</v>
      </c>
      <c r="J1259" s="27">
        <v>3796.56</v>
      </c>
      <c r="K1259" s="47">
        <f t="shared" si="153"/>
        <v>0.53791326885390989</v>
      </c>
      <c r="L1259" s="47">
        <f t="shared" si="154"/>
        <v>0.26574056514318223</v>
      </c>
      <c r="M1259" s="84">
        <f t="shared" si="155"/>
        <v>0.80365383399709212</v>
      </c>
      <c r="N1259" s="47">
        <f t="shared" si="156"/>
        <v>1.6251554038392652E-2</v>
      </c>
      <c r="O1259" s="47">
        <f t="shared" si="157"/>
        <v>1.2369092020144553E-2</v>
      </c>
      <c r="P1259" s="47">
        <f t="shared" si="158"/>
        <v>0.1383778999936785</v>
      </c>
      <c r="Q1259" s="47">
        <f t="shared" si="159"/>
        <v>1</v>
      </c>
    </row>
    <row r="1260" spans="1:17" x14ac:dyDescent="0.35">
      <c r="A1260" s="82">
        <v>1257</v>
      </c>
      <c r="B1260" s="83" t="str">
        <f>_xlfn.XLOOKUP(A1260,'TAZs by City - CCAG Model'!$A:$A,'TAZs by City - CCAG Model'!$B:$B,"Unknown")</f>
        <v>Santa Clara</v>
      </c>
      <c r="C1260" s="82">
        <f>_xlfn.XLOOKUP(A1260,'TAZs by City - CCAG Model'!$A:$A,'TAZs by City - CCAG Model'!$C:$C,999)</f>
        <v>3</v>
      </c>
      <c r="D1260" s="82" t="str">
        <f t="shared" si="152"/>
        <v>NO</v>
      </c>
      <c r="E1260" s="27">
        <v>5027.88</v>
      </c>
      <c r="F1260" s="27">
        <v>2443.42</v>
      </c>
      <c r="G1260" s="27">
        <v>148.46</v>
      </c>
      <c r="H1260" s="27">
        <v>96.54</v>
      </c>
      <c r="I1260" s="27">
        <v>1756.36</v>
      </c>
      <c r="J1260" s="27">
        <v>9668.44</v>
      </c>
      <c r="K1260" s="47">
        <f t="shared" si="153"/>
        <v>0.52003011861272341</v>
      </c>
      <c r="L1260" s="47">
        <f t="shared" si="154"/>
        <v>0.25272122493390869</v>
      </c>
      <c r="M1260" s="84">
        <f t="shared" si="155"/>
        <v>0.77275134354663211</v>
      </c>
      <c r="N1260" s="47">
        <f t="shared" si="156"/>
        <v>1.5355114165263476E-2</v>
      </c>
      <c r="O1260" s="47">
        <f t="shared" si="157"/>
        <v>9.9850648088005926E-3</v>
      </c>
      <c r="P1260" s="47">
        <f t="shared" si="158"/>
        <v>0.18165908874647821</v>
      </c>
      <c r="Q1260" s="47">
        <f t="shared" si="159"/>
        <v>1</v>
      </c>
    </row>
    <row r="1261" spans="1:17" x14ac:dyDescent="0.35">
      <c r="A1261" s="82">
        <v>1258</v>
      </c>
      <c r="B1261" s="83" t="str">
        <f>_xlfn.XLOOKUP(A1261,'TAZs by City - CCAG Model'!$A:$A,'TAZs by City - CCAG Model'!$B:$B,"Unknown")</f>
        <v>Santa Clara</v>
      </c>
      <c r="C1261" s="82">
        <f>_xlfn.XLOOKUP(A1261,'TAZs by City - CCAG Model'!$A:$A,'TAZs by City - CCAG Model'!$C:$C,999)</f>
        <v>3</v>
      </c>
      <c r="D1261" s="82" t="str">
        <f t="shared" si="152"/>
        <v>NO</v>
      </c>
      <c r="E1261" s="27">
        <v>2803.98</v>
      </c>
      <c r="F1261" s="27">
        <v>2272.66</v>
      </c>
      <c r="G1261" s="27">
        <v>157.12</v>
      </c>
      <c r="H1261" s="27">
        <v>106.32</v>
      </c>
      <c r="I1261" s="27">
        <v>1146.0999999999999</v>
      </c>
      <c r="J1261" s="27">
        <v>6670.34</v>
      </c>
      <c r="K1261" s="47">
        <f t="shared" si="153"/>
        <v>0.42036537867634932</v>
      </c>
      <c r="L1261" s="47">
        <f t="shared" si="154"/>
        <v>0.34071126809128166</v>
      </c>
      <c r="M1261" s="84">
        <f t="shared" si="155"/>
        <v>0.76107664676763098</v>
      </c>
      <c r="N1261" s="47">
        <f t="shared" si="156"/>
        <v>2.3555021183327987E-2</v>
      </c>
      <c r="O1261" s="47">
        <f t="shared" si="157"/>
        <v>1.593921749116237E-2</v>
      </c>
      <c r="P1261" s="47">
        <f t="shared" si="158"/>
        <v>0.17182032699982308</v>
      </c>
      <c r="Q1261" s="47">
        <f t="shared" si="159"/>
        <v>1</v>
      </c>
    </row>
    <row r="1262" spans="1:17" x14ac:dyDescent="0.35">
      <c r="A1262" s="82">
        <v>1259</v>
      </c>
      <c r="B1262" s="83" t="str">
        <f>_xlfn.XLOOKUP(A1262,'TAZs by City - CCAG Model'!$A:$A,'TAZs by City - CCAG Model'!$B:$B,"Unknown")</f>
        <v>Santa Clara</v>
      </c>
      <c r="C1262" s="82">
        <f>_xlfn.XLOOKUP(A1262,'TAZs by City - CCAG Model'!$A:$A,'TAZs by City - CCAG Model'!$C:$C,999)</f>
        <v>3</v>
      </c>
      <c r="D1262" s="82" t="str">
        <f t="shared" si="152"/>
        <v>NO</v>
      </c>
      <c r="E1262" s="27">
        <v>1216.2</v>
      </c>
      <c r="F1262" s="27">
        <v>670.64</v>
      </c>
      <c r="G1262" s="27">
        <v>30.84</v>
      </c>
      <c r="H1262" s="27">
        <v>24.92</v>
      </c>
      <c r="I1262" s="27">
        <v>443.9</v>
      </c>
      <c r="J1262" s="27">
        <v>2457.1999999999998</v>
      </c>
      <c r="K1262" s="47">
        <f t="shared" si="153"/>
        <v>0.49495360573009933</v>
      </c>
      <c r="L1262" s="47">
        <f t="shared" si="154"/>
        <v>0.27292853654566174</v>
      </c>
      <c r="M1262" s="84">
        <f t="shared" si="155"/>
        <v>0.76788214227576113</v>
      </c>
      <c r="N1262" s="47">
        <f t="shared" si="156"/>
        <v>1.2550870909978839E-2</v>
      </c>
      <c r="O1262" s="47">
        <f t="shared" si="157"/>
        <v>1.0141624613381086E-2</v>
      </c>
      <c r="P1262" s="47">
        <f t="shared" si="158"/>
        <v>0.18065277551684844</v>
      </c>
      <c r="Q1262" s="47">
        <f t="shared" si="159"/>
        <v>1</v>
      </c>
    </row>
    <row r="1263" spans="1:17" x14ac:dyDescent="0.35">
      <c r="A1263" s="82">
        <v>1260</v>
      </c>
      <c r="B1263" s="83" t="str">
        <f>_xlfn.XLOOKUP(A1263,'TAZs by City - CCAG Model'!$A:$A,'TAZs by City - CCAG Model'!$B:$B,"Unknown")</f>
        <v>Santa Clara</v>
      </c>
      <c r="C1263" s="82">
        <f>_xlfn.XLOOKUP(A1263,'TAZs by City - CCAG Model'!$A:$A,'TAZs by City - CCAG Model'!$C:$C,999)</f>
        <v>3</v>
      </c>
      <c r="D1263" s="82" t="str">
        <f t="shared" si="152"/>
        <v>NO</v>
      </c>
      <c r="E1263" s="27">
        <v>327.02</v>
      </c>
      <c r="F1263" s="27">
        <v>175.42</v>
      </c>
      <c r="G1263" s="27">
        <v>5.46</v>
      </c>
      <c r="H1263" s="27">
        <v>4.1399999999999997</v>
      </c>
      <c r="I1263" s="27">
        <v>105.9</v>
      </c>
      <c r="J1263" s="27">
        <v>649.66</v>
      </c>
      <c r="K1263" s="47">
        <f t="shared" si="153"/>
        <v>0.50337099405843055</v>
      </c>
      <c r="L1263" s="47">
        <f t="shared" si="154"/>
        <v>0.27001816334698148</v>
      </c>
      <c r="M1263" s="84">
        <f t="shared" si="155"/>
        <v>0.77338915740541203</v>
      </c>
      <c r="N1263" s="47">
        <f t="shared" si="156"/>
        <v>8.4043961456762E-3</v>
      </c>
      <c r="O1263" s="47">
        <f t="shared" si="157"/>
        <v>6.3725641104577773E-3</v>
      </c>
      <c r="P1263" s="47">
        <f t="shared" si="158"/>
        <v>0.16300834282547796</v>
      </c>
      <c r="Q1263" s="47">
        <f t="shared" si="159"/>
        <v>1</v>
      </c>
    </row>
    <row r="1264" spans="1:17" x14ac:dyDescent="0.35">
      <c r="A1264" s="82">
        <v>1261</v>
      </c>
      <c r="B1264" s="83" t="str">
        <f>_xlfn.XLOOKUP(A1264,'TAZs by City - CCAG Model'!$A:$A,'TAZs by City - CCAG Model'!$B:$B,"Unknown")</f>
        <v>Santa Clara</v>
      </c>
      <c r="C1264" s="82">
        <f>_xlfn.XLOOKUP(A1264,'TAZs by City - CCAG Model'!$A:$A,'TAZs by City - CCAG Model'!$C:$C,999)</f>
        <v>3</v>
      </c>
      <c r="D1264" s="82" t="str">
        <f t="shared" si="152"/>
        <v>NO</v>
      </c>
      <c r="E1264" s="27">
        <v>1395.42</v>
      </c>
      <c r="F1264" s="27">
        <v>977.56</v>
      </c>
      <c r="G1264" s="27">
        <v>56.16</v>
      </c>
      <c r="H1264" s="27">
        <v>34.299999999999997</v>
      </c>
      <c r="I1264" s="27">
        <v>486.36</v>
      </c>
      <c r="J1264" s="27">
        <v>3038.76</v>
      </c>
      <c r="K1264" s="47">
        <f t="shared" si="153"/>
        <v>0.45920704497887294</v>
      </c>
      <c r="L1264" s="47">
        <f t="shared" si="154"/>
        <v>0.3216970079901012</v>
      </c>
      <c r="M1264" s="84">
        <f t="shared" si="155"/>
        <v>0.78090405296897414</v>
      </c>
      <c r="N1264" s="47">
        <f t="shared" si="156"/>
        <v>1.8481222603956876E-2</v>
      </c>
      <c r="O1264" s="47">
        <f t="shared" si="157"/>
        <v>1.1287498848214401E-2</v>
      </c>
      <c r="P1264" s="47">
        <f t="shared" si="158"/>
        <v>0.16005212652529321</v>
      </c>
      <c r="Q1264" s="47">
        <f t="shared" si="159"/>
        <v>1</v>
      </c>
    </row>
    <row r="1265" spans="1:17" x14ac:dyDescent="0.35">
      <c r="A1265" s="82">
        <v>1262</v>
      </c>
      <c r="B1265" s="83" t="str">
        <f>_xlfn.XLOOKUP(A1265,'TAZs by City - CCAG Model'!$A:$A,'TAZs by City - CCAG Model'!$B:$B,"Unknown")</f>
        <v>Santa Clara</v>
      </c>
      <c r="C1265" s="82">
        <f>_xlfn.XLOOKUP(A1265,'TAZs by City - CCAG Model'!$A:$A,'TAZs by City - CCAG Model'!$C:$C,999)</f>
        <v>3</v>
      </c>
      <c r="D1265" s="82" t="str">
        <f t="shared" si="152"/>
        <v>NO</v>
      </c>
      <c r="E1265" s="27">
        <v>9356.2800000000007</v>
      </c>
      <c r="F1265" s="27">
        <v>5202.24</v>
      </c>
      <c r="G1265" s="27">
        <v>224.46</v>
      </c>
      <c r="H1265" s="27">
        <v>255.86</v>
      </c>
      <c r="I1265" s="27">
        <v>1158.32</v>
      </c>
      <c r="J1265" s="27">
        <v>16461.419999999998</v>
      </c>
      <c r="K1265" s="47">
        <f t="shared" si="153"/>
        <v>0.56837623971686535</v>
      </c>
      <c r="L1265" s="47">
        <f t="shared" si="154"/>
        <v>0.31602619944087451</v>
      </c>
      <c r="M1265" s="84">
        <f t="shared" si="155"/>
        <v>0.88440243915773986</v>
      </c>
      <c r="N1265" s="47">
        <f t="shared" si="156"/>
        <v>1.3635518685508299E-2</v>
      </c>
      <c r="O1265" s="47">
        <f t="shared" si="157"/>
        <v>1.5543009047822123E-2</v>
      </c>
      <c r="P1265" s="47">
        <f t="shared" si="158"/>
        <v>7.0365740015138428E-2</v>
      </c>
      <c r="Q1265" s="47">
        <f t="shared" si="159"/>
        <v>1</v>
      </c>
    </row>
    <row r="1266" spans="1:17" x14ac:dyDescent="0.35">
      <c r="A1266" s="82">
        <v>1263</v>
      </c>
      <c r="B1266" s="83" t="str">
        <f>_xlfn.XLOOKUP(A1266,'TAZs by City - CCAG Model'!$A:$A,'TAZs by City - CCAG Model'!$B:$B,"Unknown")</f>
        <v>Santa Clara</v>
      </c>
      <c r="C1266" s="82">
        <f>_xlfn.XLOOKUP(A1266,'TAZs by City - CCAG Model'!$A:$A,'TAZs by City - CCAG Model'!$C:$C,999)</f>
        <v>3</v>
      </c>
      <c r="D1266" s="82" t="str">
        <f t="shared" si="152"/>
        <v>NO</v>
      </c>
      <c r="E1266" s="27">
        <v>17090</v>
      </c>
      <c r="F1266" s="27">
        <v>8791.2000000000007</v>
      </c>
      <c r="G1266" s="27">
        <v>428.26</v>
      </c>
      <c r="H1266" s="27">
        <v>437.08</v>
      </c>
      <c r="I1266" s="27">
        <v>1961.1</v>
      </c>
      <c r="J1266" s="27">
        <v>29161.88</v>
      </c>
      <c r="K1266" s="47">
        <f t="shared" si="153"/>
        <v>0.58603903452040818</v>
      </c>
      <c r="L1266" s="47">
        <f t="shared" si="154"/>
        <v>0.30146204565686441</v>
      </c>
      <c r="M1266" s="84">
        <f t="shared" si="155"/>
        <v>0.88750108017727247</v>
      </c>
      <c r="N1266" s="47">
        <f t="shared" si="156"/>
        <v>1.4685610118414861E-2</v>
      </c>
      <c r="O1266" s="47">
        <f t="shared" si="157"/>
        <v>1.4988059754720888E-2</v>
      </c>
      <c r="P1266" s="47">
        <f t="shared" si="158"/>
        <v>6.7248750766411486E-2</v>
      </c>
      <c r="Q1266" s="47">
        <f t="shared" si="159"/>
        <v>1</v>
      </c>
    </row>
    <row r="1267" spans="1:17" x14ac:dyDescent="0.35">
      <c r="A1267" s="82">
        <v>1264</v>
      </c>
      <c r="B1267" s="83" t="str">
        <f>_xlfn.XLOOKUP(A1267,'TAZs by City - CCAG Model'!$A:$A,'TAZs by City - CCAG Model'!$B:$B,"Unknown")</f>
        <v>Santa Clara</v>
      </c>
      <c r="C1267" s="82">
        <f>_xlfn.XLOOKUP(A1267,'TAZs by City - CCAG Model'!$A:$A,'TAZs by City - CCAG Model'!$C:$C,999)</f>
        <v>3</v>
      </c>
      <c r="D1267" s="82" t="str">
        <f t="shared" si="152"/>
        <v>NO</v>
      </c>
      <c r="E1267" s="27">
        <v>6823.92</v>
      </c>
      <c r="F1267" s="27">
        <v>3965.9</v>
      </c>
      <c r="G1267" s="27">
        <v>252.42</v>
      </c>
      <c r="H1267" s="27">
        <v>193.88</v>
      </c>
      <c r="I1267" s="27">
        <v>868.5</v>
      </c>
      <c r="J1267" s="27">
        <v>12396.56</v>
      </c>
      <c r="K1267" s="47">
        <f t="shared" si="153"/>
        <v>0.55046883974263827</v>
      </c>
      <c r="L1267" s="47">
        <f t="shared" si="154"/>
        <v>0.31991939699400479</v>
      </c>
      <c r="M1267" s="84">
        <f t="shared" si="155"/>
        <v>0.87038823673664312</v>
      </c>
      <c r="N1267" s="47">
        <f t="shared" si="156"/>
        <v>2.0362100453674245E-2</v>
      </c>
      <c r="O1267" s="47">
        <f t="shared" si="157"/>
        <v>1.5639822660480005E-2</v>
      </c>
      <c r="P1267" s="47">
        <f t="shared" si="158"/>
        <v>7.0059758513652176E-2</v>
      </c>
      <c r="Q1267" s="47">
        <f t="shared" si="159"/>
        <v>1</v>
      </c>
    </row>
    <row r="1268" spans="1:17" x14ac:dyDescent="0.35">
      <c r="A1268" s="82">
        <v>1265</v>
      </c>
      <c r="B1268" s="83" t="str">
        <f>_xlfn.XLOOKUP(A1268,'TAZs by City - CCAG Model'!$A:$A,'TAZs by City - CCAG Model'!$B:$B,"Unknown")</f>
        <v>Santa Clara</v>
      </c>
      <c r="C1268" s="82">
        <f>_xlfn.XLOOKUP(A1268,'TAZs by City - CCAG Model'!$A:$A,'TAZs by City - CCAG Model'!$C:$C,999)</f>
        <v>3</v>
      </c>
      <c r="D1268" s="82" t="str">
        <f t="shared" si="152"/>
        <v>NO</v>
      </c>
      <c r="E1268" s="27">
        <v>6707.34</v>
      </c>
      <c r="F1268" s="27">
        <v>4107.24</v>
      </c>
      <c r="G1268" s="27">
        <v>295.89999999999998</v>
      </c>
      <c r="H1268" s="27">
        <v>193.6</v>
      </c>
      <c r="I1268" s="27">
        <v>924.94</v>
      </c>
      <c r="J1268" s="27">
        <v>12562.18</v>
      </c>
      <c r="K1268" s="47">
        <f t="shared" si="153"/>
        <v>0.53393121257616116</v>
      </c>
      <c r="L1268" s="47">
        <f t="shared" si="154"/>
        <v>0.32695280596202247</v>
      </c>
      <c r="M1268" s="84">
        <f t="shared" si="155"/>
        <v>0.86088401853818364</v>
      </c>
      <c r="N1268" s="47">
        <f t="shared" si="156"/>
        <v>2.3554828859322186E-2</v>
      </c>
      <c r="O1268" s="47">
        <f t="shared" si="157"/>
        <v>1.5411337841043512E-2</v>
      </c>
      <c r="P1268" s="47">
        <f t="shared" si="158"/>
        <v>7.3628940199869777E-2</v>
      </c>
      <c r="Q1268" s="47">
        <f t="shared" si="159"/>
        <v>1</v>
      </c>
    </row>
    <row r="1269" spans="1:17" x14ac:dyDescent="0.35">
      <c r="A1269" s="82">
        <v>1266</v>
      </c>
      <c r="B1269" s="83" t="str">
        <f>_xlfn.XLOOKUP(A1269,'TAZs by City - CCAG Model'!$A:$A,'TAZs by City - CCAG Model'!$B:$B,"Unknown")</f>
        <v>Santa Clara</v>
      </c>
      <c r="C1269" s="82">
        <f>_xlfn.XLOOKUP(A1269,'TAZs by City - CCAG Model'!$A:$A,'TAZs by City - CCAG Model'!$C:$C,999)</f>
        <v>3</v>
      </c>
      <c r="D1269" s="82" t="str">
        <f t="shared" si="152"/>
        <v>NO</v>
      </c>
      <c r="E1269" s="27">
        <v>7923.2</v>
      </c>
      <c r="F1269" s="27">
        <v>4488.42</v>
      </c>
      <c r="G1269" s="27">
        <v>259.95999999999998</v>
      </c>
      <c r="H1269" s="27">
        <v>169.86</v>
      </c>
      <c r="I1269" s="27">
        <v>2272.52</v>
      </c>
      <c r="J1269" s="27">
        <v>15417.94</v>
      </c>
      <c r="K1269" s="47">
        <f t="shared" si="153"/>
        <v>0.5138948523603023</v>
      </c>
      <c r="L1269" s="47">
        <f t="shared" si="154"/>
        <v>0.291116712089942</v>
      </c>
      <c r="M1269" s="84">
        <f t="shared" si="155"/>
        <v>0.80501156445024424</v>
      </c>
      <c r="N1269" s="47">
        <f t="shared" si="156"/>
        <v>1.6860877652916016E-2</v>
      </c>
      <c r="O1269" s="47">
        <f t="shared" si="157"/>
        <v>1.1017035998324031E-2</v>
      </c>
      <c r="P1269" s="47">
        <f t="shared" si="158"/>
        <v>0.14739452871135833</v>
      </c>
      <c r="Q1269" s="47">
        <f t="shared" si="159"/>
        <v>1</v>
      </c>
    </row>
    <row r="1270" spans="1:17" x14ac:dyDescent="0.35">
      <c r="A1270" s="82">
        <v>1267</v>
      </c>
      <c r="B1270" s="83" t="str">
        <f>_xlfn.XLOOKUP(A1270,'TAZs by City - CCAG Model'!$A:$A,'TAZs by City - CCAG Model'!$B:$B,"Unknown")</f>
        <v>Santa Clara</v>
      </c>
      <c r="C1270" s="82">
        <f>_xlfn.XLOOKUP(A1270,'TAZs by City - CCAG Model'!$A:$A,'TAZs by City - CCAG Model'!$C:$C,999)</f>
        <v>3</v>
      </c>
      <c r="D1270" s="82" t="str">
        <f t="shared" si="152"/>
        <v>NO</v>
      </c>
      <c r="E1270" s="27">
        <v>6654.04</v>
      </c>
      <c r="F1270" s="27">
        <v>3862.6</v>
      </c>
      <c r="G1270" s="27">
        <v>152.56</v>
      </c>
      <c r="H1270" s="27">
        <v>159.26</v>
      </c>
      <c r="I1270" s="27">
        <v>2467.06</v>
      </c>
      <c r="J1270" s="27">
        <v>13498.6</v>
      </c>
      <c r="K1270" s="47">
        <f t="shared" si="153"/>
        <v>0.4929429718637488</v>
      </c>
      <c r="L1270" s="47">
        <f t="shared" si="154"/>
        <v>0.28614819314595585</v>
      </c>
      <c r="M1270" s="84">
        <f t="shared" si="155"/>
        <v>0.77909116500970466</v>
      </c>
      <c r="N1270" s="47">
        <f t="shared" si="156"/>
        <v>1.1301912790956098E-2</v>
      </c>
      <c r="O1270" s="47">
        <f t="shared" si="157"/>
        <v>1.1798260560354407E-2</v>
      </c>
      <c r="P1270" s="47">
        <f t="shared" si="158"/>
        <v>0.18276413850325218</v>
      </c>
      <c r="Q1270" s="47">
        <f t="shared" si="159"/>
        <v>1</v>
      </c>
    </row>
    <row r="1271" spans="1:17" x14ac:dyDescent="0.35">
      <c r="A1271" s="82">
        <v>1268</v>
      </c>
      <c r="B1271" s="83" t="str">
        <f>_xlfn.XLOOKUP(A1271,'TAZs by City - CCAG Model'!$A:$A,'TAZs by City - CCAG Model'!$B:$B,"Unknown")</f>
        <v>Santa Clara</v>
      </c>
      <c r="C1271" s="82">
        <f>_xlfn.XLOOKUP(A1271,'TAZs by City - CCAG Model'!$A:$A,'TAZs by City - CCAG Model'!$C:$C,999)</f>
        <v>3</v>
      </c>
      <c r="D1271" s="82" t="str">
        <f t="shared" si="152"/>
        <v>NO</v>
      </c>
      <c r="E1271" s="27">
        <v>8618.98</v>
      </c>
      <c r="F1271" s="27">
        <v>5118.46</v>
      </c>
      <c r="G1271" s="27">
        <v>275.92</v>
      </c>
      <c r="H1271" s="27">
        <v>205.68</v>
      </c>
      <c r="I1271" s="27">
        <v>1841.8</v>
      </c>
      <c r="J1271" s="27">
        <v>16377.62</v>
      </c>
      <c r="K1271" s="47">
        <f t="shared" si="153"/>
        <v>0.52626572114873826</v>
      </c>
      <c r="L1271" s="47">
        <f t="shared" si="154"/>
        <v>0.31252770549078557</v>
      </c>
      <c r="M1271" s="84">
        <f t="shared" si="155"/>
        <v>0.83879342663952383</v>
      </c>
      <c r="N1271" s="47">
        <f t="shared" si="156"/>
        <v>1.6847380754957071E-2</v>
      </c>
      <c r="O1271" s="47">
        <f t="shared" si="157"/>
        <v>1.2558601310813171E-2</v>
      </c>
      <c r="P1271" s="47">
        <f t="shared" si="158"/>
        <v>0.1124583425430557</v>
      </c>
      <c r="Q1271" s="47">
        <f t="shared" si="159"/>
        <v>1</v>
      </c>
    </row>
    <row r="1272" spans="1:17" x14ac:dyDescent="0.35">
      <c r="A1272" s="82">
        <v>1269</v>
      </c>
      <c r="B1272" s="83" t="str">
        <f>_xlfn.XLOOKUP(A1272,'TAZs by City - CCAG Model'!$A:$A,'TAZs by City - CCAG Model'!$B:$B,"Unknown")</f>
        <v>Santa Clara</v>
      </c>
      <c r="C1272" s="82">
        <f>_xlfn.XLOOKUP(A1272,'TAZs by City - CCAG Model'!$A:$A,'TAZs by City - CCAG Model'!$C:$C,999)</f>
        <v>3</v>
      </c>
      <c r="D1272" s="82" t="str">
        <f t="shared" si="152"/>
        <v>NO</v>
      </c>
      <c r="E1272" s="27">
        <v>4534.0600000000004</v>
      </c>
      <c r="F1272" s="27">
        <v>3800.62</v>
      </c>
      <c r="G1272" s="27">
        <v>265.10000000000002</v>
      </c>
      <c r="H1272" s="27">
        <v>149.91999999999999</v>
      </c>
      <c r="I1272" s="27">
        <v>825</v>
      </c>
      <c r="J1272" s="27">
        <v>9870.24</v>
      </c>
      <c r="K1272" s="47">
        <f t="shared" si="153"/>
        <v>0.45936674285529028</v>
      </c>
      <c r="L1272" s="47">
        <f t="shared" si="154"/>
        <v>0.38505851934704727</v>
      </c>
      <c r="M1272" s="84">
        <f t="shared" si="155"/>
        <v>0.8444252622023376</v>
      </c>
      <c r="N1272" s="47">
        <f t="shared" si="156"/>
        <v>2.6858516104978199E-2</v>
      </c>
      <c r="O1272" s="47">
        <f t="shared" si="157"/>
        <v>1.5189093679586312E-2</v>
      </c>
      <c r="P1272" s="47">
        <f t="shared" si="158"/>
        <v>8.3584593687691486E-2</v>
      </c>
      <c r="Q1272" s="47">
        <f t="shared" si="159"/>
        <v>1</v>
      </c>
    </row>
    <row r="1273" spans="1:17" x14ac:dyDescent="0.35">
      <c r="A1273" s="82">
        <v>1270</v>
      </c>
      <c r="B1273" s="83" t="str">
        <f>_xlfn.XLOOKUP(A1273,'TAZs by City - CCAG Model'!$A:$A,'TAZs by City - CCAG Model'!$B:$B,"Unknown")</f>
        <v>Santa Clara</v>
      </c>
      <c r="C1273" s="82">
        <f>_xlfn.XLOOKUP(A1273,'TAZs by City - CCAG Model'!$A:$A,'TAZs by City - CCAG Model'!$C:$C,999)</f>
        <v>3</v>
      </c>
      <c r="D1273" s="82" t="str">
        <f t="shared" si="152"/>
        <v>NO</v>
      </c>
      <c r="E1273" s="27">
        <v>9847.84</v>
      </c>
      <c r="F1273" s="27">
        <v>5729.46</v>
      </c>
      <c r="G1273" s="27">
        <v>285.72000000000003</v>
      </c>
      <c r="H1273" s="27">
        <v>239.96</v>
      </c>
      <c r="I1273" s="27">
        <v>2014.58</v>
      </c>
      <c r="J1273" s="27">
        <v>18445.759999999998</v>
      </c>
      <c r="K1273" s="47">
        <f t="shared" si="153"/>
        <v>0.5338809569245182</v>
      </c>
      <c r="L1273" s="47">
        <f t="shared" si="154"/>
        <v>0.31061121905521921</v>
      </c>
      <c r="M1273" s="84">
        <f t="shared" si="155"/>
        <v>0.84449217597973736</v>
      </c>
      <c r="N1273" s="47">
        <f t="shared" si="156"/>
        <v>1.5489738563225372E-2</v>
      </c>
      <c r="O1273" s="47">
        <f t="shared" si="157"/>
        <v>1.3008951650677447E-2</v>
      </c>
      <c r="P1273" s="47">
        <f t="shared" si="158"/>
        <v>0.10921642697291953</v>
      </c>
      <c r="Q1273" s="47">
        <f t="shared" si="159"/>
        <v>1</v>
      </c>
    </row>
    <row r="1274" spans="1:17" x14ac:dyDescent="0.35">
      <c r="A1274" s="82">
        <v>1271</v>
      </c>
      <c r="B1274" s="83" t="str">
        <f>_xlfn.XLOOKUP(A1274,'TAZs by City - CCAG Model'!$A:$A,'TAZs by City - CCAG Model'!$B:$B,"Unknown")</f>
        <v>Santa Clara</v>
      </c>
      <c r="C1274" s="82">
        <f>_xlfn.XLOOKUP(A1274,'TAZs by City - CCAG Model'!$A:$A,'TAZs by City - CCAG Model'!$C:$C,999)</f>
        <v>3</v>
      </c>
      <c r="D1274" s="82" t="str">
        <f t="shared" si="152"/>
        <v>NO</v>
      </c>
      <c r="E1274" s="27">
        <v>3548.32</v>
      </c>
      <c r="F1274" s="27">
        <v>2420.2399999999998</v>
      </c>
      <c r="G1274" s="27">
        <v>118.5</v>
      </c>
      <c r="H1274" s="27">
        <v>83.66</v>
      </c>
      <c r="I1274" s="27">
        <v>1183.0999999999999</v>
      </c>
      <c r="J1274" s="27">
        <v>7516.7</v>
      </c>
      <c r="K1274" s="47">
        <f t="shared" si="153"/>
        <v>0.47205821703673156</v>
      </c>
      <c r="L1274" s="47">
        <f t="shared" si="154"/>
        <v>0.32198172070190373</v>
      </c>
      <c r="M1274" s="84">
        <f t="shared" si="155"/>
        <v>0.79403993773863524</v>
      </c>
      <c r="N1274" s="47">
        <f t="shared" si="156"/>
        <v>1.5764896829725809E-2</v>
      </c>
      <c r="O1274" s="47">
        <f t="shared" si="157"/>
        <v>1.1129884124682373E-2</v>
      </c>
      <c r="P1274" s="47">
        <f t="shared" si="158"/>
        <v>0.15739619779956629</v>
      </c>
      <c r="Q1274" s="47">
        <f t="shared" si="159"/>
        <v>1</v>
      </c>
    </row>
    <row r="1275" spans="1:17" x14ac:dyDescent="0.35">
      <c r="A1275" s="82">
        <v>1272</v>
      </c>
      <c r="B1275" s="83" t="str">
        <f>_xlfn.XLOOKUP(A1275,'TAZs by City - CCAG Model'!$A:$A,'TAZs by City - CCAG Model'!$B:$B,"Unknown")</f>
        <v>Santa Clara</v>
      </c>
      <c r="C1275" s="82">
        <f>_xlfn.XLOOKUP(A1275,'TAZs by City - CCAG Model'!$A:$A,'TAZs by City - CCAG Model'!$C:$C,999)</f>
        <v>3</v>
      </c>
      <c r="D1275" s="82" t="str">
        <f t="shared" si="152"/>
        <v>NO</v>
      </c>
      <c r="E1275" s="27">
        <v>5233.72</v>
      </c>
      <c r="F1275" s="27">
        <v>3186</v>
      </c>
      <c r="G1275" s="27">
        <v>159.66</v>
      </c>
      <c r="H1275" s="27">
        <v>117.76</v>
      </c>
      <c r="I1275" s="27">
        <v>1219.44</v>
      </c>
      <c r="J1275" s="27">
        <v>10121.56</v>
      </c>
      <c r="K1275" s="47">
        <f t="shared" si="153"/>
        <v>0.51708629894996427</v>
      </c>
      <c r="L1275" s="47">
        <f t="shared" si="154"/>
        <v>0.31477361197285797</v>
      </c>
      <c r="M1275" s="84">
        <f t="shared" si="155"/>
        <v>0.8318599109228223</v>
      </c>
      <c r="N1275" s="47">
        <f t="shared" si="156"/>
        <v>1.5774248238413842E-2</v>
      </c>
      <c r="O1275" s="47">
        <f t="shared" si="157"/>
        <v>1.1634570165073368E-2</v>
      </c>
      <c r="P1275" s="47">
        <f t="shared" si="158"/>
        <v>0.12047945178411235</v>
      </c>
      <c r="Q1275" s="47">
        <f t="shared" si="159"/>
        <v>1</v>
      </c>
    </row>
    <row r="1276" spans="1:17" x14ac:dyDescent="0.35">
      <c r="A1276" s="82">
        <v>1273</v>
      </c>
      <c r="B1276" s="83" t="str">
        <f>_xlfn.XLOOKUP(A1276,'TAZs by City - CCAG Model'!$A:$A,'TAZs by City - CCAG Model'!$B:$B,"Unknown")</f>
        <v>Santa Clara</v>
      </c>
      <c r="C1276" s="82">
        <f>_xlfn.XLOOKUP(A1276,'TAZs by City - CCAG Model'!$A:$A,'TAZs by City - CCAG Model'!$C:$C,999)</f>
        <v>3</v>
      </c>
      <c r="D1276" s="82" t="str">
        <f t="shared" si="152"/>
        <v>NO</v>
      </c>
      <c r="E1276" s="27">
        <v>1119.4000000000001</v>
      </c>
      <c r="F1276" s="27">
        <v>679.74</v>
      </c>
      <c r="G1276" s="27">
        <v>31.2</v>
      </c>
      <c r="H1276" s="27">
        <v>22.42</v>
      </c>
      <c r="I1276" s="27">
        <v>456.7</v>
      </c>
      <c r="J1276" s="27">
        <v>2380.1799999999998</v>
      </c>
      <c r="K1276" s="47">
        <f t="shared" si="153"/>
        <v>0.4703005655034494</v>
      </c>
      <c r="L1276" s="47">
        <f t="shared" si="154"/>
        <v>0.28558344326899648</v>
      </c>
      <c r="M1276" s="84">
        <f t="shared" si="155"/>
        <v>0.75588400877244588</v>
      </c>
      <c r="N1276" s="47">
        <f t="shared" si="156"/>
        <v>1.3108252317051651E-2</v>
      </c>
      <c r="O1276" s="47">
        <f t="shared" si="157"/>
        <v>9.4194556714198106E-3</v>
      </c>
      <c r="P1276" s="47">
        <f t="shared" si="158"/>
        <v>0.19187624465376568</v>
      </c>
      <c r="Q1276" s="47">
        <f t="shared" si="159"/>
        <v>1</v>
      </c>
    </row>
    <row r="1277" spans="1:17" x14ac:dyDescent="0.35">
      <c r="A1277" s="82">
        <v>1274</v>
      </c>
      <c r="B1277" s="83" t="str">
        <f>_xlfn.XLOOKUP(A1277,'TAZs by City - CCAG Model'!$A:$A,'TAZs by City - CCAG Model'!$B:$B,"Unknown")</f>
        <v>Santa Clara</v>
      </c>
      <c r="C1277" s="82">
        <f>_xlfn.XLOOKUP(A1277,'TAZs by City - CCAG Model'!$A:$A,'TAZs by City - CCAG Model'!$C:$C,999)</f>
        <v>3</v>
      </c>
      <c r="D1277" s="82" t="str">
        <f t="shared" si="152"/>
        <v>NO</v>
      </c>
      <c r="E1277" s="27">
        <v>4699.62</v>
      </c>
      <c r="F1277" s="27">
        <v>2410.16</v>
      </c>
      <c r="G1277" s="27">
        <v>149.28</v>
      </c>
      <c r="H1277" s="27">
        <v>90.42</v>
      </c>
      <c r="I1277" s="27">
        <v>1865.98</v>
      </c>
      <c r="J1277" s="27">
        <v>9416.84</v>
      </c>
      <c r="K1277" s="47">
        <f t="shared" si="153"/>
        <v>0.49906550392700733</v>
      </c>
      <c r="L1277" s="47">
        <f t="shared" si="154"/>
        <v>0.25594148355499297</v>
      </c>
      <c r="M1277" s="84">
        <f t="shared" si="155"/>
        <v>0.75500698748200035</v>
      </c>
      <c r="N1277" s="47">
        <f t="shared" si="156"/>
        <v>1.5852451565493308E-2</v>
      </c>
      <c r="O1277" s="47">
        <f t="shared" si="157"/>
        <v>9.6019471499993632E-3</v>
      </c>
      <c r="P1277" s="47">
        <f t="shared" si="158"/>
        <v>0.19815352071395501</v>
      </c>
      <c r="Q1277" s="47">
        <f t="shared" si="159"/>
        <v>1</v>
      </c>
    </row>
    <row r="1278" spans="1:17" x14ac:dyDescent="0.35">
      <c r="A1278" s="82">
        <v>1275</v>
      </c>
      <c r="B1278" s="83" t="str">
        <f>_xlfn.XLOOKUP(A1278,'TAZs by City - CCAG Model'!$A:$A,'TAZs by City - CCAG Model'!$B:$B,"Unknown")</f>
        <v>Santa Clara</v>
      </c>
      <c r="C1278" s="82">
        <f>_xlfn.XLOOKUP(A1278,'TAZs by City - CCAG Model'!$A:$A,'TAZs by City - CCAG Model'!$C:$C,999)</f>
        <v>3</v>
      </c>
      <c r="D1278" s="82" t="str">
        <f t="shared" si="152"/>
        <v>NO</v>
      </c>
      <c r="E1278" s="27">
        <v>1600.34</v>
      </c>
      <c r="F1278" s="27">
        <v>882.32</v>
      </c>
      <c r="G1278" s="27">
        <v>59.16</v>
      </c>
      <c r="H1278" s="27">
        <v>27.66</v>
      </c>
      <c r="I1278" s="27">
        <v>813.86</v>
      </c>
      <c r="J1278" s="27">
        <v>3492.7</v>
      </c>
      <c r="K1278" s="47">
        <f t="shared" si="153"/>
        <v>0.45819566524465316</v>
      </c>
      <c r="L1278" s="47">
        <f t="shared" si="154"/>
        <v>0.25261831820654512</v>
      </c>
      <c r="M1278" s="84">
        <f t="shared" si="155"/>
        <v>0.71081398345119817</v>
      </c>
      <c r="N1278" s="47">
        <f t="shared" si="156"/>
        <v>1.6938185358032466E-2</v>
      </c>
      <c r="O1278" s="47">
        <f t="shared" si="157"/>
        <v>7.9193746957940854E-3</v>
      </c>
      <c r="P1278" s="47">
        <f t="shared" si="158"/>
        <v>0.23301743636728034</v>
      </c>
      <c r="Q1278" s="47">
        <f t="shared" si="159"/>
        <v>1</v>
      </c>
    </row>
    <row r="1279" spans="1:17" x14ac:dyDescent="0.35">
      <c r="A1279" s="82">
        <v>1276</v>
      </c>
      <c r="B1279" s="83" t="str">
        <f>_xlfn.XLOOKUP(A1279,'TAZs by City - CCAG Model'!$A:$A,'TAZs by City - CCAG Model'!$B:$B,"Unknown")</f>
        <v>Santa Clara</v>
      </c>
      <c r="C1279" s="82">
        <f>_xlfn.XLOOKUP(A1279,'TAZs by City - CCAG Model'!$A:$A,'TAZs by City - CCAG Model'!$C:$C,999)</f>
        <v>3</v>
      </c>
      <c r="D1279" s="82" t="str">
        <f t="shared" si="152"/>
        <v>NO</v>
      </c>
      <c r="E1279" s="27">
        <v>3435.36</v>
      </c>
      <c r="F1279" s="27">
        <v>1821.66</v>
      </c>
      <c r="G1279" s="27">
        <v>106.08</v>
      </c>
      <c r="H1279" s="27">
        <v>63.72</v>
      </c>
      <c r="I1279" s="27">
        <v>1398.34</v>
      </c>
      <c r="J1279" s="27">
        <v>6985.08</v>
      </c>
      <c r="K1279" s="47">
        <f t="shared" si="153"/>
        <v>0.49181398065591236</v>
      </c>
      <c r="L1279" s="47">
        <f t="shared" si="154"/>
        <v>0.26079300451820164</v>
      </c>
      <c r="M1279" s="84">
        <f t="shared" si="155"/>
        <v>0.75260698517411406</v>
      </c>
      <c r="N1279" s="47">
        <f t="shared" si="156"/>
        <v>1.5186654984624371E-2</v>
      </c>
      <c r="O1279" s="47">
        <f t="shared" si="157"/>
        <v>9.1223006751533272E-3</v>
      </c>
      <c r="P1279" s="47">
        <f t="shared" si="158"/>
        <v>0.20018954686274171</v>
      </c>
      <c r="Q1279" s="47">
        <f t="shared" si="159"/>
        <v>1</v>
      </c>
    </row>
    <row r="1280" spans="1:17" x14ac:dyDescent="0.35">
      <c r="A1280" s="82">
        <v>1277</v>
      </c>
      <c r="B1280" s="83" t="str">
        <f>_xlfn.XLOOKUP(A1280,'TAZs by City - CCAG Model'!$A:$A,'TAZs by City - CCAG Model'!$B:$B,"Unknown")</f>
        <v>Santa Clara</v>
      </c>
      <c r="C1280" s="82">
        <f>_xlfn.XLOOKUP(A1280,'TAZs by City - CCAG Model'!$A:$A,'TAZs by City - CCAG Model'!$C:$C,999)</f>
        <v>3</v>
      </c>
      <c r="D1280" s="82" t="str">
        <f t="shared" si="152"/>
        <v>NO</v>
      </c>
      <c r="E1280" s="27">
        <v>1435.62</v>
      </c>
      <c r="F1280" s="27">
        <v>1002.74</v>
      </c>
      <c r="G1280" s="27">
        <v>58.38</v>
      </c>
      <c r="H1280" s="27">
        <v>34.92</v>
      </c>
      <c r="I1280" s="27">
        <v>566.9</v>
      </c>
      <c r="J1280" s="27">
        <v>3190.6</v>
      </c>
      <c r="K1280" s="47">
        <f t="shared" si="153"/>
        <v>0.44995298689901586</v>
      </c>
      <c r="L1280" s="47">
        <f t="shared" si="154"/>
        <v>0.31427944587224976</v>
      </c>
      <c r="M1280" s="84">
        <f t="shared" si="155"/>
        <v>0.76423243277126551</v>
      </c>
      <c r="N1280" s="47">
        <f t="shared" si="156"/>
        <v>1.8297498903027645E-2</v>
      </c>
      <c r="O1280" s="47">
        <f t="shared" si="157"/>
        <v>1.0944649909108005E-2</v>
      </c>
      <c r="P1280" s="47">
        <f t="shared" si="158"/>
        <v>0.17767817965272989</v>
      </c>
      <c r="Q1280" s="47">
        <f t="shared" si="159"/>
        <v>1</v>
      </c>
    </row>
    <row r="1281" spans="1:17" x14ac:dyDescent="0.35">
      <c r="A1281" s="82">
        <v>1278</v>
      </c>
      <c r="B1281" s="83" t="str">
        <f>_xlfn.XLOOKUP(A1281,'TAZs by City - CCAG Model'!$A:$A,'TAZs by City - CCAG Model'!$B:$B,"Unknown")</f>
        <v>Santa Clara</v>
      </c>
      <c r="C1281" s="82">
        <f>_xlfn.XLOOKUP(A1281,'TAZs by City - CCAG Model'!$A:$A,'TAZs by City - CCAG Model'!$C:$C,999)</f>
        <v>3</v>
      </c>
      <c r="D1281" s="82" t="str">
        <f t="shared" si="152"/>
        <v>NO</v>
      </c>
      <c r="E1281" s="27">
        <v>2542.98</v>
      </c>
      <c r="F1281" s="27">
        <v>1740.84</v>
      </c>
      <c r="G1281" s="27">
        <v>115.64</v>
      </c>
      <c r="H1281" s="27">
        <v>75.099999999999994</v>
      </c>
      <c r="I1281" s="27">
        <v>1036.02</v>
      </c>
      <c r="J1281" s="27">
        <v>5670.94</v>
      </c>
      <c r="K1281" s="47">
        <f t="shared" si="153"/>
        <v>0.44842301276331614</v>
      </c>
      <c r="L1281" s="47">
        <f t="shared" si="154"/>
        <v>0.30697556313415414</v>
      </c>
      <c r="M1281" s="84">
        <f t="shared" si="155"/>
        <v>0.75539857589747028</v>
      </c>
      <c r="N1281" s="47">
        <f t="shared" si="156"/>
        <v>2.0391681096961E-2</v>
      </c>
      <c r="O1281" s="47">
        <f t="shared" si="157"/>
        <v>1.32429544308351E-2</v>
      </c>
      <c r="P1281" s="47">
        <f t="shared" si="158"/>
        <v>0.18268928960630867</v>
      </c>
      <c r="Q1281" s="47">
        <f t="shared" si="159"/>
        <v>1</v>
      </c>
    </row>
    <row r="1282" spans="1:17" x14ac:dyDescent="0.35">
      <c r="A1282" s="82">
        <v>1279</v>
      </c>
      <c r="B1282" s="83" t="str">
        <f>_xlfn.XLOOKUP(A1282,'TAZs by City - CCAG Model'!$A:$A,'TAZs by City - CCAG Model'!$B:$B,"Unknown")</f>
        <v>Santa Clara</v>
      </c>
      <c r="C1282" s="82">
        <f>_xlfn.XLOOKUP(A1282,'TAZs by City - CCAG Model'!$A:$A,'TAZs by City - CCAG Model'!$C:$C,999)</f>
        <v>3</v>
      </c>
      <c r="D1282" s="82" t="str">
        <f t="shared" si="152"/>
        <v>NO</v>
      </c>
      <c r="E1282" s="27">
        <v>1398.94</v>
      </c>
      <c r="F1282" s="27">
        <v>948.46</v>
      </c>
      <c r="G1282" s="27">
        <v>47.22</v>
      </c>
      <c r="H1282" s="27">
        <v>32.86</v>
      </c>
      <c r="I1282" s="27">
        <v>588.1</v>
      </c>
      <c r="J1282" s="27">
        <v>3093.62</v>
      </c>
      <c r="K1282" s="47">
        <f t="shared" si="153"/>
        <v>0.45220162786638313</v>
      </c>
      <c r="L1282" s="47">
        <f t="shared" si="154"/>
        <v>0.30658581209068991</v>
      </c>
      <c r="M1282" s="84">
        <f t="shared" si="155"/>
        <v>0.75878743995707298</v>
      </c>
      <c r="N1282" s="47">
        <f t="shared" si="156"/>
        <v>1.5263671685598102E-2</v>
      </c>
      <c r="O1282" s="47">
        <f t="shared" si="157"/>
        <v>1.0621860474137094E-2</v>
      </c>
      <c r="P1282" s="47">
        <f t="shared" si="158"/>
        <v>0.19010091737188151</v>
      </c>
      <c r="Q1282" s="47">
        <f t="shared" si="159"/>
        <v>1</v>
      </c>
    </row>
    <row r="1283" spans="1:17" x14ac:dyDescent="0.35">
      <c r="A1283" s="82">
        <v>1280</v>
      </c>
      <c r="B1283" s="83" t="str">
        <f>_xlfn.XLOOKUP(A1283,'TAZs by City - CCAG Model'!$A:$A,'TAZs by City - CCAG Model'!$B:$B,"Unknown")</f>
        <v>Santa Clara</v>
      </c>
      <c r="C1283" s="82">
        <f>_xlfn.XLOOKUP(A1283,'TAZs by City - CCAG Model'!$A:$A,'TAZs by City - CCAG Model'!$C:$C,999)</f>
        <v>3</v>
      </c>
      <c r="D1283" s="82" t="str">
        <f t="shared" si="152"/>
        <v>NO</v>
      </c>
      <c r="E1283" s="27">
        <v>3679.02</v>
      </c>
      <c r="F1283" s="27">
        <v>2637.54</v>
      </c>
      <c r="G1283" s="27">
        <v>137.86000000000001</v>
      </c>
      <c r="H1283" s="27">
        <v>82.28</v>
      </c>
      <c r="I1283" s="27">
        <v>1111.06</v>
      </c>
      <c r="J1283" s="27">
        <v>7814.36</v>
      </c>
      <c r="K1283" s="47">
        <f t="shared" si="153"/>
        <v>0.4708024713476216</v>
      </c>
      <c r="L1283" s="47">
        <f t="shared" si="154"/>
        <v>0.33752476210463811</v>
      </c>
      <c r="M1283" s="84">
        <f t="shared" si="155"/>
        <v>0.80832723345225965</v>
      </c>
      <c r="N1283" s="47">
        <f t="shared" si="156"/>
        <v>1.7641879821252159E-2</v>
      </c>
      <c r="O1283" s="47">
        <f t="shared" si="157"/>
        <v>1.0529333176357373E-2</v>
      </c>
      <c r="P1283" s="47">
        <f t="shared" si="158"/>
        <v>0.14218182935006834</v>
      </c>
      <c r="Q1283" s="47">
        <f t="shared" si="159"/>
        <v>1</v>
      </c>
    </row>
    <row r="1284" spans="1:17" x14ac:dyDescent="0.35">
      <c r="A1284" s="82">
        <v>1281</v>
      </c>
      <c r="B1284" s="83" t="str">
        <f>_xlfn.XLOOKUP(A1284,'TAZs by City - CCAG Model'!$A:$A,'TAZs by City - CCAG Model'!$B:$B,"Unknown")</f>
        <v>Santa Clara</v>
      </c>
      <c r="C1284" s="82">
        <f>_xlfn.XLOOKUP(A1284,'TAZs by City - CCAG Model'!$A:$A,'TAZs by City - CCAG Model'!$C:$C,999)</f>
        <v>3</v>
      </c>
      <c r="D1284" s="82" t="str">
        <f t="shared" si="152"/>
        <v>NO</v>
      </c>
      <c r="E1284" s="27">
        <v>2934.62</v>
      </c>
      <c r="F1284" s="27">
        <v>818.4</v>
      </c>
      <c r="G1284" s="27">
        <v>48.88</v>
      </c>
      <c r="H1284" s="27">
        <v>34.340000000000003</v>
      </c>
      <c r="I1284" s="27">
        <v>101.14</v>
      </c>
      <c r="J1284" s="27">
        <v>4030.96</v>
      </c>
      <c r="K1284" s="47">
        <f t="shared" si="153"/>
        <v>0.72802012423839479</v>
      </c>
      <c r="L1284" s="47">
        <f t="shared" si="154"/>
        <v>0.20302855895369837</v>
      </c>
      <c r="M1284" s="84">
        <f t="shared" si="155"/>
        <v>0.93104868319209322</v>
      </c>
      <c r="N1284" s="47">
        <f t="shared" si="156"/>
        <v>1.2126143648163216E-2</v>
      </c>
      <c r="O1284" s="47">
        <f t="shared" si="157"/>
        <v>8.5190624565860251E-3</v>
      </c>
      <c r="P1284" s="47">
        <f t="shared" si="158"/>
        <v>2.5090797229444104E-2</v>
      </c>
      <c r="Q1284" s="47">
        <f t="shared" si="159"/>
        <v>1</v>
      </c>
    </row>
    <row r="1285" spans="1:17" x14ac:dyDescent="0.35">
      <c r="A1285" s="82">
        <v>1282</v>
      </c>
      <c r="B1285" s="83" t="str">
        <f>_xlfn.XLOOKUP(A1285,'TAZs by City - CCAG Model'!$A:$A,'TAZs by City - CCAG Model'!$B:$B,"Unknown")</f>
        <v>Santa Clara</v>
      </c>
      <c r="C1285" s="82">
        <f>_xlfn.XLOOKUP(A1285,'TAZs by City - CCAG Model'!$A:$A,'TAZs by City - CCAG Model'!$C:$C,999)</f>
        <v>3</v>
      </c>
      <c r="D1285" s="82" t="str">
        <f t="shared" ref="D1285:D1348" si="160">IF(C1285=2,"YES","NO")</f>
        <v>NO</v>
      </c>
      <c r="E1285" s="27">
        <v>3416.44</v>
      </c>
      <c r="F1285" s="27">
        <v>2373.56</v>
      </c>
      <c r="G1285" s="27">
        <v>134.12</v>
      </c>
      <c r="H1285" s="27">
        <v>87.54</v>
      </c>
      <c r="I1285" s="27">
        <v>1359.1</v>
      </c>
      <c r="J1285" s="27">
        <v>7537.42</v>
      </c>
      <c r="K1285" s="47">
        <f t="shared" ref="K1285:K1348" si="161">IFERROR(E1285/$J1285,0)</f>
        <v>0.45326384890320559</v>
      </c>
      <c r="L1285" s="47">
        <f t="shared" ref="L1285:L1348" si="162">IFERROR(F1285/$J1285,0)</f>
        <v>0.31490350809693501</v>
      </c>
      <c r="M1285" s="84">
        <f t="shared" ref="M1285:M1348" si="163">IFERROR((E1285+F1285)/J1285,0)</f>
        <v>0.7681673570001406</v>
      </c>
      <c r="N1285" s="47">
        <f t="shared" ref="N1285:N1348" si="164">IFERROR(G1285/$J1285,0)</f>
        <v>1.7793887032963536E-2</v>
      </c>
      <c r="O1285" s="47">
        <f t="shared" ref="O1285:O1348" si="165">IFERROR(H1285/$J1285,0)</f>
        <v>1.1614053615162748E-2</v>
      </c>
      <c r="P1285" s="47">
        <f t="shared" ref="P1285:P1348" si="166">IFERROR(I1285/$J1285,0)</f>
        <v>0.18031368823815044</v>
      </c>
      <c r="Q1285" s="47">
        <f t="shared" ref="Q1285:Q1348" si="167">IFERROR(J1285/$J1285,0)</f>
        <v>1</v>
      </c>
    </row>
    <row r="1286" spans="1:17" x14ac:dyDescent="0.35">
      <c r="A1286" s="82">
        <v>1283</v>
      </c>
      <c r="B1286" s="83" t="str">
        <f>_xlfn.XLOOKUP(A1286,'TAZs by City - CCAG Model'!$A:$A,'TAZs by City - CCAG Model'!$B:$B,"Unknown")</f>
        <v>Sunnyvale</v>
      </c>
      <c r="C1286" s="82">
        <f>_xlfn.XLOOKUP(A1286,'TAZs by City - CCAG Model'!$A:$A,'TAZs by City - CCAG Model'!$C:$C,999)</f>
        <v>3</v>
      </c>
      <c r="D1286" s="82" t="str">
        <f t="shared" si="160"/>
        <v>NO</v>
      </c>
      <c r="E1286" s="27">
        <v>5116.78</v>
      </c>
      <c r="F1286" s="27">
        <v>1448.74</v>
      </c>
      <c r="G1286" s="27">
        <v>114.72</v>
      </c>
      <c r="H1286" s="27">
        <v>62.84</v>
      </c>
      <c r="I1286" s="27">
        <v>156.97999999999999</v>
      </c>
      <c r="J1286" s="27">
        <v>7049.14</v>
      </c>
      <c r="K1286" s="47">
        <f t="shared" si="161"/>
        <v>0.72587294336614105</v>
      </c>
      <c r="L1286" s="47">
        <f t="shared" si="162"/>
        <v>0.20552010599874593</v>
      </c>
      <c r="M1286" s="84">
        <f t="shared" si="163"/>
        <v>0.93139304936488698</v>
      </c>
      <c r="N1286" s="47">
        <f t="shared" si="164"/>
        <v>1.6274325662421232E-2</v>
      </c>
      <c r="O1286" s="47">
        <f t="shared" si="165"/>
        <v>8.9145626274978219E-3</v>
      </c>
      <c r="P1286" s="47">
        <f t="shared" si="166"/>
        <v>2.2269383215541186E-2</v>
      </c>
      <c r="Q1286" s="47">
        <f t="shared" si="167"/>
        <v>1</v>
      </c>
    </row>
    <row r="1287" spans="1:17" x14ac:dyDescent="0.35">
      <c r="A1287" s="82">
        <v>1284</v>
      </c>
      <c r="B1287" s="83" t="str">
        <f>_xlfn.XLOOKUP(A1287,'TAZs by City - CCAG Model'!$A:$A,'TAZs by City - CCAG Model'!$B:$B,"Unknown")</f>
        <v>Santa Clara</v>
      </c>
      <c r="C1287" s="82">
        <f>_xlfn.XLOOKUP(A1287,'TAZs by City - CCAG Model'!$A:$A,'TAZs by City - CCAG Model'!$C:$C,999)</f>
        <v>3</v>
      </c>
      <c r="D1287" s="82" t="str">
        <f t="shared" si="160"/>
        <v>NO</v>
      </c>
      <c r="E1287" s="27">
        <v>3985.28</v>
      </c>
      <c r="F1287" s="27">
        <v>3112.6</v>
      </c>
      <c r="G1287" s="27">
        <v>353.2</v>
      </c>
      <c r="H1287" s="27">
        <v>122.64</v>
      </c>
      <c r="I1287" s="27">
        <v>1991.6</v>
      </c>
      <c r="J1287" s="27">
        <v>9953.94</v>
      </c>
      <c r="K1287" s="47">
        <f t="shared" si="161"/>
        <v>0.40037211395688543</v>
      </c>
      <c r="L1287" s="47">
        <f t="shared" si="162"/>
        <v>0.31270029757061019</v>
      </c>
      <c r="M1287" s="84">
        <f t="shared" si="163"/>
        <v>0.71307241152749556</v>
      </c>
      <c r="N1287" s="47">
        <f t="shared" si="164"/>
        <v>3.5483436709483882E-2</v>
      </c>
      <c r="O1287" s="47">
        <f t="shared" si="165"/>
        <v>1.2320749371605615E-2</v>
      </c>
      <c r="P1287" s="47">
        <f t="shared" si="166"/>
        <v>0.20008157573784852</v>
      </c>
      <c r="Q1287" s="47">
        <f t="shared" si="167"/>
        <v>1</v>
      </c>
    </row>
    <row r="1288" spans="1:17" x14ac:dyDescent="0.35">
      <c r="A1288" s="82">
        <v>1285</v>
      </c>
      <c r="B1288" s="83" t="str">
        <f>_xlfn.XLOOKUP(A1288,'TAZs by City - CCAG Model'!$A:$A,'TAZs by City - CCAG Model'!$B:$B,"Unknown")</f>
        <v>Santa Clara</v>
      </c>
      <c r="C1288" s="82">
        <f>_xlfn.XLOOKUP(A1288,'TAZs by City - CCAG Model'!$A:$A,'TAZs by City - CCAG Model'!$C:$C,999)</f>
        <v>3</v>
      </c>
      <c r="D1288" s="82" t="str">
        <f t="shared" si="160"/>
        <v>NO</v>
      </c>
      <c r="E1288" s="27">
        <v>2656.02</v>
      </c>
      <c r="F1288" s="27">
        <v>1973.26</v>
      </c>
      <c r="G1288" s="27">
        <v>157.38</v>
      </c>
      <c r="H1288" s="27">
        <v>77.42</v>
      </c>
      <c r="I1288" s="27">
        <v>1290.4000000000001</v>
      </c>
      <c r="J1288" s="27">
        <v>6348.06</v>
      </c>
      <c r="K1288" s="47">
        <f t="shared" si="161"/>
        <v>0.41839869188381962</v>
      </c>
      <c r="L1288" s="47">
        <f t="shared" si="162"/>
        <v>0.31084457298765289</v>
      </c>
      <c r="M1288" s="84">
        <f t="shared" si="163"/>
        <v>0.72924326487147251</v>
      </c>
      <c r="N1288" s="47">
        <f t="shared" si="164"/>
        <v>2.4791826164213947E-2</v>
      </c>
      <c r="O1288" s="47">
        <f t="shared" si="165"/>
        <v>1.219585196107157E-2</v>
      </c>
      <c r="P1288" s="47">
        <f t="shared" si="166"/>
        <v>0.2032747012473102</v>
      </c>
      <c r="Q1288" s="47">
        <f t="shared" si="167"/>
        <v>1</v>
      </c>
    </row>
    <row r="1289" spans="1:17" x14ac:dyDescent="0.35">
      <c r="A1289" s="82">
        <v>1286</v>
      </c>
      <c r="B1289" s="83" t="str">
        <f>_xlfn.XLOOKUP(A1289,'TAZs by City - CCAG Model'!$A:$A,'TAZs by City - CCAG Model'!$B:$B,"Unknown")</f>
        <v>Santa Clara</v>
      </c>
      <c r="C1289" s="82">
        <f>_xlfn.XLOOKUP(A1289,'TAZs by City - CCAG Model'!$A:$A,'TAZs by City - CCAG Model'!$C:$C,999)</f>
        <v>3</v>
      </c>
      <c r="D1289" s="82" t="str">
        <f t="shared" si="160"/>
        <v>NO</v>
      </c>
      <c r="E1289" s="27">
        <v>2831.9</v>
      </c>
      <c r="F1289" s="27">
        <v>1601.58</v>
      </c>
      <c r="G1289" s="27">
        <v>133.74</v>
      </c>
      <c r="H1289" s="27">
        <v>75.98</v>
      </c>
      <c r="I1289" s="27">
        <v>1068.3599999999999</v>
      </c>
      <c r="J1289" s="27">
        <v>5898.42</v>
      </c>
      <c r="K1289" s="47">
        <f t="shared" si="161"/>
        <v>0.48011162311263017</v>
      </c>
      <c r="L1289" s="47">
        <f t="shared" si="162"/>
        <v>0.27152695128525944</v>
      </c>
      <c r="M1289" s="84">
        <f t="shared" si="163"/>
        <v>0.7516385743978895</v>
      </c>
      <c r="N1289" s="47">
        <f t="shared" si="164"/>
        <v>2.2673868595318749E-2</v>
      </c>
      <c r="O1289" s="47">
        <f t="shared" si="165"/>
        <v>1.288141570115387E-2</v>
      </c>
      <c r="P1289" s="47">
        <f t="shared" si="166"/>
        <v>0.18112647115668262</v>
      </c>
      <c r="Q1289" s="47">
        <f t="shared" si="167"/>
        <v>1</v>
      </c>
    </row>
    <row r="1290" spans="1:17" x14ac:dyDescent="0.35">
      <c r="A1290" s="82">
        <v>1287</v>
      </c>
      <c r="B1290" s="83" t="str">
        <f>_xlfn.XLOOKUP(A1290,'TAZs by City - CCAG Model'!$A:$A,'TAZs by City - CCAG Model'!$B:$B,"Unknown")</f>
        <v>Santa Clara</v>
      </c>
      <c r="C1290" s="82">
        <f>_xlfn.XLOOKUP(A1290,'TAZs by City - CCAG Model'!$A:$A,'TAZs by City - CCAG Model'!$C:$C,999)</f>
        <v>3</v>
      </c>
      <c r="D1290" s="82" t="str">
        <f t="shared" si="160"/>
        <v>NO</v>
      </c>
      <c r="E1290" s="27">
        <v>1352.22</v>
      </c>
      <c r="F1290" s="27">
        <v>915.54</v>
      </c>
      <c r="G1290" s="27">
        <v>64.98</v>
      </c>
      <c r="H1290" s="27">
        <v>36.64</v>
      </c>
      <c r="I1290" s="27">
        <v>523.74</v>
      </c>
      <c r="J1290" s="27">
        <v>3006.58</v>
      </c>
      <c r="K1290" s="47">
        <f t="shared" si="161"/>
        <v>0.44975354056768824</v>
      </c>
      <c r="L1290" s="47">
        <f t="shared" si="162"/>
        <v>0.30451210345309287</v>
      </c>
      <c r="M1290" s="84">
        <f t="shared" si="163"/>
        <v>0.75426564402078122</v>
      </c>
      <c r="N1290" s="47">
        <f t="shared" si="164"/>
        <v>2.1612596371957508E-2</v>
      </c>
      <c r="O1290" s="47">
        <f t="shared" si="165"/>
        <v>1.2186604048453726E-2</v>
      </c>
      <c r="P1290" s="47">
        <f t="shared" si="166"/>
        <v>0.17419792588256425</v>
      </c>
      <c r="Q1290" s="47">
        <f t="shared" si="167"/>
        <v>1</v>
      </c>
    </row>
    <row r="1291" spans="1:17" x14ac:dyDescent="0.35">
      <c r="A1291" s="82">
        <v>1288</v>
      </c>
      <c r="B1291" s="83" t="str">
        <f>_xlfn.XLOOKUP(A1291,'TAZs by City - CCAG Model'!$A:$A,'TAZs by City - CCAG Model'!$B:$B,"Unknown")</f>
        <v>Santa Clara</v>
      </c>
      <c r="C1291" s="82">
        <f>_xlfn.XLOOKUP(A1291,'TAZs by City - CCAG Model'!$A:$A,'TAZs by City - CCAG Model'!$C:$C,999)</f>
        <v>3</v>
      </c>
      <c r="D1291" s="82" t="str">
        <f t="shared" si="160"/>
        <v>NO</v>
      </c>
      <c r="E1291" s="27">
        <v>5198.18</v>
      </c>
      <c r="F1291" s="27">
        <v>2663.08</v>
      </c>
      <c r="G1291" s="27">
        <v>436.98</v>
      </c>
      <c r="H1291" s="27">
        <v>96.18</v>
      </c>
      <c r="I1291" s="27">
        <v>1692.48</v>
      </c>
      <c r="J1291" s="27">
        <v>10571.1</v>
      </c>
      <c r="K1291" s="47">
        <f t="shared" si="161"/>
        <v>0.4917350133855512</v>
      </c>
      <c r="L1291" s="47">
        <f t="shared" si="162"/>
        <v>0.25192080294387525</v>
      </c>
      <c r="M1291" s="84">
        <f t="shared" si="163"/>
        <v>0.74365581632942646</v>
      </c>
      <c r="N1291" s="47">
        <f t="shared" si="164"/>
        <v>4.133723075176661E-2</v>
      </c>
      <c r="O1291" s="47">
        <f t="shared" si="165"/>
        <v>9.0983908959332525E-3</v>
      </c>
      <c r="P1291" s="47">
        <f t="shared" si="166"/>
        <v>0.16010443567840621</v>
      </c>
      <c r="Q1291" s="47">
        <f t="shared" si="167"/>
        <v>1</v>
      </c>
    </row>
    <row r="1292" spans="1:17" x14ac:dyDescent="0.35">
      <c r="A1292" s="82">
        <v>1289</v>
      </c>
      <c r="B1292" s="83" t="str">
        <f>_xlfn.XLOOKUP(A1292,'TAZs by City - CCAG Model'!$A:$A,'TAZs by City - CCAG Model'!$B:$B,"Unknown")</f>
        <v>Santa Clara</v>
      </c>
      <c r="C1292" s="82">
        <f>_xlfn.XLOOKUP(A1292,'TAZs by City - CCAG Model'!$A:$A,'TAZs by City - CCAG Model'!$C:$C,999)</f>
        <v>3</v>
      </c>
      <c r="D1292" s="82" t="str">
        <f t="shared" si="160"/>
        <v>NO</v>
      </c>
      <c r="E1292" s="27">
        <v>3804.94</v>
      </c>
      <c r="F1292" s="27">
        <v>1678.14</v>
      </c>
      <c r="G1292" s="27">
        <v>179.7</v>
      </c>
      <c r="H1292" s="27">
        <v>92.22</v>
      </c>
      <c r="I1292" s="27">
        <v>1791.16</v>
      </c>
      <c r="J1292" s="27">
        <v>7775.78</v>
      </c>
      <c r="K1292" s="47">
        <f t="shared" si="161"/>
        <v>0.48933225991476098</v>
      </c>
      <c r="L1292" s="47">
        <f t="shared" si="162"/>
        <v>0.21581629109877082</v>
      </c>
      <c r="M1292" s="84">
        <f t="shared" si="163"/>
        <v>0.7051485510135318</v>
      </c>
      <c r="N1292" s="47">
        <f t="shared" si="164"/>
        <v>2.3110221739812597E-2</v>
      </c>
      <c r="O1292" s="47">
        <f t="shared" si="165"/>
        <v>1.1859903443770272E-2</v>
      </c>
      <c r="P1292" s="47">
        <f t="shared" si="166"/>
        <v>0.23035116734269748</v>
      </c>
      <c r="Q1292" s="47">
        <f t="shared" si="167"/>
        <v>1</v>
      </c>
    </row>
    <row r="1293" spans="1:17" x14ac:dyDescent="0.35">
      <c r="A1293" s="82">
        <v>1290</v>
      </c>
      <c r="B1293" s="83" t="str">
        <f>_xlfn.XLOOKUP(A1293,'TAZs by City - CCAG Model'!$A:$A,'TAZs by City - CCAG Model'!$B:$B,"Unknown")</f>
        <v>Santa Clara</v>
      </c>
      <c r="C1293" s="82">
        <f>_xlfn.XLOOKUP(A1293,'TAZs by City - CCAG Model'!$A:$A,'TAZs by City - CCAG Model'!$C:$C,999)</f>
        <v>3</v>
      </c>
      <c r="D1293" s="82" t="str">
        <f t="shared" si="160"/>
        <v>NO</v>
      </c>
      <c r="E1293" s="27">
        <v>8876.82</v>
      </c>
      <c r="F1293" s="27">
        <v>4686.58</v>
      </c>
      <c r="G1293" s="27">
        <v>550.08000000000004</v>
      </c>
      <c r="H1293" s="27">
        <v>164.72</v>
      </c>
      <c r="I1293" s="27">
        <v>3287.96</v>
      </c>
      <c r="J1293" s="27">
        <v>18152.64</v>
      </c>
      <c r="K1293" s="47">
        <f t="shared" si="161"/>
        <v>0.48900986302818761</v>
      </c>
      <c r="L1293" s="47">
        <f t="shared" si="162"/>
        <v>0.2581762211997814</v>
      </c>
      <c r="M1293" s="84">
        <f t="shared" si="163"/>
        <v>0.74718608422796906</v>
      </c>
      <c r="N1293" s="47">
        <f t="shared" si="164"/>
        <v>3.0303030303030307E-2</v>
      </c>
      <c r="O1293" s="47">
        <f t="shared" si="165"/>
        <v>9.0741622155234725E-3</v>
      </c>
      <c r="P1293" s="47">
        <f t="shared" si="166"/>
        <v>0.18112847497664253</v>
      </c>
      <c r="Q1293" s="47">
        <f t="shared" si="167"/>
        <v>1</v>
      </c>
    </row>
    <row r="1294" spans="1:17" x14ac:dyDescent="0.35">
      <c r="A1294" s="82">
        <v>1291</v>
      </c>
      <c r="B1294" s="83" t="str">
        <f>_xlfn.XLOOKUP(A1294,'TAZs by City - CCAG Model'!$A:$A,'TAZs by City - CCAG Model'!$B:$B,"Unknown")</f>
        <v>Santa Clara</v>
      </c>
      <c r="C1294" s="82">
        <f>_xlfn.XLOOKUP(A1294,'TAZs by City - CCAG Model'!$A:$A,'TAZs by City - CCAG Model'!$C:$C,999)</f>
        <v>3</v>
      </c>
      <c r="D1294" s="82" t="str">
        <f t="shared" si="160"/>
        <v>NO</v>
      </c>
      <c r="E1294" s="27">
        <v>2464.66</v>
      </c>
      <c r="F1294" s="27">
        <v>1414.52</v>
      </c>
      <c r="G1294" s="27">
        <v>188.32</v>
      </c>
      <c r="H1294" s="27">
        <v>59.54</v>
      </c>
      <c r="I1294" s="27">
        <v>1295.08</v>
      </c>
      <c r="J1294" s="27">
        <v>5658.38</v>
      </c>
      <c r="K1294" s="47">
        <f t="shared" si="161"/>
        <v>0.43557696725918016</v>
      </c>
      <c r="L1294" s="47">
        <f t="shared" si="162"/>
        <v>0.24998674532286624</v>
      </c>
      <c r="M1294" s="84">
        <f t="shared" si="163"/>
        <v>0.6855637125820464</v>
      </c>
      <c r="N1294" s="47">
        <f t="shared" si="164"/>
        <v>3.3281610637673681E-2</v>
      </c>
      <c r="O1294" s="47">
        <f t="shared" si="165"/>
        <v>1.0522446353903413E-2</v>
      </c>
      <c r="P1294" s="47">
        <f t="shared" si="166"/>
        <v>0.22887823016481748</v>
      </c>
      <c r="Q1294" s="47">
        <f t="shared" si="167"/>
        <v>1</v>
      </c>
    </row>
    <row r="1295" spans="1:17" x14ac:dyDescent="0.35">
      <c r="A1295" s="82">
        <v>1292</v>
      </c>
      <c r="B1295" s="83" t="str">
        <f>_xlfn.XLOOKUP(A1295,'TAZs by City - CCAG Model'!$A:$A,'TAZs by City - CCAG Model'!$B:$B,"Unknown")</f>
        <v>Santa Clara</v>
      </c>
      <c r="C1295" s="82">
        <f>_xlfn.XLOOKUP(A1295,'TAZs by City - CCAG Model'!$A:$A,'TAZs by City - CCAG Model'!$C:$C,999)</f>
        <v>3</v>
      </c>
      <c r="D1295" s="82" t="str">
        <f t="shared" si="160"/>
        <v>NO</v>
      </c>
      <c r="E1295" s="27">
        <v>1005.16</v>
      </c>
      <c r="F1295" s="27">
        <v>528.05999999999995</v>
      </c>
      <c r="G1295" s="27">
        <v>39.840000000000003</v>
      </c>
      <c r="H1295" s="27">
        <v>22.06</v>
      </c>
      <c r="I1295" s="27">
        <v>462.56</v>
      </c>
      <c r="J1295" s="27">
        <v>2145.84</v>
      </c>
      <c r="K1295" s="47">
        <f t="shared" si="161"/>
        <v>0.46842262237631876</v>
      </c>
      <c r="L1295" s="47">
        <f t="shared" si="162"/>
        <v>0.24608544905491553</v>
      </c>
      <c r="M1295" s="84">
        <f t="shared" si="163"/>
        <v>0.71450807143123429</v>
      </c>
      <c r="N1295" s="47">
        <f t="shared" si="164"/>
        <v>1.8566155910971927E-2</v>
      </c>
      <c r="O1295" s="47">
        <f t="shared" si="165"/>
        <v>1.0280356410543189E-2</v>
      </c>
      <c r="P1295" s="47">
        <f t="shared" si="166"/>
        <v>0.21556127204264994</v>
      </c>
      <c r="Q1295" s="47">
        <f t="shared" si="167"/>
        <v>1</v>
      </c>
    </row>
    <row r="1296" spans="1:17" x14ac:dyDescent="0.35">
      <c r="A1296" s="82">
        <v>1293</v>
      </c>
      <c r="B1296" s="83" t="str">
        <f>_xlfn.XLOOKUP(A1296,'TAZs by City - CCAG Model'!$A:$A,'TAZs by City - CCAG Model'!$B:$B,"Unknown")</f>
        <v>Santa Clara</v>
      </c>
      <c r="C1296" s="82">
        <f>_xlfn.XLOOKUP(A1296,'TAZs by City - CCAG Model'!$A:$A,'TAZs by City - CCAG Model'!$C:$C,999)</f>
        <v>3</v>
      </c>
      <c r="D1296" s="82" t="str">
        <f t="shared" si="160"/>
        <v>NO</v>
      </c>
      <c r="E1296" s="27">
        <v>1193.6400000000001</v>
      </c>
      <c r="F1296" s="27">
        <v>756.38</v>
      </c>
      <c r="G1296" s="27">
        <v>51.96</v>
      </c>
      <c r="H1296" s="27">
        <v>22.56</v>
      </c>
      <c r="I1296" s="27">
        <v>626.26</v>
      </c>
      <c r="J1296" s="27">
        <v>2731.88</v>
      </c>
      <c r="K1296" s="47">
        <f t="shared" si="161"/>
        <v>0.4369298797897419</v>
      </c>
      <c r="L1296" s="47">
        <f t="shared" si="162"/>
        <v>0.27687160490211865</v>
      </c>
      <c r="M1296" s="84">
        <f t="shared" si="163"/>
        <v>0.71380148469186055</v>
      </c>
      <c r="N1296" s="47">
        <f t="shared" si="164"/>
        <v>1.901986910113182E-2</v>
      </c>
      <c r="O1296" s="47">
        <f t="shared" si="165"/>
        <v>8.258049401877094E-3</v>
      </c>
      <c r="P1296" s="47">
        <f t="shared" si="166"/>
        <v>0.22924140152568925</v>
      </c>
      <c r="Q1296" s="47">
        <f t="shared" si="167"/>
        <v>1</v>
      </c>
    </row>
    <row r="1297" spans="1:17" x14ac:dyDescent="0.35">
      <c r="A1297" s="82">
        <v>1294</v>
      </c>
      <c r="B1297" s="83" t="str">
        <f>_xlfn.XLOOKUP(A1297,'TAZs by City - CCAG Model'!$A:$A,'TAZs by City - CCAG Model'!$B:$B,"Unknown")</f>
        <v>Santa Clara</v>
      </c>
      <c r="C1297" s="82">
        <f>_xlfn.XLOOKUP(A1297,'TAZs by City - CCAG Model'!$A:$A,'TAZs by City - CCAG Model'!$C:$C,999)</f>
        <v>3</v>
      </c>
      <c r="D1297" s="82" t="str">
        <f t="shared" si="160"/>
        <v>NO</v>
      </c>
      <c r="E1297" s="27">
        <v>3156.38</v>
      </c>
      <c r="F1297" s="27">
        <v>1940.34</v>
      </c>
      <c r="G1297" s="27">
        <v>124.9</v>
      </c>
      <c r="H1297" s="27">
        <v>78.42</v>
      </c>
      <c r="I1297" s="27">
        <v>1601.88</v>
      </c>
      <c r="J1297" s="27">
        <v>7067.84</v>
      </c>
      <c r="K1297" s="47">
        <f t="shared" si="161"/>
        <v>0.44658339747362702</v>
      </c>
      <c r="L1297" s="47">
        <f t="shared" si="162"/>
        <v>0.27453083261647121</v>
      </c>
      <c r="M1297" s="84">
        <f t="shared" si="163"/>
        <v>0.72111423009009823</v>
      </c>
      <c r="N1297" s="47">
        <f t="shared" si="164"/>
        <v>1.7671594150405215E-2</v>
      </c>
      <c r="O1297" s="47">
        <f t="shared" si="165"/>
        <v>1.1095327568252818E-2</v>
      </c>
      <c r="P1297" s="47">
        <f t="shared" si="166"/>
        <v>0.22664350070177028</v>
      </c>
      <c r="Q1297" s="47">
        <f t="shared" si="167"/>
        <v>1</v>
      </c>
    </row>
    <row r="1298" spans="1:17" x14ac:dyDescent="0.35">
      <c r="A1298" s="82">
        <v>1295</v>
      </c>
      <c r="B1298" s="83" t="str">
        <f>_xlfn.XLOOKUP(A1298,'TAZs by City - CCAG Model'!$A:$A,'TAZs by City - CCAG Model'!$B:$B,"Unknown")</f>
        <v>Santa Clara</v>
      </c>
      <c r="C1298" s="82">
        <f>_xlfn.XLOOKUP(A1298,'TAZs by City - CCAG Model'!$A:$A,'TAZs by City - CCAG Model'!$C:$C,999)</f>
        <v>3</v>
      </c>
      <c r="D1298" s="82" t="str">
        <f t="shared" si="160"/>
        <v>NO</v>
      </c>
      <c r="E1298" s="27">
        <v>1276.8399999999999</v>
      </c>
      <c r="F1298" s="27">
        <v>811.7</v>
      </c>
      <c r="G1298" s="27">
        <v>48.04</v>
      </c>
      <c r="H1298" s="27">
        <v>28.82</v>
      </c>
      <c r="I1298" s="27">
        <v>470.46</v>
      </c>
      <c r="J1298" s="27">
        <v>2710.52</v>
      </c>
      <c r="K1298" s="47">
        <f t="shared" si="161"/>
        <v>0.47106828210085144</v>
      </c>
      <c r="L1298" s="47">
        <f t="shared" si="162"/>
        <v>0.2994628336998067</v>
      </c>
      <c r="M1298" s="84">
        <f t="shared" si="163"/>
        <v>0.77053111580065814</v>
      </c>
      <c r="N1298" s="47">
        <f t="shared" si="164"/>
        <v>1.7723536443191711E-2</v>
      </c>
      <c r="O1298" s="47">
        <f t="shared" si="165"/>
        <v>1.063264613432109E-2</v>
      </c>
      <c r="P1298" s="47">
        <f t="shared" si="166"/>
        <v>0.17356817142098194</v>
      </c>
      <c r="Q1298" s="47">
        <f t="shared" si="167"/>
        <v>1</v>
      </c>
    </row>
    <row r="1299" spans="1:17" x14ac:dyDescent="0.35">
      <c r="A1299" s="82">
        <v>1296</v>
      </c>
      <c r="B1299" s="83" t="str">
        <f>_xlfn.XLOOKUP(A1299,'TAZs by City - CCAG Model'!$A:$A,'TAZs by City - CCAG Model'!$B:$B,"Unknown")</f>
        <v>Santa Clara</v>
      </c>
      <c r="C1299" s="82">
        <f>_xlfn.XLOOKUP(A1299,'TAZs by City - CCAG Model'!$A:$A,'TAZs by City - CCAG Model'!$C:$C,999)</f>
        <v>3</v>
      </c>
      <c r="D1299" s="82" t="str">
        <f t="shared" si="160"/>
        <v>NO</v>
      </c>
      <c r="E1299" s="27">
        <v>4267.26</v>
      </c>
      <c r="F1299" s="27">
        <v>1286.96</v>
      </c>
      <c r="G1299" s="27">
        <v>86.04</v>
      </c>
      <c r="H1299" s="27">
        <v>51.6</v>
      </c>
      <c r="I1299" s="27">
        <v>139.28</v>
      </c>
      <c r="J1299" s="27">
        <v>5954.72</v>
      </c>
      <c r="K1299" s="47">
        <f t="shared" si="161"/>
        <v>0.7166180777601634</v>
      </c>
      <c r="L1299" s="47">
        <f t="shared" si="162"/>
        <v>0.21612435177472661</v>
      </c>
      <c r="M1299" s="84">
        <f t="shared" si="163"/>
        <v>0.93274242953488995</v>
      </c>
      <c r="N1299" s="47">
        <f t="shared" si="164"/>
        <v>1.4449042104414649E-2</v>
      </c>
      <c r="O1299" s="47">
        <f t="shared" si="165"/>
        <v>8.6653948464411427E-3</v>
      </c>
      <c r="P1299" s="47">
        <f t="shared" si="166"/>
        <v>2.3389848725045004E-2</v>
      </c>
      <c r="Q1299" s="47">
        <f t="shared" si="167"/>
        <v>1</v>
      </c>
    </row>
    <row r="1300" spans="1:17" x14ac:dyDescent="0.35">
      <c r="A1300" s="82">
        <v>1297</v>
      </c>
      <c r="B1300" s="83" t="str">
        <f>_xlfn.XLOOKUP(A1300,'TAZs by City - CCAG Model'!$A:$A,'TAZs by City - CCAG Model'!$B:$B,"Unknown")</f>
        <v>Santa Clara</v>
      </c>
      <c r="C1300" s="82">
        <f>_xlfn.XLOOKUP(A1300,'TAZs by City - CCAG Model'!$A:$A,'TAZs by City - CCAG Model'!$C:$C,999)</f>
        <v>3</v>
      </c>
      <c r="D1300" s="82" t="str">
        <f t="shared" si="160"/>
        <v>NO</v>
      </c>
      <c r="E1300" s="27">
        <v>9183</v>
      </c>
      <c r="F1300" s="27">
        <v>2883.98</v>
      </c>
      <c r="G1300" s="27">
        <v>207.14</v>
      </c>
      <c r="H1300" s="27">
        <v>131.56</v>
      </c>
      <c r="I1300" s="27">
        <v>240.6</v>
      </c>
      <c r="J1300" s="27">
        <v>12881.76</v>
      </c>
      <c r="K1300" s="47">
        <f t="shared" si="161"/>
        <v>0.71286842791668215</v>
      </c>
      <c r="L1300" s="47">
        <f t="shared" si="162"/>
        <v>0.22388089826234925</v>
      </c>
      <c r="M1300" s="84">
        <f t="shared" si="163"/>
        <v>0.93674932617903139</v>
      </c>
      <c r="N1300" s="47">
        <f t="shared" si="164"/>
        <v>1.608010085578368E-2</v>
      </c>
      <c r="O1300" s="47">
        <f t="shared" si="165"/>
        <v>1.0212890164076959E-2</v>
      </c>
      <c r="P1300" s="47">
        <f t="shared" si="166"/>
        <v>1.867757200879383E-2</v>
      </c>
      <c r="Q1300" s="47">
        <f t="shared" si="167"/>
        <v>1</v>
      </c>
    </row>
    <row r="1301" spans="1:17" x14ac:dyDescent="0.35">
      <c r="A1301" s="82">
        <v>1298</v>
      </c>
      <c r="B1301" s="83" t="str">
        <f>_xlfn.XLOOKUP(A1301,'TAZs by City - CCAG Model'!$A:$A,'TAZs by City - CCAG Model'!$B:$B,"Unknown")</f>
        <v>Santa Clara</v>
      </c>
      <c r="C1301" s="82">
        <f>_xlfn.XLOOKUP(A1301,'TAZs by City - CCAG Model'!$A:$A,'TAZs by City - CCAG Model'!$C:$C,999)</f>
        <v>3</v>
      </c>
      <c r="D1301" s="82" t="str">
        <f t="shared" si="160"/>
        <v>NO</v>
      </c>
      <c r="E1301" s="27">
        <v>9828.5</v>
      </c>
      <c r="F1301" s="27">
        <v>2912.8</v>
      </c>
      <c r="G1301" s="27">
        <v>206.12</v>
      </c>
      <c r="H1301" s="27">
        <v>129.30000000000001</v>
      </c>
      <c r="I1301" s="27">
        <v>253.76</v>
      </c>
      <c r="J1301" s="27">
        <v>13557.82</v>
      </c>
      <c r="K1301" s="47">
        <f t="shared" si="161"/>
        <v>0.7249321793621688</v>
      </c>
      <c r="L1301" s="47">
        <f t="shared" si="162"/>
        <v>0.21484279921108262</v>
      </c>
      <c r="M1301" s="84">
        <f t="shared" si="163"/>
        <v>0.93977497857325143</v>
      </c>
      <c r="N1301" s="47">
        <f t="shared" si="164"/>
        <v>1.5203034116104212E-2</v>
      </c>
      <c r="O1301" s="47">
        <f t="shared" si="165"/>
        <v>9.5369314535817713E-3</v>
      </c>
      <c r="P1301" s="47">
        <f t="shared" si="166"/>
        <v>1.8716873361646635E-2</v>
      </c>
      <c r="Q1301" s="47">
        <f t="shared" si="167"/>
        <v>1</v>
      </c>
    </row>
    <row r="1302" spans="1:17" x14ac:dyDescent="0.35">
      <c r="A1302" s="82">
        <v>1299</v>
      </c>
      <c r="B1302" s="83" t="str">
        <f>_xlfn.XLOOKUP(A1302,'TAZs by City - CCAG Model'!$A:$A,'TAZs by City - CCAG Model'!$B:$B,"Unknown")</f>
        <v>Santa Clara</v>
      </c>
      <c r="C1302" s="82">
        <f>_xlfn.XLOOKUP(A1302,'TAZs by City - CCAG Model'!$A:$A,'TAZs by City - CCAG Model'!$C:$C,999)</f>
        <v>3</v>
      </c>
      <c r="D1302" s="82" t="str">
        <f t="shared" si="160"/>
        <v>NO</v>
      </c>
      <c r="E1302" s="27">
        <v>5632.12</v>
      </c>
      <c r="F1302" s="27">
        <v>1829.08</v>
      </c>
      <c r="G1302" s="27">
        <v>118.9</v>
      </c>
      <c r="H1302" s="27">
        <v>86.56</v>
      </c>
      <c r="I1302" s="27">
        <v>195.18</v>
      </c>
      <c r="J1302" s="27">
        <v>8019.08</v>
      </c>
      <c r="K1302" s="47">
        <f t="shared" si="161"/>
        <v>0.7023399192924874</v>
      </c>
      <c r="L1302" s="47">
        <f t="shared" si="162"/>
        <v>0.22809100295794529</v>
      </c>
      <c r="M1302" s="84">
        <f t="shared" si="163"/>
        <v>0.93043092225043267</v>
      </c>
      <c r="N1302" s="47">
        <f t="shared" si="164"/>
        <v>1.4827137277592942E-2</v>
      </c>
      <c r="O1302" s="47">
        <f t="shared" si="165"/>
        <v>1.0794255700155131E-2</v>
      </c>
      <c r="P1302" s="47">
        <f t="shared" si="166"/>
        <v>2.4339450410770312E-2</v>
      </c>
      <c r="Q1302" s="47">
        <f t="shared" si="167"/>
        <v>1</v>
      </c>
    </row>
    <row r="1303" spans="1:17" x14ac:dyDescent="0.35">
      <c r="A1303" s="82">
        <v>1300</v>
      </c>
      <c r="B1303" s="83" t="str">
        <f>_xlfn.XLOOKUP(A1303,'TAZs by City - CCAG Model'!$A:$A,'TAZs by City - CCAG Model'!$B:$B,"Unknown")</f>
        <v>Santa Clara</v>
      </c>
      <c r="C1303" s="82">
        <f>_xlfn.XLOOKUP(A1303,'TAZs by City - CCAG Model'!$A:$A,'TAZs by City - CCAG Model'!$C:$C,999)</f>
        <v>3</v>
      </c>
      <c r="D1303" s="82" t="str">
        <f t="shared" si="160"/>
        <v>NO</v>
      </c>
      <c r="E1303" s="27">
        <v>5133.1400000000003</v>
      </c>
      <c r="F1303" s="27">
        <v>1592.98</v>
      </c>
      <c r="G1303" s="27">
        <v>102.94</v>
      </c>
      <c r="H1303" s="27">
        <v>63.64</v>
      </c>
      <c r="I1303" s="27">
        <v>131.62</v>
      </c>
      <c r="J1303" s="27">
        <v>7158.54</v>
      </c>
      <c r="K1303" s="47">
        <f t="shared" si="161"/>
        <v>0.71706521162136416</v>
      </c>
      <c r="L1303" s="47">
        <f t="shared" si="162"/>
        <v>0.22252861617033642</v>
      </c>
      <c r="M1303" s="84">
        <f t="shared" si="163"/>
        <v>0.93959382779170064</v>
      </c>
      <c r="N1303" s="47">
        <f t="shared" si="164"/>
        <v>1.4380027212252778E-2</v>
      </c>
      <c r="O1303" s="47">
        <f t="shared" si="165"/>
        <v>8.8900809382918868E-3</v>
      </c>
      <c r="P1303" s="47">
        <f t="shared" si="166"/>
        <v>1.8386430752639505E-2</v>
      </c>
      <c r="Q1303" s="47">
        <f t="shared" si="167"/>
        <v>1</v>
      </c>
    </row>
    <row r="1304" spans="1:17" x14ac:dyDescent="0.35">
      <c r="A1304" s="82">
        <v>1301</v>
      </c>
      <c r="B1304" s="83" t="str">
        <f>_xlfn.XLOOKUP(A1304,'TAZs by City - CCAG Model'!$A:$A,'TAZs by City - CCAG Model'!$B:$B,"Unknown")</f>
        <v>Santa Clara</v>
      </c>
      <c r="C1304" s="82">
        <f>_xlfn.XLOOKUP(A1304,'TAZs by City - CCAG Model'!$A:$A,'TAZs by City - CCAG Model'!$C:$C,999)</f>
        <v>3</v>
      </c>
      <c r="D1304" s="82" t="str">
        <f t="shared" si="160"/>
        <v>NO</v>
      </c>
      <c r="E1304" s="27">
        <v>4110.2</v>
      </c>
      <c r="F1304" s="27">
        <v>1164.46</v>
      </c>
      <c r="G1304" s="27">
        <v>83.74</v>
      </c>
      <c r="H1304" s="27">
        <v>51.9</v>
      </c>
      <c r="I1304" s="27">
        <v>126.04</v>
      </c>
      <c r="J1304" s="27">
        <v>5657.86</v>
      </c>
      <c r="K1304" s="47">
        <f t="shared" si="161"/>
        <v>0.72645841360514396</v>
      </c>
      <c r="L1304" s="47">
        <f t="shared" si="162"/>
        <v>0.20581279847857673</v>
      </c>
      <c r="M1304" s="84">
        <f t="shared" si="163"/>
        <v>0.93227121208372077</v>
      </c>
      <c r="N1304" s="47">
        <f t="shared" si="164"/>
        <v>1.4800649008635773E-2</v>
      </c>
      <c r="O1304" s="47">
        <f t="shared" si="165"/>
        <v>9.1730795742559906E-3</v>
      </c>
      <c r="P1304" s="47">
        <f t="shared" si="166"/>
        <v>2.2276973979561181E-2</v>
      </c>
      <c r="Q1304" s="47">
        <f t="shared" si="167"/>
        <v>1</v>
      </c>
    </row>
    <row r="1305" spans="1:17" x14ac:dyDescent="0.35">
      <c r="A1305" s="82">
        <v>1302</v>
      </c>
      <c r="B1305" s="83" t="str">
        <f>_xlfn.XLOOKUP(A1305,'TAZs by City - CCAG Model'!$A:$A,'TAZs by City - CCAG Model'!$B:$B,"Unknown")</f>
        <v>Santa Clara</v>
      </c>
      <c r="C1305" s="82">
        <f>_xlfn.XLOOKUP(A1305,'TAZs by City - CCAG Model'!$A:$A,'TAZs by City - CCAG Model'!$C:$C,999)</f>
        <v>3</v>
      </c>
      <c r="D1305" s="82" t="str">
        <f t="shared" si="160"/>
        <v>NO</v>
      </c>
      <c r="E1305" s="27">
        <v>8164.74</v>
      </c>
      <c r="F1305" s="27">
        <v>2409.46</v>
      </c>
      <c r="G1305" s="27">
        <v>125.02</v>
      </c>
      <c r="H1305" s="27">
        <v>105.18</v>
      </c>
      <c r="I1305" s="27">
        <v>188.16</v>
      </c>
      <c r="J1305" s="27">
        <v>11143.36</v>
      </c>
      <c r="K1305" s="47">
        <f t="shared" si="161"/>
        <v>0.73270001148666108</v>
      </c>
      <c r="L1305" s="47">
        <f t="shared" si="162"/>
        <v>0.21622383195014788</v>
      </c>
      <c r="M1305" s="84">
        <f t="shared" si="163"/>
        <v>0.94892384343680902</v>
      </c>
      <c r="N1305" s="47">
        <f t="shared" si="164"/>
        <v>1.1219237285701978E-2</v>
      </c>
      <c r="O1305" s="47">
        <f t="shared" si="165"/>
        <v>9.4388048129110079E-3</v>
      </c>
      <c r="P1305" s="47">
        <f t="shared" si="166"/>
        <v>1.6885391838727278E-2</v>
      </c>
      <c r="Q1305" s="47">
        <f t="shared" si="167"/>
        <v>1</v>
      </c>
    </row>
    <row r="1306" spans="1:17" x14ac:dyDescent="0.35">
      <c r="A1306" s="82">
        <v>1303</v>
      </c>
      <c r="B1306" s="83" t="str">
        <f>_xlfn.XLOOKUP(A1306,'TAZs by City - CCAG Model'!$A:$A,'TAZs by City - CCAG Model'!$B:$B,"Unknown")</f>
        <v>Santa Clara</v>
      </c>
      <c r="C1306" s="82">
        <f>_xlfn.XLOOKUP(A1306,'TAZs by City - CCAG Model'!$A:$A,'TAZs by City - CCAG Model'!$C:$C,999)</f>
        <v>3</v>
      </c>
      <c r="D1306" s="82" t="str">
        <f t="shared" si="160"/>
        <v>NO</v>
      </c>
      <c r="E1306" s="27">
        <v>6884.72</v>
      </c>
      <c r="F1306" s="27">
        <v>2458.36</v>
      </c>
      <c r="G1306" s="27">
        <v>191.2</v>
      </c>
      <c r="H1306" s="27">
        <v>113.18</v>
      </c>
      <c r="I1306" s="27">
        <v>218.2</v>
      </c>
      <c r="J1306" s="27">
        <v>10093.959999999999</v>
      </c>
      <c r="K1306" s="47">
        <f t="shared" si="161"/>
        <v>0.68206333292384758</v>
      </c>
      <c r="L1306" s="47">
        <f t="shared" si="162"/>
        <v>0.24354762650139294</v>
      </c>
      <c r="M1306" s="84">
        <f t="shared" si="163"/>
        <v>0.92561095942524052</v>
      </c>
      <c r="N1306" s="47">
        <f t="shared" si="164"/>
        <v>1.8942020772818598E-2</v>
      </c>
      <c r="O1306" s="47">
        <f t="shared" si="165"/>
        <v>1.1212645978387076E-2</v>
      </c>
      <c r="P1306" s="47">
        <f t="shared" si="166"/>
        <v>2.1616887722955114E-2</v>
      </c>
      <c r="Q1306" s="47">
        <f t="shared" si="167"/>
        <v>1</v>
      </c>
    </row>
    <row r="1307" spans="1:17" x14ac:dyDescent="0.35">
      <c r="A1307" s="82">
        <v>1304</v>
      </c>
      <c r="B1307" s="83" t="str">
        <f>_xlfn.XLOOKUP(A1307,'TAZs by City - CCAG Model'!$A:$A,'TAZs by City - CCAG Model'!$B:$B,"Unknown")</f>
        <v>Santa Clara</v>
      </c>
      <c r="C1307" s="82">
        <f>_xlfn.XLOOKUP(A1307,'TAZs by City - CCAG Model'!$A:$A,'TAZs by City - CCAG Model'!$C:$C,999)</f>
        <v>3</v>
      </c>
      <c r="D1307" s="82" t="str">
        <f t="shared" si="160"/>
        <v>NO</v>
      </c>
      <c r="E1307" s="27">
        <v>3979.2</v>
      </c>
      <c r="F1307" s="27">
        <v>1168.1600000000001</v>
      </c>
      <c r="G1307" s="27">
        <v>62.86</v>
      </c>
      <c r="H1307" s="27">
        <v>51.94</v>
      </c>
      <c r="I1307" s="27">
        <v>90.88</v>
      </c>
      <c r="J1307" s="27">
        <v>5448.08</v>
      </c>
      <c r="K1307" s="47">
        <f t="shared" si="161"/>
        <v>0.7303857505763498</v>
      </c>
      <c r="L1307" s="47">
        <f t="shared" si="162"/>
        <v>0.21441682207309734</v>
      </c>
      <c r="M1307" s="84">
        <f t="shared" si="163"/>
        <v>0.94480257264944711</v>
      </c>
      <c r="N1307" s="47">
        <f t="shared" si="164"/>
        <v>1.1538009720855788E-2</v>
      </c>
      <c r="O1307" s="47">
        <f t="shared" si="165"/>
        <v>9.5336338673440921E-3</v>
      </c>
      <c r="P1307" s="47">
        <f t="shared" si="166"/>
        <v>1.6681106004317117E-2</v>
      </c>
      <c r="Q1307" s="47">
        <f t="shared" si="167"/>
        <v>1</v>
      </c>
    </row>
    <row r="1308" spans="1:17" x14ac:dyDescent="0.35">
      <c r="A1308" s="82">
        <v>1305</v>
      </c>
      <c r="B1308" s="83" t="str">
        <f>_xlfn.XLOOKUP(A1308,'TAZs by City - CCAG Model'!$A:$A,'TAZs by City - CCAG Model'!$B:$B,"Unknown")</f>
        <v>Santa Clara</v>
      </c>
      <c r="C1308" s="82">
        <f>_xlfn.XLOOKUP(A1308,'TAZs by City - CCAG Model'!$A:$A,'TAZs by City - CCAG Model'!$C:$C,999)</f>
        <v>3</v>
      </c>
      <c r="D1308" s="82" t="str">
        <f t="shared" si="160"/>
        <v>NO</v>
      </c>
      <c r="E1308" s="27">
        <v>519.62</v>
      </c>
      <c r="F1308" s="27">
        <v>166.28</v>
      </c>
      <c r="G1308" s="27">
        <v>2.9</v>
      </c>
      <c r="H1308" s="27">
        <v>2.52</v>
      </c>
      <c r="I1308" s="27">
        <v>10.48</v>
      </c>
      <c r="J1308" s="27">
        <v>746.76</v>
      </c>
      <c r="K1308" s="47">
        <f t="shared" si="161"/>
        <v>0.69583266377417108</v>
      </c>
      <c r="L1308" s="47">
        <f t="shared" si="162"/>
        <v>0.22266859499705394</v>
      </c>
      <c r="M1308" s="84">
        <f t="shared" si="163"/>
        <v>0.91850125877122502</v>
      </c>
      <c r="N1308" s="47">
        <f t="shared" si="164"/>
        <v>3.8834431410359419E-3</v>
      </c>
      <c r="O1308" s="47">
        <f t="shared" si="165"/>
        <v>3.3745781777277839E-3</v>
      </c>
      <c r="P1308" s="47">
        <f t="shared" si="166"/>
        <v>1.4033960040709198E-2</v>
      </c>
      <c r="Q1308" s="47">
        <f t="shared" si="167"/>
        <v>1</v>
      </c>
    </row>
    <row r="1309" spans="1:17" x14ac:dyDescent="0.35">
      <c r="A1309" s="82">
        <v>1306</v>
      </c>
      <c r="B1309" s="83" t="str">
        <f>_xlfn.XLOOKUP(A1309,'TAZs by City - CCAG Model'!$A:$A,'TAZs by City - CCAG Model'!$B:$B,"Unknown")</f>
        <v>Santa Clara</v>
      </c>
      <c r="C1309" s="82">
        <f>_xlfn.XLOOKUP(A1309,'TAZs by City - CCAG Model'!$A:$A,'TAZs by City - CCAG Model'!$C:$C,999)</f>
        <v>3</v>
      </c>
      <c r="D1309" s="82" t="str">
        <f t="shared" si="160"/>
        <v>NO</v>
      </c>
      <c r="E1309" s="27">
        <v>4176.92</v>
      </c>
      <c r="F1309" s="27">
        <v>1370.2</v>
      </c>
      <c r="G1309" s="27">
        <v>134.66</v>
      </c>
      <c r="H1309" s="27">
        <v>56.86</v>
      </c>
      <c r="I1309" s="27">
        <v>95.76</v>
      </c>
      <c r="J1309" s="27">
        <v>6009.26</v>
      </c>
      <c r="K1309" s="47">
        <f t="shared" si="161"/>
        <v>0.69508059228590535</v>
      </c>
      <c r="L1309" s="47">
        <f t="shared" si="162"/>
        <v>0.22801476388107686</v>
      </c>
      <c r="M1309" s="84">
        <f t="shared" si="163"/>
        <v>0.92309535616698224</v>
      </c>
      <c r="N1309" s="47">
        <f t="shared" si="164"/>
        <v>2.2408749163790549E-2</v>
      </c>
      <c r="O1309" s="47">
        <f t="shared" si="165"/>
        <v>9.4620635485900082E-3</v>
      </c>
      <c r="P1309" s="47">
        <f t="shared" si="166"/>
        <v>1.5935406356190281E-2</v>
      </c>
      <c r="Q1309" s="47">
        <f t="shared" si="167"/>
        <v>1</v>
      </c>
    </row>
    <row r="1310" spans="1:17" x14ac:dyDescent="0.35">
      <c r="A1310" s="82">
        <v>1307</v>
      </c>
      <c r="B1310" s="83" t="str">
        <f>_xlfn.XLOOKUP(A1310,'TAZs by City - CCAG Model'!$A:$A,'TAZs by City - CCAG Model'!$B:$B,"Unknown")</f>
        <v>Santa Clara</v>
      </c>
      <c r="C1310" s="82">
        <f>_xlfn.XLOOKUP(A1310,'TAZs by City - CCAG Model'!$A:$A,'TAZs by City - CCAG Model'!$C:$C,999)</f>
        <v>3</v>
      </c>
      <c r="D1310" s="82" t="str">
        <f t="shared" si="160"/>
        <v>NO</v>
      </c>
      <c r="E1310" s="27">
        <v>2243.62</v>
      </c>
      <c r="F1310" s="27">
        <v>663.1</v>
      </c>
      <c r="G1310" s="27">
        <v>58.4</v>
      </c>
      <c r="H1310" s="27">
        <v>26.58</v>
      </c>
      <c r="I1310" s="27">
        <v>35.56</v>
      </c>
      <c r="J1310" s="27">
        <v>3129.74</v>
      </c>
      <c r="K1310" s="47">
        <f t="shared" si="161"/>
        <v>0.71687104999137308</v>
      </c>
      <c r="L1310" s="47">
        <f t="shared" si="162"/>
        <v>0.21187063462140626</v>
      </c>
      <c r="M1310" s="84">
        <f t="shared" si="163"/>
        <v>0.92874168461277928</v>
      </c>
      <c r="N1310" s="47">
        <f t="shared" si="164"/>
        <v>1.8659696971633426E-2</v>
      </c>
      <c r="O1310" s="47">
        <f t="shared" si="165"/>
        <v>8.4927182449660351E-3</v>
      </c>
      <c r="P1310" s="47">
        <f t="shared" si="166"/>
        <v>1.1361966169713779E-2</v>
      </c>
      <c r="Q1310" s="47">
        <f t="shared" si="167"/>
        <v>1</v>
      </c>
    </row>
    <row r="1311" spans="1:17" x14ac:dyDescent="0.35">
      <c r="A1311" s="82">
        <v>1308</v>
      </c>
      <c r="B1311" s="83" t="str">
        <f>_xlfn.XLOOKUP(A1311,'TAZs by City - CCAG Model'!$A:$A,'TAZs by City - CCAG Model'!$B:$B,"Unknown")</f>
        <v>Santa Clara</v>
      </c>
      <c r="C1311" s="82">
        <f>_xlfn.XLOOKUP(A1311,'TAZs by City - CCAG Model'!$A:$A,'TAZs by City - CCAG Model'!$C:$C,999)</f>
        <v>3</v>
      </c>
      <c r="D1311" s="82" t="str">
        <f t="shared" si="160"/>
        <v>NO</v>
      </c>
      <c r="E1311" s="27">
        <v>6322.64</v>
      </c>
      <c r="F1311" s="27">
        <v>1860.54</v>
      </c>
      <c r="G1311" s="27">
        <v>94.9</v>
      </c>
      <c r="H1311" s="27">
        <v>80.319999999999993</v>
      </c>
      <c r="I1311" s="27">
        <v>205.84</v>
      </c>
      <c r="J1311" s="27">
        <v>8691.76</v>
      </c>
      <c r="K1311" s="47">
        <f t="shared" si="161"/>
        <v>0.72742919730871536</v>
      </c>
      <c r="L1311" s="47">
        <f t="shared" si="162"/>
        <v>0.2140579123215551</v>
      </c>
      <c r="M1311" s="84">
        <f t="shared" si="163"/>
        <v>0.94148710963027049</v>
      </c>
      <c r="N1311" s="47">
        <f t="shared" si="164"/>
        <v>1.0918387070052556E-2</v>
      </c>
      <c r="O1311" s="47">
        <f t="shared" si="165"/>
        <v>9.2409362430623931E-3</v>
      </c>
      <c r="P1311" s="47">
        <f t="shared" si="166"/>
        <v>2.3682200152788387E-2</v>
      </c>
      <c r="Q1311" s="47">
        <f t="shared" si="167"/>
        <v>1</v>
      </c>
    </row>
    <row r="1312" spans="1:17" x14ac:dyDescent="0.35">
      <c r="A1312" s="82">
        <v>1309</v>
      </c>
      <c r="B1312" s="83" t="str">
        <f>_xlfn.XLOOKUP(A1312,'TAZs by City - CCAG Model'!$A:$A,'TAZs by City - CCAG Model'!$B:$B,"Unknown")</f>
        <v>Santa Clara</v>
      </c>
      <c r="C1312" s="82">
        <f>_xlfn.XLOOKUP(A1312,'TAZs by City - CCAG Model'!$A:$A,'TAZs by City - CCAG Model'!$C:$C,999)</f>
        <v>3</v>
      </c>
      <c r="D1312" s="82" t="str">
        <f t="shared" si="160"/>
        <v>NO</v>
      </c>
      <c r="E1312" s="27">
        <v>5797.24</v>
      </c>
      <c r="F1312" s="27">
        <v>3911.64</v>
      </c>
      <c r="G1312" s="27">
        <v>124.34</v>
      </c>
      <c r="H1312" s="27">
        <v>152.66</v>
      </c>
      <c r="I1312" s="27">
        <v>534.91999999999996</v>
      </c>
      <c r="J1312" s="27">
        <v>10680.12</v>
      </c>
      <c r="K1312" s="47">
        <f t="shared" si="161"/>
        <v>0.54280663513144045</v>
      </c>
      <c r="L1312" s="47">
        <f t="shared" si="162"/>
        <v>0.36625431174930617</v>
      </c>
      <c r="M1312" s="84">
        <f t="shared" si="163"/>
        <v>0.90906094688074657</v>
      </c>
      <c r="N1312" s="47">
        <f t="shared" si="164"/>
        <v>1.1642191286240229E-2</v>
      </c>
      <c r="O1312" s="47">
        <f t="shared" si="165"/>
        <v>1.4293846885615516E-2</v>
      </c>
      <c r="P1312" s="47">
        <f t="shared" si="166"/>
        <v>5.0085579562776442E-2</v>
      </c>
      <c r="Q1312" s="47">
        <f t="shared" si="167"/>
        <v>1</v>
      </c>
    </row>
    <row r="1313" spans="1:17" x14ac:dyDescent="0.35">
      <c r="A1313" s="82">
        <v>1310</v>
      </c>
      <c r="B1313" s="83" t="str">
        <f>_xlfn.XLOOKUP(A1313,'TAZs by City - CCAG Model'!$A:$A,'TAZs by City - CCAG Model'!$B:$B,"Unknown")</f>
        <v>Santa Clara</v>
      </c>
      <c r="C1313" s="82">
        <f>_xlfn.XLOOKUP(A1313,'TAZs by City - CCAG Model'!$A:$A,'TAZs by City - CCAG Model'!$C:$C,999)</f>
        <v>3</v>
      </c>
      <c r="D1313" s="82" t="str">
        <f t="shared" si="160"/>
        <v>NO</v>
      </c>
      <c r="E1313" s="27">
        <v>5615.54</v>
      </c>
      <c r="F1313" s="27">
        <v>1642.88</v>
      </c>
      <c r="G1313" s="27">
        <v>80.88</v>
      </c>
      <c r="H1313" s="27">
        <v>69.319999999999993</v>
      </c>
      <c r="I1313" s="27">
        <v>175.54</v>
      </c>
      <c r="J1313" s="27">
        <v>7694.1</v>
      </c>
      <c r="K1313" s="47">
        <f t="shared" si="161"/>
        <v>0.72985014491623446</v>
      </c>
      <c r="L1313" s="47">
        <f t="shared" si="162"/>
        <v>0.21352464875683966</v>
      </c>
      <c r="M1313" s="84">
        <f t="shared" si="163"/>
        <v>0.94337479367307409</v>
      </c>
      <c r="N1313" s="47">
        <f t="shared" si="164"/>
        <v>1.0511950715483291E-2</v>
      </c>
      <c r="O1313" s="47">
        <f t="shared" si="165"/>
        <v>9.0095007863167861E-3</v>
      </c>
      <c r="P1313" s="47">
        <f t="shared" si="166"/>
        <v>2.2814884131997244E-2</v>
      </c>
      <c r="Q1313" s="47">
        <f t="shared" si="167"/>
        <v>1</v>
      </c>
    </row>
    <row r="1314" spans="1:17" x14ac:dyDescent="0.35">
      <c r="A1314" s="82">
        <v>1311</v>
      </c>
      <c r="B1314" s="83" t="str">
        <f>_xlfn.XLOOKUP(A1314,'TAZs by City - CCAG Model'!$A:$A,'TAZs by City - CCAG Model'!$B:$B,"Unknown")</f>
        <v>Santa Clara</v>
      </c>
      <c r="C1314" s="82">
        <f>_xlfn.XLOOKUP(A1314,'TAZs by City - CCAG Model'!$A:$A,'TAZs by City - CCAG Model'!$C:$C,999)</f>
        <v>3</v>
      </c>
      <c r="D1314" s="82" t="str">
        <f t="shared" si="160"/>
        <v>NO</v>
      </c>
      <c r="E1314" s="27">
        <v>7458.92</v>
      </c>
      <c r="F1314" s="27">
        <v>3801.54</v>
      </c>
      <c r="G1314" s="27">
        <v>170.6</v>
      </c>
      <c r="H1314" s="27">
        <v>158.97999999999999</v>
      </c>
      <c r="I1314" s="27">
        <v>399.5</v>
      </c>
      <c r="J1314" s="27">
        <v>12188.18</v>
      </c>
      <c r="K1314" s="47">
        <f t="shared" si="161"/>
        <v>0.61197980338327784</v>
      </c>
      <c r="L1314" s="47">
        <f t="shared" si="162"/>
        <v>0.31190382813512763</v>
      </c>
      <c r="M1314" s="84">
        <f t="shared" si="163"/>
        <v>0.92388363151840547</v>
      </c>
      <c r="N1314" s="47">
        <f t="shared" si="164"/>
        <v>1.3997167747768739E-2</v>
      </c>
      <c r="O1314" s="47">
        <f t="shared" si="165"/>
        <v>1.3043785044198558E-2</v>
      </c>
      <c r="P1314" s="47">
        <f t="shared" si="166"/>
        <v>3.2777658354241568E-2</v>
      </c>
      <c r="Q1314" s="47">
        <f t="shared" si="167"/>
        <v>1</v>
      </c>
    </row>
    <row r="1315" spans="1:17" x14ac:dyDescent="0.35">
      <c r="A1315" s="82">
        <v>1312</v>
      </c>
      <c r="B1315" s="83" t="str">
        <f>_xlfn.XLOOKUP(A1315,'TAZs by City - CCAG Model'!$A:$A,'TAZs by City - CCAG Model'!$B:$B,"Unknown")</f>
        <v>Santa Clara</v>
      </c>
      <c r="C1315" s="82">
        <f>_xlfn.XLOOKUP(A1315,'TAZs by City - CCAG Model'!$A:$A,'TAZs by City - CCAG Model'!$C:$C,999)</f>
        <v>3</v>
      </c>
      <c r="D1315" s="82" t="str">
        <f t="shared" si="160"/>
        <v>NO</v>
      </c>
      <c r="E1315" s="27">
        <v>5826.6</v>
      </c>
      <c r="F1315" s="27">
        <v>3441.56</v>
      </c>
      <c r="G1315" s="27">
        <v>256.16000000000003</v>
      </c>
      <c r="H1315" s="27">
        <v>134.46</v>
      </c>
      <c r="I1315" s="27">
        <v>2318.54</v>
      </c>
      <c r="J1315" s="27">
        <v>12268.24</v>
      </c>
      <c r="K1315" s="47">
        <f t="shared" si="161"/>
        <v>0.47493364981448033</v>
      </c>
      <c r="L1315" s="47">
        <f t="shared" si="162"/>
        <v>0.28052597601611967</v>
      </c>
      <c r="M1315" s="84">
        <f t="shared" si="163"/>
        <v>0.7554596258306</v>
      </c>
      <c r="N1315" s="47">
        <f t="shared" si="164"/>
        <v>2.0879930617594702E-2</v>
      </c>
      <c r="O1315" s="47">
        <f t="shared" si="165"/>
        <v>1.0960007303411085E-2</v>
      </c>
      <c r="P1315" s="47">
        <f t="shared" si="166"/>
        <v>0.18898717338428331</v>
      </c>
      <c r="Q1315" s="47">
        <f t="shared" si="167"/>
        <v>1</v>
      </c>
    </row>
    <row r="1316" spans="1:17" x14ac:dyDescent="0.35">
      <c r="A1316" s="82">
        <v>1313</v>
      </c>
      <c r="B1316" s="83" t="str">
        <f>_xlfn.XLOOKUP(A1316,'TAZs by City - CCAG Model'!$A:$A,'TAZs by City - CCAG Model'!$B:$B,"Unknown")</f>
        <v>Santa Clara</v>
      </c>
      <c r="C1316" s="82">
        <f>_xlfn.XLOOKUP(A1316,'TAZs by City - CCAG Model'!$A:$A,'TAZs by City - CCAG Model'!$C:$C,999)</f>
        <v>3</v>
      </c>
      <c r="D1316" s="82" t="str">
        <f t="shared" si="160"/>
        <v>NO</v>
      </c>
      <c r="E1316" s="27">
        <v>2536.02</v>
      </c>
      <c r="F1316" s="27">
        <v>1671.18</v>
      </c>
      <c r="G1316" s="27">
        <v>106.74</v>
      </c>
      <c r="H1316" s="27">
        <v>42.54</v>
      </c>
      <c r="I1316" s="27">
        <v>194.56</v>
      </c>
      <c r="J1316" s="27">
        <v>4690.5600000000004</v>
      </c>
      <c r="K1316" s="47">
        <f t="shared" si="161"/>
        <v>0.5406646541137945</v>
      </c>
      <c r="L1316" s="47">
        <f t="shared" si="162"/>
        <v>0.35628581661891118</v>
      </c>
      <c r="M1316" s="84">
        <f t="shared" si="163"/>
        <v>0.89695047073270562</v>
      </c>
      <c r="N1316" s="47">
        <f t="shared" si="164"/>
        <v>2.2756344658207119E-2</v>
      </c>
      <c r="O1316" s="47">
        <f t="shared" si="165"/>
        <v>9.0692795742939002E-3</v>
      </c>
      <c r="P1316" s="47">
        <f t="shared" si="166"/>
        <v>4.1479055805703366E-2</v>
      </c>
      <c r="Q1316" s="47">
        <f t="shared" si="167"/>
        <v>1</v>
      </c>
    </row>
    <row r="1317" spans="1:17" x14ac:dyDescent="0.35">
      <c r="A1317" s="82">
        <v>1314</v>
      </c>
      <c r="B1317" s="83" t="str">
        <f>_xlfn.XLOOKUP(A1317,'TAZs by City - CCAG Model'!$A:$A,'TAZs by City - CCAG Model'!$B:$B,"Unknown")</f>
        <v>Santa Clara</v>
      </c>
      <c r="C1317" s="82">
        <f>_xlfn.XLOOKUP(A1317,'TAZs by City - CCAG Model'!$A:$A,'TAZs by City - CCAG Model'!$C:$C,999)</f>
        <v>3</v>
      </c>
      <c r="D1317" s="82" t="str">
        <f t="shared" si="160"/>
        <v>NO</v>
      </c>
      <c r="E1317" s="27">
        <v>5622.06</v>
      </c>
      <c r="F1317" s="27">
        <v>3768.72</v>
      </c>
      <c r="G1317" s="27">
        <v>254.16</v>
      </c>
      <c r="H1317" s="27">
        <v>128.22</v>
      </c>
      <c r="I1317" s="27">
        <v>484.48</v>
      </c>
      <c r="J1317" s="27">
        <v>10545.92</v>
      </c>
      <c r="K1317" s="47">
        <f t="shared" si="161"/>
        <v>0.53310284925355023</v>
      </c>
      <c r="L1317" s="47">
        <f t="shared" si="162"/>
        <v>0.35736284743294089</v>
      </c>
      <c r="M1317" s="84">
        <f t="shared" si="163"/>
        <v>0.89046569668649111</v>
      </c>
      <c r="N1317" s="47">
        <f t="shared" si="164"/>
        <v>2.4100315572278187E-2</v>
      </c>
      <c r="O1317" s="47">
        <f t="shared" si="165"/>
        <v>1.2158256463163005E-2</v>
      </c>
      <c r="P1317" s="47">
        <f t="shared" si="166"/>
        <v>4.5940041267144072E-2</v>
      </c>
      <c r="Q1317" s="47">
        <f t="shared" si="167"/>
        <v>1</v>
      </c>
    </row>
    <row r="1318" spans="1:17" x14ac:dyDescent="0.35">
      <c r="A1318" s="82">
        <v>1315</v>
      </c>
      <c r="B1318" s="83" t="str">
        <f>_xlfn.XLOOKUP(A1318,'TAZs by City - CCAG Model'!$A:$A,'TAZs by City - CCAG Model'!$B:$B,"Unknown")</f>
        <v>Santa Clara</v>
      </c>
      <c r="C1318" s="82">
        <f>_xlfn.XLOOKUP(A1318,'TAZs by City - CCAG Model'!$A:$A,'TAZs by City - CCAG Model'!$C:$C,999)</f>
        <v>3</v>
      </c>
      <c r="D1318" s="82" t="str">
        <f t="shared" si="160"/>
        <v>NO</v>
      </c>
      <c r="E1318" s="27">
        <v>5862.56</v>
      </c>
      <c r="F1318" s="27">
        <v>3980.9</v>
      </c>
      <c r="G1318" s="27">
        <v>78.62</v>
      </c>
      <c r="H1318" s="27">
        <v>129.19999999999999</v>
      </c>
      <c r="I1318" s="27">
        <v>518.72</v>
      </c>
      <c r="J1318" s="27">
        <v>10677.04</v>
      </c>
      <c r="K1318" s="47">
        <f t="shared" si="161"/>
        <v>0.54908101870930515</v>
      </c>
      <c r="L1318" s="47">
        <f t="shared" si="162"/>
        <v>0.3728467815049864</v>
      </c>
      <c r="M1318" s="84">
        <f t="shared" si="163"/>
        <v>0.92192780021429166</v>
      </c>
      <c r="N1318" s="47">
        <f t="shared" si="164"/>
        <v>7.3634640312296292E-3</v>
      </c>
      <c r="O1318" s="47">
        <f t="shared" si="165"/>
        <v>1.2100732038092952E-2</v>
      </c>
      <c r="P1318" s="47">
        <f t="shared" si="166"/>
        <v>4.8582753272442547E-2</v>
      </c>
      <c r="Q1318" s="47">
        <f t="shared" si="167"/>
        <v>1</v>
      </c>
    </row>
    <row r="1319" spans="1:17" x14ac:dyDescent="0.35">
      <c r="A1319" s="82">
        <v>1316</v>
      </c>
      <c r="B1319" s="83" t="str">
        <f>_xlfn.XLOOKUP(A1319,'TAZs by City - CCAG Model'!$A:$A,'TAZs by City - CCAG Model'!$B:$B,"Unknown")</f>
        <v>Santa Clara</v>
      </c>
      <c r="C1319" s="82">
        <f>_xlfn.XLOOKUP(A1319,'TAZs by City - CCAG Model'!$A:$A,'TAZs by City - CCAG Model'!$C:$C,999)</f>
        <v>3</v>
      </c>
      <c r="D1319" s="82" t="str">
        <f t="shared" si="160"/>
        <v>NO</v>
      </c>
      <c r="E1319" s="27">
        <v>13954.5</v>
      </c>
      <c r="F1319" s="27">
        <v>8263.7199999999993</v>
      </c>
      <c r="G1319" s="27">
        <v>291.16000000000003</v>
      </c>
      <c r="H1319" s="27">
        <v>353.64</v>
      </c>
      <c r="I1319" s="27">
        <v>3818.56</v>
      </c>
      <c r="J1319" s="27">
        <v>27007.72</v>
      </c>
      <c r="K1319" s="47">
        <f t="shared" si="161"/>
        <v>0.51668559952487658</v>
      </c>
      <c r="L1319" s="47">
        <f t="shared" si="162"/>
        <v>0.30597621717049789</v>
      </c>
      <c r="M1319" s="84">
        <f t="shared" si="163"/>
        <v>0.82266181669537453</v>
      </c>
      <c r="N1319" s="47">
        <f t="shared" si="164"/>
        <v>1.0780621244592288E-2</v>
      </c>
      <c r="O1319" s="47">
        <f t="shared" si="165"/>
        <v>1.3094033854023959E-2</v>
      </c>
      <c r="P1319" s="47">
        <f t="shared" si="166"/>
        <v>0.1413877217328971</v>
      </c>
      <c r="Q1319" s="47">
        <f t="shared" si="167"/>
        <v>1</v>
      </c>
    </row>
    <row r="1320" spans="1:17" x14ac:dyDescent="0.35">
      <c r="A1320" s="82">
        <v>1317</v>
      </c>
      <c r="B1320" s="83" t="str">
        <f>_xlfn.XLOOKUP(A1320,'TAZs by City - CCAG Model'!$A:$A,'TAZs by City - CCAG Model'!$B:$B,"Unknown")</f>
        <v>Santa Clara</v>
      </c>
      <c r="C1320" s="82">
        <f>_xlfn.XLOOKUP(A1320,'TAZs by City - CCAG Model'!$A:$A,'TAZs by City - CCAG Model'!$C:$C,999)</f>
        <v>3</v>
      </c>
      <c r="D1320" s="82" t="str">
        <f t="shared" si="160"/>
        <v>NO</v>
      </c>
      <c r="E1320" s="27">
        <v>2673.8</v>
      </c>
      <c r="F1320" s="27">
        <v>1400.68</v>
      </c>
      <c r="G1320" s="27">
        <v>30.02</v>
      </c>
      <c r="H1320" s="27">
        <v>48.64</v>
      </c>
      <c r="I1320" s="27">
        <v>995.38</v>
      </c>
      <c r="J1320" s="27">
        <v>5219.08</v>
      </c>
      <c r="K1320" s="47">
        <f t="shared" si="161"/>
        <v>0.51231251484936047</v>
      </c>
      <c r="L1320" s="47">
        <f t="shared" si="162"/>
        <v>0.26837680204173919</v>
      </c>
      <c r="M1320" s="84">
        <f t="shared" si="163"/>
        <v>0.78068931689109966</v>
      </c>
      <c r="N1320" s="47">
        <f t="shared" si="164"/>
        <v>5.7519716118549632E-3</v>
      </c>
      <c r="O1320" s="47">
        <f t="shared" si="165"/>
        <v>9.3196502065498142E-3</v>
      </c>
      <c r="P1320" s="47">
        <f t="shared" si="166"/>
        <v>0.19071943714217832</v>
      </c>
      <c r="Q1320" s="47">
        <f t="shared" si="167"/>
        <v>1</v>
      </c>
    </row>
    <row r="1321" spans="1:17" x14ac:dyDescent="0.35">
      <c r="A1321" s="82">
        <v>1318</v>
      </c>
      <c r="B1321" s="83" t="str">
        <f>_xlfn.XLOOKUP(A1321,'TAZs by City - CCAG Model'!$A:$A,'TAZs by City - CCAG Model'!$B:$B,"Unknown")</f>
        <v>Santa Clara</v>
      </c>
      <c r="C1321" s="82">
        <f>_xlfn.XLOOKUP(A1321,'TAZs by City - CCAG Model'!$A:$A,'TAZs by City - CCAG Model'!$C:$C,999)</f>
        <v>3</v>
      </c>
      <c r="D1321" s="82" t="str">
        <f t="shared" si="160"/>
        <v>NO</v>
      </c>
      <c r="E1321" s="27">
        <v>10169.52</v>
      </c>
      <c r="F1321" s="27">
        <v>3504.72</v>
      </c>
      <c r="G1321" s="27">
        <v>143.08000000000001</v>
      </c>
      <c r="H1321" s="27">
        <v>161.82</v>
      </c>
      <c r="I1321" s="27">
        <v>912.76</v>
      </c>
      <c r="J1321" s="27">
        <v>15058.7</v>
      </c>
      <c r="K1321" s="47">
        <f t="shared" si="161"/>
        <v>0.67532522727725497</v>
      </c>
      <c r="L1321" s="47">
        <f t="shared" si="162"/>
        <v>0.2327372216725215</v>
      </c>
      <c r="M1321" s="84">
        <f t="shared" si="163"/>
        <v>0.9080624489497765</v>
      </c>
      <c r="N1321" s="47">
        <f t="shared" si="164"/>
        <v>9.5014841918625113E-3</v>
      </c>
      <c r="O1321" s="47">
        <f t="shared" si="165"/>
        <v>1.0745947525350793E-2</v>
      </c>
      <c r="P1321" s="47">
        <f t="shared" si="166"/>
        <v>6.0613465969838028E-2</v>
      </c>
      <c r="Q1321" s="47">
        <f t="shared" si="167"/>
        <v>1</v>
      </c>
    </row>
    <row r="1322" spans="1:17" x14ac:dyDescent="0.35">
      <c r="A1322" s="82">
        <v>1319</v>
      </c>
      <c r="B1322" s="83" t="str">
        <f>_xlfn.XLOOKUP(A1322,'TAZs by City - CCAG Model'!$A:$A,'TAZs by City - CCAG Model'!$B:$B,"Unknown")</f>
        <v>Santa Clara</v>
      </c>
      <c r="C1322" s="82">
        <f>_xlfn.XLOOKUP(A1322,'TAZs by City - CCAG Model'!$A:$A,'TAZs by City - CCAG Model'!$C:$C,999)</f>
        <v>3</v>
      </c>
      <c r="D1322" s="82" t="str">
        <f t="shared" si="160"/>
        <v>NO</v>
      </c>
      <c r="E1322" s="27">
        <v>7182.32</v>
      </c>
      <c r="F1322" s="27">
        <v>2110.14</v>
      </c>
      <c r="G1322" s="27">
        <v>139.91999999999999</v>
      </c>
      <c r="H1322" s="27">
        <v>83.5</v>
      </c>
      <c r="I1322" s="27">
        <v>292.27999999999997</v>
      </c>
      <c r="J1322" s="27">
        <v>9978.34</v>
      </c>
      <c r="K1322" s="47">
        <f t="shared" si="161"/>
        <v>0.7197910674521012</v>
      </c>
      <c r="L1322" s="47">
        <f t="shared" si="162"/>
        <v>0.21147204845695775</v>
      </c>
      <c r="M1322" s="84">
        <f t="shared" si="163"/>
        <v>0.93126311590905897</v>
      </c>
      <c r="N1322" s="47">
        <f t="shared" si="164"/>
        <v>1.4022372458745642E-2</v>
      </c>
      <c r="O1322" s="47">
        <f t="shared" si="165"/>
        <v>8.3681253595287389E-3</v>
      </c>
      <c r="P1322" s="47">
        <f t="shared" si="166"/>
        <v>2.9291445270455803E-2</v>
      </c>
      <c r="Q1322" s="47">
        <f t="shared" si="167"/>
        <v>1</v>
      </c>
    </row>
    <row r="1323" spans="1:17" x14ac:dyDescent="0.35">
      <c r="A1323" s="82">
        <v>1320</v>
      </c>
      <c r="B1323" s="83" t="str">
        <f>_xlfn.XLOOKUP(A1323,'TAZs by City - CCAG Model'!$A:$A,'TAZs by City - CCAG Model'!$B:$B,"Unknown")</f>
        <v>Santa Clara</v>
      </c>
      <c r="C1323" s="82">
        <f>_xlfn.XLOOKUP(A1323,'TAZs by City - CCAG Model'!$A:$A,'TAZs by City - CCAG Model'!$C:$C,999)</f>
        <v>3</v>
      </c>
      <c r="D1323" s="82" t="str">
        <f t="shared" si="160"/>
        <v>NO</v>
      </c>
      <c r="E1323" s="27">
        <v>6052.02</v>
      </c>
      <c r="F1323" s="27">
        <v>4280.5</v>
      </c>
      <c r="G1323" s="27">
        <v>79.319999999999993</v>
      </c>
      <c r="H1323" s="27">
        <v>136.04</v>
      </c>
      <c r="I1323" s="27">
        <v>604.67999999999995</v>
      </c>
      <c r="J1323" s="27">
        <v>11251.46</v>
      </c>
      <c r="K1323" s="47">
        <f t="shared" si="161"/>
        <v>0.53788752748532198</v>
      </c>
      <c r="L1323" s="47">
        <f t="shared" si="162"/>
        <v>0.38043951629388545</v>
      </c>
      <c r="M1323" s="84">
        <f t="shared" si="163"/>
        <v>0.91832704377920749</v>
      </c>
      <c r="N1323" s="47">
        <f t="shared" si="164"/>
        <v>7.0497517655486487E-3</v>
      </c>
      <c r="O1323" s="47">
        <f t="shared" si="165"/>
        <v>1.2090875317514349E-2</v>
      </c>
      <c r="P1323" s="47">
        <f t="shared" si="166"/>
        <v>5.3742358769439696E-2</v>
      </c>
      <c r="Q1323" s="47">
        <f t="shared" si="167"/>
        <v>1</v>
      </c>
    </row>
    <row r="1324" spans="1:17" x14ac:dyDescent="0.35">
      <c r="A1324" s="82">
        <v>1321</v>
      </c>
      <c r="B1324" s="83" t="str">
        <f>_xlfn.XLOOKUP(A1324,'TAZs by City - CCAG Model'!$A:$A,'TAZs by City - CCAG Model'!$B:$B,"Unknown")</f>
        <v>Santa Clara</v>
      </c>
      <c r="C1324" s="82">
        <f>_xlfn.XLOOKUP(A1324,'TAZs by City - CCAG Model'!$A:$A,'TAZs by City - CCAG Model'!$C:$C,999)</f>
        <v>3</v>
      </c>
      <c r="D1324" s="82" t="str">
        <f t="shared" si="160"/>
        <v>NO</v>
      </c>
      <c r="E1324" s="27">
        <v>12150.86</v>
      </c>
      <c r="F1324" s="27">
        <v>3857.94</v>
      </c>
      <c r="G1324" s="27">
        <v>331.14</v>
      </c>
      <c r="H1324" s="27">
        <v>148.34</v>
      </c>
      <c r="I1324" s="27">
        <v>623.22</v>
      </c>
      <c r="J1324" s="27">
        <v>17464.759999999998</v>
      </c>
      <c r="K1324" s="47">
        <f t="shared" si="161"/>
        <v>0.69573587040417395</v>
      </c>
      <c r="L1324" s="47">
        <f t="shared" si="162"/>
        <v>0.22089854083308333</v>
      </c>
      <c r="M1324" s="84">
        <f t="shared" si="163"/>
        <v>0.91663441123725731</v>
      </c>
      <c r="N1324" s="47">
        <f t="shared" si="164"/>
        <v>1.8960466676896791E-2</v>
      </c>
      <c r="O1324" s="47">
        <f t="shared" si="165"/>
        <v>8.4936752637883375E-3</v>
      </c>
      <c r="P1324" s="47">
        <f t="shared" si="166"/>
        <v>3.5684429674384309E-2</v>
      </c>
      <c r="Q1324" s="47">
        <f t="shared" si="167"/>
        <v>1</v>
      </c>
    </row>
    <row r="1325" spans="1:17" x14ac:dyDescent="0.35">
      <c r="A1325" s="82">
        <v>1322</v>
      </c>
      <c r="B1325" s="83" t="str">
        <f>_xlfn.XLOOKUP(A1325,'TAZs by City - CCAG Model'!$A:$A,'TAZs by City - CCAG Model'!$B:$B,"Unknown")</f>
        <v>Santa Clara</v>
      </c>
      <c r="C1325" s="82">
        <f>_xlfn.XLOOKUP(A1325,'TAZs by City - CCAG Model'!$A:$A,'TAZs by City - CCAG Model'!$C:$C,999)</f>
        <v>3</v>
      </c>
      <c r="D1325" s="82" t="str">
        <f t="shared" si="160"/>
        <v>NO</v>
      </c>
      <c r="E1325" s="27">
        <v>10047.08</v>
      </c>
      <c r="F1325" s="27">
        <v>3144.26</v>
      </c>
      <c r="G1325" s="27">
        <v>283.58</v>
      </c>
      <c r="H1325" s="27">
        <v>109.76</v>
      </c>
      <c r="I1325" s="27">
        <v>488.82</v>
      </c>
      <c r="J1325" s="27">
        <v>14382.22</v>
      </c>
      <c r="K1325" s="47">
        <f t="shared" si="161"/>
        <v>0.69857643673925174</v>
      </c>
      <c r="L1325" s="47">
        <f t="shared" si="162"/>
        <v>0.21862132549773264</v>
      </c>
      <c r="M1325" s="84">
        <f t="shared" si="163"/>
        <v>0.91719776223698435</v>
      </c>
      <c r="N1325" s="47">
        <f t="shared" si="164"/>
        <v>1.9717401068819695E-2</v>
      </c>
      <c r="O1325" s="47">
        <f t="shared" si="165"/>
        <v>7.6316451841231753E-3</v>
      </c>
      <c r="P1325" s="47">
        <f t="shared" si="166"/>
        <v>3.3987798823825528E-2</v>
      </c>
      <c r="Q1325" s="47">
        <f t="shared" si="167"/>
        <v>1</v>
      </c>
    </row>
    <row r="1326" spans="1:17" x14ac:dyDescent="0.35">
      <c r="A1326" s="82">
        <v>1323</v>
      </c>
      <c r="B1326" s="83" t="str">
        <f>_xlfn.XLOOKUP(A1326,'TAZs by City - CCAG Model'!$A:$A,'TAZs by City - CCAG Model'!$B:$B,"Unknown")</f>
        <v>Santa Clara</v>
      </c>
      <c r="C1326" s="82">
        <f>_xlfn.XLOOKUP(A1326,'TAZs by City - CCAG Model'!$A:$A,'TAZs by City - CCAG Model'!$C:$C,999)</f>
        <v>3</v>
      </c>
      <c r="D1326" s="82" t="str">
        <f t="shared" si="160"/>
        <v>NO</v>
      </c>
      <c r="E1326" s="27">
        <v>8137.68</v>
      </c>
      <c r="F1326" s="27">
        <v>2190.58</v>
      </c>
      <c r="G1326" s="27">
        <v>182.72</v>
      </c>
      <c r="H1326" s="27">
        <v>83.46</v>
      </c>
      <c r="I1326" s="27">
        <v>151.58000000000001</v>
      </c>
      <c r="J1326" s="27">
        <v>10952.5</v>
      </c>
      <c r="K1326" s="47">
        <f t="shared" si="161"/>
        <v>0.74299748915772656</v>
      </c>
      <c r="L1326" s="47">
        <f t="shared" si="162"/>
        <v>0.20000730426843186</v>
      </c>
      <c r="M1326" s="84">
        <f t="shared" si="163"/>
        <v>0.94300479342615839</v>
      </c>
      <c r="N1326" s="47">
        <f t="shared" si="164"/>
        <v>1.6682949098379366E-2</v>
      </c>
      <c r="O1326" s="47">
        <f t="shared" si="165"/>
        <v>7.620178041543026E-3</v>
      </c>
      <c r="P1326" s="47">
        <f t="shared" si="166"/>
        <v>1.3839762611275966E-2</v>
      </c>
      <c r="Q1326" s="47">
        <f t="shared" si="167"/>
        <v>1</v>
      </c>
    </row>
    <row r="1327" spans="1:17" x14ac:dyDescent="0.35">
      <c r="A1327" s="82">
        <v>1324</v>
      </c>
      <c r="B1327" s="83" t="str">
        <f>_xlfn.XLOOKUP(A1327,'TAZs by City - CCAG Model'!$A:$A,'TAZs by City - CCAG Model'!$B:$B,"Unknown")</f>
        <v>Santa Clara</v>
      </c>
      <c r="C1327" s="82">
        <f>_xlfn.XLOOKUP(A1327,'TAZs by City - CCAG Model'!$A:$A,'TAZs by City - CCAG Model'!$C:$C,999)</f>
        <v>3</v>
      </c>
      <c r="D1327" s="82" t="str">
        <f t="shared" si="160"/>
        <v>NO</v>
      </c>
      <c r="E1327" s="27">
        <v>1660.94</v>
      </c>
      <c r="F1327" s="27">
        <v>376.2</v>
      </c>
      <c r="G1327" s="27">
        <v>15.08</v>
      </c>
      <c r="H1327" s="27">
        <v>14.74</v>
      </c>
      <c r="I1327" s="27">
        <v>26.14</v>
      </c>
      <c r="J1327" s="27">
        <v>2157.84</v>
      </c>
      <c r="K1327" s="47">
        <f t="shared" si="161"/>
        <v>0.76972342713083453</v>
      </c>
      <c r="L1327" s="47">
        <f t="shared" si="162"/>
        <v>0.17434100767434099</v>
      </c>
      <c r="M1327" s="84">
        <f t="shared" si="163"/>
        <v>0.94406443480517555</v>
      </c>
      <c r="N1327" s="47">
        <f t="shared" si="164"/>
        <v>6.988469951432914E-3</v>
      </c>
      <c r="O1327" s="47">
        <f t="shared" si="165"/>
        <v>6.8309049790531273E-3</v>
      </c>
      <c r="P1327" s="47">
        <f t="shared" si="166"/>
        <v>1.2113965817669521E-2</v>
      </c>
      <c r="Q1327" s="47">
        <f t="shared" si="167"/>
        <v>1</v>
      </c>
    </row>
    <row r="1328" spans="1:17" x14ac:dyDescent="0.35">
      <c r="A1328" s="82">
        <v>1325</v>
      </c>
      <c r="B1328" s="83" t="str">
        <f>_xlfn.XLOOKUP(A1328,'TAZs by City - CCAG Model'!$A:$A,'TAZs by City - CCAG Model'!$B:$B,"Unknown")</f>
        <v>Santa Clara</v>
      </c>
      <c r="C1328" s="82">
        <f>_xlfn.XLOOKUP(A1328,'TAZs by City - CCAG Model'!$A:$A,'TAZs by City - CCAG Model'!$C:$C,999)</f>
        <v>3</v>
      </c>
      <c r="D1328" s="82" t="str">
        <f t="shared" si="160"/>
        <v>NO</v>
      </c>
      <c r="E1328" s="27">
        <v>12441.34</v>
      </c>
      <c r="F1328" s="27">
        <v>3539.64</v>
      </c>
      <c r="G1328" s="27">
        <v>552</v>
      </c>
      <c r="H1328" s="27">
        <v>129.06</v>
      </c>
      <c r="I1328" s="27">
        <v>306.12</v>
      </c>
      <c r="J1328" s="27">
        <v>17539.98</v>
      </c>
      <c r="K1328" s="47">
        <f t="shared" si="161"/>
        <v>0.70931323752934727</v>
      </c>
      <c r="L1328" s="47">
        <f t="shared" si="162"/>
        <v>0.20180410696021317</v>
      </c>
      <c r="M1328" s="84">
        <f t="shared" si="163"/>
        <v>0.91111734448956039</v>
      </c>
      <c r="N1328" s="47">
        <f t="shared" si="164"/>
        <v>3.1470959487981176E-2</v>
      </c>
      <c r="O1328" s="47">
        <f t="shared" si="165"/>
        <v>7.3580471585486416E-3</v>
      </c>
      <c r="P1328" s="47">
        <f t="shared" si="166"/>
        <v>1.7452699489965213E-2</v>
      </c>
      <c r="Q1328" s="47">
        <f t="shared" si="167"/>
        <v>1</v>
      </c>
    </row>
    <row r="1329" spans="1:17" x14ac:dyDescent="0.35">
      <c r="A1329" s="82">
        <v>1326</v>
      </c>
      <c r="B1329" s="83" t="str">
        <f>_xlfn.XLOOKUP(A1329,'TAZs by City - CCAG Model'!$A:$A,'TAZs by City - CCAG Model'!$B:$B,"Unknown")</f>
        <v>Santa Clara</v>
      </c>
      <c r="C1329" s="82">
        <f>_xlfn.XLOOKUP(A1329,'TAZs by City - CCAG Model'!$A:$A,'TAZs by City - CCAG Model'!$C:$C,999)</f>
        <v>3</v>
      </c>
      <c r="D1329" s="82" t="str">
        <f t="shared" si="160"/>
        <v>NO</v>
      </c>
      <c r="E1329" s="27">
        <v>5822.76</v>
      </c>
      <c r="F1329" s="27">
        <v>1709.84</v>
      </c>
      <c r="G1329" s="27">
        <v>125.54</v>
      </c>
      <c r="H1329" s="27">
        <v>72.48</v>
      </c>
      <c r="I1329" s="27">
        <v>167.22</v>
      </c>
      <c r="J1329" s="27">
        <v>8057.12</v>
      </c>
      <c r="K1329" s="47">
        <f t="shared" si="161"/>
        <v>0.72268502889369901</v>
      </c>
      <c r="L1329" s="47">
        <f t="shared" si="162"/>
        <v>0.21221478642492603</v>
      </c>
      <c r="M1329" s="84">
        <f t="shared" si="163"/>
        <v>0.93489981531862509</v>
      </c>
      <c r="N1329" s="47">
        <f t="shared" si="164"/>
        <v>1.5581249875886174E-2</v>
      </c>
      <c r="O1329" s="47">
        <f t="shared" si="165"/>
        <v>8.9957702007665268E-3</v>
      </c>
      <c r="P1329" s="47">
        <f t="shared" si="166"/>
        <v>2.0754314196636019E-2</v>
      </c>
      <c r="Q1329" s="47">
        <f t="shared" si="167"/>
        <v>1</v>
      </c>
    </row>
    <row r="1330" spans="1:17" x14ac:dyDescent="0.35">
      <c r="A1330" s="82">
        <v>1327</v>
      </c>
      <c r="B1330" s="83" t="str">
        <f>_xlfn.XLOOKUP(A1330,'TAZs by City - CCAG Model'!$A:$A,'TAZs by City - CCAG Model'!$B:$B,"Unknown")</f>
        <v>Santa Clara</v>
      </c>
      <c r="C1330" s="82">
        <f>_xlfn.XLOOKUP(A1330,'TAZs by City - CCAG Model'!$A:$A,'TAZs by City - CCAG Model'!$C:$C,999)</f>
        <v>3</v>
      </c>
      <c r="D1330" s="82" t="str">
        <f t="shared" si="160"/>
        <v>NO</v>
      </c>
      <c r="E1330" s="27">
        <v>8324.24</v>
      </c>
      <c r="F1330" s="27">
        <v>2655.62</v>
      </c>
      <c r="G1330" s="27">
        <v>131.84</v>
      </c>
      <c r="H1330" s="27">
        <v>104.28</v>
      </c>
      <c r="I1330" s="27">
        <v>241.56</v>
      </c>
      <c r="J1330" s="27">
        <v>11620.36</v>
      </c>
      <c r="K1330" s="47">
        <f t="shared" si="161"/>
        <v>0.71634957953109879</v>
      </c>
      <c r="L1330" s="47">
        <f t="shared" si="162"/>
        <v>0.22853164617963642</v>
      </c>
      <c r="M1330" s="84">
        <f t="shared" si="163"/>
        <v>0.9448812257107353</v>
      </c>
      <c r="N1330" s="47">
        <f t="shared" si="164"/>
        <v>1.1345603750658326E-2</v>
      </c>
      <c r="O1330" s="47">
        <f t="shared" si="165"/>
        <v>8.9739044229266568E-3</v>
      </c>
      <c r="P1330" s="47">
        <f t="shared" si="166"/>
        <v>2.0787652017665546E-2</v>
      </c>
      <c r="Q1330" s="47">
        <f t="shared" si="167"/>
        <v>1</v>
      </c>
    </row>
    <row r="1331" spans="1:17" x14ac:dyDescent="0.35">
      <c r="A1331" s="82">
        <v>1328</v>
      </c>
      <c r="B1331" s="83" t="str">
        <f>_xlfn.XLOOKUP(A1331,'TAZs by City - CCAG Model'!$A:$A,'TAZs by City - CCAG Model'!$B:$B,"Unknown")</f>
        <v>Santa Clara</v>
      </c>
      <c r="C1331" s="82">
        <f>_xlfn.XLOOKUP(A1331,'TAZs by City - CCAG Model'!$A:$A,'TAZs by City - CCAG Model'!$C:$C,999)</f>
        <v>3</v>
      </c>
      <c r="D1331" s="82" t="str">
        <f t="shared" si="160"/>
        <v>NO</v>
      </c>
      <c r="E1331" s="27">
        <v>14188.72</v>
      </c>
      <c r="F1331" s="27">
        <v>4925.08</v>
      </c>
      <c r="G1331" s="27">
        <v>1273.5</v>
      </c>
      <c r="H1331" s="27">
        <v>233.84</v>
      </c>
      <c r="I1331" s="27">
        <v>1174.94</v>
      </c>
      <c r="J1331" s="27">
        <v>23096.62</v>
      </c>
      <c r="K1331" s="47">
        <f t="shared" si="161"/>
        <v>0.61432019057333931</v>
      </c>
      <c r="L1331" s="47">
        <f t="shared" si="162"/>
        <v>0.2132381274835885</v>
      </c>
      <c r="M1331" s="84">
        <f t="shared" si="163"/>
        <v>0.82755831805692781</v>
      </c>
      <c r="N1331" s="47">
        <f t="shared" si="164"/>
        <v>5.5137937932043739E-2</v>
      </c>
      <c r="O1331" s="47">
        <f t="shared" si="165"/>
        <v>1.0124425132335382E-2</v>
      </c>
      <c r="P1331" s="47">
        <f t="shared" si="166"/>
        <v>5.0870646873871592E-2</v>
      </c>
      <c r="Q1331" s="47">
        <f t="shared" si="167"/>
        <v>1</v>
      </c>
    </row>
    <row r="1332" spans="1:17" x14ac:dyDescent="0.35">
      <c r="A1332" s="82">
        <v>1329</v>
      </c>
      <c r="B1332" s="83" t="str">
        <f>_xlfn.XLOOKUP(A1332,'TAZs by City - CCAG Model'!$A:$A,'TAZs by City - CCAG Model'!$B:$B,"Unknown")</f>
        <v>Unincorporated</v>
      </c>
      <c r="C1332" s="82">
        <f>_xlfn.XLOOKUP(A1332,'TAZs by City - CCAG Model'!$A:$A,'TAZs by City - CCAG Model'!$C:$C,999)</f>
        <v>3</v>
      </c>
      <c r="D1332" s="82" t="str">
        <f t="shared" si="160"/>
        <v>NO</v>
      </c>
      <c r="E1332" s="27">
        <v>844.94</v>
      </c>
      <c r="F1332" s="27">
        <v>471.14</v>
      </c>
      <c r="G1332" s="27">
        <v>0</v>
      </c>
      <c r="H1332" s="27">
        <v>0.08</v>
      </c>
      <c r="I1332" s="27">
        <v>2.3199999999999998</v>
      </c>
      <c r="J1332" s="27">
        <v>1346.06</v>
      </c>
      <c r="K1332" s="47">
        <f t="shared" si="161"/>
        <v>0.62771347488224905</v>
      </c>
      <c r="L1332" s="47">
        <f t="shared" si="162"/>
        <v>0.35001411526975024</v>
      </c>
      <c r="M1332" s="84">
        <f t="shared" si="163"/>
        <v>0.97772759015199917</v>
      </c>
      <c r="N1332" s="47">
        <f t="shared" si="164"/>
        <v>0</v>
      </c>
      <c r="O1332" s="47">
        <f t="shared" si="165"/>
        <v>5.9432714737827438E-5</v>
      </c>
      <c r="P1332" s="47">
        <f t="shared" si="166"/>
        <v>1.7235487273969956E-3</v>
      </c>
      <c r="Q1332" s="47">
        <f t="shared" si="167"/>
        <v>1</v>
      </c>
    </row>
    <row r="1333" spans="1:17" x14ac:dyDescent="0.35">
      <c r="A1333" s="82">
        <v>1330</v>
      </c>
      <c r="B1333" s="83" t="str">
        <f>_xlfn.XLOOKUP(A1333,'TAZs by City - CCAG Model'!$A:$A,'TAZs by City - CCAG Model'!$B:$B,"Unknown")</f>
        <v>Unincorporated</v>
      </c>
      <c r="C1333" s="82">
        <f>_xlfn.XLOOKUP(A1333,'TAZs by City - CCAG Model'!$A:$A,'TAZs by City - CCAG Model'!$C:$C,999)</f>
        <v>3</v>
      </c>
      <c r="D1333" s="82" t="str">
        <f t="shared" si="160"/>
        <v>NO</v>
      </c>
      <c r="E1333" s="27">
        <v>1730.26</v>
      </c>
      <c r="F1333" s="27">
        <v>933.08</v>
      </c>
      <c r="G1333" s="27">
        <v>0</v>
      </c>
      <c r="H1333" s="27">
        <v>12.32</v>
      </c>
      <c r="I1333" s="27">
        <v>40.36</v>
      </c>
      <c r="J1333" s="27">
        <v>2744.4</v>
      </c>
      <c r="K1333" s="47">
        <f t="shared" si="161"/>
        <v>0.63046931934120387</v>
      </c>
      <c r="L1333" s="47">
        <f t="shared" si="162"/>
        <v>0.33999416994607201</v>
      </c>
      <c r="M1333" s="84">
        <f t="shared" si="163"/>
        <v>0.97046348928727588</v>
      </c>
      <c r="N1333" s="47">
        <f t="shared" si="164"/>
        <v>0</v>
      </c>
      <c r="O1333" s="47">
        <f t="shared" si="165"/>
        <v>4.4891415245591022E-3</v>
      </c>
      <c r="P1333" s="47">
        <f t="shared" si="166"/>
        <v>1.4706311033377058E-2</v>
      </c>
      <c r="Q1333" s="47">
        <f t="shared" si="167"/>
        <v>1</v>
      </c>
    </row>
    <row r="1334" spans="1:17" x14ac:dyDescent="0.35">
      <c r="A1334" s="82">
        <v>1331</v>
      </c>
      <c r="B1334" s="83" t="str">
        <f>_xlfn.XLOOKUP(A1334,'TAZs by City - CCAG Model'!$A:$A,'TAZs by City - CCAG Model'!$B:$B,"Unknown")</f>
        <v>Unincorporated</v>
      </c>
      <c r="C1334" s="82">
        <f>_xlfn.XLOOKUP(A1334,'TAZs by City - CCAG Model'!$A:$A,'TAZs by City - CCAG Model'!$C:$C,999)</f>
        <v>3</v>
      </c>
      <c r="D1334" s="82" t="str">
        <f t="shared" si="160"/>
        <v>NO</v>
      </c>
      <c r="E1334" s="27">
        <v>958.92</v>
      </c>
      <c r="F1334" s="27">
        <v>679.24</v>
      </c>
      <c r="G1334" s="27">
        <v>0</v>
      </c>
      <c r="H1334" s="27">
        <v>1.58</v>
      </c>
      <c r="I1334" s="27">
        <v>10.48</v>
      </c>
      <c r="J1334" s="27">
        <v>1669.24</v>
      </c>
      <c r="K1334" s="47">
        <f t="shared" si="161"/>
        <v>0.57446502599985616</v>
      </c>
      <c r="L1334" s="47">
        <f t="shared" si="162"/>
        <v>0.40691572212503896</v>
      </c>
      <c r="M1334" s="84">
        <f t="shared" si="163"/>
        <v>0.98138074812489506</v>
      </c>
      <c r="N1334" s="47">
        <f t="shared" si="164"/>
        <v>0</v>
      </c>
      <c r="O1334" s="47">
        <f t="shared" si="165"/>
        <v>9.465385444873116E-4</v>
      </c>
      <c r="P1334" s="47">
        <f t="shared" si="166"/>
        <v>6.2783062950803959E-3</v>
      </c>
      <c r="Q1334" s="47">
        <f t="shared" si="167"/>
        <v>1</v>
      </c>
    </row>
    <row r="1335" spans="1:17" x14ac:dyDescent="0.35">
      <c r="A1335" s="82">
        <v>1332</v>
      </c>
      <c r="B1335" s="83" t="str">
        <f>_xlfn.XLOOKUP(A1335,'TAZs by City - CCAG Model'!$A:$A,'TAZs by City - CCAG Model'!$B:$B,"Unknown")</f>
        <v>Saratoga</v>
      </c>
      <c r="C1335" s="82">
        <f>_xlfn.XLOOKUP(A1335,'TAZs by City - CCAG Model'!$A:$A,'TAZs by City - CCAG Model'!$C:$C,999)</f>
        <v>3</v>
      </c>
      <c r="D1335" s="82" t="str">
        <f t="shared" si="160"/>
        <v>NO</v>
      </c>
      <c r="E1335" s="27">
        <v>12754.6</v>
      </c>
      <c r="F1335" s="27">
        <v>3817.14</v>
      </c>
      <c r="G1335" s="27">
        <v>925.14</v>
      </c>
      <c r="H1335" s="27">
        <v>133.12</v>
      </c>
      <c r="I1335" s="27">
        <v>203.88</v>
      </c>
      <c r="J1335" s="27">
        <v>18792.599999999999</v>
      </c>
      <c r="K1335" s="47">
        <f t="shared" si="161"/>
        <v>0.6787033193916755</v>
      </c>
      <c r="L1335" s="47">
        <f t="shared" si="162"/>
        <v>0.2031193129210434</v>
      </c>
      <c r="M1335" s="84">
        <f t="shared" si="163"/>
        <v>0.88182263231271896</v>
      </c>
      <c r="N1335" s="47">
        <f t="shared" si="164"/>
        <v>4.9228951821461642E-2</v>
      </c>
      <c r="O1335" s="47">
        <f t="shared" si="165"/>
        <v>7.0836393048327537E-3</v>
      </c>
      <c r="P1335" s="47">
        <f t="shared" si="166"/>
        <v>1.0848951182912424E-2</v>
      </c>
      <c r="Q1335" s="47">
        <f t="shared" si="167"/>
        <v>1</v>
      </c>
    </row>
    <row r="1336" spans="1:17" x14ac:dyDescent="0.35">
      <c r="A1336" s="82">
        <v>1333</v>
      </c>
      <c r="B1336" s="83" t="str">
        <f>_xlfn.XLOOKUP(A1336,'TAZs by City - CCAG Model'!$A:$A,'TAZs by City - CCAG Model'!$B:$B,"Unknown")</f>
        <v>Saratoga</v>
      </c>
      <c r="C1336" s="82">
        <f>_xlfn.XLOOKUP(A1336,'TAZs by City - CCAG Model'!$A:$A,'TAZs by City - CCAG Model'!$C:$C,999)</f>
        <v>3</v>
      </c>
      <c r="D1336" s="82" t="str">
        <f t="shared" si="160"/>
        <v>NO</v>
      </c>
      <c r="E1336" s="27">
        <v>9098.82</v>
      </c>
      <c r="F1336" s="27">
        <v>5645.02</v>
      </c>
      <c r="G1336" s="27">
        <v>75.64</v>
      </c>
      <c r="H1336" s="27">
        <v>135.36000000000001</v>
      </c>
      <c r="I1336" s="27">
        <v>624.84</v>
      </c>
      <c r="J1336" s="27">
        <v>15693.72</v>
      </c>
      <c r="K1336" s="47">
        <f t="shared" si="161"/>
        <v>0.57977458499323298</v>
      </c>
      <c r="L1336" s="47">
        <f t="shared" si="162"/>
        <v>0.35969929373023096</v>
      </c>
      <c r="M1336" s="84">
        <f t="shared" si="163"/>
        <v>0.939473878723464</v>
      </c>
      <c r="N1336" s="47">
        <f t="shared" si="164"/>
        <v>4.8197622998243884E-3</v>
      </c>
      <c r="O1336" s="47">
        <f t="shared" si="165"/>
        <v>8.6251060933927731E-3</v>
      </c>
      <c r="P1336" s="47">
        <f t="shared" si="166"/>
        <v>3.981465197543986E-2</v>
      </c>
      <c r="Q1336" s="47">
        <f t="shared" si="167"/>
        <v>1</v>
      </c>
    </row>
    <row r="1337" spans="1:17" x14ac:dyDescent="0.35">
      <c r="A1337" s="82">
        <v>1334</v>
      </c>
      <c r="B1337" s="83" t="str">
        <f>_xlfn.XLOOKUP(A1337,'TAZs by City - CCAG Model'!$A:$A,'TAZs by City - CCAG Model'!$B:$B,"Unknown")</f>
        <v>Saratoga</v>
      </c>
      <c r="C1337" s="82">
        <f>_xlfn.XLOOKUP(A1337,'TAZs by City - CCAG Model'!$A:$A,'TAZs by City - CCAG Model'!$C:$C,999)</f>
        <v>3</v>
      </c>
      <c r="D1337" s="82" t="str">
        <f t="shared" si="160"/>
        <v>NO</v>
      </c>
      <c r="E1337" s="27">
        <v>7044.2</v>
      </c>
      <c r="F1337" s="27">
        <v>4286.7</v>
      </c>
      <c r="G1337" s="27">
        <v>0</v>
      </c>
      <c r="H1337" s="27">
        <v>81.58</v>
      </c>
      <c r="I1337" s="27">
        <v>249.66</v>
      </c>
      <c r="J1337" s="27">
        <v>11686.4</v>
      </c>
      <c r="K1337" s="47">
        <f t="shared" si="161"/>
        <v>0.60276903066812704</v>
      </c>
      <c r="L1337" s="47">
        <f t="shared" si="162"/>
        <v>0.36681099397590361</v>
      </c>
      <c r="M1337" s="84">
        <f t="shared" si="163"/>
        <v>0.9695800246440307</v>
      </c>
      <c r="N1337" s="47">
        <f t="shared" si="164"/>
        <v>0</v>
      </c>
      <c r="O1337" s="47">
        <f t="shared" si="165"/>
        <v>6.9807639649507123E-3</v>
      </c>
      <c r="P1337" s="47">
        <f t="shared" si="166"/>
        <v>2.1363294085432642E-2</v>
      </c>
      <c r="Q1337" s="47">
        <f t="shared" si="167"/>
        <v>1</v>
      </c>
    </row>
    <row r="1338" spans="1:17" x14ac:dyDescent="0.35">
      <c r="A1338" s="82">
        <v>1335</v>
      </c>
      <c r="B1338" s="83" t="str">
        <f>_xlfn.XLOOKUP(A1338,'TAZs by City - CCAG Model'!$A:$A,'TAZs by City - CCAG Model'!$B:$B,"Unknown")</f>
        <v>Saratoga</v>
      </c>
      <c r="C1338" s="82">
        <f>_xlfn.XLOOKUP(A1338,'TAZs by City - CCAG Model'!$A:$A,'TAZs by City - CCAG Model'!$C:$C,999)</f>
        <v>3</v>
      </c>
      <c r="D1338" s="82" t="str">
        <f t="shared" si="160"/>
        <v>NO</v>
      </c>
      <c r="E1338" s="27">
        <v>1637.38</v>
      </c>
      <c r="F1338" s="27">
        <v>1026.3399999999999</v>
      </c>
      <c r="G1338" s="27">
        <v>14.2</v>
      </c>
      <c r="H1338" s="27">
        <v>28.98</v>
      </c>
      <c r="I1338" s="27">
        <v>497.92</v>
      </c>
      <c r="J1338" s="27">
        <v>3257.12</v>
      </c>
      <c r="K1338" s="47">
        <f t="shared" si="161"/>
        <v>0.50270791373974555</v>
      </c>
      <c r="L1338" s="47">
        <f t="shared" si="162"/>
        <v>0.31510659723927886</v>
      </c>
      <c r="M1338" s="84">
        <f t="shared" si="163"/>
        <v>0.81781451097902447</v>
      </c>
      <c r="N1338" s="47">
        <f t="shared" si="164"/>
        <v>4.3596797170506463E-3</v>
      </c>
      <c r="O1338" s="47">
        <f t="shared" si="165"/>
        <v>8.8974308591639236E-3</v>
      </c>
      <c r="P1338" s="47">
        <f t="shared" si="166"/>
        <v>0.15287124821928577</v>
      </c>
      <c r="Q1338" s="47">
        <f t="shared" si="167"/>
        <v>1</v>
      </c>
    </row>
    <row r="1339" spans="1:17" x14ac:dyDescent="0.35">
      <c r="A1339" s="82">
        <v>1336</v>
      </c>
      <c r="B1339" s="83" t="str">
        <f>_xlfn.XLOOKUP(A1339,'TAZs by City - CCAG Model'!$A:$A,'TAZs by City - CCAG Model'!$B:$B,"Unknown")</f>
        <v>Saratoga</v>
      </c>
      <c r="C1339" s="82">
        <f>_xlfn.XLOOKUP(A1339,'TAZs by City - CCAG Model'!$A:$A,'TAZs by City - CCAG Model'!$C:$C,999)</f>
        <v>3</v>
      </c>
      <c r="D1339" s="82" t="str">
        <f t="shared" si="160"/>
        <v>NO</v>
      </c>
      <c r="E1339" s="27">
        <v>2174.9</v>
      </c>
      <c r="F1339" s="27">
        <v>1052.1199999999999</v>
      </c>
      <c r="G1339" s="27">
        <v>9.64</v>
      </c>
      <c r="H1339" s="27">
        <v>29.42</v>
      </c>
      <c r="I1339" s="27">
        <v>123.58</v>
      </c>
      <c r="J1339" s="27">
        <v>3442.24</v>
      </c>
      <c r="K1339" s="47">
        <f t="shared" si="161"/>
        <v>0.63182694989309296</v>
      </c>
      <c r="L1339" s="47">
        <f t="shared" si="162"/>
        <v>0.30564980942642</v>
      </c>
      <c r="M1339" s="84">
        <f t="shared" si="163"/>
        <v>0.93747675931951291</v>
      </c>
      <c r="N1339" s="47">
        <f t="shared" si="164"/>
        <v>2.8005019986985223E-3</v>
      </c>
      <c r="O1339" s="47">
        <f t="shared" si="165"/>
        <v>8.5467602491400962E-3</v>
      </c>
      <c r="P1339" s="47">
        <f t="shared" si="166"/>
        <v>3.5901041182485827E-2</v>
      </c>
      <c r="Q1339" s="47">
        <f t="shared" si="167"/>
        <v>1</v>
      </c>
    </row>
    <row r="1340" spans="1:17" x14ac:dyDescent="0.35">
      <c r="A1340" s="82">
        <v>1337</v>
      </c>
      <c r="B1340" s="83" t="str">
        <f>_xlfn.XLOOKUP(A1340,'TAZs by City - CCAG Model'!$A:$A,'TAZs by City - CCAG Model'!$B:$B,"Unknown")</f>
        <v>Saratoga</v>
      </c>
      <c r="C1340" s="82">
        <f>_xlfn.XLOOKUP(A1340,'TAZs by City - CCAG Model'!$A:$A,'TAZs by City - CCAG Model'!$C:$C,999)</f>
        <v>3</v>
      </c>
      <c r="D1340" s="82" t="str">
        <f t="shared" si="160"/>
        <v>NO</v>
      </c>
      <c r="E1340" s="27">
        <v>5331.54</v>
      </c>
      <c r="F1340" s="27">
        <v>2949.7</v>
      </c>
      <c r="G1340" s="27">
        <v>66.44</v>
      </c>
      <c r="H1340" s="27">
        <v>89.7</v>
      </c>
      <c r="I1340" s="27">
        <v>465.68</v>
      </c>
      <c r="J1340" s="27">
        <v>9010.52</v>
      </c>
      <c r="K1340" s="47">
        <f t="shared" si="161"/>
        <v>0.59170169979091103</v>
      </c>
      <c r="L1340" s="47">
        <f t="shared" si="162"/>
        <v>0.32736179487976275</v>
      </c>
      <c r="M1340" s="84">
        <f t="shared" si="163"/>
        <v>0.91906349467067372</v>
      </c>
      <c r="N1340" s="47">
        <f t="shared" si="164"/>
        <v>7.3736032992546482E-3</v>
      </c>
      <c r="O1340" s="47">
        <f t="shared" si="165"/>
        <v>9.955030342310987E-3</v>
      </c>
      <c r="P1340" s="47">
        <f t="shared" si="166"/>
        <v>5.1681811926503687E-2</v>
      </c>
      <c r="Q1340" s="47">
        <f t="shared" si="167"/>
        <v>1</v>
      </c>
    </row>
    <row r="1341" spans="1:17" x14ac:dyDescent="0.35">
      <c r="A1341" s="82">
        <v>1338</v>
      </c>
      <c r="B1341" s="83" t="str">
        <f>_xlfn.XLOOKUP(A1341,'TAZs by City - CCAG Model'!$A:$A,'TAZs by City - CCAG Model'!$B:$B,"Unknown")</f>
        <v>Saratoga</v>
      </c>
      <c r="C1341" s="82">
        <f>_xlfn.XLOOKUP(A1341,'TAZs by City - CCAG Model'!$A:$A,'TAZs by City - CCAG Model'!$C:$C,999)</f>
        <v>3</v>
      </c>
      <c r="D1341" s="82" t="str">
        <f t="shared" si="160"/>
        <v>NO</v>
      </c>
      <c r="E1341" s="27">
        <v>8985.3799999999992</v>
      </c>
      <c r="F1341" s="27">
        <v>4879.4799999999996</v>
      </c>
      <c r="G1341" s="27">
        <v>79.36</v>
      </c>
      <c r="H1341" s="27">
        <v>144.02000000000001</v>
      </c>
      <c r="I1341" s="27">
        <v>1034.8</v>
      </c>
      <c r="J1341" s="27">
        <v>15240.12</v>
      </c>
      <c r="K1341" s="47">
        <f t="shared" si="161"/>
        <v>0.58958722109799655</v>
      </c>
      <c r="L1341" s="47">
        <f t="shared" si="162"/>
        <v>0.32017333196851466</v>
      </c>
      <c r="M1341" s="84">
        <f t="shared" si="163"/>
        <v>0.90976055306651116</v>
      </c>
      <c r="N1341" s="47">
        <f t="shared" si="164"/>
        <v>5.2073080789390106E-3</v>
      </c>
      <c r="O1341" s="47">
        <f t="shared" si="165"/>
        <v>9.4500568236995514E-3</v>
      </c>
      <c r="P1341" s="47">
        <f t="shared" si="166"/>
        <v>6.7899727823665421E-2</v>
      </c>
      <c r="Q1341" s="47">
        <f t="shared" si="167"/>
        <v>1</v>
      </c>
    </row>
    <row r="1342" spans="1:17" x14ac:dyDescent="0.35">
      <c r="A1342" s="82">
        <v>1339</v>
      </c>
      <c r="B1342" s="83" t="str">
        <f>_xlfn.XLOOKUP(A1342,'TAZs by City - CCAG Model'!$A:$A,'TAZs by City - CCAG Model'!$B:$B,"Unknown")</f>
        <v>Saratoga</v>
      </c>
      <c r="C1342" s="82">
        <f>_xlfn.XLOOKUP(A1342,'TAZs by City - CCAG Model'!$A:$A,'TAZs by City - CCAG Model'!$C:$C,999)</f>
        <v>3</v>
      </c>
      <c r="D1342" s="82" t="str">
        <f t="shared" si="160"/>
        <v>NO</v>
      </c>
      <c r="E1342" s="27">
        <v>1100.5999999999999</v>
      </c>
      <c r="F1342" s="27">
        <v>785.44</v>
      </c>
      <c r="G1342" s="27">
        <v>11.56</v>
      </c>
      <c r="H1342" s="27">
        <v>20.54</v>
      </c>
      <c r="I1342" s="27">
        <v>89.24</v>
      </c>
      <c r="J1342" s="27">
        <v>2046.4</v>
      </c>
      <c r="K1342" s="47">
        <f t="shared" si="161"/>
        <v>0.53782251759186861</v>
      </c>
      <c r="L1342" s="47">
        <f t="shared" si="162"/>
        <v>0.3838154808444097</v>
      </c>
      <c r="M1342" s="84">
        <f t="shared" si="163"/>
        <v>0.92163799843627825</v>
      </c>
      <c r="N1342" s="47">
        <f t="shared" si="164"/>
        <v>5.6489444878811568E-3</v>
      </c>
      <c r="O1342" s="47">
        <f t="shared" si="165"/>
        <v>1.0037138389366693E-2</v>
      </c>
      <c r="P1342" s="47">
        <f t="shared" si="166"/>
        <v>4.3608287724784985E-2</v>
      </c>
      <c r="Q1342" s="47">
        <f t="shared" si="167"/>
        <v>1</v>
      </c>
    </row>
    <row r="1343" spans="1:17" x14ac:dyDescent="0.35">
      <c r="A1343" s="82">
        <v>1340</v>
      </c>
      <c r="B1343" s="83" t="str">
        <f>_xlfn.XLOOKUP(A1343,'TAZs by City - CCAG Model'!$A:$A,'TAZs by City - CCAG Model'!$B:$B,"Unknown")</f>
        <v>Saratoga</v>
      </c>
      <c r="C1343" s="82">
        <f>_xlfn.XLOOKUP(A1343,'TAZs by City - CCAG Model'!$A:$A,'TAZs by City - CCAG Model'!$C:$C,999)</f>
        <v>3</v>
      </c>
      <c r="D1343" s="82" t="str">
        <f t="shared" si="160"/>
        <v>NO</v>
      </c>
      <c r="E1343" s="27">
        <v>586.6</v>
      </c>
      <c r="F1343" s="27">
        <v>464.52</v>
      </c>
      <c r="G1343" s="27">
        <v>1.46</v>
      </c>
      <c r="H1343" s="27">
        <v>9.44</v>
      </c>
      <c r="I1343" s="27">
        <v>46.02</v>
      </c>
      <c r="J1343" s="27">
        <v>1131</v>
      </c>
      <c r="K1343" s="47">
        <f t="shared" si="161"/>
        <v>0.51865605658709113</v>
      </c>
      <c r="L1343" s="47">
        <f t="shared" si="162"/>
        <v>0.41071618037135277</v>
      </c>
      <c r="M1343" s="84">
        <f t="shared" si="163"/>
        <v>0.92937223695844373</v>
      </c>
      <c r="N1343" s="47">
        <f t="shared" si="164"/>
        <v>1.2908930150309461E-3</v>
      </c>
      <c r="O1343" s="47">
        <f t="shared" si="165"/>
        <v>8.3465959328028281E-3</v>
      </c>
      <c r="P1343" s="47">
        <f t="shared" si="166"/>
        <v>4.0689655172413797E-2</v>
      </c>
      <c r="Q1343" s="47">
        <f t="shared" si="167"/>
        <v>1</v>
      </c>
    </row>
    <row r="1344" spans="1:17" x14ac:dyDescent="0.35">
      <c r="A1344" s="82">
        <v>1341</v>
      </c>
      <c r="B1344" s="83" t="str">
        <f>_xlfn.XLOOKUP(A1344,'TAZs by City - CCAG Model'!$A:$A,'TAZs by City - CCAG Model'!$B:$B,"Unknown")</f>
        <v>Saratoga</v>
      </c>
      <c r="C1344" s="82">
        <f>_xlfn.XLOOKUP(A1344,'TAZs by City - CCAG Model'!$A:$A,'TAZs by City - CCAG Model'!$C:$C,999)</f>
        <v>3</v>
      </c>
      <c r="D1344" s="82" t="str">
        <f t="shared" si="160"/>
        <v>NO</v>
      </c>
      <c r="E1344" s="27">
        <v>184.74</v>
      </c>
      <c r="F1344" s="27">
        <v>134.4</v>
      </c>
      <c r="G1344" s="27">
        <v>0</v>
      </c>
      <c r="H1344" s="27">
        <v>1.82</v>
      </c>
      <c r="I1344" s="27">
        <v>12.58</v>
      </c>
      <c r="J1344" s="27">
        <v>353.44</v>
      </c>
      <c r="K1344" s="47">
        <f t="shared" si="161"/>
        <v>0.52269126301493896</v>
      </c>
      <c r="L1344" s="47">
        <f t="shared" si="162"/>
        <v>0.38026256224535993</v>
      </c>
      <c r="M1344" s="84">
        <f t="shared" si="163"/>
        <v>0.90295382526029877</v>
      </c>
      <c r="N1344" s="47">
        <f t="shared" si="164"/>
        <v>0</v>
      </c>
      <c r="O1344" s="47">
        <f t="shared" si="165"/>
        <v>5.1493888637392489E-3</v>
      </c>
      <c r="P1344" s="47">
        <f t="shared" si="166"/>
        <v>3.559302851969217E-2</v>
      </c>
      <c r="Q1344" s="47">
        <f t="shared" si="167"/>
        <v>1</v>
      </c>
    </row>
    <row r="1345" spans="1:17" x14ac:dyDescent="0.35">
      <c r="A1345" s="82">
        <v>1342</v>
      </c>
      <c r="B1345" s="83" t="str">
        <f>_xlfn.XLOOKUP(A1345,'TAZs by City - CCAG Model'!$A:$A,'TAZs by City - CCAG Model'!$B:$B,"Unknown")</f>
        <v>Saratoga</v>
      </c>
      <c r="C1345" s="82">
        <f>_xlfn.XLOOKUP(A1345,'TAZs by City - CCAG Model'!$A:$A,'TAZs by City - CCAG Model'!$C:$C,999)</f>
        <v>3</v>
      </c>
      <c r="D1345" s="82" t="str">
        <f t="shared" si="160"/>
        <v>NO</v>
      </c>
      <c r="E1345" s="27">
        <v>3317.96</v>
      </c>
      <c r="F1345" s="27">
        <v>2691.92</v>
      </c>
      <c r="G1345" s="27">
        <v>36.74</v>
      </c>
      <c r="H1345" s="27">
        <v>63.12</v>
      </c>
      <c r="I1345" s="27">
        <v>280.3</v>
      </c>
      <c r="J1345" s="27">
        <v>6460.38</v>
      </c>
      <c r="K1345" s="47">
        <f t="shared" si="161"/>
        <v>0.5135858881366111</v>
      </c>
      <c r="L1345" s="47">
        <f t="shared" si="162"/>
        <v>0.41668137168401859</v>
      </c>
      <c r="M1345" s="84">
        <f t="shared" si="163"/>
        <v>0.93026725982062974</v>
      </c>
      <c r="N1345" s="47">
        <f t="shared" si="164"/>
        <v>5.6869719737848243E-3</v>
      </c>
      <c r="O1345" s="47">
        <f t="shared" si="165"/>
        <v>9.7703231079286357E-3</v>
      </c>
      <c r="P1345" s="47">
        <f t="shared" si="166"/>
        <v>4.3387540670982203E-2</v>
      </c>
      <c r="Q1345" s="47">
        <f t="shared" si="167"/>
        <v>1</v>
      </c>
    </row>
    <row r="1346" spans="1:17" x14ac:dyDescent="0.35">
      <c r="A1346" s="82">
        <v>1343</v>
      </c>
      <c r="B1346" s="83" t="str">
        <f>_xlfn.XLOOKUP(A1346,'TAZs by City - CCAG Model'!$A:$A,'TAZs by City - CCAG Model'!$B:$B,"Unknown")</f>
        <v>Saratoga</v>
      </c>
      <c r="C1346" s="82">
        <f>_xlfn.XLOOKUP(A1346,'TAZs by City - CCAG Model'!$A:$A,'TAZs by City - CCAG Model'!$C:$C,999)</f>
        <v>3</v>
      </c>
      <c r="D1346" s="82" t="str">
        <f t="shared" si="160"/>
        <v>NO</v>
      </c>
      <c r="E1346" s="27">
        <v>3174.08</v>
      </c>
      <c r="F1346" s="27">
        <v>2595</v>
      </c>
      <c r="G1346" s="27">
        <v>34.92</v>
      </c>
      <c r="H1346" s="27">
        <v>63.46</v>
      </c>
      <c r="I1346" s="27">
        <v>285.66000000000003</v>
      </c>
      <c r="J1346" s="27">
        <v>6219.54</v>
      </c>
      <c r="K1346" s="47">
        <f t="shared" si="161"/>
        <v>0.51033999298983523</v>
      </c>
      <c r="L1346" s="47">
        <f t="shared" si="162"/>
        <v>0.41723342883878872</v>
      </c>
      <c r="M1346" s="84">
        <f t="shared" si="163"/>
        <v>0.92757342182862401</v>
      </c>
      <c r="N1346" s="47">
        <f t="shared" si="164"/>
        <v>5.6145631348942212E-3</v>
      </c>
      <c r="O1346" s="47">
        <f t="shared" si="165"/>
        <v>1.0203326934146256E-2</v>
      </c>
      <c r="P1346" s="47">
        <f t="shared" si="166"/>
        <v>4.5929441727201696E-2</v>
      </c>
      <c r="Q1346" s="47">
        <f t="shared" si="167"/>
        <v>1</v>
      </c>
    </row>
    <row r="1347" spans="1:17" x14ac:dyDescent="0.35">
      <c r="A1347" s="82">
        <v>1344</v>
      </c>
      <c r="B1347" s="83" t="str">
        <f>_xlfn.XLOOKUP(A1347,'TAZs by City - CCAG Model'!$A:$A,'TAZs by City - CCAG Model'!$B:$B,"Unknown")</f>
        <v>Saratoga</v>
      </c>
      <c r="C1347" s="82">
        <f>_xlfn.XLOOKUP(A1347,'TAZs by City - CCAG Model'!$A:$A,'TAZs by City - CCAG Model'!$C:$C,999)</f>
        <v>3</v>
      </c>
      <c r="D1347" s="82" t="str">
        <f t="shared" si="160"/>
        <v>NO</v>
      </c>
      <c r="E1347" s="27">
        <v>9001.2999999999993</v>
      </c>
      <c r="F1347" s="27">
        <v>5356.96</v>
      </c>
      <c r="G1347" s="27">
        <v>88.24</v>
      </c>
      <c r="H1347" s="27">
        <v>134.56</v>
      </c>
      <c r="I1347" s="27">
        <v>820.6</v>
      </c>
      <c r="J1347" s="27">
        <v>15525.84</v>
      </c>
      <c r="K1347" s="47">
        <f t="shared" si="161"/>
        <v>0.57976251204443685</v>
      </c>
      <c r="L1347" s="47">
        <f t="shared" si="162"/>
        <v>0.34503511565235762</v>
      </c>
      <c r="M1347" s="84">
        <f t="shared" si="163"/>
        <v>0.92479762769679441</v>
      </c>
      <c r="N1347" s="47">
        <f t="shared" si="164"/>
        <v>5.683428400653362E-3</v>
      </c>
      <c r="O1347" s="47">
        <f t="shared" si="165"/>
        <v>8.6668418584759342E-3</v>
      </c>
      <c r="P1347" s="47">
        <f t="shared" si="166"/>
        <v>5.2853823045967238E-2</v>
      </c>
      <c r="Q1347" s="47">
        <f t="shared" si="167"/>
        <v>1</v>
      </c>
    </row>
    <row r="1348" spans="1:17" x14ac:dyDescent="0.35">
      <c r="A1348" s="82">
        <v>1345</v>
      </c>
      <c r="B1348" s="83" t="str">
        <f>_xlfn.XLOOKUP(A1348,'TAZs by City - CCAG Model'!$A:$A,'TAZs by City - CCAG Model'!$B:$B,"Unknown")</f>
        <v>Saratoga</v>
      </c>
      <c r="C1348" s="82">
        <f>_xlfn.XLOOKUP(A1348,'TAZs by City - CCAG Model'!$A:$A,'TAZs by City - CCAG Model'!$C:$C,999)</f>
        <v>3</v>
      </c>
      <c r="D1348" s="82" t="str">
        <f t="shared" si="160"/>
        <v>NO</v>
      </c>
      <c r="E1348" s="27">
        <v>5133.6400000000003</v>
      </c>
      <c r="F1348" s="27">
        <v>2336.16</v>
      </c>
      <c r="G1348" s="27">
        <v>30.88</v>
      </c>
      <c r="H1348" s="27">
        <v>72.459999999999994</v>
      </c>
      <c r="I1348" s="27">
        <v>329.22</v>
      </c>
      <c r="J1348" s="27">
        <v>7969.26</v>
      </c>
      <c r="K1348" s="47">
        <f t="shared" si="161"/>
        <v>0.64418026265926831</v>
      </c>
      <c r="L1348" s="47">
        <f t="shared" si="162"/>
        <v>0.29314641510002182</v>
      </c>
      <c r="M1348" s="84">
        <f t="shared" si="163"/>
        <v>0.93732667775929002</v>
      </c>
      <c r="N1348" s="47">
        <f t="shared" si="164"/>
        <v>3.8748892619891932E-3</v>
      </c>
      <c r="O1348" s="47">
        <f t="shared" si="165"/>
        <v>9.0924376918308583E-3</v>
      </c>
      <c r="P1348" s="47">
        <f t="shared" si="166"/>
        <v>4.1311238433681424E-2</v>
      </c>
      <c r="Q1348" s="47">
        <f t="shared" si="167"/>
        <v>1</v>
      </c>
    </row>
    <row r="1349" spans="1:17" x14ac:dyDescent="0.35">
      <c r="A1349" s="82">
        <v>1346</v>
      </c>
      <c r="B1349" s="83" t="str">
        <f>_xlfn.XLOOKUP(A1349,'TAZs by City - CCAG Model'!$A:$A,'TAZs by City - CCAG Model'!$B:$B,"Unknown")</f>
        <v>Saratoga</v>
      </c>
      <c r="C1349" s="82">
        <f>_xlfn.XLOOKUP(A1349,'TAZs by City - CCAG Model'!$A:$A,'TAZs by City - CCAG Model'!$C:$C,999)</f>
        <v>3</v>
      </c>
      <c r="D1349" s="82" t="str">
        <f t="shared" ref="D1349:D1412" si="168">IF(C1349=2,"YES","NO")</f>
        <v>NO</v>
      </c>
      <c r="E1349" s="27">
        <v>739.9</v>
      </c>
      <c r="F1349" s="27">
        <v>588.4</v>
      </c>
      <c r="G1349" s="27">
        <v>3.52</v>
      </c>
      <c r="H1349" s="27">
        <v>11.66</v>
      </c>
      <c r="I1349" s="27">
        <v>75.180000000000007</v>
      </c>
      <c r="J1349" s="27">
        <v>1443.94</v>
      </c>
      <c r="K1349" s="47">
        <f t="shared" ref="K1349:K1412" si="169">IFERROR(E1349/$J1349,0)</f>
        <v>0.5124174134659335</v>
      </c>
      <c r="L1349" s="47">
        <f t="shared" ref="L1349:L1412" si="170">IFERROR(F1349/$J1349,0)</f>
        <v>0.40749615634998682</v>
      </c>
      <c r="M1349" s="84">
        <f t="shared" ref="M1349:M1412" si="171">IFERROR((E1349+F1349)/J1349,0)</f>
        <v>0.91991356981592032</v>
      </c>
      <c r="N1349" s="47">
        <f t="shared" ref="N1349:N1412" si="172">IFERROR(G1349/$J1349,0)</f>
        <v>2.4377744227599483E-3</v>
      </c>
      <c r="O1349" s="47">
        <f t="shared" ref="O1349:O1412" si="173">IFERROR(H1349/$J1349,0)</f>
        <v>8.0751277753923299E-3</v>
      </c>
      <c r="P1349" s="47">
        <f t="shared" ref="P1349:P1412" si="174">IFERROR(I1349/$J1349,0)</f>
        <v>5.2065875313378675E-2</v>
      </c>
      <c r="Q1349" s="47">
        <f t="shared" ref="Q1349:Q1412" si="175">IFERROR(J1349/$J1349,0)</f>
        <v>1</v>
      </c>
    </row>
    <row r="1350" spans="1:17" x14ac:dyDescent="0.35">
      <c r="A1350" s="82">
        <v>1347</v>
      </c>
      <c r="B1350" s="83" t="str">
        <f>_xlfn.XLOOKUP(A1350,'TAZs by City - CCAG Model'!$A:$A,'TAZs by City - CCAG Model'!$B:$B,"Unknown")</f>
        <v>Saratoga</v>
      </c>
      <c r="C1350" s="82">
        <f>_xlfn.XLOOKUP(A1350,'TAZs by City - CCAG Model'!$A:$A,'TAZs by City - CCAG Model'!$C:$C,999)</f>
        <v>3</v>
      </c>
      <c r="D1350" s="82" t="str">
        <f t="shared" si="168"/>
        <v>NO</v>
      </c>
      <c r="E1350" s="27">
        <v>4114.28</v>
      </c>
      <c r="F1350" s="27">
        <v>3207.42</v>
      </c>
      <c r="G1350" s="27">
        <v>68.36</v>
      </c>
      <c r="H1350" s="27">
        <v>78.680000000000007</v>
      </c>
      <c r="I1350" s="27">
        <v>316</v>
      </c>
      <c r="J1350" s="27">
        <v>7879.48</v>
      </c>
      <c r="K1350" s="47">
        <f t="shared" si="169"/>
        <v>0.52215120794773262</v>
      </c>
      <c r="L1350" s="47">
        <f t="shared" si="170"/>
        <v>0.4070598567418155</v>
      </c>
      <c r="M1350" s="84">
        <f t="shared" si="171"/>
        <v>0.92921106468954806</v>
      </c>
      <c r="N1350" s="47">
        <f t="shared" si="172"/>
        <v>8.6756994116363017E-3</v>
      </c>
      <c r="O1350" s="47">
        <f t="shared" si="173"/>
        <v>9.9854305106428353E-3</v>
      </c>
      <c r="P1350" s="47">
        <f t="shared" si="174"/>
        <v>4.0104169310665176E-2</v>
      </c>
      <c r="Q1350" s="47">
        <f t="shared" si="175"/>
        <v>1</v>
      </c>
    </row>
    <row r="1351" spans="1:17" x14ac:dyDescent="0.35">
      <c r="A1351" s="82">
        <v>1348</v>
      </c>
      <c r="B1351" s="83" t="str">
        <f>_xlfn.XLOOKUP(A1351,'TAZs by City - CCAG Model'!$A:$A,'TAZs by City - CCAG Model'!$B:$B,"Unknown")</f>
        <v>Saratoga</v>
      </c>
      <c r="C1351" s="82">
        <f>_xlfn.XLOOKUP(A1351,'TAZs by City - CCAG Model'!$A:$A,'TAZs by City - CCAG Model'!$C:$C,999)</f>
        <v>3</v>
      </c>
      <c r="D1351" s="82" t="str">
        <f t="shared" si="168"/>
        <v>NO</v>
      </c>
      <c r="E1351" s="27">
        <v>17238.32</v>
      </c>
      <c r="F1351" s="27">
        <v>10211.92</v>
      </c>
      <c r="G1351" s="27">
        <v>145.91999999999999</v>
      </c>
      <c r="H1351" s="27">
        <v>262.56</v>
      </c>
      <c r="I1351" s="27">
        <v>1419.92</v>
      </c>
      <c r="J1351" s="27">
        <v>29455.32</v>
      </c>
      <c r="K1351" s="47">
        <f t="shared" si="169"/>
        <v>0.58523621539334825</v>
      </c>
      <c r="L1351" s="47">
        <f t="shared" si="170"/>
        <v>0.3466918709421592</v>
      </c>
      <c r="M1351" s="84">
        <f t="shared" si="171"/>
        <v>0.93192808633550739</v>
      </c>
      <c r="N1351" s="47">
        <f t="shared" si="172"/>
        <v>4.9539438036999761E-3</v>
      </c>
      <c r="O1351" s="47">
        <f t="shared" si="173"/>
        <v>8.9138396731048928E-3</v>
      </c>
      <c r="P1351" s="47">
        <f t="shared" si="174"/>
        <v>4.8205892857385357E-2</v>
      </c>
      <c r="Q1351" s="47">
        <f t="shared" si="175"/>
        <v>1</v>
      </c>
    </row>
    <row r="1352" spans="1:17" x14ac:dyDescent="0.35">
      <c r="A1352" s="82">
        <v>1349</v>
      </c>
      <c r="B1352" s="83" t="str">
        <f>_xlfn.XLOOKUP(A1352,'TAZs by City - CCAG Model'!$A:$A,'TAZs by City - CCAG Model'!$B:$B,"Unknown")</f>
        <v>Saratoga</v>
      </c>
      <c r="C1352" s="82">
        <f>_xlfn.XLOOKUP(A1352,'TAZs by City - CCAG Model'!$A:$A,'TAZs by City - CCAG Model'!$C:$C,999)</f>
        <v>3</v>
      </c>
      <c r="D1352" s="82" t="str">
        <f t="shared" si="168"/>
        <v>NO</v>
      </c>
      <c r="E1352" s="27">
        <v>8396.4599999999991</v>
      </c>
      <c r="F1352" s="27">
        <v>5752.22</v>
      </c>
      <c r="G1352" s="27">
        <v>79.34</v>
      </c>
      <c r="H1352" s="27">
        <v>144.12</v>
      </c>
      <c r="I1352" s="27">
        <v>577</v>
      </c>
      <c r="J1352" s="27">
        <v>15063.46</v>
      </c>
      <c r="K1352" s="47">
        <f t="shared" si="169"/>
        <v>0.55740580185428845</v>
      </c>
      <c r="L1352" s="47">
        <f t="shared" si="170"/>
        <v>0.38186578647933478</v>
      </c>
      <c r="M1352" s="84">
        <f t="shared" si="171"/>
        <v>0.93927158833362334</v>
      </c>
      <c r="N1352" s="47">
        <f t="shared" si="172"/>
        <v>5.2670501996221327E-3</v>
      </c>
      <c r="O1352" s="47">
        <f t="shared" si="173"/>
        <v>9.567522999364024E-3</v>
      </c>
      <c r="P1352" s="47">
        <f t="shared" si="174"/>
        <v>3.8304612618880393E-2</v>
      </c>
      <c r="Q1352" s="47">
        <f t="shared" si="175"/>
        <v>1</v>
      </c>
    </row>
    <row r="1353" spans="1:17" x14ac:dyDescent="0.35">
      <c r="A1353" s="82">
        <v>1350</v>
      </c>
      <c r="B1353" s="83" t="str">
        <f>_xlfn.XLOOKUP(A1353,'TAZs by City - CCAG Model'!$A:$A,'TAZs by City - CCAG Model'!$B:$B,"Unknown")</f>
        <v>Saratoga</v>
      </c>
      <c r="C1353" s="82">
        <f>_xlfn.XLOOKUP(A1353,'TAZs by City - CCAG Model'!$A:$A,'TAZs by City - CCAG Model'!$C:$C,999)</f>
        <v>3</v>
      </c>
      <c r="D1353" s="82" t="str">
        <f t="shared" si="168"/>
        <v>NO</v>
      </c>
      <c r="E1353" s="27">
        <v>9691.26</v>
      </c>
      <c r="F1353" s="27">
        <v>4665.08</v>
      </c>
      <c r="G1353" s="27">
        <v>104.4</v>
      </c>
      <c r="H1353" s="27">
        <v>132.24</v>
      </c>
      <c r="I1353" s="27">
        <v>783.1</v>
      </c>
      <c r="J1353" s="27">
        <v>15516.08</v>
      </c>
      <c r="K1353" s="47">
        <f t="shared" si="169"/>
        <v>0.62459461410356221</v>
      </c>
      <c r="L1353" s="47">
        <f t="shared" si="170"/>
        <v>0.3006609916937783</v>
      </c>
      <c r="M1353" s="84">
        <f t="shared" si="171"/>
        <v>0.92525560579734056</v>
      </c>
      <c r="N1353" s="47">
        <f t="shared" si="172"/>
        <v>6.7285035911132194E-3</v>
      </c>
      <c r="O1353" s="47">
        <f t="shared" si="173"/>
        <v>8.5227712154100788E-3</v>
      </c>
      <c r="P1353" s="47">
        <f t="shared" si="174"/>
        <v>5.0470221860160557E-2</v>
      </c>
      <c r="Q1353" s="47">
        <f t="shared" si="175"/>
        <v>1</v>
      </c>
    </row>
    <row r="1354" spans="1:17" x14ac:dyDescent="0.35">
      <c r="A1354" s="82">
        <v>1351</v>
      </c>
      <c r="B1354" s="83" t="str">
        <f>_xlfn.XLOOKUP(A1354,'TAZs by City - CCAG Model'!$A:$A,'TAZs by City - CCAG Model'!$B:$B,"Unknown")</f>
        <v>Saratoga</v>
      </c>
      <c r="C1354" s="82">
        <f>_xlfn.XLOOKUP(A1354,'TAZs by City - CCAG Model'!$A:$A,'TAZs by City - CCAG Model'!$C:$C,999)</f>
        <v>3</v>
      </c>
      <c r="D1354" s="82" t="str">
        <f t="shared" si="168"/>
        <v>NO</v>
      </c>
      <c r="E1354" s="27">
        <v>15059.3</v>
      </c>
      <c r="F1354" s="27">
        <v>8091.14</v>
      </c>
      <c r="G1354" s="27">
        <v>0</v>
      </c>
      <c r="H1354" s="27">
        <v>173.3</v>
      </c>
      <c r="I1354" s="27">
        <v>966.52</v>
      </c>
      <c r="J1354" s="27">
        <v>24308.98</v>
      </c>
      <c r="K1354" s="47">
        <f t="shared" si="169"/>
        <v>0.61949534698699815</v>
      </c>
      <c r="L1354" s="47">
        <f t="shared" si="170"/>
        <v>0.33284572203358598</v>
      </c>
      <c r="M1354" s="84">
        <f t="shared" si="171"/>
        <v>0.95234106902058413</v>
      </c>
      <c r="N1354" s="47">
        <f t="shared" si="172"/>
        <v>0</v>
      </c>
      <c r="O1354" s="47">
        <f t="shared" si="173"/>
        <v>7.1290527204350002E-3</v>
      </c>
      <c r="P1354" s="47">
        <f t="shared" si="174"/>
        <v>3.9759792471753236E-2</v>
      </c>
      <c r="Q1354" s="47">
        <f t="shared" si="175"/>
        <v>1</v>
      </c>
    </row>
    <row r="1355" spans="1:17" x14ac:dyDescent="0.35">
      <c r="A1355" s="82">
        <v>1352</v>
      </c>
      <c r="B1355" s="83" t="str">
        <f>_xlfn.XLOOKUP(A1355,'TAZs by City - CCAG Model'!$A:$A,'TAZs by City - CCAG Model'!$B:$B,"Unknown")</f>
        <v>Unincorporated</v>
      </c>
      <c r="C1355" s="82">
        <f>_xlfn.XLOOKUP(A1355,'TAZs by City - CCAG Model'!$A:$A,'TAZs by City - CCAG Model'!$C:$C,999)</f>
        <v>3</v>
      </c>
      <c r="D1355" s="82" t="str">
        <f t="shared" si="168"/>
        <v>NO</v>
      </c>
      <c r="E1355" s="27">
        <v>1297.28</v>
      </c>
      <c r="F1355" s="27">
        <v>884.14</v>
      </c>
      <c r="G1355" s="27">
        <v>0</v>
      </c>
      <c r="H1355" s="27">
        <v>12.58</v>
      </c>
      <c r="I1355" s="27">
        <v>45.46</v>
      </c>
      <c r="J1355" s="27">
        <v>2264.6999999999998</v>
      </c>
      <c r="K1355" s="47">
        <f t="shared" si="169"/>
        <v>0.5728264229257739</v>
      </c>
      <c r="L1355" s="47">
        <f t="shared" si="170"/>
        <v>0.39040049454673909</v>
      </c>
      <c r="M1355" s="84">
        <f t="shared" si="171"/>
        <v>0.96322691747251299</v>
      </c>
      <c r="N1355" s="47">
        <f t="shared" si="172"/>
        <v>0</v>
      </c>
      <c r="O1355" s="47">
        <f t="shared" si="173"/>
        <v>5.5548196229081121E-3</v>
      </c>
      <c r="P1355" s="47">
        <f t="shared" si="174"/>
        <v>2.0073298891685434E-2</v>
      </c>
      <c r="Q1355" s="47">
        <f t="shared" si="175"/>
        <v>1</v>
      </c>
    </row>
    <row r="1356" spans="1:17" x14ac:dyDescent="0.35">
      <c r="A1356" s="82">
        <v>1353</v>
      </c>
      <c r="B1356" s="83" t="str">
        <f>_xlfn.XLOOKUP(A1356,'TAZs by City - CCAG Model'!$A:$A,'TAZs by City - CCAG Model'!$B:$B,"Unknown")</f>
        <v>Saratoga</v>
      </c>
      <c r="C1356" s="82">
        <f>_xlfn.XLOOKUP(A1356,'TAZs by City - CCAG Model'!$A:$A,'TAZs by City - CCAG Model'!$C:$C,999)</f>
        <v>3</v>
      </c>
      <c r="D1356" s="82" t="str">
        <f t="shared" si="168"/>
        <v>NO</v>
      </c>
      <c r="E1356" s="27">
        <v>9723.1</v>
      </c>
      <c r="F1356" s="27">
        <v>6838.3</v>
      </c>
      <c r="G1356" s="27">
        <v>73.88</v>
      </c>
      <c r="H1356" s="27">
        <v>135.06</v>
      </c>
      <c r="I1356" s="27">
        <v>723.28</v>
      </c>
      <c r="J1356" s="27">
        <v>17603.48</v>
      </c>
      <c r="K1356" s="47">
        <f t="shared" si="169"/>
        <v>0.55233965102354765</v>
      </c>
      <c r="L1356" s="47">
        <f t="shared" si="170"/>
        <v>0.38846296300504218</v>
      </c>
      <c r="M1356" s="84">
        <f t="shared" si="171"/>
        <v>0.94080261402858989</v>
      </c>
      <c r="N1356" s="47">
        <f t="shared" si="172"/>
        <v>4.1968974316441976E-3</v>
      </c>
      <c r="O1356" s="47">
        <f t="shared" si="173"/>
        <v>7.6723466041941713E-3</v>
      </c>
      <c r="P1356" s="47">
        <f t="shared" si="174"/>
        <v>4.1087330459659115E-2</v>
      </c>
      <c r="Q1356" s="47">
        <f t="shared" si="175"/>
        <v>1</v>
      </c>
    </row>
    <row r="1357" spans="1:17" x14ac:dyDescent="0.35">
      <c r="A1357" s="82">
        <v>1354</v>
      </c>
      <c r="B1357" s="83" t="str">
        <f>_xlfn.XLOOKUP(A1357,'TAZs by City - CCAG Model'!$A:$A,'TAZs by City - CCAG Model'!$B:$B,"Unknown")</f>
        <v>Unincorporated</v>
      </c>
      <c r="C1357" s="82">
        <f>_xlfn.XLOOKUP(A1357,'TAZs by City - CCAG Model'!$A:$A,'TAZs by City - CCAG Model'!$C:$C,999)</f>
        <v>3</v>
      </c>
      <c r="D1357" s="82" t="str">
        <f t="shared" si="168"/>
        <v>NO</v>
      </c>
      <c r="E1357" s="27">
        <v>856.64</v>
      </c>
      <c r="F1357" s="27">
        <v>247.42</v>
      </c>
      <c r="G1357" s="27">
        <v>4.54</v>
      </c>
      <c r="H1357" s="27">
        <v>4.62</v>
      </c>
      <c r="I1357" s="27">
        <v>12.92</v>
      </c>
      <c r="J1357" s="27">
        <v>1173.6199999999999</v>
      </c>
      <c r="K1357" s="47">
        <f t="shared" si="169"/>
        <v>0.72991257817692279</v>
      </c>
      <c r="L1357" s="47">
        <f t="shared" si="170"/>
        <v>0.21081781155740359</v>
      </c>
      <c r="M1357" s="84">
        <f t="shared" si="171"/>
        <v>0.94073038973432632</v>
      </c>
      <c r="N1357" s="47">
        <f t="shared" si="172"/>
        <v>3.8683730679436278E-3</v>
      </c>
      <c r="O1357" s="47">
        <f t="shared" si="173"/>
        <v>3.936538232136467E-3</v>
      </c>
      <c r="P1357" s="47">
        <f t="shared" si="174"/>
        <v>1.100867401714354E-2</v>
      </c>
      <c r="Q1357" s="47">
        <f t="shared" si="175"/>
        <v>1</v>
      </c>
    </row>
    <row r="1358" spans="1:17" x14ac:dyDescent="0.35">
      <c r="A1358" s="82">
        <v>1355</v>
      </c>
      <c r="B1358" s="83" t="str">
        <f>_xlfn.XLOOKUP(A1358,'TAZs by City - CCAG Model'!$A:$A,'TAZs by City - CCAG Model'!$B:$B,"Unknown")</f>
        <v>Sunnyvale</v>
      </c>
      <c r="C1358" s="82">
        <f>_xlfn.XLOOKUP(A1358,'TAZs by City - CCAG Model'!$A:$A,'TAZs by City - CCAG Model'!$C:$C,999)</f>
        <v>3</v>
      </c>
      <c r="D1358" s="82" t="str">
        <f t="shared" si="168"/>
        <v>NO</v>
      </c>
      <c r="E1358" s="27">
        <v>606.62</v>
      </c>
      <c r="F1358" s="27">
        <v>191</v>
      </c>
      <c r="G1358" s="27">
        <v>0</v>
      </c>
      <c r="H1358" s="27">
        <v>3.22</v>
      </c>
      <c r="I1358" s="27">
        <v>7.02</v>
      </c>
      <c r="J1358" s="27">
        <v>840.08</v>
      </c>
      <c r="K1358" s="47">
        <f t="shared" si="169"/>
        <v>0.72209789543852965</v>
      </c>
      <c r="L1358" s="47">
        <f t="shared" si="170"/>
        <v>0.22735929911437006</v>
      </c>
      <c r="M1358" s="84">
        <f t="shared" si="171"/>
        <v>0.94945719455289967</v>
      </c>
      <c r="N1358" s="47">
        <f t="shared" si="172"/>
        <v>0</v>
      </c>
      <c r="O1358" s="47">
        <f t="shared" si="173"/>
        <v>3.8329682887344061E-3</v>
      </c>
      <c r="P1358" s="47">
        <f t="shared" si="174"/>
        <v>8.3563470145700397E-3</v>
      </c>
      <c r="Q1358" s="47">
        <f t="shared" si="175"/>
        <v>1</v>
      </c>
    </row>
    <row r="1359" spans="1:17" x14ac:dyDescent="0.35">
      <c r="A1359" s="82">
        <v>1356</v>
      </c>
      <c r="B1359" s="83" t="str">
        <f>_xlfn.XLOOKUP(A1359,'TAZs by City - CCAG Model'!$A:$A,'TAZs by City - CCAG Model'!$B:$B,"Unknown")</f>
        <v>Sunnyvale</v>
      </c>
      <c r="C1359" s="82">
        <f>_xlfn.XLOOKUP(A1359,'TAZs by City - CCAG Model'!$A:$A,'TAZs by City - CCAG Model'!$C:$C,999)</f>
        <v>3</v>
      </c>
      <c r="D1359" s="82" t="str">
        <f t="shared" si="168"/>
        <v>NO</v>
      </c>
      <c r="E1359" s="27">
        <v>4091.62</v>
      </c>
      <c r="F1359" s="27">
        <v>1136.58</v>
      </c>
      <c r="G1359" s="27">
        <v>169.34</v>
      </c>
      <c r="H1359" s="27">
        <v>31.9</v>
      </c>
      <c r="I1359" s="27">
        <v>85.48</v>
      </c>
      <c r="J1359" s="27">
        <v>5719.94</v>
      </c>
      <c r="K1359" s="47">
        <f t="shared" si="169"/>
        <v>0.7153256852344605</v>
      </c>
      <c r="L1359" s="47">
        <f t="shared" si="170"/>
        <v>0.19870488151973623</v>
      </c>
      <c r="M1359" s="84">
        <f t="shared" si="171"/>
        <v>0.9140305667541968</v>
      </c>
      <c r="N1359" s="47">
        <f t="shared" si="172"/>
        <v>2.9605205649010306E-2</v>
      </c>
      <c r="O1359" s="47">
        <f t="shared" si="173"/>
        <v>5.5769815767298262E-3</v>
      </c>
      <c r="P1359" s="47">
        <f t="shared" si="174"/>
        <v>1.4944212701531836E-2</v>
      </c>
      <c r="Q1359" s="47">
        <f t="shared" si="175"/>
        <v>1</v>
      </c>
    </row>
    <row r="1360" spans="1:17" x14ac:dyDescent="0.35">
      <c r="A1360" s="82">
        <v>1357</v>
      </c>
      <c r="B1360" s="83" t="str">
        <f>_xlfn.XLOOKUP(A1360,'TAZs by City - CCAG Model'!$A:$A,'TAZs by City - CCAG Model'!$B:$B,"Unknown")</f>
        <v>Sunnyvale</v>
      </c>
      <c r="C1360" s="82">
        <f>_xlfn.XLOOKUP(A1360,'TAZs by City - CCAG Model'!$A:$A,'TAZs by City - CCAG Model'!$C:$C,999)</f>
        <v>3</v>
      </c>
      <c r="D1360" s="82" t="str">
        <f t="shared" si="168"/>
        <v>NO</v>
      </c>
      <c r="E1360" s="27">
        <v>56.1</v>
      </c>
      <c r="F1360" s="27">
        <v>18.14</v>
      </c>
      <c r="G1360" s="27">
        <v>0.18</v>
      </c>
      <c r="H1360" s="27">
        <v>0</v>
      </c>
      <c r="I1360" s="27">
        <v>1.52</v>
      </c>
      <c r="J1360" s="27">
        <v>95</v>
      </c>
      <c r="K1360" s="47">
        <f t="shared" si="169"/>
        <v>0.59052631578947368</v>
      </c>
      <c r="L1360" s="47">
        <f t="shared" si="170"/>
        <v>0.19094736842105264</v>
      </c>
      <c r="M1360" s="84">
        <f t="shared" si="171"/>
        <v>0.78147368421052643</v>
      </c>
      <c r="N1360" s="47">
        <f t="shared" si="172"/>
        <v>1.8947368421052631E-3</v>
      </c>
      <c r="O1360" s="47">
        <f t="shared" si="173"/>
        <v>0</v>
      </c>
      <c r="P1360" s="47">
        <f t="shared" si="174"/>
        <v>1.6E-2</v>
      </c>
      <c r="Q1360" s="47">
        <f t="shared" si="175"/>
        <v>1</v>
      </c>
    </row>
    <row r="1361" spans="1:17" x14ac:dyDescent="0.35">
      <c r="A1361" s="82">
        <v>1358</v>
      </c>
      <c r="B1361" s="83" t="str">
        <f>_xlfn.XLOOKUP(A1361,'TAZs by City - CCAG Model'!$A:$A,'TAZs by City - CCAG Model'!$B:$B,"Unknown")</f>
        <v>Sunnyvale</v>
      </c>
      <c r="C1361" s="82">
        <f>_xlfn.XLOOKUP(A1361,'TAZs by City - CCAG Model'!$A:$A,'TAZs by City - CCAG Model'!$C:$C,999)</f>
        <v>3</v>
      </c>
      <c r="D1361" s="82" t="str">
        <f t="shared" si="168"/>
        <v>NO</v>
      </c>
      <c r="E1361" s="27">
        <v>25.62</v>
      </c>
      <c r="F1361" s="27">
        <v>3.72</v>
      </c>
      <c r="G1361" s="27">
        <v>0</v>
      </c>
      <c r="H1361" s="27">
        <v>0</v>
      </c>
      <c r="I1361" s="27">
        <v>0.32</v>
      </c>
      <c r="J1361" s="27">
        <v>40.96</v>
      </c>
      <c r="K1361" s="47">
        <f t="shared" si="169"/>
        <v>0.62548828125</v>
      </c>
      <c r="L1361" s="47">
        <f t="shared" si="170"/>
        <v>9.08203125E-2</v>
      </c>
      <c r="M1361" s="84">
        <f t="shared" si="171"/>
        <v>0.71630859375</v>
      </c>
      <c r="N1361" s="47">
        <f t="shared" si="172"/>
        <v>0</v>
      </c>
      <c r="O1361" s="47">
        <f t="shared" si="173"/>
        <v>0</v>
      </c>
      <c r="P1361" s="47">
        <f t="shared" si="174"/>
        <v>7.8125E-3</v>
      </c>
      <c r="Q1361" s="47">
        <f t="shared" si="175"/>
        <v>1</v>
      </c>
    </row>
    <row r="1362" spans="1:17" x14ac:dyDescent="0.35">
      <c r="A1362" s="82">
        <v>1359</v>
      </c>
      <c r="B1362" s="83" t="str">
        <f>_xlfn.XLOOKUP(A1362,'TAZs by City - CCAG Model'!$A:$A,'TAZs by City - CCAG Model'!$B:$B,"Unknown")</f>
        <v>Sunnyvale</v>
      </c>
      <c r="C1362" s="82">
        <f>_xlfn.XLOOKUP(A1362,'TAZs by City - CCAG Model'!$A:$A,'TAZs by City - CCAG Model'!$C:$C,999)</f>
        <v>3</v>
      </c>
      <c r="D1362" s="82" t="str">
        <f t="shared" si="168"/>
        <v>NO</v>
      </c>
      <c r="E1362" s="27">
        <v>1030.24</v>
      </c>
      <c r="F1362" s="27">
        <v>305.86</v>
      </c>
      <c r="G1362" s="27">
        <v>31.26</v>
      </c>
      <c r="H1362" s="27">
        <v>5.26</v>
      </c>
      <c r="I1362" s="27">
        <v>20.64</v>
      </c>
      <c r="J1362" s="27">
        <v>1475.82</v>
      </c>
      <c r="K1362" s="47">
        <f t="shared" si="169"/>
        <v>0.69807971161794802</v>
      </c>
      <c r="L1362" s="47">
        <f t="shared" si="170"/>
        <v>0.20724749630713774</v>
      </c>
      <c r="M1362" s="84">
        <f t="shared" si="171"/>
        <v>0.9053272079250857</v>
      </c>
      <c r="N1362" s="47">
        <f t="shared" si="172"/>
        <v>2.1181444891653457E-2</v>
      </c>
      <c r="O1362" s="47">
        <f t="shared" si="173"/>
        <v>3.5641202856716942E-3</v>
      </c>
      <c r="P1362" s="47">
        <f t="shared" si="174"/>
        <v>1.3985445379517828E-2</v>
      </c>
      <c r="Q1362" s="47">
        <f t="shared" si="175"/>
        <v>1</v>
      </c>
    </row>
    <row r="1363" spans="1:17" x14ac:dyDescent="0.35">
      <c r="A1363" s="82">
        <v>1360</v>
      </c>
      <c r="B1363" s="83" t="str">
        <f>_xlfn.XLOOKUP(A1363,'TAZs by City - CCAG Model'!$A:$A,'TAZs by City - CCAG Model'!$B:$B,"Unknown")</f>
        <v>Sunnyvale</v>
      </c>
      <c r="C1363" s="82">
        <f>_xlfn.XLOOKUP(A1363,'TAZs by City - CCAG Model'!$A:$A,'TAZs by City - CCAG Model'!$C:$C,999)</f>
        <v>3</v>
      </c>
      <c r="D1363" s="82" t="str">
        <f t="shared" si="168"/>
        <v>NO</v>
      </c>
      <c r="E1363" s="27">
        <v>4211.68</v>
      </c>
      <c r="F1363" s="27">
        <v>1486.54</v>
      </c>
      <c r="G1363" s="27">
        <v>118.7</v>
      </c>
      <c r="H1363" s="27">
        <v>66.959999999999994</v>
      </c>
      <c r="I1363" s="27">
        <v>243.34</v>
      </c>
      <c r="J1363" s="27">
        <v>6285.66</v>
      </c>
      <c r="K1363" s="47">
        <f t="shared" si="169"/>
        <v>0.67004578675906756</v>
      </c>
      <c r="L1363" s="47">
        <f t="shared" si="170"/>
        <v>0.23649704247445774</v>
      </c>
      <c r="M1363" s="84">
        <f t="shared" si="171"/>
        <v>0.90654282923352525</v>
      </c>
      <c r="N1363" s="47">
        <f t="shared" si="172"/>
        <v>1.888425400037546E-2</v>
      </c>
      <c r="O1363" s="47">
        <f t="shared" si="173"/>
        <v>1.0652819274348278E-2</v>
      </c>
      <c r="P1363" s="47">
        <f t="shared" si="174"/>
        <v>3.871351616218504E-2</v>
      </c>
      <c r="Q1363" s="47">
        <f t="shared" si="175"/>
        <v>1</v>
      </c>
    </row>
    <row r="1364" spans="1:17" x14ac:dyDescent="0.35">
      <c r="A1364" s="82">
        <v>1361</v>
      </c>
      <c r="B1364" s="83" t="str">
        <f>_xlfn.XLOOKUP(A1364,'TAZs by City - CCAG Model'!$A:$A,'TAZs by City - CCAG Model'!$B:$B,"Unknown")</f>
        <v>Sunnyvale</v>
      </c>
      <c r="C1364" s="82">
        <f>_xlfn.XLOOKUP(A1364,'TAZs by City - CCAG Model'!$A:$A,'TAZs by City - CCAG Model'!$C:$C,999)</f>
        <v>3</v>
      </c>
      <c r="D1364" s="82" t="str">
        <f t="shared" si="168"/>
        <v>NO</v>
      </c>
      <c r="E1364" s="27">
        <v>1515.9</v>
      </c>
      <c r="F1364" s="27">
        <v>810.9</v>
      </c>
      <c r="G1364" s="27">
        <v>43.82</v>
      </c>
      <c r="H1364" s="27">
        <v>26.64</v>
      </c>
      <c r="I1364" s="27">
        <v>166.16</v>
      </c>
      <c r="J1364" s="27">
        <v>2653.26</v>
      </c>
      <c r="K1364" s="47">
        <f t="shared" si="169"/>
        <v>0.57133488614006922</v>
      </c>
      <c r="L1364" s="47">
        <f t="shared" si="170"/>
        <v>0.30562402478460454</v>
      </c>
      <c r="M1364" s="84">
        <f t="shared" si="171"/>
        <v>0.87695891092467382</v>
      </c>
      <c r="N1364" s="47">
        <f t="shared" si="172"/>
        <v>1.6515531836307034E-2</v>
      </c>
      <c r="O1364" s="47">
        <f t="shared" si="173"/>
        <v>1.0040478505687343E-2</v>
      </c>
      <c r="P1364" s="47">
        <f t="shared" si="174"/>
        <v>6.262484641535318E-2</v>
      </c>
      <c r="Q1364" s="47">
        <f t="shared" si="175"/>
        <v>1</v>
      </c>
    </row>
    <row r="1365" spans="1:17" x14ac:dyDescent="0.35">
      <c r="A1365" s="82">
        <v>1362</v>
      </c>
      <c r="B1365" s="83" t="str">
        <f>_xlfn.XLOOKUP(A1365,'TAZs by City - CCAG Model'!$A:$A,'TAZs by City - CCAG Model'!$B:$B,"Unknown")</f>
        <v>Sunnyvale</v>
      </c>
      <c r="C1365" s="82">
        <f>_xlfn.XLOOKUP(A1365,'TAZs by City - CCAG Model'!$A:$A,'TAZs by City - CCAG Model'!$C:$C,999)</f>
        <v>3</v>
      </c>
      <c r="D1365" s="82" t="str">
        <f t="shared" si="168"/>
        <v>NO</v>
      </c>
      <c r="E1365" s="27">
        <v>2004.1</v>
      </c>
      <c r="F1365" s="27">
        <v>502.2</v>
      </c>
      <c r="G1365" s="27">
        <v>38.479999999999997</v>
      </c>
      <c r="H1365" s="27">
        <v>21.76</v>
      </c>
      <c r="I1365" s="27">
        <v>73.52</v>
      </c>
      <c r="J1365" s="27">
        <v>2727.1</v>
      </c>
      <c r="K1365" s="47">
        <f t="shared" si="169"/>
        <v>0.73488320926992046</v>
      </c>
      <c r="L1365" s="47">
        <f t="shared" si="170"/>
        <v>0.18415166293865279</v>
      </c>
      <c r="M1365" s="84">
        <f t="shared" si="171"/>
        <v>0.91903487220857316</v>
      </c>
      <c r="N1365" s="47">
        <f t="shared" si="172"/>
        <v>1.4110226981042131E-2</v>
      </c>
      <c r="O1365" s="47">
        <f t="shared" si="173"/>
        <v>7.9791720142275684E-3</v>
      </c>
      <c r="P1365" s="47">
        <f t="shared" si="174"/>
        <v>2.695904073924682E-2</v>
      </c>
      <c r="Q1365" s="47">
        <f t="shared" si="175"/>
        <v>1</v>
      </c>
    </row>
    <row r="1366" spans="1:17" x14ac:dyDescent="0.35">
      <c r="A1366" s="82">
        <v>1363</v>
      </c>
      <c r="B1366" s="83" t="str">
        <f>_xlfn.XLOOKUP(A1366,'TAZs by City - CCAG Model'!$A:$A,'TAZs by City - CCAG Model'!$B:$B,"Unknown")</f>
        <v>Sunnyvale</v>
      </c>
      <c r="C1366" s="82">
        <f>_xlfn.XLOOKUP(A1366,'TAZs by City - CCAG Model'!$A:$A,'TAZs by City - CCAG Model'!$C:$C,999)</f>
        <v>3</v>
      </c>
      <c r="D1366" s="82" t="str">
        <f t="shared" si="168"/>
        <v>NO</v>
      </c>
      <c r="E1366" s="27">
        <v>826.66</v>
      </c>
      <c r="F1366" s="27">
        <v>177</v>
      </c>
      <c r="G1366" s="27">
        <v>5.6</v>
      </c>
      <c r="H1366" s="27">
        <v>7.14</v>
      </c>
      <c r="I1366" s="27">
        <v>19.04</v>
      </c>
      <c r="J1366" s="27">
        <v>1088.5</v>
      </c>
      <c r="K1366" s="47">
        <f t="shared" si="169"/>
        <v>0.75944878272852545</v>
      </c>
      <c r="L1366" s="47">
        <f t="shared" si="170"/>
        <v>0.16260909508497934</v>
      </c>
      <c r="M1366" s="84">
        <f t="shared" si="171"/>
        <v>0.92205787781350479</v>
      </c>
      <c r="N1366" s="47">
        <f t="shared" si="172"/>
        <v>5.1446945337620571E-3</v>
      </c>
      <c r="O1366" s="47">
        <f t="shared" si="173"/>
        <v>6.5594855305466234E-3</v>
      </c>
      <c r="P1366" s="47">
        <f t="shared" si="174"/>
        <v>1.7491961414790997E-2</v>
      </c>
      <c r="Q1366" s="47">
        <f t="shared" si="175"/>
        <v>1</v>
      </c>
    </row>
    <row r="1367" spans="1:17" x14ac:dyDescent="0.35">
      <c r="A1367" s="82">
        <v>1364</v>
      </c>
      <c r="B1367" s="83" t="str">
        <f>_xlfn.XLOOKUP(A1367,'TAZs by City - CCAG Model'!$A:$A,'TAZs by City - CCAG Model'!$B:$B,"Unknown")</f>
        <v>Sunnyvale</v>
      </c>
      <c r="C1367" s="82">
        <f>_xlfn.XLOOKUP(A1367,'TAZs by City - CCAG Model'!$A:$A,'TAZs by City - CCAG Model'!$C:$C,999)</f>
        <v>3</v>
      </c>
      <c r="D1367" s="82" t="str">
        <f t="shared" si="168"/>
        <v>NO</v>
      </c>
      <c r="E1367" s="27">
        <v>13791.18</v>
      </c>
      <c r="F1367" s="27">
        <v>6723.52</v>
      </c>
      <c r="G1367" s="27">
        <v>424.74</v>
      </c>
      <c r="H1367" s="27">
        <v>209.16</v>
      </c>
      <c r="I1367" s="27">
        <v>1549.92</v>
      </c>
      <c r="J1367" s="27">
        <v>23158.04</v>
      </c>
      <c r="K1367" s="47">
        <f t="shared" si="169"/>
        <v>0.59552449171000654</v>
      </c>
      <c r="L1367" s="47">
        <f t="shared" si="170"/>
        <v>0.29033199700838241</v>
      </c>
      <c r="M1367" s="84">
        <f t="shared" si="171"/>
        <v>0.88585648871838896</v>
      </c>
      <c r="N1367" s="47">
        <f t="shared" si="172"/>
        <v>1.8340930406891085E-2</v>
      </c>
      <c r="O1367" s="47">
        <f t="shared" si="173"/>
        <v>9.0318524365619879E-3</v>
      </c>
      <c r="P1367" s="47">
        <f t="shared" si="174"/>
        <v>6.6927943815625154E-2</v>
      </c>
      <c r="Q1367" s="47">
        <f t="shared" si="175"/>
        <v>1</v>
      </c>
    </row>
    <row r="1368" spans="1:17" x14ac:dyDescent="0.35">
      <c r="A1368" s="82">
        <v>1365</v>
      </c>
      <c r="B1368" s="83" t="str">
        <f>_xlfn.XLOOKUP(A1368,'TAZs by City - CCAG Model'!$A:$A,'TAZs by City - CCAG Model'!$B:$B,"Unknown")</f>
        <v>Sunnyvale</v>
      </c>
      <c r="C1368" s="82">
        <f>_xlfn.XLOOKUP(A1368,'TAZs by City - CCAG Model'!$A:$A,'TAZs by City - CCAG Model'!$C:$C,999)</f>
        <v>3</v>
      </c>
      <c r="D1368" s="82" t="str">
        <f t="shared" si="168"/>
        <v>NO</v>
      </c>
      <c r="E1368" s="27">
        <v>90.9</v>
      </c>
      <c r="F1368" s="27">
        <v>20.6</v>
      </c>
      <c r="G1368" s="27">
        <v>0.66</v>
      </c>
      <c r="H1368" s="27">
        <v>0.18</v>
      </c>
      <c r="I1368" s="27">
        <v>7.4</v>
      </c>
      <c r="J1368" s="27">
        <v>144.96</v>
      </c>
      <c r="K1368" s="47">
        <f t="shared" si="169"/>
        <v>0.62706953642384111</v>
      </c>
      <c r="L1368" s="47">
        <f t="shared" si="170"/>
        <v>0.14210816777041943</v>
      </c>
      <c r="M1368" s="84">
        <f t="shared" si="171"/>
        <v>0.76917770419426046</v>
      </c>
      <c r="N1368" s="47">
        <f t="shared" si="172"/>
        <v>4.552980132450331E-3</v>
      </c>
      <c r="O1368" s="47">
        <f t="shared" si="173"/>
        <v>1.2417218543046356E-3</v>
      </c>
      <c r="P1368" s="47">
        <f t="shared" si="174"/>
        <v>5.1048565121412801E-2</v>
      </c>
      <c r="Q1368" s="47">
        <f t="shared" si="175"/>
        <v>1</v>
      </c>
    </row>
    <row r="1369" spans="1:17" x14ac:dyDescent="0.35">
      <c r="A1369" s="82">
        <v>1366</v>
      </c>
      <c r="B1369" s="83" t="str">
        <f>_xlfn.XLOOKUP(A1369,'TAZs by City - CCAG Model'!$A:$A,'TAZs by City - CCAG Model'!$B:$B,"Unknown")</f>
        <v>Sunnyvale</v>
      </c>
      <c r="C1369" s="82">
        <f>_xlfn.XLOOKUP(A1369,'TAZs by City - CCAG Model'!$A:$A,'TAZs by City - CCAG Model'!$C:$C,999)</f>
        <v>3</v>
      </c>
      <c r="D1369" s="82" t="str">
        <f t="shared" si="168"/>
        <v>NO</v>
      </c>
      <c r="E1369" s="27">
        <v>228.68</v>
      </c>
      <c r="F1369" s="27">
        <v>100.46</v>
      </c>
      <c r="G1369" s="27">
        <v>3.54</v>
      </c>
      <c r="H1369" s="27">
        <v>1.64</v>
      </c>
      <c r="I1369" s="27">
        <v>26.94</v>
      </c>
      <c r="J1369" s="27">
        <v>390.84</v>
      </c>
      <c r="K1369" s="47">
        <f t="shared" si="169"/>
        <v>0.58509876164159247</v>
      </c>
      <c r="L1369" s="47">
        <f t="shared" si="170"/>
        <v>0.25703612731552555</v>
      </c>
      <c r="M1369" s="84">
        <f t="shared" si="171"/>
        <v>0.84213488895711797</v>
      </c>
      <c r="N1369" s="47">
        <f t="shared" si="172"/>
        <v>9.0574147988946897E-3</v>
      </c>
      <c r="O1369" s="47">
        <f t="shared" si="173"/>
        <v>4.1960904718043191E-3</v>
      </c>
      <c r="P1369" s="47">
        <f t="shared" si="174"/>
        <v>6.8928461774639252E-2</v>
      </c>
      <c r="Q1369" s="47">
        <f t="shared" si="175"/>
        <v>1</v>
      </c>
    </row>
    <row r="1370" spans="1:17" x14ac:dyDescent="0.35">
      <c r="A1370" s="82">
        <v>1367</v>
      </c>
      <c r="B1370" s="83" t="str">
        <f>_xlfn.XLOOKUP(A1370,'TAZs by City - CCAG Model'!$A:$A,'TAZs by City - CCAG Model'!$B:$B,"Unknown")</f>
        <v>Sunnyvale</v>
      </c>
      <c r="C1370" s="82">
        <f>_xlfn.XLOOKUP(A1370,'TAZs by City - CCAG Model'!$A:$A,'TAZs by City - CCAG Model'!$C:$C,999)</f>
        <v>3</v>
      </c>
      <c r="D1370" s="82" t="str">
        <f t="shared" si="168"/>
        <v>NO</v>
      </c>
      <c r="E1370" s="27">
        <v>7148.36</v>
      </c>
      <c r="F1370" s="27">
        <v>3947.24</v>
      </c>
      <c r="G1370" s="27">
        <v>333.58</v>
      </c>
      <c r="H1370" s="27">
        <v>216.84</v>
      </c>
      <c r="I1370" s="27">
        <v>1570.08</v>
      </c>
      <c r="J1370" s="27">
        <v>13595.94</v>
      </c>
      <c r="K1370" s="47">
        <f t="shared" si="169"/>
        <v>0.52577166418798549</v>
      </c>
      <c r="L1370" s="47">
        <f t="shared" si="170"/>
        <v>0.29032490581747195</v>
      </c>
      <c r="M1370" s="84">
        <f t="shared" si="171"/>
        <v>0.81609657000545732</v>
      </c>
      <c r="N1370" s="47">
        <f t="shared" si="172"/>
        <v>2.4535265674900004E-2</v>
      </c>
      <c r="O1370" s="47">
        <f t="shared" si="173"/>
        <v>1.5948878856482156E-2</v>
      </c>
      <c r="P1370" s="47">
        <f t="shared" si="174"/>
        <v>0.11548153345778224</v>
      </c>
      <c r="Q1370" s="47">
        <f t="shared" si="175"/>
        <v>1</v>
      </c>
    </row>
    <row r="1371" spans="1:17" x14ac:dyDescent="0.35">
      <c r="A1371" s="82">
        <v>1368</v>
      </c>
      <c r="B1371" s="83" t="str">
        <f>_xlfn.XLOOKUP(A1371,'TAZs by City - CCAG Model'!$A:$A,'TAZs by City - CCAG Model'!$B:$B,"Unknown")</f>
        <v>Sunnyvale</v>
      </c>
      <c r="C1371" s="82">
        <f>_xlfn.XLOOKUP(A1371,'TAZs by City - CCAG Model'!$A:$A,'TAZs by City - CCAG Model'!$C:$C,999)</f>
        <v>3</v>
      </c>
      <c r="D1371" s="82" t="str">
        <f t="shared" si="168"/>
        <v>NO</v>
      </c>
      <c r="E1371" s="27">
        <v>3001.06</v>
      </c>
      <c r="F1371" s="27">
        <v>2152.38</v>
      </c>
      <c r="G1371" s="27">
        <v>194.74</v>
      </c>
      <c r="H1371" s="27">
        <v>82.98</v>
      </c>
      <c r="I1371" s="27">
        <v>316.22000000000003</v>
      </c>
      <c r="J1371" s="27">
        <v>5970.54</v>
      </c>
      <c r="K1371" s="47">
        <f t="shared" si="169"/>
        <v>0.5026446519075326</v>
      </c>
      <c r="L1371" s="47">
        <f t="shared" si="170"/>
        <v>0.36050005527138251</v>
      </c>
      <c r="M1371" s="84">
        <f t="shared" si="171"/>
        <v>0.86314470717891523</v>
      </c>
      <c r="N1371" s="47">
        <f t="shared" si="172"/>
        <v>3.2616815229443236E-2</v>
      </c>
      <c r="O1371" s="47">
        <f t="shared" si="173"/>
        <v>1.3898240360168427E-2</v>
      </c>
      <c r="P1371" s="47">
        <f t="shared" si="174"/>
        <v>5.296338354654688E-2</v>
      </c>
      <c r="Q1371" s="47">
        <f t="shared" si="175"/>
        <v>1</v>
      </c>
    </row>
    <row r="1372" spans="1:17" x14ac:dyDescent="0.35">
      <c r="A1372" s="82">
        <v>1369</v>
      </c>
      <c r="B1372" s="83" t="str">
        <f>_xlfn.XLOOKUP(A1372,'TAZs by City - CCAG Model'!$A:$A,'TAZs by City - CCAG Model'!$B:$B,"Unknown")</f>
        <v>Sunnyvale</v>
      </c>
      <c r="C1372" s="82">
        <f>_xlfn.XLOOKUP(A1372,'TAZs by City - CCAG Model'!$A:$A,'TAZs by City - CCAG Model'!$C:$C,999)</f>
        <v>3</v>
      </c>
      <c r="D1372" s="82" t="str">
        <f t="shared" si="168"/>
        <v>NO</v>
      </c>
      <c r="E1372" s="27">
        <v>11551.78</v>
      </c>
      <c r="F1372" s="27">
        <v>7163.94</v>
      </c>
      <c r="G1372" s="27">
        <v>582.54</v>
      </c>
      <c r="H1372" s="27">
        <v>405.1</v>
      </c>
      <c r="I1372" s="27">
        <v>2973.5</v>
      </c>
      <c r="J1372" s="27">
        <v>23301.56</v>
      </c>
      <c r="K1372" s="47">
        <f t="shared" si="169"/>
        <v>0.49575135741984655</v>
      </c>
      <c r="L1372" s="47">
        <f t="shared" si="170"/>
        <v>0.30744465177438762</v>
      </c>
      <c r="M1372" s="84">
        <f t="shared" si="171"/>
        <v>0.80319600919423417</v>
      </c>
      <c r="N1372" s="47">
        <f t="shared" si="172"/>
        <v>2.5000042915581614E-2</v>
      </c>
      <c r="O1372" s="47">
        <f t="shared" si="173"/>
        <v>1.73851021133349E-2</v>
      </c>
      <c r="P1372" s="47">
        <f t="shared" si="174"/>
        <v>0.12760948194026495</v>
      </c>
      <c r="Q1372" s="47">
        <f t="shared" si="175"/>
        <v>1</v>
      </c>
    </row>
    <row r="1373" spans="1:17" x14ac:dyDescent="0.35">
      <c r="A1373" s="82">
        <v>1370</v>
      </c>
      <c r="B1373" s="83" t="str">
        <f>_xlfn.XLOOKUP(A1373,'TAZs by City - CCAG Model'!$A:$A,'TAZs by City - CCAG Model'!$B:$B,"Unknown")</f>
        <v>Sunnyvale</v>
      </c>
      <c r="C1373" s="82">
        <f>_xlfn.XLOOKUP(A1373,'TAZs by City - CCAG Model'!$A:$A,'TAZs by City - CCAG Model'!$C:$C,999)</f>
        <v>3</v>
      </c>
      <c r="D1373" s="82" t="str">
        <f t="shared" si="168"/>
        <v>NO</v>
      </c>
      <c r="E1373" s="27">
        <v>1813.16</v>
      </c>
      <c r="F1373" s="27">
        <v>855.52</v>
      </c>
      <c r="G1373" s="27">
        <v>96.46</v>
      </c>
      <c r="H1373" s="27">
        <v>42.22</v>
      </c>
      <c r="I1373" s="27">
        <v>503.92</v>
      </c>
      <c r="J1373" s="27">
        <v>3458.94</v>
      </c>
      <c r="K1373" s="47">
        <f t="shared" si="169"/>
        <v>0.52419527369656604</v>
      </c>
      <c r="L1373" s="47">
        <f t="shared" si="170"/>
        <v>0.24733588902958709</v>
      </c>
      <c r="M1373" s="84">
        <f t="shared" si="171"/>
        <v>0.77153116272615319</v>
      </c>
      <c r="N1373" s="47">
        <f t="shared" si="172"/>
        <v>2.7887156180795271E-2</v>
      </c>
      <c r="O1373" s="47">
        <f t="shared" si="173"/>
        <v>1.2206051564930296E-2</v>
      </c>
      <c r="P1373" s="47">
        <f t="shared" si="174"/>
        <v>0.14568625070108185</v>
      </c>
      <c r="Q1373" s="47">
        <f t="shared" si="175"/>
        <v>1</v>
      </c>
    </row>
    <row r="1374" spans="1:17" x14ac:dyDescent="0.35">
      <c r="A1374" s="82">
        <v>1371</v>
      </c>
      <c r="B1374" s="83" t="str">
        <f>_xlfn.XLOOKUP(A1374,'TAZs by City - CCAG Model'!$A:$A,'TAZs by City - CCAG Model'!$B:$B,"Unknown")</f>
        <v>Sunnyvale</v>
      </c>
      <c r="C1374" s="82">
        <f>_xlfn.XLOOKUP(A1374,'TAZs by City - CCAG Model'!$A:$A,'TAZs by City - CCAG Model'!$C:$C,999)</f>
        <v>3</v>
      </c>
      <c r="D1374" s="82" t="str">
        <f t="shared" si="168"/>
        <v>NO</v>
      </c>
      <c r="E1374" s="27">
        <v>7771.48</v>
      </c>
      <c r="F1374" s="27">
        <v>5549.68</v>
      </c>
      <c r="G1374" s="27">
        <v>336.9</v>
      </c>
      <c r="H1374" s="27">
        <v>206.44</v>
      </c>
      <c r="I1374" s="27">
        <v>2316.64</v>
      </c>
      <c r="J1374" s="27">
        <v>16557.78</v>
      </c>
      <c r="K1374" s="47">
        <f t="shared" si="169"/>
        <v>0.46935519133603659</v>
      </c>
      <c r="L1374" s="47">
        <f t="shared" si="170"/>
        <v>0.33517053614675402</v>
      </c>
      <c r="M1374" s="84">
        <f t="shared" si="171"/>
        <v>0.80452572748279061</v>
      </c>
      <c r="N1374" s="47">
        <f t="shared" si="172"/>
        <v>2.034693056677888E-2</v>
      </c>
      <c r="O1374" s="47">
        <f t="shared" si="173"/>
        <v>1.246785499022212E-2</v>
      </c>
      <c r="P1374" s="47">
        <f t="shared" si="174"/>
        <v>0.13991247618944086</v>
      </c>
      <c r="Q1374" s="47">
        <f t="shared" si="175"/>
        <v>1</v>
      </c>
    </row>
    <row r="1375" spans="1:17" x14ac:dyDescent="0.35">
      <c r="A1375" s="82">
        <v>1372</v>
      </c>
      <c r="B1375" s="83" t="str">
        <f>_xlfn.XLOOKUP(A1375,'TAZs by City - CCAG Model'!$A:$A,'TAZs by City - CCAG Model'!$B:$B,"Unknown")</f>
        <v>Sunnyvale</v>
      </c>
      <c r="C1375" s="82">
        <f>_xlfn.XLOOKUP(A1375,'TAZs by City - CCAG Model'!$A:$A,'TAZs by City - CCAG Model'!$C:$C,999)</f>
        <v>3</v>
      </c>
      <c r="D1375" s="82" t="str">
        <f t="shared" si="168"/>
        <v>NO</v>
      </c>
      <c r="E1375" s="27">
        <v>3980.3</v>
      </c>
      <c r="F1375" s="27">
        <v>2609.38</v>
      </c>
      <c r="G1375" s="27">
        <v>193.9</v>
      </c>
      <c r="H1375" s="27">
        <v>113.2</v>
      </c>
      <c r="I1375" s="27">
        <v>1561.16</v>
      </c>
      <c r="J1375" s="27">
        <v>8695.4</v>
      </c>
      <c r="K1375" s="47">
        <f t="shared" si="169"/>
        <v>0.4577477746854659</v>
      </c>
      <c r="L1375" s="47">
        <f t="shared" si="170"/>
        <v>0.30008740253467353</v>
      </c>
      <c r="M1375" s="84">
        <f t="shared" si="171"/>
        <v>0.75783517722013949</v>
      </c>
      <c r="N1375" s="47">
        <f t="shared" si="172"/>
        <v>2.2299146675253585E-2</v>
      </c>
      <c r="O1375" s="47">
        <f t="shared" si="173"/>
        <v>1.3018377532948456E-2</v>
      </c>
      <c r="P1375" s="47">
        <f t="shared" si="174"/>
        <v>0.17953860661959198</v>
      </c>
      <c r="Q1375" s="47">
        <f t="shared" si="175"/>
        <v>1</v>
      </c>
    </row>
    <row r="1376" spans="1:17" x14ac:dyDescent="0.35">
      <c r="A1376" s="82">
        <v>1373</v>
      </c>
      <c r="B1376" s="83" t="str">
        <f>_xlfn.XLOOKUP(A1376,'TAZs by City - CCAG Model'!$A:$A,'TAZs by City - CCAG Model'!$B:$B,"Unknown")</f>
        <v>Sunnyvale</v>
      </c>
      <c r="C1376" s="82">
        <f>_xlfn.XLOOKUP(A1376,'TAZs by City - CCAG Model'!$A:$A,'TAZs by City - CCAG Model'!$C:$C,999)</f>
        <v>3</v>
      </c>
      <c r="D1376" s="82" t="str">
        <f t="shared" si="168"/>
        <v>NO</v>
      </c>
      <c r="E1376" s="27">
        <v>1771.12</v>
      </c>
      <c r="F1376" s="27">
        <v>835.96</v>
      </c>
      <c r="G1376" s="27">
        <v>56.02</v>
      </c>
      <c r="H1376" s="27">
        <v>32.32</v>
      </c>
      <c r="I1376" s="27">
        <v>197.42</v>
      </c>
      <c r="J1376" s="27">
        <v>3001.76</v>
      </c>
      <c r="K1376" s="47">
        <f t="shared" si="169"/>
        <v>0.5900271840520227</v>
      </c>
      <c r="L1376" s="47">
        <f t="shared" si="170"/>
        <v>0.2784899525611641</v>
      </c>
      <c r="M1376" s="84">
        <f t="shared" si="171"/>
        <v>0.86851713661318686</v>
      </c>
      <c r="N1376" s="47">
        <f t="shared" si="172"/>
        <v>1.8662384734289217E-2</v>
      </c>
      <c r="O1376" s="47">
        <f t="shared" si="173"/>
        <v>1.0767016683545653E-2</v>
      </c>
      <c r="P1376" s="47">
        <f t="shared" si="174"/>
        <v>6.5768082724801447E-2</v>
      </c>
      <c r="Q1376" s="47">
        <f t="shared" si="175"/>
        <v>1</v>
      </c>
    </row>
    <row r="1377" spans="1:17" x14ac:dyDescent="0.35">
      <c r="A1377" s="82">
        <v>1374</v>
      </c>
      <c r="B1377" s="83" t="str">
        <f>_xlfn.XLOOKUP(A1377,'TAZs by City - CCAG Model'!$A:$A,'TAZs by City - CCAG Model'!$B:$B,"Unknown")</f>
        <v>Sunnyvale</v>
      </c>
      <c r="C1377" s="82">
        <f>_xlfn.XLOOKUP(A1377,'TAZs by City - CCAG Model'!$A:$A,'TAZs by City - CCAG Model'!$C:$C,999)</f>
        <v>3</v>
      </c>
      <c r="D1377" s="82" t="str">
        <f t="shared" si="168"/>
        <v>NO</v>
      </c>
      <c r="E1377" s="27">
        <v>5239.92</v>
      </c>
      <c r="F1377" s="27">
        <v>4032.06</v>
      </c>
      <c r="G1377" s="27">
        <v>112.18</v>
      </c>
      <c r="H1377" s="27">
        <v>134.6</v>
      </c>
      <c r="I1377" s="27">
        <v>642.05999999999995</v>
      </c>
      <c r="J1377" s="27">
        <v>10303.040000000001</v>
      </c>
      <c r="K1377" s="47">
        <f t="shared" si="169"/>
        <v>0.50857999192471348</v>
      </c>
      <c r="L1377" s="47">
        <f t="shared" si="170"/>
        <v>0.39134663167375838</v>
      </c>
      <c r="M1377" s="84">
        <f t="shared" si="171"/>
        <v>0.89992662359847175</v>
      </c>
      <c r="N1377" s="47">
        <f t="shared" si="172"/>
        <v>1.0888048575954282E-2</v>
      </c>
      <c r="O1377" s="47">
        <f t="shared" si="173"/>
        <v>1.3064105351430256E-2</v>
      </c>
      <c r="P1377" s="47">
        <f t="shared" si="174"/>
        <v>6.2317529583501556E-2</v>
      </c>
      <c r="Q1377" s="47">
        <f t="shared" si="175"/>
        <v>1</v>
      </c>
    </row>
    <row r="1378" spans="1:17" x14ac:dyDescent="0.35">
      <c r="A1378" s="82">
        <v>1375</v>
      </c>
      <c r="B1378" s="83" t="str">
        <f>_xlfn.XLOOKUP(A1378,'TAZs by City - CCAG Model'!$A:$A,'TAZs by City - CCAG Model'!$B:$B,"Unknown")</f>
        <v>Sunnyvale</v>
      </c>
      <c r="C1378" s="82">
        <f>_xlfn.XLOOKUP(A1378,'TAZs by City - CCAG Model'!$A:$A,'TAZs by City - CCAG Model'!$C:$C,999)</f>
        <v>3</v>
      </c>
      <c r="D1378" s="82" t="str">
        <f t="shared" si="168"/>
        <v>NO</v>
      </c>
      <c r="E1378" s="27">
        <v>3939.36</v>
      </c>
      <c r="F1378" s="27">
        <v>2611.8000000000002</v>
      </c>
      <c r="G1378" s="27">
        <v>92.68</v>
      </c>
      <c r="H1378" s="27">
        <v>100.08</v>
      </c>
      <c r="I1378" s="27">
        <v>404.26</v>
      </c>
      <c r="J1378" s="27">
        <v>7284.06</v>
      </c>
      <c r="K1378" s="47">
        <f t="shared" si="169"/>
        <v>0.54081926837505456</v>
      </c>
      <c r="L1378" s="47">
        <f t="shared" si="170"/>
        <v>0.35856376800850076</v>
      </c>
      <c r="M1378" s="84">
        <f t="shared" si="171"/>
        <v>0.89938303638355521</v>
      </c>
      <c r="N1378" s="47">
        <f t="shared" si="172"/>
        <v>1.272367333602414E-2</v>
      </c>
      <c r="O1378" s="47">
        <f t="shared" si="173"/>
        <v>1.3739590283440828E-2</v>
      </c>
      <c r="P1378" s="47">
        <f t="shared" si="174"/>
        <v>5.5499268265225707E-2</v>
      </c>
      <c r="Q1378" s="47">
        <f t="shared" si="175"/>
        <v>1</v>
      </c>
    </row>
    <row r="1379" spans="1:17" x14ac:dyDescent="0.35">
      <c r="A1379" s="82">
        <v>1376</v>
      </c>
      <c r="B1379" s="83" t="str">
        <f>_xlfn.XLOOKUP(A1379,'TAZs by City - CCAG Model'!$A:$A,'TAZs by City - CCAG Model'!$B:$B,"Unknown")</f>
        <v>Sunnyvale</v>
      </c>
      <c r="C1379" s="82">
        <f>_xlfn.XLOOKUP(A1379,'TAZs by City - CCAG Model'!$A:$A,'TAZs by City - CCAG Model'!$C:$C,999)</f>
        <v>3</v>
      </c>
      <c r="D1379" s="82" t="str">
        <f t="shared" si="168"/>
        <v>NO</v>
      </c>
      <c r="E1379" s="27">
        <v>6168.42</v>
      </c>
      <c r="F1379" s="27">
        <v>4501.9799999999996</v>
      </c>
      <c r="G1379" s="27">
        <v>161.72</v>
      </c>
      <c r="H1379" s="27">
        <v>157.44</v>
      </c>
      <c r="I1379" s="27">
        <v>746.06</v>
      </c>
      <c r="J1379" s="27">
        <v>11930.96</v>
      </c>
      <c r="K1379" s="47">
        <f t="shared" si="169"/>
        <v>0.51700952815196766</v>
      </c>
      <c r="L1379" s="47">
        <f t="shared" si="170"/>
        <v>0.37733593943823462</v>
      </c>
      <c r="M1379" s="84">
        <f t="shared" si="171"/>
        <v>0.89434546759020228</v>
      </c>
      <c r="N1379" s="47">
        <f t="shared" si="172"/>
        <v>1.3554651092619538E-2</v>
      </c>
      <c r="O1379" s="47">
        <f t="shared" si="173"/>
        <v>1.3195920529446081E-2</v>
      </c>
      <c r="P1379" s="47">
        <f t="shared" si="174"/>
        <v>6.2531430832053744E-2</v>
      </c>
      <c r="Q1379" s="47">
        <f t="shared" si="175"/>
        <v>1</v>
      </c>
    </row>
    <row r="1380" spans="1:17" x14ac:dyDescent="0.35">
      <c r="A1380" s="82">
        <v>1377</v>
      </c>
      <c r="B1380" s="83" t="str">
        <f>_xlfn.XLOOKUP(A1380,'TAZs by City - CCAG Model'!$A:$A,'TAZs by City - CCAG Model'!$B:$B,"Unknown")</f>
        <v>Sunnyvale</v>
      </c>
      <c r="C1380" s="82">
        <f>_xlfn.XLOOKUP(A1380,'TAZs by City - CCAG Model'!$A:$A,'TAZs by City - CCAG Model'!$C:$C,999)</f>
        <v>3</v>
      </c>
      <c r="D1380" s="82" t="str">
        <f t="shared" si="168"/>
        <v>NO</v>
      </c>
      <c r="E1380" s="27">
        <v>0</v>
      </c>
      <c r="F1380" s="27">
        <v>0</v>
      </c>
      <c r="G1380" s="27">
        <v>0</v>
      </c>
      <c r="H1380" s="27">
        <v>0</v>
      </c>
      <c r="I1380" s="27">
        <v>0</v>
      </c>
      <c r="J1380" s="27">
        <v>0</v>
      </c>
      <c r="K1380" s="47">
        <f t="shared" si="169"/>
        <v>0</v>
      </c>
      <c r="L1380" s="47">
        <f t="shared" si="170"/>
        <v>0</v>
      </c>
      <c r="M1380" s="84">
        <f t="shared" si="171"/>
        <v>0</v>
      </c>
      <c r="N1380" s="47">
        <f t="shared" si="172"/>
        <v>0</v>
      </c>
      <c r="O1380" s="47">
        <f t="shared" si="173"/>
        <v>0</v>
      </c>
      <c r="P1380" s="47">
        <f t="shared" si="174"/>
        <v>0</v>
      </c>
      <c r="Q1380" s="47">
        <f t="shared" si="175"/>
        <v>0</v>
      </c>
    </row>
    <row r="1381" spans="1:17" x14ac:dyDescent="0.35">
      <c r="A1381" s="82">
        <v>1378</v>
      </c>
      <c r="B1381" s="83" t="str">
        <f>_xlfn.XLOOKUP(A1381,'TAZs by City - CCAG Model'!$A:$A,'TAZs by City - CCAG Model'!$B:$B,"Unknown")</f>
        <v>Sunnyvale</v>
      </c>
      <c r="C1381" s="82">
        <f>_xlfn.XLOOKUP(A1381,'TAZs by City - CCAG Model'!$A:$A,'TAZs by City - CCAG Model'!$C:$C,999)</f>
        <v>3</v>
      </c>
      <c r="D1381" s="82" t="str">
        <f t="shared" si="168"/>
        <v>NO</v>
      </c>
      <c r="E1381" s="27">
        <v>6422.94</v>
      </c>
      <c r="F1381" s="27">
        <v>1692.4</v>
      </c>
      <c r="G1381" s="27">
        <v>237.86</v>
      </c>
      <c r="H1381" s="27">
        <v>61.84</v>
      </c>
      <c r="I1381" s="27">
        <v>134.18</v>
      </c>
      <c r="J1381" s="27">
        <v>8817.32</v>
      </c>
      <c r="K1381" s="47">
        <f t="shared" si="169"/>
        <v>0.72844583161323395</v>
      </c>
      <c r="L1381" s="47">
        <f t="shared" si="170"/>
        <v>0.19194040819659491</v>
      </c>
      <c r="M1381" s="84">
        <f t="shared" si="171"/>
        <v>0.92038623980982892</v>
      </c>
      <c r="N1381" s="47">
        <f t="shared" si="172"/>
        <v>2.6976450894376072E-2</v>
      </c>
      <c r="O1381" s="47">
        <f t="shared" si="173"/>
        <v>7.0134689452123781E-3</v>
      </c>
      <c r="P1381" s="47">
        <f t="shared" si="174"/>
        <v>1.521777592284277E-2</v>
      </c>
      <c r="Q1381" s="47">
        <f t="shared" si="175"/>
        <v>1</v>
      </c>
    </row>
    <row r="1382" spans="1:17" x14ac:dyDescent="0.35">
      <c r="A1382" s="82">
        <v>1379</v>
      </c>
      <c r="B1382" s="83" t="str">
        <f>_xlfn.XLOOKUP(A1382,'TAZs by City - CCAG Model'!$A:$A,'TAZs by City - CCAG Model'!$B:$B,"Unknown")</f>
        <v>Sunnyvale</v>
      </c>
      <c r="C1382" s="82">
        <f>_xlfn.XLOOKUP(A1382,'TAZs by City - CCAG Model'!$A:$A,'TAZs by City - CCAG Model'!$C:$C,999)</f>
        <v>3</v>
      </c>
      <c r="D1382" s="82" t="str">
        <f t="shared" si="168"/>
        <v>NO</v>
      </c>
      <c r="E1382" s="27">
        <v>7440.9</v>
      </c>
      <c r="F1382" s="27">
        <v>5572.42</v>
      </c>
      <c r="G1382" s="27">
        <v>255.54</v>
      </c>
      <c r="H1382" s="27">
        <v>159.6</v>
      </c>
      <c r="I1382" s="27">
        <v>570.94000000000005</v>
      </c>
      <c r="J1382" s="27">
        <v>14282.38</v>
      </c>
      <c r="K1382" s="47">
        <f t="shared" si="169"/>
        <v>0.52098459780512774</v>
      </c>
      <c r="L1382" s="47">
        <f t="shared" si="170"/>
        <v>0.39016046345216976</v>
      </c>
      <c r="M1382" s="84">
        <f t="shared" si="171"/>
        <v>0.91114506125729744</v>
      </c>
      <c r="N1382" s="47">
        <f t="shared" si="172"/>
        <v>1.7891975987195413E-2</v>
      </c>
      <c r="O1382" s="47">
        <f t="shared" si="173"/>
        <v>1.1174608153543037E-2</v>
      </c>
      <c r="P1382" s="47">
        <f t="shared" si="174"/>
        <v>3.9975130195387606E-2</v>
      </c>
      <c r="Q1382" s="47">
        <f t="shared" si="175"/>
        <v>1</v>
      </c>
    </row>
    <row r="1383" spans="1:17" x14ac:dyDescent="0.35">
      <c r="A1383" s="82">
        <v>1380</v>
      </c>
      <c r="B1383" s="83" t="str">
        <f>_xlfn.XLOOKUP(A1383,'TAZs by City - CCAG Model'!$A:$A,'TAZs by City - CCAG Model'!$B:$B,"Unknown")</f>
        <v>Sunnyvale</v>
      </c>
      <c r="C1383" s="82">
        <f>_xlfn.XLOOKUP(A1383,'TAZs by City - CCAG Model'!$A:$A,'TAZs by City - CCAG Model'!$C:$C,999)</f>
        <v>3</v>
      </c>
      <c r="D1383" s="82" t="str">
        <f t="shared" si="168"/>
        <v>NO</v>
      </c>
      <c r="E1383" s="27">
        <v>4316.6000000000004</v>
      </c>
      <c r="F1383" s="27">
        <v>2770.68</v>
      </c>
      <c r="G1383" s="27">
        <v>242.78</v>
      </c>
      <c r="H1383" s="27">
        <v>99.46</v>
      </c>
      <c r="I1383" s="27">
        <v>1308.56</v>
      </c>
      <c r="J1383" s="27">
        <v>9021.0400000000009</v>
      </c>
      <c r="K1383" s="47">
        <f t="shared" si="169"/>
        <v>0.47850358716955027</v>
      </c>
      <c r="L1383" s="47">
        <f t="shared" si="170"/>
        <v>0.30713531920931508</v>
      </c>
      <c r="M1383" s="84">
        <f t="shared" si="171"/>
        <v>0.78563890637886535</v>
      </c>
      <c r="N1383" s="47">
        <f t="shared" si="172"/>
        <v>2.6912639784326415E-2</v>
      </c>
      <c r="O1383" s="47">
        <f t="shared" si="173"/>
        <v>1.102533632485833E-2</v>
      </c>
      <c r="P1383" s="47">
        <f t="shared" si="174"/>
        <v>0.14505644581999413</v>
      </c>
      <c r="Q1383" s="47">
        <f t="shared" si="175"/>
        <v>1</v>
      </c>
    </row>
    <row r="1384" spans="1:17" x14ac:dyDescent="0.35">
      <c r="A1384" s="82">
        <v>1381</v>
      </c>
      <c r="B1384" s="83" t="str">
        <f>_xlfn.XLOOKUP(A1384,'TAZs by City - CCAG Model'!$A:$A,'TAZs by City - CCAG Model'!$B:$B,"Unknown")</f>
        <v>Sunnyvale</v>
      </c>
      <c r="C1384" s="82">
        <f>_xlfn.XLOOKUP(A1384,'TAZs by City - CCAG Model'!$A:$A,'TAZs by City - CCAG Model'!$C:$C,999)</f>
        <v>3</v>
      </c>
      <c r="D1384" s="82" t="str">
        <f t="shared" si="168"/>
        <v>NO</v>
      </c>
      <c r="E1384" s="27">
        <v>2791.88</v>
      </c>
      <c r="F1384" s="27">
        <v>1281.48</v>
      </c>
      <c r="G1384" s="27">
        <v>133.94</v>
      </c>
      <c r="H1384" s="27">
        <v>57.78</v>
      </c>
      <c r="I1384" s="27">
        <v>483.88</v>
      </c>
      <c r="J1384" s="27">
        <v>4934.92</v>
      </c>
      <c r="K1384" s="47">
        <f t="shared" si="169"/>
        <v>0.56573966751234062</v>
      </c>
      <c r="L1384" s="47">
        <f t="shared" si="170"/>
        <v>0.25967594206187739</v>
      </c>
      <c r="M1384" s="84">
        <f t="shared" si="171"/>
        <v>0.825415609574218</v>
      </c>
      <c r="N1384" s="47">
        <f t="shared" si="172"/>
        <v>2.7141270780478711E-2</v>
      </c>
      <c r="O1384" s="47">
        <f t="shared" si="173"/>
        <v>1.1708396488696879E-2</v>
      </c>
      <c r="P1384" s="47">
        <f t="shared" si="174"/>
        <v>9.8052248060758837E-2</v>
      </c>
      <c r="Q1384" s="47">
        <f t="shared" si="175"/>
        <v>1</v>
      </c>
    </row>
    <row r="1385" spans="1:17" x14ac:dyDescent="0.35">
      <c r="A1385" s="82">
        <v>1382</v>
      </c>
      <c r="B1385" s="83" t="str">
        <f>_xlfn.XLOOKUP(A1385,'TAZs by City - CCAG Model'!$A:$A,'TAZs by City - CCAG Model'!$B:$B,"Unknown")</f>
        <v>Sunnyvale</v>
      </c>
      <c r="C1385" s="82">
        <f>_xlfn.XLOOKUP(A1385,'TAZs by City - CCAG Model'!$A:$A,'TAZs by City - CCAG Model'!$C:$C,999)</f>
        <v>3</v>
      </c>
      <c r="D1385" s="82" t="str">
        <f t="shared" si="168"/>
        <v>NO</v>
      </c>
      <c r="E1385" s="27">
        <v>5880.44</v>
      </c>
      <c r="F1385" s="27">
        <v>4230.58</v>
      </c>
      <c r="G1385" s="27">
        <v>263.48</v>
      </c>
      <c r="H1385" s="27">
        <v>122</v>
      </c>
      <c r="I1385" s="27">
        <v>1067.26</v>
      </c>
      <c r="J1385" s="27">
        <v>11866.1</v>
      </c>
      <c r="K1385" s="47">
        <f t="shared" si="169"/>
        <v>0.49556636131500659</v>
      </c>
      <c r="L1385" s="47">
        <f t="shared" si="170"/>
        <v>0.35652657570726692</v>
      </c>
      <c r="M1385" s="84">
        <f t="shared" si="171"/>
        <v>0.85209293702227351</v>
      </c>
      <c r="N1385" s="47">
        <f t="shared" si="172"/>
        <v>2.2204431110474376E-2</v>
      </c>
      <c r="O1385" s="47">
        <f t="shared" si="173"/>
        <v>1.0281389841649741E-2</v>
      </c>
      <c r="P1385" s="47">
        <f t="shared" si="174"/>
        <v>8.9941935429500838E-2</v>
      </c>
      <c r="Q1385" s="47">
        <f t="shared" si="175"/>
        <v>1</v>
      </c>
    </row>
    <row r="1386" spans="1:17" x14ac:dyDescent="0.35">
      <c r="A1386" s="82">
        <v>1383</v>
      </c>
      <c r="B1386" s="83" t="str">
        <f>_xlfn.XLOOKUP(A1386,'TAZs by City - CCAG Model'!$A:$A,'TAZs by City - CCAG Model'!$B:$B,"Unknown")</f>
        <v>Sunnyvale</v>
      </c>
      <c r="C1386" s="82">
        <f>_xlfn.XLOOKUP(A1386,'TAZs by City - CCAG Model'!$A:$A,'TAZs by City - CCAG Model'!$C:$C,999)</f>
        <v>3</v>
      </c>
      <c r="D1386" s="82" t="str">
        <f t="shared" si="168"/>
        <v>NO</v>
      </c>
      <c r="E1386" s="27">
        <v>5670.7</v>
      </c>
      <c r="F1386" s="27">
        <v>2726.92</v>
      </c>
      <c r="G1386" s="27">
        <v>287.7</v>
      </c>
      <c r="H1386" s="27">
        <v>141.28</v>
      </c>
      <c r="I1386" s="27">
        <v>1752.36</v>
      </c>
      <c r="J1386" s="27">
        <v>10910.26</v>
      </c>
      <c r="K1386" s="47">
        <f t="shared" si="169"/>
        <v>0.519758465884406</v>
      </c>
      <c r="L1386" s="47">
        <f t="shared" si="170"/>
        <v>0.2499408813355502</v>
      </c>
      <c r="M1386" s="84">
        <f t="shared" si="171"/>
        <v>0.76969934721995614</v>
      </c>
      <c r="N1386" s="47">
        <f t="shared" si="172"/>
        <v>2.6369674049930982E-2</v>
      </c>
      <c r="O1386" s="47">
        <f t="shared" si="173"/>
        <v>1.29492789356074E-2</v>
      </c>
      <c r="P1386" s="47">
        <f t="shared" si="174"/>
        <v>0.16061578734145657</v>
      </c>
      <c r="Q1386" s="47">
        <f t="shared" si="175"/>
        <v>1</v>
      </c>
    </row>
    <row r="1387" spans="1:17" x14ac:dyDescent="0.35">
      <c r="A1387" s="82">
        <v>1384</v>
      </c>
      <c r="B1387" s="83" t="str">
        <f>_xlfn.XLOOKUP(A1387,'TAZs by City - CCAG Model'!$A:$A,'TAZs by City - CCAG Model'!$B:$B,"Unknown")</f>
        <v>Sunnyvale</v>
      </c>
      <c r="C1387" s="82">
        <f>_xlfn.XLOOKUP(A1387,'TAZs by City - CCAG Model'!$A:$A,'TAZs by City - CCAG Model'!$C:$C,999)</f>
        <v>3</v>
      </c>
      <c r="D1387" s="82" t="str">
        <f t="shared" si="168"/>
        <v>NO</v>
      </c>
      <c r="E1387" s="27">
        <v>2967.28</v>
      </c>
      <c r="F1387" s="27">
        <v>1905.14</v>
      </c>
      <c r="G1387" s="27">
        <v>142.86000000000001</v>
      </c>
      <c r="H1387" s="27">
        <v>73</v>
      </c>
      <c r="I1387" s="27">
        <v>1073.48</v>
      </c>
      <c r="J1387" s="27">
        <v>6341.36</v>
      </c>
      <c r="K1387" s="47">
        <f t="shared" si="169"/>
        <v>0.46792486154389601</v>
      </c>
      <c r="L1387" s="47">
        <f t="shared" si="170"/>
        <v>0.3004308224103347</v>
      </c>
      <c r="M1387" s="84">
        <f t="shared" si="171"/>
        <v>0.76835568395423071</v>
      </c>
      <c r="N1387" s="47">
        <f t="shared" si="172"/>
        <v>2.2528290461352143E-2</v>
      </c>
      <c r="O1387" s="47">
        <f t="shared" si="173"/>
        <v>1.1511726191227119E-2</v>
      </c>
      <c r="P1387" s="47">
        <f t="shared" si="174"/>
        <v>0.16928229906518477</v>
      </c>
      <c r="Q1387" s="47">
        <f t="shared" si="175"/>
        <v>1</v>
      </c>
    </row>
    <row r="1388" spans="1:17" x14ac:dyDescent="0.35">
      <c r="A1388" s="82">
        <v>1385</v>
      </c>
      <c r="B1388" s="83" t="str">
        <f>_xlfn.XLOOKUP(A1388,'TAZs by City - CCAG Model'!$A:$A,'TAZs by City - CCAG Model'!$B:$B,"Unknown")</f>
        <v>Sunnyvale</v>
      </c>
      <c r="C1388" s="82">
        <f>_xlfn.XLOOKUP(A1388,'TAZs by City - CCAG Model'!$A:$A,'TAZs by City - CCAG Model'!$C:$C,999)</f>
        <v>3</v>
      </c>
      <c r="D1388" s="82" t="str">
        <f t="shared" si="168"/>
        <v>NO</v>
      </c>
      <c r="E1388" s="27">
        <v>1484.06</v>
      </c>
      <c r="F1388" s="27">
        <v>361.46</v>
      </c>
      <c r="G1388" s="27">
        <v>37.1</v>
      </c>
      <c r="H1388" s="27">
        <v>11.56</v>
      </c>
      <c r="I1388" s="27">
        <v>150.76</v>
      </c>
      <c r="J1388" s="27">
        <v>2133.2399999999998</v>
      </c>
      <c r="K1388" s="47">
        <f t="shared" si="169"/>
        <v>0.69568356115580066</v>
      </c>
      <c r="L1388" s="47">
        <f t="shared" si="170"/>
        <v>0.16944178807822843</v>
      </c>
      <c r="M1388" s="84">
        <f t="shared" si="171"/>
        <v>0.86512534923402906</v>
      </c>
      <c r="N1388" s="47">
        <f t="shared" si="172"/>
        <v>1.7391385873131951E-2</v>
      </c>
      <c r="O1388" s="47">
        <f t="shared" si="173"/>
        <v>5.418987080684781E-3</v>
      </c>
      <c r="P1388" s="47">
        <f t="shared" si="174"/>
        <v>7.0671841893082829E-2</v>
      </c>
      <c r="Q1388" s="47">
        <f t="shared" si="175"/>
        <v>1</v>
      </c>
    </row>
    <row r="1389" spans="1:17" x14ac:dyDescent="0.35">
      <c r="A1389" s="82">
        <v>1386</v>
      </c>
      <c r="B1389" s="83" t="str">
        <f>_xlfn.XLOOKUP(A1389,'TAZs by City - CCAG Model'!$A:$A,'TAZs by City - CCAG Model'!$B:$B,"Unknown")</f>
        <v>Sunnyvale</v>
      </c>
      <c r="C1389" s="82">
        <f>_xlfn.XLOOKUP(A1389,'TAZs by City - CCAG Model'!$A:$A,'TAZs by City - CCAG Model'!$C:$C,999)</f>
        <v>3</v>
      </c>
      <c r="D1389" s="82" t="str">
        <f t="shared" si="168"/>
        <v>NO</v>
      </c>
      <c r="E1389" s="27">
        <v>1670.6</v>
      </c>
      <c r="F1389" s="27">
        <v>460.56</v>
      </c>
      <c r="G1389" s="27">
        <v>44.96</v>
      </c>
      <c r="H1389" s="27">
        <v>9.9</v>
      </c>
      <c r="I1389" s="27">
        <v>31.94</v>
      </c>
      <c r="J1389" s="27">
        <v>2312.88</v>
      </c>
      <c r="K1389" s="47">
        <f t="shared" si="169"/>
        <v>0.72230292968074428</v>
      </c>
      <c r="L1389" s="47">
        <f t="shared" si="170"/>
        <v>0.19912835944796098</v>
      </c>
      <c r="M1389" s="84">
        <f t="shared" si="171"/>
        <v>0.9214312891287052</v>
      </c>
      <c r="N1389" s="47">
        <f t="shared" si="172"/>
        <v>1.9438967866901871E-2</v>
      </c>
      <c r="O1389" s="47">
        <f t="shared" si="173"/>
        <v>4.2803777109058838E-3</v>
      </c>
      <c r="P1389" s="47">
        <f t="shared" si="174"/>
        <v>1.3809622634983225E-2</v>
      </c>
      <c r="Q1389" s="47">
        <f t="shared" si="175"/>
        <v>1</v>
      </c>
    </row>
    <row r="1390" spans="1:17" x14ac:dyDescent="0.35">
      <c r="A1390" s="82">
        <v>1387</v>
      </c>
      <c r="B1390" s="83" t="str">
        <f>_xlfn.XLOOKUP(A1390,'TAZs by City - CCAG Model'!$A:$A,'TAZs by City - CCAG Model'!$B:$B,"Unknown")</f>
        <v>Sunnyvale</v>
      </c>
      <c r="C1390" s="82">
        <f>_xlfn.XLOOKUP(A1390,'TAZs by City - CCAG Model'!$A:$A,'TAZs by City - CCAG Model'!$C:$C,999)</f>
        <v>3</v>
      </c>
      <c r="D1390" s="82" t="str">
        <f t="shared" si="168"/>
        <v>NO</v>
      </c>
      <c r="E1390" s="27">
        <v>507.8</v>
      </c>
      <c r="F1390" s="27">
        <v>133.56</v>
      </c>
      <c r="G1390" s="27">
        <v>9.24</v>
      </c>
      <c r="H1390" s="27">
        <v>1.86</v>
      </c>
      <c r="I1390" s="27">
        <v>11.56</v>
      </c>
      <c r="J1390" s="27">
        <v>720.74</v>
      </c>
      <c r="K1390" s="47">
        <f t="shared" si="169"/>
        <v>0.70455365318977714</v>
      </c>
      <c r="L1390" s="47">
        <f t="shared" si="170"/>
        <v>0.18530954296972557</v>
      </c>
      <c r="M1390" s="84">
        <f t="shared" si="171"/>
        <v>0.88986319615950271</v>
      </c>
      <c r="N1390" s="47">
        <f t="shared" si="172"/>
        <v>1.2820157060798624E-2</v>
      </c>
      <c r="O1390" s="47">
        <f t="shared" si="173"/>
        <v>2.5806809667841385E-3</v>
      </c>
      <c r="P1390" s="47">
        <f t="shared" si="174"/>
        <v>1.6039070954851957E-2</v>
      </c>
      <c r="Q1390" s="47">
        <f t="shared" si="175"/>
        <v>1</v>
      </c>
    </row>
    <row r="1391" spans="1:17" x14ac:dyDescent="0.35">
      <c r="A1391" s="82">
        <v>1388</v>
      </c>
      <c r="B1391" s="83" t="str">
        <f>_xlfn.XLOOKUP(A1391,'TAZs by City - CCAG Model'!$A:$A,'TAZs by City - CCAG Model'!$B:$B,"Unknown")</f>
        <v>Sunnyvale</v>
      </c>
      <c r="C1391" s="82">
        <f>_xlfn.XLOOKUP(A1391,'TAZs by City - CCAG Model'!$A:$A,'TAZs by City - CCAG Model'!$C:$C,999)</f>
        <v>3</v>
      </c>
      <c r="D1391" s="82" t="str">
        <f t="shared" si="168"/>
        <v>NO</v>
      </c>
      <c r="E1391" s="27">
        <v>2732.62</v>
      </c>
      <c r="F1391" s="27">
        <v>848.52</v>
      </c>
      <c r="G1391" s="27">
        <v>74.92</v>
      </c>
      <c r="H1391" s="27">
        <v>18.88</v>
      </c>
      <c r="I1391" s="27">
        <v>54.9</v>
      </c>
      <c r="J1391" s="27">
        <v>3849.3</v>
      </c>
      <c r="K1391" s="47">
        <f t="shared" si="169"/>
        <v>0.70990050138986305</v>
      </c>
      <c r="L1391" s="47">
        <f t="shared" si="170"/>
        <v>0.22043488426467148</v>
      </c>
      <c r="M1391" s="84">
        <f t="shared" si="171"/>
        <v>0.93033538565453455</v>
      </c>
      <c r="N1391" s="47">
        <f t="shared" si="172"/>
        <v>1.9463279037747121E-2</v>
      </c>
      <c r="O1391" s="47">
        <f t="shared" si="173"/>
        <v>4.9047878835112874E-3</v>
      </c>
      <c r="P1391" s="47">
        <f t="shared" si="174"/>
        <v>1.4262333411269581E-2</v>
      </c>
      <c r="Q1391" s="47">
        <f t="shared" si="175"/>
        <v>1</v>
      </c>
    </row>
    <row r="1392" spans="1:17" x14ac:dyDescent="0.35">
      <c r="A1392" s="82">
        <v>1389</v>
      </c>
      <c r="B1392" s="83" t="str">
        <f>_xlfn.XLOOKUP(A1392,'TAZs by City - CCAG Model'!$A:$A,'TAZs by City - CCAG Model'!$B:$B,"Unknown")</f>
        <v>Sunnyvale</v>
      </c>
      <c r="C1392" s="82">
        <f>_xlfn.XLOOKUP(A1392,'TAZs by City - CCAG Model'!$A:$A,'TAZs by City - CCAG Model'!$C:$C,999)</f>
        <v>3</v>
      </c>
      <c r="D1392" s="82" t="str">
        <f t="shared" si="168"/>
        <v>NO</v>
      </c>
      <c r="E1392" s="27">
        <v>55.66</v>
      </c>
      <c r="F1392" s="27">
        <v>18.3</v>
      </c>
      <c r="G1392" s="27">
        <v>0.1</v>
      </c>
      <c r="H1392" s="27">
        <v>0</v>
      </c>
      <c r="I1392" s="27">
        <v>1.64</v>
      </c>
      <c r="J1392" s="27">
        <v>94.64</v>
      </c>
      <c r="K1392" s="47">
        <f t="shared" si="169"/>
        <v>0.5881234150464919</v>
      </c>
      <c r="L1392" s="47">
        <f t="shared" si="170"/>
        <v>0.19336432797971259</v>
      </c>
      <c r="M1392" s="84">
        <f t="shared" si="171"/>
        <v>0.7814877430262045</v>
      </c>
      <c r="N1392" s="47">
        <f t="shared" si="172"/>
        <v>1.0566356720202875E-3</v>
      </c>
      <c r="O1392" s="47">
        <f t="shared" si="173"/>
        <v>0</v>
      </c>
      <c r="P1392" s="47">
        <f t="shared" si="174"/>
        <v>1.7328825021132713E-2</v>
      </c>
      <c r="Q1392" s="47">
        <f t="shared" si="175"/>
        <v>1</v>
      </c>
    </row>
    <row r="1393" spans="1:17" x14ac:dyDescent="0.35">
      <c r="A1393" s="82">
        <v>1390</v>
      </c>
      <c r="B1393" s="83" t="str">
        <f>_xlfn.XLOOKUP(A1393,'TAZs by City - CCAG Model'!$A:$A,'TAZs by City - CCAG Model'!$B:$B,"Unknown")</f>
        <v>Sunnyvale</v>
      </c>
      <c r="C1393" s="82">
        <f>_xlfn.XLOOKUP(A1393,'TAZs by City - CCAG Model'!$A:$A,'TAZs by City - CCAG Model'!$C:$C,999)</f>
        <v>3</v>
      </c>
      <c r="D1393" s="82" t="str">
        <f t="shared" si="168"/>
        <v>NO</v>
      </c>
      <c r="E1393" s="27">
        <v>2828.78</v>
      </c>
      <c r="F1393" s="27">
        <v>751.08</v>
      </c>
      <c r="G1393" s="27">
        <v>160.94</v>
      </c>
      <c r="H1393" s="27">
        <v>25.32</v>
      </c>
      <c r="I1393" s="27">
        <v>47.92</v>
      </c>
      <c r="J1393" s="27">
        <v>4014.02</v>
      </c>
      <c r="K1393" s="47">
        <f t="shared" si="169"/>
        <v>0.70472493908849487</v>
      </c>
      <c r="L1393" s="47">
        <f t="shared" si="170"/>
        <v>0.18711416485219307</v>
      </c>
      <c r="M1393" s="84">
        <f t="shared" si="171"/>
        <v>0.89183910394068788</v>
      </c>
      <c r="N1393" s="47">
        <f t="shared" si="172"/>
        <v>4.0094468886552631E-2</v>
      </c>
      <c r="O1393" s="47">
        <f t="shared" si="173"/>
        <v>6.307890842596699E-3</v>
      </c>
      <c r="P1393" s="47">
        <f t="shared" si="174"/>
        <v>1.1938156760554259E-2</v>
      </c>
      <c r="Q1393" s="47">
        <f t="shared" si="175"/>
        <v>1</v>
      </c>
    </row>
    <row r="1394" spans="1:17" x14ac:dyDescent="0.35">
      <c r="A1394" s="82">
        <v>1391</v>
      </c>
      <c r="B1394" s="83" t="str">
        <f>_xlfn.XLOOKUP(A1394,'TAZs by City - CCAG Model'!$A:$A,'TAZs by City - CCAG Model'!$B:$B,"Unknown")</f>
        <v>Sunnyvale</v>
      </c>
      <c r="C1394" s="82">
        <f>_xlfn.XLOOKUP(A1394,'TAZs by City - CCAG Model'!$A:$A,'TAZs by City - CCAG Model'!$C:$C,999)</f>
        <v>3</v>
      </c>
      <c r="D1394" s="82" t="str">
        <f t="shared" si="168"/>
        <v>NO</v>
      </c>
      <c r="E1394" s="27">
        <v>1969.36</v>
      </c>
      <c r="F1394" s="27">
        <v>669.16</v>
      </c>
      <c r="G1394" s="27">
        <v>118.98</v>
      </c>
      <c r="H1394" s="27">
        <v>16.68</v>
      </c>
      <c r="I1394" s="27">
        <v>42.32</v>
      </c>
      <c r="J1394" s="27">
        <v>2984.44</v>
      </c>
      <c r="K1394" s="47">
        <f t="shared" si="169"/>
        <v>0.65987588961413191</v>
      </c>
      <c r="L1394" s="47">
        <f t="shared" si="170"/>
        <v>0.2242162683786573</v>
      </c>
      <c r="M1394" s="84">
        <f t="shared" si="171"/>
        <v>0.88409215799278928</v>
      </c>
      <c r="N1394" s="47">
        <f t="shared" si="172"/>
        <v>3.9866775676508828E-2</v>
      </c>
      <c r="O1394" s="47">
        <f t="shared" si="173"/>
        <v>5.5889882188953372E-3</v>
      </c>
      <c r="P1394" s="47">
        <f t="shared" si="174"/>
        <v>1.4180214713648122E-2</v>
      </c>
      <c r="Q1394" s="47">
        <f t="shared" si="175"/>
        <v>1</v>
      </c>
    </row>
    <row r="1395" spans="1:17" x14ac:dyDescent="0.35">
      <c r="A1395" s="82">
        <v>1392</v>
      </c>
      <c r="B1395" s="83" t="str">
        <f>_xlfn.XLOOKUP(A1395,'TAZs by City - CCAG Model'!$A:$A,'TAZs by City - CCAG Model'!$B:$B,"Unknown")</f>
        <v>Sunnyvale</v>
      </c>
      <c r="C1395" s="82">
        <f>_xlfn.XLOOKUP(A1395,'TAZs by City - CCAG Model'!$A:$A,'TAZs by City - CCAG Model'!$C:$C,999)</f>
        <v>3</v>
      </c>
      <c r="D1395" s="82" t="str">
        <f t="shared" si="168"/>
        <v>NO</v>
      </c>
      <c r="E1395" s="27">
        <v>2839.52</v>
      </c>
      <c r="F1395" s="27">
        <v>682.72</v>
      </c>
      <c r="G1395" s="27">
        <v>106.48</v>
      </c>
      <c r="H1395" s="27">
        <v>21</v>
      </c>
      <c r="I1395" s="27">
        <v>47.4</v>
      </c>
      <c r="J1395" s="27">
        <v>3846.14</v>
      </c>
      <c r="K1395" s="47">
        <f t="shared" si="169"/>
        <v>0.7382778578002881</v>
      </c>
      <c r="L1395" s="47">
        <f t="shared" si="170"/>
        <v>0.17750783902822051</v>
      </c>
      <c r="M1395" s="84">
        <f t="shared" si="171"/>
        <v>0.91578569682850852</v>
      </c>
      <c r="N1395" s="47">
        <f t="shared" si="172"/>
        <v>2.76848996656388E-2</v>
      </c>
      <c r="O1395" s="47">
        <f t="shared" si="173"/>
        <v>5.4600196560707619E-3</v>
      </c>
      <c r="P1395" s="47">
        <f t="shared" si="174"/>
        <v>1.2324044366559719E-2</v>
      </c>
      <c r="Q1395" s="47">
        <f t="shared" si="175"/>
        <v>1</v>
      </c>
    </row>
    <row r="1396" spans="1:17" x14ac:dyDescent="0.35">
      <c r="A1396" s="82">
        <v>1393</v>
      </c>
      <c r="B1396" s="83" t="str">
        <f>_xlfn.XLOOKUP(A1396,'TAZs by City - CCAG Model'!$A:$A,'TAZs by City - CCAG Model'!$B:$B,"Unknown")</f>
        <v>Sunnyvale</v>
      </c>
      <c r="C1396" s="82">
        <f>_xlfn.XLOOKUP(A1396,'TAZs by City - CCAG Model'!$A:$A,'TAZs by City - CCAG Model'!$C:$C,999)</f>
        <v>3</v>
      </c>
      <c r="D1396" s="82" t="str">
        <f t="shared" si="168"/>
        <v>NO</v>
      </c>
      <c r="E1396" s="27">
        <v>4111.34</v>
      </c>
      <c r="F1396" s="27">
        <v>1335.28</v>
      </c>
      <c r="G1396" s="27">
        <v>129.66</v>
      </c>
      <c r="H1396" s="27">
        <v>32.979999999999997</v>
      </c>
      <c r="I1396" s="27">
        <v>77.88</v>
      </c>
      <c r="J1396" s="27">
        <v>5854.24</v>
      </c>
      <c r="K1396" s="47">
        <f t="shared" si="169"/>
        <v>0.70228415644046027</v>
      </c>
      <c r="L1396" s="47">
        <f t="shared" si="170"/>
        <v>0.22808767662412202</v>
      </c>
      <c r="M1396" s="84">
        <f t="shared" si="171"/>
        <v>0.93037183306458227</v>
      </c>
      <c r="N1396" s="47">
        <f t="shared" si="172"/>
        <v>2.2148049960370602E-2</v>
      </c>
      <c r="O1396" s="47">
        <f t="shared" si="173"/>
        <v>5.6335237366421601E-3</v>
      </c>
      <c r="P1396" s="47">
        <f t="shared" si="174"/>
        <v>1.3303178550930607E-2</v>
      </c>
      <c r="Q1396" s="47">
        <f t="shared" si="175"/>
        <v>1</v>
      </c>
    </row>
    <row r="1397" spans="1:17" x14ac:dyDescent="0.35">
      <c r="A1397" s="82">
        <v>1394</v>
      </c>
      <c r="B1397" s="83" t="str">
        <f>_xlfn.XLOOKUP(A1397,'TAZs by City - CCAG Model'!$A:$A,'TAZs by City - CCAG Model'!$B:$B,"Unknown")</f>
        <v>Sunnyvale</v>
      </c>
      <c r="C1397" s="82">
        <f>_xlfn.XLOOKUP(A1397,'TAZs by City - CCAG Model'!$A:$A,'TAZs by City - CCAG Model'!$C:$C,999)</f>
        <v>3</v>
      </c>
      <c r="D1397" s="82" t="str">
        <f t="shared" si="168"/>
        <v>NO</v>
      </c>
      <c r="E1397" s="27">
        <v>1728.52</v>
      </c>
      <c r="F1397" s="27">
        <v>488</v>
      </c>
      <c r="G1397" s="27">
        <v>123.94</v>
      </c>
      <c r="H1397" s="27">
        <v>13.82</v>
      </c>
      <c r="I1397" s="27">
        <v>34.799999999999997</v>
      </c>
      <c r="J1397" s="27">
        <v>2560.62</v>
      </c>
      <c r="K1397" s="47">
        <f t="shared" si="169"/>
        <v>0.67503963883746909</v>
      </c>
      <c r="L1397" s="47">
        <f t="shared" si="170"/>
        <v>0.19057884418617366</v>
      </c>
      <c r="M1397" s="84">
        <f t="shared" si="171"/>
        <v>0.86561848302364275</v>
      </c>
      <c r="N1397" s="47">
        <f t="shared" si="172"/>
        <v>4.8402340058267136E-2</v>
      </c>
      <c r="O1397" s="47">
        <f t="shared" si="173"/>
        <v>5.397130382485492E-3</v>
      </c>
      <c r="P1397" s="47">
        <f t="shared" si="174"/>
        <v>1.3590458560817302E-2</v>
      </c>
      <c r="Q1397" s="47">
        <f t="shared" si="175"/>
        <v>1</v>
      </c>
    </row>
    <row r="1398" spans="1:17" x14ac:dyDescent="0.35">
      <c r="A1398" s="82">
        <v>1395</v>
      </c>
      <c r="B1398" s="83" t="str">
        <f>_xlfn.XLOOKUP(A1398,'TAZs by City - CCAG Model'!$A:$A,'TAZs by City - CCAG Model'!$B:$B,"Unknown")</f>
        <v>Sunnyvale</v>
      </c>
      <c r="C1398" s="82">
        <f>_xlfn.XLOOKUP(A1398,'TAZs by City - CCAG Model'!$A:$A,'TAZs by City - CCAG Model'!$C:$C,999)</f>
        <v>3</v>
      </c>
      <c r="D1398" s="82" t="str">
        <f t="shared" si="168"/>
        <v>NO</v>
      </c>
      <c r="E1398" s="27">
        <v>2459.36</v>
      </c>
      <c r="F1398" s="27">
        <v>671.68</v>
      </c>
      <c r="G1398" s="27">
        <v>68.900000000000006</v>
      </c>
      <c r="H1398" s="27">
        <v>17.579999999999998</v>
      </c>
      <c r="I1398" s="27">
        <v>55.34</v>
      </c>
      <c r="J1398" s="27">
        <v>3388.24</v>
      </c>
      <c r="K1398" s="47">
        <f t="shared" si="169"/>
        <v>0.72585176965032006</v>
      </c>
      <c r="L1398" s="47">
        <f t="shared" si="170"/>
        <v>0.19823861355748118</v>
      </c>
      <c r="M1398" s="84">
        <f t="shared" si="171"/>
        <v>0.92409038320780112</v>
      </c>
      <c r="N1398" s="47">
        <f t="shared" si="172"/>
        <v>2.0335041201331668E-2</v>
      </c>
      <c r="O1398" s="47">
        <f t="shared" si="173"/>
        <v>5.1885344603688046E-3</v>
      </c>
      <c r="P1398" s="47">
        <f t="shared" si="174"/>
        <v>1.6332963426439688E-2</v>
      </c>
      <c r="Q1398" s="47">
        <f t="shared" si="175"/>
        <v>1</v>
      </c>
    </row>
    <row r="1399" spans="1:17" x14ac:dyDescent="0.35">
      <c r="A1399" s="82">
        <v>1396</v>
      </c>
      <c r="B1399" s="83" t="str">
        <f>_xlfn.XLOOKUP(A1399,'TAZs by City - CCAG Model'!$A:$A,'TAZs by City - CCAG Model'!$B:$B,"Unknown")</f>
        <v>Sunnyvale</v>
      </c>
      <c r="C1399" s="82">
        <f>_xlfn.XLOOKUP(A1399,'TAZs by City - CCAG Model'!$A:$A,'TAZs by City - CCAG Model'!$C:$C,999)</f>
        <v>3</v>
      </c>
      <c r="D1399" s="82" t="str">
        <f t="shared" si="168"/>
        <v>NO</v>
      </c>
      <c r="E1399" s="27">
        <v>2985.46</v>
      </c>
      <c r="F1399" s="27">
        <v>828.24</v>
      </c>
      <c r="G1399" s="27">
        <v>83.18</v>
      </c>
      <c r="H1399" s="27">
        <v>23.18</v>
      </c>
      <c r="I1399" s="27">
        <v>58.36</v>
      </c>
      <c r="J1399" s="27">
        <v>4104.78</v>
      </c>
      <c r="K1399" s="47">
        <f t="shared" si="169"/>
        <v>0.72731303504694533</v>
      </c>
      <c r="L1399" s="47">
        <f t="shared" si="170"/>
        <v>0.20177451653925424</v>
      </c>
      <c r="M1399" s="84">
        <f t="shared" si="171"/>
        <v>0.92908755158619949</v>
      </c>
      <c r="N1399" s="47">
        <f t="shared" si="172"/>
        <v>2.0264179809880191E-2</v>
      </c>
      <c r="O1399" s="47">
        <f t="shared" si="173"/>
        <v>5.647074873683852E-3</v>
      </c>
      <c r="P1399" s="47">
        <f t="shared" si="174"/>
        <v>1.4217570734606971E-2</v>
      </c>
      <c r="Q1399" s="47">
        <f t="shared" si="175"/>
        <v>1</v>
      </c>
    </row>
    <row r="1400" spans="1:17" x14ac:dyDescent="0.35">
      <c r="A1400" s="82">
        <v>1397</v>
      </c>
      <c r="B1400" s="83" t="str">
        <f>_xlfn.XLOOKUP(A1400,'TAZs by City - CCAG Model'!$A:$A,'TAZs by City - CCAG Model'!$B:$B,"Unknown")</f>
        <v>Sunnyvale</v>
      </c>
      <c r="C1400" s="82">
        <f>_xlfn.XLOOKUP(A1400,'TAZs by City - CCAG Model'!$A:$A,'TAZs by City - CCAG Model'!$C:$C,999)</f>
        <v>3</v>
      </c>
      <c r="D1400" s="82" t="str">
        <f t="shared" si="168"/>
        <v>NO</v>
      </c>
      <c r="E1400" s="27">
        <v>1394.16</v>
      </c>
      <c r="F1400" s="27">
        <v>382.38</v>
      </c>
      <c r="G1400" s="27">
        <v>17.98</v>
      </c>
      <c r="H1400" s="27">
        <v>8.1</v>
      </c>
      <c r="I1400" s="27">
        <v>19.600000000000001</v>
      </c>
      <c r="J1400" s="27">
        <v>1886.72</v>
      </c>
      <c r="K1400" s="47">
        <f t="shared" si="169"/>
        <v>0.73893317503392131</v>
      </c>
      <c r="L1400" s="47">
        <f t="shared" si="170"/>
        <v>0.20266918249660787</v>
      </c>
      <c r="M1400" s="84">
        <f t="shared" si="171"/>
        <v>0.94160235753052912</v>
      </c>
      <c r="N1400" s="47">
        <f t="shared" si="172"/>
        <v>9.5297659430122125E-3</v>
      </c>
      <c r="O1400" s="47">
        <f t="shared" si="173"/>
        <v>4.2931648575305287E-3</v>
      </c>
      <c r="P1400" s="47">
        <f t="shared" si="174"/>
        <v>1.0388398914518319E-2</v>
      </c>
      <c r="Q1400" s="47">
        <f t="shared" si="175"/>
        <v>1</v>
      </c>
    </row>
    <row r="1401" spans="1:17" x14ac:dyDescent="0.35">
      <c r="A1401" s="82">
        <v>1398</v>
      </c>
      <c r="B1401" s="83" t="str">
        <f>_xlfn.XLOOKUP(A1401,'TAZs by City - CCAG Model'!$A:$A,'TAZs by City - CCAG Model'!$B:$B,"Unknown")</f>
        <v>Sunnyvale</v>
      </c>
      <c r="C1401" s="82">
        <f>_xlfn.XLOOKUP(A1401,'TAZs by City - CCAG Model'!$A:$A,'TAZs by City - CCAG Model'!$C:$C,999)</f>
        <v>3</v>
      </c>
      <c r="D1401" s="82" t="str">
        <f t="shared" si="168"/>
        <v>NO</v>
      </c>
      <c r="E1401" s="27">
        <v>1594.52</v>
      </c>
      <c r="F1401" s="27">
        <v>987.9</v>
      </c>
      <c r="G1401" s="27">
        <v>80.12</v>
      </c>
      <c r="H1401" s="27">
        <v>31.76</v>
      </c>
      <c r="I1401" s="27">
        <v>161.12</v>
      </c>
      <c r="J1401" s="27">
        <v>2971.1</v>
      </c>
      <c r="K1401" s="47">
        <f t="shared" si="169"/>
        <v>0.53667665174514489</v>
      </c>
      <c r="L1401" s="47">
        <f t="shared" si="170"/>
        <v>0.33250311332503113</v>
      </c>
      <c r="M1401" s="84">
        <f t="shared" si="171"/>
        <v>0.86917976507017602</v>
      </c>
      <c r="N1401" s="47">
        <f t="shared" si="172"/>
        <v>2.6966443404799572E-2</v>
      </c>
      <c r="O1401" s="47">
        <f t="shared" si="173"/>
        <v>1.0689643566355897E-2</v>
      </c>
      <c r="P1401" s="47">
        <f t="shared" si="174"/>
        <v>5.4229073407155604E-2</v>
      </c>
      <c r="Q1401" s="47">
        <f t="shared" si="175"/>
        <v>1</v>
      </c>
    </row>
    <row r="1402" spans="1:17" x14ac:dyDescent="0.35">
      <c r="A1402" s="82">
        <v>1399</v>
      </c>
      <c r="B1402" s="83" t="str">
        <f>_xlfn.XLOOKUP(A1402,'TAZs by City - CCAG Model'!$A:$A,'TAZs by City - CCAG Model'!$B:$B,"Unknown")</f>
        <v>Sunnyvale</v>
      </c>
      <c r="C1402" s="82">
        <f>_xlfn.XLOOKUP(A1402,'TAZs by City - CCAG Model'!$A:$A,'TAZs by City - CCAG Model'!$C:$C,999)</f>
        <v>3</v>
      </c>
      <c r="D1402" s="82" t="str">
        <f t="shared" si="168"/>
        <v>NO</v>
      </c>
      <c r="E1402" s="27">
        <v>6163.46</v>
      </c>
      <c r="F1402" s="27">
        <v>3605.52</v>
      </c>
      <c r="G1402" s="27">
        <v>326.95999999999998</v>
      </c>
      <c r="H1402" s="27">
        <v>146.5</v>
      </c>
      <c r="I1402" s="27">
        <v>631.05999999999995</v>
      </c>
      <c r="J1402" s="27">
        <v>11240.72</v>
      </c>
      <c r="K1402" s="47">
        <f t="shared" si="169"/>
        <v>0.54831541040075726</v>
      </c>
      <c r="L1402" s="47">
        <f t="shared" si="170"/>
        <v>0.32075525411183625</v>
      </c>
      <c r="M1402" s="84">
        <f t="shared" si="171"/>
        <v>0.86907066451259352</v>
      </c>
      <c r="N1402" s="47">
        <f t="shared" si="172"/>
        <v>2.9087104740621598E-2</v>
      </c>
      <c r="O1402" s="47">
        <f t="shared" si="173"/>
        <v>1.3032972976819992E-2</v>
      </c>
      <c r="P1402" s="47">
        <f t="shared" si="174"/>
        <v>5.6140531923221999E-2</v>
      </c>
      <c r="Q1402" s="47">
        <f t="shared" si="175"/>
        <v>1</v>
      </c>
    </row>
    <row r="1403" spans="1:17" x14ac:dyDescent="0.35">
      <c r="A1403" s="82">
        <v>1400</v>
      </c>
      <c r="B1403" s="83" t="str">
        <f>_xlfn.XLOOKUP(A1403,'TAZs by City - CCAG Model'!$A:$A,'TAZs by City - CCAG Model'!$B:$B,"Unknown")</f>
        <v>Sunnyvale</v>
      </c>
      <c r="C1403" s="82">
        <f>_xlfn.XLOOKUP(A1403,'TAZs by City - CCAG Model'!$A:$A,'TAZs by City - CCAG Model'!$C:$C,999)</f>
        <v>3</v>
      </c>
      <c r="D1403" s="82" t="str">
        <f t="shared" si="168"/>
        <v>NO</v>
      </c>
      <c r="E1403" s="27">
        <v>5148.84</v>
      </c>
      <c r="F1403" s="27">
        <v>3602.26</v>
      </c>
      <c r="G1403" s="27">
        <v>208.5</v>
      </c>
      <c r="H1403" s="27">
        <v>131.97999999999999</v>
      </c>
      <c r="I1403" s="27">
        <v>983.12</v>
      </c>
      <c r="J1403" s="27">
        <v>10326.34</v>
      </c>
      <c r="K1403" s="47">
        <f t="shared" si="169"/>
        <v>0.49861228663786006</v>
      </c>
      <c r="L1403" s="47">
        <f t="shared" si="170"/>
        <v>0.34884189364285895</v>
      </c>
      <c r="M1403" s="84">
        <f t="shared" si="171"/>
        <v>0.84745418028071906</v>
      </c>
      <c r="N1403" s="47">
        <f t="shared" si="172"/>
        <v>2.0191084159537648E-2</v>
      </c>
      <c r="O1403" s="47">
        <f t="shared" si="173"/>
        <v>1.278090785312124E-2</v>
      </c>
      <c r="P1403" s="47">
        <f t="shared" si="174"/>
        <v>9.5205077500837662E-2</v>
      </c>
      <c r="Q1403" s="47">
        <f t="shared" si="175"/>
        <v>1</v>
      </c>
    </row>
    <row r="1404" spans="1:17" x14ac:dyDescent="0.35">
      <c r="A1404" s="82">
        <v>1401</v>
      </c>
      <c r="B1404" s="83" t="str">
        <f>_xlfn.XLOOKUP(A1404,'TAZs by City - CCAG Model'!$A:$A,'TAZs by City - CCAG Model'!$B:$B,"Unknown")</f>
        <v>Sunnyvale</v>
      </c>
      <c r="C1404" s="82">
        <f>_xlfn.XLOOKUP(A1404,'TAZs by City - CCAG Model'!$A:$A,'TAZs by City - CCAG Model'!$C:$C,999)</f>
        <v>3</v>
      </c>
      <c r="D1404" s="82" t="str">
        <f t="shared" si="168"/>
        <v>NO</v>
      </c>
      <c r="E1404" s="27">
        <v>6931.3</v>
      </c>
      <c r="F1404" s="27">
        <v>5379.28</v>
      </c>
      <c r="G1404" s="27">
        <v>377.06</v>
      </c>
      <c r="H1404" s="27">
        <v>219.92</v>
      </c>
      <c r="I1404" s="27">
        <v>2137.5</v>
      </c>
      <c r="J1404" s="27">
        <v>15464.32</v>
      </c>
      <c r="K1404" s="47">
        <f t="shared" si="169"/>
        <v>0.44821240119190497</v>
      </c>
      <c r="L1404" s="47">
        <f t="shared" si="170"/>
        <v>0.34785105326325372</v>
      </c>
      <c r="M1404" s="84">
        <f t="shared" si="171"/>
        <v>0.79606345445515869</v>
      </c>
      <c r="N1404" s="47">
        <f t="shared" si="172"/>
        <v>2.4382578736084095E-2</v>
      </c>
      <c r="O1404" s="47">
        <f t="shared" si="173"/>
        <v>1.4221123204900054E-2</v>
      </c>
      <c r="P1404" s="47">
        <f t="shared" si="174"/>
        <v>0.13822140255762944</v>
      </c>
      <c r="Q1404" s="47">
        <f t="shared" si="175"/>
        <v>1</v>
      </c>
    </row>
    <row r="1405" spans="1:17" x14ac:dyDescent="0.35">
      <c r="A1405" s="82">
        <v>1402</v>
      </c>
      <c r="B1405" s="83" t="str">
        <f>_xlfn.XLOOKUP(A1405,'TAZs by City - CCAG Model'!$A:$A,'TAZs by City - CCAG Model'!$B:$B,"Unknown")</f>
        <v>Sunnyvale</v>
      </c>
      <c r="C1405" s="82">
        <f>_xlfn.XLOOKUP(A1405,'TAZs by City - CCAG Model'!$A:$A,'TAZs by City - CCAG Model'!$C:$C,999)</f>
        <v>3</v>
      </c>
      <c r="D1405" s="82" t="str">
        <f t="shared" si="168"/>
        <v>NO</v>
      </c>
      <c r="E1405" s="27">
        <v>13283.54</v>
      </c>
      <c r="F1405" s="27">
        <v>5518.12</v>
      </c>
      <c r="G1405" s="27">
        <v>233.18</v>
      </c>
      <c r="H1405" s="27">
        <v>239.26</v>
      </c>
      <c r="I1405" s="27">
        <v>494.3</v>
      </c>
      <c r="J1405" s="27">
        <v>20027.32</v>
      </c>
      <c r="K1405" s="47">
        <f t="shared" si="169"/>
        <v>0.66327097185244965</v>
      </c>
      <c r="L1405" s="47">
        <f t="shared" si="170"/>
        <v>0.27552962653015978</v>
      </c>
      <c r="M1405" s="84">
        <f t="shared" si="171"/>
        <v>0.93880059838260932</v>
      </c>
      <c r="N1405" s="47">
        <f t="shared" si="172"/>
        <v>1.1643095531503967E-2</v>
      </c>
      <c r="O1405" s="47">
        <f t="shared" si="173"/>
        <v>1.1946680833980781E-2</v>
      </c>
      <c r="P1405" s="47">
        <f t="shared" si="174"/>
        <v>2.4681285364192514E-2</v>
      </c>
      <c r="Q1405" s="47">
        <f t="shared" si="175"/>
        <v>1</v>
      </c>
    </row>
    <row r="1406" spans="1:17" x14ac:dyDescent="0.35">
      <c r="A1406" s="82">
        <v>1403</v>
      </c>
      <c r="B1406" s="83" t="str">
        <f>_xlfn.XLOOKUP(A1406,'TAZs by City - CCAG Model'!$A:$A,'TAZs by City - CCAG Model'!$B:$B,"Unknown")</f>
        <v>Sunnyvale</v>
      </c>
      <c r="C1406" s="82">
        <f>_xlfn.XLOOKUP(A1406,'TAZs by City - CCAG Model'!$A:$A,'TAZs by City - CCAG Model'!$C:$C,999)</f>
        <v>3</v>
      </c>
      <c r="D1406" s="82" t="str">
        <f t="shared" si="168"/>
        <v>NO</v>
      </c>
      <c r="E1406" s="27">
        <v>2353.9</v>
      </c>
      <c r="F1406" s="27">
        <v>630.16</v>
      </c>
      <c r="G1406" s="27">
        <v>27.98</v>
      </c>
      <c r="H1406" s="27">
        <v>24.6</v>
      </c>
      <c r="I1406" s="27">
        <v>66.34</v>
      </c>
      <c r="J1406" s="27">
        <v>3174.6</v>
      </c>
      <c r="K1406" s="47">
        <f t="shared" si="169"/>
        <v>0.74147924147924149</v>
      </c>
      <c r="L1406" s="47">
        <f t="shared" si="170"/>
        <v>0.19850059850059851</v>
      </c>
      <c r="M1406" s="84">
        <f t="shared" si="171"/>
        <v>0.93997983997984003</v>
      </c>
      <c r="N1406" s="47">
        <f t="shared" si="172"/>
        <v>8.8137088137088138E-3</v>
      </c>
      <c r="O1406" s="47">
        <f t="shared" si="173"/>
        <v>7.7490077490077495E-3</v>
      </c>
      <c r="P1406" s="47">
        <f t="shared" si="174"/>
        <v>2.08971208971209E-2</v>
      </c>
      <c r="Q1406" s="47">
        <f t="shared" si="175"/>
        <v>1</v>
      </c>
    </row>
    <row r="1407" spans="1:17" x14ac:dyDescent="0.35">
      <c r="A1407" s="82">
        <v>1404</v>
      </c>
      <c r="B1407" s="83" t="str">
        <f>_xlfn.XLOOKUP(A1407,'TAZs by City - CCAG Model'!$A:$A,'TAZs by City - CCAG Model'!$B:$B,"Unknown")</f>
        <v>Sunnyvale</v>
      </c>
      <c r="C1407" s="82">
        <f>_xlfn.XLOOKUP(A1407,'TAZs by City - CCAG Model'!$A:$A,'TAZs by City - CCAG Model'!$C:$C,999)</f>
        <v>3</v>
      </c>
      <c r="D1407" s="82" t="str">
        <f t="shared" si="168"/>
        <v>NO</v>
      </c>
      <c r="E1407" s="27">
        <v>4374.3999999999996</v>
      </c>
      <c r="F1407" s="27">
        <v>1250.22</v>
      </c>
      <c r="G1407" s="27">
        <v>44.94</v>
      </c>
      <c r="H1407" s="27">
        <v>53.54</v>
      </c>
      <c r="I1407" s="27">
        <v>126.38</v>
      </c>
      <c r="J1407" s="27">
        <v>5930.68</v>
      </c>
      <c r="K1407" s="47">
        <f t="shared" si="169"/>
        <v>0.73758826981054437</v>
      </c>
      <c r="L1407" s="47">
        <f t="shared" si="170"/>
        <v>0.21080550628258479</v>
      </c>
      <c r="M1407" s="84">
        <f t="shared" si="171"/>
        <v>0.94839377609312925</v>
      </c>
      <c r="N1407" s="47">
        <f t="shared" si="172"/>
        <v>7.577545913790661E-3</v>
      </c>
      <c r="O1407" s="47">
        <f t="shared" si="173"/>
        <v>9.0276325817612822E-3</v>
      </c>
      <c r="P1407" s="47">
        <f t="shared" si="174"/>
        <v>2.1309529430014768E-2</v>
      </c>
      <c r="Q1407" s="47">
        <f t="shared" si="175"/>
        <v>1</v>
      </c>
    </row>
    <row r="1408" spans="1:17" x14ac:dyDescent="0.35">
      <c r="A1408" s="82">
        <v>1405</v>
      </c>
      <c r="B1408" s="83" t="str">
        <f>_xlfn.XLOOKUP(A1408,'TAZs by City - CCAG Model'!$A:$A,'TAZs by City - CCAG Model'!$B:$B,"Unknown")</f>
        <v>Sunnyvale</v>
      </c>
      <c r="C1408" s="82">
        <f>_xlfn.XLOOKUP(A1408,'TAZs by City - CCAG Model'!$A:$A,'TAZs by City - CCAG Model'!$C:$C,999)</f>
        <v>3</v>
      </c>
      <c r="D1408" s="82" t="str">
        <f t="shared" si="168"/>
        <v>NO</v>
      </c>
      <c r="E1408" s="27">
        <v>4522.38</v>
      </c>
      <c r="F1408" s="27">
        <v>1134.68</v>
      </c>
      <c r="G1408" s="27">
        <v>58.74</v>
      </c>
      <c r="H1408" s="27">
        <v>57.26</v>
      </c>
      <c r="I1408" s="27">
        <v>117.16</v>
      </c>
      <c r="J1408" s="27">
        <v>5988.02</v>
      </c>
      <c r="K1408" s="47">
        <f t="shared" si="169"/>
        <v>0.75523795845705255</v>
      </c>
      <c r="L1408" s="47">
        <f t="shared" si="170"/>
        <v>0.18949168506451214</v>
      </c>
      <c r="M1408" s="84">
        <f t="shared" si="171"/>
        <v>0.94472964352156474</v>
      </c>
      <c r="N1408" s="47">
        <f t="shared" si="172"/>
        <v>9.8095864743270728E-3</v>
      </c>
      <c r="O1408" s="47">
        <f t="shared" si="173"/>
        <v>9.5624263112013639E-3</v>
      </c>
      <c r="P1408" s="47">
        <f t="shared" si="174"/>
        <v>1.9565732913383722E-2</v>
      </c>
      <c r="Q1408" s="47">
        <f t="shared" si="175"/>
        <v>1</v>
      </c>
    </row>
    <row r="1409" spans="1:17" x14ac:dyDescent="0.35">
      <c r="A1409" s="82">
        <v>1406</v>
      </c>
      <c r="B1409" s="83" t="str">
        <f>_xlfn.XLOOKUP(A1409,'TAZs by City - CCAG Model'!$A:$A,'TAZs by City - CCAG Model'!$B:$B,"Unknown")</f>
        <v>Sunnyvale</v>
      </c>
      <c r="C1409" s="82">
        <f>_xlfn.XLOOKUP(A1409,'TAZs by City - CCAG Model'!$A:$A,'TAZs by City - CCAG Model'!$C:$C,999)</f>
        <v>3</v>
      </c>
      <c r="D1409" s="82" t="str">
        <f t="shared" si="168"/>
        <v>NO</v>
      </c>
      <c r="E1409" s="27">
        <v>2791.96</v>
      </c>
      <c r="F1409" s="27">
        <v>1765.76</v>
      </c>
      <c r="G1409" s="27">
        <v>146.94</v>
      </c>
      <c r="H1409" s="27">
        <v>67.58</v>
      </c>
      <c r="I1409" s="27">
        <v>345.36</v>
      </c>
      <c r="J1409" s="27">
        <v>5292.56</v>
      </c>
      <c r="K1409" s="47">
        <f t="shared" si="169"/>
        <v>0.52752543192708257</v>
      </c>
      <c r="L1409" s="47">
        <f t="shared" si="170"/>
        <v>0.33363060598273803</v>
      </c>
      <c r="M1409" s="84">
        <f t="shared" si="171"/>
        <v>0.86115603790982054</v>
      </c>
      <c r="N1409" s="47">
        <f t="shared" si="172"/>
        <v>2.7763501972580373E-2</v>
      </c>
      <c r="O1409" s="47">
        <f t="shared" si="173"/>
        <v>1.2768867995828104E-2</v>
      </c>
      <c r="P1409" s="47">
        <f t="shared" si="174"/>
        <v>6.5253865804072123E-2</v>
      </c>
      <c r="Q1409" s="47">
        <f t="shared" si="175"/>
        <v>1</v>
      </c>
    </row>
    <row r="1410" spans="1:17" x14ac:dyDescent="0.35">
      <c r="A1410" s="82">
        <v>1407</v>
      </c>
      <c r="B1410" s="83" t="str">
        <f>_xlfn.XLOOKUP(A1410,'TAZs by City - CCAG Model'!$A:$A,'TAZs by City - CCAG Model'!$B:$B,"Unknown")</f>
        <v>Sunnyvale</v>
      </c>
      <c r="C1410" s="82">
        <f>_xlfn.XLOOKUP(A1410,'TAZs by City - CCAG Model'!$A:$A,'TAZs by City - CCAG Model'!$C:$C,999)</f>
        <v>3</v>
      </c>
      <c r="D1410" s="82" t="str">
        <f t="shared" si="168"/>
        <v>NO</v>
      </c>
      <c r="E1410" s="27">
        <v>1432.24</v>
      </c>
      <c r="F1410" s="27">
        <v>818.8</v>
      </c>
      <c r="G1410" s="27">
        <v>49.46</v>
      </c>
      <c r="H1410" s="27">
        <v>34.68</v>
      </c>
      <c r="I1410" s="27">
        <v>147.52000000000001</v>
      </c>
      <c r="J1410" s="27">
        <v>2578.2800000000002</v>
      </c>
      <c r="K1410" s="47">
        <f t="shared" si="169"/>
        <v>0.55550211769086366</v>
      </c>
      <c r="L1410" s="47">
        <f t="shared" si="170"/>
        <v>0.3175760584575763</v>
      </c>
      <c r="M1410" s="84">
        <f t="shared" si="171"/>
        <v>0.87307817614843997</v>
      </c>
      <c r="N1410" s="47">
        <f t="shared" si="172"/>
        <v>1.9183331523341143E-2</v>
      </c>
      <c r="O1410" s="47">
        <f t="shared" si="173"/>
        <v>1.3450827683571993E-2</v>
      </c>
      <c r="P1410" s="47">
        <f t="shared" si="174"/>
        <v>5.7216438866220888E-2</v>
      </c>
      <c r="Q1410" s="47">
        <f t="shared" si="175"/>
        <v>1</v>
      </c>
    </row>
    <row r="1411" spans="1:17" x14ac:dyDescent="0.35">
      <c r="A1411" s="82">
        <v>1408</v>
      </c>
      <c r="B1411" s="83" t="str">
        <f>_xlfn.XLOOKUP(A1411,'TAZs by City - CCAG Model'!$A:$A,'TAZs by City - CCAG Model'!$B:$B,"Unknown")</f>
        <v>Sunnyvale</v>
      </c>
      <c r="C1411" s="82">
        <f>_xlfn.XLOOKUP(A1411,'TAZs by City - CCAG Model'!$A:$A,'TAZs by City - CCAG Model'!$C:$C,999)</f>
        <v>3</v>
      </c>
      <c r="D1411" s="82" t="str">
        <f t="shared" si="168"/>
        <v>NO</v>
      </c>
      <c r="E1411" s="27">
        <v>2711.22</v>
      </c>
      <c r="F1411" s="27">
        <v>1364.1</v>
      </c>
      <c r="G1411" s="27">
        <v>61.16</v>
      </c>
      <c r="H1411" s="27">
        <v>57.12</v>
      </c>
      <c r="I1411" s="27">
        <v>245.96</v>
      </c>
      <c r="J1411" s="27">
        <v>4546.8</v>
      </c>
      <c r="K1411" s="47">
        <f t="shared" si="169"/>
        <v>0.5962918975983108</v>
      </c>
      <c r="L1411" s="47">
        <f t="shared" si="170"/>
        <v>0.30001319609395616</v>
      </c>
      <c r="M1411" s="84">
        <f t="shared" si="171"/>
        <v>0.89630509369226696</v>
      </c>
      <c r="N1411" s="47">
        <f t="shared" si="172"/>
        <v>1.3451218439341954E-2</v>
      </c>
      <c r="O1411" s="47">
        <f t="shared" si="173"/>
        <v>1.2562681446291897E-2</v>
      </c>
      <c r="P1411" s="47">
        <f t="shared" si="174"/>
        <v>5.4095187824403979E-2</v>
      </c>
      <c r="Q1411" s="47">
        <f t="shared" si="175"/>
        <v>1</v>
      </c>
    </row>
    <row r="1412" spans="1:17" x14ac:dyDescent="0.35">
      <c r="A1412" s="82">
        <v>1409</v>
      </c>
      <c r="B1412" s="83" t="str">
        <f>_xlfn.XLOOKUP(A1412,'TAZs by City - CCAG Model'!$A:$A,'TAZs by City - CCAG Model'!$B:$B,"Unknown")</f>
        <v>Sunnyvale</v>
      </c>
      <c r="C1412" s="82">
        <f>_xlfn.XLOOKUP(A1412,'TAZs by City - CCAG Model'!$A:$A,'TAZs by City - CCAG Model'!$C:$C,999)</f>
        <v>3</v>
      </c>
      <c r="D1412" s="82" t="str">
        <f t="shared" si="168"/>
        <v>NO</v>
      </c>
      <c r="E1412" s="27">
        <v>1441.02</v>
      </c>
      <c r="F1412" s="27">
        <v>563.66</v>
      </c>
      <c r="G1412" s="27">
        <v>27.74</v>
      </c>
      <c r="H1412" s="27">
        <v>21.28</v>
      </c>
      <c r="I1412" s="27">
        <v>92.82</v>
      </c>
      <c r="J1412" s="27">
        <v>2228.44</v>
      </c>
      <c r="K1412" s="47">
        <f t="shared" si="169"/>
        <v>0.64664967421155606</v>
      </c>
      <c r="L1412" s="47">
        <f t="shared" si="170"/>
        <v>0.25293927590601495</v>
      </c>
      <c r="M1412" s="84">
        <f t="shared" si="171"/>
        <v>0.8995889501175709</v>
      </c>
      <c r="N1412" s="47">
        <f t="shared" si="172"/>
        <v>1.2448170020283247E-2</v>
      </c>
      <c r="O1412" s="47">
        <f t="shared" si="173"/>
        <v>9.5492811114501631E-3</v>
      </c>
      <c r="P1412" s="47">
        <f t="shared" si="174"/>
        <v>4.1652456426917478E-2</v>
      </c>
      <c r="Q1412" s="47">
        <f t="shared" si="175"/>
        <v>1</v>
      </c>
    </row>
    <row r="1413" spans="1:17" x14ac:dyDescent="0.35">
      <c r="A1413" s="82">
        <v>1410</v>
      </c>
      <c r="B1413" s="83" t="str">
        <f>_xlfn.XLOOKUP(A1413,'TAZs by City - CCAG Model'!$A:$A,'TAZs by City - CCAG Model'!$B:$B,"Unknown")</f>
        <v>Sunnyvale</v>
      </c>
      <c r="C1413" s="82">
        <f>_xlfn.XLOOKUP(A1413,'TAZs by City - CCAG Model'!$A:$A,'TAZs by City - CCAG Model'!$C:$C,999)</f>
        <v>3</v>
      </c>
      <c r="D1413" s="82" t="str">
        <f t="shared" ref="D1413:D1476" si="176">IF(C1413=2,"YES","NO")</f>
        <v>NO</v>
      </c>
      <c r="E1413" s="27">
        <v>1167.1600000000001</v>
      </c>
      <c r="F1413" s="27">
        <v>286.04000000000002</v>
      </c>
      <c r="G1413" s="27">
        <v>10.32</v>
      </c>
      <c r="H1413" s="27">
        <v>10.54</v>
      </c>
      <c r="I1413" s="27">
        <v>38.4</v>
      </c>
      <c r="J1413" s="27">
        <v>1570.78</v>
      </c>
      <c r="K1413" s="47">
        <f t="shared" ref="K1413:K1476" si="177">IFERROR(E1413/$J1413,0)</f>
        <v>0.74304485669539977</v>
      </c>
      <c r="L1413" s="47">
        <f t="shared" ref="L1413:L1476" si="178">IFERROR(F1413/$J1413,0)</f>
        <v>0.18210061243458667</v>
      </c>
      <c r="M1413" s="84">
        <f t="shared" ref="M1413:M1476" si="179">IFERROR((E1413+F1413)/J1413,0)</f>
        <v>0.92514546912998641</v>
      </c>
      <c r="N1413" s="47">
        <f t="shared" ref="N1413:N1476" si="180">IFERROR(G1413/$J1413,0)</f>
        <v>6.5699843389908199E-3</v>
      </c>
      <c r="O1413" s="47">
        <f t="shared" ref="O1413:O1476" si="181">IFERROR(H1413/$J1413,0)</f>
        <v>6.71004214466698E-3</v>
      </c>
      <c r="P1413" s="47">
        <f t="shared" ref="P1413:P1476" si="182">IFERROR(I1413/$J1413,0)</f>
        <v>2.4446453354384445E-2</v>
      </c>
      <c r="Q1413" s="47">
        <f t="shared" ref="Q1413:Q1476" si="183">IFERROR(J1413/$J1413,0)</f>
        <v>1</v>
      </c>
    </row>
    <row r="1414" spans="1:17" x14ac:dyDescent="0.35">
      <c r="A1414" s="82">
        <v>1411</v>
      </c>
      <c r="B1414" s="83" t="str">
        <f>_xlfn.XLOOKUP(A1414,'TAZs by City - CCAG Model'!$A:$A,'TAZs by City - CCAG Model'!$B:$B,"Unknown")</f>
        <v>Sunnyvale</v>
      </c>
      <c r="C1414" s="82">
        <f>_xlfn.XLOOKUP(A1414,'TAZs by City - CCAG Model'!$A:$A,'TAZs by City - CCAG Model'!$C:$C,999)</f>
        <v>3</v>
      </c>
      <c r="D1414" s="82" t="str">
        <f t="shared" si="176"/>
        <v>NO</v>
      </c>
      <c r="E1414" s="27">
        <v>4969.04</v>
      </c>
      <c r="F1414" s="27">
        <v>1260.9000000000001</v>
      </c>
      <c r="G1414" s="27">
        <v>51.96</v>
      </c>
      <c r="H1414" s="27">
        <v>60.1</v>
      </c>
      <c r="I1414" s="27">
        <v>118.74</v>
      </c>
      <c r="J1414" s="27">
        <v>6541.2</v>
      </c>
      <c r="K1414" s="47">
        <f t="shared" si="177"/>
        <v>0.75965266311991686</v>
      </c>
      <c r="L1414" s="47">
        <f t="shared" si="178"/>
        <v>0.19276279581728126</v>
      </c>
      <c r="M1414" s="84">
        <f t="shared" si="179"/>
        <v>0.95241545893719814</v>
      </c>
      <c r="N1414" s="47">
        <f t="shared" si="180"/>
        <v>7.9434966061273163E-3</v>
      </c>
      <c r="O1414" s="47">
        <f t="shared" si="181"/>
        <v>9.1879165902280929E-3</v>
      </c>
      <c r="P1414" s="47">
        <f t="shared" si="182"/>
        <v>1.8152632544487249E-2</v>
      </c>
      <c r="Q1414" s="47">
        <f t="shared" si="183"/>
        <v>1</v>
      </c>
    </row>
    <row r="1415" spans="1:17" x14ac:dyDescent="0.35">
      <c r="A1415" s="82">
        <v>1412</v>
      </c>
      <c r="B1415" s="83" t="str">
        <f>_xlfn.XLOOKUP(A1415,'TAZs by City - CCAG Model'!$A:$A,'TAZs by City - CCAG Model'!$B:$B,"Unknown")</f>
        <v>Sunnyvale</v>
      </c>
      <c r="C1415" s="82">
        <f>_xlfn.XLOOKUP(A1415,'TAZs by City - CCAG Model'!$A:$A,'TAZs by City - CCAG Model'!$C:$C,999)</f>
        <v>3</v>
      </c>
      <c r="D1415" s="82" t="str">
        <f t="shared" si="176"/>
        <v>NO</v>
      </c>
      <c r="E1415" s="27">
        <v>5287.98</v>
      </c>
      <c r="F1415" s="27">
        <v>3142.72</v>
      </c>
      <c r="G1415" s="27">
        <v>238.9</v>
      </c>
      <c r="H1415" s="27">
        <v>151.91999999999999</v>
      </c>
      <c r="I1415" s="27">
        <v>2195.3000000000002</v>
      </c>
      <c r="J1415" s="27">
        <v>11302.78</v>
      </c>
      <c r="K1415" s="47">
        <f t="shared" si="177"/>
        <v>0.46784773303558941</v>
      </c>
      <c r="L1415" s="47">
        <f t="shared" si="178"/>
        <v>0.27804840932938618</v>
      </c>
      <c r="M1415" s="84">
        <f t="shared" si="179"/>
        <v>0.74589614236497559</v>
      </c>
      <c r="N1415" s="47">
        <f t="shared" si="180"/>
        <v>2.1136392993582109E-2</v>
      </c>
      <c r="O1415" s="47">
        <f t="shared" si="181"/>
        <v>1.3440941078212615E-2</v>
      </c>
      <c r="P1415" s="47">
        <f t="shared" si="182"/>
        <v>0.19422655311348183</v>
      </c>
      <c r="Q1415" s="47">
        <f t="shared" si="183"/>
        <v>1</v>
      </c>
    </row>
    <row r="1416" spans="1:17" x14ac:dyDescent="0.35">
      <c r="A1416" s="82">
        <v>1413</v>
      </c>
      <c r="B1416" s="83" t="str">
        <f>_xlfn.XLOOKUP(A1416,'TAZs by City - CCAG Model'!$A:$A,'TAZs by City - CCAG Model'!$B:$B,"Unknown")</f>
        <v>Sunnyvale</v>
      </c>
      <c r="C1416" s="82">
        <f>_xlfn.XLOOKUP(A1416,'TAZs by City - CCAG Model'!$A:$A,'TAZs by City - CCAG Model'!$C:$C,999)</f>
        <v>3</v>
      </c>
      <c r="D1416" s="82" t="str">
        <f t="shared" si="176"/>
        <v>NO</v>
      </c>
      <c r="E1416" s="27">
        <v>6488.8</v>
      </c>
      <c r="F1416" s="27">
        <v>3782.02</v>
      </c>
      <c r="G1416" s="27">
        <v>236.12</v>
      </c>
      <c r="H1416" s="27">
        <v>164.96</v>
      </c>
      <c r="I1416" s="27">
        <v>2178.44</v>
      </c>
      <c r="J1416" s="27">
        <v>13134.8</v>
      </c>
      <c r="K1416" s="47">
        <f t="shared" si="177"/>
        <v>0.49401589670189122</v>
      </c>
      <c r="L1416" s="47">
        <f t="shared" si="178"/>
        <v>0.28793891037549108</v>
      </c>
      <c r="M1416" s="84">
        <f t="shared" si="179"/>
        <v>0.7819548070773823</v>
      </c>
      <c r="N1416" s="47">
        <f t="shared" si="180"/>
        <v>1.797667265584554E-2</v>
      </c>
      <c r="O1416" s="47">
        <f t="shared" si="181"/>
        <v>1.2559003563053873E-2</v>
      </c>
      <c r="P1416" s="47">
        <f t="shared" si="182"/>
        <v>0.16585254438590616</v>
      </c>
      <c r="Q1416" s="47">
        <f t="shared" si="183"/>
        <v>1</v>
      </c>
    </row>
    <row r="1417" spans="1:17" x14ac:dyDescent="0.35">
      <c r="A1417" s="82">
        <v>1414</v>
      </c>
      <c r="B1417" s="83" t="str">
        <f>_xlfn.XLOOKUP(A1417,'TAZs by City - CCAG Model'!$A:$A,'TAZs by City - CCAG Model'!$B:$B,"Unknown")</f>
        <v>Sunnyvale</v>
      </c>
      <c r="C1417" s="82">
        <f>_xlfn.XLOOKUP(A1417,'TAZs by City - CCAG Model'!$A:$A,'TAZs by City - CCAG Model'!$C:$C,999)</f>
        <v>3</v>
      </c>
      <c r="D1417" s="82" t="str">
        <f t="shared" si="176"/>
        <v>NO</v>
      </c>
      <c r="E1417" s="27">
        <v>4071.62</v>
      </c>
      <c r="F1417" s="27">
        <v>1078.32</v>
      </c>
      <c r="G1417" s="27">
        <v>83.66</v>
      </c>
      <c r="H1417" s="27">
        <v>41.44</v>
      </c>
      <c r="I1417" s="27">
        <v>100.14</v>
      </c>
      <c r="J1417" s="27">
        <v>5496.06</v>
      </c>
      <c r="K1417" s="47">
        <f t="shared" si="177"/>
        <v>0.74082524572148045</v>
      </c>
      <c r="L1417" s="47">
        <f t="shared" si="178"/>
        <v>0.19619873145489675</v>
      </c>
      <c r="M1417" s="84">
        <f t="shared" si="179"/>
        <v>0.93702397717637709</v>
      </c>
      <c r="N1417" s="47">
        <f t="shared" si="180"/>
        <v>1.5221813444540268E-2</v>
      </c>
      <c r="O1417" s="47">
        <f t="shared" si="181"/>
        <v>7.5399467982518375E-3</v>
      </c>
      <c r="P1417" s="47">
        <f t="shared" si="182"/>
        <v>1.8220325105621115E-2</v>
      </c>
      <c r="Q1417" s="47">
        <f t="shared" si="183"/>
        <v>1</v>
      </c>
    </row>
    <row r="1418" spans="1:17" x14ac:dyDescent="0.35">
      <c r="A1418" s="82">
        <v>1415</v>
      </c>
      <c r="B1418" s="83" t="str">
        <f>_xlfn.XLOOKUP(A1418,'TAZs by City - CCAG Model'!$A:$A,'TAZs by City - CCAG Model'!$B:$B,"Unknown")</f>
        <v>Sunnyvale</v>
      </c>
      <c r="C1418" s="82">
        <f>_xlfn.XLOOKUP(A1418,'TAZs by City - CCAG Model'!$A:$A,'TAZs by City - CCAG Model'!$C:$C,999)</f>
        <v>3</v>
      </c>
      <c r="D1418" s="82" t="str">
        <f t="shared" si="176"/>
        <v>NO</v>
      </c>
      <c r="E1418" s="27">
        <v>3889.34</v>
      </c>
      <c r="F1418" s="27">
        <v>964.64</v>
      </c>
      <c r="G1418" s="27">
        <v>79.98</v>
      </c>
      <c r="H1418" s="27">
        <v>41.88</v>
      </c>
      <c r="I1418" s="27">
        <v>101.66</v>
      </c>
      <c r="J1418" s="27">
        <v>5192.7</v>
      </c>
      <c r="K1418" s="47">
        <f t="shared" si="177"/>
        <v>0.74900148285092538</v>
      </c>
      <c r="L1418" s="47">
        <f t="shared" si="178"/>
        <v>0.1857684826776051</v>
      </c>
      <c r="M1418" s="84">
        <f t="shared" si="179"/>
        <v>0.93476996552853053</v>
      </c>
      <c r="N1418" s="47">
        <f t="shared" si="180"/>
        <v>1.5402391819284766E-2</v>
      </c>
      <c r="O1418" s="47">
        <f t="shared" si="181"/>
        <v>8.0651684094979505E-3</v>
      </c>
      <c r="P1418" s="47">
        <f t="shared" si="182"/>
        <v>1.9577483775299942E-2</v>
      </c>
      <c r="Q1418" s="47">
        <f t="shared" si="183"/>
        <v>1</v>
      </c>
    </row>
    <row r="1419" spans="1:17" x14ac:dyDescent="0.35">
      <c r="A1419" s="82">
        <v>1416</v>
      </c>
      <c r="B1419" s="83" t="str">
        <f>_xlfn.XLOOKUP(A1419,'TAZs by City - CCAG Model'!$A:$A,'TAZs by City - CCAG Model'!$B:$B,"Unknown")</f>
        <v>Sunnyvale</v>
      </c>
      <c r="C1419" s="82">
        <f>_xlfn.XLOOKUP(A1419,'TAZs by City - CCAG Model'!$A:$A,'TAZs by City - CCAG Model'!$C:$C,999)</f>
        <v>3</v>
      </c>
      <c r="D1419" s="82" t="str">
        <f t="shared" si="176"/>
        <v>NO</v>
      </c>
      <c r="E1419" s="27">
        <v>4904.26</v>
      </c>
      <c r="F1419" s="27">
        <v>1243.6400000000001</v>
      </c>
      <c r="G1419" s="27">
        <v>86.46</v>
      </c>
      <c r="H1419" s="27">
        <v>56.52</v>
      </c>
      <c r="I1419" s="27">
        <v>182.92</v>
      </c>
      <c r="J1419" s="27">
        <v>6602.84</v>
      </c>
      <c r="K1419" s="47">
        <f t="shared" si="177"/>
        <v>0.74275008935548947</v>
      </c>
      <c r="L1419" s="47">
        <f t="shared" si="178"/>
        <v>0.18834925577478784</v>
      </c>
      <c r="M1419" s="84">
        <f t="shared" si="179"/>
        <v>0.93109934513027737</v>
      </c>
      <c r="N1419" s="47">
        <f t="shared" si="180"/>
        <v>1.3094365454864875E-2</v>
      </c>
      <c r="O1419" s="47">
        <f t="shared" si="181"/>
        <v>8.5599529899255469E-3</v>
      </c>
      <c r="P1419" s="47">
        <f t="shared" si="182"/>
        <v>2.7703230731018772E-2</v>
      </c>
      <c r="Q1419" s="47">
        <f t="shared" si="183"/>
        <v>1</v>
      </c>
    </row>
    <row r="1420" spans="1:17" x14ac:dyDescent="0.35">
      <c r="A1420" s="82">
        <v>1417</v>
      </c>
      <c r="B1420" s="83" t="str">
        <f>_xlfn.XLOOKUP(A1420,'TAZs by City - CCAG Model'!$A:$A,'TAZs by City - CCAG Model'!$B:$B,"Unknown")</f>
        <v>Sunnyvale</v>
      </c>
      <c r="C1420" s="82">
        <f>_xlfn.XLOOKUP(A1420,'TAZs by City - CCAG Model'!$A:$A,'TAZs by City - CCAG Model'!$C:$C,999)</f>
        <v>3</v>
      </c>
      <c r="D1420" s="82" t="str">
        <f t="shared" si="176"/>
        <v>NO</v>
      </c>
      <c r="E1420" s="27">
        <v>7337.7</v>
      </c>
      <c r="F1420" s="27">
        <v>3800.84</v>
      </c>
      <c r="G1420" s="27">
        <v>246.38</v>
      </c>
      <c r="H1420" s="27">
        <v>197.52</v>
      </c>
      <c r="I1420" s="27">
        <v>561.12</v>
      </c>
      <c r="J1420" s="27">
        <v>12437.02</v>
      </c>
      <c r="K1420" s="47">
        <f t="shared" si="177"/>
        <v>0.58998859855495922</v>
      </c>
      <c r="L1420" s="47">
        <f t="shared" si="178"/>
        <v>0.30560697015844629</v>
      </c>
      <c r="M1420" s="84">
        <f t="shared" si="179"/>
        <v>0.89559556871340562</v>
      </c>
      <c r="N1420" s="47">
        <f t="shared" si="180"/>
        <v>1.9810211770986939E-2</v>
      </c>
      <c r="O1420" s="47">
        <f t="shared" si="181"/>
        <v>1.5881617943848285E-2</v>
      </c>
      <c r="P1420" s="47">
        <f t="shared" si="182"/>
        <v>4.5116917074990631E-2</v>
      </c>
      <c r="Q1420" s="47">
        <f t="shared" si="183"/>
        <v>1</v>
      </c>
    </row>
    <row r="1421" spans="1:17" x14ac:dyDescent="0.35">
      <c r="A1421" s="82">
        <v>1418</v>
      </c>
      <c r="B1421" s="83" t="str">
        <f>_xlfn.XLOOKUP(A1421,'TAZs by City - CCAG Model'!$A:$A,'TAZs by City - CCAG Model'!$B:$B,"Unknown")</f>
        <v>Sunnyvale</v>
      </c>
      <c r="C1421" s="82">
        <f>_xlfn.XLOOKUP(A1421,'TAZs by City - CCAG Model'!$A:$A,'TAZs by City - CCAG Model'!$C:$C,999)</f>
        <v>3</v>
      </c>
      <c r="D1421" s="82" t="str">
        <f t="shared" si="176"/>
        <v>NO</v>
      </c>
      <c r="E1421" s="27">
        <v>2661.84</v>
      </c>
      <c r="F1421" s="27">
        <v>1482.48</v>
      </c>
      <c r="G1421" s="27">
        <v>78.64</v>
      </c>
      <c r="H1421" s="27">
        <v>64.8</v>
      </c>
      <c r="I1421" s="27">
        <v>234.12</v>
      </c>
      <c r="J1421" s="27">
        <v>4647.3999999999996</v>
      </c>
      <c r="K1421" s="47">
        <f t="shared" si="177"/>
        <v>0.57275896200025833</v>
      </c>
      <c r="L1421" s="47">
        <f t="shared" si="178"/>
        <v>0.31899126393252142</v>
      </c>
      <c r="M1421" s="84">
        <f t="shared" si="179"/>
        <v>0.89175022593277964</v>
      </c>
      <c r="N1421" s="47">
        <f t="shared" si="180"/>
        <v>1.6921289323062357E-2</v>
      </c>
      <c r="O1421" s="47">
        <f t="shared" si="181"/>
        <v>1.3943280113611912E-2</v>
      </c>
      <c r="P1421" s="47">
        <f t="shared" si="182"/>
        <v>5.0376554632697856E-2</v>
      </c>
      <c r="Q1421" s="47">
        <f t="shared" si="183"/>
        <v>1</v>
      </c>
    </row>
    <row r="1422" spans="1:17" x14ac:dyDescent="0.35">
      <c r="A1422" s="82">
        <v>1419</v>
      </c>
      <c r="B1422" s="83" t="str">
        <f>_xlfn.XLOOKUP(A1422,'TAZs by City - CCAG Model'!$A:$A,'TAZs by City - CCAG Model'!$B:$B,"Unknown")</f>
        <v>Sunnyvale</v>
      </c>
      <c r="C1422" s="82">
        <f>_xlfn.XLOOKUP(A1422,'TAZs by City - CCAG Model'!$A:$A,'TAZs by City - CCAG Model'!$C:$C,999)</f>
        <v>3</v>
      </c>
      <c r="D1422" s="82" t="str">
        <f t="shared" si="176"/>
        <v>NO</v>
      </c>
      <c r="E1422" s="27">
        <v>1629.56</v>
      </c>
      <c r="F1422" s="27">
        <v>913.54</v>
      </c>
      <c r="G1422" s="27">
        <v>54.18</v>
      </c>
      <c r="H1422" s="27">
        <v>44.4</v>
      </c>
      <c r="I1422" s="27">
        <v>156.58000000000001</v>
      </c>
      <c r="J1422" s="27">
        <v>2881.68</v>
      </c>
      <c r="K1422" s="47">
        <f t="shared" si="177"/>
        <v>0.56548957552538803</v>
      </c>
      <c r="L1422" s="47">
        <f t="shared" si="178"/>
        <v>0.31701646261902777</v>
      </c>
      <c r="M1422" s="84">
        <f t="shared" si="179"/>
        <v>0.88250603814441575</v>
      </c>
      <c r="N1422" s="47">
        <f t="shared" si="180"/>
        <v>1.8801532439410344E-2</v>
      </c>
      <c r="O1422" s="47">
        <f t="shared" si="181"/>
        <v>1.5407678854001832E-2</v>
      </c>
      <c r="P1422" s="47">
        <f t="shared" si="182"/>
        <v>5.4336359345937099E-2</v>
      </c>
      <c r="Q1422" s="47">
        <f t="shared" si="183"/>
        <v>1</v>
      </c>
    </row>
    <row r="1423" spans="1:17" x14ac:dyDescent="0.35">
      <c r="A1423" s="82">
        <v>1420</v>
      </c>
      <c r="B1423" s="83" t="str">
        <f>_xlfn.XLOOKUP(A1423,'TAZs by City - CCAG Model'!$A:$A,'TAZs by City - CCAG Model'!$B:$B,"Unknown")</f>
        <v>Sunnyvale</v>
      </c>
      <c r="C1423" s="82">
        <f>_xlfn.XLOOKUP(A1423,'TAZs by City - CCAG Model'!$A:$A,'TAZs by City - CCAG Model'!$C:$C,999)</f>
        <v>3</v>
      </c>
      <c r="D1423" s="82" t="str">
        <f t="shared" si="176"/>
        <v>NO</v>
      </c>
      <c r="E1423" s="27">
        <v>5704.16</v>
      </c>
      <c r="F1423" s="27">
        <v>2248.84</v>
      </c>
      <c r="G1423" s="27">
        <v>289.74</v>
      </c>
      <c r="H1423" s="27">
        <v>84.96</v>
      </c>
      <c r="I1423" s="27">
        <v>548.14</v>
      </c>
      <c r="J1423" s="27">
        <v>9202.94</v>
      </c>
      <c r="K1423" s="47">
        <f t="shared" si="177"/>
        <v>0.61981931860905315</v>
      </c>
      <c r="L1423" s="47">
        <f t="shared" si="178"/>
        <v>0.24436104114554696</v>
      </c>
      <c r="M1423" s="84">
        <f t="shared" si="179"/>
        <v>0.86418035975460006</v>
      </c>
      <c r="N1423" s="47">
        <f t="shared" si="180"/>
        <v>3.148341725579E-2</v>
      </c>
      <c r="O1423" s="47">
        <f t="shared" si="181"/>
        <v>9.2318324361562714E-3</v>
      </c>
      <c r="P1423" s="47">
        <f t="shared" si="182"/>
        <v>5.9561401030540237E-2</v>
      </c>
      <c r="Q1423" s="47">
        <f t="shared" si="183"/>
        <v>1</v>
      </c>
    </row>
    <row r="1424" spans="1:17" x14ac:dyDescent="0.35">
      <c r="A1424" s="82">
        <v>1421</v>
      </c>
      <c r="B1424" s="83" t="str">
        <f>_xlfn.XLOOKUP(A1424,'TAZs by City - CCAG Model'!$A:$A,'TAZs by City - CCAG Model'!$B:$B,"Unknown")</f>
        <v>Sunnyvale</v>
      </c>
      <c r="C1424" s="82">
        <f>_xlfn.XLOOKUP(A1424,'TAZs by City - CCAG Model'!$A:$A,'TAZs by City - CCAG Model'!$C:$C,999)</f>
        <v>3</v>
      </c>
      <c r="D1424" s="82" t="str">
        <f t="shared" si="176"/>
        <v>NO</v>
      </c>
      <c r="E1424" s="27">
        <v>6063.24</v>
      </c>
      <c r="F1424" s="27">
        <v>3527.1</v>
      </c>
      <c r="G1424" s="27">
        <v>294.92</v>
      </c>
      <c r="H1424" s="27">
        <v>174.1</v>
      </c>
      <c r="I1424" s="27">
        <v>749.52</v>
      </c>
      <c r="J1424" s="27">
        <v>11148.48</v>
      </c>
      <c r="K1424" s="47">
        <f t="shared" si="177"/>
        <v>0.54386248170154139</v>
      </c>
      <c r="L1424" s="47">
        <f t="shared" si="178"/>
        <v>0.31637496770860241</v>
      </c>
      <c r="M1424" s="84">
        <f t="shared" si="179"/>
        <v>0.86023744941014391</v>
      </c>
      <c r="N1424" s="47">
        <f t="shared" si="180"/>
        <v>2.6453830477338618E-2</v>
      </c>
      <c r="O1424" s="47">
        <f t="shared" si="181"/>
        <v>1.5616478658974139E-2</v>
      </c>
      <c r="P1424" s="47">
        <f t="shared" si="182"/>
        <v>6.7230689744252128E-2</v>
      </c>
      <c r="Q1424" s="47">
        <f t="shared" si="183"/>
        <v>1</v>
      </c>
    </row>
    <row r="1425" spans="1:17" x14ac:dyDescent="0.35">
      <c r="A1425" s="82">
        <v>1422</v>
      </c>
      <c r="B1425" s="83" t="str">
        <f>_xlfn.XLOOKUP(A1425,'TAZs by City - CCAG Model'!$A:$A,'TAZs by City - CCAG Model'!$B:$B,"Unknown")</f>
        <v>Sunnyvale</v>
      </c>
      <c r="C1425" s="82">
        <f>_xlfn.XLOOKUP(A1425,'TAZs by City - CCAG Model'!$A:$A,'TAZs by City - CCAG Model'!$C:$C,999)</f>
        <v>3</v>
      </c>
      <c r="D1425" s="82" t="str">
        <f t="shared" si="176"/>
        <v>NO</v>
      </c>
      <c r="E1425" s="27">
        <v>2326.16</v>
      </c>
      <c r="F1425" s="27">
        <v>1234.46</v>
      </c>
      <c r="G1425" s="27">
        <v>82.62</v>
      </c>
      <c r="H1425" s="27">
        <v>45.12</v>
      </c>
      <c r="I1425" s="27">
        <v>283.83999999999997</v>
      </c>
      <c r="J1425" s="27">
        <v>4103.4399999999996</v>
      </c>
      <c r="K1425" s="47">
        <f t="shared" si="177"/>
        <v>0.56688047101943739</v>
      </c>
      <c r="L1425" s="47">
        <f t="shared" si="178"/>
        <v>0.30083539664281678</v>
      </c>
      <c r="M1425" s="84">
        <f t="shared" si="179"/>
        <v>0.86771586766225417</v>
      </c>
      <c r="N1425" s="47">
        <f t="shared" si="180"/>
        <v>2.0134326321330397E-2</v>
      </c>
      <c r="O1425" s="47">
        <f t="shared" si="181"/>
        <v>1.0995652428206578E-2</v>
      </c>
      <c r="P1425" s="47">
        <f t="shared" si="182"/>
        <v>6.9171231941980382E-2</v>
      </c>
      <c r="Q1425" s="47">
        <f t="shared" si="183"/>
        <v>1</v>
      </c>
    </row>
    <row r="1426" spans="1:17" x14ac:dyDescent="0.35">
      <c r="A1426" s="82">
        <v>1423</v>
      </c>
      <c r="B1426" s="83" t="str">
        <f>_xlfn.XLOOKUP(A1426,'TAZs by City - CCAG Model'!$A:$A,'TAZs by City - CCAG Model'!$B:$B,"Unknown")</f>
        <v>Sunnyvale</v>
      </c>
      <c r="C1426" s="82">
        <f>_xlfn.XLOOKUP(A1426,'TAZs by City - CCAG Model'!$A:$A,'TAZs by City - CCAG Model'!$C:$C,999)</f>
        <v>3</v>
      </c>
      <c r="D1426" s="82" t="str">
        <f t="shared" si="176"/>
        <v>NO</v>
      </c>
      <c r="E1426" s="27">
        <v>7707.88</v>
      </c>
      <c r="F1426" s="27">
        <v>3855.1</v>
      </c>
      <c r="G1426" s="27">
        <v>200.36</v>
      </c>
      <c r="H1426" s="27">
        <v>154.91999999999999</v>
      </c>
      <c r="I1426" s="27">
        <v>853.9</v>
      </c>
      <c r="J1426" s="27">
        <v>13015.12</v>
      </c>
      <c r="K1426" s="47">
        <f t="shared" si="177"/>
        <v>0.59222504287321209</v>
      </c>
      <c r="L1426" s="47">
        <f t="shared" si="178"/>
        <v>0.29620164854415476</v>
      </c>
      <c r="M1426" s="84">
        <f t="shared" si="179"/>
        <v>0.88842669141736674</v>
      </c>
      <c r="N1426" s="47">
        <f t="shared" si="180"/>
        <v>1.5394402817645939E-2</v>
      </c>
      <c r="O1426" s="47">
        <f t="shared" si="181"/>
        <v>1.1903078880563528E-2</v>
      </c>
      <c r="P1426" s="47">
        <f t="shared" si="182"/>
        <v>6.5608307875762953E-2</v>
      </c>
      <c r="Q1426" s="47">
        <f t="shared" si="183"/>
        <v>1</v>
      </c>
    </row>
    <row r="1427" spans="1:17" x14ac:dyDescent="0.35">
      <c r="A1427" s="82">
        <v>1424</v>
      </c>
      <c r="B1427" s="83" t="str">
        <f>_xlfn.XLOOKUP(A1427,'TAZs by City - CCAG Model'!$A:$A,'TAZs by City - CCAG Model'!$B:$B,"Unknown")</f>
        <v>Sunnyvale</v>
      </c>
      <c r="C1427" s="82">
        <f>_xlfn.XLOOKUP(A1427,'TAZs by City - CCAG Model'!$A:$A,'TAZs by City - CCAG Model'!$C:$C,999)</f>
        <v>3</v>
      </c>
      <c r="D1427" s="82" t="str">
        <f t="shared" si="176"/>
        <v>NO</v>
      </c>
      <c r="E1427" s="27">
        <v>1276.9000000000001</v>
      </c>
      <c r="F1427" s="27">
        <v>836.1</v>
      </c>
      <c r="G1427" s="27">
        <v>55.18</v>
      </c>
      <c r="H1427" s="27">
        <v>31.48</v>
      </c>
      <c r="I1427" s="27">
        <v>172.98</v>
      </c>
      <c r="J1427" s="27">
        <v>2465.56</v>
      </c>
      <c r="K1427" s="47">
        <f t="shared" si="177"/>
        <v>0.51789451483638616</v>
      </c>
      <c r="L1427" s="47">
        <f t="shared" si="178"/>
        <v>0.33911160142117819</v>
      </c>
      <c r="M1427" s="84">
        <f t="shared" si="179"/>
        <v>0.85700611625756418</v>
      </c>
      <c r="N1427" s="47">
        <f t="shared" si="180"/>
        <v>2.2380311166631518E-2</v>
      </c>
      <c r="O1427" s="47">
        <f t="shared" si="181"/>
        <v>1.276789045896267E-2</v>
      </c>
      <c r="P1427" s="47">
        <f t="shared" si="182"/>
        <v>7.015850354483362E-2</v>
      </c>
      <c r="Q1427" s="47">
        <f t="shared" si="183"/>
        <v>1</v>
      </c>
    </row>
    <row r="1428" spans="1:17" x14ac:dyDescent="0.35">
      <c r="A1428" s="82">
        <v>1425</v>
      </c>
      <c r="B1428" s="83" t="str">
        <f>_xlfn.XLOOKUP(A1428,'TAZs by City - CCAG Model'!$A:$A,'TAZs by City - CCAG Model'!$B:$B,"Unknown")</f>
        <v>Sunnyvale</v>
      </c>
      <c r="C1428" s="82">
        <f>_xlfn.XLOOKUP(A1428,'TAZs by City - CCAG Model'!$A:$A,'TAZs by City - CCAG Model'!$C:$C,999)</f>
        <v>3</v>
      </c>
      <c r="D1428" s="82" t="str">
        <f t="shared" si="176"/>
        <v>NO</v>
      </c>
      <c r="E1428" s="27">
        <v>5247.52</v>
      </c>
      <c r="F1428" s="27">
        <v>2617.7800000000002</v>
      </c>
      <c r="G1428" s="27">
        <v>147.91999999999999</v>
      </c>
      <c r="H1428" s="27">
        <v>136.28</v>
      </c>
      <c r="I1428" s="27">
        <v>1001.34</v>
      </c>
      <c r="J1428" s="27">
        <v>9347.32</v>
      </c>
      <c r="K1428" s="47">
        <f t="shared" si="177"/>
        <v>0.56139299820697275</v>
      </c>
      <c r="L1428" s="47">
        <f t="shared" si="178"/>
        <v>0.28005674353718502</v>
      </c>
      <c r="M1428" s="84">
        <f t="shared" si="179"/>
        <v>0.84144974174415788</v>
      </c>
      <c r="N1428" s="47">
        <f t="shared" si="180"/>
        <v>1.5824856750384066E-2</v>
      </c>
      <c r="O1428" s="47">
        <f t="shared" si="181"/>
        <v>1.4579580029356009E-2</v>
      </c>
      <c r="P1428" s="47">
        <f t="shared" si="182"/>
        <v>0.10712589276926435</v>
      </c>
      <c r="Q1428" s="47">
        <f t="shared" si="183"/>
        <v>1</v>
      </c>
    </row>
    <row r="1429" spans="1:17" x14ac:dyDescent="0.35">
      <c r="A1429" s="82">
        <v>1426</v>
      </c>
      <c r="B1429" s="83" t="str">
        <f>_xlfn.XLOOKUP(A1429,'TAZs by City - CCAG Model'!$A:$A,'TAZs by City - CCAG Model'!$B:$B,"Unknown")</f>
        <v>Sunnyvale</v>
      </c>
      <c r="C1429" s="82">
        <f>_xlfn.XLOOKUP(A1429,'TAZs by City - CCAG Model'!$A:$A,'TAZs by City - CCAG Model'!$C:$C,999)</f>
        <v>3</v>
      </c>
      <c r="D1429" s="82" t="str">
        <f t="shared" si="176"/>
        <v>NO</v>
      </c>
      <c r="E1429" s="27">
        <v>3815.74</v>
      </c>
      <c r="F1429" s="27">
        <v>2212.36</v>
      </c>
      <c r="G1429" s="27">
        <v>106.44</v>
      </c>
      <c r="H1429" s="27">
        <v>82.02</v>
      </c>
      <c r="I1429" s="27">
        <v>1507.24</v>
      </c>
      <c r="J1429" s="27">
        <v>7879.74</v>
      </c>
      <c r="K1429" s="47">
        <f t="shared" si="177"/>
        <v>0.48424694215798997</v>
      </c>
      <c r="L1429" s="47">
        <f t="shared" si="178"/>
        <v>0.28076560901755643</v>
      </c>
      <c r="M1429" s="84">
        <f t="shared" si="179"/>
        <v>0.76501255117554645</v>
      </c>
      <c r="N1429" s="47">
        <f t="shared" si="180"/>
        <v>1.3508059910606187E-2</v>
      </c>
      <c r="O1429" s="47">
        <f t="shared" si="181"/>
        <v>1.0408972884892141E-2</v>
      </c>
      <c r="P1429" s="47">
        <f t="shared" si="182"/>
        <v>0.19128042295811792</v>
      </c>
      <c r="Q1429" s="47">
        <f t="shared" si="183"/>
        <v>1</v>
      </c>
    </row>
    <row r="1430" spans="1:17" x14ac:dyDescent="0.35">
      <c r="A1430" s="82">
        <v>1427</v>
      </c>
      <c r="B1430" s="83" t="str">
        <f>_xlfn.XLOOKUP(A1430,'TAZs by City - CCAG Model'!$A:$A,'TAZs by City - CCAG Model'!$B:$B,"Unknown")</f>
        <v>Sunnyvale</v>
      </c>
      <c r="C1430" s="82">
        <f>_xlfn.XLOOKUP(A1430,'TAZs by City - CCAG Model'!$A:$A,'TAZs by City - CCAG Model'!$C:$C,999)</f>
        <v>3</v>
      </c>
      <c r="D1430" s="82" t="str">
        <f t="shared" si="176"/>
        <v>NO</v>
      </c>
      <c r="E1430" s="27">
        <v>6147.38</v>
      </c>
      <c r="F1430" s="27">
        <v>4139.84</v>
      </c>
      <c r="G1430" s="27">
        <v>130.26</v>
      </c>
      <c r="H1430" s="27">
        <v>142.18</v>
      </c>
      <c r="I1430" s="27">
        <v>1385</v>
      </c>
      <c r="J1430" s="27">
        <v>12116.42</v>
      </c>
      <c r="K1430" s="47">
        <f t="shared" si="177"/>
        <v>0.50735943455245036</v>
      </c>
      <c r="L1430" s="47">
        <f t="shared" si="178"/>
        <v>0.34167187997774923</v>
      </c>
      <c r="M1430" s="84">
        <f t="shared" si="179"/>
        <v>0.84903131453019964</v>
      </c>
      <c r="N1430" s="47">
        <f t="shared" si="180"/>
        <v>1.0750700289359398E-2</v>
      </c>
      <c r="O1430" s="47">
        <f t="shared" si="181"/>
        <v>1.1734489230317207E-2</v>
      </c>
      <c r="P1430" s="47">
        <f t="shared" si="182"/>
        <v>0.11430769154585266</v>
      </c>
      <c r="Q1430" s="47">
        <f t="shared" si="183"/>
        <v>1</v>
      </c>
    </row>
    <row r="1431" spans="1:17" x14ac:dyDescent="0.35">
      <c r="A1431" s="82">
        <v>1428</v>
      </c>
      <c r="B1431" s="83" t="str">
        <f>_xlfn.XLOOKUP(A1431,'TAZs by City - CCAG Model'!$A:$A,'TAZs by City - CCAG Model'!$B:$B,"Unknown")</f>
        <v>Sunnyvale</v>
      </c>
      <c r="C1431" s="82">
        <f>_xlfn.XLOOKUP(A1431,'TAZs by City - CCAG Model'!$A:$A,'TAZs by City - CCAG Model'!$C:$C,999)</f>
        <v>3</v>
      </c>
      <c r="D1431" s="82" t="str">
        <f t="shared" si="176"/>
        <v>NO</v>
      </c>
      <c r="E1431" s="27">
        <v>3325.72</v>
      </c>
      <c r="F1431" s="27">
        <v>2613.58</v>
      </c>
      <c r="G1431" s="27">
        <v>22.36</v>
      </c>
      <c r="H1431" s="27">
        <v>86.84</v>
      </c>
      <c r="I1431" s="27">
        <v>236.08</v>
      </c>
      <c r="J1431" s="27">
        <v>6324.96</v>
      </c>
      <c r="K1431" s="47">
        <f t="shared" si="177"/>
        <v>0.52580885887025364</v>
      </c>
      <c r="L1431" s="47">
        <f t="shared" si="178"/>
        <v>0.41321684247805518</v>
      </c>
      <c r="M1431" s="84">
        <f t="shared" si="179"/>
        <v>0.93902570134830876</v>
      </c>
      <c r="N1431" s="47">
        <f t="shared" si="180"/>
        <v>3.5352002226101032E-3</v>
      </c>
      <c r="O1431" s="47">
        <f t="shared" si="181"/>
        <v>1.3729731097113658E-2</v>
      </c>
      <c r="P1431" s="47">
        <f t="shared" si="182"/>
        <v>3.7325137234069466E-2</v>
      </c>
      <c r="Q1431" s="47">
        <f t="shared" si="183"/>
        <v>1</v>
      </c>
    </row>
    <row r="1432" spans="1:17" x14ac:dyDescent="0.35">
      <c r="A1432" s="82">
        <v>1429</v>
      </c>
      <c r="B1432" s="83" t="str">
        <f>_xlfn.XLOOKUP(A1432,'TAZs by City - CCAG Model'!$A:$A,'TAZs by City - CCAG Model'!$B:$B,"Unknown")</f>
        <v>Sunnyvale</v>
      </c>
      <c r="C1432" s="82">
        <f>_xlfn.XLOOKUP(A1432,'TAZs by City - CCAG Model'!$A:$A,'TAZs by City - CCAG Model'!$C:$C,999)</f>
        <v>3</v>
      </c>
      <c r="D1432" s="82" t="str">
        <f t="shared" si="176"/>
        <v>NO</v>
      </c>
      <c r="E1432" s="27">
        <v>6344.76</v>
      </c>
      <c r="F1432" s="27">
        <v>3629.58</v>
      </c>
      <c r="G1432" s="27">
        <v>95.96</v>
      </c>
      <c r="H1432" s="27">
        <v>126.18</v>
      </c>
      <c r="I1432" s="27">
        <v>767.5</v>
      </c>
      <c r="J1432" s="27">
        <v>11099.26</v>
      </c>
      <c r="K1432" s="47">
        <f t="shared" si="177"/>
        <v>0.57163810920728053</v>
      </c>
      <c r="L1432" s="47">
        <f t="shared" si="178"/>
        <v>0.32701098992185063</v>
      </c>
      <c r="M1432" s="84">
        <f t="shared" si="179"/>
        <v>0.89864909912913116</v>
      </c>
      <c r="N1432" s="47">
        <f t="shared" si="180"/>
        <v>8.6456214198063642E-3</v>
      </c>
      <c r="O1432" s="47">
        <f t="shared" si="181"/>
        <v>1.1368325455931296E-2</v>
      </c>
      <c r="P1432" s="47">
        <f t="shared" si="182"/>
        <v>6.9148754061081549E-2</v>
      </c>
      <c r="Q1432" s="47">
        <f t="shared" si="183"/>
        <v>1</v>
      </c>
    </row>
    <row r="1433" spans="1:17" x14ac:dyDescent="0.35">
      <c r="A1433" s="82">
        <v>1430</v>
      </c>
      <c r="B1433" s="83" t="str">
        <f>_xlfn.XLOOKUP(A1433,'TAZs by City - CCAG Model'!$A:$A,'TAZs by City - CCAG Model'!$B:$B,"Unknown")</f>
        <v>Sunnyvale</v>
      </c>
      <c r="C1433" s="82">
        <f>_xlfn.XLOOKUP(A1433,'TAZs by City - CCAG Model'!$A:$A,'TAZs by City - CCAG Model'!$C:$C,999)</f>
        <v>3</v>
      </c>
      <c r="D1433" s="82" t="str">
        <f t="shared" si="176"/>
        <v>NO</v>
      </c>
      <c r="E1433" s="27">
        <v>3216.22</v>
      </c>
      <c r="F1433" s="27">
        <v>2437.7800000000002</v>
      </c>
      <c r="G1433" s="27">
        <v>62.04</v>
      </c>
      <c r="H1433" s="27">
        <v>77.52</v>
      </c>
      <c r="I1433" s="27">
        <v>364.4</v>
      </c>
      <c r="J1433" s="27">
        <v>6254.28</v>
      </c>
      <c r="K1433" s="47">
        <f t="shared" si="177"/>
        <v>0.51424304636185136</v>
      </c>
      <c r="L1433" s="47">
        <f t="shared" si="178"/>
        <v>0.38977788010770231</v>
      </c>
      <c r="M1433" s="84">
        <f t="shared" si="179"/>
        <v>0.90402092646955368</v>
      </c>
      <c r="N1433" s="47">
        <f t="shared" si="180"/>
        <v>9.9196070530900449E-3</v>
      </c>
      <c r="O1433" s="47">
        <f t="shared" si="181"/>
        <v>1.239471210115313E-2</v>
      </c>
      <c r="P1433" s="47">
        <f t="shared" si="182"/>
        <v>5.8264100743810637E-2</v>
      </c>
      <c r="Q1433" s="47">
        <f t="shared" si="183"/>
        <v>1</v>
      </c>
    </row>
    <row r="1434" spans="1:17" x14ac:dyDescent="0.35">
      <c r="A1434" s="82">
        <v>1431</v>
      </c>
      <c r="B1434" s="83" t="str">
        <f>_xlfn.XLOOKUP(A1434,'TAZs by City - CCAG Model'!$A:$A,'TAZs by City - CCAG Model'!$B:$B,"Unknown")</f>
        <v>Sunnyvale</v>
      </c>
      <c r="C1434" s="82">
        <f>_xlfn.XLOOKUP(A1434,'TAZs by City - CCAG Model'!$A:$A,'TAZs by City - CCAG Model'!$C:$C,999)</f>
        <v>3</v>
      </c>
      <c r="D1434" s="82" t="str">
        <f t="shared" si="176"/>
        <v>NO</v>
      </c>
      <c r="E1434" s="27">
        <v>4624.9799999999996</v>
      </c>
      <c r="F1434" s="27">
        <v>2877</v>
      </c>
      <c r="G1434" s="27">
        <v>92.88</v>
      </c>
      <c r="H1434" s="27">
        <v>90.68</v>
      </c>
      <c r="I1434" s="27">
        <v>1546.5</v>
      </c>
      <c r="J1434" s="27">
        <v>9372.4599999999991</v>
      </c>
      <c r="K1434" s="47">
        <f t="shared" si="177"/>
        <v>0.49346489608918043</v>
      </c>
      <c r="L1434" s="47">
        <f t="shared" si="178"/>
        <v>0.30696316655392503</v>
      </c>
      <c r="M1434" s="84">
        <f t="shared" si="179"/>
        <v>0.80042806264310551</v>
      </c>
      <c r="N1434" s="47">
        <f t="shared" si="180"/>
        <v>9.9098849181538263E-3</v>
      </c>
      <c r="O1434" s="47">
        <f t="shared" si="181"/>
        <v>9.6751546552345923E-3</v>
      </c>
      <c r="P1434" s="47">
        <f t="shared" si="182"/>
        <v>0.16500470527481581</v>
      </c>
      <c r="Q1434" s="47">
        <f t="shared" si="183"/>
        <v>1</v>
      </c>
    </row>
    <row r="1435" spans="1:17" x14ac:dyDescent="0.35">
      <c r="A1435" s="82">
        <v>1432</v>
      </c>
      <c r="B1435" s="83" t="str">
        <f>_xlfn.XLOOKUP(A1435,'TAZs by City - CCAG Model'!$A:$A,'TAZs by City - CCAG Model'!$B:$B,"Unknown")</f>
        <v>Sunnyvale</v>
      </c>
      <c r="C1435" s="82">
        <f>_xlfn.XLOOKUP(A1435,'TAZs by City - CCAG Model'!$A:$A,'TAZs by City - CCAG Model'!$C:$C,999)</f>
        <v>3</v>
      </c>
      <c r="D1435" s="82" t="str">
        <f t="shared" si="176"/>
        <v>NO</v>
      </c>
      <c r="E1435" s="27">
        <v>5761.16</v>
      </c>
      <c r="F1435" s="27">
        <v>3486.7</v>
      </c>
      <c r="G1435" s="27">
        <v>100.54</v>
      </c>
      <c r="H1435" s="27">
        <v>110.68</v>
      </c>
      <c r="I1435" s="27">
        <v>1377.54</v>
      </c>
      <c r="J1435" s="27">
        <v>10978.46</v>
      </c>
      <c r="K1435" s="47">
        <f t="shared" si="177"/>
        <v>0.52476941210333694</v>
      </c>
      <c r="L1435" s="47">
        <f t="shared" si="178"/>
        <v>0.31759463531314958</v>
      </c>
      <c r="M1435" s="84">
        <f t="shared" si="179"/>
        <v>0.84236404741648663</v>
      </c>
      <c r="N1435" s="47">
        <f t="shared" si="180"/>
        <v>9.1579328976923915E-3</v>
      </c>
      <c r="O1435" s="47">
        <f t="shared" si="181"/>
        <v>1.008155970873875E-2</v>
      </c>
      <c r="P1435" s="47">
        <f t="shared" si="182"/>
        <v>0.12547661511723868</v>
      </c>
      <c r="Q1435" s="47">
        <f t="shared" si="183"/>
        <v>1</v>
      </c>
    </row>
    <row r="1436" spans="1:17" x14ac:dyDescent="0.35">
      <c r="A1436" s="82">
        <v>1433</v>
      </c>
      <c r="B1436" s="83" t="str">
        <f>_xlfn.XLOOKUP(A1436,'TAZs by City - CCAG Model'!$A:$A,'TAZs by City - CCAG Model'!$B:$B,"Unknown")</f>
        <v>Sunnyvale</v>
      </c>
      <c r="C1436" s="82">
        <f>_xlfn.XLOOKUP(A1436,'TAZs by City - CCAG Model'!$A:$A,'TAZs by City - CCAG Model'!$C:$C,999)</f>
        <v>3</v>
      </c>
      <c r="D1436" s="82" t="str">
        <f t="shared" si="176"/>
        <v>NO</v>
      </c>
      <c r="E1436" s="27">
        <v>5648.16</v>
      </c>
      <c r="F1436" s="27">
        <v>3382.04</v>
      </c>
      <c r="G1436" s="27">
        <v>175.08</v>
      </c>
      <c r="H1436" s="27">
        <v>139.96</v>
      </c>
      <c r="I1436" s="27">
        <v>2031.7</v>
      </c>
      <c r="J1436" s="27">
        <v>11598.66</v>
      </c>
      <c r="K1436" s="47">
        <f t="shared" si="177"/>
        <v>0.48696659786561552</v>
      </c>
      <c r="L1436" s="47">
        <f t="shared" si="178"/>
        <v>0.29158885595404987</v>
      </c>
      <c r="M1436" s="84">
        <f t="shared" si="179"/>
        <v>0.7785554538196654</v>
      </c>
      <c r="N1436" s="47">
        <f t="shared" si="180"/>
        <v>1.509484716337922E-2</v>
      </c>
      <c r="O1436" s="47">
        <f t="shared" si="181"/>
        <v>1.2066911177670525E-2</v>
      </c>
      <c r="P1436" s="47">
        <f t="shared" si="182"/>
        <v>0.17516678650809664</v>
      </c>
      <c r="Q1436" s="47">
        <f t="shared" si="183"/>
        <v>1</v>
      </c>
    </row>
    <row r="1437" spans="1:17" x14ac:dyDescent="0.35">
      <c r="A1437" s="82">
        <v>1434</v>
      </c>
      <c r="B1437" s="83" t="str">
        <f>_xlfn.XLOOKUP(A1437,'TAZs by City - CCAG Model'!$A:$A,'TAZs by City - CCAG Model'!$B:$B,"Unknown")</f>
        <v>Sunnyvale</v>
      </c>
      <c r="C1437" s="82">
        <f>_xlfn.XLOOKUP(A1437,'TAZs by City - CCAG Model'!$A:$A,'TAZs by City - CCAG Model'!$C:$C,999)</f>
        <v>3</v>
      </c>
      <c r="D1437" s="82" t="str">
        <f t="shared" si="176"/>
        <v>NO</v>
      </c>
      <c r="E1437" s="27">
        <v>13109.12</v>
      </c>
      <c r="F1437" s="27">
        <v>9563.48</v>
      </c>
      <c r="G1437" s="27">
        <v>525.22</v>
      </c>
      <c r="H1437" s="27">
        <v>413</v>
      </c>
      <c r="I1437" s="27">
        <v>2861.8</v>
      </c>
      <c r="J1437" s="27">
        <v>27037.78</v>
      </c>
      <c r="K1437" s="47">
        <f t="shared" si="177"/>
        <v>0.48484453975141456</v>
      </c>
      <c r="L1437" s="47">
        <f t="shared" si="178"/>
        <v>0.35370803372170351</v>
      </c>
      <c r="M1437" s="84">
        <f t="shared" si="179"/>
        <v>0.83855257347311796</v>
      </c>
      <c r="N1437" s="47">
        <f t="shared" si="180"/>
        <v>1.9425411405818084E-2</v>
      </c>
      <c r="O1437" s="47">
        <f t="shared" si="181"/>
        <v>1.5274922719246921E-2</v>
      </c>
      <c r="P1437" s="47">
        <f t="shared" si="182"/>
        <v>0.10584448871172117</v>
      </c>
      <c r="Q1437" s="47">
        <f t="shared" si="183"/>
        <v>1</v>
      </c>
    </row>
    <row r="1438" spans="1:17" x14ac:dyDescent="0.35">
      <c r="A1438" s="82">
        <v>1435</v>
      </c>
      <c r="B1438" s="83" t="str">
        <f>_xlfn.XLOOKUP(A1438,'TAZs by City - CCAG Model'!$A:$A,'TAZs by City - CCAG Model'!$B:$B,"Unknown")</f>
        <v>Sunnyvale</v>
      </c>
      <c r="C1438" s="82">
        <f>_xlfn.XLOOKUP(A1438,'TAZs by City - CCAG Model'!$A:$A,'TAZs by City - CCAG Model'!$C:$C,999)</f>
        <v>3</v>
      </c>
      <c r="D1438" s="82" t="str">
        <f t="shared" si="176"/>
        <v>NO</v>
      </c>
      <c r="E1438" s="27">
        <v>6632.08</v>
      </c>
      <c r="F1438" s="27">
        <v>5175.26</v>
      </c>
      <c r="G1438" s="27">
        <v>120.82</v>
      </c>
      <c r="H1438" s="27">
        <v>164.96</v>
      </c>
      <c r="I1438" s="27">
        <v>756.28</v>
      </c>
      <c r="J1438" s="27">
        <v>13007.5</v>
      </c>
      <c r="K1438" s="47">
        <f t="shared" si="177"/>
        <v>0.50986584662694601</v>
      </c>
      <c r="L1438" s="47">
        <f t="shared" si="178"/>
        <v>0.39786738420142226</v>
      </c>
      <c r="M1438" s="84">
        <f t="shared" si="179"/>
        <v>0.90773323082836821</v>
      </c>
      <c r="N1438" s="47">
        <f t="shared" si="180"/>
        <v>9.2884874111089748E-3</v>
      </c>
      <c r="O1438" s="47">
        <f t="shared" si="181"/>
        <v>1.268191428022295E-2</v>
      </c>
      <c r="P1438" s="47">
        <f t="shared" si="182"/>
        <v>5.8141841245435325E-2</v>
      </c>
      <c r="Q1438" s="47">
        <f t="shared" si="183"/>
        <v>1</v>
      </c>
    </row>
    <row r="1439" spans="1:17" x14ac:dyDescent="0.35">
      <c r="A1439" s="82">
        <v>1436</v>
      </c>
      <c r="B1439" s="83" t="str">
        <f>_xlfn.XLOOKUP(A1439,'TAZs by City - CCAG Model'!$A:$A,'TAZs by City - CCAG Model'!$B:$B,"Unknown")</f>
        <v>Sunnyvale</v>
      </c>
      <c r="C1439" s="82">
        <f>_xlfn.XLOOKUP(A1439,'TAZs by City - CCAG Model'!$A:$A,'TAZs by City - CCAG Model'!$C:$C,999)</f>
        <v>3</v>
      </c>
      <c r="D1439" s="82" t="str">
        <f t="shared" si="176"/>
        <v>NO</v>
      </c>
      <c r="E1439" s="27">
        <v>5408.32</v>
      </c>
      <c r="F1439" s="27">
        <v>3966.92</v>
      </c>
      <c r="G1439" s="27">
        <v>106.48</v>
      </c>
      <c r="H1439" s="27">
        <v>140.06</v>
      </c>
      <c r="I1439" s="27">
        <v>653.98</v>
      </c>
      <c r="J1439" s="27">
        <v>10424.26</v>
      </c>
      <c r="K1439" s="47">
        <f t="shared" si="177"/>
        <v>0.5188205205933083</v>
      </c>
      <c r="L1439" s="47">
        <f t="shared" si="178"/>
        <v>0.38054691651973377</v>
      </c>
      <c r="M1439" s="84">
        <f t="shared" si="179"/>
        <v>0.89936743711304201</v>
      </c>
      <c r="N1439" s="47">
        <f t="shared" si="180"/>
        <v>1.0214633940442775E-2</v>
      </c>
      <c r="O1439" s="47">
        <f t="shared" si="181"/>
        <v>1.3435965718429893E-2</v>
      </c>
      <c r="P1439" s="47">
        <f t="shared" si="182"/>
        <v>6.2736347711971882E-2</v>
      </c>
      <c r="Q1439" s="47">
        <f t="shared" si="183"/>
        <v>1</v>
      </c>
    </row>
    <row r="1440" spans="1:17" x14ac:dyDescent="0.35">
      <c r="A1440" s="82">
        <v>1437</v>
      </c>
      <c r="B1440" s="83" t="str">
        <f>_xlfn.XLOOKUP(A1440,'TAZs by City - CCAG Model'!$A:$A,'TAZs by City - CCAG Model'!$B:$B,"Unknown")</f>
        <v>Sunnyvale</v>
      </c>
      <c r="C1440" s="82">
        <f>_xlfn.XLOOKUP(A1440,'TAZs by City - CCAG Model'!$A:$A,'TAZs by City - CCAG Model'!$C:$C,999)</f>
        <v>3</v>
      </c>
      <c r="D1440" s="82" t="str">
        <f t="shared" si="176"/>
        <v>NO</v>
      </c>
      <c r="E1440" s="27">
        <v>4654.26</v>
      </c>
      <c r="F1440" s="27">
        <v>2826.28</v>
      </c>
      <c r="G1440" s="27">
        <v>115.08</v>
      </c>
      <c r="H1440" s="27">
        <v>97.28</v>
      </c>
      <c r="I1440" s="27">
        <v>1651.62</v>
      </c>
      <c r="J1440" s="27">
        <v>9507.76</v>
      </c>
      <c r="K1440" s="47">
        <f t="shared" si="177"/>
        <v>0.48952224288370766</v>
      </c>
      <c r="L1440" s="47">
        <f t="shared" si="178"/>
        <v>0.29726034313024308</v>
      </c>
      <c r="M1440" s="84">
        <f t="shared" si="179"/>
        <v>0.78678258601395079</v>
      </c>
      <c r="N1440" s="47">
        <f t="shared" si="180"/>
        <v>1.2103797319242387E-2</v>
      </c>
      <c r="O1440" s="47">
        <f t="shared" si="181"/>
        <v>1.0231642363711326E-2</v>
      </c>
      <c r="P1440" s="47">
        <f t="shared" si="182"/>
        <v>0.17371284087945002</v>
      </c>
      <c r="Q1440" s="47">
        <f t="shared" si="183"/>
        <v>1</v>
      </c>
    </row>
    <row r="1441" spans="1:17" x14ac:dyDescent="0.35">
      <c r="A1441" s="82">
        <v>1438</v>
      </c>
      <c r="B1441" s="83" t="str">
        <f>_xlfn.XLOOKUP(A1441,'TAZs by City - CCAG Model'!$A:$A,'TAZs by City - CCAG Model'!$B:$B,"Unknown")</f>
        <v>Sunnyvale</v>
      </c>
      <c r="C1441" s="82">
        <f>_xlfn.XLOOKUP(A1441,'TAZs by City - CCAG Model'!$A:$A,'TAZs by City - CCAG Model'!$C:$C,999)</f>
        <v>3</v>
      </c>
      <c r="D1441" s="82" t="str">
        <f t="shared" si="176"/>
        <v>NO</v>
      </c>
      <c r="E1441" s="27">
        <v>5098.42</v>
      </c>
      <c r="F1441" s="27">
        <v>3038.26</v>
      </c>
      <c r="G1441" s="27">
        <v>144.13999999999999</v>
      </c>
      <c r="H1441" s="27">
        <v>127.68</v>
      </c>
      <c r="I1441" s="27">
        <v>1298.44</v>
      </c>
      <c r="J1441" s="27">
        <v>9898.06</v>
      </c>
      <c r="K1441" s="47">
        <f t="shared" si="177"/>
        <v>0.51509285657997628</v>
      </c>
      <c r="L1441" s="47">
        <f t="shared" si="178"/>
        <v>0.30695510029238054</v>
      </c>
      <c r="M1441" s="84">
        <f t="shared" si="179"/>
        <v>0.82204795687235688</v>
      </c>
      <c r="N1441" s="47">
        <f t="shared" si="180"/>
        <v>1.4562449611337978E-2</v>
      </c>
      <c r="O1441" s="47">
        <f t="shared" si="181"/>
        <v>1.2899497477283429E-2</v>
      </c>
      <c r="P1441" s="47">
        <f t="shared" si="182"/>
        <v>0.13118126178261197</v>
      </c>
      <c r="Q1441" s="47">
        <f t="shared" si="183"/>
        <v>1</v>
      </c>
    </row>
    <row r="1442" spans="1:17" x14ac:dyDescent="0.35">
      <c r="A1442" s="82">
        <v>1439</v>
      </c>
      <c r="B1442" s="83" t="str">
        <f>_xlfn.XLOOKUP(A1442,'TAZs by City - CCAG Model'!$A:$A,'TAZs by City - CCAG Model'!$B:$B,"Unknown")</f>
        <v>Sunnyvale</v>
      </c>
      <c r="C1442" s="82">
        <f>_xlfn.XLOOKUP(A1442,'TAZs by City - CCAG Model'!$A:$A,'TAZs by City - CCAG Model'!$C:$C,999)</f>
        <v>3</v>
      </c>
      <c r="D1442" s="82" t="str">
        <f t="shared" si="176"/>
        <v>NO</v>
      </c>
      <c r="E1442" s="27">
        <v>9101.76</v>
      </c>
      <c r="F1442" s="27">
        <v>5694.32</v>
      </c>
      <c r="G1442" s="27">
        <v>347.82</v>
      </c>
      <c r="H1442" s="27">
        <v>245</v>
      </c>
      <c r="I1442" s="27">
        <v>1942.04</v>
      </c>
      <c r="J1442" s="27">
        <v>17721.68</v>
      </c>
      <c r="K1442" s="47">
        <f t="shared" si="177"/>
        <v>0.51359464791148468</v>
      </c>
      <c r="L1442" s="47">
        <f t="shared" si="178"/>
        <v>0.321319423440667</v>
      </c>
      <c r="M1442" s="84">
        <f t="shared" si="179"/>
        <v>0.83491407135215168</v>
      </c>
      <c r="N1442" s="47">
        <f t="shared" si="180"/>
        <v>1.962680739072142E-2</v>
      </c>
      <c r="O1442" s="47">
        <f t="shared" si="181"/>
        <v>1.3824874391141245E-2</v>
      </c>
      <c r="P1442" s="47">
        <f t="shared" si="182"/>
        <v>0.1095855471941712</v>
      </c>
      <c r="Q1442" s="47">
        <f t="shared" si="183"/>
        <v>1</v>
      </c>
    </row>
    <row r="1443" spans="1:17" x14ac:dyDescent="0.35">
      <c r="A1443" s="82">
        <v>1440</v>
      </c>
      <c r="B1443" s="83" t="str">
        <f>_xlfn.XLOOKUP(A1443,'TAZs by City - CCAG Model'!$A:$A,'TAZs by City - CCAG Model'!$B:$B,"Unknown")</f>
        <v>Sunnyvale</v>
      </c>
      <c r="C1443" s="82">
        <f>_xlfn.XLOOKUP(A1443,'TAZs by City - CCAG Model'!$A:$A,'TAZs by City - CCAG Model'!$C:$C,999)</f>
        <v>3</v>
      </c>
      <c r="D1443" s="82" t="str">
        <f t="shared" si="176"/>
        <v>NO</v>
      </c>
      <c r="E1443" s="27">
        <v>4100.92</v>
      </c>
      <c r="F1443" s="27">
        <v>2208.7800000000002</v>
      </c>
      <c r="G1443" s="27">
        <v>127.48</v>
      </c>
      <c r="H1443" s="27">
        <v>96.72</v>
      </c>
      <c r="I1443" s="27">
        <v>1228.4000000000001</v>
      </c>
      <c r="J1443" s="27">
        <v>7939.94</v>
      </c>
      <c r="K1443" s="47">
        <f t="shared" si="177"/>
        <v>0.51649256795391407</v>
      </c>
      <c r="L1443" s="47">
        <f t="shared" si="178"/>
        <v>0.27818598125426647</v>
      </c>
      <c r="M1443" s="84">
        <f t="shared" si="179"/>
        <v>0.7946785492081806</v>
      </c>
      <c r="N1443" s="47">
        <f t="shared" si="180"/>
        <v>1.605553694360411E-2</v>
      </c>
      <c r="O1443" s="47">
        <f t="shared" si="181"/>
        <v>1.2181452252787805E-2</v>
      </c>
      <c r="P1443" s="47">
        <f t="shared" si="182"/>
        <v>0.15471149656042743</v>
      </c>
      <c r="Q1443" s="47">
        <f t="shared" si="183"/>
        <v>1</v>
      </c>
    </row>
    <row r="1444" spans="1:17" x14ac:dyDescent="0.35">
      <c r="A1444" s="82">
        <v>1441</v>
      </c>
      <c r="B1444" s="83" t="str">
        <f>_xlfn.XLOOKUP(A1444,'TAZs by City - CCAG Model'!$A:$A,'TAZs by City - CCAG Model'!$B:$B,"Unknown")</f>
        <v>Sunnyvale</v>
      </c>
      <c r="C1444" s="82">
        <f>_xlfn.XLOOKUP(A1444,'TAZs by City - CCAG Model'!$A:$A,'TAZs by City - CCAG Model'!$C:$C,999)</f>
        <v>3</v>
      </c>
      <c r="D1444" s="82" t="str">
        <f t="shared" si="176"/>
        <v>NO</v>
      </c>
      <c r="E1444" s="27">
        <v>7488.52</v>
      </c>
      <c r="F1444" s="27">
        <v>3889.1</v>
      </c>
      <c r="G1444" s="27">
        <v>270.94</v>
      </c>
      <c r="H1444" s="27">
        <v>169.24</v>
      </c>
      <c r="I1444" s="27">
        <v>1750.68</v>
      </c>
      <c r="J1444" s="27">
        <v>13884.82</v>
      </c>
      <c r="K1444" s="47">
        <f t="shared" si="177"/>
        <v>0.53933144253940635</v>
      </c>
      <c r="L1444" s="47">
        <f t="shared" si="178"/>
        <v>0.2800972572924964</v>
      </c>
      <c r="M1444" s="84">
        <f t="shared" si="179"/>
        <v>0.81942869983190281</v>
      </c>
      <c r="N1444" s="47">
        <f t="shared" si="180"/>
        <v>1.9513396644681026E-2</v>
      </c>
      <c r="O1444" s="47">
        <f t="shared" si="181"/>
        <v>1.2188850845743769E-2</v>
      </c>
      <c r="P1444" s="47">
        <f t="shared" si="182"/>
        <v>0.12608589812471463</v>
      </c>
      <c r="Q1444" s="47">
        <f t="shared" si="183"/>
        <v>1</v>
      </c>
    </row>
    <row r="1445" spans="1:17" x14ac:dyDescent="0.35">
      <c r="A1445" s="82">
        <v>1442</v>
      </c>
      <c r="B1445" s="83" t="str">
        <f>_xlfn.XLOOKUP(A1445,'TAZs by City - CCAG Model'!$A:$A,'TAZs by City - CCAG Model'!$B:$B,"Unknown")</f>
        <v>Sunnyvale</v>
      </c>
      <c r="C1445" s="82">
        <f>_xlfn.XLOOKUP(A1445,'TAZs by City - CCAG Model'!$A:$A,'TAZs by City - CCAG Model'!$C:$C,999)</f>
        <v>3</v>
      </c>
      <c r="D1445" s="82" t="str">
        <f t="shared" si="176"/>
        <v>NO</v>
      </c>
      <c r="E1445" s="27">
        <v>2451.7199999999998</v>
      </c>
      <c r="F1445" s="27">
        <v>1390.98</v>
      </c>
      <c r="G1445" s="27">
        <v>112.56</v>
      </c>
      <c r="H1445" s="27">
        <v>60.02</v>
      </c>
      <c r="I1445" s="27">
        <v>536.20000000000005</v>
      </c>
      <c r="J1445" s="27">
        <v>4711.92</v>
      </c>
      <c r="K1445" s="47">
        <f t="shared" si="177"/>
        <v>0.52032292568634442</v>
      </c>
      <c r="L1445" s="47">
        <f t="shared" si="178"/>
        <v>0.29520450262313452</v>
      </c>
      <c r="M1445" s="84">
        <f t="shared" si="179"/>
        <v>0.81552742830947889</v>
      </c>
      <c r="N1445" s="47">
        <f t="shared" si="180"/>
        <v>2.3888351245352213E-2</v>
      </c>
      <c r="O1445" s="47">
        <f t="shared" si="181"/>
        <v>1.2737907264979033E-2</v>
      </c>
      <c r="P1445" s="47">
        <f t="shared" si="182"/>
        <v>0.11379649909166541</v>
      </c>
      <c r="Q1445" s="47">
        <f t="shared" si="183"/>
        <v>1</v>
      </c>
    </row>
    <row r="1446" spans="1:17" x14ac:dyDescent="0.35">
      <c r="A1446" s="82">
        <v>1443</v>
      </c>
      <c r="B1446" s="83" t="str">
        <f>_xlfn.XLOOKUP(A1446,'TAZs by City - CCAG Model'!$A:$A,'TAZs by City - CCAG Model'!$B:$B,"Unknown")</f>
        <v>Sunnyvale</v>
      </c>
      <c r="C1446" s="82">
        <f>_xlfn.XLOOKUP(A1446,'TAZs by City - CCAG Model'!$A:$A,'TAZs by City - CCAG Model'!$C:$C,999)</f>
        <v>3</v>
      </c>
      <c r="D1446" s="82" t="str">
        <f t="shared" si="176"/>
        <v>NO</v>
      </c>
      <c r="E1446" s="27">
        <v>5947.9</v>
      </c>
      <c r="F1446" s="27">
        <v>3786.78</v>
      </c>
      <c r="G1446" s="27">
        <v>196.64</v>
      </c>
      <c r="H1446" s="27">
        <v>140.5</v>
      </c>
      <c r="I1446" s="27">
        <v>2082.52</v>
      </c>
      <c r="J1446" s="27">
        <v>12400.1</v>
      </c>
      <c r="K1446" s="47">
        <f t="shared" si="177"/>
        <v>0.47966548656865665</v>
      </c>
      <c r="L1446" s="47">
        <f t="shared" si="178"/>
        <v>0.30538302110466853</v>
      </c>
      <c r="M1446" s="84">
        <f t="shared" si="179"/>
        <v>0.78504850767332524</v>
      </c>
      <c r="N1446" s="47">
        <f t="shared" si="180"/>
        <v>1.5857936629543309E-2</v>
      </c>
      <c r="O1446" s="47">
        <f t="shared" si="181"/>
        <v>1.1330553785856566E-2</v>
      </c>
      <c r="P1446" s="47">
        <f t="shared" si="182"/>
        <v>0.16794380690478303</v>
      </c>
      <c r="Q1446" s="47">
        <f t="shared" si="183"/>
        <v>1</v>
      </c>
    </row>
    <row r="1447" spans="1:17" x14ac:dyDescent="0.35">
      <c r="A1447" s="82">
        <v>1444</v>
      </c>
      <c r="B1447" s="83" t="str">
        <f>_xlfn.XLOOKUP(A1447,'TAZs by City - CCAG Model'!$A:$A,'TAZs by City - CCAG Model'!$B:$B,"Unknown")</f>
        <v>Sunnyvale</v>
      </c>
      <c r="C1447" s="82">
        <f>_xlfn.XLOOKUP(A1447,'TAZs by City - CCAG Model'!$A:$A,'TAZs by City - CCAG Model'!$C:$C,999)</f>
        <v>3</v>
      </c>
      <c r="D1447" s="82" t="str">
        <f t="shared" si="176"/>
        <v>NO</v>
      </c>
      <c r="E1447" s="27">
        <v>5515.56</v>
      </c>
      <c r="F1447" s="27">
        <v>3227.86</v>
      </c>
      <c r="G1447" s="27">
        <v>161.68</v>
      </c>
      <c r="H1447" s="27">
        <v>130.94</v>
      </c>
      <c r="I1447" s="27">
        <v>780.9</v>
      </c>
      <c r="J1447" s="27">
        <v>10021.34</v>
      </c>
      <c r="K1447" s="47">
        <f t="shared" si="177"/>
        <v>0.5503814859090701</v>
      </c>
      <c r="L1447" s="47">
        <f t="shared" si="178"/>
        <v>0.32209864149904105</v>
      </c>
      <c r="M1447" s="84">
        <f t="shared" si="179"/>
        <v>0.87248012740811109</v>
      </c>
      <c r="N1447" s="47">
        <f t="shared" si="180"/>
        <v>1.6133570959572272E-2</v>
      </c>
      <c r="O1447" s="47">
        <f t="shared" si="181"/>
        <v>1.3066116906521482E-2</v>
      </c>
      <c r="P1447" s="47">
        <f t="shared" si="182"/>
        <v>7.7923710801150348E-2</v>
      </c>
      <c r="Q1447" s="47">
        <f t="shared" si="183"/>
        <v>1</v>
      </c>
    </row>
    <row r="1448" spans="1:17" x14ac:dyDescent="0.35">
      <c r="A1448" s="82">
        <v>1445</v>
      </c>
      <c r="B1448" s="83" t="str">
        <f>_xlfn.XLOOKUP(A1448,'TAZs by City - CCAG Model'!$A:$A,'TAZs by City - CCAG Model'!$B:$B,"Unknown")</f>
        <v>Sunnyvale</v>
      </c>
      <c r="C1448" s="82">
        <f>_xlfn.XLOOKUP(A1448,'TAZs by City - CCAG Model'!$A:$A,'TAZs by City - CCAG Model'!$C:$C,999)</f>
        <v>3</v>
      </c>
      <c r="D1448" s="82" t="str">
        <f t="shared" si="176"/>
        <v>NO</v>
      </c>
      <c r="E1448" s="27">
        <v>2327.7600000000002</v>
      </c>
      <c r="F1448" s="27">
        <v>1694.14</v>
      </c>
      <c r="G1448" s="27">
        <v>66.44</v>
      </c>
      <c r="H1448" s="27">
        <v>50.94</v>
      </c>
      <c r="I1448" s="27">
        <v>686.44</v>
      </c>
      <c r="J1448" s="27">
        <v>4917.12</v>
      </c>
      <c r="K1448" s="47">
        <f t="shared" si="177"/>
        <v>0.47339906286606798</v>
      </c>
      <c r="L1448" s="47">
        <f t="shared" si="178"/>
        <v>0.34453907978654175</v>
      </c>
      <c r="M1448" s="84">
        <f t="shared" si="179"/>
        <v>0.81793814265260978</v>
      </c>
      <c r="N1448" s="47">
        <f t="shared" si="180"/>
        <v>1.3511974489131849E-2</v>
      </c>
      <c r="O1448" s="47">
        <f t="shared" si="181"/>
        <v>1.0359722764545099E-2</v>
      </c>
      <c r="P1448" s="47">
        <f t="shared" si="182"/>
        <v>0.13960204347260186</v>
      </c>
      <c r="Q1448" s="47">
        <f t="shared" si="183"/>
        <v>1</v>
      </c>
    </row>
    <row r="1449" spans="1:17" x14ac:dyDescent="0.35">
      <c r="A1449" s="82">
        <v>1446</v>
      </c>
      <c r="B1449" s="83" t="str">
        <f>_xlfn.XLOOKUP(A1449,'TAZs by City - CCAG Model'!$A:$A,'TAZs by City - CCAG Model'!$B:$B,"Unknown")</f>
        <v>Sunnyvale</v>
      </c>
      <c r="C1449" s="82">
        <f>_xlfn.XLOOKUP(A1449,'TAZs by City - CCAG Model'!$A:$A,'TAZs by City - CCAG Model'!$C:$C,999)</f>
        <v>3</v>
      </c>
      <c r="D1449" s="82" t="str">
        <f t="shared" si="176"/>
        <v>NO</v>
      </c>
      <c r="E1449" s="27">
        <v>3720.16</v>
      </c>
      <c r="F1449" s="27">
        <v>2268.6</v>
      </c>
      <c r="G1449" s="27">
        <v>152.28</v>
      </c>
      <c r="H1449" s="27">
        <v>110.88</v>
      </c>
      <c r="I1449" s="27">
        <v>825.74</v>
      </c>
      <c r="J1449" s="27">
        <v>7272.88</v>
      </c>
      <c r="K1449" s="47">
        <f t="shared" si="177"/>
        <v>0.51151125826357646</v>
      </c>
      <c r="L1449" s="47">
        <f t="shared" si="178"/>
        <v>0.31192594955505931</v>
      </c>
      <c r="M1449" s="84">
        <f t="shared" si="179"/>
        <v>0.82343720781863583</v>
      </c>
      <c r="N1449" s="47">
        <f t="shared" si="180"/>
        <v>2.0938060300733686E-2</v>
      </c>
      <c r="O1449" s="47">
        <f t="shared" si="181"/>
        <v>1.5245679840723343E-2</v>
      </c>
      <c r="P1449" s="47">
        <f t="shared" si="182"/>
        <v>0.11353686572581975</v>
      </c>
      <c r="Q1449" s="47">
        <f t="shared" si="183"/>
        <v>1</v>
      </c>
    </row>
    <row r="1450" spans="1:17" x14ac:dyDescent="0.35">
      <c r="A1450" s="82">
        <v>1447</v>
      </c>
      <c r="B1450" s="83" t="str">
        <f>_xlfn.XLOOKUP(A1450,'TAZs by City - CCAG Model'!$A:$A,'TAZs by City - CCAG Model'!$B:$B,"Unknown")</f>
        <v>Sunnyvale</v>
      </c>
      <c r="C1450" s="82">
        <f>_xlfn.XLOOKUP(A1450,'TAZs by City - CCAG Model'!$A:$A,'TAZs by City - CCAG Model'!$C:$C,999)</f>
        <v>3</v>
      </c>
      <c r="D1450" s="82" t="str">
        <f t="shared" si="176"/>
        <v>NO</v>
      </c>
      <c r="E1450" s="27">
        <v>1566.68</v>
      </c>
      <c r="F1450" s="27">
        <v>1109.3</v>
      </c>
      <c r="G1450" s="27">
        <v>70.22</v>
      </c>
      <c r="H1450" s="27">
        <v>40.06</v>
      </c>
      <c r="I1450" s="27">
        <v>253.42</v>
      </c>
      <c r="J1450" s="27">
        <v>3145.88</v>
      </c>
      <c r="K1450" s="47">
        <f t="shared" si="177"/>
        <v>0.49801009574427507</v>
      </c>
      <c r="L1450" s="47">
        <f t="shared" si="178"/>
        <v>0.35261993464467811</v>
      </c>
      <c r="M1450" s="84">
        <f t="shared" si="179"/>
        <v>0.85063003038895313</v>
      </c>
      <c r="N1450" s="47">
        <f t="shared" si="180"/>
        <v>2.2321258280671861E-2</v>
      </c>
      <c r="O1450" s="47">
        <f t="shared" si="181"/>
        <v>1.2734115732322911E-2</v>
      </c>
      <c r="P1450" s="47">
        <f t="shared" si="182"/>
        <v>8.0556155988149566E-2</v>
      </c>
      <c r="Q1450" s="47">
        <f t="shared" si="183"/>
        <v>1</v>
      </c>
    </row>
    <row r="1451" spans="1:17" x14ac:dyDescent="0.35">
      <c r="A1451" s="82">
        <v>1448</v>
      </c>
      <c r="B1451" s="83" t="str">
        <f>_xlfn.XLOOKUP(A1451,'TAZs by City - CCAG Model'!$A:$A,'TAZs by City - CCAG Model'!$B:$B,"Unknown")</f>
        <v>Sunnyvale</v>
      </c>
      <c r="C1451" s="82">
        <f>_xlfn.XLOOKUP(A1451,'TAZs by City - CCAG Model'!$A:$A,'TAZs by City - CCAG Model'!$C:$C,999)</f>
        <v>3</v>
      </c>
      <c r="D1451" s="82" t="str">
        <f t="shared" si="176"/>
        <v>NO</v>
      </c>
      <c r="E1451" s="27">
        <v>9005.5</v>
      </c>
      <c r="F1451" s="27">
        <v>2915.38</v>
      </c>
      <c r="G1451" s="27">
        <v>470.02</v>
      </c>
      <c r="H1451" s="27">
        <v>124.36</v>
      </c>
      <c r="I1451" s="27">
        <v>857.66</v>
      </c>
      <c r="J1451" s="27">
        <v>13871.38</v>
      </c>
      <c r="K1451" s="47">
        <f t="shared" si="177"/>
        <v>0.64921442567358123</v>
      </c>
      <c r="L1451" s="47">
        <f t="shared" si="178"/>
        <v>0.21017231162292435</v>
      </c>
      <c r="M1451" s="84">
        <f t="shared" si="179"/>
        <v>0.85938673729650561</v>
      </c>
      <c r="N1451" s="47">
        <f t="shared" si="180"/>
        <v>3.3884155722069473E-2</v>
      </c>
      <c r="O1451" s="47">
        <f t="shared" si="181"/>
        <v>8.9652219173578986E-3</v>
      </c>
      <c r="P1451" s="47">
        <f t="shared" si="182"/>
        <v>6.182946469637484E-2</v>
      </c>
      <c r="Q1451" s="47">
        <f t="shared" si="183"/>
        <v>1</v>
      </c>
    </row>
    <row r="1452" spans="1:17" x14ac:dyDescent="0.35">
      <c r="A1452" s="82">
        <v>1449</v>
      </c>
      <c r="B1452" s="83" t="str">
        <f>_xlfn.XLOOKUP(A1452,'TAZs by City - CCAG Model'!$A:$A,'TAZs by City - CCAG Model'!$B:$B,"Unknown")</f>
        <v>Sunnyvale</v>
      </c>
      <c r="C1452" s="82">
        <f>_xlfn.XLOOKUP(A1452,'TAZs by City - CCAG Model'!$A:$A,'TAZs by City - CCAG Model'!$C:$C,999)</f>
        <v>3</v>
      </c>
      <c r="D1452" s="82" t="str">
        <f t="shared" si="176"/>
        <v>NO</v>
      </c>
      <c r="E1452" s="27">
        <v>4186.5</v>
      </c>
      <c r="F1452" s="27">
        <v>3008.3</v>
      </c>
      <c r="G1452" s="27">
        <v>154.24</v>
      </c>
      <c r="H1452" s="27">
        <v>113.48</v>
      </c>
      <c r="I1452" s="27">
        <v>502.9</v>
      </c>
      <c r="J1452" s="27">
        <v>8159.5</v>
      </c>
      <c r="K1452" s="47">
        <f t="shared" si="177"/>
        <v>0.51308290949200319</v>
      </c>
      <c r="L1452" s="47">
        <f t="shared" si="178"/>
        <v>0.36868680678963173</v>
      </c>
      <c r="M1452" s="84">
        <f t="shared" si="179"/>
        <v>0.88176971628163492</v>
      </c>
      <c r="N1452" s="47">
        <f t="shared" si="180"/>
        <v>1.8903119063668119E-2</v>
      </c>
      <c r="O1452" s="47">
        <f t="shared" si="181"/>
        <v>1.3907714933513083E-2</v>
      </c>
      <c r="P1452" s="47">
        <f t="shared" si="182"/>
        <v>6.1633678534223905E-2</v>
      </c>
      <c r="Q1452" s="47">
        <f t="shared" si="183"/>
        <v>1</v>
      </c>
    </row>
    <row r="1453" spans="1:17" x14ac:dyDescent="0.35">
      <c r="A1453" s="82">
        <v>1450</v>
      </c>
      <c r="B1453" s="83" t="str">
        <f>_xlfn.XLOOKUP(A1453,'TAZs by City - CCAG Model'!$A:$A,'TAZs by City - CCAG Model'!$B:$B,"Unknown")</f>
        <v>Sunnyvale</v>
      </c>
      <c r="C1453" s="82">
        <f>_xlfn.XLOOKUP(A1453,'TAZs by City - CCAG Model'!$A:$A,'TAZs by City - CCAG Model'!$C:$C,999)</f>
        <v>3</v>
      </c>
      <c r="D1453" s="82" t="str">
        <f t="shared" si="176"/>
        <v>NO</v>
      </c>
      <c r="E1453" s="27">
        <v>6233.44</v>
      </c>
      <c r="F1453" s="27">
        <v>3553.36</v>
      </c>
      <c r="G1453" s="27">
        <v>157.52000000000001</v>
      </c>
      <c r="H1453" s="27">
        <v>132.54</v>
      </c>
      <c r="I1453" s="27">
        <v>662.64</v>
      </c>
      <c r="J1453" s="27">
        <v>10938.82</v>
      </c>
      <c r="K1453" s="47">
        <f t="shared" si="177"/>
        <v>0.56984574204530281</v>
      </c>
      <c r="L1453" s="47">
        <f t="shared" si="178"/>
        <v>0.32483942509338304</v>
      </c>
      <c r="M1453" s="84">
        <f t="shared" si="179"/>
        <v>0.89468516713868584</v>
      </c>
      <c r="N1453" s="47">
        <f t="shared" si="180"/>
        <v>1.440009068619833E-2</v>
      </c>
      <c r="O1453" s="47">
        <f t="shared" si="181"/>
        <v>1.2116480571030513E-2</v>
      </c>
      <c r="P1453" s="47">
        <f t="shared" si="182"/>
        <v>6.0576917802834307E-2</v>
      </c>
      <c r="Q1453" s="47">
        <f t="shared" si="183"/>
        <v>1</v>
      </c>
    </row>
    <row r="1454" spans="1:17" x14ac:dyDescent="0.35">
      <c r="A1454" s="82">
        <v>1451</v>
      </c>
      <c r="B1454" s="83" t="str">
        <f>_xlfn.XLOOKUP(A1454,'TAZs by City - CCAG Model'!$A:$A,'TAZs by City - CCAG Model'!$B:$B,"Unknown")</f>
        <v>Sunnyvale</v>
      </c>
      <c r="C1454" s="82">
        <f>_xlfn.XLOOKUP(A1454,'TAZs by City - CCAG Model'!$A:$A,'TAZs by City - CCAG Model'!$C:$C,999)</f>
        <v>3</v>
      </c>
      <c r="D1454" s="82" t="str">
        <f t="shared" si="176"/>
        <v>NO</v>
      </c>
      <c r="E1454" s="27">
        <v>6008.46</v>
      </c>
      <c r="F1454" s="27">
        <v>2826.8</v>
      </c>
      <c r="G1454" s="27">
        <v>216.48</v>
      </c>
      <c r="H1454" s="27">
        <v>156.24</v>
      </c>
      <c r="I1454" s="27">
        <v>728.14</v>
      </c>
      <c r="J1454" s="27">
        <v>10197.620000000001</v>
      </c>
      <c r="K1454" s="47">
        <f t="shared" si="177"/>
        <v>0.5892021863925111</v>
      </c>
      <c r="L1454" s="47">
        <f t="shared" si="178"/>
        <v>0.27720193535354326</v>
      </c>
      <c r="M1454" s="84">
        <f t="shared" si="179"/>
        <v>0.86640412174605441</v>
      </c>
      <c r="N1454" s="47">
        <f t="shared" si="180"/>
        <v>2.1228482724400397E-2</v>
      </c>
      <c r="O1454" s="47">
        <f t="shared" si="181"/>
        <v>1.5321222010626008E-2</v>
      </c>
      <c r="P1454" s="47">
        <f t="shared" si="182"/>
        <v>7.1402935194682673E-2</v>
      </c>
      <c r="Q1454" s="47">
        <f t="shared" si="183"/>
        <v>1</v>
      </c>
    </row>
    <row r="1455" spans="1:17" x14ac:dyDescent="0.35">
      <c r="A1455" s="82">
        <v>1452</v>
      </c>
      <c r="B1455" s="83" t="str">
        <f>_xlfn.XLOOKUP(A1455,'TAZs by City - CCAG Model'!$A:$A,'TAZs by City - CCAG Model'!$B:$B,"Unknown")</f>
        <v>Sunnyvale</v>
      </c>
      <c r="C1455" s="82">
        <f>_xlfn.XLOOKUP(A1455,'TAZs by City - CCAG Model'!$A:$A,'TAZs by City - CCAG Model'!$C:$C,999)</f>
        <v>3</v>
      </c>
      <c r="D1455" s="82" t="str">
        <f t="shared" si="176"/>
        <v>NO</v>
      </c>
      <c r="E1455" s="27">
        <v>5788</v>
      </c>
      <c r="F1455" s="27">
        <v>3817.82</v>
      </c>
      <c r="G1455" s="27">
        <v>235.72</v>
      </c>
      <c r="H1455" s="27">
        <v>157.28</v>
      </c>
      <c r="I1455" s="27">
        <v>1593.54</v>
      </c>
      <c r="J1455" s="27">
        <v>11868.74</v>
      </c>
      <c r="K1455" s="47">
        <f t="shared" si="177"/>
        <v>0.48766760414332105</v>
      </c>
      <c r="L1455" s="47">
        <f t="shared" si="178"/>
        <v>0.32167020256573153</v>
      </c>
      <c r="M1455" s="84">
        <f t="shared" si="179"/>
        <v>0.80933780670905253</v>
      </c>
      <c r="N1455" s="47">
        <f t="shared" si="180"/>
        <v>1.9860574922022051E-2</v>
      </c>
      <c r="O1455" s="47">
        <f t="shared" si="181"/>
        <v>1.3251617273611184E-2</v>
      </c>
      <c r="P1455" s="47">
        <f t="shared" si="182"/>
        <v>0.13426362023264474</v>
      </c>
      <c r="Q1455" s="47">
        <f t="shared" si="183"/>
        <v>1</v>
      </c>
    </row>
    <row r="1456" spans="1:17" x14ac:dyDescent="0.35">
      <c r="A1456" s="82">
        <v>1453</v>
      </c>
      <c r="B1456" s="83" t="str">
        <f>_xlfn.XLOOKUP(A1456,'TAZs by City - CCAG Model'!$A:$A,'TAZs by City - CCAG Model'!$B:$B,"Unknown")</f>
        <v>Sunnyvale</v>
      </c>
      <c r="C1456" s="82">
        <f>_xlfn.XLOOKUP(A1456,'TAZs by City - CCAG Model'!$A:$A,'TAZs by City - CCAG Model'!$C:$C,999)</f>
        <v>3</v>
      </c>
      <c r="D1456" s="82" t="str">
        <f t="shared" si="176"/>
        <v>NO</v>
      </c>
      <c r="E1456" s="27">
        <v>2125.2399999999998</v>
      </c>
      <c r="F1456" s="27">
        <v>1361.94</v>
      </c>
      <c r="G1456" s="27">
        <v>82.58</v>
      </c>
      <c r="H1456" s="27">
        <v>43.38</v>
      </c>
      <c r="I1456" s="27">
        <v>694.54</v>
      </c>
      <c r="J1456" s="27">
        <v>4420.8599999999997</v>
      </c>
      <c r="K1456" s="47">
        <f t="shared" si="177"/>
        <v>0.48072999371163078</v>
      </c>
      <c r="L1456" s="47">
        <f t="shared" si="178"/>
        <v>0.30807128024863945</v>
      </c>
      <c r="M1456" s="84">
        <f t="shared" si="179"/>
        <v>0.78880127396027022</v>
      </c>
      <c r="N1456" s="47">
        <f t="shared" si="180"/>
        <v>1.8679623421687185E-2</v>
      </c>
      <c r="O1456" s="47">
        <f t="shared" si="181"/>
        <v>9.8125704048533553E-3</v>
      </c>
      <c r="P1456" s="47">
        <f t="shared" si="182"/>
        <v>0.15710517863040224</v>
      </c>
      <c r="Q1456" s="47">
        <f t="shared" si="183"/>
        <v>1</v>
      </c>
    </row>
    <row r="1457" spans="1:17" x14ac:dyDescent="0.35">
      <c r="A1457" s="82">
        <v>1454</v>
      </c>
      <c r="B1457" s="83" t="str">
        <f>_xlfn.XLOOKUP(A1457,'TAZs by City - CCAG Model'!$A:$A,'TAZs by City - CCAG Model'!$B:$B,"Unknown")</f>
        <v>Sunnyvale</v>
      </c>
      <c r="C1457" s="82">
        <f>_xlfn.XLOOKUP(A1457,'TAZs by City - CCAG Model'!$A:$A,'TAZs by City - CCAG Model'!$C:$C,999)</f>
        <v>3</v>
      </c>
      <c r="D1457" s="82" t="str">
        <f t="shared" si="176"/>
        <v>NO</v>
      </c>
      <c r="E1457" s="27">
        <v>10081.540000000001</v>
      </c>
      <c r="F1457" s="27">
        <v>5848.58</v>
      </c>
      <c r="G1457" s="27">
        <v>464.84</v>
      </c>
      <c r="H1457" s="27">
        <v>286.52</v>
      </c>
      <c r="I1457" s="27">
        <v>1428.84</v>
      </c>
      <c r="J1457" s="27">
        <v>18617.46</v>
      </c>
      <c r="K1457" s="47">
        <f t="shared" si="177"/>
        <v>0.54150995893102505</v>
      </c>
      <c r="L1457" s="47">
        <f t="shared" si="178"/>
        <v>0.31414489409403862</v>
      </c>
      <c r="M1457" s="84">
        <f t="shared" si="179"/>
        <v>0.85565485302506361</v>
      </c>
      <c r="N1457" s="47">
        <f t="shared" si="180"/>
        <v>2.4967960183612588E-2</v>
      </c>
      <c r="O1457" s="47">
        <f t="shared" si="181"/>
        <v>1.5389854469943806E-2</v>
      </c>
      <c r="P1457" s="47">
        <f t="shared" si="182"/>
        <v>7.6747311394787479E-2</v>
      </c>
      <c r="Q1457" s="47">
        <f t="shared" si="183"/>
        <v>1</v>
      </c>
    </row>
    <row r="1458" spans="1:17" x14ac:dyDescent="0.35">
      <c r="A1458" s="82">
        <v>1455</v>
      </c>
      <c r="B1458" s="83" t="str">
        <f>_xlfn.XLOOKUP(A1458,'TAZs by City - CCAG Model'!$A:$A,'TAZs by City - CCAG Model'!$B:$B,"Unknown")</f>
        <v>Sunnyvale</v>
      </c>
      <c r="C1458" s="82">
        <f>_xlfn.XLOOKUP(A1458,'TAZs by City - CCAG Model'!$A:$A,'TAZs by City - CCAG Model'!$C:$C,999)</f>
        <v>3</v>
      </c>
      <c r="D1458" s="82" t="str">
        <f t="shared" si="176"/>
        <v>NO</v>
      </c>
      <c r="E1458" s="27">
        <v>6226.14</v>
      </c>
      <c r="F1458" s="27">
        <v>3653.58</v>
      </c>
      <c r="G1458" s="27">
        <v>260.8</v>
      </c>
      <c r="H1458" s="27">
        <v>169.06</v>
      </c>
      <c r="I1458" s="27">
        <v>2691.86</v>
      </c>
      <c r="J1458" s="27">
        <v>13310.14</v>
      </c>
      <c r="K1458" s="47">
        <f t="shared" si="177"/>
        <v>0.46777419320908725</v>
      </c>
      <c r="L1458" s="47">
        <f t="shared" si="178"/>
        <v>0.2744959857672421</v>
      </c>
      <c r="M1458" s="84">
        <f t="shared" si="179"/>
        <v>0.74227017897632941</v>
      </c>
      <c r="N1458" s="47">
        <f t="shared" si="180"/>
        <v>1.9594083908959638E-2</v>
      </c>
      <c r="O1458" s="47">
        <f t="shared" si="181"/>
        <v>1.2701594423499678E-2</v>
      </c>
      <c r="P1458" s="47">
        <f t="shared" si="182"/>
        <v>0.20224129873915678</v>
      </c>
      <c r="Q1458" s="47">
        <f t="shared" si="183"/>
        <v>1</v>
      </c>
    </row>
    <row r="1459" spans="1:17" x14ac:dyDescent="0.35">
      <c r="A1459" s="82">
        <v>1456</v>
      </c>
      <c r="B1459" s="83" t="str">
        <f>_xlfn.XLOOKUP(A1459,'TAZs by City - CCAG Model'!$A:$A,'TAZs by City - CCAG Model'!$B:$B,"Unknown")</f>
        <v>Sunnyvale</v>
      </c>
      <c r="C1459" s="82">
        <f>_xlfn.XLOOKUP(A1459,'TAZs by City - CCAG Model'!$A:$A,'TAZs by City - CCAG Model'!$C:$C,999)</f>
        <v>3</v>
      </c>
      <c r="D1459" s="82" t="str">
        <f t="shared" si="176"/>
        <v>NO</v>
      </c>
      <c r="E1459" s="27">
        <v>9889.92</v>
      </c>
      <c r="F1459" s="27">
        <v>5174.3</v>
      </c>
      <c r="G1459" s="27">
        <v>364.64</v>
      </c>
      <c r="H1459" s="27">
        <v>251.18</v>
      </c>
      <c r="I1459" s="27">
        <v>2033.74</v>
      </c>
      <c r="J1459" s="27">
        <v>18119.68</v>
      </c>
      <c r="K1459" s="47">
        <f t="shared" si="177"/>
        <v>0.54581096354902514</v>
      </c>
      <c r="L1459" s="47">
        <f t="shared" si="178"/>
        <v>0.28556243818875388</v>
      </c>
      <c r="M1459" s="84">
        <f t="shared" si="179"/>
        <v>0.83137340173777907</v>
      </c>
      <c r="N1459" s="47">
        <f t="shared" si="180"/>
        <v>2.0123975699350097E-2</v>
      </c>
      <c r="O1459" s="47">
        <f t="shared" si="181"/>
        <v>1.3862275713478384E-2</v>
      </c>
      <c r="P1459" s="47">
        <f t="shared" si="182"/>
        <v>0.11223928899406611</v>
      </c>
      <c r="Q1459" s="47">
        <f t="shared" si="183"/>
        <v>1</v>
      </c>
    </row>
    <row r="1460" spans="1:17" x14ac:dyDescent="0.35">
      <c r="A1460" s="82">
        <v>1457</v>
      </c>
      <c r="B1460" s="83" t="str">
        <f>_xlfn.XLOOKUP(A1460,'TAZs by City - CCAG Model'!$A:$A,'TAZs by City - CCAG Model'!$B:$B,"Unknown")</f>
        <v>Sunnyvale</v>
      </c>
      <c r="C1460" s="82">
        <f>_xlfn.XLOOKUP(A1460,'TAZs by City - CCAG Model'!$A:$A,'TAZs by City - CCAG Model'!$C:$C,999)</f>
        <v>3</v>
      </c>
      <c r="D1460" s="82" t="str">
        <f t="shared" si="176"/>
        <v>NO</v>
      </c>
      <c r="E1460" s="27">
        <v>2058.14</v>
      </c>
      <c r="F1460" s="27">
        <v>1284.8599999999999</v>
      </c>
      <c r="G1460" s="27">
        <v>52.34</v>
      </c>
      <c r="H1460" s="27">
        <v>43.28</v>
      </c>
      <c r="I1460" s="27">
        <v>265.38</v>
      </c>
      <c r="J1460" s="27">
        <v>3793.92</v>
      </c>
      <c r="K1460" s="47">
        <f t="shared" si="177"/>
        <v>0.54248376349527661</v>
      </c>
      <c r="L1460" s="47">
        <f t="shared" si="178"/>
        <v>0.33866291329284748</v>
      </c>
      <c r="M1460" s="84">
        <f t="shared" si="179"/>
        <v>0.88114667678812419</v>
      </c>
      <c r="N1460" s="47">
        <f t="shared" si="180"/>
        <v>1.3795757422402161E-2</v>
      </c>
      <c r="O1460" s="47">
        <f t="shared" si="181"/>
        <v>1.1407726045883941E-2</v>
      </c>
      <c r="P1460" s="47">
        <f t="shared" si="182"/>
        <v>6.9948760121457482E-2</v>
      </c>
      <c r="Q1460" s="47">
        <f t="shared" si="183"/>
        <v>1</v>
      </c>
    </row>
    <row r="1461" spans="1:17" x14ac:dyDescent="0.35">
      <c r="A1461" s="82">
        <v>1458</v>
      </c>
      <c r="B1461" s="83" t="str">
        <f>_xlfn.XLOOKUP(A1461,'TAZs by City - CCAG Model'!$A:$A,'TAZs by City - CCAG Model'!$B:$B,"Unknown")</f>
        <v>Sunnyvale</v>
      </c>
      <c r="C1461" s="82">
        <f>_xlfn.XLOOKUP(A1461,'TAZs by City - CCAG Model'!$A:$A,'TAZs by City - CCAG Model'!$C:$C,999)</f>
        <v>3</v>
      </c>
      <c r="D1461" s="82" t="str">
        <f t="shared" si="176"/>
        <v>NO</v>
      </c>
      <c r="E1461" s="27">
        <v>11070.3</v>
      </c>
      <c r="F1461" s="27">
        <v>6494</v>
      </c>
      <c r="G1461" s="27">
        <v>362.86</v>
      </c>
      <c r="H1461" s="27">
        <v>261.58</v>
      </c>
      <c r="I1461" s="27">
        <v>1793.58</v>
      </c>
      <c r="J1461" s="27">
        <v>20384.900000000001</v>
      </c>
      <c r="K1461" s="47">
        <f t="shared" si="177"/>
        <v>0.54306373835535116</v>
      </c>
      <c r="L1461" s="47">
        <f t="shared" si="178"/>
        <v>0.31856913695921979</v>
      </c>
      <c r="M1461" s="84">
        <f t="shared" si="179"/>
        <v>0.861632875314571</v>
      </c>
      <c r="N1461" s="47">
        <f t="shared" si="180"/>
        <v>1.780043071096743E-2</v>
      </c>
      <c r="O1461" s="47">
        <f t="shared" si="181"/>
        <v>1.2832047250661028E-2</v>
      </c>
      <c r="P1461" s="47">
        <f t="shared" si="182"/>
        <v>8.7985714916433228E-2</v>
      </c>
      <c r="Q1461" s="47">
        <f t="shared" si="183"/>
        <v>1</v>
      </c>
    </row>
    <row r="1462" spans="1:17" x14ac:dyDescent="0.35">
      <c r="A1462" s="82">
        <v>1459</v>
      </c>
      <c r="B1462" s="83" t="str">
        <f>_xlfn.XLOOKUP(A1462,'TAZs by City - CCAG Model'!$A:$A,'TAZs by City - CCAG Model'!$B:$B,"Unknown")</f>
        <v>Sunnyvale</v>
      </c>
      <c r="C1462" s="82">
        <f>_xlfn.XLOOKUP(A1462,'TAZs by City - CCAG Model'!$A:$A,'TAZs by City - CCAG Model'!$C:$C,999)</f>
        <v>3</v>
      </c>
      <c r="D1462" s="82" t="str">
        <f t="shared" si="176"/>
        <v>NO</v>
      </c>
      <c r="E1462" s="27">
        <v>5087.18</v>
      </c>
      <c r="F1462" s="27">
        <v>3802.68</v>
      </c>
      <c r="G1462" s="27">
        <v>247.62</v>
      </c>
      <c r="H1462" s="27">
        <v>127.5</v>
      </c>
      <c r="I1462" s="27">
        <v>980.48</v>
      </c>
      <c r="J1462" s="27">
        <v>10521.46</v>
      </c>
      <c r="K1462" s="47">
        <f t="shared" si="177"/>
        <v>0.48350514092150715</v>
      </c>
      <c r="L1462" s="47">
        <f t="shared" si="178"/>
        <v>0.36142132365660279</v>
      </c>
      <c r="M1462" s="84">
        <f t="shared" si="179"/>
        <v>0.84492646457811005</v>
      </c>
      <c r="N1462" s="47">
        <f t="shared" si="180"/>
        <v>2.3534756583211837E-2</v>
      </c>
      <c r="O1462" s="47">
        <f t="shared" si="181"/>
        <v>1.2118090074951576E-2</v>
      </c>
      <c r="P1462" s="47">
        <f t="shared" si="182"/>
        <v>9.3188587895596253E-2</v>
      </c>
      <c r="Q1462" s="47">
        <f t="shared" si="183"/>
        <v>1</v>
      </c>
    </row>
    <row r="1463" spans="1:17" x14ac:dyDescent="0.35">
      <c r="A1463" s="82">
        <v>1460</v>
      </c>
      <c r="B1463" s="83" t="str">
        <f>_xlfn.XLOOKUP(A1463,'TAZs by City - CCAG Model'!$A:$A,'TAZs by City - CCAG Model'!$B:$B,"Unknown")</f>
        <v>Sunnyvale</v>
      </c>
      <c r="C1463" s="82">
        <f>_xlfn.XLOOKUP(A1463,'TAZs by City - CCAG Model'!$A:$A,'TAZs by City - CCAG Model'!$C:$C,999)</f>
        <v>3</v>
      </c>
      <c r="D1463" s="82" t="str">
        <f t="shared" si="176"/>
        <v>NO</v>
      </c>
      <c r="E1463" s="27">
        <v>19168.7</v>
      </c>
      <c r="F1463" s="27">
        <v>11545.9</v>
      </c>
      <c r="G1463" s="27">
        <v>680.66</v>
      </c>
      <c r="H1463" s="27">
        <v>524.32000000000005</v>
      </c>
      <c r="I1463" s="27">
        <v>3487.3</v>
      </c>
      <c r="J1463" s="27">
        <v>36122.480000000003</v>
      </c>
      <c r="K1463" s="47">
        <f t="shared" si="177"/>
        <v>0.53065847084696283</v>
      </c>
      <c r="L1463" s="47">
        <f t="shared" si="178"/>
        <v>0.31963198540078086</v>
      </c>
      <c r="M1463" s="84">
        <f t="shared" si="179"/>
        <v>0.85029045624774369</v>
      </c>
      <c r="N1463" s="47">
        <f t="shared" si="180"/>
        <v>1.8843113761845807E-2</v>
      </c>
      <c r="O1463" s="47">
        <f t="shared" si="181"/>
        <v>1.4515060981416559E-2</v>
      </c>
      <c r="P1463" s="47">
        <f t="shared" si="182"/>
        <v>9.6540990541070265E-2</v>
      </c>
      <c r="Q1463" s="47">
        <f t="shared" si="183"/>
        <v>1</v>
      </c>
    </row>
    <row r="1464" spans="1:17" x14ac:dyDescent="0.35">
      <c r="A1464" s="82">
        <v>1461</v>
      </c>
      <c r="B1464" s="83" t="str">
        <f>_xlfn.XLOOKUP(A1464,'TAZs by City - CCAG Model'!$A:$A,'TAZs by City - CCAG Model'!$B:$B,"Unknown")</f>
        <v>Unincorporated</v>
      </c>
      <c r="C1464" s="82">
        <f>_xlfn.XLOOKUP(A1464,'TAZs by City - CCAG Model'!$A:$A,'TAZs by City - CCAG Model'!$C:$C,999)</f>
        <v>3</v>
      </c>
      <c r="D1464" s="82" t="str">
        <f t="shared" si="176"/>
        <v>NO</v>
      </c>
      <c r="E1464" s="27">
        <v>586</v>
      </c>
      <c r="F1464" s="27">
        <v>183.64</v>
      </c>
      <c r="G1464" s="27">
        <v>17.100000000000001</v>
      </c>
      <c r="H1464" s="27">
        <v>3.14</v>
      </c>
      <c r="I1464" s="27">
        <v>7.72</v>
      </c>
      <c r="J1464" s="27">
        <v>861.94</v>
      </c>
      <c r="K1464" s="47">
        <f t="shared" si="177"/>
        <v>0.67986170731141371</v>
      </c>
      <c r="L1464" s="47">
        <f t="shared" si="178"/>
        <v>0.21305427291922868</v>
      </c>
      <c r="M1464" s="84">
        <f t="shared" si="179"/>
        <v>0.89291598023064245</v>
      </c>
      <c r="N1464" s="47">
        <f t="shared" si="180"/>
        <v>1.9838967909599277E-2</v>
      </c>
      <c r="O1464" s="47">
        <f t="shared" si="181"/>
        <v>3.6429449845696914E-3</v>
      </c>
      <c r="P1464" s="47">
        <f t="shared" si="182"/>
        <v>8.9565398983687955E-3</v>
      </c>
      <c r="Q1464" s="47">
        <f t="shared" si="183"/>
        <v>1</v>
      </c>
    </row>
    <row r="1465" spans="1:17" x14ac:dyDescent="0.35">
      <c r="A1465" s="82">
        <v>1462</v>
      </c>
      <c r="B1465" s="83" t="str">
        <f>_xlfn.XLOOKUP(A1465,'TAZs by City - CCAG Model'!$A:$A,'TAZs by City - CCAG Model'!$B:$B,"Unknown")</f>
        <v>Sunnyvale</v>
      </c>
      <c r="C1465" s="82">
        <f>_xlfn.XLOOKUP(A1465,'TAZs by City - CCAG Model'!$A:$A,'TAZs by City - CCAG Model'!$C:$C,999)</f>
        <v>3</v>
      </c>
      <c r="D1465" s="82" t="str">
        <f t="shared" si="176"/>
        <v>NO</v>
      </c>
      <c r="E1465" s="27">
        <v>4709.32</v>
      </c>
      <c r="F1465" s="27">
        <v>3447.48</v>
      </c>
      <c r="G1465" s="27">
        <v>133.04</v>
      </c>
      <c r="H1465" s="27">
        <v>123</v>
      </c>
      <c r="I1465" s="27">
        <v>625.98</v>
      </c>
      <c r="J1465" s="27">
        <v>9209.5</v>
      </c>
      <c r="K1465" s="47">
        <f t="shared" si="177"/>
        <v>0.51135457951028829</v>
      </c>
      <c r="L1465" s="47">
        <f t="shared" si="178"/>
        <v>0.37433954069167708</v>
      </c>
      <c r="M1465" s="84">
        <f t="shared" si="179"/>
        <v>0.88569412020196525</v>
      </c>
      <c r="N1465" s="47">
        <f t="shared" si="180"/>
        <v>1.4445952548998315E-2</v>
      </c>
      <c r="O1465" s="47">
        <f t="shared" si="181"/>
        <v>1.3355773929094957E-2</v>
      </c>
      <c r="P1465" s="47">
        <f t="shared" si="182"/>
        <v>6.797111678158424E-2</v>
      </c>
      <c r="Q1465" s="47">
        <f t="shared" si="183"/>
        <v>1</v>
      </c>
    </row>
    <row r="1466" spans="1:17" x14ac:dyDescent="0.35">
      <c r="A1466" s="82">
        <v>1463</v>
      </c>
      <c r="B1466" s="83" t="str">
        <f>_xlfn.XLOOKUP(A1466,'TAZs by City - CCAG Model'!$A:$A,'TAZs by City - CCAG Model'!$B:$B,"Unknown")</f>
        <v>Sunnyvale</v>
      </c>
      <c r="C1466" s="82">
        <f>_xlfn.XLOOKUP(A1466,'TAZs by City - CCAG Model'!$A:$A,'TAZs by City - CCAG Model'!$C:$C,999)</f>
        <v>3</v>
      </c>
      <c r="D1466" s="82" t="str">
        <f t="shared" si="176"/>
        <v>NO</v>
      </c>
      <c r="E1466" s="27">
        <v>0</v>
      </c>
      <c r="F1466" s="27">
        <v>0</v>
      </c>
      <c r="G1466" s="27">
        <v>0</v>
      </c>
      <c r="H1466" s="27">
        <v>0</v>
      </c>
      <c r="I1466" s="27">
        <v>0</v>
      </c>
      <c r="J1466" s="27">
        <v>0</v>
      </c>
      <c r="K1466" s="47">
        <f t="shared" si="177"/>
        <v>0</v>
      </c>
      <c r="L1466" s="47">
        <f t="shared" si="178"/>
        <v>0</v>
      </c>
      <c r="M1466" s="84">
        <f t="shared" si="179"/>
        <v>0</v>
      </c>
      <c r="N1466" s="47">
        <f t="shared" si="180"/>
        <v>0</v>
      </c>
      <c r="O1466" s="47">
        <f t="shared" si="181"/>
        <v>0</v>
      </c>
      <c r="P1466" s="47">
        <f t="shared" si="182"/>
        <v>0</v>
      </c>
      <c r="Q1466" s="47">
        <f t="shared" si="183"/>
        <v>0</v>
      </c>
    </row>
    <row r="1467" spans="1:17" x14ac:dyDescent="0.35">
      <c r="A1467" s="82">
        <v>1464</v>
      </c>
      <c r="B1467" s="83" t="str">
        <f>_xlfn.XLOOKUP(A1467,'TAZs by City - CCAG Model'!$A:$A,'TAZs by City - CCAG Model'!$B:$B,"Unknown")</f>
        <v>Sunnyvale</v>
      </c>
      <c r="C1467" s="82">
        <f>_xlfn.XLOOKUP(A1467,'TAZs by City - CCAG Model'!$A:$A,'TAZs by City - CCAG Model'!$C:$C,999)</f>
        <v>3</v>
      </c>
      <c r="D1467" s="82" t="str">
        <f t="shared" si="176"/>
        <v>NO</v>
      </c>
      <c r="E1467" s="27">
        <v>4705.8</v>
      </c>
      <c r="F1467" s="27">
        <v>1345.62</v>
      </c>
      <c r="G1467" s="27">
        <v>223.64</v>
      </c>
      <c r="H1467" s="27">
        <v>43.78</v>
      </c>
      <c r="I1467" s="27">
        <v>69.760000000000005</v>
      </c>
      <c r="J1467" s="27">
        <v>6643.8</v>
      </c>
      <c r="K1467" s="47">
        <f t="shared" si="177"/>
        <v>0.70829946717240133</v>
      </c>
      <c r="L1467" s="47">
        <f t="shared" si="178"/>
        <v>0.20253770432583759</v>
      </c>
      <c r="M1467" s="84">
        <f t="shared" si="179"/>
        <v>0.91083717149823895</v>
      </c>
      <c r="N1467" s="47">
        <f t="shared" si="180"/>
        <v>3.3661458803696677E-2</v>
      </c>
      <c r="O1467" s="47">
        <f t="shared" si="181"/>
        <v>6.5896023360125233E-3</v>
      </c>
      <c r="P1467" s="47">
        <f t="shared" si="182"/>
        <v>1.0500015051627081E-2</v>
      </c>
      <c r="Q1467" s="47">
        <f t="shared" si="183"/>
        <v>1</v>
      </c>
    </row>
    <row r="1468" spans="1:17" x14ac:dyDescent="0.35">
      <c r="A1468" s="82">
        <v>1465</v>
      </c>
      <c r="B1468" s="83" t="str">
        <f>_xlfn.XLOOKUP(A1468,'TAZs by City - CCAG Model'!$A:$A,'TAZs by City - CCAG Model'!$B:$B,"Unknown")</f>
        <v>Sunnyvale</v>
      </c>
      <c r="C1468" s="82">
        <f>_xlfn.XLOOKUP(A1468,'TAZs by City - CCAG Model'!$A:$A,'TAZs by City - CCAG Model'!$C:$C,999)</f>
        <v>3</v>
      </c>
      <c r="D1468" s="82" t="str">
        <f t="shared" si="176"/>
        <v>NO</v>
      </c>
      <c r="E1468" s="27">
        <v>0</v>
      </c>
      <c r="F1468" s="27">
        <v>0</v>
      </c>
      <c r="G1468" s="27">
        <v>0</v>
      </c>
      <c r="H1468" s="27">
        <v>0</v>
      </c>
      <c r="I1468" s="27">
        <v>0</v>
      </c>
      <c r="J1468" s="27">
        <v>0</v>
      </c>
      <c r="K1468" s="47">
        <f t="shared" si="177"/>
        <v>0</v>
      </c>
      <c r="L1468" s="47">
        <f t="shared" si="178"/>
        <v>0</v>
      </c>
      <c r="M1468" s="84">
        <f t="shared" si="179"/>
        <v>0</v>
      </c>
      <c r="N1468" s="47">
        <f t="shared" si="180"/>
        <v>0</v>
      </c>
      <c r="O1468" s="47">
        <f t="shared" si="181"/>
        <v>0</v>
      </c>
      <c r="P1468" s="47">
        <f t="shared" si="182"/>
        <v>0</v>
      </c>
      <c r="Q1468" s="47">
        <f t="shared" si="183"/>
        <v>0</v>
      </c>
    </row>
    <row r="1469" spans="1:17" x14ac:dyDescent="0.35">
      <c r="A1469" s="82">
        <v>1466</v>
      </c>
      <c r="B1469" s="83" t="str">
        <f>_xlfn.XLOOKUP(A1469,'TAZs by City - CCAG Model'!$A:$A,'TAZs by City - CCAG Model'!$B:$B,"Unknown")</f>
        <v>Sunnyvale</v>
      </c>
      <c r="C1469" s="82">
        <f>_xlfn.XLOOKUP(A1469,'TAZs by City - CCAG Model'!$A:$A,'TAZs by City - CCAG Model'!$C:$C,999)</f>
        <v>3</v>
      </c>
      <c r="D1469" s="82" t="str">
        <f t="shared" si="176"/>
        <v>NO</v>
      </c>
      <c r="E1469" s="27">
        <v>1363.18</v>
      </c>
      <c r="F1469" s="27">
        <v>416.5</v>
      </c>
      <c r="G1469" s="27">
        <v>37.1</v>
      </c>
      <c r="H1469" s="27">
        <v>8.2200000000000006</v>
      </c>
      <c r="I1469" s="27">
        <v>31.62</v>
      </c>
      <c r="J1469" s="27">
        <v>1946.16</v>
      </c>
      <c r="K1469" s="47">
        <f t="shared" si="177"/>
        <v>0.70044600649484112</v>
      </c>
      <c r="L1469" s="47">
        <f t="shared" si="178"/>
        <v>0.21401118099231306</v>
      </c>
      <c r="M1469" s="84">
        <f t="shared" si="179"/>
        <v>0.91445718748715421</v>
      </c>
      <c r="N1469" s="47">
        <f t="shared" si="180"/>
        <v>1.906318082788671E-2</v>
      </c>
      <c r="O1469" s="47">
        <f t="shared" si="181"/>
        <v>4.2237020594401284E-3</v>
      </c>
      <c r="P1469" s="47">
        <f t="shared" si="182"/>
        <v>1.6247379454926623E-2</v>
      </c>
      <c r="Q1469" s="47">
        <f t="shared" si="183"/>
        <v>1</v>
      </c>
    </row>
    <row r="1470" spans="1:17" x14ac:dyDescent="0.35">
      <c r="A1470" s="82">
        <v>1467</v>
      </c>
      <c r="B1470" s="83" t="str">
        <f>_xlfn.XLOOKUP(A1470,'TAZs by City - CCAG Model'!$A:$A,'TAZs by City - CCAG Model'!$B:$B,"Unknown")</f>
        <v>Sunnyvale</v>
      </c>
      <c r="C1470" s="82">
        <f>_xlfn.XLOOKUP(A1470,'TAZs by City - CCAG Model'!$A:$A,'TAZs by City - CCAG Model'!$C:$C,999)</f>
        <v>3</v>
      </c>
      <c r="D1470" s="82" t="str">
        <f t="shared" si="176"/>
        <v>NO</v>
      </c>
      <c r="E1470" s="27">
        <v>1538.42</v>
      </c>
      <c r="F1470" s="27">
        <v>424.1</v>
      </c>
      <c r="G1470" s="27">
        <v>37.479999999999997</v>
      </c>
      <c r="H1470" s="27">
        <v>9.14</v>
      </c>
      <c r="I1470" s="27">
        <v>31.84</v>
      </c>
      <c r="J1470" s="27">
        <v>2128.46</v>
      </c>
      <c r="K1470" s="47">
        <f t="shared" si="177"/>
        <v>0.72278548809937704</v>
      </c>
      <c r="L1470" s="47">
        <f t="shared" si="178"/>
        <v>0.19925204138203209</v>
      </c>
      <c r="M1470" s="84">
        <f t="shared" si="179"/>
        <v>0.92203752948140905</v>
      </c>
      <c r="N1470" s="47">
        <f t="shared" si="180"/>
        <v>1.7608975503415614E-2</v>
      </c>
      <c r="O1470" s="47">
        <f t="shared" si="181"/>
        <v>4.2941845277806494E-3</v>
      </c>
      <c r="P1470" s="47">
        <f t="shared" si="182"/>
        <v>1.4959172359358409E-2</v>
      </c>
      <c r="Q1470" s="47">
        <f t="shared" si="183"/>
        <v>1</v>
      </c>
    </row>
    <row r="1471" spans="1:17" x14ac:dyDescent="0.35">
      <c r="A1471" s="82">
        <v>1468</v>
      </c>
      <c r="B1471" s="83" t="str">
        <f>_xlfn.XLOOKUP(A1471,'TAZs by City - CCAG Model'!$A:$A,'TAZs by City - CCAG Model'!$B:$B,"Unknown")</f>
        <v>Sunnyvale</v>
      </c>
      <c r="C1471" s="82">
        <f>_xlfn.XLOOKUP(A1471,'TAZs by City - CCAG Model'!$A:$A,'TAZs by City - CCAG Model'!$C:$C,999)</f>
        <v>3</v>
      </c>
      <c r="D1471" s="82" t="str">
        <f t="shared" si="176"/>
        <v>NO</v>
      </c>
      <c r="E1471" s="27">
        <v>749.9</v>
      </c>
      <c r="F1471" s="27">
        <v>192.46</v>
      </c>
      <c r="G1471" s="27">
        <v>17.239999999999998</v>
      </c>
      <c r="H1471" s="27">
        <v>3.12</v>
      </c>
      <c r="I1471" s="27">
        <v>15.34</v>
      </c>
      <c r="J1471" s="27">
        <v>1050.28</v>
      </c>
      <c r="K1471" s="47">
        <f t="shared" si="177"/>
        <v>0.71400007617016414</v>
      </c>
      <c r="L1471" s="47">
        <f t="shared" si="178"/>
        <v>0.18324637239593253</v>
      </c>
      <c r="M1471" s="84">
        <f t="shared" si="179"/>
        <v>0.8972464485660967</v>
      </c>
      <c r="N1471" s="47">
        <f t="shared" si="180"/>
        <v>1.6414670373614652E-2</v>
      </c>
      <c r="O1471" s="47">
        <f t="shared" si="181"/>
        <v>2.9706364017214461E-3</v>
      </c>
      <c r="P1471" s="47">
        <f t="shared" si="182"/>
        <v>1.4605628975130442E-2</v>
      </c>
      <c r="Q1471" s="47">
        <f t="shared" si="183"/>
        <v>1</v>
      </c>
    </row>
    <row r="1472" spans="1:17" x14ac:dyDescent="0.35">
      <c r="A1472" s="82">
        <v>1469</v>
      </c>
      <c r="B1472" s="83" t="str">
        <f>_xlfn.XLOOKUP(A1472,'TAZs by City - CCAG Model'!$A:$A,'TAZs by City - CCAG Model'!$B:$B,"Unknown")</f>
        <v>Sunnyvale</v>
      </c>
      <c r="C1472" s="82">
        <f>_xlfn.XLOOKUP(A1472,'TAZs by City - CCAG Model'!$A:$A,'TAZs by City - CCAG Model'!$C:$C,999)</f>
        <v>3</v>
      </c>
      <c r="D1472" s="82" t="str">
        <f t="shared" si="176"/>
        <v>NO</v>
      </c>
      <c r="E1472" s="27">
        <v>194.96</v>
      </c>
      <c r="F1472" s="27">
        <v>51.36</v>
      </c>
      <c r="G1472" s="27">
        <v>1.52</v>
      </c>
      <c r="H1472" s="27">
        <v>0.26</v>
      </c>
      <c r="I1472" s="27">
        <v>4.66</v>
      </c>
      <c r="J1472" s="27">
        <v>288.7</v>
      </c>
      <c r="K1472" s="47">
        <f t="shared" si="177"/>
        <v>0.67530308278489792</v>
      </c>
      <c r="L1472" s="47">
        <f t="shared" si="178"/>
        <v>0.17790093522687911</v>
      </c>
      <c r="M1472" s="84">
        <f t="shared" si="179"/>
        <v>0.85320401801177692</v>
      </c>
      <c r="N1472" s="47">
        <f t="shared" si="180"/>
        <v>5.2649809490820923E-3</v>
      </c>
      <c r="O1472" s="47">
        <f t="shared" si="181"/>
        <v>9.0058884655351578E-4</v>
      </c>
      <c r="P1472" s="47">
        <f t="shared" si="182"/>
        <v>1.6141323172843784E-2</v>
      </c>
      <c r="Q1472" s="47">
        <f t="shared" si="183"/>
        <v>1</v>
      </c>
    </row>
    <row r="1473" spans="1:17" x14ac:dyDescent="0.35">
      <c r="A1473" s="82">
        <v>1470</v>
      </c>
      <c r="B1473" s="83" t="str">
        <f>_xlfn.XLOOKUP(A1473,'TAZs by City - CCAG Model'!$A:$A,'TAZs by City - CCAG Model'!$B:$B,"Unknown")</f>
        <v>Sunnyvale</v>
      </c>
      <c r="C1473" s="82">
        <f>_xlfn.XLOOKUP(A1473,'TAZs by City - CCAG Model'!$A:$A,'TAZs by City - CCAG Model'!$C:$C,999)</f>
        <v>3</v>
      </c>
      <c r="D1473" s="82" t="str">
        <f t="shared" si="176"/>
        <v>NO</v>
      </c>
      <c r="E1473" s="27">
        <v>5168.68</v>
      </c>
      <c r="F1473" s="27">
        <v>2884.3</v>
      </c>
      <c r="G1473" s="27">
        <v>222.38</v>
      </c>
      <c r="H1473" s="27">
        <v>133.38</v>
      </c>
      <c r="I1473" s="27">
        <v>2111.12</v>
      </c>
      <c r="J1473" s="27">
        <v>10791.76</v>
      </c>
      <c r="K1473" s="47">
        <f t="shared" si="177"/>
        <v>0.47894690022758107</v>
      </c>
      <c r="L1473" s="47">
        <f t="shared" si="178"/>
        <v>0.26726873095769366</v>
      </c>
      <c r="M1473" s="84">
        <f t="shared" si="179"/>
        <v>0.74621563118527467</v>
      </c>
      <c r="N1473" s="47">
        <f t="shared" si="180"/>
        <v>2.0606462708585068E-2</v>
      </c>
      <c r="O1473" s="47">
        <f t="shared" si="181"/>
        <v>1.2359429787170952E-2</v>
      </c>
      <c r="P1473" s="47">
        <f t="shared" si="182"/>
        <v>0.19562332742759289</v>
      </c>
      <c r="Q1473" s="47">
        <f t="shared" si="183"/>
        <v>1</v>
      </c>
    </row>
    <row r="1474" spans="1:17" x14ac:dyDescent="0.35">
      <c r="A1474" s="82">
        <v>1471</v>
      </c>
      <c r="B1474" s="83" t="str">
        <f>_xlfn.XLOOKUP(A1474,'TAZs by City - CCAG Model'!$A:$A,'TAZs by City - CCAG Model'!$B:$B,"Unknown")</f>
        <v>Mountain View</v>
      </c>
      <c r="C1474" s="82">
        <f>_xlfn.XLOOKUP(A1474,'TAZs by City - CCAG Model'!$A:$A,'TAZs by City - CCAG Model'!$C:$C,999)</f>
        <v>3</v>
      </c>
      <c r="D1474" s="82" t="str">
        <f t="shared" si="176"/>
        <v>NO</v>
      </c>
      <c r="E1474" s="27">
        <v>2990.3</v>
      </c>
      <c r="F1474" s="27">
        <v>1387.02</v>
      </c>
      <c r="G1474" s="27">
        <v>73.42</v>
      </c>
      <c r="H1474" s="27">
        <v>37.020000000000003</v>
      </c>
      <c r="I1474" s="27">
        <v>170.64</v>
      </c>
      <c r="J1474" s="27">
        <v>4780.4799999999996</v>
      </c>
      <c r="K1474" s="47">
        <f t="shared" si="177"/>
        <v>0.62552296003748586</v>
      </c>
      <c r="L1474" s="47">
        <f t="shared" si="178"/>
        <v>0.29014241247740813</v>
      </c>
      <c r="M1474" s="84">
        <f t="shared" si="179"/>
        <v>0.91566537251489388</v>
      </c>
      <c r="N1474" s="47">
        <f t="shared" si="180"/>
        <v>1.5358290380882256E-2</v>
      </c>
      <c r="O1474" s="47">
        <f t="shared" si="181"/>
        <v>7.7439922350893645E-3</v>
      </c>
      <c r="P1474" s="47">
        <f t="shared" si="182"/>
        <v>3.5695160318629092E-2</v>
      </c>
      <c r="Q1474" s="47">
        <f t="shared" si="183"/>
        <v>1</v>
      </c>
    </row>
    <row r="1475" spans="1:17" x14ac:dyDescent="0.35">
      <c r="A1475" s="82">
        <v>1472</v>
      </c>
      <c r="B1475" s="83" t="str">
        <f>_xlfn.XLOOKUP(A1475,'TAZs by City - CCAG Model'!$A:$A,'TAZs by City - CCAG Model'!$B:$B,"Unknown")</f>
        <v>Sunnyvale</v>
      </c>
      <c r="C1475" s="82">
        <f>_xlfn.XLOOKUP(A1475,'TAZs by City - CCAG Model'!$A:$A,'TAZs by City - CCAG Model'!$C:$C,999)</f>
        <v>3</v>
      </c>
      <c r="D1475" s="82" t="str">
        <f t="shared" si="176"/>
        <v>NO</v>
      </c>
      <c r="E1475" s="27">
        <v>2124.84</v>
      </c>
      <c r="F1475" s="27">
        <v>1207.02</v>
      </c>
      <c r="G1475" s="27">
        <v>62.94</v>
      </c>
      <c r="H1475" s="27">
        <v>53.12</v>
      </c>
      <c r="I1475" s="27">
        <v>200.68</v>
      </c>
      <c r="J1475" s="27">
        <v>3757.16</v>
      </c>
      <c r="K1475" s="47">
        <f t="shared" si="177"/>
        <v>0.56554418763108316</v>
      </c>
      <c r="L1475" s="47">
        <f t="shared" si="178"/>
        <v>0.32125861022687352</v>
      </c>
      <c r="M1475" s="84">
        <f t="shared" si="179"/>
        <v>0.88680279785795657</v>
      </c>
      <c r="N1475" s="47">
        <f t="shared" si="180"/>
        <v>1.6752014819704245E-2</v>
      </c>
      <c r="O1475" s="47">
        <f t="shared" si="181"/>
        <v>1.413833853229567E-2</v>
      </c>
      <c r="P1475" s="47">
        <f t="shared" si="182"/>
        <v>5.3412684048589898E-2</v>
      </c>
      <c r="Q1475" s="47">
        <f t="shared" si="183"/>
        <v>1</v>
      </c>
    </row>
    <row r="1476" spans="1:17" x14ac:dyDescent="0.35">
      <c r="A1476" s="82">
        <v>1473</v>
      </c>
      <c r="B1476" s="83" t="str">
        <f>_xlfn.XLOOKUP(A1476,'TAZs by City - CCAG Model'!$A:$A,'TAZs by City - CCAG Model'!$B:$B,"Unknown")</f>
        <v>Sunnyvale</v>
      </c>
      <c r="C1476" s="82">
        <f>_xlfn.XLOOKUP(A1476,'TAZs by City - CCAG Model'!$A:$A,'TAZs by City - CCAG Model'!$C:$C,999)</f>
        <v>3</v>
      </c>
      <c r="D1476" s="82" t="str">
        <f t="shared" si="176"/>
        <v>NO</v>
      </c>
      <c r="E1476" s="27">
        <v>4526.3999999999996</v>
      </c>
      <c r="F1476" s="27">
        <v>1209.78</v>
      </c>
      <c r="G1476" s="27">
        <v>119.34</v>
      </c>
      <c r="H1476" s="27">
        <v>50.04</v>
      </c>
      <c r="I1476" s="27">
        <v>121.42</v>
      </c>
      <c r="J1476" s="27">
        <v>6182.08</v>
      </c>
      <c r="K1476" s="47">
        <f t="shared" si="177"/>
        <v>0.73218075469744803</v>
      </c>
      <c r="L1476" s="47">
        <f t="shared" si="178"/>
        <v>0.19569141777524715</v>
      </c>
      <c r="M1476" s="84">
        <f t="shared" si="179"/>
        <v>0.92787217247269516</v>
      </c>
      <c r="N1476" s="47">
        <f t="shared" si="180"/>
        <v>1.9304182411097884E-2</v>
      </c>
      <c r="O1476" s="47">
        <f t="shared" si="181"/>
        <v>8.0943630622703037E-3</v>
      </c>
      <c r="P1476" s="47">
        <f t="shared" si="182"/>
        <v>1.9640638749417672E-2</v>
      </c>
      <c r="Q1476" s="47">
        <f t="shared" si="183"/>
        <v>1</v>
      </c>
    </row>
    <row r="1477" spans="1:17" x14ac:dyDescent="0.35">
      <c r="A1477" s="82">
        <v>1474</v>
      </c>
      <c r="B1477" s="83" t="str">
        <f>_xlfn.XLOOKUP(A1477,'TAZs by City - CCAG Model'!$A:$A,'TAZs by City - CCAG Model'!$B:$B,"Unknown")</f>
        <v>Sunnyvale</v>
      </c>
      <c r="C1477" s="82">
        <f>_xlfn.XLOOKUP(A1477,'TAZs by City - CCAG Model'!$A:$A,'TAZs by City - CCAG Model'!$C:$C,999)</f>
        <v>3</v>
      </c>
      <c r="D1477" s="82" t="str">
        <f t="shared" ref="D1477:D1540" si="184">IF(C1477=2,"YES","NO")</f>
        <v>NO</v>
      </c>
      <c r="E1477" s="27">
        <v>1579.86</v>
      </c>
      <c r="F1477" s="27">
        <v>424.72</v>
      </c>
      <c r="G1477" s="27">
        <v>22.66</v>
      </c>
      <c r="H1477" s="27">
        <v>15.22</v>
      </c>
      <c r="I1477" s="27">
        <v>51.44</v>
      </c>
      <c r="J1477" s="27">
        <v>2166.1799999999998</v>
      </c>
      <c r="K1477" s="47">
        <f t="shared" ref="K1477:K1540" si="185">IFERROR(E1477/$J1477,0)</f>
        <v>0.72932997257845611</v>
      </c>
      <c r="L1477" s="47">
        <f t="shared" ref="L1477:L1540" si="186">IFERROR(F1477/$J1477,0)</f>
        <v>0.19606865542106383</v>
      </c>
      <c r="M1477" s="84">
        <f t="shared" ref="M1477:M1540" si="187">IFERROR((E1477+F1477)/J1477,0)</f>
        <v>0.92539862799951988</v>
      </c>
      <c r="N1477" s="47">
        <f t="shared" ref="N1477:N1540" si="188">IFERROR(G1477/$J1477,0)</f>
        <v>1.0460811197592075E-2</v>
      </c>
      <c r="O1477" s="47">
        <f t="shared" ref="O1477:O1540" si="189">IFERROR(H1477/$J1477,0)</f>
        <v>7.0261935757877933E-3</v>
      </c>
      <c r="P1477" s="47">
        <f t="shared" ref="P1477:P1540" si="190">IFERROR(I1477/$J1477,0)</f>
        <v>2.3746872374410252E-2</v>
      </c>
      <c r="Q1477" s="47">
        <f t="shared" ref="Q1477:Q1540" si="191">IFERROR(J1477/$J1477,0)</f>
        <v>1</v>
      </c>
    </row>
    <row r="1478" spans="1:17" x14ac:dyDescent="0.35">
      <c r="A1478" s="82">
        <v>1475</v>
      </c>
      <c r="B1478" s="83" t="str">
        <f>_xlfn.XLOOKUP(A1478,'TAZs by City - CCAG Model'!$A:$A,'TAZs by City - CCAG Model'!$B:$B,"Unknown")</f>
        <v>Sunnyvale</v>
      </c>
      <c r="C1478" s="82">
        <f>_xlfn.XLOOKUP(A1478,'TAZs by City - CCAG Model'!$A:$A,'TAZs by City - CCAG Model'!$C:$C,999)</f>
        <v>3</v>
      </c>
      <c r="D1478" s="82" t="str">
        <f t="shared" si="184"/>
        <v>NO</v>
      </c>
      <c r="E1478" s="27">
        <v>6183.82</v>
      </c>
      <c r="F1478" s="27">
        <v>1679.18</v>
      </c>
      <c r="G1478" s="27">
        <v>268.22000000000003</v>
      </c>
      <c r="H1478" s="27">
        <v>87.18</v>
      </c>
      <c r="I1478" s="27">
        <v>423.58</v>
      </c>
      <c r="J1478" s="27">
        <v>8945.18</v>
      </c>
      <c r="K1478" s="47">
        <f t="shared" si="185"/>
        <v>0.69130190784310652</v>
      </c>
      <c r="L1478" s="47">
        <f t="shared" si="186"/>
        <v>0.18771897267578741</v>
      </c>
      <c r="M1478" s="84">
        <f t="shared" si="187"/>
        <v>0.87902088051889393</v>
      </c>
      <c r="N1478" s="47">
        <f t="shared" si="188"/>
        <v>2.9984863356578628E-2</v>
      </c>
      <c r="O1478" s="47">
        <f t="shared" si="189"/>
        <v>9.7460308233037231E-3</v>
      </c>
      <c r="P1478" s="47">
        <f t="shared" si="190"/>
        <v>4.7352876074042108E-2</v>
      </c>
      <c r="Q1478" s="47">
        <f t="shared" si="191"/>
        <v>1</v>
      </c>
    </row>
    <row r="1479" spans="1:17" x14ac:dyDescent="0.35">
      <c r="A1479" s="82">
        <v>1476</v>
      </c>
      <c r="B1479" s="83" t="str">
        <f>_xlfn.XLOOKUP(A1479,'TAZs by City - CCAG Model'!$A:$A,'TAZs by City - CCAG Model'!$B:$B,"Unknown")</f>
        <v>Sunnyvale</v>
      </c>
      <c r="C1479" s="82">
        <f>_xlfn.XLOOKUP(A1479,'TAZs by City - CCAG Model'!$A:$A,'TAZs by City - CCAG Model'!$C:$C,999)</f>
        <v>3</v>
      </c>
      <c r="D1479" s="82" t="str">
        <f t="shared" si="184"/>
        <v>NO</v>
      </c>
      <c r="E1479" s="27">
        <v>2130.3200000000002</v>
      </c>
      <c r="F1479" s="27">
        <v>1439.78</v>
      </c>
      <c r="G1479" s="27">
        <v>99.64</v>
      </c>
      <c r="H1479" s="27">
        <v>56.38</v>
      </c>
      <c r="I1479" s="27">
        <v>290.02</v>
      </c>
      <c r="J1479" s="27">
        <v>4144.34</v>
      </c>
      <c r="K1479" s="47">
        <f t="shared" si="185"/>
        <v>0.51403118470009701</v>
      </c>
      <c r="L1479" s="47">
        <f t="shared" si="186"/>
        <v>0.34740875507318414</v>
      </c>
      <c r="M1479" s="84">
        <f t="shared" si="187"/>
        <v>0.86143993977328126</v>
      </c>
      <c r="N1479" s="47">
        <f t="shared" si="188"/>
        <v>2.4042428951292605E-2</v>
      </c>
      <c r="O1479" s="47">
        <f t="shared" si="189"/>
        <v>1.3604096189019241E-2</v>
      </c>
      <c r="P1479" s="47">
        <f t="shared" si="190"/>
        <v>6.9979779651283436E-2</v>
      </c>
      <c r="Q1479" s="47">
        <f t="shared" si="191"/>
        <v>1</v>
      </c>
    </row>
    <row r="1480" spans="1:17" x14ac:dyDescent="0.35">
      <c r="A1480" s="82">
        <v>1477</v>
      </c>
      <c r="B1480" s="83" t="str">
        <f>_xlfn.XLOOKUP(A1480,'TAZs by City - CCAG Model'!$A:$A,'TAZs by City - CCAG Model'!$B:$B,"Unknown")</f>
        <v>Sunnyvale</v>
      </c>
      <c r="C1480" s="82">
        <f>_xlfn.XLOOKUP(A1480,'TAZs by City - CCAG Model'!$A:$A,'TAZs by City - CCAG Model'!$C:$C,999)</f>
        <v>3</v>
      </c>
      <c r="D1480" s="82" t="str">
        <f t="shared" si="184"/>
        <v>NO</v>
      </c>
      <c r="E1480" s="27">
        <v>3930</v>
      </c>
      <c r="F1480" s="27">
        <v>1915.58</v>
      </c>
      <c r="G1480" s="27">
        <v>96.38</v>
      </c>
      <c r="H1480" s="27">
        <v>98.14</v>
      </c>
      <c r="I1480" s="27">
        <v>307.58</v>
      </c>
      <c r="J1480" s="27">
        <v>6491.76</v>
      </c>
      <c r="K1480" s="47">
        <f t="shared" si="185"/>
        <v>0.60538282376427965</v>
      </c>
      <c r="L1480" s="47">
        <f t="shared" si="186"/>
        <v>0.29507868436294626</v>
      </c>
      <c r="M1480" s="84">
        <f t="shared" si="187"/>
        <v>0.90046150812722581</v>
      </c>
      <c r="N1480" s="47">
        <f t="shared" si="188"/>
        <v>1.4846513118168262E-2</v>
      </c>
      <c r="O1480" s="47">
        <f t="shared" si="189"/>
        <v>1.511762603669883E-2</v>
      </c>
      <c r="P1480" s="47">
        <f t="shared" si="190"/>
        <v>4.7380063341836413E-2</v>
      </c>
      <c r="Q1480" s="47">
        <f t="shared" si="191"/>
        <v>1</v>
      </c>
    </row>
    <row r="1481" spans="1:17" x14ac:dyDescent="0.35">
      <c r="A1481" s="82">
        <v>1478</v>
      </c>
      <c r="B1481" s="83" t="str">
        <f>_xlfn.XLOOKUP(A1481,'TAZs by City - CCAG Model'!$A:$A,'TAZs by City - CCAG Model'!$B:$B,"Unknown")</f>
        <v>Sunnyvale</v>
      </c>
      <c r="C1481" s="82">
        <f>_xlfn.XLOOKUP(A1481,'TAZs by City - CCAG Model'!$A:$A,'TAZs by City - CCAG Model'!$C:$C,999)</f>
        <v>3</v>
      </c>
      <c r="D1481" s="82" t="str">
        <f t="shared" si="184"/>
        <v>NO</v>
      </c>
      <c r="E1481" s="27">
        <v>1678.14</v>
      </c>
      <c r="F1481" s="27">
        <v>1140.98</v>
      </c>
      <c r="G1481" s="27">
        <v>63.64</v>
      </c>
      <c r="H1481" s="27">
        <v>42.5</v>
      </c>
      <c r="I1481" s="27">
        <v>231.62</v>
      </c>
      <c r="J1481" s="27">
        <v>3256.4</v>
      </c>
      <c r="K1481" s="47">
        <f t="shared" si="185"/>
        <v>0.51533595381402775</v>
      </c>
      <c r="L1481" s="47">
        <f t="shared" si="186"/>
        <v>0.35038078860090899</v>
      </c>
      <c r="M1481" s="84">
        <f t="shared" si="187"/>
        <v>0.86571674241493668</v>
      </c>
      <c r="N1481" s="47">
        <f t="shared" si="188"/>
        <v>1.9543053678909225E-2</v>
      </c>
      <c r="O1481" s="47">
        <f t="shared" si="189"/>
        <v>1.3051222208573885E-2</v>
      </c>
      <c r="P1481" s="47">
        <f t="shared" si="190"/>
        <v>7.1127625598820785E-2</v>
      </c>
      <c r="Q1481" s="47">
        <f t="shared" si="191"/>
        <v>1</v>
      </c>
    </row>
    <row r="1482" spans="1:17" x14ac:dyDescent="0.35">
      <c r="A1482" s="82">
        <v>1479</v>
      </c>
      <c r="B1482" s="83" t="str">
        <f>_xlfn.XLOOKUP(A1482,'TAZs by City - CCAG Model'!$A:$A,'TAZs by City - CCAG Model'!$B:$B,"Unknown")</f>
        <v>Sunnyvale</v>
      </c>
      <c r="C1482" s="82">
        <f>_xlfn.XLOOKUP(A1482,'TAZs by City - CCAG Model'!$A:$A,'TAZs by City - CCAG Model'!$C:$C,999)</f>
        <v>3</v>
      </c>
      <c r="D1482" s="82" t="str">
        <f t="shared" si="184"/>
        <v>NO</v>
      </c>
      <c r="E1482" s="27">
        <v>3353.74</v>
      </c>
      <c r="F1482" s="27">
        <v>1832.28</v>
      </c>
      <c r="G1482" s="27">
        <v>111.62</v>
      </c>
      <c r="H1482" s="27">
        <v>72.48</v>
      </c>
      <c r="I1482" s="27">
        <v>418.94</v>
      </c>
      <c r="J1482" s="27">
        <v>5948.72</v>
      </c>
      <c r="K1482" s="47">
        <f t="shared" si="185"/>
        <v>0.56377506421549506</v>
      </c>
      <c r="L1482" s="47">
        <f t="shared" si="186"/>
        <v>0.30801247999569653</v>
      </c>
      <c r="M1482" s="84">
        <f t="shared" si="187"/>
        <v>0.87178754421119153</v>
      </c>
      <c r="N1482" s="47">
        <f t="shared" si="188"/>
        <v>1.8763700426310197E-2</v>
      </c>
      <c r="O1482" s="47">
        <f t="shared" si="189"/>
        <v>1.2184133729609059E-2</v>
      </c>
      <c r="P1482" s="47">
        <f t="shared" si="190"/>
        <v>7.0425234336126089E-2</v>
      </c>
      <c r="Q1482" s="47">
        <f t="shared" si="191"/>
        <v>1</v>
      </c>
    </row>
    <row r="1483" spans="1:17" x14ac:dyDescent="0.35">
      <c r="A1483" s="82">
        <v>1480</v>
      </c>
      <c r="B1483" s="83" t="str">
        <f>_xlfn.XLOOKUP(A1483,'TAZs by City - CCAG Model'!$A:$A,'TAZs by City - CCAG Model'!$B:$B,"Unknown")</f>
        <v>Sunnyvale</v>
      </c>
      <c r="C1483" s="82">
        <f>_xlfn.XLOOKUP(A1483,'TAZs by City - CCAG Model'!$A:$A,'TAZs by City - CCAG Model'!$C:$C,999)</f>
        <v>3</v>
      </c>
      <c r="D1483" s="82" t="str">
        <f t="shared" si="184"/>
        <v>NO</v>
      </c>
      <c r="E1483" s="27">
        <v>10011.18</v>
      </c>
      <c r="F1483" s="27">
        <v>4669</v>
      </c>
      <c r="G1483" s="27">
        <v>281.76</v>
      </c>
      <c r="H1483" s="27">
        <v>151.68</v>
      </c>
      <c r="I1483" s="27">
        <v>1161.3</v>
      </c>
      <c r="J1483" s="27">
        <v>16596.580000000002</v>
      </c>
      <c r="K1483" s="47">
        <f t="shared" si="185"/>
        <v>0.60320740779124371</v>
      </c>
      <c r="L1483" s="47">
        <f t="shared" si="186"/>
        <v>0.28132301956186151</v>
      </c>
      <c r="M1483" s="84">
        <f t="shared" si="187"/>
        <v>0.88453042735310516</v>
      </c>
      <c r="N1483" s="47">
        <f t="shared" si="188"/>
        <v>1.6976991645266674E-2</v>
      </c>
      <c r="O1483" s="47">
        <f t="shared" si="189"/>
        <v>9.1392322996665578E-3</v>
      </c>
      <c r="P1483" s="47">
        <f t="shared" si="190"/>
        <v>6.9972247294322068E-2</v>
      </c>
      <c r="Q1483" s="47">
        <f t="shared" si="191"/>
        <v>1</v>
      </c>
    </row>
    <row r="1484" spans="1:17" x14ac:dyDescent="0.35">
      <c r="A1484" s="82">
        <v>1481</v>
      </c>
      <c r="B1484" s="83" t="str">
        <f>_xlfn.XLOOKUP(A1484,'TAZs by City - CCAG Model'!$A:$A,'TAZs by City - CCAG Model'!$B:$B,"Unknown")</f>
        <v>Sunnyvale</v>
      </c>
      <c r="C1484" s="82">
        <f>_xlfn.XLOOKUP(A1484,'TAZs by City - CCAG Model'!$A:$A,'TAZs by City - CCAG Model'!$C:$C,999)</f>
        <v>3</v>
      </c>
      <c r="D1484" s="82" t="str">
        <f t="shared" si="184"/>
        <v>NO</v>
      </c>
      <c r="E1484" s="27">
        <v>2367.1999999999998</v>
      </c>
      <c r="F1484" s="27">
        <v>1375.24</v>
      </c>
      <c r="G1484" s="27">
        <v>76.760000000000005</v>
      </c>
      <c r="H1484" s="27">
        <v>56.34</v>
      </c>
      <c r="I1484" s="27">
        <v>945</v>
      </c>
      <c r="J1484" s="27">
        <v>4938.46</v>
      </c>
      <c r="K1484" s="47">
        <f t="shared" si="185"/>
        <v>0.47933971318994179</v>
      </c>
      <c r="L1484" s="47">
        <f t="shared" si="186"/>
        <v>0.27847547616058449</v>
      </c>
      <c r="M1484" s="84">
        <f t="shared" si="187"/>
        <v>0.75781518935052616</v>
      </c>
      <c r="N1484" s="47">
        <f t="shared" si="188"/>
        <v>1.554330702283708E-2</v>
      </c>
      <c r="O1484" s="47">
        <f t="shared" si="189"/>
        <v>1.1408414768976563E-2</v>
      </c>
      <c r="P1484" s="47">
        <f t="shared" si="190"/>
        <v>0.19135519979912766</v>
      </c>
      <c r="Q1484" s="47">
        <f t="shared" si="191"/>
        <v>1</v>
      </c>
    </row>
    <row r="1485" spans="1:17" x14ac:dyDescent="0.35">
      <c r="A1485" s="82">
        <v>1482</v>
      </c>
      <c r="B1485" s="83" t="str">
        <f>_xlfn.XLOOKUP(A1485,'TAZs by City - CCAG Model'!$A:$A,'TAZs by City - CCAG Model'!$B:$B,"Unknown")</f>
        <v>Sunnyvale</v>
      </c>
      <c r="C1485" s="82">
        <f>_xlfn.XLOOKUP(A1485,'TAZs by City - CCAG Model'!$A:$A,'TAZs by City - CCAG Model'!$C:$C,999)</f>
        <v>3</v>
      </c>
      <c r="D1485" s="82" t="str">
        <f t="shared" si="184"/>
        <v>NO</v>
      </c>
      <c r="E1485" s="27">
        <v>8251.76</v>
      </c>
      <c r="F1485" s="27">
        <v>4359.82</v>
      </c>
      <c r="G1485" s="27">
        <v>244.18</v>
      </c>
      <c r="H1485" s="27">
        <v>163.84</v>
      </c>
      <c r="I1485" s="27">
        <v>1963.3</v>
      </c>
      <c r="J1485" s="27">
        <v>15273.56</v>
      </c>
      <c r="K1485" s="47">
        <f t="shared" si="185"/>
        <v>0.54026435225317482</v>
      </c>
      <c r="L1485" s="47">
        <f t="shared" si="186"/>
        <v>0.28544884100366907</v>
      </c>
      <c r="M1485" s="84">
        <f t="shared" si="187"/>
        <v>0.82571319325684389</v>
      </c>
      <c r="N1485" s="47">
        <f t="shared" si="188"/>
        <v>1.5987104512634909E-2</v>
      </c>
      <c r="O1485" s="47">
        <f t="shared" si="189"/>
        <v>1.072703416885127E-2</v>
      </c>
      <c r="P1485" s="47">
        <f t="shared" si="190"/>
        <v>0.12854239614078186</v>
      </c>
      <c r="Q1485" s="47">
        <f t="shared" si="191"/>
        <v>1</v>
      </c>
    </row>
    <row r="1486" spans="1:17" x14ac:dyDescent="0.35">
      <c r="A1486" s="82">
        <v>1483</v>
      </c>
      <c r="B1486" s="83" t="str">
        <f>_xlfn.XLOOKUP(A1486,'TAZs by City - CCAG Model'!$A:$A,'TAZs by City - CCAG Model'!$B:$B,"Unknown")</f>
        <v>Sunnyvale</v>
      </c>
      <c r="C1486" s="82">
        <f>_xlfn.XLOOKUP(A1486,'TAZs by City - CCAG Model'!$A:$A,'TAZs by City - CCAG Model'!$C:$C,999)</f>
        <v>3</v>
      </c>
      <c r="D1486" s="82" t="str">
        <f t="shared" si="184"/>
        <v>NO</v>
      </c>
      <c r="E1486" s="27">
        <v>1043.8800000000001</v>
      </c>
      <c r="F1486" s="27">
        <v>523.64</v>
      </c>
      <c r="G1486" s="27">
        <v>30.74</v>
      </c>
      <c r="H1486" s="27">
        <v>21.16</v>
      </c>
      <c r="I1486" s="27">
        <v>132.22</v>
      </c>
      <c r="J1486" s="27">
        <v>1830.58</v>
      </c>
      <c r="K1486" s="47">
        <f t="shared" si="185"/>
        <v>0.5702454959630282</v>
      </c>
      <c r="L1486" s="47">
        <f t="shared" si="186"/>
        <v>0.28605141539839835</v>
      </c>
      <c r="M1486" s="84">
        <f t="shared" si="187"/>
        <v>0.85629691136142649</v>
      </c>
      <c r="N1486" s="47">
        <f t="shared" si="188"/>
        <v>1.6792491997071966E-2</v>
      </c>
      <c r="O1486" s="47">
        <f t="shared" si="189"/>
        <v>1.1559177965453573E-2</v>
      </c>
      <c r="P1486" s="47">
        <f t="shared" si="190"/>
        <v>7.2228474035551576E-2</v>
      </c>
      <c r="Q1486" s="47">
        <f t="shared" si="191"/>
        <v>1</v>
      </c>
    </row>
    <row r="1487" spans="1:17" x14ac:dyDescent="0.35">
      <c r="A1487" s="82">
        <v>1484</v>
      </c>
      <c r="B1487" s="83" t="str">
        <f>_xlfn.XLOOKUP(A1487,'TAZs by City - CCAG Model'!$A:$A,'TAZs by City - CCAG Model'!$B:$B,"Unknown")</f>
        <v>Sunnyvale</v>
      </c>
      <c r="C1487" s="82">
        <f>_xlfn.XLOOKUP(A1487,'TAZs by City - CCAG Model'!$A:$A,'TAZs by City - CCAG Model'!$C:$C,999)</f>
        <v>3</v>
      </c>
      <c r="D1487" s="82" t="str">
        <f t="shared" si="184"/>
        <v>NO</v>
      </c>
      <c r="E1487" s="27">
        <v>1510.78</v>
      </c>
      <c r="F1487" s="27">
        <v>908.88</v>
      </c>
      <c r="G1487" s="27">
        <v>64.58</v>
      </c>
      <c r="H1487" s="27">
        <v>39.82</v>
      </c>
      <c r="I1487" s="27">
        <v>221.98</v>
      </c>
      <c r="J1487" s="27">
        <v>2846.3</v>
      </c>
      <c r="K1487" s="47">
        <f t="shared" si="185"/>
        <v>0.53078733794751076</v>
      </c>
      <c r="L1487" s="47">
        <f t="shared" si="186"/>
        <v>0.31931981871201204</v>
      </c>
      <c r="M1487" s="84">
        <f t="shared" si="187"/>
        <v>0.85010715665952274</v>
      </c>
      <c r="N1487" s="47">
        <f t="shared" si="188"/>
        <v>2.2689105154059655E-2</v>
      </c>
      <c r="O1487" s="47">
        <f t="shared" si="189"/>
        <v>1.3990092400660506E-2</v>
      </c>
      <c r="P1487" s="47">
        <f t="shared" si="190"/>
        <v>7.7988968134068776E-2</v>
      </c>
      <c r="Q1487" s="47">
        <f t="shared" si="191"/>
        <v>1</v>
      </c>
    </row>
    <row r="1488" spans="1:17" x14ac:dyDescent="0.35">
      <c r="A1488" s="82">
        <v>1485</v>
      </c>
      <c r="B1488" s="83" t="str">
        <f>_xlfn.XLOOKUP(A1488,'TAZs by City - CCAG Model'!$A:$A,'TAZs by City - CCAG Model'!$B:$B,"Unknown")</f>
        <v>Sunnyvale</v>
      </c>
      <c r="C1488" s="82">
        <f>_xlfn.XLOOKUP(A1488,'TAZs by City - CCAG Model'!$A:$A,'TAZs by City - CCAG Model'!$C:$C,999)</f>
        <v>3</v>
      </c>
      <c r="D1488" s="82" t="str">
        <f t="shared" si="184"/>
        <v>NO</v>
      </c>
      <c r="E1488" s="27">
        <v>2934.6</v>
      </c>
      <c r="F1488" s="27">
        <v>2028.14</v>
      </c>
      <c r="G1488" s="27">
        <v>140.04</v>
      </c>
      <c r="H1488" s="27">
        <v>74.260000000000005</v>
      </c>
      <c r="I1488" s="27">
        <v>1085.5</v>
      </c>
      <c r="J1488" s="27">
        <v>6438.1</v>
      </c>
      <c r="K1488" s="47">
        <f t="shared" si="185"/>
        <v>0.4558177101940013</v>
      </c>
      <c r="L1488" s="47">
        <f t="shared" si="186"/>
        <v>0.31502151255805283</v>
      </c>
      <c r="M1488" s="84">
        <f t="shared" si="187"/>
        <v>0.77083922275205408</v>
      </c>
      <c r="N1488" s="47">
        <f t="shared" si="188"/>
        <v>2.1751759059349805E-2</v>
      </c>
      <c r="O1488" s="47">
        <f t="shared" si="189"/>
        <v>1.1534458924216772E-2</v>
      </c>
      <c r="P1488" s="47">
        <f t="shared" si="190"/>
        <v>0.16860564452245227</v>
      </c>
      <c r="Q1488" s="47">
        <f t="shared" si="191"/>
        <v>1</v>
      </c>
    </row>
    <row r="1489" spans="1:17" x14ac:dyDescent="0.35">
      <c r="A1489" s="82">
        <v>1486</v>
      </c>
      <c r="B1489" s="83" t="str">
        <f>_xlfn.XLOOKUP(A1489,'TAZs by City - CCAG Model'!$A:$A,'TAZs by City - CCAG Model'!$B:$B,"Unknown")</f>
        <v>Santa Clara</v>
      </c>
      <c r="C1489" s="82">
        <f>_xlfn.XLOOKUP(A1489,'TAZs by City - CCAG Model'!$A:$A,'TAZs by City - CCAG Model'!$C:$C,999)</f>
        <v>3</v>
      </c>
      <c r="D1489" s="82" t="str">
        <f t="shared" si="184"/>
        <v>NO</v>
      </c>
      <c r="E1489" s="27">
        <v>7996.96</v>
      </c>
      <c r="F1489" s="27">
        <v>4744.28</v>
      </c>
      <c r="G1489" s="27">
        <v>203.78</v>
      </c>
      <c r="H1489" s="27">
        <v>183.7</v>
      </c>
      <c r="I1489" s="27">
        <v>1100.82</v>
      </c>
      <c r="J1489" s="27">
        <v>14474.08</v>
      </c>
      <c r="K1489" s="47">
        <f t="shared" si="185"/>
        <v>0.55250212794181042</v>
      </c>
      <c r="L1489" s="47">
        <f t="shared" si="186"/>
        <v>0.32777765495285366</v>
      </c>
      <c r="M1489" s="84">
        <f t="shared" si="187"/>
        <v>0.88027978289466413</v>
      </c>
      <c r="N1489" s="47">
        <f t="shared" si="188"/>
        <v>1.4078960458972176E-2</v>
      </c>
      <c r="O1489" s="47">
        <f t="shared" si="189"/>
        <v>1.2691652940981395E-2</v>
      </c>
      <c r="P1489" s="47">
        <f t="shared" si="190"/>
        <v>7.6054574798536417E-2</v>
      </c>
      <c r="Q1489" s="47">
        <f t="shared" si="191"/>
        <v>1</v>
      </c>
    </row>
    <row r="1490" spans="1:17" x14ac:dyDescent="0.35">
      <c r="A1490" s="82">
        <v>1487</v>
      </c>
      <c r="B1490" s="83" t="str">
        <f>_xlfn.XLOOKUP(A1490,'TAZs by City - CCAG Model'!$A:$A,'TAZs by City - CCAG Model'!$B:$B,"Unknown")</f>
        <v>Santa Clara</v>
      </c>
      <c r="C1490" s="82">
        <f>_xlfn.XLOOKUP(A1490,'TAZs by City - CCAG Model'!$A:$A,'TAZs by City - CCAG Model'!$C:$C,999)</f>
        <v>3</v>
      </c>
      <c r="D1490" s="82" t="str">
        <f t="shared" si="184"/>
        <v>NO</v>
      </c>
      <c r="E1490" s="27">
        <v>2369.88</v>
      </c>
      <c r="F1490" s="27">
        <v>713.64</v>
      </c>
      <c r="G1490" s="27">
        <v>34.4</v>
      </c>
      <c r="H1490" s="27">
        <v>29.6</v>
      </c>
      <c r="I1490" s="27">
        <v>69.22</v>
      </c>
      <c r="J1490" s="27">
        <v>3304.1</v>
      </c>
      <c r="K1490" s="47">
        <f t="shared" si="185"/>
        <v>0.71725432038981873</v>
      </c>
      <c r="L1490" s="47">
        <f t="shared" si="186"/>
        <v>0.21598619896492238</v>
      </c>
      <c r="M1490" s="84">
        <f t="shared" si="187"/>
        <v>0.93324051935474106</v>
      </c>
      <c r="N1490" s="47">
        <f t="shared" si="188"/>
        <v>1.0411307163826761E-2</v>
      </c>
      <c r="O1490" s="47">
        <f t="shared" si="189"/>
        <v>8.9585666293393058E-3</v>
      </c>
      <c r="P1490" s="47">
        <f t="shared" si="190"/>
        <v>2.0949729124421175E-2</v>
      </c>
      <c r="Q1490" s="47">
        <f t="shared" si="191"/>
        <v>1</v>
      </c>
    </row>
    <row r="1491" spans="1:17" x14ac:dyDescent="0.35">
      <c r="A1491" s="82">
        <v>1488</v>
      </c>
      <c r="B1491" s="83" t="str">
        <f>_xlfn.XLOOKUP(A1491,'TAZs by City - CCAG Model'!$A:$A,'TAZs by City - CCAG Model'!$B:$B,"Unknown")</f>
        <v>San Jose</v>
      </c>
      <c r="C1491" s="82">
        <f>_xlfn.XLOOKUP(A1491,'TAZs by City - CCAG Model'!$A:$A,'TAZs by City - CCAG Model'!$C:$C,999)</f>
        <v>3</v>
      </c>
      <c r="D1491" s="82" t="str">
        <f t="shared" si="184"/>
        <v>NO</v>
      </c>
      <c r="E1491" s="27">
        <v>4775.66</v>
      </c>
      <c r="F1491" s="27">
        <v>2889.46</v>
      </c>
      <c r="G1491" s="27">
        <v>82.68</v>
      </c>
      <c r="H1491" s="27">
        <v>91.5</v>
      </c>
      <c r="I1491" s="27">
        <v>548.04</v>
      </c>
      <c r="J1491" s="27">
        <v>8510.82</v>
      </c>
      <c r="K1491" s="47">
        <f t="shared" si="185"/>
        <v>0.56112806991570729</v>
      </c>
      <c r="L1491" s="47">
        <f t="shared" si="186"/>
        <v>0.33950430158316119</v>
      </c>
      <c r="M1491" s="84">
        <f t="shared" si="187"/>
        <v>0.90063237149886854</v>
      </c>
      <c r="N1491" s="47">
        <f t="shared" si="188"/>
        <v>9.714692591313176E-3</v>
      </c>
      <c r="O1491" s="47">
        <f t="shared" si="189"/>
        <v>1.0751020465713057E-2</v>
      </c>
      <c r="P1491" s="47">
        <f t="shared" si="190"/>
        <v>6.4393325202506929E-2</v>
      </c>
      <c r="Q1491" s="47">
        <f t="shared" si="191"/>
        <v>1</v>
      </c>
    </row>
    <row r="1492" spans="1:17" x14ac:dyDescent="0.35">
      <c r="A1492" s="82">
        <v>1489</v>
      </c>
      <c r="B1492" s="83" t="str">
        <f>_xlfn.XLOOKUP(A1492,'TAZs by City - CCAG Model'!$A:$A,'TAZs by City - CCAG Model'!$B:$B,"Unknown")</f>
        <v>San Jose</v>
      </c>
      <c r="C1492" s="82">
        <f>_xlfn.XLOOKUP(A1492,'TAZs by City - CCAG Model'!$A:$A,'TAZs by City - CCAG Model'!$C:$C,999)</f>
        <v>3</v>
      </c>
      <c r="D1492" s="82" t="str">
        <f t="shared" si="184"/>
        <v>NO</v>
      </c>
      <c r="E1492" s="27">
        <v>4533.72</v>
      </c>
      <c r="F1492" s="27">
        <v>2078.34</v>
      </c>
      <c r="G1492" s="27">
        <v>174.02</v>
      </c>
      <c r="H1492" s="27">
        <v>76.62</v>
      </c>
      <c r="I1492" s="27">
        <v>255.82</v>
      </c>
      <c r="J1492" s="27">
        <v>7339.46</v>
      </c>
      <c r="K1492" s="47">
        <f t="shared" si="185"/>
        <v>0.61771846975118061</v>
      </c>
      <c r="L1492" s="47">
        <f t="shared" si="186"/>
        <v>0.28317342147787439</v>
      </c>
      <c r="M1492" s="84">
        <f t="shared" si="187"/>
        <v>0.900891891229055</v>
      </c>
      <c r="N1492" s="47">
        <f t="shared" si="188"/>
        <v>2.3710191212977523E-2</v>
      </c>
      <c r="O1492" s="47">
        <f t="shared" si="189"/>
        <v>1.0439460123769324E-2</v>
      </c>
      <c r="P1492" s="47">
        <f t="shared" si="190"/>
        <v>3.4855425331018902E-2</v>
      </c>
      <c r="Q1492" s="47">
        <f t="shared" si="191"/>
        <v>1</v>
      </c>
    </row>
    <row r="1493" spans="1:17" x14ac:dyDescent="0.35">
      <c r="A1493" s="82">
        <v>1490</v>
      </c>
      <c r="B1493" s="83" t="str">
        <f>_xlfn.XLOOKUP(A1493,'TAZs by City - CCAG Model'!$A:$A,'TAZs by City - CCAG Model'!$B:$B,"Unknown")</f>
        <v>Campbell</v>
      </c>
      <c r="C1493" s="82">
        <f>_xlfn.XLOOKUP(A1493,'TAZs by City - CCAG Model'!$A:$A,'TAZs by City - CCAG Model'!$C:$C,999)</f>
        <v>3</v>
      </c>
      <c r="D1493" s="82" t="str">
        <f t="shared" si="184"/>
        <v>NO</v>
      </c>
      <c r="E1493" s="27">
        <v>6445.9</v>
      </c>
      <c r="F1493" s="27">
        <v>1684.82</v>
      </c>
      <c r="G1493" s="27">
        <v>147.86000000000001</v>
      </c>
      <c r="H1493" s="27">
        <v>81.12</v>
      </c>
      <c r="I1493" s="27">
        <v>211.02</v>
      </c>
      <c r="J1493" s="27">
        <v>8748.7800000000007</v>
      </c>
      <c r="K1493" s="47">
        <f t="shared" si="185"/>
        <v>0.73677701348073665</v>
      </c>
      <c r="L1493" s="47">
        <f t="shared" si="186"/>
        <v>0.19257770797756943</v>
      </c>
      <c r="M1493" s="84">
        <f t="shared" si="187"/>
        <v>0.929354721458306</v>
      </c>
      <c r="N1493" s="47">
        <f t="shared" si="188"/>
        <v>1.6900642146676453E-2</v>
      </c>
      <c r="O1493" s="47">
        <f t="shared" si="189"/>
        <v>9.2721499454781128E-3</v>
      </c>
      <c r="P1493" s="47">
        <f t="shared" si="190"/>
        <v>2.4119934436572871E-2</v>
      </c>
      <c r="Q1493" s="47">
        <f t="shared" si="191"/>
        <v>1</v>
      </c>
    </row>
    <row r="1494" spans="1:17" x14ac:dyDescent="0.35">
      <c r="A1494" s="82">
        <v>1491</v>
      </c>
      <c r="B1494" s="83" t="str">
        <f>_xlfn.XLOOKUP(A1494,'TAZs by City - CCAG Model'!$A:$A,'TAZs by City - CCAG Model'!$B:$B,"Unknown")</f>
        <v>Daly City</v>
      </c>
      <c r="C1494" s="82">
        <f>_xlfn.XLOOKUP(A1494,'TAZs by City - CCAG Model'!$A:$A,'TAZs by City - CCAG Model'!$C:$C,999)</f>
        <v>2</v>
      </c>
      <c r="D1494" s="82" t="str">
        <f t="shared" si="184"/>
        <v>YES</v>
      </c>
      <c r="E1494" s="27">
        <v>5786.1</v>
      </c>
      <c r="F1494" s="27">
        <v>3633.48</v>
      </c>
      <c r="G1494" s="27">
        <v>770.58</v>
      </c>
      <c r="H1494" s="27">
        <v>152.41999999999999</v>
      </c>
      <c r="I1494" s="27">
        <v>557.91999999999996</v>
      </c>
      <c r="J1494" s="27">
        <v>11707.14</v>
      </c>
      <c r="K1494" s="47">
        <f t="shared" si="185"/>
        <v>0.49423685033236131</v>
      </c>
      <c r="L1494" s="47">
        <f t="shared" si="186"/>
        <v>0.31036444426221949</v>
      </c>
      <c r="M1494" s="84">
        <f t="shared" si="187"/>
        <v>0.80460129459458074</v>
      </c>
      <c r="N1494" s="47">
        <f t="shared" si="188"/>
        <v>6.5821370548229549E-2</v>
      </c>
      <c r="O1494" s="47">
        <f t="shared" si="189"/>
        <v>1.3019405251837767E-2</v>
      </c>
      <c r="P1494" s="47">
        <f t="shared" si="190"/>
        <v>4.7656387469527141E-2</v>
      </c>
      <c r="Q1494" s="47">
        <f t="shared" si="191"/>
        <v>1</v>
      </c>
    </row>
    <row r="1495" spans="1:17" x14ac:dyDescent="0.35">
      <c r="A1495" s="82">
        <v>1492</v>
      </c>
      <c r="B1495" s="83" t="str">
        <f>_xlfn.XLOOKUP(A1495,'TAZs by City - CCAG Model'!$A:$A,'TAZs by City - CCAG Model'!$B:$B,"Unknown")</f>
        <v>Unincorporated</v>
      </c>
      <c r="C1495" s="82">
        <f>_xlfn.XLOOKUP(A1495,'TAZs by City - CCAG Model'!$A:$A,'TAZs by City - CCAG Model'!$C:$C,999)</f>
        <v>2</v>
      </c>
      <c r="D1495" s="82" t="str">
        <f t="shared" si="184"/>
        <v>YES</v>
      </c>
      <c r="E1495" s="27">
        <v>5806.2</v>
      </c>
      <c r="F1495" s="27">
        <v>4399.08</v>
      </c>
      <c r="G1495" s="27">
        <v>724.46</v>
      </c>
      <c r="H1495" s="27">
        <v>166.56</v>
      </c>
      <c r="I1495" s="27">
        <v>993.8</v>
      </c>
      <c r="J1495" s="27">
        <v>12843.6</v>
      </c>
      <c r="K1495" s="47">
        <f t="shared" si="185"/>
        <v>0.45206951322059236</v>
      </c>
      <c r="L1495" s="47">
        <f t="shared" si="186"/>
        <v>0.34251144538914324</v>
      </c>
      <c r="M1495" s="84">
        <f t="shared" si="187"/>
        <v>0.79458095860973543</v>
      </c>
      <c r="N1495" s="47">
        <f t="shared" si="188"/>
        <v>5.6406303528605685E-2</v>
      </c>
      <c r="O1495" s="47">
        <f t="shared" si="189"/>
        <v>1.2968326637391385E-2</v>
      </c>
      <c r="P1495" s="47">
        <f t="shared" si="190"/>
        <v>7.7377059391447872E-2</v>
      </c>
      <c r="Q1495" s="47">
        <f t="shared" si="191"/>
        <v>1</v>
      </c>
    </row>
    <row r="1496" spans="1:17" x14ac:dyDescent="0.35">
      <c r="A1496" s="82">
        <v>1493</v>
      </c>
      <c r="B1496" s="83" t="str">
        <f>_xlfn.XLOOKUP(A1496,'TAZs by City - CCAG Model'!$A:$A,'TAZs by City - CCAG Model'!$B:$B,"Unknown")</f>
        <v>Daly City</v>
      </c>
      <c r="C1496" s="82">
        <f>_xlfn.XLOOKUP(A1496,'TAZs by City - CCAG Model'!$A:$A,'TAZs by City - CCAG Model'!$C:$C,999)</f>
        <v>2</v>
      </c>
      <c r="D1496" s="82" t="str">
        <f t="shared" si="184"/>
        <v>YES</v>
      </c>
      <c r="E1496" s="27">
        <v>5574.08</v>
      </c>
      <c r="F1496" s="27">
        <v>4459.8</v>
      </c>
      <c r="G1496" s="27">
        <v>743.52</v>
      </c>
      <c r="H1496" s="27">
        <v>178.86</v>
      </c>
      <c r="I1496" s="27">
        <v>2642.88</v>
      </c>
      <c r="J1496" s="27">
        <v>14380.98</v>
      </c>
      <c r="K1496" s="47">
        <f t="shared" si="185"/>
        <v>0.38760084500499964</v>
      </c>
      <c r="L1496" s="47">
        <f t="shared" si="186"/>
        <v>0.31011794745559762</v>
      </c>
      <c r="M1496" s="84">
        <f t="shared" si="187"/>
        <v>0.69771879246059731</v>
      </c>
      <c r="N1496" s="47">
        <f t="shared" si="188"/>
        <v>5.1701622559797732E-2</v>
      </c>
      <c r="O1496" s="47">
        <f t="shared" si="189"/>
        <v>1.2437260882081752E-2</v>
      </c>
      <c r="P1496" s="47">
        <f t="shared" si="190"/>
        <v>0.1837760708936387</v>
      </c>
      <c r="Q1496" s="47">
        <f t="shared" si="191"/>
        <v>1</v>
      </c>
    </row>
    <row r="1497" spans="1:17" x14ac:dyDescent="0.35">
      <c r="A1497" s="82">
        <v>1494</v>
      </c>
      <c r="B1497" s="83" t="str">
        <f>_xlfn.XLOOKUP(A1497,'TAZs by City - CCAG Model'!$A:$A,'TAZs by City - CCAG Model'!$B:$B,"Unknown")</f>
        <v>Daly City</v>
      </c>
      <c r="C1497" s="82">
        <f>_xlfn.XLOOKUP(A1497,'TAZs by City - CCAG Model'!$A:$A,'TAZs by City - CCAG Model'!$C:$C,999)</f>
        <v>2</v>
      </c>
      <c r="D1497" s="82" t="str">
        <f t="shared" si="184"/>
        <v>YES</v>
      </c>
      <c r="E1497" s="27">
        <v>3354.7</v>
      </c>
      <c r="F1497" s="27">
        <v>2241.7800000000002</v>
      </c>
      <c r="G1497" s="27">
        <v>389.3</v>
      </c>
      <c r="H1497" s="27">
        <v>107.52</v>
      </c>
      <c r="I1497" s="27">
        <v>435</v>
      </c>
      <c r="J1497" s="27">
        <v>6953.94</v>
      </c>
      <c r="K1497" s="47">
        <f t="shared" si="185"/>
        <v>0.48241716206927299</v>
      </c>
      <c r="L1497" s="47">
        <f t="shared" si="186"/>
        <v>0.32237551661360325</v>
      </c>
      <c r="M1497" s="84">
        <f t="shared" si="187"/>
        <v>0.80479267868287618</v>
      </c>
      <c r="N1497" s="47">
        <f t="shared" si="188"/>
        <v>5.5982651561560792E-2</v>
      </c>
      <c r="O1497" s="47">
        <f t="shared" si="189"/>
        <v>1.5461738237603431E-2</v>
      </c>
      <c r="P1497" s="47">
        <f t="shared" si="190"/>
        <v>6.2554465526018344E-2</v>
      </c>
      <c r="Q1497" s="47">
        <f t="shared" si="191"/>
        <v>1</v>
      </c>
    </row>
    <row r="1498" spans="1:17" x14ac:dyDescent="0.35">
      <c r="A1498" s="82">
        <v>1495</v>
      </c>
      <c r="B1498" s="83" t="str">
        <f>_xlfn.XLOOKUP(A1498,'TAZs by City - CCAG Model'!$A:$A,'TAZs by City - CCAG Model'!$B:$B,"Unknown")</f>
        <v>Daly City</v>
      </c>
      <c r="C1498" s="82">
        <f>_xlfn.XLOOKUP(A1498,'TAZs by City - CCAG Model'!$A:$A,'TAZs by City - CCAG Model'!$C:$C,999)</f>
        <v>2</v>
      </c>
      <c r="D1498" s="82" t="str">
        <f t="shared" si="184"/>
        <v>YES</v>
      </c>
      <c r="E1498" s="27">
        <v>5353.88</v>
      </c>
      <c r="F1498" s="27">
        <v>3494.46</v>
      </c>
      <c r="G1498" s="27">
        <v>742.18</v>
      </c>
      <c r="H1498" s="27">
        <v>187.28</v>
      </c>
      <c r="I1498" s="27">
        <v>732.46</v>
      </c>
      <c r="J1498" s="27">
        <v>11289.58</v>
      </c>
      <c r="K1498" s="47">
        <f t="shared" si="185"/>
        <v>0.47423199091551682</v>
      </c>
      <c r="L1498" s="47">
        <f t="shared" si="186"/>
        <v>0.30952967249445951</v>
      </c>
      <c r="M1498" s="84">
        <f t="shared" si="187"/>
        <v>0.78376166340997633</v>
      </c>
      <c r="N1498" s="47">
        <f t="shared" si="188"/>
        <v>6.5740266688397622E-2</v>
      </c>
      <c r="O1498" s="47">
        <f t="shared" si="189"/>
        <v>1.6588748208525031E-2</v>
      </c>
      <c r="P1498" s="47">
        <f t="shared" si="190"/>
        <v>6.4879295775396431E-2</v>
      </c>
      <c r="Q1498" s="47">
        <f t="shared" si="191"/>
        <v>1</v>
      </c>
    </row>
    <row r="1499" spans="1:17" x14ac:dyDescent="0.35">
      <c r="A1499" s="82">
        <v>1496</v>
      </c>
      <c r="B1499" s="83" t="str">
        <f>_xlfn.XLOOKUP(A1499,'TAZs by City - CCAG Model'!$A:$A,'TAZs by City - CCAG Model'!$B:$B,"Unknown")</f>
        <v>Daly City</v>
      </c>
      <c r="C1499" s="82">
        <f>_xlfn.XLOOKUP(A1499,'TAZs by City - CCAG Model'!$A:$A,'TAZs by City - CCAG Model'!$C:$C,999)</f>
        <v>2</v>
      </c>
      <c r="D1499" s="82" t="str">
        <f t="shared" si="184"/>
        <v>YES</v>
      </c>
      <c r="E1499" s="27">
        <v>400</v>
      </c>
      <c r="F1499" s="27">
        <v>164.84</v>
      </c>
      <c r="G1499" s="27">
        <v>8.4600000000000009</v>
      </c>
      <c r="H1499" s="27">
        <v>5.26</v>
      </c>
      <c r="I1499" s="27">
        <v>39.26</v>
      </c>
      <c r="J1499" s="27">
        <v>647.14</v>
      </c>
      <c r="K1499" s="47">
        <f t="shared" si="185"/>
        <v>0.61810427419105607</v>
      </c>
      <c r="L1499" s="47">
        <f t="shared" si="186"/>
        <v>0.25472077139413418</v>
      </c>
      <c r="M1499" s="84">
        <f t="shared" si="187"/>
        <v>0.87282504558519025</v>
      </c>
      <c r="N1499" s="47">
        <f t="shared" si="188"/>
        <v>1.3072905399140836E-2</v>
      </c>
      <c r="O1499" s="47">
        <f t="shared" si="189"/>
        <v>8.1280712056123871E-3</v>
      </c>
      <c r="P1499" s="47">
        <f t="shared" si="190"/>
        <v>6.066693451185215E-2</v>
      </c>
      <c r="Q1499" s="47">
        <f t="shared" si="191"/>
        <v>1</v>
      </c>
    </row>
    <row r="1500" spans="1:17" x14ac:dyDescent="0.35">
      <c r="A1500" s="82">
        <v>1497</v>
      </c>
      <c r="B1500" s="83" t="str">
        <f>_xlfn.XLOOKUP(A1500,'TAZs by City - CCAG Model'!$A:$A,'TAZs by City - CCAG Model'!$B:$B,"Unknown")</f>
        <v>Colma</v>
      </c>
      <c r="C1500" s="82">
        <f>_xlfn.XLOOKUP(A1500,'TAZs by City - CCAG Model'!$A:$A,'TAZs by City - CCAG Model'!$C:$C,999)</f>
        <v>2</v>
      </c>
      <c r="D1500" s="82" t="str">
        <f t="shared" si="184"/>
        <v>YES</v>
      </c>
      <c r="E1500" s="27">
        <v>4853.92</v>
      </c>
      <c r="F1500" s="27">
        <v>2511.46</v>
      </c>
      <c r="G1500" s="27">
        <v>351.4</v>
      </c>
      <c r="H1500" s="27">
        <v>109.76</v>
      </c>
      <c r="I1500" s="27">
        <v>1057.6600000000001</v>
      </c>
      <c r="J1500" s="27">
        <v>9270.76</v>
      </c>
      <c r="K1500" s="47">
        <f t="shared" si="185"/>
        <v>0.52357304039798247</v>
      </c>
      <c r="L1500" s="47">
        <f t="shared" si="186"/>
        <v>0.27090119903869803</v>
      </c>
      <c r="M1500" s="84">
        <f t="shared" si="187"/>
        <v>0.7944742394366805</v>
      </c>
      <c r="N1500" s="47">
        <f t="shared" si="188"/>
        <v>3.7904120050567584E-2</v>
      </c>
      <c r="O1500" s="47">
        <f t="shared" si="189"/>
        <v>1.1839374549659359E-2</v>
      </c>
      <c r="P1500" s="47">
        <f t="shared" si="190"/>
        <v>0.11408557658703278</v>
      </c>
      <c r="Q1500" s="47">
        <f t="shared" si="191"/>
        <v>1</v>
      </c>
    </row>
    <row r="1501" spans="1:17" x14ac:dyDescent="0.35">
      <c r="A1501" s="82">
        <v>1498</v>
      </c>
      <c r="B1501" s="83" t="str">
        <f>_xlfn.XLOOKUP(A1501,'TAZs by City - CCAG Model'!$A:$A,'TAZs by City - CCAG Model'!$B:$B,"Unknown")</f>
        <v>Daly City</v>
      </c>
      <c r="C1501" s="82">
        <f>_xlfn.XLOOKUP(A1501,'TAZs by City - CCAG Model'!$A:$A,'TAZs by City - CCAG Model'!$C:$C,999)</f>
        <v>2</v>
      </c>
      <c r="D1501" s="82" t="str">
        <f t="shared" si="184"/>
        <v>YES</v>
      </c>
      <c r="E1501" s="27">
        <v>3954.22</v>
      </c>
      <c r="F1501" s="27">
        <v>2507.98</v>
      </c>
      <c r="G1501" s="27">
        <v>482.78</v>
      </c>
      <c r="H1501" s="27">
        <v>137.9</v>
      </c>
      <c r="I1501" s="27">
        <v>605.76</v>
      </c>
      <c r="J1501" s="27">
        <v>8211.9</v>
      </c>
      <c r="K1501" s="47">
        <f t="shared" si="185"/>
        <v>0.48152315542079177</v>
      </c>
      <c r="L1501" s="47">
        <f t="shared" si="186"/>
        <v>0.30540800545549751</v>
      </c>
      <c r="M1501" s="84">
        <f t="shared" si="187"/>
        <v>0.78693116087628934</v>
      </c>
      <c r="N1501" s="47">
        <f t="shared" si="188"/>
        <v>5.8790292137020667E-2</v>
      </c>
      <c r="O1501" s="47">
        <f t="shared" si="189"/>
        <v>1.6792703272080763E-2</v>
      </c>
      <c r="P1501" s="47">
        <f t="shared" si="190"/>
        <v>7.3766119899170715E-2</v>
      </c>
      <c r="Q1501" s="47">
        <f t="shared" si="191"/>
        <v>1</v>
      </c>
    </row>
    <row r="1502" spans="1:17" x14ac:dyDescent="0.35">
      <c r="A1502" s="82">
        <v>1499</v>
      </c>
      <c r="B1502" s="83" t="str">
        <f>_xlfn.XLOOKUP(A1502,'TAZs by City - CCAG Model'!$A:$A,'TAZs by City - CCAG Model'!$B:$B,"Unknown")</f>
        <v>Daly City</v>
      </c>
      <c r="C1502" s="82">
        <f>_xlfn.XLOOKUP(A1502,'TAZs by City - CCAG Model'!$A:$A,'TAZs by City - CCAG Model'!$C:$C,999)</f>
        <v>2</v>
      </c>
      <c r="D1502" s="82" t="str">
        <f t="shared" si="184"/>
        <v>YES</v>
      </c>
      <c r="E1502" s="27">
        <v>7059.78</v>
      </c>
      <c r="F1502" s="27">
        <v>5150.9799999999996</v>
      </c>
      <c r="G1502" s="27">
        <v>570.32000000000005</v>
      </c>
      <c r="H1502" s="27">
        <v>233.78</v>
      </c>
      <c r="I1502" s="27">
        <v>848.12</v>
      </c>
      <c r="J1502" s="27">
        <v>14466.36</v>
      </c>
      <c r="K1502" s="47">
        <f t="shared" si="185"/>
        <v>0.48801357079458824</v>
      </c>
      <c r="L1502" s="47">
        <f t="shared" si="186"/>
        <v>0.35606607329003281</v>
      </c>
      <c r="M1502" s="84">
        <f t="shared" si="187"/>
        <v>0.84407964408462099</v>
      </c>
      <c r="N1502" s="47">
        <f t="shared" si="188"/>
        <v>3.942387718818003E-2</v>
      </c>
      <c r="O1502" s="47">
        <f t="shared" si="189"/>
        <v>1.6160250401621418E-2</v>
      </c>
      <c r="P1502" s="47">
        <f t="shared" si="190"/>
        <v>5.8627049236988429E-2</v>
      </c>
      <c r="Q1502" s="47">
        <f t="shared" si="191"/>
        <v>1</v>
      </c>
    </row>
    <row r="1503" spans="1:17" x14ac:dyDescent="0.35">
      <c r="A1503" s="82">
        <v>1500</v>
      </c>
      <c r="B1503" s="83" t="str">
        <f>_xlfn.XLOOKUP(A1503,'TAZs by City - CCAG Model'!$A:$A,'TAZs by City - CCAG Model'!$B:$B,"Unknown")</f>
        <v>Daly City</v>
      </c>
      <c r="C1503" s="82">
        <f>_xlfn.XLOOKUP(A1503,'TAZs by City - CCAG Model'!$A:$A,'TAZs by City - CCAG Model'!$C:$C,999)</f>
        <v>2</v>
      </c>
      <c r="D1503" s="82" t="str">
        <f t="shared" si="184"/>
        <v>YES</v>
      </c>
      <c r="E1503" s="27">
        <v>8500.7999999999993</v>
      </c>
      <c r="F1503" s="27">
        <v>5191.18</v>
      </c>
      <c r="G1503" s="27">
        <v>971.82</v>
      </c>
      <c r="H1503" s="27">
        <v>233.9</v>
      </c>
      <c r="I1503" s="27">
        <v>1248.26</v>
      </c>
      <c r="J1503" s="27">
        <v>17160.38</v>
      </c>
      <c r="K1503" s="47">
        <f t="shared" si="185"/>
        <v>0.49537364557195113</v>
      </c>
      <c r="L1503" s="47">
        <f t="shared" si="186"/>
        <v>0.30250961808538041</v>
      </c>
      <c r="M1503" s="84">
        <f t="shared" si="187"/>
        <v>0.79788326365733153</v>
      </c>
      <c r="N1503" s="47">
        <f t="shared" si="188"/>
        <v>5.6631613052857806E-2</v>
      </c>
      <c r="O1503" s="47">
        <f t="shared" si="189"/>
        <v>1.3630234295510938E-2</v>
      </c>
      <c r="P1503" s="47">
        <f t="shared" si="190"/>
        <v>7.2740813431870388E-2</v>
      </c>
      <c r="Q1503" s="47">
        <f t="shared" si="191"/>
        <v>1</v>
      </c>
    </row>
    <row r="1504" spans="1:17" x14ac:dyDescent="0.35">
      <c r="A1504" s="82">
        <v>1501</v>
      </c>
      <c r="B1504" s="83" t="str">
        <f>_xlfn.XLOOKUP(A1504,'TAZs by City - CCAG Model'!$A:$A,'TAZs by City - CCAG Model'!$B:$B,"Unknown")</f>
        <v>Daly City</v>
      </c>
      <c r="C1504" s="82">
        <f>_xlfn.XLOOKUP(A1504,'TAZs by City - CCAG Model'!$A:$A,'TAZs by City - CCAG Model'!$C:$C,999)</f>
        <v>2</v>
      </c>
      <c r="D1504" s="82" t="str">
        <f t="shared" si="184"/>
        <v>YES</v>
      </c>
      <c r="E1504" s="27">
        <v>5070.92</v>
      </c>
      <c r="F1504" s="27">
        <v>3398.98</v>
      </c>
      <c r="G1504" s="27">
        <v>702.88</v>
      </c>
      <c r="H1504" s="27">
        <v>165.52</v>
      </c>
      <c r="I1504" s="27">
        <v>659.16</v>
      </c>
      <c r="J1504" s="27">
        <v>10736.4</v>
      </c>
      <c r="K1504" s="47">
        <f t="shared" si="185"/>
        <v>0.4723110167281398</v>
      </c>
      <c r="L1504" s="47">
        <f t="shared" si="186"/>
        <v>0.31658470250735815</v>
      </c>
      <c r="M1504" s="84">
        <f t="shared" si="187"/>
        <v>0.78889571923549795</v>
      </c>
      <c r="N1504" s="47">
        <f t="shared" si="188"/>
        <v>6.5467009425878325E-2</v>
      </c>
      <c r="O1504" s="47">
        <f t="shared" si="189"/>
        <v>1.541671323721173E-2</v>
      </c>
      <c r="P1504" s="47">
        <f t="shared" si="190"/>
        <v>6.1394880965686821E-2</v>
      </c>
      <c r="Q1504" s="47">
        <f t="shared" si="191"/>
        <v>1</v>
      </c>
    </row>
    <row r="1505" spans="1:17" x14ac:dyDescent="0.35">
      <c r="A1505" s="82">
        <v>1502</v>
      </c>
      <c r="B1505" s="83" t="str">
        <f>_xlfn.XLOOKUP(A1505,'TAZs by City - CCAG Model'!$A:$A,'TAZs by City - CCAG Model'!$B:$B,"Unknown")</f>
        <v>Daly City</v>
      </c>
      <c r="C1505" s="82">
        <f>_xlfn.XLOOKUP(A1505,'TAZs by City - CCAG Model'!$A:$A,'TAZs by City - CCAG Model'!$C:$C,999)</f>
        <v>2</v>
      </c>
      <c r="D1505" s="82" t="str">
        <f t="shared" si="184"/>
        <v>YES</v>
      </c>
      <c r="E1505" s="27">
        <v>7819.6</v>
      </c>
      <c r="F1505" s="27">
        <v>5767.7</v>
      </c>
      <c r="G1505" s="27">
        <v>507</v>
      </c>
      <c r="H1505" s="27">
        <v>235.22</v>
      </c>
      <c r="I1505" s="27">
        <v>686.7</v>
      </c>
      <c r="J1505" s="27">
        <v>15552.84</v>
      </c>
      <c r="K1505" s="47">
        <f t="shared" si="185"/>
        <v>0.50277634181281361</v>
      </c>
      <c r="L1505" s="47">
        <f t="shared" si="186"/>
        <v>0.37084545330627716</v>
      </c>
      <c r="M1505" s="84">
        <f t="shared" si="187"/>
        <v>0.87362179511909077</v>
      </c>
      <c r="N1505" s="47">
        <f t="shared" si="188"/>
        <v>3.2598547917936531E-2</v>
      </c>
      <c r="O1505" s="47">
        <f t="shared" si="189"/>
        <v>1.5123925919639115E-2</v>
      </c>
      <c r="P1505" s="47">
        <f t="shared" si="190"/>
        <v>4.415270780127617E-2</v>
      </c>
      <c r="Q1505" s="47">
        <f t="shared" si="191"/>
        <v>1</v>
      </c>
    </row>
    <row r="1506" spans="1:17" x14ac:dyDescent="0.35">
      <c r="A1506" s="82">
        <v>1503</v>
      </c>
      <c r="B1506" s="83" t="str">
        <f>_xlfn.XLOOKUP(A1506,'TAZs by City - CCAG Model'!$A:$A,'TAZs by City - CCAG Model'!$B:$B,"Unknown")</f>
        <v>Daly City</v>
      </c>
      <c r="C1506" s="82">
        <f>_xlfn.XLOOKUP(A1506,'TAZs by City - CCAG Model'!$A:$A,'TAZs by City - CCAG Model'!$C:$C,999)</f>
        <v>2</v>
      </c>
      <c r="D1506" s="82" t="str">
        <f t="shared" si="184"/>
        <v>YES</v>
      </c>
      <c r="E1506" s="27">
        <v>1694</v>
      </c>
      <c r="F1506" s="27">
        <v>868.18</v>
      </c>
      <c r="G1506" s="27">
        <v>131.66</v>
      </c>
      <c r="H1506" s="27">
        <v>40.020000000000003</v>
      </c>
      <c r="I1506" s="27">
        <v>174.24</v>
      </c>
      <c r="J1506" s="27">
        <v>3071.5</v>
      </c>
      <c r="K1506" s="47">
        <f t="shared" si="185"/>
        <v>0.55152205762656681</v>
      </c>
      <c r="L1506" s="47">
        <f t="shared" si="186"/>
        <v>0.28265668240273478</v>
      </c>
      <c r="M1506" s="84">
        <f t="shared" si="187"/>
        <v>0.83417874002930159</v>
      </c>
      <c r="N1506" s="47">
        <f t="shared" si="188"/>
        <v>4.286504965000814E-2</v>
      </c>
      <c r="O1506" s="47">
        <f t="shared" si="189"/>
        <v>1.3029464431059744E-2</v>
      </c>
      <c r="P1506" s="47">
        <f t="shared" si="190"/>
        <v>5.6727983070161164E-2</v>
      </c>
      <c r="Q1506" s="47">
        <f t="shared" si="191"/>
        <v>1</v>
      </c>
    </row>
    <row r="1507" spans="1:17" x14ac:dyDescent="0.35">
      <c r="A1507" s="82">
        <v>1504</v>
      </c>
      <c r="B1507" s="83" t="str">
        <f>_xlfn.XLOOKUP(A1507,'TAZs by City - CCAG Model'!$A:$A,'TAZs by City - CCAG Model'!$B:$B,"Unknown")</f>
        <v>South San Francisco</v>
      </c>
      <c r="C1507" s="82">
        <f>_xlfn.XLOOKUP(A1507,'TAZs by City - CCAG Model'!$A:$A,'TAZs by City - CCAG Model'!$C:$C,999)</f>
        <v>2</v>
      </c>
      <c r="D1507" s="82" t="str">
        <f t="shared" si="184"/>
        <v>YES</v>
      </c>
      <c r="E1507" s="27">
        <v>3795.92</v>
      </c>
      <c r="F1507" s="27">
        <v>1702.96</v>
      </c>
      <c r="G1507" s="27">
        <v>156.80000000000001</v>
      </c>
      <c r="H1507" s="27">
        <v>73.42</v>
      </c>
      <c r="I1507" s="27">
        <v>159.32</v>
      </c>
      <c r="J1507" s="27">
        <v>6082.68</v>
      </c>
      <c r="K1507" s="47">
        <f t="shared" si="185"/>
        <v>0.62405387099107623</v>
      </c>
      <c r="L1507" s="47">
        <f t="shared" si="186"/>
        <v>0.27996869800811486</v>
      </c>
      <c r="M1507" s="84">
        <f t="shared" si="187"/>
        <v>0.90402256899919109</v>
      </c>
      <c r="N1507" s="47">
        <f t="shared" si="188"/>
        <v>2.5778110964246023E-2</v>
      </c>
      <c r="O1507" s="47">
        <f t="shared" si="189"/>
        <v>1.2070337417059585E-2</v>
      </c>
      <c r="P1507" s="47">
        <f t="shared" si="190"/>
        <v>2.6192402033314261E-2</v>
      </c>
      <c r="Q1507" s="47">
        <f t="shared" si="191"/>
        <v>1</v>
      </c>
    </row>
    <row r="1508" spans="1:17" x14ac:dyDescent="0.35">
      <c r="A1508" s="82">
        <v>1505</v>
      </c>
      <c r="B1508" s="83" t="str">
        <f>_xlfn.XLOOKUP(A1508,'TAZs by City - CCAG Model'!$A:$A,'TAZs by City - CCAG Model'!$B:$B,"Unknown")</f>
        <v>South San Francisco</v>
      </c>
      <c r="C1508" s="82">
        <f>_xlfn.XLOOKUP(A1508,'TAZs by City - CCAG Model'!$A:$A,'TAZs by City - CCAG Model'!$C:$C,999)</f>
        <v>2</v>
      </c>
      <c r="D1508" s="82" t="str">
        <f t="shared" si="184"/>
        <v>YES</v>
      </c>
      <c r="E1508" s="27">
        <v>2466.06</v>
      </c>
      <c r="F1508" s="27">
        <v>1991.82</v>
      </c>
      <c r="G1508" s="27">
        <v>202.44</v>
      </c>
      <c r="H1508" s="27">
        <v>64.36</v>
      </c>
      <c r="I1508" s="27">
        <v>538.98</v>
      </c>
      <c r="J1508" s="27">
        <v>5495.66</v>
      </c>
      <c r="K1508" s="47">
        <f t="shared" si="185"/>
        <v>0.4487286331396047</v>
      </c>
      <c r="L1508" s="47">
        <f t="shared" si="186"/>
        <v>0.36243508513991041</v>
      </c>
      <c r="M1508" s="84">
        <f t="shared" si="187"/>
        <v>0.81116371827951517</v>
      </c>
      <c r="N1508" s="47">
        <f t="shared" si="188"/>
        <v>3.6836339948250071E-2</v>
      </c>
      <c r="O1508" s="47">
        <f t="shared" si="189"/>
        <v>1.171105927222572E-2</v>
      </c>
      <c r="P1508" s="47">
        <f t="shared" si="190"/>
        <v>9.8073752743073631E-2</v>
      </c>
      <c r="Q1508" s="47">
        <f t="shared" si="191"/>
        <v>1</v>
      </c>
    </row>
    <row r="1509" spans="1:17" x14ac:dyDescent="0.35">
      <c r="A1509" s="82">
        <v>1506</v>
      </c>
      <c r="B1509" s="83" t="str">
        <f>_xlfn.XLOOKUP(A1509,'TAZs by City - CCAG Model'!$A:$A,'TAZs by City - CCAG Model'!$B:$B,"Unknown")</f>
        <v>South San Francisco</v>
      </c>
      <c r="C1509" s="82">
        <f>_xlfn.XLOOKUP(A1509,'TAZs by City - CCAG Model'!$A:$A,'TAZs by City - CCAG Model'!$C:$C,999)</f>
        <v>2</v>
      </c>
      <c r="D1509" s="82" t="str">
        <f t="shared" si="184"/>
        <v>YES</v>
      </c>
      <c r="E1509" s="27">
        <v>2204.52</v>
      </c>
      <c r="F1509" s="27">
        <v>1737.22</v>
      </c>
      <c r="G1509" s="27">
        <v>255.14</v>
      </c>
      <c r="H1509" s="27">
        <v>73.62</v>
      </c>
      <c r="I1509" s="27">
        <v>333.68</v>
      </c>
      <c r="J1509" s="27">
        <v>4887.82</v>
      </c>
      <c r="K1509" s="47">
        <f t="shared" si="185"/>
        <v>0.45102315551718353</v>
      </c>
      <c r="L1509" s="47">
        <f t="shared" si="186"/>
        <v>0.3554181618799383</v>
      </c>
      <c r="M1509" s="84">
        <f t="shared" si="187"/>
        <v>0.80644131739712188</v>
      </c>
      <c r="N1509" s="47">
        <f t="shared" si="188"/>
        <v>5.2199139902860583E-2</v>
      </c>
      <c r="O1509" s="47">
        <f t="shared" si="189"/>
        <v>1.5061929449120468E-2</v>
      </c>
      <c r="P1509" s="47">
        <f t="shared" si="190"/>
        <v>6.8267653064147213E-2</v>
      </c>
      <c r="Q1509" s="47">
        <f t="shared" si="191"/>
        <v>1</v>
      </c>
    </row>
    <row r="1510" spans="1:17" x14ac:dyDescent="0.35">
      <c r="A1510" s="82">
        <v>1507</v>
      </c>
      <c r="B1510" s="83" t="str">
        <f>_xlfn.XLOOKUP(A1510,'TAZs by City - CCAG Model'!$A:$A,'TAZs by City - CCAG Model'!$B:$B,"Unknown")</f>
        <v>South San Francisco</v>
      </c>
      <c r="C1510" s="82">
        <f>_xlfn.XLOOKUP(A1510,'TAZs by City - CCAG Model'!$A:$A,'TAZs by City - CCAG Model'!$C:$C,999)</f>
        <v>2</v>
      </c>
      <c r="D1510" s="82" t="str">
        <f t="shared" si="184"/>
        <v>YES</v>
      </c>
      <c r="E1510" s="27">
        <v>3145.24</v>
      </c>
      <c r="F1510" s="27">
        <v>1109.76</v>
      </c>
      <c r="G1510" s="27">
        <v>153.38</v>
      </c>
      <c r="H1510" s="27">
        <v>48.82</v>
      </c>
      <c r="I1510" s="27">
        <v>307.10000000000002</v>
      </c>
      <c r="J1510" s="27">
        <v>4954.96</v>
      </c>
      <c r="K1510" s="47">
        <f t="shared" si="185"/>
        <v>0.63476597187464678</v>
      </c>
      <c r="L1510" s="47">
        <f t="shared" si="186"/>
        <v>0.22396951741285501</v>
      </c>
      <c r="M1510" s="84">
        <f t="shared" si="187"/>
        <v>0.85873548928750176</v>
      </c>
      <c r="N1510" s="47">
        <f t="shared" si="188"/>
        <v>3.0954841209616221E-2</v>
      </c>
      <c r="O1510" s="47">
        <f t="shared" si="189"/>
        <v>9.852753604469057E-3</v>
      </c>
      <c r="P1510" s="47">
        <f t="shared" si="190"/>
        <v>6.1978300531184916E-2</v>
      </c>
      <c r="Q1510" s="47">
        <f t="shared" si="191"/>
        <v>1</v>
      </c>
    </row>
    <row r="1511" spans="1:17" x14ac:dyDescent="0.35">
      <c r="A1511" s="82">
        <v>1508</v>
      </c>
      <c r="B1511" s="83" t="str">
        <f>_xlfn.XLOOKUP(A1511,'TAZs by City - CCAG Model'!$A:$A,'TAZs by City - CCAG Model'!$B:$B,"Unknown")</f>
        <v>South San Francisco</v>
      </c>
      <c r="C1511" s="82">
        <f>_xlfn.XLOOKUP(A1511,'TAZs by City - CCAG Model'!$A:$A,'TAZs by City - CCAG Model'!$C:$C,999)</f>
        <v>2</v>
      </c>
      <c r="D1511" s="82" t="str">
        <f t="shared" si="184"/>
        <v>YES</v>
      </c>
      <c r="E1511" s="27">
        <v>5112.26</v>
      </c>
      <c r="F1511" s="27">
        <v>3437.9</v>
      </c>
      <c r="G1511" s="27">
        <v>387.58</v>
      </c>
      <c r="H1511" s="27">
        <v>135.97999999999999</v>
      </c>
      <c r="I1511" s="27">
        <v>825.26</v>
      </c>
      <c r="J1511" s="27">
        <v>10323.82</v>
      </c>
      <c r="K1511" s="47">
        <f t="shared" si="185"/>
        <v>0.49519073366253968</v>
      </c>
      <c r="L1511" s="47">
        <f t="shared" si="186"/>
        <v>0.333006580897381</v>
      </c>
      <c r="M1511" s="84">
        <f t="shared" si="187"/>
        <v>0.82819731455992063</v>
      </c>
      <c r="N1511" s="47">
        <f t="shared" si="188"/>
        <v>3.7542305076996692E-2</v>
      </c>
      <c r="O1511" s="47">
        <f t="shared" si="189"/>
        <v>1.3171481099050544E-2</v>
      </c>
      <c r="P1511" s="47">
        <f t="shared" si="190"/>
        <v>7.9937465008107472E-2</v>
      </c>
      <c r="Q1511" s="47">
        <f t="shared" si="191"/>
        <v>1</v>
      </c>
    </row>
    <row r="1512" spans="1:17" x14ac:dyDescent="0.35">
      <c r="A1512" s="82">
        <v>1509</v>
      </c>
      <c r="B1512" s="83" t="str">
        <f>_xlfn.XLOOKUP(A1512,'TAZs by City - CCAG Model'!$A:$A,'TAZs by City - CCAG Model'!$B:$B,"Unknown")</f>
        <v>South San Francisco</v>
      </c>
      <c r="C1512" s="82">
        <f>_xlfn.XLOOKUP(A1512,'TAZs by City - CCAG Model'!$A:$A,'TAZs by City - CCAG Model'!$C:$C,999)</f>
        <v>2</v>
      </c>
      <c r="D1512" s="82" t="str">
        <f t="shared" si="184"/>
        <v>YES</v>
      </c>
      <c r="E1512" s="27">
        <v>8501.2199999999993</v>
      </c>
      <c r="F1512" s="27">
        <v>4948.8</v>
      </c>
      <c r="G1512" s="27">
        <v>454.74</v>
      </c>
      <c r="H1512" s="27">
        <v>198.24</v>
      </c>
      <c r="I1512" s="27">
        <v>3528.36</v>
      </c>
      <c r="J1512" s="27">
        <v>18126.66</v>
      </c>
      <c r="K1512" s="47">
        <f t="shared" si="185"/>
        <v>0.46898987458252095</v>
      </c>
      <c r="L1512" s="47">
        <f t="shared" si="186"/>
        <v>0.27301223722406665</v>
      </c>
      <c r="M1512" s="84">
        <f t="shared" si="187"/>
        <v>0.74200211180658771</v>
      </c>
      <c r="N1512" s="47">
        <f t="shared" si="188"/>
        <v>2.5086805842885564E-2</v>
      </c>
      <c r="O1512" s="47">
        <f t="shared" si="189"/>
        <v>1.0936377688995105E-2</v>
      </c>
      <c r="P1512" s="47">
        <f t="shared" si="190"/>
        <v>0.19465031064741106</v>
      </c>
      <c r="Q1512" s="47">
        <f t="shared" si="191"/>
        <v>1</v>
      </c>
    </row>
    <row r="1513" spans="1:17" x14ac:dyDescent="0.35">
      <c r="A1513" s="82">
        <v>1510</v>
      </c>
      <c r="B1513" s="83" t="str">
        <f>_xlfn.XLOOKUP(A1513,'TAZs by City - CCAG Model'!$A:$A,'TAZs by City - CCAG Model'!$B:$B,"Unknown")</f>
        <v>South San Francisco</v>
      </c>
      <c r="C1513" s="82">
        <f>_xlfn.XLOOKUP(A1513,'TAZs by City - CCAG Model'!$A:$A,'TAZs by City - CCAG Model'!$C:$C,999)</f>
        <v>2</v>
      </c>
      <c r="D1513" s="82" t="str">
        <f t="shared" si="184"/>
        <v>YES</v>
      </c>
      <c r="E1513" s="27">
        <v>2395.96</v>
      </c>
      <c r="F1513" s="27">
        <v>1613.92</v>
      </c>
      <c r="G1513" s="27">
        <v>182.94</v>
      </c>
      <c r="H1513" s="27">
        <v>74.540000000000006</v>
      </c>
      <c r="I1513" s="27">
        <v>643.98</v>
      </c>
      <c r="J1513" s="27">
        <v>5130.3599999999997</v>
      </c>
      <c r="K1513" s="47">
        <f t="shared" si="185"/>
        <v>0.46701595989365274</v>
      </c>
      <c r="L1513" s="47">
        <f t="shared" si="186"/>
        <v>0.3145822125542847</v>
      </c>
      <c r="M1513" s="84">
        <f t="shared" si="187"/>
        <v>0.7815981724479375</v>
      </c>
      <c r="N1513" s="47">
        <f t="shared" si="188"/>
        <v>3.5658316375459034E-2</v>
      </c>
      <c r="O1513" s="47">
        <f t="shared" si="189"/>
        <v>1.4529194832331456E-2</v>
      </c>
      <c r="P1513" s="47">
        <f t="shared" si="190"/>
        <v>0.12552335508619281</v>
      </c>
      <c r="Q1513" s="47">
        <f t="shared" si="191"/>
        <v>1</v>
      </c>
    </row>
    <row r="1514" spans="1:17" x14ac:dyDescent="0.35">
      <c r="A1514" s="82">
        <v>1511</v>
      </c>
      <c r="B1514" s="83" t="str">
        <f>_xlfn.XLOOKUP(A1514,'TAZs by City - CCAG Model'!$A:$A,'TAZs by City - CCAG Model'!$B:$B,"Unknown")</f>
        <v>South San Francisco</v>
      </c>
      <c r="C1514" s="82">
        <f>_xlfn.XLOOKUP(A1514,'TAZs by City - CCAG Model'!$A:$A,'TAZs by City - CCAG Model'!$C:$C,999)</f>
        <v>2</v>
      </c>
      <c r="D1514" s="82" t="str">
        <f t="shared" si="184"/>
        <v>YES</v>
      </c>
      <c r="E1514" s="27">
        <v>2731.02</v>
      </c>
      <c r="F1514" s="27">
        <v>2133.8200000000002</v>
      </c>
      <c r="G1514" s="27">
        <v>215.9</v>
      </c>
      <c r="H1514" s="27">
        <v>82.26</v>
      </c>
      <c r="I1514" s="27">
        <v>626.14</v>
      </c>
      <c r="J1514" s="27">
        <v>6033.38</v>
      </c>
      <c r="K1514" s="47">
        <f t="shared" si="185"/>
        <v>0.45265174744504738</v>
      </c>
      <c r="L1514" s="47">
        <f t="shared" si="186"/>
        <v>0.35366908764241606</v>
      </c>
      <c r="M1514" s="84">
        <f t="shared" si="187"/>
        <v>0.80632083508746344</v>
      </c>
      <c r="N1514" s="47">
        <f t="shared" si="188"/>
        <v>3.5784253602458321E-2</v>
      </c>
      <c r="O1514" s="47">
        <f t="shared" si="189"/>
        <v>1.3634148686142759E-2</v>
      </c>
      <c r="P1514" s="47">
        <f t="shared" si="190"/>
        <v>0.10377930778435968</v>
      </c>
      <c r="Q1514" s="47">
        <f t="shared" si="191"/>
        <v>1</v>
      </c>
    </row>
    <row r="1515" spans="1:17" x14ac:dyDescent="0.35">
      <c r="A1515" s="82">
        <v>1512</v>
      </c>
      <c r="B1515" s="83" t="str">
        <f>_xlfn.XLOOKUP(A1515,'TAZs by City - CCAG Model'!$A:$A,'TAZs by City - CCAG Model'!$B:$B,"Unknown")</f>
        <v>Daly City</v>
      </c>
      <c r="C1515" s="82">
        <f>_xlfn.XLOOKUP(A1515,'TAZs by City - CCAG Model'!$A:$A,'TAZs by City - CCAG Model'!$C:$C,999)</f>
        <v>2</v>
      </c>
      <c r="D1515" s="82" t="str">
        <f t="shared" si="184"/>
        <v>YES</v>
      </c>
      <c r="E1515" s="27">
        <v>4071.12</v>
      </c>
      <c r="F1515" s="27">
        <v>3242.48</v>
      </c>
      <c r="G1515" s="27">
        <v>445.56</v>
      </c>
      <c r="H1515" s="27">
        <v>110.54</v>
      </c>
      <c r="I1515" s="27">
        <v>559.96</v>
      </c>
      <c r="J1515" s="27">
        <v>8905.24</v>
      </c>
      <c r="K1515" s="47">
        <f t="shared" si="185"/>
        <v>0.45716005408051891</v>
      </c>
      <c r="L1515" s="47">
        <f t="shared" si="186"/>
        <v>0.36410922108780897</v>
      </c>
      <c r="M1515" s="84">
        <f t="shared" si="187"/>
        <v>0.82126927516832793</v>
      </c>
      <c r="N1515" s="47">
        <f t="shared" si="188"/>
        <v>5.0033463443994772E-2</v>
      </c>
      <c r="O1515" s="47">
        <f t="shared" si="189"/>
        <v>1.2412916440208237E-2</v>
      </c>
      <c r="P1515" s="47">
        <f t="shared" si="190"/>
        <v>6.2879832548027911E-2</v>
      </c>
      <c r="Q1515" s="47">
        <f t="shared" si="191"/>
        <v>1</v>
      </c>
    </row>
    <row r="1516" spans="1:17" x14ac:dyDescent="0.35">
      <c r="A1516" s="82">
        <v>1513</v>
      </c>
      <c r="B1516" s="83" t="str">
        <f>_xlfn.XLOOKUP(A1516,'TAZs by City - CCAG Model'!$A:$A,'TAZs by City - CCAG Model'!$B:$B,"Unknown")</f>
        <v>Pacifica</v>
      </c>
      <c r="C1516" s="82">
        <f>_xlfn.XLOOKUP(A1516,'TAZs by City - CCAG Model'!$A:$A,'TAZs by City - CCAG Model'!$C:$C,999)</f>
        <v>2</v>
      </c>
      <c r="D1516" s="82" t="str">
        <f t="shared" si="184"/>
        <v>YES</v>
      </c>
      <c r="E1516" s="27">
        <v>2081.98</v>
      </c>
      <c r="F1516" s="27">
        <v>1495.58</v>
      </c>
      <c r="G1516" s="27">
        <v>231.34</v>
      </c>
      <c r="H1516" s="27">
        <v>50.04</v>
      </c>
      <c r="I1516" s="27">
        <v>152.08000000000001</v>
      </c>
      <c r="J1516" s="27">
        <v>4267.92</v>
      </c>
      <c r="K1516" s="47">
        <f t="shared" si="185"/>
        <v>0.48782076515023709</v>
      </c>
      <c r="L1516" s="47">
        <f t="shared" si="186"/>
        <v>0.35042362555999174</v>
      </c>
      <c r="M1516" s="84">
        <f t="shared" si="187"/>
        <v>0.83824439071022883</v>
      </c>
      <c r="N1516" s="47">
        <f t="shared" si="188"/>
        <v>5.4204389960449115E-2</v>
      </c>
      <c r="O1516" s="47">
        <f t="shared" si="189"/>
        <v>1.172468087499297E-2</v>
      </c>
      <c r="P1516" s="47">
        <f t="shared" si="190"/>
        <v>3.5633282723200065E-2</v>
      </c>
      <c r="Q1516" s="47">
        <f t="shared" si="191"/>
        <v>1</v>
      </c>
    </row>
    <row r="1517" spans="1:17" x14ac:dyDescent="0.35">
      <c r="A1517" s="82">
        <v>1514</v>
      </c>
      <c r="B1517" s="83" t="str">
        <f>_xlfn.XLOOKUP(A1517,'TAZs by City - CCAG Model'!$A:$A,'TAZs by City - CCAG Model'!$B:$B,"Unknown")</f>
        <v>Pacifica</v>
      </c>
      <c r="C1517" s="82">
        <f>_xlfn.XLOOKUP(A1517,'TAZs by City - CCAG Model'!$A:$A,'TAZs by City - CCAG Model'!$C:$C,999)</f>
        <v>2</v>
      </c>
      <c r="D1517" s="82" t="str">
        <f t="shared" si="184"/>
        <v>YES</v>
      </c>
      <c r="E1517" s="27">
        <v>66.400000000000006</v>
      </c>
      <c r="F1517" s="27">
        <v>55.9</v>
      </c>
      <c r="G1517" s="27">
        <v>3.4</v>
      </c>
      <c r="H1517" s="27">
        <v>0.98</v>
      </c>
      <c r="I1517" s="27">
        <v>7.34</v>
      </c>
      <c r="J1517" s="27">
        <v>146.96</v>
      </c>
      <c r="K1517" s="47">
        <f t="shared" si="185"/>
        <v>0.4518236254763201</v>
      </c>
      <c r="L1517" s="47">
        <f t="shared" si="186"/>
        <v>0.3803756124115405</v>
      </c>
      <c r="M1517" s="84">
        <f t="shared" si="187"/>
        <v>0.83219923788786065</v>
      </c>
      <c r="N1517" s="47">
        <f t="shared" si="188"/>
        <v>2.3135547087642896E-2</v>
      </c>
      <c r="O1517" s="47">
        <f t="shared" si="189"/>
        <v>6.6684812193794222E-3</v>
      </c>
      <c r="P1517" s="47">
        <f t="shared" si="190"/>
        <v>4.9945563418617306E-2</v>
      </c>
      <c r="Q1517" s="47">
        <f t="shared" si="191"/>
        <v>1</v>
      </c>
    </row>
    <row r="1518" spans="1:17" x14ac:dyDescent="0.35">
      <c r="A1518" s="82">
        <v>1515</v>
      </c>
      <c r="B1518" s="83" t="str">
        <f>_xlfn.XLOOKUP(A1518,'TAZs by City - CCAG Model'!$A:$A,'TAZs by City - CCAG Model'!$B:$B,"Unknown")</f>
        <v>Pacifica</v>
      </c>
      <c r="C1518" s="82">
        <f>_xlfn.XLOOKUP(A1518,'TAZs by City - CCAG Model'!$A:$A,'TAZs by City - CCAG Model'!$C:$C,999)</f>
        <v>2</v>
      </c>
      <c r="D1518" s="82" t="str">
        <f t="shared" si="184"/>
        <v>YES</v>
      </c>
      <c r="E1518" s="27">
        <v>5958.54</v>
      </c>
      <c r="F1518" s="27">
        <v>3209.2</v>
      </c>
      <c r="G1518" s="27">
        <v>394.74</v>
      </c>
      <c r="H1518" s="27">
        <v>135.08000000000001</v>
      </c>
      <c r="I1518" s="27">
        <v>1620.4</v>
      </c>
      <c r="J1518" s="27">
        <v>11750.06</v>
      </c>
      <c r="K1518" s="47">
        <f t="shared" si="185"/>
        <v>0.50710719775047963</v>
      </c>
      <c r="L1518" s="47">
        <f t="shared" si="186"/>
        <v>0.27312200958973826</v>
      </c>
      <c r="M1518" s="84">
        <f t="shared" si="187"/>
        <v>0.78022920734021783</v>
      </c>
      <c r="N1518" s="47">
        <f t="shared" si="188"/>
        <v>3.3594722069504326E-2</v>
      </c>
      <c r="O1518" s="47">
        <f t="shared" si="189"/>
        <v>1.1496111509217827E-2</v>
      </c>
      <c r="P1518" s="47">
        <f t="shared" si="190"/>
        <v>0.13790567877951262</v>
      </c>
      <c r="Q1518" s="47">
        <f t="shared" si="191"/>
        <v>1</v>
      </c>
    </row>
    <row r="1519" spans="1:17" x14ac:dyDescent="0.35">
      <c r="A1519" s="82">
        <v>1516</v>
      </c>
      <c r="B1519" s="83" t="str">
        <f>_xlfn.XLOOKUP(A1519,'TAZs by City - CCAG Model'!$A:$A,'TAZs by City - CCAG Model'!$B:$B,"Unknown")</f>
        <v>Pacifica</v>
      </c>
      <c r="C1519" s="82">
        <f>_xlfn.XLOOKUP(A1519,'TAZs by City - CCAG Model'!$A:$A,'TAZs by City - CCAG Model'!$C:$C,999)</f>
        <v>2</v>
      </c>
      <c r="D1519" s="82" t="str">
        <f t="shared" si="184"/>
        <v>YES</v>
      </c>
      <c r="E1519" s="27">
        <v>1989.18</v>
      </c>
      <c r="F1519" s="27">
        <v>939.6</v>
      </c>
      <c r="G1519" s="27">
        <v>52.92</v>
      </c>
      <c r="H1519" s="27">
        <v>26.64</v>
      </c>
      <c r="I1519" s="27">
        <v>152.96</v>
      </c>
      <c r="J1519" s="27">
        <v>3243.76</v>
      </c>
      <c r="K1519" s="47">
        <f t="shared" si="185"/>
        <v>0.61323279157520905</v>
      </c>
      <c r="L1519" s="47">
        <f t="shared" si="186"/>
        <v>0.28966384689372826</v>
      </c>
      <c r="M1519" s="84">
        <f t="shared" si="187"/>
        <v>0.90289663846893731</v>
      </c>
      <c r="N1519" s="47">
        <f t="shared" si="188"/>
        <v>1.6314400572175501E-2</v>
      </c>
      <c r="O1519" s="47">
        <f t="shared" si="189"/>
        <v>8.2126914444965102E-3</v>
      </c>
      <c r="P1519" s="47">
        <f t="shared" si="190"/>
        <v>4.7155153278910893E-2</v>
      </c>
      <c r="Q1519" s="47">
        <f t="shared" si="191"/>
        <v>1</v>
      </c>
    </row>
    <row r="1520" spans="1:17" x14ac:dyDescent="0.35">
      <c r="A1520" s="82">
        <v>1517</v>
      </c>
      <c r="B1520" s="83" t="str">
        <f>_xlfn.XLOOKUP(A1520,'TAZs by City - CCAG Model'!$A:$A,'TAZs by City - CCAG Model'!$B:$B,"Unknown")</f>
        <v>Pacifica</v>
      </c>
      <c r="C1520" s="82">
        <f>_xlfn.XLOOKUP(A1520,'TAZs by City - CCAG Model'!$A:$A,'TAZs by City - CCAG Model'!$C:$C,999)</f>
        <v>2</v>
      </c>
      <c r="D1520" s="82" t="str">
        <f t="shared" si="184"/>
        <v>YES</v>
      </c>
      <c r="E1520" s="27">
        <v>1972.36</v>
      </c>
      <c r="F1520" s="27">
        <v>1112.78</v>
      </c>
      <c r="G1520" s="27">
        <v>49.74</v>
      </c>
      <c r="H1520" s="27">
        <v>34.1</v>
      </c>
      <c r="I1520" s="27">
        <v>880.92</v>
      </c>
      <c r="J1520" s="27">
        <v>4128.3999999999996</v>
      </c>
      <c r="K1520" s="47">
        <f t="shared" si="185"/>
        <v>0.47775409359558185</v>
      </c>
      <c r="L1520" s="47">
        <f t="shared" si="186"/>
        <v>0.26954267997287085</v>
      </c>
      <c r="M1520" s="84">
        <f t="shared" si="187"/>
        <v>0.7472967735684527</v>
      </c>
      <c r="N1520" s="47">
        <f t="shared" si="188"/>
        <v>1.2048251138455578E-2</v>
      </c>
      <c r="O1520" s="47">
        <f t="shared" si="189"/>
        <v>8.2598585408390664E-3</v>
      </c>
      <c r="P1520" s="47">
        <f t="shared" si="190"/>
        <v>0.21338048638697801</v>
      </c>
      <c r="Q1520" s="47">
        <f t="shared" si="191"/>
        <v>1</v>
      </c>
    </row>
    <row r="1521" spans="1:17" x14ac:dyDescent="0.35">
      <c r="A1521" s="82">
        <v>1518</v>
      </c>
      <c r="B1521" s="83" t="str">
        <f>_xlfn.XLOOKUP(A1521,'TAZs by City - CCAG Model'!$A:$A,'TAZs by City - CCAG Model'!$B:$B,"Unknown")</f>
        <v>Pacifica</v>
      </c>
      <c r="C1521" s="82">
        <f>_xlfn.XLOOKUP(A1521,'TAZs by City - CCAG Model'!$A:$A,'TAZs by City - CCAG Model'!$C:$C,999)</f>
        <v>2</v>
      </c>
      <c r="D1521" s="82" t="str">
        <f t="shared" si="184"/>
        <v>YES</v>
      </c>
      <c r="E1521" s="27">
        <v>4611.3</v>
      </c>
      <c r="F1521" s="27">
        <v>2758</v>
      </c>
      <c r="G1521" s="27">
        <v>159.41999999999999</v>
      </c>
      <c r="H1521" s="27">
        <v>86.78</v>
      </c>
      <c r="I1521" s="27">
        <v>1135.68</v>
      </c>
      <c r="J1521" s="27">
        <v>8947.3799999999992</v>
      </c>
      <c r="K1521" s="47">
        <f t="shared" si="185"/>
        <v>0.51537992127304311</v>
      </c>
      <c r="L1521" s="47">
        <f t="shared" si="186"/>
        <v>0.30824665991608718</v>
      </c>
      <c r="M1521" s="84">
        <f t="shared" si="187"/>
        <v>0.82362658118913035</v>
      </c>
      <c r="N1521" s="47">
        <f t="shared" si="188"/>
        <v>1.7817506353815307E-2</v>
      </c>
      <c r="O1521" s="47">
        <f t="shared" si="189"/>
        <v>9.6989286249158976E-3</v>
      </c>
      <c r="P1521" s="47">
        <f t="shared" si="190"/>
        <v>0.12692877691570048</v>
      </c>
      <c r="Q1521" s="47">
        <f t="shared" si="191"/>
        <v>1</v>
      </c>
    </row>
    <row r="1522" spans="1:17" x14ac:dyDescent="0.35">
      <c r="A1522" s="82">
        <v>1519</v>
      </c>
      <c r="B1522" s="83" t="str">
        <f>_xlfn.XLOOKUP(A1522,'TAZs by City - CCAG Model'!$A:$A,'TAZs by City - CCAG Model'!$B:$B,"Unknown")</f>
        <v>San Bruno</v>
      </c>
      <c r="C1522" s="82">
        <f>_xlfn.XLOOKUP(A1522,'TAZs by City - CCAG Model'!$A:$A,'TAZs by City - CCAG Model'!$C:$C,999)</f>
        <v>2</v>
      </c>
      <c r="D1522" s="82" t="str">
        <f t="shared" si="184"/>
        <v>YES</v>
      </c>
      <c r="E1522" s="27">
        <v>7584.94</v>
      </c>
      <c r="F1522" s="27">
        <v>4706.9399999999996</v>
      </c>
      <c r="G1522" s="27">
        <v>369.36</v>
      </c>
      <c r="H1522" s="27">
        <v>170</v>
      </c>
      <c r="I1522" s="27">
        <v>1442.26</v>
      </c>
      <c r="J1522" s="27">
        <v>14679.66</v>
      </c>
      <c r="K1522" s="47">
        <f t="shared" si="185"/>
        <v>0.51669725320613691</v>
      </c>
      <c r="L1522" s="47">
        <f t="shared" si="186"/>
        <v>0.32064366613395678</v>
      </c>
      <c r="M1522" s="84">
        <f t="shared" si="187"/>
        <v>0.83734091934009369</v>
      </c>
      <c r="N1522" s="47">
        <f t="shared" si="188"/>
        <v>2.5161345698742343E-2</v>
      </c>
      <c r="O1522" s="47">
        <f t="shared" si="189"/>
        <v>1.1580649688071794E-2</v>
      </c>
      <c r="P1522" s="47">
        <f t="shared" si="190"/>
        <v>9.824886952422604E-2</v>
      </c>
      <c r="Q1522" s="47">
        <f t="shared" si="191"/>
        <v>1</v>
      </c>
    </row>
    <row r="1523" spans="1:17" x14ac:dyDescent="0.35">
      <c r="A1523" s="82">
        <v>1520</v>
      </c>
      <c r="B1523" s="83" t="str">
        <f>_xlfn.XLOOKUP(A1523,'TAZs by City - CCAG Model'!$A:$A,'TAZs by City - CCAG Model'!$B:$B,"Unknown")</f>
        <v>San Bruno</v>
      </c>
      <c r="C1523" s="82">
        <f>_xlfn.XLOOKUP(A1523,'TAZs by City - CCAG Model'!$A:$A,'TAZs by City - CCAG Model'!$C:$C,999)</f>
        <v>2</v>
      </c>
      <c r="D1523" s="82" t="str">
        <f t="shared" si="184"/>
        <v>YES</v>
      </c>
      <c r="E1523" s="27">
        <v>4542.62</v>
      </c>
      <c r="F1523" s="27">
        <v>3308.38</v>
      </c>
      <c r="G1523" s="27">
        <v>320.16000000000003</v>
      </c>
      <c r="H1523" s="27">
        <v>109.04</v>
      </c>
      <c r="I1523" s="27">
        <v>1313.22</v>
      </c>
      <c r="J1523" s="27">
        <v>9945.64</v>
      </c>
      <c r="K1523" s="47">
        <f t="shared" si="185"/>
        <v>0.45674486508661083</v>
      </c>
      <c r="L1523" s="47">
        <f t="shared" si="186"/>
        <v>0.33264626509706768</v>
      </c>
      <c r="M1523" s="84">
        <f t="shared" si="187"/>
        <v>0.78939113018367857</v>
      </c>
      <c r="N1523" s="47">
        <f t="shared" si="188"/>
        <v>3.2190990222851427E-2</v>
      </c>
      <c r="O1523" s="47">
        <f t="shared" si="189"/>
        <v>1.0963598119376933E-2</v>
      </c>
      <c r="P1523" s="47">
        <f t="shared" si="190"/>
        <v>0.13203976817982555</v>
      </c>
      <c r="Q1523" s="47">
        <f t="shared" si="191"/>
        <v>1</v>
      </c>
    </row>
    <row r="1524" spans="1:17" x14ac:dyDescent="0.35">
      <c r="A1524" s="82">
        <v>1521</v>
      </c>
      <c r="B1524" s="83" t="str">
        <f>_xlfn.XLOOKUP(A1524,'TAZs by City - CCAG Model'!$A:$A,'TAZs by City - CCAG Model'!$B:$B,"Unknown")</f>
        <v>San Bruno</v>
      </c>
      <c r="C1524" s="82">
        <f>_xlfn.XLOOKUP(A1524,'TAZs by City - CCAG Model'!$A:$A,'TAZs by City - CCAG Model'!$C:$C,999)</f>
        <v>2</v>
      </c>
      <c r="D1524" s="82" t="str">
        <f t="shared" si="184"/>
        <v>YES</v>
      </c>
      <c r="E1524" s="27">
        <v>4566.8999999999996</v>
      </c>
      <c r="F1524" s="27">
        <v>2902.12</v>
      </c>
      <c r="G1524" s="27">
        <v>257.2</v>
      </c>
      <c r="H1524" s="27">
        <v>107.06</v>
      </c>
      <c r="I1524" s="27">
        <v>1502.78</v>
      </c>
      <c r="J1524" s="27">
        <v>9629.56</v>
      </c>
      <c r="K1524" s="47">
        <f t="shared" si="185"/>
        <v>0.47425842925325767</v>
      </c>
      <c r="L1524" s="47">
        <f t="shared" si="186"/>
        <v>0.30137617918160331</v>
      </c>
      <c r="M1524" s="84">
        <f t="shared" si="187"/>
        <v>0.77563460843486098</v>
      </c>
      <c r="N1524" s="47">
        <f t="shared" si="188"/>
        <v>2.6709423898911268E-2</v>
      </c>
      <c r="O1524" s="47">
        <f t="shared" si="189"/>
        <v>1.1117849621374186E-2</v>
      </c>
      <c r="P1524" s="47">
        <f t="shared" si="190"/>
        <v>0.15605905150391089</v>
      </c>
      <c r="Q1524" s="47">
        <f t="shared" si="191"/>
        <v>1</v>
      </c>
    </row>
    <row r="1525" spans="1:17" x14ac:dyDescent="0.35">
      <c r="A1525" s="82">
        <v>1522</v>
      </c>
      <c r="B1525" s="83" t="str">
        <f>_xlfn.XLOOKUP(A1525,'TAZs by City - CCAG Model'!$A:$A,'TAZs by City - CCAG Model'!$B:$B,"Unknown")</f>
        <v>San Bruno</v>
      </c>
      <c r="C1525" s="82">
        <f>_xlfn.XLOOKUP(A1525,'TAZs by City - CCAG Model'!$A:$A,'TAZs by City - CCAG Model'!$C:$C,999)</f>
        <v>2</v>
      </c>
      <c r="D1525" s="82" t="str">
        <f t="shared" si="184"/>
        <v>YES</v>
      </c>
      <c r="E1525" s="27">
        <v>3782.92</v>
      </c>
      <c r="F1525" s="27">
        <v>2204.16</v>
      </c>
      <c r="G1525" s="27">
        <v>300.54000000000002</v>
      </c>
      <c r="H1525" s="27">
        <v>97.16</v>
      </c>
      <c r="I1525" s="27">
        <v>358.28</v>
      </c>
      <c r="J1525" s="27">
        <v>7072.44</v>
      </c>
      <c r="K1525" s="47">
        <f t="shared" si="185"/>
        <v>0.53488187952107058</v>
      </c>
      <c r="L1525" s="47">
        <f t="shared" si="186"/>
        <v>0.31165481785635507</v>
      </c>
      <c r="M1525" s="84">
        <f t="shared" si="187"/>
        <v>0.84653669737742565</v>
      </c>
      <c r="N1525" s="47">
        <f t="shared" si="188"/>
        <v>4.2494528055381176E-2</v>
      </c>
      <c r="O1525" s="47">
        <f t="shared" si="189"/>
        <v>1.3737833053373377E-2</v>
      </c>
      <c r="P1525" s="47">
        <f t="shared" si="190"/>
        <v>5.0658612869108818E-2</v>
      </c>
      <c r="Q1525" s="47">
        <f t="shared" si="191"/>
        <v>1</v>
      </c>
    </row>
    <row r="1526" spans="1:17" x14ac:dyDescent="0.35">
      <c r="A1526" s="82">
        <v>1523</v>
      </c>
      <c r="B1526" s="83" t="str">
        <f>_xlfn.XLOOKUP(A1526,'TAZs by City - CCAG Model'!$A:$A,'TAZs by City - CCAG Model'!$B:$B,"Unknown")</f>
        <v>San Bruno</v>
      </c>
      <c r="C1526" s="82">
        <f>_xlfn.XLOOKUP(A1526,'TAZs by City - CCAG Model'!$A:$A,'TAZs by City - CCAG Model'!$C:$C,999)</f>
        <v>2</v>
      </c>
      <c r="D1526" s="82" t="str">
        <f t="shared" si="184"/>
        <v>YES</v>
      </c>
      <c r="E1526" s="27">
        <v>5608.52</v>
      </c>
      <c r="F1526" s="27">
        <v>3278.92</v>
      </c>
      <c r="G1526" s="27">
        <v>176.64</v>
      </c>
      <c r="H1526" s="27">
        <v>124.74</v>
      </c>
      <c r="I1526" s="27">
        <v>2319.84</v>
      </c>
      <c r="J1526" s="27">
        <v>11723.76</v>
      </c>
      <c r="K1526" s="47">
        <f t="shared" si="185"/>
        <v>0.47838918572198685</v>
      </c>
      <c r="L1526" s="47">
        <f t="shared" si="186"/>
        <v>0.27968160385405366</v>
      </c>
      <c r="M1526" s="84">
        <f t="shared" si="187"/>
        <v>0.75807078957604046</v>
      </c>
      <c r="N1526" s="47">
        <f t="shared" si="188"/>
        <v>1.5066838625150973E-2</v>
      </c>
      <c r="O1526" s="47">
        <f t="shared" si="189"/>
        <v>1.0639931216606276E-2</v>
      </c>
      <c r="P1526" s="47">
        <f t="shared" si="190"/>
        <v>0.19787508444389856</v>
      </c>
      <c r="Q1526" s="47">
        <f t="shared" si="191"/>
        <v>1</v>
      </c>
    </row>
    <row r="1527" spans="1:17" x14ac:dyDescent="0.35">
      <c r="A1527" s="82">
        <v>1524</v>
      </c>
      <c r="B1527" s="83" t="str">
        <f>_xlfn.XLOOKUP(A1527,'TAZs by City - CCAG Model'!$A:$A,'TAZs by City - CCAG Model'!$B:$B,"Unknown")</f>
        <v>San Bruno</v>
      </c>
      <c r="C1527" s="82">
        <f>_xlfn.XLOOKUP(A1527,'TAZs by City - CCAG Model'!$A:$A,'TAZs by City - CCAG Model'!$C:$C,999)</f>
        <v>2</v>
      </c>
      <c r="D1527" s="82" t="str">
        <f t="shared" si="184"/>
        <v>YES</v>
      </c>
      <c r="E1527" s="27">
        <v>3575.88</v>
      </c>
      <c r="F1527" s="27">
        <v>2590.52</v>
      </c>
      <c r="G1527" s="27">
        <v>387.34</v>
      </c>
      <c r="H1527" s="27">
        <v>113.38</v>
      </c>
      <c r="I1527" s="27">
        <v>570.20000000000005</v>
      </c>
      <c r="J1527" s="27">
        <v>7658.82</v>
      </c>
      <c r="K1527" s="47">
        <f t="shared" si="185"/>
        <v>0.46689698935345136</v>
      </c>
      <c r="L1527" s="47">
        <f t="shared" si="186"/>
        <v>0.33824009442707886</v>
      </c>
      <c r="M1527" s="84">
        <f t="shared" si="187"/>
        <v>0.80513708378053017</v>
      </c>
      <c r="N1527" s="47">
        <f t="shared" si="188"/>
        <v>5.0574370464379632E-2</v>
      </c>
      <c r="O1527" s="47">
        <f t="shared" si="189"/>
        <v>1.480384706782507E-2</v>
      </c>
      <c r="P1527" s="47">
        <f t="shared" si="190"/>
        <v>7.4450111113722489E-2</v>
      </c>
      <c r="Q1527" s="47">
        <f t="shared" si="191"/>
        <v>1</v>
      </c>
    </row>
    <row r="1528" spans="1:17" x14ac:dyDescent="0.35">
      <c r="A1528" s="82">
        <v>1525</v>
      </c>
      <c r="B1528" s="83" t="str">
        <f>_xlfn.XLOOKUP(A1528,'TAZs by City - CCAG Model'!$A:$A,'TAZs by City - CCAG Model'!$B:$B,"Unknown")</f>
        <v>San Bruno</v>
      </c>
      <c r="C1528" s="82">
        <f>_xlfn.XLOOKUP(A1528,'TAZs by City - CCAG Model'!$A:$A,'TAZs by City - CCAG Model'!$C:$C,999)</f>
        <v>2</v>
      </c>
      <c r="D1528" s="82" t="str">
        <f t="shared" si="184"/>
        <v>YES</v>
      </c>
      <c r="E1528" s="27">
        <v>2991.66</v>
      </c>
      <c r="F1528" s="27">
        <v>2161.14</v>
      </c>
      <c r="G1528" s="27">
        <v>221.3</v>
      </c>
      <c r="H1528" s="27">
        <v>93.62</v>
      </c>
      <c r="I1528" s="27">
        <v>394.8</v>
      </c>
      <c r="J1528" s="27">
        <v>6122.78</v>
      </c>
      <c r="K1528" s="47">
        <f t="shared" si="185"/>
        <v>0.48861138241125762</v>
      </c>
      <c r="L1528" s="47">
        <f t="shared" si="186"/>
        <v>0.35296711624458171</v>
      </c>
      <c r="M1528" s="84">
        <f t="shared" si="187"/>
        <v>0.84157849865583922</v>
      </c>
      <c r="N1528" s="47">
        <f t="shared" si="188"/>
        <v>3.6143712496611018E-2</v>
      </c>
      <c r="O1528" s="47">
        <f t="shared" si="189"/>
        <v>1.5290439963545972E-2</v>
      </c>
      <c r="P1528" s="47">
        <f t="shared" si="190"/>
        <v>6.4480513753556401E-2</v>
      </c>
      <c r="Q1528" s="47">
        <f t="shared" si="191"/>
        <v>1</v>
      </c>
    </row>
    <row r="1529" spans="1:17" x14ac:dyDescent="0.35">
      <c r="A1529" s="82">
        <v>1526</v>
      </c>
      <c r="B1529" s="83" t="str">
        <f>_xlfn.XLOOKUP(A1529,'TAZs by City - CCAG Model'!$A:$A,'TAZs by City - CCAG Model'!$B:$B,"Unknown")</f>
        <v>Unincorporated</v>
      </c>
      <c r="C1529" s="82">
        <f>_xlfn.XLOOKUP(A1529,'TAZs by City - CCAG Model'!$A:$A,'TAZs by City - CCAG Model'!$C:$C,999)</f>
        <v>2</v>
      </c>
      <c r="D1529" s="82" t="str">
        <f t="shared" si="184"/>
        <v>YES</v>
      </c>
      <c r="E1529" s="27">
        <v>21767.62</v>
      </c>
      <c r="F1529" s="27">
        <v>9036.3799999999992</v>
      </c>
      <c r="G1529" s="27">
        <v>559.28</v>
      </c>
      <c r="H1529" s="27">
        <v>295.76</v>
      </c>
      <c r="I1529" s="27">
        <v>1311.08</v>
      </c>
      <c r="J1529" s="27">
        <v>33553.839999999997</v>
      </c>
      <c r="K1529" s="47">
        <f t="shared" si="185"/>
        <v>0.64873707450473628</v>
      </c>
      <c r="L1529" s="47">
        <f t="shared" si="186"/>
        <v>0.26930986140483476</v>
      </c>
      <c r="M1529" s="84">
        <f t="shared" si="187"/>
        <v>0.91804693590957109</v>
      </c>
      <c r="N1529" s="47">
        <f t="shared" si="188"/>
        <v>1.6668136940511131E-2</v>
      </c>
      <c r="O1529" s="47">
        <f t="shared" si="189"/>
        <v>8.8144903832169438E-3</v>
      </c>
      <c r="P1529" s="47">
        <f t="shared" si="190"/>
        <v>3.9073918216216086E-2</v>
      </c>
      <c r="Q1529" s="47">
        <f t="shared" si="191"/>
        <v>1</v>
      </c>
    </row>
    <row r="1530" spans="1:17" x14ac:dyDescent="0.35">
      <c r="A1530" s="82">
        <v>1527</v>
      </c>
      <c r="B1530" s="83" t="str">
        <f>_xlfn.XLOOKUP(A1530,'TAZs by City - CCAG Model'!$A:$A,'TAZs by City - CCAG Model'!$B:$B,"Unknown")</f>
        <v>Millbrae</v>
      </c>
      <c r="C1530" s="82">
        <f>_xlfn.XLOOKUP(A1530,'TAZs by City - CCAG Model'!$A:$A,'TAZs by City - CCAG Model'!$C:$C,999)</f>
        <v>2</v>
      </c>
      <c r="D1530" s="82" t="str">
        <f t="shared" si="184"/>
        <v>YES</v>
      </c>
      <c r="E1530" s="27">
        <v>1047.74</v>
      </c>
      <c r="F1530" s="27">
        <v>330.28</v>
      </c>
      <c r="G1530" s="27">
        <v>12.66</v>
      </c>
      <c r="H1530" s="27">
        <v>12.56</v>
      </c>
      <c r="I1530" s="27">
        <v>40.46</v>
      </c>
      <c r="J1530" s="27">
        <v>1492.6</v>
      </c>
      <c r="K1530" s="47">
        <f t="shared" si="185"/>
        <v>0.70195631783465096</v>
      </c>
      <c r="L1530" s="47">
        <f t="shared" si="186"/>
        <v>0.22127830631113493</v>
      </c>
      <c r="M1530" s="84">
        <f t="shared" si="187"/>
        <v>0.92323462414578594</v>
      </c>
      <c r="N1530" s="47">
        <f t="shared" si="188"/>
        <v>8.481843762561973E-3</v>
      </c>
      <c r="O1530" s="47">
        <f t="shared" si="189"/>
        <v>8.4148465764437904E-3</v>
      </c>
      <c r="P1530" s="47">
        <f t="shared" si="190"/>
        <v>2.7107061503416859E-2</v>
      </c>
      <c r="Q1530" s="47">
        <f t="shared" si="191"/>
        <v>1</v>
      </c>
    </row>
    <row r="1531" spans="1:17" x14ac:dyDescent="0.35">
      <c r="A1531" s="82">
        <v>1528</v>
      </c>
      <c r="B1531" s="83" t="str">
        <f>_xlfn.XLOOKUP(A1531,'TAZs by City - CCAG Model'!$A:$A,'TAZs by City - CCAG Model'!$B:$B,"Unknown")</f>
        <v>Millbrae</v>
      </c>
      <c r="C1531" s="82">
        <f>_xlfn.XLOOKUP(A1531,'TAZs by City - CCAG Model'!$A:$A,'TAZs by City - CCAG Model'!$C:$C,999)</f>
        <v>2</v>
      </c>
      <c r="D1531" s="82" t="str">
        <f t="shared" si="184"/>
        <v>YES</v>
      </c>
      <c r="E1531" s="27">
        <v>2990.7</v>
      </c>
      <c r="F1531" s="27">
        <v>1984.48</v>
      </c>
      <c r="G1531" s="27">
        <v>161.74</v>
      </c>
      <c r="H1531" s="27">
        <v>78.66</v>
      </c>
      <c r="I1531" s="27">
        <v>1542.92</v>
      </c>
      <c r="J1531" s="27">
        <v>6962.08</v>
      </c>
      <c r="K1531" s="47">
        <f t="shared" si="185"/>
        <v>0.42956989865097783</v>
      </c>
      <c r="L1531" s="47">
        <f t="shared" si="186"/>
        <v>0.28504125203962033</v>
      </c>
      <c r="M1531" s="84">
        <f t="shared" si="187"/>
        <v>0.71461115069059822</v>
      </c>
      <c r="N1531" s="47">
        <f t="shared" si="188"/>
        <v>2.3231562981178039E-2</v>
      </c>
      <c r="O1531" s="47">
        <f t="shared" si="189"/>
        <v>1.1298347620251418E-2</v>
      </c>
      <c r="P1531" s="47">
        <f t="shared" si="190"/>
        <v>0.22161767747569694</v>
      </c>
      <c r="Q1531" s="47">
        <f t="shared" si="191"/>
        <v>1</v>
      </c>
    </row>
    <row r="1532" spans="1:17" x14ac:dyDescent="0.35">
      <c r="A1532" s="82">
        <v>1529</v>
      </c>
      <c r="B1532" s="83" t="str">
        <f>_xlfn.XLOOKUP(A1532,'TAZs by City - CCAG Model'!$A:$A,'TAZs by City - CCAG Model'!$B:$B,"Unknown")</f>
        <v>Burlingame</v>
      </c>
      <c r="C1532" s="82">
        <f>_xlfn.XLOOKUP(A1532,'TAZs by City - CCAG Model'!$A:$A,'TAZs by City - CCAG Model'!$C:$C,999)</f>
        <v>2</v>
      </c>
      <c r="D1532" s="82" t="str">
        <f t="shared" si="184"/>
        <v>YES</v>
      </c>
      <c r="E1532" s="27">
        <v>15264.34</v>
      </c>
      <c r="F1532" s="27">
        <v>5722.18</v>
      </c>
      <c r="G1532" s="27">
        <v>1040.08</v>
      </c>
      <c r="H1532" s="27">
        <v>248.38</v>
      </c>
      <c r="I1532" s="27">
        <v>3689</v>
      </c>
      <c r="J1532" s="27">
        <v>27044.36</v>
      </c>
      <c r="K1532" s="47">
        <f t="shared" si="185"/>
        <v>0.564418607058921</v>
      </c>
      <c r="L1532" s="47">
        <f t="shared" si="186"/>
        <v>0.21158496632939364</v>
      </c>
      <c r="M1532" s="84">
        <f t="shared" si="187"/>
        <v>0.7760035733883146</v>
      </c>
      <c r="N1532" s="47">
        <f t="shared" si="188"/>
        <v>3.8458295925656957E-2</v>
      </c>
      <c r="O1532" s="47">
        <f t="shared" si="189"/>
        <v>9.1841700080904105E-3</v>
      </c>
      <c r="P1532" s="47">
        <f t="shared" si="190"/>
        <v>0.13640552041164961</v>
      </c>
      <c r="Q1532" s="47">
        <f t="shared" si="191"/>
        <v>1</v>
      </c>
    </row>
    <row r="1533" spans="1:17" x14ac:dyDescent="0.35">
      <c r="A1533" s="82">
        <v>1530</v>
      </c>
      <c r="B1533" s="83" t="str">
        <f>_xlfn.XLOOKUP(A1533,'TAZs by City - CCAG Model'!$A:$A,'TAZs by City - CCAG Model'!$B:$B,"Unknown")</f>
        <v>Burlingame</v>
      </c>
      <c r="C1533" s="82">
        <f>_xlfn.XLOOKUP(A1533,'TAZs by City - CCAG Model'!$A:$A,'TAZs by City - CCAG Model'!$C:$C,999)</f>
        <v>2</v>
      </c>
      <c r="D1533" s="82" t="str">
        <f t="shared" si="184"/>
        <v>YES</v>
      </c>
      <c r="E1533" s="27">
        <v>1440.04</v>
      </c>
      <c r="F1533" s="27">
        <v>980.34</v>
      </c>
      <c r="G1533" s="27">
        <v>119.38</v>
      </c>
      <c r="H1533" s="27">
        <v>35.4</v>
      </c>
      <c r="I1533" s="27">
        <v>146.44</v>
      </c>
      <c r="J1533" s="27">
        <v>2876.34</v>
      </c>
      <c r="K1533" s="47">
        <f t="shared" si="185"/>
        <v>0.5006501317646731</v>
      </c>
      <c r="L1533" s="47">
        <f t="shared" si="186"/>
        <v>0.34082897014956509</v>
      </c>
      <c r="M1533" s="84">
        <f t="shared" si="187"/>
        <v>0.84147910191423825</v>
      </c>
      <c r="N1533" s="47">
        <f t="shared" si="188"/>
        <v>4.1504133725498375E-2</v>
      </c>
      <c r="O1533" s="47">
        <f t="shared" si="189"/>
        <v>1.2307307202903689E-2</v>
      </c>
      <c r="P1533" s="47">
        <f t="shared" si="190"/>
        <v>5.0911922790768824E-2</v>
      </c>
      <c r="Q1533" s="47">
        <f t="shared" si="191"/>
        <v>1</v>
      </c>
    </row>
    <row r="1534" spans="1:17" x14ac:dyDescent="0.35">
      <c r="A1534" s="82">
        <v>1531</v>
      </c>
      <c r="B1534" s="83" t="str">
        <f>_xlfn.XLOOKUP(A1534,'TAZs by City - CCAG Model'!$A:$A,'TAZs by City - CCAG Model'!$B:$B,"Unknown")</f>
        <v>Burlingame</v>
      </c>
      <c r="C1534" s="82">
        <f>_xlfn.XLOOKUP(A1534,'TAZs by City - CCAG Model'!$A:$A,'TAZs by City - CCAG Model'!$C:$C,999)</f>
        <v>2</v>
      </c>
      <c r="D1534" s="82" t="str">
        <f t="shared" si="184"/>
        <v>YES</v>
      </c>
      <c r="E1534" s="27">
        <v>3910.14</v>
      </c>
      <c r="F1534" s="27">
        <v>2416.1799999999998</v>
      </c>
      <c r="G1534" s="27">
        <v>209.1</v>
      </c>
      <c r="H1534" s="27">
        <v>89.02</v>
      </c>
      <c r="I1534" s="27">
        <v>614.14</v>
      </c>
      <c r="J1534" s="27">
        <v>7489.36</v>
      </c>
      <c r="K1534" s="47">
        <f t="shared" si="185"/>
        <v>0.52209267547560811</v>
      </c>
      <c r="L1534" s="47">
        <f t="shared" si="186"/>
        <v>0.32261501650341284</v>
      </c>
      <c r="M1534" s="84">
        <f t="shared" si="187"/>
        <v>0.84470769197902085</v>
      </c>
      <c r="N1534" s="47">
        <f t="shared" si="188"/>
        <v>2.7919608618092867E-2</v>
      </c>
      <c r="O1534" s="47">
        <f t="shared" si="189"/>
        <v>1.1886195883226336E-2</v>
      </c>
      <c r="P1534" s="47">
        <f t="shared" si="190"/>
        <v>8.2001666364015083E-2</v>
      </c>
      <c r="Q1534" s="47">
        <f t="shared" si="191"/>
        <v>1</v>
      </c>
    </row>
    <row r="1535" spans="1:17" x14ac:dyDescent="0.35">
      <c r="A1535" s="82">
        <v>1532</v>
      </c>
      <c r="B1535" s="83" t="str">
        <f>_xlfn.XLOOKUP(A1535,'TAZs by City - CCAG Model'!$A:$A,'TAZs by City - CCAG Model'!$B:$B,"Unknown")</f>
        <v>Burlingame</v>
      </c>
      <c r="C1535" s="82">
        <f>_xlfn.XLOOKUP(A1535,'TAZs by City - CCAG Model'!$A:$A,'TAZs by City - CCAG Model'!$C:$C,999)</f>
        <v>2</v>
      </c>
      <c r="D1535" s="82" t="str">
        <f t="shared" si="184"/>
        <v>YES</v>
      </c>
      <c r="E1535" s="27">
        <v>7080.92</v>
      </c>
      <c r="F1535" s="27">
        <v>3910.9</v>
      </c>
      <c r="G1535" s="27">
        <v>430.72</v>
      </c>
      <c r="H1535" s="27">
        <v>150.68</v>
      </c>
      <c r="I1535" s="27">
        <v>1226.5999999999999</v>
      </c>
      <c r="J1535" s="27">
        <v>13276.36</v>
      </c>
      <c r="K1535" s="47">
        <f t="shared" si="185"/>
        <v>0.53334799598685179</v>
      </c>
      <c r="L1535" s="47">
        <f t="shared" si="186"/>
        <v>0.29457622420603236</v>
      </c>
      <c r="M1535" s="84">
        <f t="shared" si="187"/>
        <v>0.82792422019288414</v>
      </c>
      <c r="N1535" s="47">
        <f t="shared" si="188"/>
        <v>3.2442627346652243E-2</v>
      </c>
      <c r="O1535" s="47">
        <f t="shared" si="189"/>
        <v>1.1349496398109121E-2</v>
      </c>
      <c r="P1535" s="47">
        <f t="shared" si="190"/>
        <v>9.2389781536505483E-2</v>
      </c>
      <c r="Q1535" s="47">
        <f t="shared" si="191"/>
        <v>1</v>
      </c>
    </row>
    <row r="1536" spans="1:17" x14ac:dyDescent="0.35">
      <c r="A1536" s="82">
        <v>1533</v>
      </c>
      <c r="B1536" s="83" t="str">
        <f>_xlfn.XLOOKUP(A1536,'TAZs by City - CCAG Model'!$A:$A,'TAZs by City - CCAG Model'!$B:$B,"Unknown")</f>
        <v>Burlingame</v>
      </c>
      <c r="C1536" s="82">
        <f>_xlfn.XLOOKUP(A1536,'TAZs by City - CCAG Model'!$A:$A,'TAZs by City - CCAG Model'!$C:$C,999)</f>
        <v>2</v>
      </c>
      <c r="D1536" s="82" t="str">
        <f t="shared" si="184"/>
        <v>YES</v>
      </c>
      <c r="E1536" s="27">
        <v>8557.42</v>
      </c>
      <c r="F1536" s="27">
        <v>4055.6</v>
      </c>
      <c r="G1536" s="27">
        <v>394.14</v>
      </c>
      <c r="H1536" s="27">
        <v>144.6</v>
      </c>
      <c r="I1536" s="27">
        <v>1207.78</v>
      </c>
      <c r="J1536" s="27">
        <v>14800.06</v>
      </c>
      <c r="K1536" s="47">
        <f t="shared" si="185"/>
        <v>0.57820170999306764</v>
      </c>
      <c r="L1536" s="47">
        <f t="shared" si="186"/>
        <v>0.2740259161111509</v>
      </c>
      <c r="M1536" s="84">
        <f t="shared" si="187"/>
        <v>0.85222762610421854</v>
      </c>
      <c r="N1536" s="47">
        <f t="shared" si="188"/>
        <v>2.6630973117676551E-2</v>
      </c>
      <c r="O1536" s="47">
        <f t="shared" si="189"/>
        <v>9.7702306612270483E-3</v>
      </c>
      <c r="P1536" s="47">
        <f t="shared" si="190"/>
        <v>8.160642591989492E-2</v>
      </c>
      <c r="Q1536" s="47">
        <f t="shared" si="191"/>
        <v>1</v>
      </c>
    </row>
    <row r="1537" spans="1:17" x14ac:dyDescent="0.35">
      <c r="A1537" s="82">
        <v>1534</v>
      </c>
      <c r="B1537" s="83" t="str">
        <f>_xlfn.XLOOKUP(A1537,'TAZs by City - CCAG Model'!$A:$A,'TAZs by City - CCAG Model'!$B:$B,"Unknown")</f>
        <v>Hillsborough</v>
      </c>
      <c r="C1537" s="82">
        <f>_xlfn.XLOOKUP(A1537,'TAZs by City - CCAG Model'!$A:$A,'TAZs by City - CCAG Model'!$C:$C,999)</f>
        <v>2</v>
      </c>
      <c r="D1537" s="82" t="str">
        <f t="shared" si="184"/>
        <v>YES</v>
      </c>
      <c r="E1537" s="27">
        <v>3087.72</v>
      </c>
      <c r="F1537" s="27">
        <v>2353.8200000000002</v>
      </c>
      <c r="G1537" s="27">
        <v>94.06</v>
      </c>
      <c r="H1537" s="27">
        <v>51.6</v>
      </c>
      <c r="I1537" s="27">
        <v>259.27999999999997</v>
      </c>
      <c r="J1537" s="27">
        <v>5967.26</v>
      </c>
      <c r="K1537" s="47">
        <f t="shared" si="185"/>
        <v>0.51744351678995049</v>
      </c>
      <c r="L1537" s="47">
        <f t="shared" si="186"/>
        <v>0.39445574685869228</v>
      </c>
      <c r="M1537" s="84">
        <f t="shared" si="187"/>
        <v>0.91189926364864271</v>
      </c>
      <c r="N1537" s="47">
        <f t="shared" si="188"/>
        <v>1.5762678348186603E-2</v>
      </c>
      <c r="O1537" s="47">
        <f t="shared" si="189"/>
        <v>8.6471848050864216E-3</v>
      </c>
      <c r="P1537" s="47">
        <f t="shared" si="190"/>
        <v>4.3450427834550526E-2</v>
      </c>
      <c r="Q1537" s="47">
        <f t="shared" si="191"/>
        <v>1</v>
      </c>
    </row>
    <row r="1538" spans="1:17" x14ac:dyDescent="0.35">
      <c r="A1538" s="82">
        <v>1535</v>
      </c>
      <c r="B1538" s="83" t="str">
        <f>_xlfn.XLOOKUP(A1538,'TAZs by City - CCAG Model'!$A:$A,'TAZs by City - CCAG Model'!$B:$B,"Unknown")</f>
        <v>Hillsborough</v>
      </c>
      <c r="C1538" s="82">
        <f>_xlfn.XLOOKUP(A1538,'TAZs by City - CCAG Model'!$A:$A,'TAZs by City - CCAG Model'!$C:$C,999)</f>
        <v>2</v>
      </c>
      <c r="D1538" s="82" t="str">
        <f t="shared" si="184"/>
        <v>YES</v>
      </c>
      <c r="E1538" s="27">
        <v>3901.88</v>
      </c>
      <c r="F1538" s="27">
        <v>2192.7199999999998</v>
      </c>
      <c r="G1538" s="27">
        <v>46.52</v>
      </c>
      <c r="H1538" s="27">
        <v>54.9</v>
      </c>
      <c r="I1538" s="27">
        <v>262.02</v>
      </c>
      <c r="J1538" s="27">
        <v>6536.62</v>
      </c>
      <c r="K1538" s="47">
        <f t="shared" si="185"/>
        <v>0.59692624016693641</v>
      </c>
      <c r="L1538" s="47">
        <f t="shared" si="186"/>
        <v>0.33545165544272115</v>
      </c>
      <c r="M1538" s="84">
        <f t="shared" si="187"/>
        <v>0.93237789560965767</v>
      </c>
      <c r="N1538" s="47">
        <f t="shared" si="188"/>
        <v>7.116827963075719E-3</v>
      </c>
      <c r="O1538" s="47">
        <f t="shared" si="189"/>
        <v>8.3988360957191945E-3</v>
      </c>
      <c r="P1538" s="47">
        <f t="shared" si="190"/>
        <v>4.0084936863394226E-2</v>
      </c>
      <c r="Q1538" s="47">
        <f t="shared" si="191"/>
        <v>1</v>
      </c>
    </row>
    <row r="1539" spans="1:17" x14ac:dyDescent="0.35">
      <c r="A1539" s="82">
        <v>1536</v>
      </c>
      <c r="B1539" s="83" t="str">
        <f>_xlfn.XLOOKUP(A1539,'TAZs by City - CCAG Model'!$A:$A,'TAZs by City - CCAG Model'!$B:$B,"Unknown")</f>
        <v>San Mateo</v>
      </c>
      <c r="C1539" s="82">
        <f>_xlfn.XLOOKUP(A1539,'TAZs by City - CCAG Model'!$A:$A,'TAZs by City - CCAG Model'!$C:$C,999)</f>
        <v>2</v>
      </c>
      <c r="D1539" s="82" t="str">
        <f t="shared" si="184"/>
        <v>YES</v>
      </c>
      <c r="E1539" s="27">
        <v>3717.78</v>
      </c>
      <c r="F1539" s="27">
        <v>1985.96</v>
      </c>
      <c r="G1539" s="27">
        <v>218.54</v>
      </c>
      <c r="H1539" s="27">
        <v>80.56</v>
      </c>
      <c r="I1539" s="27">
        <v>600.64</v>
      </c>
      <c r="J1539" s="27">
        <v>6861.74</v>
      </c>
      <c r="K1539" s="47">
        <f t="shared" si="185"/>
        <v>0.54181300952819555</v>
      </c>
      <c r="L1539" s="47">
        <f t="shared" si="186"/>
        <v>0.28942513123493457</v>
      </c>
      <c r="M1539" s="84">
        <f t="shared" si="187"/>
        <v>0.83123814076313007</v>
      </c>
      <c r="N1539" s="47">
        <f t="shared" si="188"/>
        <v>3.1849064522992708E-2</v>
      </c>
      <c r="O1539" s="47">
        <f t="shared" si="189"/>
        <v>1.1740462331711781E-2</v>
      </c>
      <c r="P1539" s="47">
        <f t="shared" si="190"/>
        <v>8.753464864597027E-2</v>
      </c>
      <c r="Q1539" s="47">
        <f t="shared" si="191"/>
        <v>1</v>
      </c>
    </row>
    <row r="1540" spans="1:17" x14ac:dyDescent="0.35">
      <c r="A1540" s="82">
        <v>1537</v>
      </c>
      <c r="B1540" s="83" t="str">
        <f>_xlfn.XLOOKUP(A1540,'TAZs by City - CCAG Model'!$A:$A,'TAZs by City - CCAG Model'!$B:$B,"Unknown")</f>
        <v>San Mateo</v>
      </c>
      <c r="C1540" s="82">
        <f>_xlfn.XLOOKUP(A1540,'TAZs by City - CCAG Model'!$A:$A,'TAZs by City - CCAG Model'!$C:$C,999)</f>
        <v>2</v>
      </c>
      <c r="D1540" s="82" t="str">
        <f t="shared" si="184"/>
        <v>YES</v>
      </c>
      <c r="E1540" s="27">
        <v>4223.54</v>
      </c>
      <c r="F1540" s="27">
        <v>2672.78</v>
      </c>
      <c r="G1540" s="27">
        <v>236.8</v>
      </c>
      <c r="H1540" s="27">
        <v>109.4</v>
      </c>
      <c r="I1540" s="27">
        <v>792.3</v>
      </c>
      <c r="J1540" s="27">
        <v>8315.2000000000007</v>
      </c>
      <c r="K1540" s="47">
        <f t="shared" si="185"/>
        <v>0.50793005580142381</v>
      </c>
      <c r="L1540" s="47">
        <f t="shared" si="186"/>
        <v>0.32143303829132192</v>
      </c>
      <c r="M1540" s="84">
        <f t="shared" si="187"/>
        <v>0.82936309409274567</v>
      </c>
      <c r="N1540" s="47">
        <f t="shared" si="188"/>
        <v>2.8477968058495284E-2</v>
      </c>
      <c r="O1540" s="47">
        <f t="shared" si="189"/>
        <v>1.3156628824321724E-2</v>
      </c>
      <c r="P1540" s="47">
        <f t="shared" si="190"/>
        <v>9.5283336540311708E-2</v>
      </c>
      <c r="Q1540" s="47">
        <f t="shared" si="191"/>
        <v>1</v>
      </c>
    </row>
    <row r="1541" spans="1:17" x14ac:dyDescent="0.35">
      <c r="A1541" s="82">
        <v>1538</v>
      </c>
      <c r="B1541" s="83" t="str">
        <f>_xlfn.XLOOKUP(A1541,'TAZs by City - CCAG Model'!$A:$A,'TAZs by City - CCAG Model'!$B:$B,"Unknown")</f>
        <v>San Mateo</v>
      </c>
      <c r="C1541" s="82">
        <f>_xlfn.XLOOKUP(A1541,'TAZs by City - CCAG Model'!$A:$A,'TAZs by City - CCAG Model'!$C:$C,999)</f>
        <v>2</v>
      </c>
      <c r="D1541" s="82" t="str">
        <f t="shared" ref="D1541:D1604" si="192">IF(C1541=2,"YES","NO")</f>
        <v>YES</v>
      </c>
      <c r="E1541" s="27">
        <v>8560.6</v>
      </c>
      <c r="F1541" s="27">
        <v>4295.82</v>
      </c>
      <c r="G1541" s="27">
        <v>515.64</v>
      </c>
      <c r="H1541" s="27">
        <v>221.82</v>
      </c>
      <c r="I1541" s="27">
        <v>1722.46</v>
      </c>
      <c r="J1541" s="27">
        <v>15876.58</v>
      </c>
      <c r="K1541" s="47">
        <f t="shared" ref="K1541:K1604" si="193">IFERROR(E1541/$J1541,0)</f>
        <v>0.5391967287665228</v>
      </c>
      <c r="L1541" s="47">
        <f t="shared" ref="L1541:L1604" si="194">IFERROR(F1541/$J1541,0)</f>
        <v>0.27057590488631683</v>
      </c>
      <c r="M1541" s="84">
        <f t="shared" ref="M1541:M1604" si="195">IFERROR((E1541+F1541)/J1541,0)</f>
        <v>0.80977263365283958</v>
      </c>
      <c r="N1541" s="47">
        <f t="shared" ref="N1541:N1604" si="196">IFERROR(G1541/$J1541,0)</f>
        <v>3.2478027383731255E-2</v>
      </c>
      <c r="O1541" s="47">
        <f t="shared" ref="O1541:O1604" si="197">IFERROR(H1541/$J1541,0)</f>
        <v>1.3971522834262794E-2</v>
      </c>
      <c r="P1541" s="47">
        <f t="shared" ref="P1541:P1604" si="198">IFERROR(I1541/$J1541,0)</f>
        <v>0.10849061951629381</v>
      </c>
      <c r="Q1541" s="47">
        <f t="shared" ref="Q1541:Q1604" si="199">IFERROR(J1541/$J1541,0)</f>
        <v>1</v>
      </c>
    </row>
    <row r="1542" spans="1:17" x14ac:dyDescent="0.35">
      <c r="A1542" s="82">
        <v>1539</v>
      </c>
      <c r="B1542" s="83" t="str">
        <f>_xlfn.XLOOKUP(A1542,'TAZs by City - CCAG Model'!$A:$A,'TAZs by City - CCAG Model'!$B:$B,"Unknown")</f>
        <v>San Mateo</v>
      </c>
      <c r="C1542" s="82">
        <f>_xlfn.XLOOKUP(A1542,'TAZs by City - CCAG Model'!$A:$A,'TAZs by City - CCAG Model'!$C:$C,999)</f>
        <v>2</v>
      </c>
      <c r="D1542" s="82" t="str">
        <f t="shared" si="192"/>
        <v>YES</v>
      </c>
      <c r="E1542" s="27">
        <v>4874.08</v>
      </c>
      <c r="F1542" s="27">
        <v>3091.68</v>
      </c>
      <c r="G1542" s="27">
        <v>316.08</v>
      </c>
      <c r="H1542" s="27">
        <v>128.6</v>
      </c>
      <c r="I1542" s="27">
        <v>989.38</v>
      </c>
      <c r="J1542" s="27">
        <v>9758.1200000000008</v>
      </c>
      <c r="K1542" s="47">
        <f t="shared" si="193"/>
        <v>0.49948965579435378</v>
      </c>
      <c r="L1542" s="47">
        <f t="shared" si="194"/>
        <v>0.31683152082573279</v>
      </c>
      <c r="M1542" s="84">
        <f t="shared" si="195"/>
        <v>0.81632117662008663</v>
      </c>
      <c r="N1542" s="47">
        <f t="shared" si="196"/>
        <v>3.2391485245108688E-2</v>
      </c>
      <c r="O1542" s="47">
        <f t="shared" si="197"/>
        <v>1.3178768041385019E-2</v>
      </c>
      <c r="P1542" s="47">
        <f t="shared" si="198"/>
        <v>0.10139043176349542</v>
      </c>
      <c r="Q1542" s="47">
        <f t="shared" si="199"/>
        <v>1</v>
      </c>
    </row>
    <row r="1543" spans="1:17" x14ac:dyDescent="0.35">
      <c r="A1543" s="82">
        <v>1540</v>
      </c>
      <c r="B1543" s="83" t="str">
        <f>_xlfn.XLOOKUP(A1543,'TAZs by City - CCAG Model'!$A:$A,'TAZs by City - CCAG Model'!$B:$B,"Unknown")</f>
        <v>San Mateo</v>
      </c>
      <c r="C1543" s="82">
        <f>_xlfn.XLOOKUP(A1543,'TAZs by City - CCAG Model'!$A:$A,'TAZs by City - CCAG Model'!$C:$C,999)</f>
        <v>2</v>
      </c>
      <c r="D1543" s="82" t="str">
        <f t="shared" si="192"/>
        <v>YES</v>
      </c>
      <c r="E1543" s="27">
        <v>2671.44</v>
      </c>
      <c r="F1543" s="27">
        <v>1718.6</v>
      </c>
      <c r="G1543" s="27">
        <v>170.74</v>
      </c>
      <c r="H1543" s="27">
        <v>72.14</v>
      </c>
      <c r="I1543" s="27">
        <v>518.6</v>
      </c>
      <c r="J1543" s="27">
        <v>5367.64</v>
      </c>
      <c r="K1543" s="47">
        <f t="shared" si="193"/>
        <v>0.49769358600800351</v>
      </c>
      <c r="L1543" s="47">
        <f t="shared" si="194"/>
        <v>0.32017795530251653</v>
      </c>
      <c r="M1543" s="84">
        <f t="shared" si="195"/>
        <v>0.81787154131051998</v>
      </c>
      <c r="N1543" s="47">
        <f t="shared" si="196"/>
        <v>3.1809137721605769E-2</v>
      </c>
      <c r="O1543" s="47">
        <f t="shared" si="197"/>
        <v>1.3439798496173364E-2</v>
      </c>
      <c r="P1543" s="47">
        <f t="shared" si="198"/>
        <v>9.6616017467639412E-2</v>
      </c>
      <c r="Q1543" s="47">
        <f t="shared" si="199"/>
        <v>1</v>
      </c>
    </row>
    <row r="1544" spans="1:17" x14ac:dyDescent="0.35">
      <c r="A1544" s="82">
        <v>1541</v>
      </c>
      <c r="B1544" s="83" t="str">
        <f>_xlfn.XLOOKUP(A1544,'TAZs by City - CCAG Model'!$A:$A,'TAZs by City - CCAG Model'!$B:$B,"Unknown")</f>
        <v>Foster City</v>
      </c>
      <c r="C1544" s="82">
        <f>_xlfn.XLOOKUP(A1544,'TAZs by City - CCAG Model'!$A:$A,'TAZs by City - CCAG Model'!$C:$C,999)</f>
        <v>2</v>
      </c>
      <c r="D1544" s="82" t="str">
        <f t="shared" si="192"/>
        <v>YES</v>
      </c>
      <c r="E1544" s="27">
        <v>2496.6999999999998</v>
      </c>
      <c r="F1544" s="27">
        <v>763.06</v>
      </c>
      <c r="G1544" s="27">
        <v>47.58</v>
      </c>
      <c r="H1544" s="27">
        <v>30.46</v>
      </c>
      <c r="I1544" s="27">
        <v>251.48</v>
      </c>
      <c r="J1544" s="27">
        <v>3679.1</v>
      </c>
      <c r="K1544" s="47">
        <f t="shared" si="193"/>
        <v>0.67861705308363451</v>
      </c>
      <c r="L1544" s="47">
        <f t="shared" si="194"/>
        <v>0.20740398467016388</v>
      </c>
      <c r="M1544" s="84">
        <f t="shared" si="195"/>
        <v>0.88602103775379848</v>
      </c>
      <c r="N1544" s="47">
        <f t="shared" si="196"/>
        <v>1.2932510668369982E-2</v>
      </c>
      <c r="O1544" s="47">
        <f t="shared" si="197"/>
        <v>8.2791987170775464E-3</v>
      </c>
      <c r="P1544" s="47">
        <f t="shared" si="198"/>
        <v>6.8353673452746594E-2</v>
      </c>
      <c r="Q1544" s="47">
        <f t="shared" si="199"/>
        <v>1</v>
      </c>
    </row>
    <row r="1545" spans="1:17" x14ac:dyDescent="0.35">
      <c r="A1545" s="82">
        <v>1542</v>
      </c>
      <c r="B1545" s="83" t="str">
        <f>_xlfn.XLOOKUP(A1545,'TAZs by City - CCAG Model'!$A:$A,'TAZs by City - CCAG Model'!$B:$B,"Unknown")</f>
        <v>San Mateo</v>
      </c>
      <c r="C1545" s="82">
        <f>_xlfn.XLOOKUP(A1545,'TAZs by City - CCAG Model'!$A:$A,'TAZs by City - CCAG Model'!$C:$C,999)</f>
        <v>2</v>
      </c>
      <c r="D1545" s="82" t="str">
        <f t="shared" si="192"/>
        <v>YES</v>
      </c>
      <c r="E1545" s="27">
        <v>11185.56</v>
      </c>
      <c r="F1545" s="27">
        <v>5519.34</v>
      </c>
      <c r="G1545" s="27">
        <v>406.02</v>
      </c>
      <c r="H1545" s="27">
        <v>238.82</v>
      </c>
      <c r="I1545" s="27">
        <v>945.36</v>
      </c>
      <c r="J1545" s="27">
        <v>18742.48</v>
      </c>
      <c r="K1545" s="47">
        <f t="shared" si="193"/>
        <v>0.59680255761243972</v>
      </c>
      <c r="L1545" s="47">
        <f t="shared" si="194"/>
        <v>0.2944829072780123</v>
      </c>
      <c r="M1545" s="84">
        <f t="shared" si="195"/>
        <v>0.89128546489045213</v>
      </c>
      <c r="N1545" s="47">
        <f t="shared" si="196"/>
        <v>2.1663088342631285E-2</v>
      </c>
      <c r="O1545" s="47">
        <f t="shared" si="197"/>
        <v>1.2742177129173941E-2</v>
      </c>
      <c r="P1545" s="47">
        <f t="shared" si="198"/>
        <v>5.0439429573887772E-2</v>
      </c>
      <c r="Q1545" s="47">
        <f t="shared" si="199"/>
        <v>1</v>
      </c>
    </row>
    <row r="1546" spans="1:17" x14ac:dyDescent="0.35">
      <c r="A1546" s="82">
        <v>1543</v>
      </c>
      <c r="B1546" s="83" t="str">
        <f>_xlfn.XLOOKUP(A1546,'TAZs by City - CCAG Model'!$A:$A,'TAZs by City - CCAG Model'!$B:$B,"Unknown")</f>
        <v>Belmont</v>
      </c>
      <c r="C1546" s="82">
        <f>_xlfn.XLOOKUP(A1546,'TAZs by City - CCAG Model'!$A:$A,'TAZs by City - CCAG Model'!$C:$C,999)</f>
        <v>2</v>
      </c>
      <c r="D1546" s="82" t="str">
        <f t="shared" si="192"/>
        <v>YES</v>
      </c>
      <c r="E1546" s="27">
        <v>6439.14</v>
      </c>
      <c r="F1546" s="27">
        <v>2459.9</v>
      </c>
      <c r="G1546" s="27">
        <v>202.92</v>
      </c>
      <c r="H1546" s="27">
        <v>104.14</v>
      </c>
      <c r="I1546" s="27">
        <v>370.68</v>
      </c>
      <c r="J1546" s="27">
        <v>9822</v>
      </c>
      <c r="K1546" s="47">
        <f t="shared" si="193"/>
        <v>0.6555833842394625</v>
      </c>
      <c r="L1546" s="47">
        <f t="shared" si="194"/>
        <v>0.25044797393606189</v>
      </c>
      <c r="M1546" s="84">
        <f t="shared" si="195"/>
        <v>0.90603135817552438</v>
      </c>
      <c r="N1546" s="47">
        <f t="shared" si="196"/>
        <v>2.0659743433109345E-2</v>
      </c>
      <c r="O1546" s="47">
        <f t="shared" si="197"/>
        <v>1.060272856851965E-2</v>
      </c>
      <c r="P1546" s="47">
        <f t="shared" si="198"/>
        <v>3.7739767868051312E-2</v>
      </c>
      <c r="Q1546" s="47">
        <f t="shared" si="199"/>
        <v>1</v>
      </c>
    </row>
    <row r="1547" spans="1:17" x14ac:dyDescent="0.35">
      <c r="A1547" s="82">
        <v>1544</v>
      </c>
      <c r="B1547" s="83" t="str">
        <f>_xlfn.XLOOKUP(A1547,'TAZs by City - CCAG Model'!$A:$A,'TAZs by City - CCAG Model'!$B:$B,"Unknown")</f>
        <v>San Mateo</v>
      </c>
      <c r="C1547" s="82">
        <f>_xlfn.XLOOKUP(A1547,'TAZs by City - CCAG Model'!$A:$A,'TAZs by City - CCAG Model'!$C:$C,999)</f>
        <v>2</v>
      </c>
      <c r="D1547" s="82" t="str">
        <f t="shared" si="192"/>
        <v>YES</v>
      </c>
      <c r="E1547" s="27">
        <v>6537.76</v>
      </c>
      <c r="F1547" s="27">
        <v>2324.5</v>
      </c>
      <c r="G1547" s="27">
        <v>242.94</v>
      </c>
      <c r="H1547" s="27">
        <v>106.44</v>
      </c>
      <c r="I1547" s="27">
        <v>541.34</v>
      </c>
      <c r="J1547" s="27">
        <v>10040.780000000001</v>
      </c>
      <c r="K1547" s="47">
        <f t="shared" si="193"/>
        <v>0.65112072966442847</v>
      </c>
      <c r="L1547" s="47">
        <f t="shared" si="194"/>
        <v>0.23150591886287716</v>
      </c>
      <c r="M1547" s="84">
        <f t="shared" si="195"/>
        <v>0.88262664852730566</v>
      </c>
      <c r="N1547" s="47">
        <f t="shared" si="196"/>
        <v>2.4195331438394228E-2</v>
      </c>
      <c r="O1547" s="47">
        <f t="shared" si="197"/>
        <v>1.0600770059696556E-2</v>
      </c>
      <c r="P1547" s="47">
        <f t="shared" si="198"/>
        <v>5.3914138144646136E-2</v>
      </c>
      <c r="Q1547" s="47">
        <f t="shared" si="199"/>
        <v>1</v>
      </c>
    </row>
    <row r="1548" spans="1:17" x14ac:dyDescent="0.35">
      <c r="A1548" s="82">
        <v>1545</v>
      </c>
      <c r="B1548" s="83" t="str">
        <f>_xlfn.XLOOKUP(A1548,'TAZs by City - CCAG Model'!$A:$A,'TAZs by City - CCAG Model'!$B:$B,"Unknown")</f>
        <v>San Mateo</v>
      </c>
      <c r="C1548" s="82">
        <f>_xlfn.XLOOKUP(A1548,'TAZs by City - CCAG Model'!$A:$A,'TAZs by City - CCAG Model'!$C:$C,999)</f>
        <v>2</v>
      </c>
      <c r="D1548" s="82" t="str">
        <f t="shared" si="192"/>
        <v>YES</v>
      </c>
      <c r="E1548" s="27">
        <v>7004.18</v>
      </c>
      <c r="F1548" s="27">
        <v>3904.18</v>
      </c>
      <c r="G1548" s="27">
        <v>360.08</v>
      </c>
      <c r="H1548" s="27">
        <v>178.1</v>
      </c>
      <c r="I1548" s="27">
        <v>1309.58</v>
      </c>
      <c r="J1548" s="27">
        <v>13160.28</v>
      </c>
      <c r="K1548" s="47">
        <f t="shared" si="193"/>
        <v>0.53222119894105591</v>
      </c>
      <c r="L1548" s="47">
        <f t="shared" si="194"/>
        <v>0.29666390076806876</v>
      </c>
      <c r="M1548" s="84">
        <f t="shared" si="195"/>
        <v>0.82888509970912472</v>
      </c>
      <c r="N1548" s="47">
        <f t="shared" si="196"/>
        <v>2.7361119976170717E-2</v>
      </c>
      <c r="O1548" s="47">
        <f t="shared" si="197"/>
        <v>1.35331467111642E-2</v>
      </c>
      <c r="P1548" s="47">
        <f t="shared" si="198"/>
        <v>9.951004081980018E-2</v>
      </c>
      <c r="Q1548" s="47">
        <f t="shared" si="199"/>
        <v>1</v>
      </c>
    </row>
    <row r="1549" spans="1:17" x14ac:dyDescent="0.35">
      <c r="A1549" s="82">
        <v>1546</v>
      </c>
      <c r="B1549" s="83" t="str">
        <f>_xlfn.XLOOKUP(A1549,'TAZs by City - CCAG Model'!$A:$A,'TAZs by City - CCAG Model'!$B:$B,"Unknown")</f>
        <v>San Mateo</v>
      </c>
      <c r="C1549" s="82">
        <f>_xlfn.XLOOKUP(A1549,'TAZs by City - CCAG Model'!$A:$A,'TAZs by City - CCAG Model'!$C:$C,999)</f>
        <v>2</v>
      </c>
      <c r="D1549" s="82" t="str">
        <f t="shared" si="192"/>
        <v>YES</v>
      </c>
      <c r="E1549" s="27">
        <v>10933.68</v>
      </c>
      <c r="F1549" s="27">
        <v>4715.0600000000004</v>
      </c>
      <c r="G1549" s="27">
        <v>392.24</v>
      </c>
      <c r="H1549" s="27">
        <v>196.76</v>
      </c>
      <c r="I1549" s="27">
        <v>1366.96</v>
      </c>
      <c r="J1549" s="27">
        <v>18037.240000000002</v>
      </c>
      <c r="K1549" s="47">
        <f t="shared" si="193"/>
        <v>0.60617256298635491</v>
      </c>
      <c r="L1549" s="47">
        <f t="shared" si="194"/>
        <v>0.26140695583137996</v>
      </c>
      <c r="M1549" s="84">
        <f t="shared" si="195"/>
        <v>0.86757951881773487</v>
      </c>
      <c r="N1549" s="47">
        <f t="shared" si="196"/>
        <v>2.174612080340451E-2</v>
      </c>
      <c r="O1549" s="47">
        <f t="shared" si="197"/>
        <v>1.090854254863826E-2</v>
      </c>
      <c r="P1549" s="47">
        <f t="shared" si="198"/>
        <v>7.5785430586941233E-2</v>
      </c>
      <c r="Q1549" s="47">
        <f t="shared" si="199"/>
        <v>1</v>
      </c>
    </row>
    <row r="1550" spans="1:17" x14ac:dyDescent="0.35">
      <c r="A1550" s="82">
        <v>1547</v>
      </c>
      <c r="B1550" s="83" t="str">
        <f>_xlfn.XLOOKUP(A1550,'TAZs by City - CCAG Model'!$A:$A,'TAZs by City - CCAG Model'!$B:$B,"Unknown")</f>
        <v>San Mateo</v>
      </c>
      <c r="C1550" s="82">
        <f>_xlfn.XLOOKUP(A1550,'TAZs by City - CCAG Model'!$A:$A,'TAZs by City - CCAG Model'!$C:$C,999)</f>
        <v>2</v>
      </c>
      <c r="D1550" s="82" t="str">
        <f t="shared" si="192"/>
        <v>YES</v>
      </c>
      <c r="E1550" s="27">
        <v>11390.92</v>
      </c>
      <c r="F1550" s="27">
        <v>5970.92</v>
      </c>
      <c r="G1550" s="27">
        <v>434.72</v>
      </c>
      <c r="H1550" s="27">
        <v>249.18</v>
      </c>
      <c r="I1550" s="27">
        <v>1968.78</v>
      </c>
      <c r="J1550" s="27">
        <v>20491.64</v>
      </c>
      <c r="K1550" s="47">
        <f t="shared" si="193"/>
        <v>0.55588132526239975</v>
      </c>
      <c r="L1550" s="47">
        <f t="shared" si="194"/>
        <v>0.29138321774147896</v>
      </c>
      <c r="M1550" s="84">
        <f t="shared" si="195"/>
        <v>0.84726454300387866</v>
      </c>
      <c r="N1550" s="47">
        <f t="shared" si="196"/>
        <v>2.1214505037176139E-2</v>
      </c>
      <c r="O1550" s="47">
        <f t="shared" si="197"/>
        <v>1.2160080891524544E-2</v>
      </c>
      <c r="P1550" s="47">
        <f t="shared" si="198"/>
        <v>9.6077229543365006E-2</v>
      </c>
      <c r="Q1550" s="47">
        <f t="shared" si="199"/>
        <v>1</v>
      </c>
    </row>
    <row r="1551" spans="1:17" x14ac:dyDescent="0.35">
      <c r="A1551" s="82">
        <v>1548</v>
      </c>
      <c r="B1551" s="83" t="str">
        <f>_xlfn.XLOOKUP(A1551,'TAZs by City - CCAG Model'!$A:$A,'TAZs by City - CCAG Model'!$B:$B,"Unknown")</f>
        <v>San Mateo</v>
      </c>
      <c r="C1551" s="82">
        <f>_xlfn.XLOOKUP(A1551,'TAZs by City - CCAG Model'!$A:$A,'TAZs by City - CCAG Model'!$C:$C,999)</f>
        <v>2</v>
      </c>
      <c r="D1551" s="82" t="str">
        <f t="shared" si="192"/>
        <v>YES</v>
      </c>
      <c r="E1551" s="27">
        <v>4100.08</v>
      </c>
      <c r="F1551" s="27">
        <v>2519.56</v>
      </c>
      <c r="G1551" s="27">
        <v>124.16</v>
      </c>
      <c r="H1551" s="27">
        <v>92.42</v>
      </c>
      <c r="I1551" s="27">
        <v>1225.6400000000001</v>
      </c>
      <c r="J1551" s="27">
        <v>8226</v>
      </c>
      <c r="K1551" s="47">
        <f t="shared" si="193"/>
        <v>0.49842937028932649</v>
      </c>
      <c r="L1551" s="47">
        <f t="shared" si="194"/>
        <v>0.30629224410406031</v>
      </c>
      <c r="M1551" s="84">
        <f t="shared" si="195"/>
        <v>0.80472161439338674</v>
      </c>
      <c r="N1551" s="47">
        <f t="shared" si="196"/>
        <v>1.5093605640651592E-2</v>
      </c>
      <c r="O1551" s="47">
        <f t="shared" si="197"/>
        <v>1.1235108193532701E-2</v>
      </c>
      <c r="P1551" s="47">
        <f t="shared" si="198"/>
        <v>0.14899586676391929</v>
      </c>
      <c r="Q1551" s="47">
        <f t="shared" si="199"/>
        <v>1</v>
      </c>
    </row>
    <row r="1552" spans="1:17" x14ac:dyDescent="0.35">
      <c r="A1552" s="82">
        <v>1549</v>
      </c>
      <c r="B1552" s="83" t="str">
        <f>_xlfn.XLOOKUP(A1552,'TAZs by City - CCAG Model'!$A:$A,'TAZs by City - CCAG Model'!$B:$B,"Unknown")</f>
        <v>San Mateo</v>
      </c>
      <c r="C1552" s="82">
        <f>_xlfn.XLOOKUP(A1552,'TAZs by City - CCAG Model'!$A:$A,'TAZs by City - CCAG Model'!$C:$C,999)</f>
        <v>2</v>
      </c>
      <c r="D1552" s="82" t="str">
        <f t="shared" si="192"/>
        <v>YES</v>
      </c>
      <c r="E1552" s="27">
        <v>18793.939999999999</v>
      </c>
      <c r="F1552" s="27">
        <v>8805.84</v>
      </c>
      <c r="G1552" s="27">
        <v>860.72</v>
      </c>
      <c r="H1552" s="27">
        <v>314.58</v>
      </c>
      <c r="I1552" s="27">
        <v>2747.18</v>
      </c>
      <c r="J1552" s="27">
        <v>32424.46</v>
      </c>
      <c r="K1552" s="47">
        <f t="shared" si="193"/>
        <v>0.57962229748776073</v>
      </c>
      <c r="L1552" s="47">
        <f t="shared" si="194"/>
        <v>0.27158015892940085</v>
      </c>
      <c r="M1552" s="84">
        <f t="shared" si="195"/>
        <v>0.85120245641716163</v>
      </c>
      <c r="N1552" s="47">
        <f t="shared" si="196"/>
        <v>2.6545391966435218E-2</v>
      </c>
      <c r="O1552" s="47">
        <f t="shared" si="197"/>
        <v>9.7019348972966699E-3</v>
      </c>
      <c r="P1552" s="47">
        <f t="shared" si="198"/>
        <v>8.4725543617380203E-2</v>
      </c>
      <c r="Q1552" s="47">
        <f t="shared" si="199"/>
        <v>1</v>
      </c>
    </row>
    <row r="1553" spans="1:17" x14ac:dyDescent="0.35">
      <c r="A1553" s="82">
        <v>1550</v>
      </c>
      <c r="B1553" s="83" t="str">
        <f>_xlfn.XLOOKUP(A1553,'TAZs by City - CCAG Model'!$A:$A,'TAZs by City - CCAG Model'!$B:$B,"Unknown")</f>
        <v>San Mateo</v>
      </c>
      <c r="C1553" s="82">
        <f>_xlfn.XLOOKUP(A1553,'TAZs by City - CCAG Model'!$A:$A,'TAZs by City - CCAG Model'!$C:$C,999)</f>
        <v>2</v>
      </c>
      <c r="D1553" s="82" t="str">
        <f t="shared" si="192"/>
        <v>YES</v>
      </c>
      <c r="E1553" s="27">
        <v>3802.22</v>
      </c>
      <c r="F1553" s="27">
        <v>2460.54</v>
      </c>
      <c r="G1553" s="27">
        <v>111.94</v>
      </c>
      <c r="H1553" s="27">
        <v>81.64</v>
      </c>
      <c r="I1553" s="27">
        <v>858.48</v>
      </c>
      <c r="J1553" s="27">
        <v>7466.8</v>
      </c>
      <c r="K1553" s="47">
        <f t="shared" si="193"/>
        <v>0.50921679970000533</v>
      </c>
      <c r="L1553" s="47">
        <f t="shared" si="194"/>
        <v>0.32953072266566669</v>
      </c>
      <c r="M1553" s="84">
        <f t="shared" si="195"/>
        <v>0.83874752236567207</v>
      </c>
      <c r="N1553" s="47">
        <f t="shared" si="196"/>
        <v>1.4991696576846842E-2</v>
      </c>
      <c r="O1553" s="47">
        <f t="shared" si="197"/>
        <v>1.0933733326190603E-2</v>
      </c>
      <c r="P1553" s="47">
        <f t="shared" si="198"/>
        <v>0.11497294691166229</v>
      </c>
      <c r="Q1553" s="47">
        <f t="shared" si="199"/>
        <v>1</v>
      </c>
    </row>
    <row r="1554" spans="1:17" x14ac:dyDescent="0.35">
      <c r="A1554" s="82">
        <v>1551</v>
      </c>
      <c r="B1554" s="83" t="str">
        <f>_xlfn.XLOOKUP(A1554,'TAZs by City - CCAG Model'!$A:$A,'TAZs by City - CCAG Model'!$B:$B,"Unknown")</f>
        <v>Belmont</v>
      </c>
      <c r="C1554" s="82">
        <f>_xlfn.XLOOKUP(A1554,'TAZs by City - CCAG Model'!$A:$A,'TAZs by City - CCAG Model'!$C:$C,999)</f>
        <v>2</v>
      </c>
      <c r="D1554" s="82" t="str">
        <f t="shared" si="192"/>
        <v>YES</v>
      </c>
      <c r="E1554" s="27">
        <v>4948.78</v>
      </c>
      <c r="F1554" s="27">
        <v>2259.2600000000002</v>
      </c>
      <c r="G1554" s="27">
        <v>135.1</v>
      </c>
      <c r="H1554" s="27">
        <v>83.36</v>
      </c>
      <c r="I1554" s="27">
        <v>1857.7</v>
      </c>
      <c r="J1554" s="27">
        <v>9470.36</v>
      </c>
      <c r="K1554" s="47">
        <f t="shared" si="193"/>
        <v>0.52255458081846939</v>
      </c>
      <c r="L1554" s="47">
        <f t="shared" si="194"/>
        <v>0.23856115290231841</v>
      </c>
      <c r="M1554" s="84">
        <f t="shared" si="195"/>
        <v>0.76111573372078778</v>
      </c>
      <c r="N1554" s="47">
        <f t="shared" si="196"/>
        <v>1.4265561182468247E-2</v>
      </c>
      <c r="O1554" s="47">
        <f t="shared" si="197"/>
        <v>8.8021997051854414E-3</v>
      </c>
      <c r="P1554" s="47">
        <f t="shared" si="198"/>
        <v>0.19615938570445052</v>
      </c>
      <c r="Q1554" s="47">
        <f t="shared" si="199"/>
        <v>1</v>
      </c>
    </row>
    <row r="1555" spans="1:17" x14ac:dyDescent="0.35">
      <c r="A1555" s="82">
        <v>1552</v>
      </c>
      <c r="B1555" s="83" t="str">
        <f>_xlfn.XLOOKUP(A1555,'TAZs by City - CCAG Model'!$A:$A,'TAZs by City - CCAG Model'!$B:$B,"Unknown")</f>
        <v>Belmont</v>
      </c>
      <c r="C1555" s="82">
        <f>_xlfn.XLOOKUP(A1555,'TAZs by City - CCAG Model'!$A:$A,'TAZs by City - CCAG Model'!$C:$C,999)</f>
        <v>2</v>
      </c>
      <c r="D1555" s="82" t="str">
        <f t="shared" si="192"/>
        <v>YES</v>
      </c>
      <c r="E1555" s="27">
        <v>18685.34</v>
      </c>
      <c r="F1555" s="27">
        <v>10020.76</v>
      </c>
      <c r="G1555" s="27">
        <v>418</v>
      </c>
      <c r="H1555" s="27">
        <v>388.36</v>
      </c>
      <c r="I1555" s="27">
        <v>2030.34</v>
      </c>
      <c r="J1555" s="27">
        <v>31996.84</v>
      </c>
      <c r="K1555" s="47">
        <f t="shared" si="193"/>
        <v>0.5839745424860705</v>
      </c>
      <c r="L1555" s="47">
        <f t="shared" si="194"/>
        <v>0.31317967649305367</v>
      </c>
      <c r="M1555" s="84">
        <f t="shared" si="195"/>
        <v>0.89715421897912417</v>
      </c>
      <c r="N1555" s="47">
        <f t="shared" si="196"/>
        <v>1.3063790049267365E-2</v>
      </c>
      <c r="O1555" s="47">
        <f t="shared" si="197"/>
        <v>1.2137448573046588E-2</v>
      </c>
      <c r="P1555" s="47">
        <f t="shared" si="198"/>
        <v>6.3454391121123208E-2</v>
      </c>
      <c r="Q1555" s="47">
        <f t="shared" si="199"/>
        <v>1</v>
      </c>
    </row>
    <row r="1556" spans="1:17" x14ac:dyDescent="0.35">
      <c r="A1556" s="82">
        <v>1553</v>
      </c>
      <c r="B1556" s="83" t="str">
        <f>_xlfn.XLOOKUP(A1556,'TAZs by City - CCAG Model'!$A:$A,'TAZs by City - CCAG Model'!$B:$B,"Unknown")</f>
        <v>Belmont</v>
      </c>
      <c r="C1556" s="82">
        <f>_xlfn.XLOOKUP(A1556,'TAZs by City - CCAG Model'!$A:$A,'TAZs by City - CCAG Model'!$C:$C,999)</f>
        <v>2</v>
      </c>
      <c r="D1556" s="82" t="str">
        <f t="shared" si="192"/>
        <v>YES</v>
      </c>
      <c r="E1556" s="27">
        <v>3905.3</v>
      </c>
      <c r="F1556" s="27">
        <v>2711.1</v>
      </c>
      <c r="G1556" s="27">
        <v>78.180000000000007</v>
      </c>
      <c r="H1556" s="27">
        <v>72.7</v>
      </c>
      <c r="I1556" s="27">
        <v>186.18</v>
      </c>
      <c r="J1556" s="27">
        <v>7059</v>
      </c>
      <c r="K1556" s="47">
        <f t="shared" si="193"/>
        <v>0.55323700240827312</v>
      </c>
      <c r="L1556" s="47">
        <f t="shared" si="194"/>
        <v>0.38406289842753932</v>
      </c>
      <c r="M1556" s="84">
        <f t="shared" si="195"/>
        <v>0.93729990083581238</v>
      </c>
      <c r="N1556" s="47">
        <f t="shared" si="196"/>
        <v>1.1075223119422016E-2</v>
      </c>
      <c r="O1556" s="47">
        <f t="shared" si="197"/>
        <v>1.0298909193936818E-2</v>
      </c>
      <c r="P1556" s="47">
        <f t="shared" si="198"/>
        <v>2.6374840628984278E-2</v>
      </c>
      <c r="Q1556" s="47">
        <f t="shared" si="199"/>
        <v>1</v>
      </c>
    </row>
    <row r="1557" spans="1:17" x14ac:dyDescent="0.35">
      <c r="A1557" s="82">
        <v>1554</v>
      </c>
      <c r="B1557" s="83" t="str">
        <f>_xlfn.XLOOKUP(A1557,'TAZs by City - CCAG Model'!$A:$A,'TAZs by City - CCAG Model'!$B:$B,"Unknown")</f>
        <v>San Mateo</v>
      </c>
      <c r="C1557" s="82">
        <f>_xlfn.XLOOKUP(A1557,'TAZs by City - CCAG Model'!$A:$A,'TAZs by City - CCAG Model'!$C:$C,999)</f>
        <v>2</v>
      </c>
      <c r="D1557" s="82" t="str">
        <f t="shared" si="192"/>
        <v>YES</v>
      </c>
      <c r="E1557" s="27">
        <v>10753.32</v>
      </c>
      <c r="F1557" s="27">
        <v>3245.5</v>
      </c>
      <c r="G1557" s="27">
        <v>541.70000000000005</v>
      </c>
      <c r="H1557" s="27">
        <v>166.72</v>
      </c>
      <c r="I1557" s="27">
        <v>240.86</v>
      </c>
      <c r="J1557" s="27">
        <v>15524.24</v>
      </c>
      <c r="K1557" s="47">
        <f t="shared" si="193"/>
        <v>0.69267931956733464</v>
      </c>
      <c r="L1557" s="47">
        <f t="shared" si="194"/>
        <v>0.20906015366935837</v>
      </c>
      <c r="M1557" s="84">
        <f t="shared" si="195"/>
        <v>0.90173947323669301</v>
      </c>
      <c r="N1557" s="47">
        <f t="shared" si="196"/>
        <v>3.4893817668368951E-2</v>
      </c>
      <c r="O1557" s="47">
        <f t="shared" si="197"/>
        <v>1.0739334099447058E-2</v>
      </c>
      <c r="P1557" s="47">
        <f t="shared" si="198"/>
        <v>1.5515091237960764E-2</v>
      </c>
      <c r="Q1557" s="47">
        <f t="shared" si="199"/>
        <v>1</v>
      </c>
    </row>
    <row r="1558" spans="1:17" x14ac:dyDescent="0.35">
      <c r="A1558" s="82">
        <v>1555</v>
      </c>
      <c r="B1558" s="83" t="str">
        <f>_xlfn.XLOOKUP(A1558,'TAZs by City - CCAG Model'!$A:$A,'TAZs by City - CCAG Model'!$B:$B,"Unknown")</f>
        <v>Unincorporated</v>
      </c>
      <c r="C1558" s="82">
        <f>_xlfn.XLOOKUP(A1558,'TAZs by City - CCAG Model'!$A:$A,'TAZs by City - CCAG Model'!$C:$C,999)</f>
        <v>2</v>
      </c>
      <c r="D1558" s="82" t="str">
        <f t="shared" si="192"/>
        <v>YES</v>
      </c>
      <c r="E1558" s="27">
        <v>75.459999999999994</v>
      </c>
      <c r="F1558" s="27">
        <v>24.72</v>
      </c>
      <c r="G1558" s="27">
        <v>0</v>
      </c>
      <c r="H1558" s="27">
        <v>0.64</v>
      </c>
      <c r="I1558" s="27">
        <v>3.28</v>
      </c>
      <c r="J1558" s="27">
        <v>112.3</v>
      </c>
      <c r="K1558" s="47">
        <f t="shared" si="193"/>
        <v>0.67195013357079247</v>
      </c>
      <c r="L1558" s="47">
        <f t="shared" si="194"/>
        <v>0.2201246660730187</v>
      </c>
      <c r="M1558" s="84">
        <f t="shared" si="195"/>
        <v>0.8920747996438112</v>
      </c>
      <c r="N1558" s="47">
        <f t="shared" si="196"/>
        <v>0</v>
      </c>
      <c r="O1558" s="47">
        <f t="shared" si="197"/>
        <v>5.6990204808548533E-3</v>
      </c>
      <c r="P1558" s="47">
        <f t="shared" si="198"/>
        <v>2.9207479964381122E-2</v>
      </c>
      <c r="Q1558" s="47">
        <f t="shared" si="199"/>
        <v>1</v>
      </c>
    </row>
    <row r="1559" spans="1:17" x14ac:dyDescent="0.35">
      <c r="A1559" s="82">
        <v>1556</v>
      </c>
      <c r="B1559" s="83" t="str">
        <f>_xlfn.XLOOKUP(A1559,'TAZs by City - CCAG Model'!$A:$A,'TAZs by City - CCAG Model'!$B:$B,"Unknown")</f>
        <v>Half Moon Bay</v>
      </c>
      <c r="C1559" s="82">
        <f>_xlfn.XLOOKUP(A1559,'TAZs by City - CCAG Model'!$A:$A,'TAZs by City - CCAG Model'!$C:$C,999)</f>
        <v>2</v>
      </c>
      <c r="D1559" s="82" t="str">
        <f t="shared" si="192"/>
        <v>YES</v>
      </c>
      <c r="E1559" s="27">
        <v>2432.2199999999998</v>
      </c>
      <c r="F1559" s="27">
        <v>1330.8</v>
      </c>
      <c r="G1559" s="27">
        <v>45.52</v>
      </c>
      <c r="H1559" s="27">
        <v>30.92</v>
      </c>
      <c r="I1559" s="27">
        <v>243.02</v>
      </c>
      <c r="J1559" s="27">
        <v>4162.9399999999996</v>
      </c>
      <c r="K1559" s="47">
        <f t="shared" si="193"/>
        <v>0.5842553579921882</v>
      </c>
      <c r="L1559" s="47">
        <f t="shared" si="194"/>
        <v>0.31967791993158684</v>
      </c>
      <c r="M1559" s="84">
        <f t="shared" si="195"/>
        <v>0.90393327792377498</v>
      </c>
      <c r="N1559" s="47">
        <f t="shared" si="196"/>
        <v>1.0934579888252055E-2</v>
      </c>
      <c r="O1559" s="47">
        <f t="shared" si="197"/>
        <v>7.4274431051132147E-3</v>
      </c>
      <c r="P1559" s="47">
        <f t="shared" si="198"/>
        <v>5.8377012399890467E-2</v>
      </c>
      <c r="Q1559" s="47">
        <f t="shared" si="199"/>
        <v>1</v>
      </c>
    </row>
    <row r="1560" spans="1:17" x14ac:dyDescent="0.35">
      <c r="A1560" s="82">
        <v>1557</v>
      </c>
      <c r="B1560" s="83" t="str">
        <f>_xlfn.XLOOKUP(A1560,'TAZs by City - CCAG Model'!$A:$A,'TAZs by City - CCAG Model'!$B:$B,"Unknown")</f>
        <v>Half Moon Bay</v>
      </c>
      <c r="C1560" s="82">
        <f>_xlfn.XLOOKUP(A1560,'TAZs by City - CCAG Model'!$A:$A,'TAZs by City - CCAG Model'!$C:$C,999)</f>
        <v>2</v>
      </c>
      <c r="D1560" s="82" t="str">
        <f t="shared" si="192"/>
        <v>YES</v>
      </c>
      <c r="E1560" s="27">
        <v>14279.46</v>
      </c>
      <c r="F1560" s="27">
        <v>8706.9</v>
      </c>
      <c r="G1560" s="27">
        <v>283.02</v>
      </c>
      <c r="H1560" s="27">
        <v>196.4</v>
      </c>
      <c r="I1560" s="27">
        <v>2342.04</v>
      </c>
      <c r="J1560" s="27">
        <v>26122.3</v>
      </c>
      <c r="K1560" s="47">
        <f t="shared" si="193"/>
        <v>0.54663869567381129</v>
      </c>
      <c r="L1560" s="47">
        <f t="shared" si="194"/>
        <v>0.33331291655022721</v>
      </c>
      <c r="M1560" s="84">
        <f t="shared" si="195"/>
        <v>0.8799516122240385</v>
      </c>
      <c r="N1560" s="47">
        <f t="shared" si="196"/>
        <v>1.0834421165058207E-2</v>
      </c>
      <c r="O1560" s="47">
        <f t="shared" si="197"/>
        <v>7.518480378833411E-3</v>
      </c>
      <c r="P1560" s="47">
        <f t="shared" si="198"/>
        <v>8.9656730073538707E-2</v>
      </c>
      <c r="Q1560" s="47">
        <f t="shared" si="199"/>
        <v>1</v>
      </c>
    </row>
    <row r="1561" spans="1:17" x14ac:dyDescent="0.35">
      <c r="A1561" s="82">
        <v>1558</v>
      </c>
      <c r="B1561" s="83" t="str">
        <f>_xlfn.XLOOKUP(A1561,'TAZs by City - CCAG Model'!$A:$A,'TAZs by City - CCAG Model'!$B:$B,"Unknown")</f>
        <v>Half Moon Bay</v>
      </c>
      <c r="C1561" s="82">
        <f>_xlfn.XLOOKUP(A1561,'TAZs by City - CCAG Model'!$A:$A,'TAZs by City - CCAG Model'!$C:$C,999)</f>
        <v>2</v>
      </c>
      <c r="D1561" s="82" t="str">
        <f t="shared" si="192"/>
        <v>YES</v>
      </c>
      <c r="E1561" s="27">
        <v>33861.08</v>
      </c>
      <c r="F1561" s="27">
        <v>17510.82</v>
      </c>
      <c r="G1561" s="27">
        <v>451.6</v>
      </c>
      <c r="H1561" s="27">
        <v>426.04</v>
      </c>
      <c r="I1561" s="27">
        <v>8030.66</v>
      </c>
      <c r="J1561" s="27">
        <v>60749.66</v>
      </c>
      <c r="K1561" s="47">
        <f t="shared" si="193"/>
        <v>0.55738715245484505</v>
      </c>
      <c r="L1561" s="47">
        <f t="shared" si="194"/>
        <v>0.28824556384348488</v>
      </c>
      <c r="M1561" s="84">
        <f t="shared" si="195"/>
        <v>0.84563271629832992</v>
      </c>
      <c r="N1561" s="47">
        <f t="shared" si="196"/>
        <v>7.4337864606978873E-3</v>
      </c>
      <c r="O1561" s="47">
        <f t="shared" si="197"/>
        <v>7.0130433651809741E-3</v>
      </c>
      <c r="P1561" s="47">
        <f t="shared" si="198"/>
        <v>0.13219267400015078</v>
      </c>
      <c r="Q1561" s="47">
        <f t="shared" si="199"/>
        <v>1</v>
      </c>
    </row>
    <row r="1562" spans="1:17" x14ac:dyDescent="0.35">
      <c r="A1562" s="82">
        <v>1559</v>
      </c>
      <c r="B1562" s="83" t="str">
        <f>_xlfn.XLOOKUP(A1562,'TAZs by City - CCAG Model'!$A:$A,'TAZs by City - CCAG Model'!$B:$B,"Unknown")</f>
        <v>Unincorporated</v>
      </c>
      <c r="C1562" s="82">
        <f>_xlfn.XLOOKUP(A1562,'TAZs by City - CCAG Model'!$A:$A,'TAZs by City - CCAG Model'!$C:$C,999)</f>
        <v>2</v>
      </c>
      <c r="D1562" s="82" t="str">
        <f t="shared" si="192"/>
        <v>YES</v>
      </c>
      <c r="E1562" s="27">
        <v>72.78</v>
      </c>
      <c r="F1562" s="27">
        <v>31.22</v>
      </c>
      <c r="G1562" s="27">
        <v>0.26</v>
      </c>
      <c r="H1562" s="27">
        <v>0.02</v>
      </c>
      <c r="I1562" s="27">
        <v>0.6</v>
      </c>
      <c r="J1562" s="27">
        <v>116.58</v>
      </c>
      <c r="K1562" s="47">
        <f t="shared" si="193"/>
        <v>0.62429233144621721</v>
      </c>
      <c r="L1562" s="47">
        <f t="shared" si="194"/>
        <v>0.26779893635271917</v>
      </c>
      <c r="M1562" s="84">
        <f t="shared" si="195"/>
        <v>0.89209126779893633</v>
      </c>
      <c r="N1562" s="47">
        <f t="shared" si="196"/>
        <v>2.230228169497341E-3</v>
      </c>
      <c r="O1562" s="47">
        <f t="shared" si="197"/>
        <v>1.7155601303825701E-4</v>
      </c>
      <c r="P1562" s="47">
        <f t="shared" si="198"/>
        <v>5.1466803911477095E-3</v>
      </c>
      <c r="Q1562" s="47">
        <f t="shared" si="199"/>
        <v>1</v>
      </c>
    </row>
    <row r="1563" spans="1:17" x14ac:dyDescent="0.35">
      <c r="A1563" s="82">
        <v>1560</v>
      </c>
      <c r="B1563" s="83" t="str">
        <f>_xlfn.XLOOKUP(A1563,'TAZs by City - CCAG Model'!$A:$A,'TAZs by City - CCAG Model'!$B:$B,"Unknown")</f>
        <v>Unincorporated</v>
      </c>
      <c r="C1563" s="82">
        <f>_xlfn.XLOOKUP(A1563,'TAZs by City - CCAG Model'!$A:$A,'TAZs by City - CCAG Model'!$C:$C,999)</f>
        <v>2</v>
      </c>
      <c r="D1563" s="82" t="str">
        <f t="shared" si="192"/>
        <v>YES</v>
      </c>
      <c r="E1563" s="27">
        <v>37.700000000000003</v>
      </c>
      <c r="F1563" s="27">
        <v>18.72</v>
      </c>
      <c r="G1563" s="27">
        <v>0</v>
      </c>
      <c r="H1563" s="27">
        <v>0.44</v>
      </c>
      <c r="I1563" s="27">
        <v>1.36</v>
      </c>
      <c r="J1563" s="27">
        <v>68.260000000000005</v>
      </c>
      <c r="K1563" s="47">
        <f t="shared" si="193"/>
        <v>0.55230002929973632</v>
      </c>
      <c r="L1563" s="47">
        <f t="shared" si="194"/>
        <v>0.27424553179021383</v>
      </c>
      <c r="M1563" s="84">
        <f t="shared" si="195"/>
        <v>0.82654556108995014</v>
      </c>
      <c r="N1563" s="47">
        <f t="shared" si="196"/>
        <v>0</v>
      </c>
      <c r="O1563" s="47">
        <f t="shared" si="197"/>
        <v>6.4459419865221211E-3</v>
      </c>
      <c r="P1563" s="47">
        <f t="shared" si="198"/>
        <v>1.9923820685613828E-2</v>
      </c>
      <c r="Q1563" s="47">
        <f t="shared" si="199"/>
        <v>1</v>
      </c>
    </row>
    <row r="1564" spans="1:17" x14ac:dyDescent="0.35">
      <c r="A1564" s="82">
        <v>1561</v>
      </c>
      <c r="B1564" s="83" t="str">
        <f>_xlfn.XLOOKUP(A1564,'TAZs by City - CCAG Model'!$A:$A,'TAZs by City - CCAG Model'!$B:$B,"Unknown")</f>
        <v>Woodside</v>
      </c>
      <c r="C1564" s="82">
        <f>_xlfn.XLOOKUP(A1564,'TAZs by City - CCAG Model'!$A:$A,'TAZs by City - CCAG Model'!$C:$C,999)</f>
        <v>2</v>
      </c>
      <c r="D1564" s="82" t="str">
        <f t="shared" si="192"/>
        <v>YES</v>
      </c>
      <c r="E1564" s="27">
        <v>3013.52</v>
      </c>
      <c r="F1564" s="27">
        <v>948.02</v>
      </c>
      <c r="G1564" s="27">
        <v>0</v>
      </c>
      <c r="H1564" s="27">
        <v>62.2</v>
      </c>
      <c r="I1564" s="27">
        <v>56.78</v>
      </c>
      <c r="J1564" s="27">
        <v>4104.18</v>
      </c>
      <c r="K1564" s="47">
        <f t="shared" si="193"/>
        <v>0.73425629480188481</v>
      </c>
      <c r="L1564" s="47">
        <f t="shared" si="194"/>
        <v>0.23098889424927754</v>
      </c>
      <c r="M1564" s="84">
        <f t="shared" si="195"/>
        <v>0.96524518905116241</v>
      </c>
      <c r="N1564" s="47">
        <f t="shared" si="196"/>
        <v>0</v>
      </c>
      <c r="O1564" s="47">
        <f t="shared" si="197"/>
        <v>1.5155280713808849E-2</v>
      </c>
      <c r="P1564" s="47">
        <f t="shared" si="198"/>
        <v>1.3834675867042867E-2</v>
      </c>
      <c r="Q1564" s="47">
        <f t="shared" si="199"/>
        <v>1</v>
      </c>
    </row>
    <row r="1565" spans="1:17" x14ac:dyDescent="0.35">
      <c r="A1565" s="82">
        <v>1562</v>
      </c>
      <c r="B1565" s="83" t="str">
        <f>_xlfn.XLOOKUP(A1565,'TAZs by City - CCAG Model'!$A:$A,'TAZs by City - CCAG Model'!$B:$B,"Unknown")</f>
        <v>Redwood City</v>
      </c>
      <c r="C1565" s="82">
        <f>_xlfn.XLOOKUP(A1565,'TAZs by City - CCAG Model'!$A:$A,'TAZs by City - CCAG Model'!$C:$C,999)</f>
        <v>2</v>
      </c>
      <c r="D1565" s="82" t="str">
        <f t="shared" si="192"/>
        <v>YES</v>
      </c>
      <c r="E1565" s="27">
        <v>5121.54</v>
      </c>
      <c r="F1565" s="27">
        <v>2808.6</v>
      </c>
      <c r="G1565" s="27">
        <v>90.1</v>
      </c>
      <c r="H1565" s="27">
        <v>109.2</v>
      </c>
      <c r="I1565" s="27">
        <v>827.92</v>
      </c>
      <c r="J1565" s="27">
        <v>9087.5</v>
      </c>
      <c r="K1565" s="47">
        <f t="shared" si="193"/>
        <v>0.56358074277854198</v>
      </c>
      <c r="L1565" s="47">
        <f t="shared" si="194"/>
        <v>0.30906189821182944</v>
      </c>
      <c r="M1565" s="84">
        <f t="shared" si="195"/>
        <v>0.87264264099037137</v>
      </c>
      <c r="N1565" s="47">
        <f t="shared" si="196"/>
        <v>9.9147180192572203E-3</v>
      </c>
      <c r="O1565" s="47">
        <f t="shared" si="197"/>
        <v>1.2016506189821183E-2</v>
      </c>
      <c r="P1565" s="47">
        <f t="shared" si="198"/>
        <v>9.1105364511691878E-2</v>
      </c>
      <c r="Q1565" s="47">
        <f t="shared" si="199"/>
        <v>1</v>
      </c>
    </row>
    <row r="1566" spans="1:17" x14ac:dyDescent="0.35">
      <c r="A1566" s="82">
        <v>1563</v>
      </c>
      <c r="B1566" s="83" t="str">
        <f>_xlfn.XLOOKUP(A1566,'TAZs by City - CCAG Model'!$A:$A,'TAZs by City - CCAG Model'!$B:$B,"Unknown")</f>
        <v>Redwood City</v>
      </c>
      <c r="C1566" s="82">
        <f>_xlfn.XLOOKUP(A1566,'TAZs by City - CCAG Model'!$A:$A,'TAZs by City - CCAG Model'!$C:$C,999)</f>
        <v>2</v>
      </c>
      <c r="D1566" s="82" t="str">
        <f t="shared" si="192"/>
        <v>YES</v>
      </c>
      <c r="E1566" s="27">
        <v>3505.84</v>
      </c>
      <c r="F1566" s="27">
        <v>2192.52</v>
      </c>
      <c r="G1566" s="27">
        <v>86.6</v>
      </c>
      <c r="H1566" s="27">
        <v>83.76</v>
      </c>
      <c r="I1566" s="27">
        <v>386.44</v>
      </c>
      <c r="J1566" s="27">
        <v>6376.74</v>
      </c>
      <c r="K1566" s="47">
        <f t="shared" si="193"/>
        <v>0.54978562713863199</v>
      </c>
      <c r="L1566" s="47">
        <f t="shared" si="194"/>
        <v>0.34383086028284043</v>
      </c>
      <c r="M1566" s="84">
        <f t="shared" si="195"/>
        <v>0.89361648742147248</v>
      </c>
      <c r="N1566" s="47">
        <f t="shared" si="196"/>
        <v>1.3580607018633345E-2</v>
      </c>
      <c r="O1566" s="47">
        <f t="shared" si="197"/>
        <v>1.3135238381994563E-2</v>
      </c>
      <c r="P1566" s="47">
        <f t="shared" si="198"/>
        <v>6.0601498571370323E-2</v>
      </c>
      <c r="Q1566" s="47">
        <f t="shared" si="199"/>
        <v>1</v>
      </c>
    </row>
    <row r="1567" spans="1:17" x14ac:dyDescent="0.35">
      <c r="A1567" s="82">
        <v>1564</v>
      </c>
      <c r="B1567" s="83" t="str">
        <f>_xlfn.XLOOKUP(A1567,'TAZs by City - CCAG Model'!$A:$A,'TAZs by City - CCAG Model'!$B:$B,"Unknown")</f>
        <v>San Carlos</v>
      </c>
      <c r="C1567" s="82">
        <f>_xlfn.XLOOKUP(A1567,'TAZs by City - CCAG Model'!$A:$A,'TAZs by City - CCAG Model'!$C:$C,999)</f>
        <v>2</v>
      </c>
      <c r="D1567" s="82" t="str">
        <f t="shared" si="192"/>
        <v>YES</v>
      </c>
      <c r="E1567" s="27">
        <v>10306.68</v>
      </c>
      <c r="F1567" s="27">
        <v>6407.24</v>
      </c>
      <c r="G1567" s="27">
        <v>198.74</v>
      </c>
      <c r="H1567" s="27">
        <v>190.94</v>
      </c>
      <c r="I1567" s="27">
        <v>729.56</v>
      </c>
      <c r="J1567" s="27">
        <v>18069.46</v>
      </c>
      <c r="K1567" s="47">
        <f t="shared" si="193"/>
        <v>0.57039225300590057</v>
      </c>
      <c r="L1567" s="47">
        <f t="shared" si="194"/>
        <v>0.35458945646411127</v>
      </c>
      <c r="M1567" s="84">
        <f t="shared" si="195"/>
        <v>0.92498170947001179</v>
      </c>
      <c r="N1567" s="47">
        <f t="shared" si="196"/>
        <v>1.099866847155366E-2</v>
      </c>
      <c r="O1567" s="47">
        <f t="shared" si="197"/>
        <v>1.056700089543351E-2</v>
      </c>
      <c r="P1567" s="47">
        <f t="shared" si="198"/>
        <v>4.0375307286437997E-2</v>
      </c>
      <c r="Q1567" s="47">
        <f t="shared" si="199"/>
        <v>1</v>
      </c>
    </row>
    <row r="1568" spans="1:17" x14ac:dyDescent="0.35">
      <c r="A1568" s="82">
        <v>1565</v>
      </c>
      <c r="B1568" s="83" t="str">
        <f>_xlfn.XLOOKUP(A1568,'TAZs by City - CCAG Model'!$A:$A,'TAZs by City - CCAG Model'!$B:$B,"Unknown")</f>
        <v>San Carlos</v>
      </c>
      <c r="C1568" s="82">
        <f>_xlfn.XLOOKUP(A1568,'TAZs by City - CCAG Model'!$A:$A,'TAZs by City - CCAG Model'!$C:$C,999)</f>
        <v>2</v>
      </c>
      <c r="D1568" s="82" t="str">
        <f t="shared" si="192"/>
        <v>YES</v>
      </c>
      <c r="E1568" s="27">
        <v>5451.88</v>
      </c>
      <c r="F1568" s="27">
        <v>3607.44</v>
      </c>
      <c r="G1568" s="27">
        <v>142.96</v>
      </c>
      <c r="H1568" s="27">
        <v>114.4</v>
      </c>
      <c r="I1568" s="27">
        <v>617.1</v>
      </c>
      <c r="J1568" s="27">
        <v>10113.92</v>
      </c>
      <c r="K1568" s="47">
        <f t="shared" si="193"/>
        <v>0.53904717458710372</v>
      </c>
      <c r="L1568" s="47">
        <f t="shared" si="194"/>
        <v>0.3566806935392014</v>
      </c>
      <c r="M1568" s="84">
        <f t="shared" si="195"/>
        <v>0.89572786812630512</v>
      </c>
      <c r="N1568" s="47">
        <f t="shared" si="196"/>
        <v>1.4134974371954693E-2</v>
      </c>
      <c r="O1568" s="47">
        <f t="shared" si="197"/>
        <v>1.13111434537746E-2</v>
      </c>
      <c r="P1568" s="47">
        <f t="shared" si="198"/>
        <v>6.1014918053534144E-2</v>
      </c>
      <c r="Q1568" s="47">
        <f t="shared" si="199"/>
        <v>1</v>
      </c>
    </row>
    <row r="1569" spans="1:17" x14ac:dyDescent="0.35">
      <c r="A1569" s="82">
        <v>1566</v>
      </c>
      <c r="B1569" s="83" t="str">
        <f>_xlfn.XLOOKUP(A1569,'TAZs by City - CCAG Model'!$A:$A,'TAZs by City - CCAG Model'!$B:$B,"Unknown")</f>
        <v>San Carlos</v>
      </c>
      <c r="C1569" s="82">
        <f>_xlfn.XLOOKUP(A1569,'TAZs by City - CCAG Model'!$A:$A,'TAZs by City - CCAG Model'!$C:$C,999)</f>
        <v>2</v>
      </c>
      <c r="D1569" s="82" t="str">
        <f t="shared" si="192"/>
        <v>YES</v>
      </c>
      <c r="E1569" s="27">
        <v>4475.0200000000004</v>
      </c>
      <c r="F1569" s="27">
        <v>2428.6799999999998</v>
      </c>
      <c r="G1569" s="27">
        <v>130.52000000000001</v>
      </c>
      <c r="H1569" s="27">
        <v>108.4</v>
      </c>
      <c r="I1569" s="27">
        <v>1647.22</v>
      </c>
      <c r="J1569" s="27">
        <v>8973.9599999999991</v>
      </c>
      <c r="K1569" s="47">
        <f t="shared" si="193"/>
        <v>0.4986672550356811</v>
      </c>
      <c r="L1569" s="47">
        <f t="shared" si="194"/>
        <v>0.27063637457710976</v>
      </c>
      <c r="M1569" s="84">
        <f t="shared" si="195"/>
        <v>0.76930362961279097</v>
      </c>
      <c r="N1569" s="47">
        <f t="shared" si="196"/>
        <v>1.454430374104632E-2</v>
      </c>
      <c r="O1569" s="47">
        <f t="shared" si="197"/>
        <v>1.2079394158208865E-2</v>
      </c>
      <c r="P1569" s="47">
        <f t="shared" si="198"/>
        <v>0.18355553178307016</v>
      </c>
      <c r="Q1569" s="47">
        <f t="shared" si="199"/>
        <v>1</v>
      </c>
    </row>
    <row r="1570" spans="1:17" x14ac:dyDescent="0.35">
      <c r="A1570" s="82">
        <v>1567</v>
      </c>
      <c r="B1570" s="83" t="str">
        <f>_xlfn.XLOOKUP(A1570,'TAZs by City - CCAG Model'!$A:$A,'TAZs by City - CCAG Model'!$B:$B,"Unknown")</f>
        <v>San Carlos</v>
      </c>
      <c r="C1570" s="82">
        <f>_xlfn.XLOOKUP(A1570,'TAZs by City - CCAG Model'!$A:$A,'TAZs by City - CCAG Model'!$C:$C,999)</f>
        <v>2</v>
      </c>
      <c r="D1570" s="82" t="str">
        <f t="shared" si="192"/>
        <v>YES</v>
      </c>
      <c r="E1570" s="27">
        <v>6642.72</v>
      </c>
      <c r="F1570" s="27">
        <v>3335.6</v>
      </c>
      <c r="G1570" s="27">
        <v>330.24</v>
      </c>
      <c r="H1570" s="27">
        <v>148.68</v>
      </c>
      <c r="I1570" s="27">
        <v>825.2</v>
      </c>
      <c r="J1570" s="27">
        <v>11654.76</v>
      </c>
      <c r="K1570" s="47">
        <f t="shared" si="193"/>
        <v>0.5699576825262811</v>
      </c>
      <c r="L1570" s="47">
        <f t="shared" si="194"/>
        <v>0.28620065964464303</v>
      </c>
      <c r="M1570" s="84">
        <f t="shared" si="195"/>
        <v>0.85615834217092412</v>
      </c>
      <c r="N1570" s="47">
        <f t="shared" si="196"/>
        <v>2.8335203813720747E-2</v>
      </c>
      <c r="O1570" s="47">
        <f t="shared" si="197"/>
        <v>1.2757019449563955E-2</v>
      </c>
      <c r="P1570" s="47">
        <f t="shared" si="198"/>
        <v>7.0803688793248429E-2</v>
      </c>
      <c r="Q1570" s="47">
        <f t="shared" si="199"/>
        <v>1</v>
      </c>
    </row>
    <row r="1571" spans="1:17" x14ac:dyDescent="0.35">
      <c r="A1571" s="82">
        <v>1568</v>
      </c>
      <c r="B1571" s="83" t="str">
        <f>_xlfn.XLOOKUP(A1571,'TAZs by City - CCAG Model'!$A:$A,'TAZs by City - CCAG Model'!$B:$B,"Unknown")</f>
        <v>Redwood City</v>
      </c>
      <c r="C1571" s="82">
        <f>_xlfn.XLOOKUP(A1571,'TAZs by City - CCAG Model'!$A:$A,'TAZs by City - CCAG Model'!$C:$C,999)</f>
        <v>2</v>
      </c>
      <c r="D1571" s="82" t="str">
        <f t="shared" si="192"/>
        <v>YES</v>
      </c>
      <c r="E1571" s="27">
        <v>17444.66</v>
      </c>
      <c r="F1571" s="27">
        <v>5732.22</v>
      </c>
      <c r="G1571" s="27">
        <v>482.86</v>
      </c>
      <c r="H1571" s="27">
        <v>224.58</v>
      </c>
      <c r="I1571" s="27">
        <v>1253.56</v>
      </c>
      <c r="J1571" s="27">
        <v>25646.92</v>
      </c>
      <c r="K1571" s="47">
        <f t="shared" si="193"/>
        <v>0.68018537898507891</v>
      </c>
      <c r="L1571" s="47">
        <f t="shared" si="194"/>
        <v>0.22350520062448048</v>
      </c>
      <c r="M1571" s="84">
        <f t="shared" si="195"/>
        <v>0.90369057960955945</v>
      </c>
      <c r="N1571" s="47">
        <f t="shared" si="196"/>
        <v>1.8827212000505324E-2</v>
      </c>
      <c r="O1571" s="47">
        <f t="shared" si="197"/>
        <v>8.7566070311756745E-3</v>
      </c>
      <c r="P1571" s="47">
        <f t="shared" si="198"/>
        <v>4.8877604016388715E-2</v>
      </c>
      <c r="Q1571" s="47">
        <f t="shared" si="199"/>
        <v>1</v>
      </c>
    </row>
    <row r="1572" spans="1:17" x14ac:dyDescent="0.35">
      <c r="A1572" s="82">
        <v>1569</v>
      </c>
      <c r="B1572" s="83" t="str">
        <f>_xlfn.XLOOKUP(A1572,'TAZs by City - CCAG Model'!$A:$A,'TAZs by City - CCAG Model'!$B:$B,"Unknown")</f>
        <v>Redwood City</v>
      </c>
      <c r="C1572" s="82">
        <f>_xlfn.XLOOKUP(A1572,'TAZs by City - CCAG Model'!$A:$A,'TAZs by City - CCAG Model'!$C:$C,999)</f>
        <v>2</v>
      </c>
      <c r="D1572" s="82" t="str">
        <f t="shared" si="192"/>
        <v>YES</v>
      </c>
      <c r="E1572" s="27">
        <v>1329.26</v>
      </c>
      <c r="F1572" s="27">
        <v>882.92</v>
      </c>
      <c r="G1572" s="27">
        <v>49.64</v>
      </c>
      <c r="H1572" s="27">
        <v>22.76</v>
      </c>
      <c r="I1572" s="27">
        <v>441.8</v>
      </c>
      <c r="J1572" s="27">
        <v>2800.9</v>
      </c>
      <c r="K1572" s="47">
        <f t="shared" si="193"/>
        <v>0.474583169695455</v>
      </c>
      <c r="L1572" s="47">
        <f t="shared" si="194"/>
        <v>0.31522724838444782</v>
      </c>
      <c r="M1572" s="84">
        <f t="shared" si="195"/>
        <v>0.78981041807990282</v>
      </c>
      <c r="N1572" s="47">
        <f t="shared" si="196"/>
        <v>1.7722874790245993E-2</v>
      </c>
      <c r="O1572" s="47">
        <f t="shared" si="197"/>
        <v>8.1259595130136753E-3</v>
      </c>
      <c r="P1572" s="47">
        <f t="shared" si="198"/>
        <v>0.15773501374558177</v>
      </c>
      <c r="Q1572" s="47">
        <f t="shared" si="199"/>
        <v>1</v>
      </c>
    </row>
    <row r="1573" spans="1:17" x14ac:dyDescent="0.35">
      <c r="A1573" s="82">
        <v>1570</v>
      </c>
      <c r="B1573" s="83" t="str">
        <f>_xlfn.XLOOKUP(A1573,'TAZs by City - CCAG Model'!$A:$A,'TAZs by City - CCAG Model'!$B:$B,"Unknown")</f>
        <v>Redwood City</v>
      </c>
      <c r="C1573" s="82">
        <f>_xlfn.XLOOKUP(A1573,'TAZs by City - CCAG Model'!$A:$A,'TAZs by City - CCAG Model'!$C:$C,999)</f>
        <v>2</v>
      </c>
      <c r="D1573" s="82" t="str">
        <f t="shared" si="192"/>
        <v>YES</v>
      </c>
      <c r="E1573" s="27">
        <v>7.44</v>
      </c>
      <c r="F1573" s="27">
        <v>0.08</v>
      </c>
      <c r="G1573" s="27">
        <v>0</v>
      </c>
      <c r="H1573" s="27">
        <v>0</v>
      </c>
      <c r="I1573" s="27">
        <v>0</v>
      </c>
      <c r="J1573" s="27">
        <v>10.199999999999999</v>
      </c>
      <c r="K1573" s="47">
        <f t="shared" si="193"/>
        <v>0.72941176470588243</v>
      </c>
      <c r="L1573" s="47">
        <f t="shared" si="194"/>
        <v>7.8431372549019607E-3</v>
      </c>
      <c r="M1573" s="84">
        <f t="shared" si="195"/>
        <v>0.73725490196078436</v>
      </c>
      <c r="N1573" s="47">
        <f t="shared" si="196"/>
        <v>0</v>
      </c>
      <c r="O1573" s="47">
        <f t="shared" si="197"/>
        <v>0</v>
      </c>
      <c r="P1573" s="47">
        <f t="shared" si="198"/>
        <v>0</v>
      </c>
      <c r="Q1573" s="47">
        <f t="shared" si="199"/>
        <v>1</v>
      </c>
    </row>
    <row r="1574" spans="1:17" x14ac:dyDescent="0.35">
      <c r="A1574" s="82">
        <v>1571</v>
      </c>
      <c r="B1574" s="83" t="str">
        <f>_xlfn.XLOOKUP(A1574,'TAZs by City - CCAG Model'!$A:$A,'TAZs by City - CCAG Model'!$B:$B,"Unknown")</f>
        <v>Redwood City</v>
      </c>
      <c r="C1574" s="82">
        <f>_xlfn.XLOOKUP(A1574,'TAZs by City - CCAG Model'!$A:$A,'TAZs by City - CCAG Model'!$C:$C,999)</f>
        <v>2</v>
      </c>
      <c r="D1574" s="82" t="str">
        <f t="shared" si="192"/>
        <v>YES</v>
      </c>
      <c r="E1574" s="27">
        <v>618.24</v>
      </c>
      <c r="F1574" s="27">
        <v>226.1</v>
      </c>
      <c r="G1574" s="27">
        <v>37.1</v>
      </c>
      <c r="H1574" s="27">
        <v>8.94</v>
      </c>
      <c r="I1574" s="27">
        <v>66.58</v>
      </c>
      <c r="J1574" s="27">
        <v>1042.9000000000001</v>
      </c>
      <c r="K1574" s="47">
        <f t="shared" si="193"/>
        <v>0.59280851471857321</v>
      </c>
      <c r="L1574" s="47">
        <f t="shared" si="194"/>
        <v>0.21679930961741295</v>
      </c>
      <c r="M1574" s="84">
        <f t="shared" si="195"/>
        <v>0.8096078243359861</v>
      </c>
      <c r="N1574" s="47">
        <f t="shared" si="196"/>
        <v>3.5573880525457853E-2</v>
      </c>
      <c r="O1574" s="47">
        <f t="shared" si="197"/>
        <v>8.5722504554607334E-3</v>
      </c>
      <c r="P1574" s="47">
        <f t="shared" si="198"/>
        <v>6.3841212004986089E-2</v>
      </c>
      <c r="Q1574" s="47">
        <f t="shared" si="199"/>
        <v>1</v>
      </c>
    </row>
    <row r="1575" spans="1:17" x14ac:dyDescent="0.35">
      <c r="A1575" s="82">
        <v>1572</v>
      </c>
      <c r="B1575" s="83" t="str">
        <f>_xlfn.XLOOKUP(A1575,'TAZs by City - CCAG Model'!$A:$A,'TAZs by City - CCAG Model'!$B:$B,"Unknown")</f>
        <v>Redwood City</v>
      </c>
      <c r="C1575" s="82">
        <f>_xlfn.XLOOKUP(A1575,'TAZs by City - CCAG Model'!$A:$A,'TAZs by City - CCAG Model'!$C:$C,999)</f>
        <v>2</v>
      </c>
      <c r="D1575" s="82" t="str">
        <f t="shared" si="192"/>
        <v>YES</v>
      </c>
      <c r="E1575" s="27">
        <v>2175.7199999999998</v>
      </c>
      <c r="F1575" s="27">
        <v>1267.04</v>
      </c>
      <c r="G1575" s="27">
        <v>124.52</v>
      </c>
      <c r="H1575" s="27">
        <v>70.14</v>
      </c>
      <c r="I1575" s="27">
        <v>344.8</v>
      </c>
      <c r="J1575" s="27">
        <v>4153.72</v>
      </c>
      <c r="K1575" s="47">
        <f t="shared" si="193"/>
        <v>0.52380035245514855</v>
      </c>
      <c r="L1575" s="47">
        <f t="shared" si="194"/>
        <v>0.30503741224733488</v>
      </c>
      <c r="M1575" s="84">
        <f t="shared" si="195"/>
        <v>0.82883776470248349</v>
      </c>
      <c r="N1575" s="47">
        <f t="shared" si="196"/>
        <v>2.9977947478404897E-2</v>
      </c>
      <c r="O1575" s="47">
        <f t="shared" si="197"/>
        <v>1.6886068391706709E-2</v>
      </c>
      <c r="P1575" s="47">
        <f t="shared" si="198"/>
        <v>8.3009928449678846E-2</v>
      </c>
      <c r="Q1575" s="47">
        <f t="shared" si="199"/>
        <v>1</v>
      </c>
    </row>
    <row r="1576" spans="1:17" x14ac:dyDescent="0.35">
      <c r="A1576" s="82">
        <v>1573</v>
      </c>
      <c r="B1576" s="83" t="str">
        <f>_xlfn.XLOOKUP(A1576,'TAZs by City - CCAG Model'!$A:$A,'TAZs by City - CCAG Model'!$B:$B,"Unknown")</f>
        <v>Redwood City</v>
      </c>
      <c r="C1576" s="82">
        <f>_xlfn.XLOOKUP(A1576,'TAZs by City - CCAG Model'!$A:$A,'TAZs by City - CCAG Model'!$C:$C,999)</f>
        <v>2</v>
      </c>
      <c r="D1576" s="82" t="str">
        <f t="shared" si="192"/>
        <v>YES</v>
      </c>
      <c r="E1576" s="27">
        <v>6140.56</v>
      </c>
      <c r="F1576" s="27">
        <v>3550.78</v>
      </c>
      <c r="G1576" s="27">
        <v>252.38</v>
      </c>
      <c r="H1576" s="27">
        <v>169.86</v>
      </c>
      <c r="I1576" s="27">
        <v>894.12</v>
      </c>
      <c r="J1576" s="27">
        <v>11299.84</v>
      </c>
      <c r="K1576" s="47">
        <f t="shared" si="193"/>
        <v>0.54342008382419582</v>
      </c>
      <c r="L1576" s="47">
        <f t="shared" si="194"/>
        <v>0.31423276789759857</v>
      </c>
      <c r="M1576" s="84">
        <f t="shared" si="195"/>
        <v>0.85765285172179428</v>
      </c>
      <c r="N1576" s="47">
        <f t="shared" si="196"/>
        <v>2.2334829519710012E-2</v>
      </c>
      <c r="O1576" s="47">
        <f t="shared" si="197"/>
        <v>1.5032071250566381E-2</v>
      </c>
      <c r="P1576" s="47">
        <f t="shared" si="198"/>
        <v>7.9126784096058E-2</v>
      </c>
      <c r="Q1576" s="47">
        <f t="shared" si="199"/>
        <v>1</v>
      </c>
    </row>
    <row r="1577" spans="1:17" x14ac:dyDescent="0.35">
      <c r="A1577" s="82">
        <v>1574</v>
      </c>
      <c r="B1577" s="83" t="str">
        <f>_xlfn.XLOOKUP(A1577,'TAZs by City - CCAG Model'!$A:$A,'TAZs by City - CCAG Model'!$B:$B,"Unknown")</f>
        <v>Redwood City</v>
      </c>
      <c r="C1577" s="82">
        <f>_xlfn.XLOOKUP(A1577,'TAZs by City - CCAG Model'!$A:$A,'TAZs by City - CCAG Model'!$C:$C,999)</f>
        <v>2</v>
      </c>
      <c r="D1577" s="82" t="str">
        <f t="shared" si="192"/>
        <v>YES</v>
      </c>
      <c r="E1577" s="27">
        <v>2630.52</v>
      </c>
      <c r="F1577" s="27">
        <v>1452.66</v>
      </c>
      <c r="G1577" s="27">
        <v>80.62</v>
      </c>
      <c r="H1577" s="27">
        <v>82.1</v>
      </c>
      <c r="I1577" s="27">
        <v>638.58000000000004</v>
      </c>
      <c r="J1577" s="27">
        <v>5011.54</v>
      </c>
      <c r="K1577" s="47">
        <f t="shared" si="193"/>
        <v>0.52489254799921781</v>
      </c>
      <c r="L1577" s="47">
        <f t="shared" si="194"/>
        <v>0.28986299620475942</v>
      </c>
      <c r="M1577" s="84">
        <f t="shared" si="195"/>
        <v>0.81475554420397733</v>
      </c>
      <c r="N1577" s="47">
        <f t="shared" si="196"/>
        <v>1.608687150057667E-2</v>
      </c>
      <c r="O1577" s="47">
        <f t="shared" si="197"/>
        <v>1.6382189905697647E-2</v>
      </c>
      <c r="P1577" s="47">
        <f t="shared" si="198"/>
        <v>0.12742191023118643</v>
      </c>
      <c r="Q1577" s="47">
        <f t="shared" si="199"/>
        <v>1</v>
      </c>
    </row>
    <row r="1578" spans="1:17" x14ac:dyDescent="0.35">
      <c r="A1578" s="82">
        <v>1575</v>
      </c>
      <c r="B1578" s="83" t="str">
        <f>_xlfn.XLOOKUP(A1578,'TAZs by City - CCAG Model'!$A:$A,'TAZs by City - CCAG Model'!$B:$B,"Unknown")</f>
        <v>Redwood City</v>
      </c>
      <c r="C1578" s="82">
        <f>_xlfn.XLOOKUP(A1578,'TAZs by City - CCAG Model'!$A:$A,'TAZs by City - CCAG Model'!$C:$C,999)</f>
        <v>2</v>
      </c>
      <c r="D1578" s="82" t="str">
        <f t="shared" si="192"/>
        <v>YES</v>
      </c>
      <c r="E1578" s="27">
        <v>6902.48</v>
      </c>
      <c r="F1578" s="27">
        <v>4690.82</v>
      </c>
      <c r="G1578" s="27">
        <v>300.56</v>
      </c>
      <c r="H1578" s="27">
        <v>258.83999999999997</v>
      </c>
      <c r="I1578" s="27">
        <v>2909.74</v>
      </c>
      <c r="J1578" s="27">
        <v>15412.08</v>
      </c>
      <c r="K1578" s="47">
        <f t="shared" si="193"/>
        <v>0.44786167733362398</v>
      </c>
      <c r="L1578" s="47">
        <f t="shared" si="194"/>
        <v>0.30435995660546789</v>
      </c>
      <c r="M1578" s="84">
        <f t="shared" si="195"/>
        <v>0.75222163393909192</v>
      </c>
      <c r="N1578" s="47">
        <f t="shared" si="196"/>
        <v>1.950158576908503E-2</v>
      </c>
      <c r="O1578" s="47">
        <f t="shared" si="197"/>
        <v>1.6794618247504552E-2</v>
      </c>
      <c r="P1578" s="47">
        <f t="shared" si="198"/>
        <v>0.18879606127141826</v>
      </c>
      <c r="Q1578" s="47">
        <f t="shared" si="199"/>
        <v>1</v>
      </c>
    </row>
    <row r="1579" spans="1:17" x14ac:dyDescent="0.35">
      <c r="A1579" s="82">
        <v>1576</v>
      </c>
      <c r="B1579" s="83" t="str">
        <f>_xlfn.XLOOKUP(A1579,'TAZs by City - CCAG Model'!$A:$A,'TAZs by City - CCAG Model'!$B:$B,"Unknown")</f>
        <v>Redwood City</v>
      </c>
      <c r="C1579" s="82">
        <f>_xlfn.XLOOKUP(A1579,'TAZs by City - CCAG Model'!$A:$A,'TAZs by City - CCAG Model'!$C:$C,999)</f>
        <v>2</v>
      </c>
      <c r="D1579" s="82" t="str">
        <f t="shared" si="192"/>
        <v>YES</v>
      </c>
      <c r="E1579" s="27">
        <v>1808.58</v>
      </c>
      <c r="F1579" s="27">
        <v>1014</v>
      </c>
      <c r="G1579" s="27">
        <v>101.42</v>
      </c>
      <c r="H1579" s="27">
        <v>66.08</v>
      </c>
      <c r="I1579" s="27">
        <v>295.88</v>
      </c>
      <c r="J1579" s="27">
        <v>3439.56</v>
      </c>
      <c r="K1579" s="47">
        <f t="shared" si="193"/>
        <v>0.52581725569549598</v>
      </c>
      <c r="L1579" s="47">
        <f t="shared" si="194"/>
        <v>0.29480514949586578</v>
      </c>
      <c r="M1579" s="84">
        <f t="shared" si="195"/>
        <v>0.82062240519136165</v>
      </c>
      <c r="N1579" s="47">
        <f t="shared" si="196"/>
        <v>2.9486329646815291E-2</v>
      </c>
      <c r="O1579" s="47">
        <f t="shared" si="197"/>
        <v>1.9211759643675354E-2</v>
      </c>
      <c r="P1579" s="47">
        <f t="shared" si="198"/>
        <v>8.6022630801614167E-2</v>
      </c>
      <c r="Q1579" s="47">
        <f t="shared" si="199"/>
        <v>1</v>
      </c>
    </row>
    <row r="1580" spans="1:17" x14ac:dyDescent="0.35">
      <c r="A1580" s="82">
        <v>1577</v>
      </c>
      <c r="B1580" s="83" t="str">
        <f>_xlfn.XLOOKUP(A1580,'TAZs by City - CCAG Model'!$A:$A,'TAZs by City - CCAG Model'!$B:$B,"Unknown")</f>
        <v>Menlo Park</v>
      </c>
      <c r="C1580" s="82">
        <f>_xlfn.XLOOKUP(A1580,'TAZs by City - CCAG Model'!$A:$A,'TAZs by City - CCAG Model'!$C:$C,999)</f>
        <v>2</v>
      </c>
      <c r="D1580" s="82" t="str">
        <f t="shared" si="192"/>
        <v>YES</v>
      </c>
      <c r="E1580" s="27">
        <v>126.7</v>
      </c>
      <c r="F1580" s="27">
        <v>25.82</v>
      </c>
      <c r="G1580" s="27">
        <v>0.04</v>
      </c>
      <c r="H1580" s="27">
        <v>0.86</v>
      </c>
      <c r="I1580" s="27">
        <v>1.86</v>
      </c>
      <c r="J1580" s="27">
        <v>177.62</v>
      </c>
      <c r="K1580" s="47">
        <f t="shared" si="193"/>
        <v>0.71332057200765675</v>
      </c>
      <c r="L1580" s="47">
        <f t="shared" si="194"/>
        <v>0.14536651278009233</v>
      </c>
      <c r="M1580" s="84">
        <f t="shared" si="195"/>
        <v>0.85868708478774913</v>
      </c>
      <c r="N1580" s="47">
        <f t="shared" si="196"/>
        <v>2.2519986488008108E-4</v>
      </c>
      <c r="O1580" s="47">
        <f t="shared" si="197"/>
        <v>4.8417970949217425E-3</v>
      </c>
      <c r="P1580" s="47">
        <f t="shared" si="198"/>
        <v>1.047179371692377E-2</v>
      </c>
      <c r="Q1580" s="47">
        <f t="shared" si="199"/>
        <v>1</v>
      </c>
    </row>
    <row r="1581" spans="1:17" x14ac:dyDescent="0.35">
      <c r="A1581" s="82">
        <v>1578</v>
      </c>
      <c r="B1581" s="83" t="str">
        <f>_xlfn.XLOOKUP(A1581,'TAZs by City - CCAG Model'!$A:$A,'TAZs by City - CCAG Model'!$B:$B,"Unknown")</f>
        <v>Menlo Park</v>
      </c>
      <c r="C1581" s="82">
        <f>_xlfn.XLOOKUP(A1581,'TAZs by City - CCAG Model'!$A:$A,'TAZs by City - CCAG Model'!$C:$C,999)</f>
        <v>2</v>
      </c>
      <c r="D1581" s="82" t="str">
        <f t="shared" si="192"/>
        <v>YES</v>
      </c>
      <c r="E1581" s="27">
        <v>0</v>
      </c>
      <c r="F1581" s="27">
        <v>0.14000000000000001</v>
      </c>
      <c r="G1581" s="27">
        <v>0.02</v>
      </c>
      <c r="H1581" s="27">
        <v>0</v>
      </c>
      <c r="I1581" s="27">
        <v>0.12</v>
      </c>
      <c r="J1581" s="27">
        <v>0.36</v>
      </c>
      <c r="K1581" s="47">
        <f t="shared" si="193"/>
        <v>0</v>
      </c>
      <c r="L1581" s="47">
        <f t="shared" si="194"/>
        <v>0.38888888888888895</v>
      </c>
      <c r="M1581" s="84">
        <f t="shared" si="195"/>
        <v>0.38888888888888895</v>
      </c>
      <c r="N1581" s="47">
        <f t="shared" si="196"/>
        <v>5.5555555555555559E-2</v>
      </c>
      <c r="O1581" s="47">
        <f t="shared" si="197"/>
        <v>0</v>
      </c>
      <c r="P1581" s="47">
        <f t="shared" si="198"/>
        <v>0.33333333333333331</v>
      </c>
      <c r="Q1581" s="47">
        <f t="shared" si="199"/>
        <v>1</v>
      </c>
    </row>
    <row r="1582" spans="1:17" x14ac:dyDescent="0.35">
      <c r="A1582" s="82">
        <v>1579</v>
      </c>
      <c r="B1582" s="83" t="str">
        <f>_xlfn.XLOOKUP(A1582,'TAZs by City - CCAG Model'!$A:$A,'TAZs by City - CCAG Model'!$B:$B,"Unknown")</f>
        <v>East Palo Alto</v>
      </c>
      <c r="C1582" s="82">
        <f>_xlfn.XLOOKUP(A1582,'TAZs by City - CCAG Model'!$A:$A,'TAZs by City - CCAG Model'!$C:$C,999)</f>
        <v>2</v>
      </c>
      <c r="D1582" s="82" t="str">
        <f t="shared" si="192"/>
        <v>YES</v>
      </c>
      <c r="E1582" s="27">
        <v>11080.92</v>
      </c>
      <c r="F1582" s="27">
        <v>7026.24</v>
      </c>
      <c r="G1582" s="27">
        <v>263.16000000000003</v>
      </c>
      <c r="H1582" s="27">
        <v>378.3</v>
      </c>
      <c r="I1582" s="27">
        <v>1622.5</v>
      </c>
      <c r="J1582" s="27">
        <v>20674.900000000001</v>
      </c>
      <c r="K1582" s="47">
        <f t="shared" si="193"/>
        <v>0.53596002882722527</v>
      </c>
      <c r="L1582" s="47">
        <f t="shared" si="194"/>
        <v>0.33984396538798251</v>
      </c>
      <c r="M1582" s="84">
        <f t="shared" si="195"/>
        <v>0.87580399421520772</v>
      </c>
      <c r="N1582" s="47">
        <f t="shared" si="196"/>
        <v>1.272847752588888E-2</v>
      </c>
      <c r="O1582" s="47">
        <f t="shared" si="197"/>
        <v>1.8297549202172681E-2</v>
      </c>
      <c r="P1582" s="47">
        <f t="shared" si="198"/>
        <v>7.8476800371464914E-2</v>
      </c>
      <c r="Q1582" s="47">
        <f t="shared" si="199"/>
        <v>1</v>
      </c>
    </row>
    <row r="1583" spans="1:17" x14ac:dyDescent="0.35">
      <c r="A1583" s="82">
        <v>1580</v>
      </c>
      <c r="B1583" s="83" t="str">
        <f>_xlfn.XLOOKUP(A1583,'TAZs by City - CCAG Model'!$A:$A,'TAZs by City - CCAG Model'!$B:$B,"Unknown")</f>
        <v>East Palo Alto</v>
      </c>
      <c r="C1583" s="82">
        <f>_xlfn.XLOOKUP(A1583,'TAZs by City - CCAG Model'!$A:$A,'TAZs by City - CCAG Model'!$C:$C,999)</f>
        <v>2</v>
      </c>
      <c r="D1583" s="82" t="str">
        <f t="shared" si="192"/>
        <v>YES</v>
      </c>
      <c r="E1583" s="27">
        <v>6301.1</v>
      </c>
      <c r="F1583" s="27">
        <v>6105.62</v>
      </c>
      <c r="G1583" s="27">
        <v>269.22000000000003</v>
      </c>
      <c r="H1583" s="27">
        <v>348.92</v>
      </c>
      <c r="I1583" s="27">
        <v>2023.12</v>
      </c>
      <c r="J1583" s="27">
        <v>15364.28</v>
      </c>
      <c r="K1583" s="47">
        <f t="shared" si="193"/>
        <v>0.41011358814080451</v>
      </c>
      <c r="L1583" s="47">
        <f t="shared" si="194"/>
        <v>0.39739057085655816</v>
      </c>
      <c r="M1583" s="84">
        <f t="shared" si="195"/>
        <v>0.80750415899736272</v>
      </c>
      <c r="N1583" s="47">
        <f t="shared" si="196"/>
        <v>1.7522461189199885E-2</v>
      </c>
      <c r="O1583" s="47">
        <f t="shared" si="197"/>
        <v>2.2709817837217233E-2</v>
      </c>
      <c r="P1583" s="47">
        <f t="shared" si="198"/>
        <v>0.13167685046093924</v>
      </c>
      <c r="Q1583" s="47">
        <f t="shared" si="199"/>
        <v>1</v>
      </c>
    </row>
    <row r="1584" spans="1:17" x14ac:dyDescent="0.35">
      <c r="A1584" s="82">
        <v>1581</v>
      </c>
      <c r="B1584" s="83" t="str">
        <f>_xlfn.XLOOKUP(A1584,'TAZs by City - CCAG Model'!$A:$A,'TAZs by City - CCAG Model'!$B:$B,"Unknown")</f>
        <v>Menlo Park</v>
      </c>
      <c r="C1584" s="82">
        <f>_xlfn.XLOOKUP(A1584,'TAZs by City - CCAG Model'!$A:$A,'TAZs by City - CCAG Model'!$C:$C,999)</f>
        <v>2</v>
      </c>
      <c r="D1584" s="82" t="str">
        <f t="shared" si="192"/>
        <v>YES</v>
      </c>
      <c r="E1584" s="27">
        <v>2846.44</v>
      </c>
      <c r="F1584" s="27">
        <v>1724.18</v>
      </c>
      <c r="G1584" s="27">
        <v>124.7</v>
      </c>
      <c r="H1584" s="27">
        <v>111.44</v>
      </c>
      <c r="I1584" s="27">
        <v>520.12</v>
      </c>
      <c r="J1584" s="27">
        <v>5493.82</v>
      </c>
      <c r="K1584" s="47">
        <f t="shared" si="193"/>
        <v>0.51811672024201738</v>
      </c>
      <c r="L1584" s="47">
        <f t="shared" si="194"/>
        <v>0.31383991466775396</v>
      </c>
      <c r="M1584" s="84">
        <f t="shared" si="195"/>
        <v>0.83195663490977134</v>
      </c>
      <c r="N1584" s="47">
        <f t="shared" si="196"/>
        <v>2.2698231831403289E-2</v>
      </c>
      <c r="O1584" s="47">
        <f t="shared" si="197"/>
        <v>2.0284610708031933E-2</v>
      </c>
      <c r="P1584" s="47">
        <f t="shared" si="198"/>
        <v>9.4673651484759244E-2</v>
      </c>
      <c r="Q1584" s="47">
        <f t="shared" si="199"/>
        <v>1</v>
      </c>
    </row>
    <row r="1585" spans="1:17" x14ac:dyDescent="0.35">
      <c r="A1585" s="82">
        <v>1582</v>
      </c>
      <c r="B1585" s="83" t="str">
        <f>_xlfn.XLOOKUP(A1585,'TAZs by City - CCAG Model'!$A:$A,'TAZs by City - CCAG Model'!$B:$B,"Unknown")</f>
        <v>Menlo Park</v>
      </c>
      <c r="C1585" s="82">
        <f>_xlfn.XLOOKUP(A1585,'TAZs by City - CCAG Model'!$A:$A,'TAZs by City - CCAG Model'!$C:$C,999)</f>
        <v>2</v>
      </c>
      <c r="D1585" s="82" t="str">
        <f t="shared" si="192"/>
        <v>YES</v>
      </c>
      <c r="E1585" s="27">
        <v>2783.4</v>
      </c>
      <c r="F1585" s="27">
        <v>994.58</v>
      </c>
      <c r="G1585" s="27">
        <v>96.14</v>
      </c>
      <c r="H1585" s="27">
        <v>41.34</v>
      </c>
      <c r="I1585" s="27">
        <v>335.66</v>
      </c>
      <c r="J1585" s="27">
        <v>4394.66</v>
      </c>
      <c r="K1585" s="47">
        <f t="shared" si="193"/>
        <v>0.63335957730518411</v>
      </c>
      <c r="L1585" s="47">
        <f t="shared" si="194"/>
        <v>0.22631557390105267</v>
      </c>
      <c r="M1585" s="84">
        <f t="shared" si="195"/>
        <v>0.85967515120623672</v>
      </c>
      <c r="N1585" s="47">
        <f t="shared" si="196"/>
        <v>2.1876550176805488E-2</v>
      </c>
      <c r="O1585" s="47">
        <f t="shared" si="197"/>
        <v>9.4068710662485854E-3</v>
      </c>
      <c r="P1585" s="47">
        <f t="shared" si="198"/>
        <v>7.6379060041049829E-2</v>
      </c>
      <c r="Q1585" s="47">
        <f t="shared" si="199"/>
        <v>1</v>
      </c>
    </row>
    <row r="1586" spans="1:17" x14ac:dyDescent="0.35">
      <c r="A1586" s="82">
        <v>1583</v>
      </c>
      <c r="B1586" s="83" t="str">
        <f>_xlfn.XLOOKUP(A1586,'TAZs by City - CCAG Model'!$A:$A,'TAZs by City - CCAG Model'!$B:$B,"Unknown")</f>
        <v>Menlo Park</v>
      </c>
      <c r="C1586" s="82">
        <f>_xlfn.XLOOKUP(A1586,'TAZs by City - CCAG Model'!$A:$A,'TAZs by City - CCAG Model'!$C:$C,999)</f>
        <v>2</v>
      </c>
      <c r="D1586" s="82" t="str">
        <f t="shared" si="192"/>
        <v>YES</v>
      </c>
      <c r="E1586" s="27">
        <v>2141.34</v>
      </c>
      <c r="F1586" s="27">
        <v>1414.78</v>
      </c>
      <c r="G1586" s="27">
        <v>57.54</v>
      </c>
      <c r="H1586" s="27">
        <v>67.319999999999993</v>
      </c>
      <c r="I1586" s="27">
        <v>482.64</v>
      </c>
      <c r="J1586" s="27">
        <v>4258.76</v>
      </c>
      <c r="K1586" s="47">
        <f t="shared" si="193"/>
        <v>0.50280832918502105</v>
      </c>
      <c r="L1586" s="47">
        <f t="shared" si="194"/>
        <v>0.33220467929632097</v>
      </c>
      <c r="M1586" s="84">
        <f t="shared" si="195"/>
        <v>0.83501300848134197</v>
      </c>
      <c r="N1586" s="47">
        <f t="shared" si="196"/>
        <v>1.3510975025594304E-2</v>
      </c>
      <c r="O1586" s="47">
        <f t="shared" si="197"/>
        <v>1.5807418121706787E-2</v>
      </c>
      <c r="P1586" s="47">
        <f t="shared" si="198"/>
        <v>0.11332876236275347</v>
      </c>
      <c r="Q1586" s="47">
        <f t="shared" si="199"/>
        <v>1</v>
      </c>
    </row>
    <row r="1587" spans="1:17" x14ac:dyDescent="0.35">
      <c r="A1587" s="82">
        <v>1584</v>
      </c>
      <c r="B1587" s="83" t="str">
        <f>_xlfn.XLOOKUP(A1587,'TAZs by City - CCAG Model'!$A:$A,'TAZs by City - CCAG Model'!$B:$B,"Unknown")</f>
        <v>Atherton</v>
      </c>
      <c r="C1587" s="82">
        <f>_xlfn.XLOOKUP(A1587,'TAZs by City - CCAG Model'!$A:$A,'TAZs by City - CCAG Model'!$C:$C,999)</f>
        <v>2</v>
      </c>
      <c r="D1587" s="82" t="str">
        <f t="shared" si="192"/>
        <v>YES</v>
      </c>
      <c r="E1587" s="27">
        <v>2057.98</v>
      </c>
      <c r="F1587" s="27">
        <v>1153.6600000000001</v>
      </c>
      <c r="G1587" s="27">
        <v>55</v>
      </c>
      <c r="H1587" s="27">
        <v>45.66</v>
      </c>
      <c r="I1587" s="27">
        <v>175.04</v>
      </c>
      <c r="J1587" s="27">
        <v>3586.68</v>
      </c>
      <c r="K1587" s="47">
        <f t="shared" si="193"/>
        <v>0.57378411232672</v>
      </c>
      <c r="L1587" s="47">
        <f t="shared" si="194"/>
        <v>0.32165122062743268</v>
      </c>
      <c r="M1587" s="84">
        <f t="shared" si="195"/>
        <v>0.89543533295415267</v>
      </c>
      <c r="N1587" s="47">
        <f t="shared" si="196"/>
        <v>1.5334515485072546E-2</v>
      </c>
      <c r="O1587" s="47">
        <f t="shared" si="197"/>
        <v>1.2730435946334771E-2</v>
      </c>
      <c r="P1587" s="47">
        <f t="shared" si="198"/>
        <v>4.8802792554674519E-2</v>
      </c>
      <c r="Q1587" s="47">
        <f t="shared" si="199"/>
        <v>1</v>
      </c>
    </row>
    <row r="1588" spans="1:17" x14ac:dyDescent="0.35">
      <c r="A1588" s="82">
        <v>1585</v>
      </c>
      <c r="B1588" s="83" t="str">
        <f>_xlfn.XLOOKUP(A1588,'TAZs by City - CCAG Model'!$A:$A,'TAZs by City - CCAG Model'!$B:$B,"Unknown")</f>
        <v>Menlo Park</v>
      </c>
      <c r="C1588" s="82">
        <f>_xlfn.XLOOKUP(A1588,'TAZs by City - CCAG Model'!$A:$A,'TAZs by City - CCAG Model'!$C:$C,999)</f>
        <v>2</v>
      </c>
      <c r="D1588" s="82" t="str">
        <f t="shared" si="192"/>
        <v>YES</v>
      </c>
      <c r="E1588" s="27">
        <v>16220.56</v>
      </c>
      <c r="F1588" s="27">
        <v>7784.96</v>
      </c>
      <c r="G1588" s="27">
        <v>656.4</v>
      </c>
      <c r="H1588" s="27">
        <v>498.36</v>
      </c>
      <c r="I1588" s="27">
        <v>3015.68</v>
      </c>
      <c r="J1588" s="27">
        <v>28868.880000000001</v>
      </c>
      <c r="K1588" s="47">
        <f t="shared" si="193"/>
        <v>0.56187008294052276</v>
      </c>
      <c r="L1588" s="47">
        <f t="shared" si="194"/>
        <v>0.26966615954619644</v>
      </c>
      <c r="M1588" s="84">
        <f t="shared" si="195"/>
        <v>0.8315362424867192</v>
      </c>
      <c r="N1588" s="47">
        <f t="shared" si="196"/>
        <v>2.2737286656080873E-2</v>
      </c>
      <c r="O1588" s="47">
        <f t="shared" si="197"/>
        <v>1.7262879612925754E-2</v>
      </c>
      <c r="P1588" s="47">
        <f t="shared" si="198"/>
        <v>0.10446127456278179</v>
      </c>
      <c r="Q1588" s="47">
        <f t="shared" si="199"/>
        <v>1</v>
      </c>
    </row>
    <row r="1589" spans="1:17" x14ac:dyDescent="0.35">
      <c r="A1589" s="82">
        <v>1586</v>
      </c>
      <c r="B1589" s="83" t="str">
        <f>_xlfn.XLOOKUP(A1589,'TAZs by City - CCAG Model'!$A:$A,'TAZs by City - CCAG Model'!$B:$B,"Unknown")</f>
        <v>Menlo Park</v>
      </c>
      <c r="C1589" s="82">
        <f>_xlfn.XLOOKUP(A1589,'TAZs by City - CCAG Model'!$A:$A,'TAZs by City - CCAG Model'!$C:$C,999)</f>
        <v>2</v>
      </c>
      <c r="D1589" s="82" t="str">
        <f t="shared" si="192"/>
        <v>YES</v>
      </c>
      <c r="E1589" s="27">
        <v>4809.5</v>
      </c>
      <c r="F1589" s="27">
        <v>2164.84</v>
      </c>
      <c r="G1589" s="27">
        <v>380.48</v>
      </c>
      <c r="H1589" s="27">
        <v>199.4</v>
      </c>
      <c r="I1589" s="27">
        <v>778</v>
      </c>
      <c r="J1589" s="27">
        <v>8760.14</v>
      </c>
      <c r="K1589" s="47">
        <f t="shared" si="193"/>
        <v>0.54902090605857901</v>
      </c>
      <c r="L1589" s="47">
        <f t="shared" si="194"/>
        <v>0.24712390441248658</v>
      </c>
      <c r="M1589" s="84">
        <f t="shared" si="195"/>
        <v>0.79614481047106556</v>
      </c>
      <c r="N1589" s="47">
        <f t="shared" si="196"/>
        <v>4.3433095818103368E-2</v>
      </c>
      <c r="O1589" s="47">
        <f t="shared" si="197"/>
        <v>2.2762193298280622E-2</v>
      </c>
      <c r="P1589" s="47">
        <f t="shared" si="198"/>
        <v>8.8811366028396815E-2</v>
      </c>
      <c r="Q1589" s="47">
        <f t="shared" si="199"/>
        <v>1</v>
      </c>
    </row>
    <row r="1590" spans="1:17" x14ac:dyDescent="0.35">
      <c r="A1590" s="82">
        <v>1587</v>
      </c>
      <c r="B1590" s="83" t="str">
        <f>_xlfn.XLOOKUP(A1590,'TAZs by City - CCAG Model'!$A:$A,'TAZs by City - CCAG Model'!$B:$B,"Unknown")</f>
        <v>Atherton</v>
      </c>
      <c r="C1590" s="82">
        <f>_xlfn.XLOOKUP(A1590,'TAZs by City - CCAG Model'!$A:$A,'TAZs by City - CCAG Model'!$C:$C,999)</f>
        <v>2</v>
      </c>
      <c r="D1590" s="82" t="str">
        <f t="shared" si="192"/>
        <v>YES</v>
      </c>
      <c r="E1590" s="27">
        <v>2917.82</v>
      </c>
      <c r="F1590" s="27">
        <v>1317.18</v>
      </c>
      <c r="G1590" s="27">
        <v>42.64</v>
      </c>
      <c r="H1590" s="27">
        <v>51.84</v>
      </c>
      <c r="I1590" s="27">
        <v>216.48</v>
      </c>
      <c r="J1590" s="27">
        <v>4631.76</v>
      </c>
      <c r="K1590" s="47">
        <f t="shared" si="193"/>
        <v>0.62995923795706166</v>
      </c>
      <c r="L1590" s="47">
        <f t="shared" si="194"/>
        <v>0.28438001969013937</v>
      </c>
      <c r="M1590" s="84">
        <f t="shared" si="195"/>
        <v>0.91433925764720103</v>
      </c>
      <c r="N1590" s="47">
        <f t="shared" si="196"/>
        <v>9.2060037653073565E-3</v>
      </c>
      <c r="O1590" s="47">
        <f t="shared" si="197"/>
        <v>1.1192289755945904E-2</v>
      </c>
      <c r="P1590" s="47">
        <f t="shared" si="198"/>
        <v>4.6738172962329648E-2</v>
      </c>
      <c r="Q1590" s="47">
        <f t="shared" si="199"/>
        <v>1</v>
      </c>
    </row>
    <row r="1591" spans="1:17" x14ac:dyDescent="0.35">
      <c r="A1591" s="82">
        <v>1588</v>
      </c>
      <c r="B1591" s="83" t="str">
        <f>_xlfn.XLOOKUP(A1591,'TAZs by City - CCAG Model'!$A:$A,'TAZs by City - CCAG Model'!$B:$B,"Unknown")</f>
        <v>Menlo Park</v>
      </c>
      <c r="C1591" s="82">
        <f>_xlfn.XLOOKUP(A1591,'TAZs by City - CCAG Model'!$A:$A,'TAZs by City - CCAG Model'!$C:$C,999)</f>
        <v>2</v>
      </c>
      <c r="D1591" s="82" t="str">
        <f t="shared" si="192"/>
        <v>YES</v>
      </c>
      <c r="E1591" s="27">
        <v>6444.62</v>
      </c>
      <c r="F1591" s="27">
        <v>3481.58</v>
      </c>
      <c r="G1591" s="27">
        <v>507.02</v>
      </c>
      <c r="H1591" s="27">
        <v>181.06</v>
      </c>
      <c r="I1591" s="27">
        <v>812.06</v>
      </c>
      <c r="J1591" s="27">
        <v>11977.78</v>
      </c>
      <c r="K1591" s="47">
        <f t="shared" si="193"/>
        <v>0.53804795212468415</v>
      </c>
      <c r="L1591" s="47">
        <f t="shared" si="194"/>
        <v>0.29066989041374941</v>
      </c>
      <c r="M1591" s="84">
        <f t="shared" si="195"/>
        <v>0.82871784253843372</v>
      </c>
      <c r="N1591" s="47">
        <f t="shared" si="196"/>
        <v>4.2330047805185934E-2</v>
      </c>
      <c r="O1591" s="47">
        <f t="shared" si="197"/>
        <v>1.5116323726099494E-2</v>
      </c>
      <c r="P1591" s="47">
        <f t="shared" si="198"/>
        <v>6.7797204490314553E-2</v>
      </c>
      <c r="Q1591" s="47">
        <f t="shared" si="199"/>
        <v>1</v>
      </c>
    </row>
    <row r="1592" spans="1:17" x14ac:dyDescent="0.35">
      <c r="A1592" s="82">
        <v>1589</v>
      </c>
      <c r="B1592" s="83" t="str">
        <f>_xlfn.XLOOKUP(A1592,'TAZs by City - CCAG Model'!$A:$A,'TAZs by City - CCAG Model'!$B:$B,"Unknown")</f>
        <v>Daly City</v>
      </c>
      <c r="C1592" s="82">
        <f>_xlfn.XLOOKUP(A1592,'TAZs by City - CCAG Model'!$A:$A,'TAZs by City - CCAG Model'!$C:$C,999)</f>
        <v>2</v>
      </c>
      <c r="D1592" s="82" t="str">
        <f t="shared" si="192"/>
        <v>YES</v>
      </c>
      <c r="E1592" s="27">
        <v>5095.3</v>
      </c>
      <c r="F1592" s="27">
        <v>3222.94</v>
      </c>
      <c r="G1592" s="27">
        <v>662.32</v>
      </c>
      <c r="H1592" s="27">
        <v>146.80000000000001</v>
      </c>
      <c r="I1592" s="27">
        <v>568.84</v>
      </c>
      <c r="J1592" s="27">
        <v>10384.879999999999</v>
      </c>
      <c r="K1592" s="47">
        <f t="shared" si="193"/>
        <v>0.49064601613114456</v>
      </c>
      <c r="L1592" s="47">
        <f t="shared" si="194"/>
        <v>0.31034927702582987</v>
      </c>
      <c r="M1592" s="84">
        <f t="shared" si="195"/>
        <v>0.80099529315697438</v>
      </c>
      <c r="N1592" s="47">
        <f t="shared" si="196"/>
        <v>6.3777337821910321E-2</v>
      </c>
      <c r="O1592" s="47">
        <f t="shared" si="197"/>
        <v>1.4135936091702554E-2</v>
      </c>
      <c r="P1592" s="47">
        <f t="shared" si="198"/>
        <v>5.477578941692153E-2</v>
      </c>
      <c r="Q1592" s="47">
        <f t="shared" si="199"/>
        <v>1</v>
      </c>
    </row>
    <row r="1593" spans="1:17" x14ac:dyDescent="0.35">
      <c r="A1593" s="82">
        <v>1590</v>
      </c>
      <c r="B1593" s="83" t="str">
        <f>_xlfn.XLOOKUP(A1593,'TAZs by City - CCAG Model'!$A:$A,'TAZs by City - CCAG Model'!$B:$B,"Unknown")</f>
        <v>Unincorporated</v>
      </c>
      <c r="C1593" s="82">
        <f>_xlfn.XLOOKUP(A1593,'TAZs by City - CCAG Model'!$A:$A,'TAZs by City - CCAG Model'!$C:$C,999)</f>
        <v>2</v>
      </c>
      <c r="D1593" s="82" t="str">
        <f t="shared" si="192"/>
        <v>YES</v>
      </c>
      <c r="E1593" s="27">
        <v>3949.44</v>
      </c>
      <c r="F1593" s="27">
        <v>1899.68</v>
      </c>
      <c r="G1593" s="27">
        <v>359.46</v>
      </c>
      <c r="H1593" s="27">
        <v>95.86</v>
      </c>
      <c r="I1593" s="27">
        <v>462.12</v>
      </c>
      <c r="J1593" s="27">
        <v>7162.98</v>
      </c>
      <c r="K1593" s="47">
        <f t="shared" si="193"/>
        <v>0.55136828526674653</v>
      </c>
      <c r="L1593" s="47">
        <f t="shared" si="194"/>
        <v>0.26520805586501711</v>
      </c>
      <c r="M1593" s="84">
        <f t="shared" si="195"/>
        <v>0.81657634113176358</v>
      </c>
      <c r="N1593" s="47">
        <f t="shared" si="196"/>
        <v>5.0183024383706226E-2</v>
      </c>
      <c r="O1593" s="47">
        <f t="shared" si="197"/>
        <v>1.3382698262455013E-2</v>
      </c>
      <c r="P1593" s="47">
        <f t="shared" si="198"/>
        <v>6.4515048206193512E-2</v>
      </c>
      <c r="Q1593" s="47">
        <f t="shared" si="199"/>
        <v>1</v>
      </c>
    </row>
    <row r="1594" spans="1:17" x14ac:dyDescent="0.35">
      <c r="A1594" s="82">
        <v>1591</v>
      </c>
      <c r="B1594" s="83" t="str">
        <f>_xlfn.XLOOKUP(A1594,'TAZs by City - CCAG Model'!$A:$A,'TAZs by City - CCAG Model'!$B:$B,"Unknown")</f>
        <v>Daly City</v>
      </c>
      <c r="C1594" s="82">
        <f>_xlfn.XLOOKUP(A1594,'TAZs by City - CCAG Model'!$A:$A,'TAZs by City - CCAG Model'!$C:$C,999)</f>
        <v>2</v>
      </c>
      <c r="D1594" s="82" t="str">
        <f t="shared" si="192"/>
        <v>YES</v>
      </c>
      <c r="E1594" s="27">
        <v>6485.68</v>
      </c>
      <c r="F1594" s="27">
        <v>4484.16</v>
      </c>
      <c r="G1594" s="27">
        <v>1279.58</v>
      </c>
      <c r="H1594" s="27">
        <v>216.4</v>
      </c>
      <c r="I1594" s="27">
        <v>922.34</v>
      </c>
      <c r="J1594" s="27">
        <v>14706.02</v>
      </c>
      <c r="K1594" s="47">
        <f t="shared" si="193"/>
        <v>0.44102211203303138</v>
      </c>
      <c r="L1594" s="47">
        <f t="shared" si="194"/>
        <v>0.30492002594855711</v>
      </c>
      <c r="M1594" s="84">
        <f t="shared" si="195"/>
        <v>0.74594213798158848</v>
      </c>
      <c r="N1594" s="47">
        <f t="shared" si="196"/>
        <v>8.7010625580544565E-2</v>
      </c>
      <c r="O1594" s="47">
        <f t="shared" si="197"/>
        <v>1.471506226701718E-2</v>
      </c>
      <c r="P1594" s="47">
        <f t="shared" si="198"/>
        <v>6.2718532954531545E-2</v>
      </c>
      <c r="Q1594" s="47">
        <f t="shared" si="199"/>
        <v>1</v>
      </c>
    </row>
    <row r="1595" spans="1:17" x14ac:dyDescent="0.35">
      <c r="A1595" s="82">
        <v>1592</v>
      </c>
      <c r="B1595" s="83" t="str">
        <f>_xlfn.XLOOKUP(A1595,'TAZs by City - CCAG Model'!$A:$A,'TAZs by City - CCAG Model'!$B:$B,"Unknown")</f>
        <v>Brisbane</v>
      </c>
      <c r="C1595" s="82">
        <f>_xlfn.XLOOKUP(A1595,'TAZs by City - CCAG Model'!$A:$A,'TAZs by City - CCAG Model'!$C:$C,999)</f>
        <v>2</v>
      </c>
      <c r="D1595" s="82" t="str">
        <f t="shared" si="192"/>
        <v>YES</v>
      </c>
      <c r="E1595" s="27">
        <v>3780.26</v>
      </c>
      <c r="F1595" s="27">
        <v>1043.44</v>
      </c>
      <c r="G1595" s="27">
        <v>167.12</v>
      </c>
      <c r="H1595" s="27">
        <v>78.2</v>
      </c>
      <c r="I1595" s="27">
        <v>246.98</v>
      </c>
      <c r="J1595" s="27">
        <v>5519.84</v>
      </c>
      <c r="K1595" s="47">
        <f t="shared" si="193"/>
        <v>0.68484956085683646</v>
      </c>
      <c r="L1595" s="47">
        <f t="shared" si="194"/>
        <v>0.18903446476709471</v>
      </c>
      <c r="M1595" s="84">
        <f t="shared" si="195"/>
        <v>0.87388402562393119</v>
      </c>
      <c r="N1595" s="47">
        <f t="shared" si="196"/>
        <v>3.0276239891011334E-2</v>
      </c>
      <c r="O1595" s="47">
        <f t="shared" si="197"/>
        <v>1.4167077306588597E-2</v>
      </c>
      <c r="P1595" s="47">
        <f t="shared" si="198"/>
        <v>4.4744050552189912E-2</v>
      </c>
      <c r="Q1595" s="47">
        <f t="shared" si="199"/>
        <v>1</v>
      </c>
    </row>
    <row r="1596" spans="1:17" x14ac:dyDescent="0.35">
      <c r="A1596" s="82">
        <v>1593</v>
      </c>
      <c r="B1596" s="83" t="str">
        <f>_xlfn.XLOOKUP(A1596,'TAZs by City - CCAG Model'!$A:$A,'TAZs by City - CCAG Model'!$B:$B,"Unknown")</f>
        <v>Unincorporated</v>
      </c>
      <c r="C1596" s="82">
        <f>_xlfn.XLOOKUP(A1596,'TAZs by City - CCAG Model'!$A:$A,'TAZs by City - CCAG Model'!$C:$C,999)</f>
        <v>2</v>
      </c>
      <c r="D1596" s="82" t="str">
        <f t="shared" si="192"/>
        <v>YES</v>
      </c>
      <c r="E1596" s="27">
        <v>21.28</v>
      </c>
      <c r="F1596" s="27">
        <v>3.8</v>
      </c>
      <c r="G1596" s="27">
        <v>0.02</v>
      </c>
      <c r="H1596" s="27">
        <v>0.04</v>
      </c>
      <c r="I1596" s="27">
        <v>0.9</v>
      </c>
      <c r="J1596" s="27">
        <v>31.98</v>
      </c>
      <c r="K1596" s="47">
        <f t="shared" si="193"/>
        <v>0.66541588492808013</v>
      </c>
      <c r="L1596" s="47">
        <f t="shared" si="194"/>
        <v>0.11882426516572857</v>
      </c>
      <c r="M1596" s="84">
        <f t="shared" si="195"/>
        <v>0.78424015009380865</v>
      </c>
      <c r="N1596" s="47">
        <f t="shared" si="196"/>
        <v>6.2539086929330832E-4</v>
      </c>
      <c r="O1596" s="47">
        <f t="shared" si="197"/>
        <v>1.2507817385866166E-3</v>
      </c>
      <c r="P1596" s="47">
        <f t="shared" si="198"/>
        <v>2.8142589118198873E-2</v>
      </c>
      <c r="Q1596" s="47">
        <f t="shared" si="199"/>
        <v>1</v>
      </c>
    </row>
    <row r="1597" spans="1:17" x14ac:dyDescent="0.35">
      <c r="A1597" s="82">
        <v>1594</v>
      </c>
      <c r="B1597" s="83" t="str">
        <f>_xlfn.XLOOKUP(A1597,'TAZs by City - CCAG Model'!$A:$A,'TAZs by City - CCAG Model'!$B:$B,"Unknown")</f>
        <v>South San Francisco</v>
      </c>
      <c r="C1597" s="82">
        <f>_xlfn.XLOOKUP(A1597,'TAZs by City - CCAG Model'!$A:$A,'TAZs by City - CCAG Model'!$C:$C,999)</f>
        <v>2</v>
      </c>
      <c r="D1597" s="82" t="str">
        <f t="shared" si="192"/>
        <v>YES</v>
      </c>
      <c r="E1597" s="27">
        <v>7487.68</v>
      </c>
      <c r="F1597" s="27">
        <v>5358.06</v>
      </c>
      <c r="G1597" s="27">
        <v>932.1</v>
      </c>
      <c r="H1597" s="27">
        <v>274.18</v>
      </c>
      <c r="I1597" s="27">
        <v>1288.08</v>
      </c>
      <c r="J1597" s="27">
        <v>16311.16</v>
      </c>
      <c r="K1597" s="47">
        <f t="shared" si="193"/>
        <v>0.45905257504677782</v>
      </c>
      <c r="L1597" s="47">
        <f t="shared" si="194"/>
        <v>0.32849043231750535</v>
      </c>
      <c r="M1597" s="84">
        <f t="shared" si="195"/>
        <v>0.78754300736428318</v>
      </c>
      <c r="N1597" s="47">
        <f t="shared" si="196"/>
        <v>5.714492408878339E-2</v>
      </c>
      <c r="O1597" s="47">
        <f t="shared" si="197"/>
        <v>1.6809350162710686E-2</v>
      </c>
      <c r="P1597" s="47">
        <f t="shared" si="198"/>
        <v>7.8969245596266599E-2</v>
      </c>
      <c r="Q1597" s="47">
        <f t="shared" si="199"/>
        <v>1</v>
      </c>
    </row>
    <row r="1598" spans="1:17" x14ac:dyDescent="0.35">
      <c r="A1598" s="82">
        <v>1595</v>
      </c>
      <c r="B1598" s="83" t="str">
        <f>_xlfn.XLOOKUP(A1598,'TAZs by City - CCAG Model'!$A:$A,'TAZs by City - CCAG Model'!$B:$B,"Unknown")</f>
        <v>South San Francisco</v>
      </c>
      <c r="C1598" s="82">
        <f>_xlfn.XLOOKUP(A1598,'TAZs by City - CCAG Model'!$A:$A,'TAZs by City - CCAG Model'!$C:$C,999)</f>
        <v>2</v>
      </c>
      <c r="D1598" s="82" t="str">
        <f t="shared" si="192"/>
        <v>YES</v>
      </c>
      <c r="E1598" s="27">
        <v>0</v>
      </c>
      <c r="F1598" s="27">
        <v>0</v>
      </c>
      <c r="G1598" s="27">
        <v>0</v>
      </c>
      <c r="H1598" s="27">
        <v>0</v>
      </c>
      <c r="I1598" s="27">
        <v>0</v>
      </c>
      <c r="J1598" s="27">
        <v>0</v>
      </c>
      <c r="K1598" s="47">
        <f t="shared" si="193"/>
        <v>0</v>
      </c>
      <c r="L1598" s="47">
        <f t="shared" si="194"/>
        <v>0</v>
      </c>
      <c r="M1598" s="84">
        <f t="shared" si="195"/>
        <v>0</v>
      </c>
      <c r="N1598" s="47">
        <f t="shared" si="196"/>
        <v>0</v>
      </c>
      <c r="O1598" s="47">
        <f t="shared" si="197"/>
        <v>0</v>
      </c>
      <c r="P1598" s="47">
        <f t="shared" si="198"/>
        <v>0</v>
      </c>
      <c r="Q1598" s="47">
        <f t="shared" si="199"/>
        <v>0</v>
      </c>
    </row>
    <row r="1599" spans="1:17" x14ac:dyDescent="0.35">
      <c r="A1599" s="82">
        <v>1596</v>
      </c>
      <c r="B1599" s="83" t="str">
        <f>_xlfn.XLOOKUP(A1599,'TAZs by City - CCAG Model'!$A:$A,'TAZs by City - CCAG Model'!$B:$B,"Unknown")</f>
        <v>South San Francisco</v>
      </c>
      <c r="C1599" s="82">
        <f>_xlfn.XLOOKUP(A1599,'TAZs by City - CCAG Model'!$A:$A,'TAZs by City - CCAG Model'!$C:$C,999)</f>
        <v>2</v>
      </c>
      <c r="D1599" s="82" t="str">
        <f t="shared" si="192"/>
        <v>YES</v>
      </c>
      <c r="E1599" s="27">
        <v>3288.14</v>
      </c>
      <c r="F1599" s="27">
        <v>2148.8000000000002</v>
      </c>
      <c r="G1599" s="27">
        <v>248.08</v>
      </c>
      <c r="H1599" s="27">
        <v>93.16</v>
      </c>
      <c r="I1599" s="27">
        <v>860.74</v>
      </c>
      <c r="J1599" s="27">
        <v>6925.72</v>
      </c>
      <c r="K1599" s="47">
        <f t="shared" si="193"/>
        <v>0.47477229804265836</v>
      </c>
      <c r="L1599" s="47">
        <f t="shared" si="194"/>
        <v>0.31026377040943037</v>
      </c>
      <c r="M1599" s="84">
        <f t="shared" si="195"/>
        <v>0.78503606845208873</v>
      </c>
      <c r="N1599" s="47">
        <f t="shared" si="196"/>
        <v>3.5820102458661338E-2</v>
      </c>
      <c r="O1599" s="47">
        <f t="shared" si="197"/>
        <v>1.3451309033573404E-2</v>
      </c>
      <c r="P1599" s="47">
        <f t="shared" si="198"/>
        <v>0.1242816631339413</v>
      </c>
      <c r="Q1599" s="47">
        <f t="shared" si="199"/>
        <v>1</v>
      </c>
    </row>
    <row r="1600" spans="1:17" x14ac:dyDescent="0.35">
      <c r="A1600" s="82">
        <v>1597</v>
      </c>
      <c r="B1600" s="83" t="str">
        <f>_xlfn.XLOOKUP(A1600,'TAZs by City - CCAG Model'!$A:$A,'TAZs by City - CCAG Model'!$B:$B,"Unknown")</f>
        <v>Pacifica</v>
      </c>
      <c r="C1600" s="82">
        <f>_xlfn.XLOOKUP(A1600,'TAZs by City - CCAG Model'!$A:$A,'TAZs by City - CCAG Model'!$C:$C,999)</f>
        <v>2</v>
      </c>
      <c r="D1600" s="82" t="str">
        <f t="shared" si="192"/>
        <v>YES</v>
      </c>
      <c r="E1600" s="27">
        <v>6682.08</v>
      </c>
      <c r="F1600" s="27">
        <v>3505.32</v>
      </c>
      <c r="G1600" s="27">
        <v>268.48</v>
      </c>
      <c r="H1600" s="27">
        <v>138.02000000000001</v>
      </c>
      <c r="I1600" s="27">
        <v>539.86</v>
      </c>
      <c r="J1600" s="27">
        <v>11439.3</v>
      </c>
      <c r="K1600" s="47">
        <f t="shared" si="193"/>
        <v>0.58413364454118699</v>
      </c>
      <c r="L1600" s="47">
        <f t="shared" si="194"/>
        <v>0.30642784086438857</v>
      </c>
      <c r="M1600" s="84">
        <f t="shared" si="195"/>
        <v>0.89056148540557556</v>
      </c>
      <c r="N1600" s="47">
        <f t="shared" si="196"/>
        <v>2.3469967567945595E-2</v>
      </c>
      <c r="O1600" s="47">
        <f t="shared" si="197"/>
        <v>1.2065423583610888E-2</v>
      </c>
      <c r="P1600" s="47">
        <f t="shared" si="198"/>
        <v>4.7193447151486545E-2</v>
      </c>
      <c r="Q1600" s="47">
        <f t="shared" si="199"/>
        <v>1</v>
      </c>
    </row>
    <row r="1601" spans="1:17" x14ac:dyDescent="0.35">
      <c r="A1601" s="82">
        <v>1598</v>
      </c>
      <c r="B1601" s="83" t="str">
        <f>_xlfn.XLOOKUP(A1601,'TAZs by City - CCAG Model'!$A:$A,'TAZs by City - CCAG Model'!$B:$B,"Unknown")</f>
        <v>San Bruno</v>
      </c>
      <c r="C1601" s="82">
        <f>_xlfn.XLOOKUP(A1601,'TAZs by City - CCAG Model'!$A:$A,'TAZs by City - CCAG Model'!$C:$C,999)</f>
        <v>2</v>
      </c>
      <c r="D1601" s="82" t="str">
        <f t="shared" si="192"/>
        <v>YES</v>
      </c>
      <c r="E1601" s="27">
        <v>3336.76</v>
      </c>
      <c r="F1601" s="27">
        <v>2343.94</v>
      </c>
      <c r="G1601" s="27">
        <v>206.96</v>
      </c>
      <c r="H1601" s="27">
        <v>86.94</v>
      </c>
      <c r="I1601" s="27">
        <v>844.6</v>
      </c>
      <c r="J1601" s="27">
        <v>7061.82</v>
      </c>
      <c r="K1601" s="47">
        <f t="shared" si="193"/>
        <v>0.47250708740806202</v>
      </c>
      <c r="L1601" s="47">
        <f t="shared" si="194"/>
        <v>0.33191726778649133</v>
      </c>
      <c r="M1601" s="84">
        <f t="shared" si="195"/>
        <v>0.80442435519455335</v>
      </c>
      <c r="N1601" s="47">
        <f t="shared" si="196"/>
        <v>2.9306892557442701E-2</v>
      </c>
      <c r="O1601" s="47">
        <f t="shared" si="197"/>
        <v>1.2311273864244628E-2</v>
      </c>
      <c r="P1601" s="47">
        <f t="shared" si="198"/>
        <v>0.11960089608627805</v>
      </c>
      <c r="Q1601" s="47">
        <f t="shared" si="199"/>
        <v>1</v>
      </c>
    </row>
    <row r="1602" spans="1:17" x14ac:dyDescent="0.35">
      <c r="A1602" s="82">
        <v>1599</v>
      </c>
      <c r="B1602" s="83" t="str">
        <f>_xlfn.XLOOKUP(A1602,'TAZs by City - CCAG Model'!$A:$A,'TAZs by City - CCAG Model'!$B:$B,"Unknown")</f>
        <v>San Bruno</v>
      </c>
      <c r="C1602" s="82">
        <f>_xlfn.XLOOKUP(A1602,'TAZs by City - CCAG Model'!$A:$A,'TAZs by City - CCAG Model'!$C:$C,999)</f>
        <v>2</v>
      </c>
      <c r="D1602" s="82" t="str">
        <f t="shared" si="192"/>
        <v>YES</v>
      </c>
      <c r="E1602" s="27">
        <v>7069.84</v>
      </c>
      <c r="F1602" s="27">
        <v>3407.7</v>
      </c>
      <c r="G1602" s="27">
        <v>519.54</v>
      </c>
      <c r="H1602" s="27">
        <v>146.9</v>
      </c>
      <c r="I1602" s="27">
        <v>681.38</v>
      </c>
      <c r="J1602" s="27">
        <v>12387.78</v>
      </c>
      <c r="K1602" s="47">
        <f t="shared" si="193"/>
        <v>0.57071081339836516</v>
      </c>
      <c r="L1602" s="47">
        <f t="shared" si="194"/>
        <v>0.27508560855940284</v>
      </c>
      <c r="M1602" s="84">
        <f t="shared" si="195"/>
        <v>0.84579642195776805</v>
      </c>
      <c r="N1602" s="47">
        <f t="shared" si="196"/>
        <v>4.1939718012428372E-2</v>
      </c>
      <c r="O1602" s="47">
        <f t="shared" si="197"/>
        <v>1.1858460515120546E-2</v>
      </c>
      <c r="P1602" s="47">
        <f t="shared" si="198"/>
        <v>5.500420575760951E-2</v>
      </c>
      <c r="Q1602" s="47">
        <f t="shared" si="199"/>
        <v>1</v>
      </c>
    </row>
    <row r="1603" spans="1:17" x14ac:dyDescent="0.35">
      <c r="A1603" s="82">
        <v>1600</v>
      </c>
      <c r="B1603" s="83" t="str">
        <f>_xlfn.XLOOKUP(A1603,'TAZs by City - CCAG Model'!$A:$A,'TAZs by City - CCAG Model'!$B:$B,"Unknown")</f>
        <v>San Bruno</v>
      </c>
      <c r="C1603" s="82">
        <f>_xlfn.XLOOKUP(A1603,'TAZs by City - CCAG Model'!$A:$A,'TAZs by City - CCAG Model'!$C:$C,999)</f>
        <v>2</v>
      </c>
      <c r="D1603" s="82" t="str">
        <f t="shared" si="192"/>
        <v>YES</v>
      </c>
      <c r="E1603" s="27">
        <v>10408.540000000001</v>
      </c>
      <c r="F1603" s="27">
        <v>5671.22</v>
      </c>
      <c r="G1603" s="27">
        <v>697.78</v>
      </c>
      <c r="H1603" s="27">
        <v>246.24</v>
      </c>
      <c r="I1603" s="27">
        <v>1348.38</v>
      </c>
      <c r="J1603" s="27">
        <v>19112.560000000001</v>
      </c>
      <c r="K1603" s="47">
        <f t="shared" si="193"/>
        <v>0.5445916193330459</v>
      </c>
      <c r="L1603" s="47">
        <f t="shared" si="194"/>
        <v>0.29672738764456463</v>
      </c>
      <c r="M1603" s="84">
        <f t="shared" si="195"/>
        <v>0.84131900697761053</v>
      </c>
      <c r="N1603" s="47">
        <f t="shared" si="196"/>
        <v>3.6508976296215676E-2</v>
      </c>
      <c r="O1603" s="47">
        <f t="shared" si="197"/>
        <v>1.2883674400498939E-2</v>
      </c>
      <c r="P1603" s="47">
        <f t="shared" si="198"/>
        <v>7.0549418811504061E-2</v>
      </c>
      <c r="Q1603" s="47">
        <f t="shared" si="199"/>
        <v>1</v>
      </c>
    </row>
    <row r="1604" spans="1:17" x14ac:dyDescent="0.35">
      <c r="A1604" s="82">
        <v>1601</v>
      </c>
      <c r="B1604" s="83" t="str">
        <f>_xlfn.XLOOKUP(A1604,'TAZs by City - CCAG Model'!$A:$A,'TAZs by City - CCAG Model'!$B:$B,"Unknown")</f>
        <v>Unincorporated</v>
      </c>
      <c r="C1604" s="82">
        <f>_xlfn.XLOOKUP(A1604,'TAZs by City - CCAG Model'!$A:$A,'TAZs by City - CCAG Model'!$C:$C,999)</f>
        <v>2</v>
      </c>
      <c r="D1604" s="82" t="str">
        <f t="shared" si="192"/>
        <v>YES</v>
      </c>
      <c r="E1604" s="27">
        <v>0</v>
      </c>
      <c r="F1604" s="27">
        <v>0</v>
      </c>
      <c r="G1604" s="27">
        <v>0</v>
      </c>
      <c r="H1604" s="27">
        <v>0</v>
      </c>
      <c r="I1604" s="27">
        <v>0</v>
      </c>
      <c r="J1604" s="27">
        <v>0</v>
      </c>
      <c r="K1604" s="47">
        <f t="shared" si="193"/>
        <v>0</v>
      </c>
      <c r="L1604" s="47">
        <f t="shared" si="194"/>
        <v>0</v>
      </c>
      <c r="M1604" s="84">
        <f t="shared" si="195"/>
        <v>0</v>
      </c>
      <c r="N1604" s="47">
        <f t="shared" si="196"/>
        <v>0</v>
      </c>
      <c r="O1604" s="47">
        <f t="shared" si="197"/>
        <v>0</v>
      </c>
      <c r="P1604" s="47">
        <f t="shared" si="198"/>
        <v>0</v>
      </c>
      <c r="Q1604" s="47">
        <f t="shared" si="199"/>
        <v>0</v>
      </c>
    </row>
    <row r="1605" spans="1:17" x14ac:dyDescent="0.35">
      <c r="A1605" s="82">
        <v>1602</v>
      </c>
      <c r="B1605" s="83" t="str">
        <f>_xlfn.XLOOKUP(A1605,'TAZs by City - CCAG Model'!$A:$A,'TAZs by City - CCAG Model'!$B:$B,"Unknown")</f>
        <v>Unincorporated</v>
      </c>
      <c r="C1605" s="82">
        <f>_xlfn.XLOOKUP(A1605,'TAZs by City - CCAG Model'!$A:$A,'TAZs by City - CCAG Model'!$C:$C,999)</f>
        <v>2</v>
      </c>
      <c r="D1605" s="82" t="str">
        <f t="shared" ref="D1605:D1668" si="200">IF(C1605=2,"YES","NO")</f>
        <v>YES</v>
      </c>
      <c r="E1605" s="27">
        <v>0</v>
      </c>
      <c r="F1605" s="27">
        <v>0</v>
      </c>
      <c r="G1605" s="27">
        <v>0</v>
      </c>
      <c r="H1605" s="27">
        <v>0</v>
      </c>
      <c r="I1605" s="27">
        <v>0</v>
      </c>
      <c r="J1605" s="27">
        <v>0</v>
      </c>
      <c r="K1605" s="47">
        <f t="shared" ref="K1605:K1668" si="201">IFERROR(E1605/$J1605,0)</f>
        <v>0</v>
      </c>
      <c r="L1605" s="47">
        <f t="shared" ref="L1605:L1668" si="202">IFERROR(F1605/$J1605,0)</f>
        <v>0</v>
      </c>
      <c r="M1605" s="84">
        <f t="shared" ref="M1605:M1668" si="203">IFERROR((E1605+F1605)/J1605,0)</f>
        <v>0</v>
      </c>
      <c r="N1605" s="47">
        <f t="shared" ref="N1605:N1668" si="204">IFERROR(G1605/$J1605,0)</f>
        <v>0</v>
      </c>
      <c r="O1605" s="47">
        <f t="shared" ref="O1605:O1668" si="205">IFERROR(H1605/$J1605,0)</f>
        <v>0</v>
      </c>
      <c r="P1605" s="47">
        <f t="shared" ref="P1605:P1668" si="206">IFERROR(I1605/$J1605,0)</f>
        <v>0</v>
      </c>
      <c r="Q1605" s="47">
        <f t="shared" ref="Q1605:Q1668" si="207">IFERROR(J1605/$J1605,0)</f>
        <v>0</v>
      </c>
    </row>
    <row r="1606" spans="1:17" x14ac:dyDescent="0.35">
      <c r="A1606" s="82">
        <v>1603</v>
      </c>
      <c r="B1606" s="83" t="str">
        <f>_xlfn.XLOOKUP(A1606,'TAZs by City - CCAG Model'!$A:$A,'TAZs by City - CCAG Model'!$B:$B,"Unknown")</f>
        <v>Millbrae</v>
      </c>
      <c r="C1606" s="82">
        <f>_xlfn.XLOOKUP(A1606,'TAZs by City - CCAG Model'!$A:$A,'TAZs by City - CCAG Model'!$C:$C,999)</f>
        <v>2</v>
      </c>
      <c r="D1606" s="82" t="str">
        <f t="shared" si="200"/>
        <v>YES</v>
      </c>
      <c r="E1606" s="27">
        <v>1011.32</v>
      </c>
      <c r="F1606" s="27">
        <v>681.58</v>
      </c>
      <c r="G1606" s="27">
        <v>86.08</v>
      </c>
      <c r="H1606" s="27">
        <v>28.08</v>
      </c>
      <c r="I1606" s="27">
        <v>115.18</v>
      </c>
      <c r="J1606" s="27">
        <v>2037.58</v>
      </c>
      <c r="K1606" s="47">
        <f t="shared" si="201"/>
        <v>0.49633388627685787</v>
      </c>
      <c r="L1606" s="47">
        <f t="shared" si="202"/>
        <v>0.33450465748584107</v>
      </c>
      <c r="M1606" s="84">
        <f t="shared" si="203"/>
        <v>0.83083854376269894</v>
      </c>
      <c r="N1606" s="47">
        <f t="shared" si="204"/>
        <v>4.2246194014468143E-2</v>
      </c>
      <c r="O1606" s="47">
        <f t="shared" si="205"/>
        <v>1.3781053995425946E-2</v>
      </c>
      <c r="P1606" s="47">
        <f t="shared" si="206"/>
        <v>5.6527841851608286E-2</v>
      </c>
      <c r="Q1606" s="47">
        <f t="shared" si="207"/>
        <v>1</v>
      </c>
    </row>
    <row r="1607" spans="1:17" x14ac:dyDescent="0.35">
      <c r="A1607" s="82">
        <v>1604</v>
      </c>
      <c r="B1607" s="83" t="str">
        <f>_xlfn.XLOOKUP(A1607,'TAZs by City - CCAG Model'!$A:$A,'TAZs by City - CCAG Model'!$B:$B,"Unknown")</f>
        <v>Unincorporated</v>
      </c>
      <c r="C1607" s="82">
        <f>_xlfn.XLOOKUP(A1607,'TAZs by City - CCAG Model'!$A:$A,'TAZs by City - CCAG Model'!$C:$C,999)</f>
        <v>2</v>
      </c>
      <c r="D1607" s="82" t="str">
        <f t="shared" si="200"/>
        <v>YES</v>
      </c>
      <c r="E1607" s="27">
        <v>2984.32</v>
      </c>
      <c r="F1607" s="27">
        <v>2049.62</v>
      </c>
      <c r="G1607" s="27">
        <v>89.18</v>
      </c>
      <c r="H1607" s="27">
        <v>51.74</v>
      </c>
      <c r="I1607" s="27">
        <v>238.7</v>
      </c>
      <c r="J1607" s="27">
        <v>5534.98</v>
      </c>
      <c r="K1607" s="47">
        <f t="shared" si="201"/>
        <v>0.53917448662867806</v>
      </c>
      <c r="L1607" s="47">
        <f t="shared" si="202"/>
        <v>0.37030305439224714</v>
      </c>
      <c r="M1607" s="84">
        <f t="shared" si="203"/>
        <v>0.90947754102092526</v>
      </c>
      <c r="N1607" s="47">
        <f t="shared" si="204"/>
        <v>1.6112072672349317E-2</v>
      </c>
      <c r="O1607" s="47">
        <f t="shared" si="205"/>
        <v>9.3478205883309427E-3</v>
      </c>
      <c r="P1607" s="47">
        <f t="shared" si="206"/>
        <v>4.3125720418140626E-2</v>
      </c>
      <c r="Q1607" s="47">
        <f t="shared" si="207"/>
        <v>1</v>
      </c>
    </row>
    <row r="1608" spans="1:17" x14ac:dyDescent="0.35">
      <c r="A1608" s="82">
        <v>1605</v>
      </c>
      <c r="B1608" s="83" t="str">
        <f>_xlfn.XLOOKUP(A1608,'TAZs by City - CCAG Model'!$A:$A,'TAZs by City - CCAG Model'!$B:$B,"Unknown")</f>
        <v>Burlingame</v>
      </c>
      <c r="C1608" s="82">
        <f>_xlfn.XLOOKUP(A1608,'TAZs by City - CCAG Model'!$A:$A,'TAZs by City - CCAG Model'!$C:$C,999)</f>
        <v>2</v>
      </c>
      <c r="D1608" s="82" t="str">
        <f t="shared" si="200"/>
        <v>YES</v>
      </c>
      <c r="E1608" s="27">
        <v>10210.56</v>
      </c>
      <c r="F1608" s="27">
        <v>5304</v>
      </c>
      <c r="G1608" s="27">
        <v>623.82000000000005</v>
      </c>
      <c r="H1608" s="27">
        <v>222.92</v>
      </c>
      <c r="I1608" s="27">
        <v>1239.02</v>
      </c>
      <c r="J1608" s="27">
        <v>18270.16</v>
      </c>
      <c r="K1608" s="47">
        <f t="shared" si="201"/>
        <v>0.5588653848680033</v>
      </c>
      <c r="L1608" s="47">
        <f t="shared" si="202"/>
        <v>0.29030944447120333</v>
      </c>
      <c r="M1608" s="84">
        <f t="shared" si="203"/>
        <v>0.84917482933920663</v>
      </c>
      <c r="N1608" s="47">
        <f t="shared" si="204"/>
        <v>3.4144200160261325E-2</v>
      </c>
      <c r="O1608" s="47">
        <f t="shared" si="205"/>
        <v>1.2201316244630589E-2</v>
      </c>
      <c r="P1608" s="47">
        <f t="shared" si="206"/>
        <v>6.7816592739198781E-2</v>
      </c>
      <c r="Q1608" s="47">
        <f t="shared" si="207"/>
        <v>1</v>
      </c>
    </row>
    <row r="1609" spans="1:17" x14ac:dyDescent="0.35">
      <c r="A1609" s="82">
        <v>1606</v>
      </c>
      <c r="B1609" s="83" t="str">
        <f>_xlfn.XLOOKUP(A1609,'TAZs by City - CCAG Model'!$A:$A,'TAZs by City - CCAG Model'!$B:$B,"Unknown")</f>
        <v>Burlingame</v>
      </c>
      <c r="C1609" s="82">
        <f>_xlfn.XLOOKUP(A1609,'TAZs by City - CCAG Model'!$A:$A,'TAZs by City - CCAG Model'!$C:$C,999)</f>
        <v>2</v>
      </c>
      <c r="D1609" s="82" t="str">
        <f t="shared" si="200"/>
        <v>YES</v>
      </c>
      <c r="E1609" s="27">
        <v>8097.32</v>
      </c>
      <c r="F1609" s="27">
        <v>4626.16</v>
      </c>
      <c r="G1609" s="27">
        <v>281.02</v>
      </c>
      <c r="H1609" s="27">
        <v>176.38</v>
      </c>
      <c r="I1609" s="27">
        <v>933.86</v>
      </c>
      <c r="J1609" s="27">
        <v>14434.8</v>
      </c>
      <c r="K1609" s="47">
        <f t="shared" si="201"/>
        <v>0.56095823980934967</v>
      </c>
      <c r="L1609" s="47">
        <f t="shared" si="202"/>
        <v>0.3204866018233713</v>
      </c>
      <c r="M1609" s="84">
        <f t="shared" si="203"/>
        <v>0.88144484163272097</v>
      </c>
      <c r="N1609" s="47">
        <f t="shared" si="204"/>
        <v>1.9468229556349931E-2</v>
      </c>
      <c r="O1609" s="47">
        <f t="shared" si="205"/>
        <v>1.2219081663757032E-2</v>
      </c>
      <c r="P1609" s="47">
        <f t="shared" si="206"/>
        <v>6.4695042536093331E-2</v>
      </c>
      <c r="Q1609" s="47">
        <f t="shared" si="207"/>
        <v>1</v>
      </c>
    </row>
    <row r="1610" spans="1:17" x14ac:dyDescent="0.35">
      <c r="A1610" s="82">
        <v>1607</v>
      </c>
      <c r="B1610" s="83" t="str">
        <f>_xlfn.XLOOKUP(A1610,'TAZs by City - CCAG Model'!$A:$A,'TAZs by City - CCAG Model'!$B:$B,"Unknown")</f>
        <v>Burlingame</v>
      </c>
      <c r="C1610" s="82">
        <f>_xlfn.XLOOKUP(A1610,'TAZs by City - CCAG Model'!$A:$A,'TAZs by City - CCAG Model'!$C:$C,999)</f>
        <v>2</v>
      </c>
      <c r="D1610" s="82" t="str">
        <f t="shared" si="200"/>
        <v>YES</v>
      </c>
      <c r="E1610" s="27">
        <v>4086.32</v>
      </c>
      <c r="F1610" s="27">
        <v>2348.8000000000002</v>
      </c>
      <c r="G1610" s="27">
        <v>204.56</v>
      </c>
      <c r="H1610" s="27">
        <v>90.64</v>
      </c>
      <c r="I1610" s="27">
        <v>515.78</v>
      </c>
      <c r="J1610" s="27">
        <v>7490.18</v>
      </c>
      <c r="K1610" s="47">
        <f t="shared" si="201"/>
        <v>0.54555698260922969</v>
      </c>
      <c r="L1610" s="47">
        <f t="shared" si="202"/>
        <v>0.31358391921155432</v>
      </c>
      <c r="M1610" s="84">
        <f t="shared" si="203"/>
        <v>0.85914090182078406</v>
      </c>
      <c r="N1610" s="47">
        <f t="shared" si="204"/>
        <v>2.7310425116619359E-2</v>
      </c>
      <c r="O1610" s="47">
        <f t="shared" si="205"/>
        <v>1.2101177808811002E-2</v>
      </c>
      <c r="P1610" s="47">
        <f t="shared" si="206"/>
        <v>6.8860828444710268E-2</v>
      </c>
      <c r="Q1610" s="47">
        <f t="shared" si="207"/>
        <v>1</v>
      </c>
    </row>
    <row r="1611" spans="1:17" x14ac:dyDescent="0.35">
      <c r="A1611" s="82">
        <v>1608</v>
      </c>
      <c r="B1611" s="83" t="str">
        <f>_xlfn.XLOOKUP(A1611,'TAZs by City - CCAG Model'!$A:$A,'TAZs by City - CCAG Model'!$B:$B,"Unknown")</f>
        <v>Hillsborough</v>
      </c>
      <c r="C1611" s="82">
        <f>_xlfn.XLOOKUP(A1611,'TAZs by City - CCAG Model'!$A:$A,'TAZs by City - CCAG Model'!$C:$C,999)</f>
        <v>2</v>
      </c>
      <c r="D1611" s="82" t="str">
        <f t="shared" si="200"/>
        <v>YES</v>
      </c>
      <c r="E1611" s="27">
        <v>5147.26</v>
      </c>
      <c r="F1611" s="27">
        <v>3836.66</v>
      </c>
      <c r="G1611" s="27">
        <v>129.69999999999999</v>
      </c>
      <c r="H1611" s="27">
        <v>70.94</v>
      </c>
      <c r="I1611" s="27">
        <v>252.12</v>
      </c>
      <c r="J1611" s="27">
        <v>9592.18</v>
      </c>
      <c r="K1611" s="47">
        <f t="shared" si="201"/>
        <v>0.53661003025381093</v>
      </c>
      <c r="L1611" s="47">
        <f t="shared" si="202"/>
        <v>0.39997789866328609</v>
      </c>
      <c r="M1611" s="84">
        <f t="shared" si="203"/>
        <v>0.93658792891709708</v>
      </c>
      <c r="N1611" s="47">
        <f t="shared" si="204"/>
        <v>1.3521430999001268E-2</v>
      </c>
      <c r="O1611" s="47">
        <f t="shared" si="205"/>
        <v>7.3956076720828835E-3</v>
      </c>
      <c r="P1611" s="47">
        <f t="shared" si="206"/>
        <v>2.6283910435375483E-2</v>
      </c>
      <c r="Q1611" s="47">
        <f t="shared" si="207"/>
        <v>1</v>
      </c>
    </row>
    <row r="1612" spans="1:17" x14ac:dyDescent="0.35">
      <c r="A1612" s="82">
        <v>1609</v>
      </c>
      <c r="B1612" s="83" t="str">
        <f>_xlfn.XLOOKUP(A1612,'TAZs by City - CCAG Model'!$A:$A,'TAZs by City - CCAG Model'!$B:$B,"Unknown")</f>
        <v>Hillsborough</v>
      </c>
      <c r="C1612" s="82">
        <f>_xlfn.XLOOKUP(A1612,'TAZs by City - CCAG Model'!$A:$A,'TAZs by City - CCAG Model'!$C:$C,999)</f>
        <v>2</v>
      </c>
      <c r="D1612" s="82" t="str">
        <f t="shared" si="200"/>
        <v>YES</v>
      </c>
      <c r="E1612" s="27">
        <v>7161.48</v>
      </c>
      <c r="F1612" s="27">
        <v>4454.8599999999997</v>
      </c>
      <c r="G1612" s="27">
        <v>164.22</v>
      </c>
      <c r="H1612" s="27">
        <v>117.02</v>
      </c>
      <c r="I1612" s="27">
        <v>490.84</v>
      </c>
      <c r="J1612" s="27">
        <v>12590.38</v>
      </c>
      <c r="K1612" s="47">
        <f t="shared" si="201"/>
        <v>0.56880570721455592</v>
      </c>
      <c r="L1612" s="47">
        <f t="shared" si="202"/>
        <v>0.35383046421156472</v>
      </c>
      <c r="M1612" s="84">
        <f t="shared" si="203"/>
        <v>0.92263617142612064</v>
      </c>
      <c r="N1612" s="47">
        <f t="shared" si="204"/>
        <v>1.3043291783091536E-2</v>
      </c>
      <c r="O1612" s="47">
        <f t="shared" si="205"/>
        <v>9.2943977862463244E-3</v>
      </c>
      <c r="P1612" s="47">
        <f t="shared" si="206"/>
        <v>3.8985320538379303E-2</v>
      </c>
      <c r="Q1612" s="47">
        <f t="shared" si="207"/>
        <v>1</v>
      </c>
    </row>
    <row r="1613" spans="1:17" x14ac:dyDescent="0.35">
      <c r="A1613" s="82">
        <v>1610</v>
      </c>
      <c r="B1613" s="83" t="str">
        <f>_xlfn.XLOOKUP(A1613,'TAZs by City - CCAG Model'!$A:$A,'TAZs by City - CCAG Model'!$B:$B,"Unknown")</f>
        <v>San Mateo</v>
      </c>
      <c r="C1613" s="82">
        <f>_xlfn.XLOOKUP(A1613,'TAZs by City - CCAG Model'!$A:$A,'TAZs by City - CCAG Model'!$C:$C,999)</f>
        <v>2</v>
      </c>
      <c r="D1613" s="82" t="str">
        <f t="shared" si="200"/>
        <v>YES</v>
      </c>
      <c r="E1613" s="27">
        <v>7960.16</v>
      </c>
      <c r="F1613" s="27">
        <v>3948.24</v>
      </c>
      <c r="G1613" s="27">
        <v>476.52</v>
      </c>
      <c r="H1613" s="27">
        <v>162.30000000000001</v>
      </c>
      <c r="I1613" s="27">
        <v>907.64</v>
      </c>
      <c r="J1613" s="27">
        <v>13976.4</v>
      </c>
      <c r="K1613" s="47">
        <f t="shared" si="201"/>
        <v>0.56954294381958159</v>
      </c>
      <c r="L1613" s="47">
        <f t="shared" si="202"/>
        <v>0.28249334592598951</v>
      </c>
      <c r="M1613" s="84">
        <f t="shared" si="203"/>
        <v>0.85203628974557111</v>
      </c>
      <c r="N1613" s="47">
        <f t="shared" si="204"/>
        <v>3.4094616639477979E-2</v>
      </c>
      <c r="O1613" s="47">
        <f t="shared" si="205"/>
        <v>1.1612432386022152E-2</v>
      </c>
      <c r="P1613" s="47">
        <f t="shared" si="206"/>
        <v>6.4940900374917718E-2</v>
      </c>
      <c r="Q1613" s="47">
        <f t="shared" si="207"/>
        <v>1</v>
      </c>
    </row>
    <row r="1614" spans="1:17" x14ac:dyDescent="0.35">
      <c r="A1614" s="82">
        <v>1611</v>
      </c>
      <c r="B1614" s="83" t="str">
        <f>_xlfn.XLOOKUP(A1614,'TAZs by City - CCAG Model'!$A:$A,'TAZs by City - CCAG Model'!$B:$B,"Unknown")</f>
        <v>San Mateo</v>
      </c>
      <c r="C1614" s="82">
        <f>_xlfn.XLOOKUP(A1614,'TAZs by City - CCAG Model'!$A:$A,'TAZs by City - CCAG Model'!$C:$C,999)</f>
        <v>2</v>
      </c>
      <c r="D1614" s="82" t="str">
        <f t="shared" si="200"/>
        <v>YES</v>
      </c>
      <c r="E1614" s="27">
        <v>8894.02</v>
      </c>
      <c r="F1614" s="27">
        <v>6017.16</v>
      </c>
      <c r="G1614" s="27">
        <v>829.78</v>
      </c>
      <c r="H1614" s="27">
        <v>276.24</v>
      </c>
      <c r="I1614" s="27">
        <v>1733.48</v>
      </c>
      <c r="J1614" s="27">
        <v>18621.72</v>
      </c>
      <c r="K1614" s="47">
        <f t="shared" si="201"/>
        <v>0.47761538676341392</v>
      </c>
      <c r="L1614" s="47">
        <f t="shared" si="202"/>
        <v>0.32312589814474707</v>
      </c>
      <c r="M1614" s="84">
        <f t="shared" si="203"/>
        <v>0.80074128490816099</v>
      </c>
      <c r="N1614" s="47">
        <f t="shared" si="204"/>
        <v>4.4559793617345765E-2</v>
      </c>
      <c r="O1614" s="47">
        <f t="shared" si="205"/>
        <v>1.4834290280382263E-2</v>
      </c>
      <c r="P1614" s="47">
        <f t="shared" si="206"/>
        <v>9.3089145363586173E-2</v>
      </c>
      <c r="Q1614" s="47">
        <f t="shared" si="207"/>
        <v>1</v>
      </c>
    </row>
    <row r="1615" spans="1:17" x14ac:dyDescent="0.35">
      <c r="A1615" s="82">
        <v>1612</v>
      </c>
      <c r="B1615" s="83" t="str">
        <f>_xlfn.XLOOKUP(A1615,'TAZs by City - CCAG Model'!$A:$A,'TAZs by City - CCAG Model'!$B:$B,"Unknown")</f>
        <v>Foster City</v>
      </c>
      <c r="C1615" s="82">
        <f>_xlfn.XLOOKUP(A1615,'TAZs by City - CCAG Model'!$A:$A,'TAZs by City - CCAG Model'!$C:$C,999)</f>
        <v>2</v>
      </c>
      <c r="D1615" s="82" t="str">
        <f t="shared" si="200"/>
        <v>YES</v>
      </c>
      <c r="E1615" s="27">
        <v>6138.44</v>
      </c>
      <c r="F1615" s="27">
        <v>3089.74</v>
      </c>
      <c r="G1615" s="27">
        <v>213.64</v>
      </c>
      <c r="H1615" s="27">
        <v>127.96</v>
      </c>
      <c r="I1615" s="27">
        <v>683.34</v>
      </c>
      <c r="J1615" s="27">
        <v>10511.3</v>
      </c>
      <c r="K1615" s="47">
        <f t="shared" si="201"/>
        <v>0.5839848543947942</v>
      </c>
      <c r="L1615" s="47">
        <f t="shared" si="202"/>
        <v>0.29394461198900229</v>
      </c>
      <c r="M1615" s="84">
        <f t="shared" si="203"/>
        <v>0.87792946638379654</v>
      </c>
      <c r="N1615" s="47">
        <f t="shared" si="204"/>
        <v>2.0324793317667653E-2</v>
      </c>
      <c r="O1615" s="47">
        <f t="shared" si="205"/>
        <v>1.2173565591316013E-2</v>
      </c>
      <c r="P1615" s="47">
        <f t="shared" si="206"/>
        <v>6.5010036817520198E-2</v>
      </c>
      <c r="Q1615" s="47">
        <f t="shared" si="207"/>
        <v>1</v>
      </c>
    </row>
    <row r="1616" spans="1:17" x14ac:dyDescent="0.35">
      <c r="A1616" s="82">
        <v>1613</v>
      </c>
      <c r="B1616" s="83" t="str">
        <f>_xlfn.XLOOKUP(A1616,'TAZs by City - CCAG Model'!$A:$A,'TAZs by City - CCAG Model'!$B:$B,"Unknown")</f>
        <v>San Mateo</v>
      </c>
      <c r="C1616" s="82">
        <f>_xlfn.XLOOKUP(A1616,'TAZs by City - CCAG Model'!$A:$A,'TAZs by City - CCAG Model'!$C:$C,999)</f>
        <v>2</v>
      </c>
      <c r="D1616" s="82" t="str">
        <f t="shared" si="200"/>
        <v>YES</v>
      </c>
      <c r="E1616" s="27">
        <v>7227</v>
      </c>
      <c r="F1616" s="27">
        <v>2282.8000000000002</v>
      </c>
      <c r="G1616" s="27">
        <v>241.78</v>
      </c>
      <c r="H1616" s="27">
        <v>88.88</v>
      </c>
      <c r="I1616" s="27">
        <v>531.94000000000005</v>
      </c>
      <c r="J1616" s="27">
        <v>10652.64</v>
      </c>
      <c r="K1616" s="47">
        <f t="shared" si="201"/>
        <v>0.67842337674041364</v>
      </c>
      <c r="L1616" s="47">
        <f t="shared" si="202"/>
        <v>0.21429429700055577</v>
      </c>
      <c r="M1616" s="84">
        <f t="shared" si="203"/>
        <v>0.89271767374096933</v>
      </c>
      <c r="N1616" s="47">
        <f t="shared" si="204"/>
        <v>2.26967211883627E-2</v>
      </c>
      <c r="O1616" s="47">
        <f t="shared" si="205"/>
        <v>8.3434716652397902E-3</v>
      </c>
      <c r="P1616" s="47">
        <f t="shared" si="206"/>
        <v>4.9935039577043823E-2</v>
      </c>
      <c r="Q1616" s="47">
        <f t="shared" si="207"/>
        <v>1</v>
      </c>
    </row>
    <row r="1617" spans="1:17" x14ac:dyDescent="0.35">
      <c r="A1617" s="82">
        <v>1614</v>
      </c>
      <c r="B1617" s="83" t="str">
        <f>_xlfn.XLOOKUP(A1617,'TAZs by City - CCAG Model'!$A:$A,'TAZs by City - CCAG Model'!$B:$B,"Unknown")</f>
        <v>Belmont</v>
      </c>
      <c r="C1617" s="82">
        <f>_xlfn.XLOOKUP(A1617,'TAZs by City - CCAG Model'!$A:$A,'TAZs by City - CCAG Model'!$C:$C,999)</f>
        <v>2</v>
      </c>
      <c r="D1617" s="82" t="str">
        <f t="shared" si="200"/>
        <v>YES</v>
      </c>
      <c r="E1617" s="27">
        <v>2450.7600000000002</v>
      </c>
      <c r="F1617" s="27">
        <v>1188.44</v>
      </c>
      <c r="G1617" s="27">
        <v>53.8</v>
      </c>
      <c r="H1617" s="27">
        <v>44.88</v>
      </c>
      <c r="I1617" s="27">
        <v>953.02</v>
      </c>
      <c r="J1617" s="27">
        <v>4791.4799999999996</v>
      </c>
      <c r="K1617" s="47">
        <f t="shared" si="201"/>
        <v>0.51148288211575554</v>
      </c>
      <c r="L1617" s="47">
        <f t="shared" si="202"/>
        <v>0.24803192333057847</v>
      </c>
      <c r="M1617" s="84">
        <f t="shared" si="203"/>
        <v>0.75951480544633398</v>
      </c>
      <c r="N1617" s="47">
        <f t="shared" si="204"/>
        <v>1.1228263501047693E-2</v>
      </c>
      <c r="O1617" s="47">
        <f t="shared" si="205"/>
        <v>9.3666257607252883E-3</v>
      </c>
      <c r="P1617" s="47">
        <f t="shared" si="206"/>
        <v>0.19889887884328017</v>
      </c>
      <c r="Q1617" s="47">
        <f t="shared" si="207"/>
        <v>1</v>
      </c>
    </row>
    <row r="1618" spans="1:17" x14ac:dyDescent="0.35">
      <c r="A1618" s="82">
        <v>1615</v>
      </c>
      <c r="B1618" s="83" t="str">
        <f>_xlfn.XLOOKUP(A1618,'TAZs by City - CCAG Model'!$A:$A,'TAZs by City - CCAG Model'!$B:$B,"Unknown")</f>
        <v>Unincorporated</v>
      </c>
      <c r="C1618" s="82">
        <f>_xlfn.XLOOKUP(A1618,'TAZs by City - CCAG Model'!$A:$A,'TAZs by City - CCAG Model'!$C:$C,999)</f>
        <v>2</v>
      </c>
      <c r="D1618" s="82" t="str">
        <f t="shared" si="200"/>
        <v>YES</v>
      </c>
      <c r="E1618" s="27">
        <v>917.68</v>
      </c>
      <c r="F1618" s="27">
        <v>376.2</v>
      </c>
      <c r="G1618" s="27">
        <v>0</v>
      </c>
      <c r="H1618" s="27">
        <v>8.48</v>
      </c>
      <c r="I1618" s="27">
        <v>31.92</v>
      </c>
      <c r="J1618" s="27">
        <v>1357.78</v>
      </c>
      <c r="K1618" s="47">
        <f t="shared" si="201"/>
        <v>0.67586796093623414</v>
      </c>
      <c r="L1618" s="47">
        <f t="shared" si="202"/>
        <v>0.2770699229624829</v>
      </c>
      <c r="M1618" s="84">
        <f t="shared" si="203"/>
        <v>0.95293788389871692</v>
      </c>
      <c r="N1618" s="47">
        <f t="shared" si="204"/>
        <v>0</v>
      </c>
      <c r="O1618" s="47">
        <f t="shared" si="205"/>
        <v>6.2454889599198697E-3</v>
      </c>
      <c r="P1618" s="47">
        <f t="shared" si="206"/>
        <v>2.3508963160453093E-2</v>
      </c>
      <c r="Q1618" s="47">
        <f t="shared" si="207"/>
        <v>1</v>
      </c>
    </row>
    <row r="1619" spans="1:17" x14ac:dyDescent="0.35">
      <c r="A1619" s="82">
        <v>1616</v>
      </c>
      <c r="B1619" s="83" t="str">
        <f>_xlfn.XLOOKUP(A1619,'TAZs by City - CCAG Model'!$A:$A,'TAZs by City - CCAG Model'!$B:$B,"Unknown")</f>
        <v>Unincorporated</v>
      </c>
      <c r="C1619" s="82">
        <f>_xlfn.XLOOKUP(A1619,'TAZs by City - CCAG Model'!$A:$A,'TAZs by City - CCAG Model'!$C:$C,999)</f>
        <v>2</v>
      </c>
      <c r="D1619" s="82" t="str">
        <f t="shared" si="200"/>
        <v>YES</v>
      </c>
      <c r="E1619" s="27">
        <v>13405.84</v>
      </c>
      <c r="F1619" s="27">
        <v>7834.46</v>
      </c>
      <c r="G1619" s="27">
        <v>279.89999999999998</v>
      </c>
      <c r="H1619" s="27">
        <v>215.12</v>
      </c>
      <c r="I1619" s="27">
        <v>1932.22</v>
      </c>
      <c r="J1619" s="27">
        <v>23979.02</v>
      </c>
      <c r="K1619" s="47">
        <f t="shared" si="201"/>
        <v>0.5590653829889628</v>
      </c>
      <c r="L1619" s="47">
        <f t="shared" si="202"/>
        <v>0.32672144232750128</v>
      </c>
      <c r="M1619" s="84">
        <f t="shared" si="203"/>
        <v>0.88578682531646413</v>
      </c>
      <c r="N1619" s="47">
        <f t="shared" si="204"/>
        <v>1.1672703888649327E-2</v>
      </c>
      <c r="O1619" s="47">
        <f t="shared" si="205"/>
        <v>8.9711756360351669E-3</v>
      </c>
      <c r="P1619" s="47">
        <f t="shared" si="206"/>
        <v>8.0579606672833162E-2</v>
      </c>
      <c r="Q1619" s="47">
        <f t="shared" si="207"/>
        <v>1</v>
      </c>
    </row>
    <row r="1620" spans="1:17" x14ac:dyDescent="0.35">
      <c r="A1620" s="82">
        <v>1617</v>
      </c>
      <c r="B1620" s="83" t="str">
        <f>_xlfn.XLOOKUP(A1620,'TAZs by City - CCAG Model'!$A:$A,'TAZs by City - CCAG Model'!$B:$B,"Unknown")</f>
        <v>Unincorporated</v>
      </c>
      <c r="C1620" s="82">
        <f>_xlfn.XLOOKUP(A1620,'TAZs by City - CCAG Model'!$A:$A,'TAZs by City - CCAG Model'!$C:$C,999)</f>
        <v>2</v>
      </c>
      <c r="D1620" s="82" t="str">
        <f t="shared" si="200"/>
        <v>YES</v>
      </c>
      <c r="E1620" s="27">
        <v>586.64</v>
      </c>
      <c r="F1620" s="27">
        <v>374.76</v>
      </c>
      <c r="G1620" s="27">
        <v>8.7200000000000006</v>
      </c>
      <c r="H1620" s="27">
        <v>2.1</v>
      </c>
      <c r="I1620" s="27">
        <v>16.32</v>
      </c>
      <c r="J1620" s="27">
        <v>1026.4000000000001</v>
      </c>
      <c r="K1620" s="47">
        <f t="shared" si="201"/>
        <v>0.57155105222135616</v>
      </c>
      <c r="L1620" s="47">
        <f t="shared" si="202"/>
        <v>0.36512081060015583</v>
      </c>
      <c r="M1620" s="84">
        <f t="shared" si="203"/>
        <v>0.93667186282151194</v>
      </c>
      <c r="N1620" s="47">
        <f t="shared" si="204"/>
        <v>8.4957131722525336E-3</v>
      </c>
      <c r="O1620" s="47">
        <f t="shared" si="205"/>
        <v>2.0459859703819173E-3</v>
      </c>
      <c r="P1620" s="47">
        <f t="shared" si="206"/>
        <v>1.5900233826968042E-2</v>
      </c>
      <c r="Q1620" s="47">
        <f t="shared" si="207"/>
        <v>1</v>
      </c>
    </row>
    <row r="1621" spans="1:17" x14ac:dyDescent="0.35">
      <c r="A1621" s="82">
        <v>1618</v>
      </c>
      <c r="B1621" s="83" t="str">
        <f>_xlfn.XLOOKUP(A1621,'TAZs by City - CCAG Model'!$A:$A,'TAZs by City - CCAG Model'!$B:$B,"Unknown")</f>
        <v>Unincorporated</v>
      </c>
      <c r="C1621" s="82">
        <f>_xlfn.XLOOKUP(A1621,'TAZs by City - CCAG Model'!$A:$A,'TAZs by City - CCAG Model'!$C:$C,999)</f>
        <v>2</v>
      </c>
      <c r="D1621" s="82" t="str">
        <f t="shared" si="200"/>
        <v>YES</v>
      </c>
      <c r="E1621" s="27">
        <v>2028.74</v>
      </c>
      <c r="F1621" s="27">
        <v>1287.52</v>
      </c>
      <c r="G1621" s="27">
        <v>18.28</v>
      </c>
      <c r="H1621" s="27">
        <v>23.72</v>
      </c>
      <c r="I1621" s="27">
        <v>266.74</v>
      </c>
      <c r="J1621" s="27">
        <v>3674.24</v>
      </c>
      <c r="K1621" s="47">
        <f t="shared" si="201"/>
        <v>0.55215228183243337</v>
      </c>
      <c r="L1621" s="47">
        <f t="shared" si="202"/>
        <v>0.35041804563664869</v>
      </c>
      <c r="M1621" s="84">
        <f t="shared" si="203"/>
        <v>0.90257032746908217</v>
      </c>
      <c r="N1621" s="47">
        <f t="shared" si="204"/>
        <v>4.9751785403239863E-3</v>
      </c>
      <c r="O1621" s="47">
        <f t="shared" si="205"/>
        <v>6.4557568367880165E-3</v>
      </c>
      <c r="P1621" s="47">
        <f t="shared" si="206"/>
        <v>7.2597326249782268E-2</v>
      </c>
      <c r="Q1621" s="47">
        <f t="shared" si="207"/>
        <v>1</v>
      </c>
    </row>
    <row r="1622" spans="1:17" x14ac:dyDescent="0.35">
      <c r="A1622" s="82">
        <v>1619</v>
      </c>
      <c r="B1622" s="83" t="str">
        <f>_xlfn.XLOOKUP(A1622,'TAZs by City - CCAG Model'!$A:$A,'TAZs by City - CCAG Model'!$B:$B,"Unknown")</f>
        <v>Unincorporated</v>
      </c>
      <c r="C1622" s="82">
        <f>_xlfn.XLOOKUP(A1622,'TAZs by City - CCAG Model'!$A:$A,'TAZs by City - CCAG Model'!$C:$C,999)</f>
        <v>2</v>
      </c>
      <c r="D1622" s="82" t="str">
        <f t="shared" si="200"/>
        <v>YES</v>
      </c>
      <c r="E1622" s="27">
        <v>257.26</v>
      </c>
      <c r="F1622" s="27">
        <v>149.76</v>
      </c>
      <c r="G1622" s="27">
        <v>0</v>
      </c>
      <c r="H1622" s="27">
        <v>1.1000000000000001</v>
      </c>
      <c r="I1622" s="27">
        <v>3.16</v>
      </c>
      <c r="J1622" s="27">
        <v>425.68</v>
      </c>
      <c r="K1622" s="47">
        <f t="shared" si="201"/>
        <v>0.60435068596128549</v>
      </c>
      <c r="L1622" s="47">
        <f t="shared" si="202"/>
        <v>0.35181356887803039</v>
      </c>
      <c r="M1622" s="84">
        <f t="shared" si="203"/>
        <v>0.95616425483931589</v>
      </c>
      <c r="N1622" s="47">
        <f t="shared" si="204"/>
        <v>0</v>
      </c>
      <c r="O1622" s="47">
        <f t="shared" si="205"/>
        <v>2.5841007329449354E-3</v>
      </c>
      <c r="P1622" s="47">
        <f t="shared" si="206"/>
        <v>7.4234166510054505E-3</v>
      </c>
      <c r="Q1622" s="47">
        <f t="shared" si="207"/>
        <v>1</v>
      </c>
    </row>
    <row r="1623" spans="1:17" x14ac:dyDescent="0.35">
      <c r="A1623" s="82">
        <v>1620</v>
      </c>
      <c r="B1623" s="83" t="str">
        <f>_xlfn.XLOOKUP(A1623,'TAZs by City - CCAG Model'!$A:$A,'TAZs by City - CCAG Model'!$B:$B,"Unknown")</f>
        <v>Portola Valley</v>
      </c>
      <c r="C1623" s="82">
        <f>_xlfn.XLOOKUP(A1623,'TAZs by City - CCAG Model'!$A:$A,'TAZs by City - CCAG Model'!$C:$C,999)</f>
        <v>2</v>
      </c>
      <c r="D1623" s="82" t="str">
        <f t="shared" si="200"/>
        <v>YES</v>
      </c>
      <c r="E1623" s="27">
        <v>7627.36</v>
      </c>
      <c r="F1623" s="27">
        <v>4241.0600000000004</v>
      </c>
      <c r="G1623" s="27">
        <v>0</v>
      </c>
      <c r="H1623" s="27">
        <v>60.08</v>
      </c>
      <c r="I1623" s="27">
        <v>457.78</v>
      </c>
      <c r="J1623" s="27">
        <v>12406.38</v>
      </c>
      <c r="K1623" s="47">
        <f t="shared" si="201"/>
        <v>0.61479335632150556</v>
      </c>
      <c r="L1623" s="47">
        <f t="shared" si="202"/>
        <v>0.34184508293313609</v>
      </c>
      <c r="M1623" s="84">
        <f t="shared" si="203"/>
        <v>0.95663843925464165</v>
      </c>
      <c r="N1623" s="47">
        <f t="shared" si="204"/>
        <v>0</v>
      </c>
      <c r="O1623" s="47">
        <f t="shared" si="205"/>
        <v>4.8426696586756175E-3</v>
      </c>
      <c r="P1623" s="47">
        <f t="shared" si="206"/>
        <v>3.6898756929902195E-2</v>
      </c>
      <c r="Q1623" s="47">
        <f t="shared" si="207"/>
        <v>1</v>
      </c>
    </row>
    <row r="1624" spans="1:17" x14ac:dyDescent="0.35">
      <c r="A1624" s="82">
        <v>1621</v>
      </c>
      <c r="B1624" s="83" t="str">
        <f>_xlfn.XLOOKUP(A1624,'TAZs by City - CCAG Model'!$A:$A,'TAZs by City - CCAG Model'!$B:$B,"Unknown")</f>
        <v>Woodside</v>
      </c>
      <c r="C1624" s="82">
        <f>_xlfn.XLOOKUP(A1624,'TAZs by City - CCAG Model'!$A:$A,'TAZs by City - CCAG Model'!$C:$C,999)</f>
        <v>2</v>
      </c>
      <c r="D1624" s="82" t="str">
        <f t="shared" si="200"/>
        <v>YES</v>
      </c>
      <c r="E1624" s="27">
        <v>895.74</v>
      </c>
      <c r="F1624" s="27">
        <v>649.20000000000005</v>
      </c>
      <c r="G1624" s="27">
        <v>0</v>
      </c>
      <c r="H1624" s="27">
        <v>10.48</v>
      </c>
      <c r="I1624" s="27">
        <v>14.16</v>
      </c>
      <c r="J1624" s="27">
        <v>1589.46</v>
      </c>
      <c r="K1624" s="47">
        <f t="shared" si="201"/>
        <v>0.56354988486655844</v>
      </c>
      <c r="L1624" s="47">
        <f t="shared" si="202"/>
        <v>0.40844060246876301</v>
      </c>
      <c r="M1624" s="84">
        <f t="shared" si="203"/>
        <v>0.97199048733532145</v>
      </c>
      <c r="N1624" s="47">
        <f t="shared" si="204"/>
        <v>0</v>
      </c>
      <c r="O1624" s="47">
        <f t="shared" si="205"/>
        <v>6.5934342481094206E-3</v>
      </c>
      <c r="P1624" s="47">
        <f t="shared" si="206"/>
        <v>8.9086859688195987E-3</v>
      </c>
      <c r="Q1624" s="47">
        <f t="shared" si="207"/>
        <v>1</v>
      </c>
    </row>
    <row r="1625" spans="1:17" x14ac:dyDescent="0.35">
      <c r="A1625" s="82">
        <v>1622</v>
      </c>
      <c r="B1625" s="83" t="str">
        <f>_xlfn.XLOOKUP(A1625,'TAZs by City - CCAG Model'!$A:$A,'TAZs by City - CCAG Model'!$B:$B,"Unknown")</f>
        <v>Redwood City</v>
      </c>
      <c r="C1625" s="82">
        <f>_xlfn.XLOOKUP(A1625,'TAZs by City - CCAG Model'!$A:$A,'TAZs by City - CCAG Model'!$C:$C,999)</f>
        <v>2</v>
      </c>
      <c r="D1625" s="82" t="str">
        <f t="shared" si="200"/>
        <v>YES</v>
      </c>
      <c r="E1625" s="27">
        <v>5132.22</v>
      </c>
      <c r="F1625" s="27">
        <v>3284.94</v>
      </c>
      <c r="G1625" s="27">
        <v>117.98</v>
      </c>
      <c r="H1625" s="27">
        <v>130</v>
      </c>
      <c r="I1625" s="27">
        <v>763.24</v>
      </c>
      <c r="J1625" s="27">
        <v>9584.14</v>
      </c>
      <c r="K1625" s="47">
        <f t="shared" si="201"/>
        <v>0.53549092563339018</v>
      </c>
      <c r="L1625" s="47">
        <f t="shared" si="202"/>
        <v>0.34274749742804261</v>
      </c>
      <c r="M1625" s="84">
        <f t="shared" si="203"/>
        <v>0.87823842306143274</v>
      </c>
      <c r="N1625" s="47">
        <f t="shared" si="204"/>
        <v>1.2309920347574223E-2</v>
      </c>
      <c r="O1625" s="47">
        <f t="shared" si="205"/>
        <v>1.3564075649980072E-2</v>
      </c>
      <c r="P1625" s="47">
        <f t="shared" si="206"/>
        <v>7.9635731531467621E-2</v>
      </c>
      <c r="Q1625" s="47">
        <f t="shared" si="207"/>
        <v>1</v>
      </c>
    </row>
    <row r="1626" spans="1:17" x14ac:dyDescent="0.35">
      <c r="A1626" s="82">
        <v>1623</v>
      </c>
      <c r="B1626" s="83" t="str">
        <f>_xlfn.XLOOKUP(A1626,'TAZs by City - CCAG Model'!$A:$A,'TAZs by City - CCAG Model'!$B:$B,"Unknown")</f>
        <v>San Carlos</v>
      </c>
      <c r="C1626" s="82">
        <f>_xlfn.XLOOKUP(A1626,'TAZs by City - CCAG Model'!$A:$A,'TAZs by City - CCAG Model'!$C:$C,999)</f>
        <v>2</v>
      </c>
      <c r="D1626" s="82" t="str">
        <f t="shared" si="200"/>
        <v>YES</v>
      </c>
      <c r="E1626" s="27">
        <v>9676.82</v>
      </c>
      <c r="F1626" s="27">
        <v>4991.22</v>
      </c>
      <c r="G1626" s="27">
        <v>338.62</v>
      </c>
      <c r="H1626" s="27">
        <v>199.18</v>
      </c>
      <c r="I1626" s="27">
        <v>3863.86</v>
      </c>
      <c r="J1626" s="27">
        <v>19461.88</v>
      </c>
      <c r="K1626" s="47">
        <f t="shared" si="201"/>
        <v>0.49721917923653824</v>
      </c>
      <c r="L1626" s="47">
        <f t="shared" si="202"/>
        <v>0.25646134905774776</v>
      </c>
      <c r="M1626" s="84">
        <f t="shared" si="203"/>
        <v>0.75368052829428611</v>
      </c>
      <c r="N1626" s="47">
        <f t="shared" si="204"/>
        <v>1.7399141295702161E-2</v>
      </c>
      <c r="O1626" s="47">
        <f t="shared" si="205"/>
        <v>1.0234365847492637E-2</v>
      </c>
      <c r="P1626" s="47">
        <f t="shared" si="206"/>
        <v>0.19853477670194247</v>
      </c>
      <c r="Q1626" s="47">
        <f t="shared" si="207"/>
        <v>1</v>
      </c>
    </row>
    <row r="1627" spans="1:17" x14ac:dyDescent="0.35">
      <c r="A1627" s="82">
        <v>1624</v>
      </c>
      <c r="B1627" s="83" t="str">
        <f>_xlfn.XLOOKUP(A1627,'TAZs by City - CCAG Model'!$A:$A,'TAZs by City - CCAG Model'!$B:$B,"Unknown")</f>
        <v>San Carlos</v>
      </c>
      <c r="C1627" s="82">
        <f>_xlfn.XLOOKUP(A1627,'TAZs by City - CCAG Model'!$A:$A,'TAZs by City - CCAG Model'!$C:$C,999)</f>
        <v>2</v>
      </c>
      <c r="D1627" s="82" t="str">
        <f t="shared" si="200"/>
        <v>YES</v>
      </c>
      <c r="E1627" s="27">
        <v>10239.58</v>
      </c>
      <c r="F1627" s="27">
        <v>3566.44</v>
      </c>
      <c r="G1627" s="27">
        <v>335.82</v>
      </c>
      <c r="H1627" s="27">
        <v>151.6</v>
      </c>
      <c r="I1627" s="27">
        <v>751</v>
      </c>
      <c r="J1627" s="27">
        <v>15419.46</v>
      </c>
      <c r="K1627" s="47">
        <f t="shared" si="201"/>
        <v>0.66406865091254819</v>
      </c>
      <c r="L1627" s="47">
        <f t="shared" si="202"/>
        <v>0.2312947405421461</v>
      </c>
      <c r="M1627" s="84">
        <f t="shared" si="203"/>
        <v>0.89536339145469435</v>
      </c>
      <c r="N1627" s="47">
        <f t="shared" si="204"/>
        <v>2.17789728044951E-2</v>
      </c>
      <c r="O1627" s="47">
        <f t="shared" si="205"/>
        <v>9.8317321099441884E-3</v>
      </c>
      <c r="P1627" s="47">
        <f t="shared" si="206"/>
        <v>4.8704688750449109E-2</v>
      </c>
      <c r="Q1627" s="47">
        <f t="shared" si="207"/>
        <v>1</v>
      </c>
    </row>
    <row r="1628" spans="1:17" x14ac:dyDescent="0.35">
      <c r="A1628" s="82">
        <v>1625</v>
      </c>
      <c r="B1628" s="83" t="str">
        <f>_xlfn.XLOOKUP(A1628,'TAZs by City - CCAG Model'!$A:$A,'TAZs by City - CCAG Model'!$B:$B,"Unknown")</f>
        <v>Redwood City</v>
      </c>
      <c r="C1628" s="82">
        <f>_xlfn.XLOOKUP(A1628,'TAZs by City - CCAG Model'!$A:$A,'TAZs by City - CCAG Model'!$C:$C,999)</f>
        <v>2</v>
      </c>
      <c r="D1628" s="82" t="str">
        <f t="shared" si="200"/>
        <v>YES</v>
      </c>
      <c r="E1628" s="27">
        <v>8581.3799999999992</v>
      </c>
      <c r="F1628" s="27">
        <v>3300.6</v>
      </c>
      <c r="G1628" s="27">
        <v>199.66</v>
      </c>
      <c r="H1628" s="27">
        <v>137.46</v>
      </c>
      <c r="I1628" s="27">
        <v>1317.58</v>
      </c>
      <c r="J1628" s="27">
        <v>13777.58</v>
      </c>
      <c r="K1628" s="47">
        <f t="shared" si="201"/>
        <v>0.62285103770037986</v>
      </c>
      <c r="L1628" s="47">
        <f t="shared" si="202"/>
        <v>0.23956311630925023</v>
      </c>
      <c r="M1628" s="84">
        <f t="shared" si="203"/>
        <v>0.86241415400963006</v>
      </c>
      <c r="N1628" s="47">
        <f t="shared" si="204"/>
        <v>1.449165963833997E-2</v>
      </c>
      <c r="O1628" s="47">
        <f t="shared" si="205"/>
        <v>9.9770787032265468E-3</v>
      </c>
      <c r="P1628" s="47">
        <f t="shared" si="206"/>
        <v>9.5632179236121287E-2</v>
      </c>
      <c r="Q1628" s="47">
        <f t="shared" si="207"/>
        <v>1</v>
      </c>
    </row>
    <row r="1629" spans="1:17" x14ac:dyDescent="0.35">
      <c r="A1629" s="82">
        <v>1626</v>
      </c>
      <c r="B1629" s="83" t="str">
        <f>_xlfn.XLOOKUP(A1629,'TAZs by City - CCAG Model'!$A:$A,'TAZs by City - CCAG Model'!$B:$B,"Unknown")</f>
        <v>Redwood City</v>
      </c>
      <c r="C1629" s="82">
        <f>_xlfn.XLOOKUP(A1629,'TAZs by City - CCAG Model'!$A:$A,'TAZs by City - CCAG Model'!$C:$C,999)</f>
        <v>2</v>
      </c>
      <c r="D1629" s="82" t="str">
        <f t="shared" si="200"/>
        <v>YES</v>
      </c>
      <c r="E1629" s="27">
        <v>8.0399999999999991</v>
      </c>
      <c r="F1629" s="27">
        <v>0.06</v>
      </c>
      <c r="G1629" s="27">
        <v>0</v>
      </c>
      <c r="H1629" s="27">
        <v>0</v>
      </c>
      <c r="I1629" s="27">
        <v>0</v>
      </c>
      <c r="J1629" s="27">
        <v>10.66</v>
      </c>
      <c r="K1629" s="47">
        <f t="shared" si="201"/>
        <v>0.75422138836772978</v>
      </c>
      <c r="L1629" s="47">
        <f t="shared" si="202"/>
        <v>5.6285178236397749E-3</v>
      </c>
      <c r="M1629" s="84">
        <f t="shared" si="203"/>
        <v>0.75984990619136961</v>
      </c>
      <c r="N1629" s="47">
        <f t="shared" si="204"/>
        <v>0</v>
      </c>
      <c r="O1629" s="47">
        <f t="shared" si="205"/>
        <v>0</v>
      </c>
      <c r="P1629" s="47">
        <f t="shared" si="206"/>
        <v>0</v>
      </c>
      <c r="Q1629" s="47">
        <f t="shared" si="207"/>
        <v>1</v>
      </c>
    </row>
    <row r="1630" spans="1:17" x14ac:dyDescent="0.35">
      <c r="A1630" s="82">
        <v>1627</v>
      </c>
      <c r="B1630" s="83" t="str">
        <f>_xlfn.XLOOKUP(A1630,'TAZs by City - CCAG Model'!$A:$A,'TAZs by City - CCAG Model'!$B:$B,"Unknown")</f>
        <v>Redwood City</v>
      </c>
      <c r="C1630" s="82">
        <f>_xlfn.XLOOKUP(A1630,'TAZs by City - CCAG Model'!$A:$A,'TAZs by City - CCAG Model'!$C:$C,999)</f>
        <v>2</v>
      </c>
      <c r="D1630" s="82" t="str">
        <f t="shared" si="200"/>
        <v>YES</v>
      </c>
      <c r="E1630" s="27">
        <v>10175.68</v>
      </c>
      <c r="F1630" s="27">
        <v>6022.22</v>
      </c>
      <c r="G1630" s="27">
        <v>588.48</v>
      </c>
      <c r="H1630" s="27">
        <v>369.6</v>
      </c>
      <c r="I1630" s="27">
        <v>1538.76</v>
      </c>
      <c r="J1630" s="27">
        <v>19328.759999999998</v>
      </c>
      <c r="K1630" s="47">
        <f t="shared" si="201"/>
        <v>0.52645280918175819</v>
      </c>
      <c r="L1630" s="47">
        <f t="shared" si="202"/>
        <v>0.31156783984073477</v>
      </c>
      <c r="M1630" s="84">
        <f t="shared" si="203"/>
        <v>0.83802064902249307</v>
      </c>
      <c r="N1630" s="47">
        <f t="shared" si="204"/>
        <v>3.0445822701508016E-2</v>
      </c>
      <c r="O1630" s="47">
        <f t="shared" si="205"/>
        <v>1.912176466571058E-2</v>
      </c>
      <c r="P1630" s="47">
        <f t="shared" si="206"/>
        <v>7.9609866333898299E-2</v>
      </c>
      <c r="Q1630" s="47">
        <f t="shared" si="207"/>
        <v>1</v>
      </c>
    </row>
    <row r="1631" spans="1:17" x14ac:dyDescent="0.35">
      <c r="A1631" s="82">
        <v>1628</v>
      </c>
      <c r="B1631" s="83" t="str">
        <f>_xlfn.XLOOKUP(A1631,'TAZs by City - CCAG Model'!$A:$A,'TAZs by City - CCAG Model'!$B:$B,"Unknown")</f>
        <v>Redwood City</v>
      </c>
      <c r="C1631" s="82">
        <f>_xlfn.XLOOKUP(A1631,'TAZs by City - CCAG Model'!$A:$A,'TAZs by City - CCAG Model'!$C:$C,999)</f>
        <v>2</v>
      </c>
      <c r="D1631" s="82" t="str">
        <f t="shared" si="200"/>
        <v>YES</v>
      </c>
      <c r="E1631" s="27">
        <v>9490.2199999999993</v>
      </c>
      <c r="F1631" s="27">
        <v>4023.44</v>
      </c>
      <c r="G1631" s="27">
        <v>461.58</v>
      </c>
      <c r="H1631" s="27">
        <v>177.52</v>
      </c>
      <c r="I1631" s="27">
        <v>1102.82</v>
      </c>
      <c r="J1631" s="27">
        <v>15761.42</v>
      </c>
      <c r="K1631" s="47">
        <f t="shared" si="201"/>
        <v>0.60211706813218602</v>
      </c>
      <c r="L1631" s="47">
        <f t="shared" si="202"/>
        <v>0.25527141590034402</v>
      </c>
      <c r="M1631" s="84">
        <f t="shared" si="203"/>
        <v>0.8573884840325301</v>
      </c>
      <c r="N1631" s="47">
        <f t="shared" si="204"/>
        <v>2.9285432403933147E-2</v>
      </c>
      <c r="O1631" s="47">
        <f t="shared" si="205"/>
        <v>1.1262944582404379E-2</v>
      </c>
      <c r="P1631" s="47">
        <f t="shared" si="206"/>
        <v>6.9969583958805731E-2</v>
      </c>
      <c r="Q1631" s="47">
        <f t="shared" si="207"/>
        <v>1</v>
      </c>
    </row>
    <row r="1632" spans="1:17" x14ac:dyDescent="0.35">
      <c r="A1632" s="82">
        <v>1629</v>
      </c>
      <c r="B1632" s="83" t="str">
        <f>_xlfn.XLOOKUP(A1632,'TAZs by City - CCAG Model'!$A:$A,'TAZs by City - CCAG Model'!$B:$B,"Unknown")</f>
        <v>Redwood City</v>
      </c>
      <c r="C1632" s="82">
        <f>_xlfn.XLOOKUP(A1632,'TAZs by City - CCAG Model'!$A:$A,'TAZs by City - CCAG Model'!$C:$C,999)</f>
        <v>2</v>
      </c>
      <c r="D1632" s="82" t="str">
        <f t="shared" si="200"/>
        <v>YES</v>
      </c>
      <c r="E1632" s="27">
        <v>1331.54</v>
      </c>
      <c r="F1632" s="27">
        <v>543.02</v>
      </c>
      <c r="G1632" s="27">
        <v>40.5</v>
      </c>
      <c r="H1632" s="27">
        <v>30.04</v>
      </c>
      <c r="I1632" s="27">
        <v>145</v>
      </c>
      <c r="J1632" s="27">
        <v>2182.8000000000002</v>
      </c>
      <c r="K1632" s="47">
        <f t="shared" si="201"/>
        <v>0.61001466006963523</v>
      </c>
      <c r="L1632" s="47">
        <f t="shared" si="202"/>
        <v>0.24877221916804101</v>
      </c>
      <c r="M1632" s="84">
        <f t="shared" si="203"/>
        <v>0.85878687923767627</v>
      </c>
      <c r="N1632" s="47">
        <f t="shared" si="204"/>
        <v>1.8554150632215501E-2</v>
      </c>
      <c r="O1632" s="47">
        <f t="shared" si="205"/>
        <v>1.3762140370166757E-2</v>
      </c>
      <c r="P1632" s="47">
        <f t="shared" si="206"/>
        <v>6.6428440535092531E-2</v>
      </c>
      <c r="Q1632" s="47">
        <f t="shared" si="207"/>
        <v>1</v>
      </c>
    </row>
    <row r="1633" spans="1:17" x14ac:dyDescent="0.35">
      <c r="A1633" s="82">
        <v>1630</v>
      </c>
      <c r="B1633" s="83" t="str">
        <f>_xlfn.XLOOKUP(A1633,'TAZs by City - CCAG Model'!$A:$A,'TAZs by City - CCAG Model'!$B:$B,"Unknown")</f>
        <v>Menlo Park</v>
      </c>
      <c r="C1633" s="82">
        <f>_xlfn.XLOOKUP(A1633,'TAZs by City - CCAG Model'!$A:$A,'TAZs by City - CCAG Model'!$C:$C,999)</f>
        <v>2</v>
      </c>
      <c r="D1633" s="82" t="str">
        <f t="shared" si="200"/>
        <v>YES</v>
      </c>
      <c r="E1633" s="27">
        <v>3728.7</v>
      </c>
      <c r="F1633" s="27">
        <v>3345.8</v>
      </c>
      <c r="G1633" s="27">
        <v>194.28</v>
      </c>
      <c r="H1633" s="27">
        <v>172.48</v>
      </c>
      <c r="I1633" s="27">
        <v>400.2</v>
      </c>
      <c r="J1633" s="27">
        <v>8069.16</v>
      </c>
      <c r="K1633" s="47">
        <f t="shared" si="201"/>
        <v>0.46209270853471734</v>
      </c>
      <c r="L1633" s="47">
        <f t="shared" si="202"/>
        <v>0.41464043345280055</v>
      </c>
      <c r="M1633" s="84">
        <f t="shared" si="203"/>
        <v>0.87673314198751795</v>
      </c>
      <c r="N1633" s="47">
        <f t="shared" si="204"/>
        <v>2.407685558348081E-2</v>
      </c>
      <c r="O1633" s="47">
        <f t="shared" si="205"/>
        <v>2.137521129832597E-2</v>
      </c>
      <c r="P1633" s="47">
        <f t="shared" si="206"/>
        <v>4.9596240500869977E-2</v>
      </c>
      <c r="Q1633" s="47">
        <f t="shared" si="207"/>
        <v>1</v>
      </c>
    </row>
    <row r="1634" spans="1:17" x14ac:dyDescent="0.35">
      <c r="A1634" s="82">
        <v>1631</v>
      </c>
      <c r="B1634" s="83" t="str">
        <f>_xlfn.XLOOKUP(A1634,'TAZs by City - CCAG Model'!$A:$A,'TAZs by City - CCAG Model'!$B:$B,"Unknown")</f>
        <v>Menlo Park</v>
      </c>
      <c r="C1634" s="82">
        <f>_xlfn.XLOOKUP(A1634,'TAZs by City - CCAG Model'!$A:$A,'TAZs by City - CCAG Model'!$C:$C,999)</f>
        <v>2</v>
      </c>
      <c r="D1634" s="82" t="str">
        <f t="shared" si="200"/>
        <v>YES</v>
      </c>
      <c r="E1634" s="27">
        <v>13274.64</v>
      </c>
      <c r="F1634" s="27">
        <v>6328.12</v>
      </c>
      <c r="G1634" s="27">
        <v>457.74</v>
      </c>
      <c r="H1634" s="27">
        <v>284.16000000000003</v>
      </c>
      <c r="I1634" s="27">
        <v>2205.94</v>
      </c>
      <c r="J1634" s="27">
        <v>23042.34</v>
      </c>
      <c r="K1634" s="47">
        <f t="shared" si="201"/>
        <v>0.57609774007327375</v>
      </c>
      <c r="L1634" s="47">
        <f t="shared" si="202"/>
        <v>0.27463009399219002</v>
      </c>
      <c r="M1634" s="84">
        <f t="shared" si="203"/>
        <v>0.85072783406546382</v>
      </c>
      <c r="N1634" s="47">
        <f t="shared" si="204"/>
        <v>1.9865169943677596E-2</v>
      </c>
      <c r="O1634" s="47">
        <f t="shared" si="205"/>
        <v>1.233208085637136E-2</v>
      </c>
      <c r="P1634" s="47">
        <f t="shared" si="206"/>
        <v>9.5734200606362035E-2</v>
      </c>
      <c r="Q1634" s="47">
        <f t="shared" si="207"/>
        <v>1</v>
      </c>
    </row>
    <row r="1635" spans="1:17" x14ac:dyDescent="0.35">
      <c r="A1635" s="82">
        <v>1632</v>
      </c>
      <c r="B1635" s="83" t="str">
        <f>_xlfn.XLOOKUP(A1635,'TAZs by City - CCAG Model'!$A:$A,'TAZs by City - CCAG Model'!$B:$B,"Unknown")</f>
        <v>East Palo Alto</v>
      </c>
      <c r="C1635" s="82">
        <f>_xlfn.XLOOKUP(A1635,'TAZs by City - CCAG Model'!$A:$A,'TAZs by City - CCAG Model'!$C:$C,999)</f>
        <v>2</v>
      </c>
      <c r="D1635" s="82" t="str">
        <f t="shared" si="200"/>
        <v>YES</v>
      </c>
      <c r="E1635" s="27">
        <v>4007.24</v>
      </c>
      <c r="F1635" s="27">
        <v>3865.64</v>
      </c>
      <c r="G1635" s="27">
        <v>190.98</v>
      </c>
      <c r="H1635" s="27">
        <v>191.76</v>
      </c>
      <c r="I1635" s="27">
        <v>747.68</v>
      </c>
      <c r="J1635" s="27">
        <v>9219.64</v>
      </c>
      <c r="K1635" s="47">
        <f t="shared" si="201"/>
        <v>0.43464169967590927</v>
      </c>
      <c r="L1635" s="47">
        <f t="shared" si="202"/>
        <v>0.41928318242360874</v>
      </c>
      <c r="M1635" s="84">
        <f t="shared" si="203"/>
        <v>0.853924882099518</v>
      </c>
      <c r="N1635" s="47">
        <f t="shared" si="204"/>
        <v>2.0714474751725664E-2</v>
      </c>
      <c r="O1635" s="47">
        <f t="shared" si="205"/>
        <v>2.0799076753539186E-2</v>
      </c>
      <c r="P1635" s="47">
        <f t="shared" si="206"/>
        <v>8.1096441943503211E-2</v>
      </c>
      <c r="Q1635" s="47">
        <f t="shared" si="207"/>
        <v>1</v>
      </c>
    </row>
    <row r="1636" spans="1:17" x14ac:dyDescent="0.35">
      <c r="A1636" s="82">
        <v>1633</v>
      </c>
      <c r="B1636" s="83" t="str">
        <f>_xlfn.XLOOKUP(A1636,'TAZs by City - CCAG Model'!$A:$A,'TAZs by City - CCAG Model'!$B:$B,"Unknown")</f>
        <v>Atherton</v>
      </c>
      <c r="C1636" s="82">
        <f>_xlfn.XLOOKUP(A1636,'TAZs by City - CCAG Model'!$A:$A,'TAZs by City - CCAG Model'!$C:$C,999)</f>
        <v>2</v>
      </c>
      <c r="D1636" s="82" t="str">
        <f t="shared" si="200"/>
        <v>YES</v>
      </c>
      <c r="E1636" s="27">
        <v>1649.18</v>
      </c>
      <c r="F1636" s="27">
        <v>1014.9</v>
      </c>
      <c r="G1636" s="27">
        <v>38.32</v>
      </c>
      <c r="H1636" s="27">
        <v>45.26</v>
      </c>
      <c r="I1636" s="27">
        <v>235.3</v>
      </c>
      <c r="J1636" s="27">
        <v>3061.48</v>
      </c>
      <c r="K1636" s="47">
        <f t="shared" si="201"/>
        <v>0.53868717091080132</v>
      </c>
      <c r="L1636" s="47">
        <f t="shared" si="202"/>
        <v>0.33150633027163334</v>
      </c>
      <c r="M1636" s="84">
        <f t="shared" si="203"/>
        <v>0.87019350118243466</v>
      </c>
      <c r="N1636" s="47">
        <f t="shared" si="204"/>
        <v>1.2516821929262971E-2</v>
      </c>
      <c r="O1636" s="47">
        <f t="shared" si="205"/>
        <v>1.4783699387224479E-2</v>
      </c>
      <c r="P1636" s="47">
        <f t="shared" si="206"/>
        <v>7.6858251564602742E-2</v>
      </c>
      <c r="Q1636" s="47">
        <f t="shared" si="207"/>
        <v>1</v>
      </c>
    </row>
    <row r="1637" spans="1:17" x14ac:dyDescent="0.35">
      <c r="A1637" s="82">
        <v>1634</v>
      </c>
      <c r="B1637" s="83" t="str">
        <f>_xlfn.XLOOKUP(A1637,'TAZs by City - CCAG Model'!$A:$A,'TAZs by City - CCAG Model'!$B:$B,"Unknown")</f>
        <v>Atherton</v>
      </c>
      <c r="C1637" s="82">
        <f>_xlfn.XLOOKUP(A1637,'TAZs by City - CCAG Model'!$A:$A,'TAZs by City - CCAG Model'!$C:$C,999)</f>
        <v>2</v>
      </c>
      <c r="D1637" s="82" t="str">
        <f t="shared" si="200"/>
        <v>YES</v>
      </c>
      <c r="E1637" s="27">
        <v>1000.76</v>
      </c>
      <c r="F1637" s="27">
        <v>721.28</v>
      </c>
      <c r="G1637" s="27">
        <v>11.42</v>
      </c>
      <c r="H1637" s="27">
        <v>19.62</v>
      </c>
      <c r="I1637" s="27">
        <v>298.62</v>
      </c>
      <c r="J1637" s="27">
        <v>2087.98</v>
      </c>
      <c r="K1637" s="47">
        <f t="shared" si="201"/>
        <v>0.47929577869519824</v>
      </c>
      <c r="L1637" s="47">
        <f t="shared" si="202"/>
        <v>0.3454439218766463</v>
      </c>
      <c r="M1637" s="84">
        <f t="shared" si="203"/>
        <v>0.82473970057184454</v>
      </c>
      <c r="N1637" s="47">
        <f t="shared" si="204"/>
        <v>5.4694010479027578E-3</v>
      </c>
      <c r="O1637" s="47">
        <f t="shared" si="205"/>
        <v>9.3966417302847726E-3</v>
      </c>
      <c r="P1637" s="47">
        <f t="shared" si="206"/>
        <v>0.14301861128938018</v>
      </c>
      <c r="Q1637" s="47">
        <f t="shared" si="207"/>
        <v>1</v>
      </c>
    </row>
    <row r="1638" spans="1:17" x14ac:dyDescent="0.35">
      <c r="A1638" s="82">
        <v>1635</v>
      </c>
      <c r="B1638" s="83" t="str">
        <f>_xlfn.XLOOKUP(A1638,'TAZs by City - CCAG Model'!$A:$A,'TAZs by City - CCAG Model'!$B:$B,"Unknown")</f>
        <v>Menlo Park</v>
      </c>
      <c r="C1638" s="82">
        <f>_xlfn.XLOOKUP(A1638,'TAZs by City - CCAG Model'!$A:$A,'TAZs by City - CCAG Model'!$C:$C,999)</f>
        <v>2</v>
      </c>
      <c r="D1638" s="82" t="str">
        <f t="shared" si="200"/>
        <v>YES</v>
      </c>
      <c r="E1638" s="27">
        <v>13955.32</v>
      </c>
      <c r="F1638" s="27">
        <v>5127.5200000000004</v>
      </c>
      <c r="G1638" s="27">
        <v>662</v>
      </c>
      <c r="H1638" s="27">
        <v>214.86</v>
      </c>
      <c r="I1638" s="27">
        <v>768.96</v>
      </c>
      <c r="J1638" s="27">
        <v>21424.38</v>
      </c>
      <c r="K1638" s="47">
        <f t="shared" si="201"/>
        <v>0.65137567574884314</v>
      </c>
      <c r="L1638" s="47">
        <f t="shared" si="202"/>
        <v>0.23933107982588062</v>
      </c>
      <c r="M1638" s="84">
        <f t="shared" si="203"/>
        <v>0.89070675557472367</v>
      </c>
      <c r="N1638" s="47">
        <f t="shared" si="204"/>
        <v>3.0899377251523731E-2</v>
      </c>
      <c r="O1638" s="47">
        <f t="shared" si="205"/>
        <v>1.0028761625774001E-2</v>
      </c>
      <c r="P1638" s="47">
        <f t="shared" si="206"/>
        <v>3.5891820440078076E-2</v>
      </c>
      <c r="Q1638" s="47">
        <f t="shared" si="207"/>
        <v>1</v>
      </c>
    </row>
    <row r="1639" spans="1:17" x14ac:dyDescent="0.35">
      <c r="A1639" s="82">
        <v>1636</v>
      </c>
      <c r="B1639" s="83" t="str">
        <f>_xlfn.XLOOKUP(A1639,'TAZs by City - CCAG Model'!$A:$A,'TAZs by City - CCAG Model'!$B:$B,"Unknown")</f>
        <v>Brisbane</v>
      </c>
      <c r="C1639" s="82">
        <f>_xlfn.XLOOKUP(A1639,'TAZs by City - CCAG Model'!$A:$A,'TAZs by City - CCAG Model'!$C:$C,999)</f>
        <v>2</v>
      </c>
      <c r="D1639" s="82" t="str">
        <f t="shared" si="200"/>
        <v>YES</v>
      </c>
      <c r="E1639" s="27">
        <v>6416.12</v>
      </c>
      <c r="F1639" s="27">
        <v>1745.32</v>
      </c>
      <c r="G1639" s="27">
        <v>0</v>
      </c>
      <c r="H1639" s="27">
        <v>130.08000000000001</v>
      </c>
      <c r="I1639" s="27">
        <v>127.08</v>
      </c>
      <c r="J1639" s="27">
        <v>8444.24</v>
      </c>
      <c r="K1639" s="47">
        <f t="shared" si="201"/>
        <v>0.75982207990298711</v>
      </c>
      <c r="L1639" s="47">
        <f t="shared" si="202"/>
        <v>0.20668763559538811</v>
      </c>
      <c r="M1639" s="84">
        <f t="shared" si="203"/>
        <v>0.96650971549837517</v>
      </c>
      <c r="N1639" s="47">
        <f t="shared" si="204"/>
        <v>0</v>
      </c>
      <c r="O1639" s="47">
        <f t="shared" si="205"/>
        <v>1.5404583479389503E-2</v>
      </c>
      <c r="P1639" s="47">
        <f t="shared" si="206"/>
        <v>1.5049311720178489E-2</v>
      </c>
      <c r="Q1639" s="47">
        <f t="shared" si="207"/>
        <v>1</v>
      </c>
    </row>
    <row r="1640" spans="1:17" x14ac:dyDescent="0.35">
      <c r="A1640" s="82">
        <v>1637</v>
      </c>
      <c r="B1640" s="83" t="str">
        <f>_xlfn.XLOOKUP(A1640,'TAZs by City - CCAG Model'!$A:$A,'TAZs by City - CCAG Model'!$B:$B,"Unknown")</f>
        <v>Brisbane</v>
      </c>
      <c r="C1640" s="82">
        <f>_xlfn.XLOOKUP(A1640,'TAZs by City - CCAG Model'!$A:$A,'TAZs by City - CCAG Model'!$C:$C,999)</f>
        <v>2</v>
      </c>
      <c r="D1640" s="82" t="str">
        <f t="shared" si="200"/>
        <v>YES</v>
      </c>
      <c r="E1640" s="27">
        <v>4638.96</v>
      </c>
      <c r="F1640" s="27">
        <v>1538.9</v>
      </c>
      <c r="G1640" s="27">
        <v>0.44</v>
      </c>
      <c r="H1640" s="27">
        <v>76.8</v>
      </c>
      <c r="I1640" s="27">
        <v>38.22</v>
      </c>
      <c r="J1640" s="27">
        <v>6319.5</v>
      </c>
      <c r="K1640" s="47">
        <f t="shared" si="201"/>
        <v>0.73407073344410156</v>
      </c>
      <c r="L1640" s="47">
        <f t="shared" si="202"/>
        <v>0.24351610095735424</v>
      </c>
      <c r="M1640" s="84">
        <f t="shared" si="203"/>
        <v>0.97758683440145588</v>
      </c>
      <c r="N1640" s="47">
        <f t="shared" si="204"/>
        <v>6.9625761531766749E-5</v>
      </c>
      <c r="O1640" s="47">
        <f t="shared" si="205"/>
        <v>1.2152860194635651E-2</v>
      </c>
      <c r="P1640" s="47">
        <f t="shared" si="206"/>
        <v>6.0479468312366483E-3</v>
      </c>
      <c r="Q1640" s="47">
        <f t="shared" si="207"/>
        <v>1</v>
      </c>
    </row>
    <row r="1641" spans="1:17" x14ac:dyDescent="0.35">
      <c r="A1641" s="82">
        <v>1638</v>
      </c>
      <c r="B1641" s="83" t="str">
        <f>_xlfn.XLOOKUP(A1641,'TAZs by City - CCAG Model'!$A:$A,'TAZs by City - CCAG Model'!$B:$B,"Unknown")</f>
        <v>Brisbane</v>
      </c>
      <c r="C1641" s="82">
        <f>_xlfn.XLOOKUP(A1641,'TAZs by City - CCAG Model'!$A:$A,'TAZs by City - CCAG Model'!$C:$C,999)</f>
        <v>2</v>
      </c>
      <c r="D1641" s="82" t="str">
        <f t="shared" si="200"/>
        <v>YES</v>
      </c>
      <c r="E1641" s="27">
        <v>3536.3</v>
      </c>
      <c r="F1641" s="27">
        <v>1868.58</v>
      </c>
      <c r="G1641" s="27">
        <v>68.760000000000005</v>
      </c>
      <c r="H1641" s="27">
        <v>85.78</v>
      </c>
      <c r="I1641" s="27">
        <v>177.84</v>
      </c>
      <c r="J1641" s="27">
        <v>5834.76</v>
      </c>
      <c r="K1641" s="47">
        <f t="shared" si="201"/>
        <v>0.60607462860511829</v>
      </c>
      <c r="L1641" s="47">
        <f t="shared" si="202"/>
        <v>0.32024967607922172</v>
      </c>
      <c r="M1641" s="84">
        <f t="shared" si="203"/>
        <v>0.92632430468434002</v>
      </c>
      <c r="N1641" s="47">
        <f t="shared" si="204"/>
        <v>1.1784546408078482E-2</v>
      </c>
      <c r="O1641" s="47">
        <f t="shared" si="205"/>
        <v>1.470154727872269E-2</v>
      </c>
      <c r="P1641" s="47">
        <f t="shared" si="206"/>
        <v>3.0479402751784134E-2</v>
      </c>
      <c r="Q1641" s="47">
        <f t="shared" si="207"/>
        <v>1</v>
      </c>
    </row>
    <row r="1642" spans="1:17" x14ac:dyDescent="0.35">
      <c r="A1642" s="82">
        <v>1639</v>
      </c>
      <c r="B1642" s="83" t="str">
        <f>_xlfn.XLOOKUP(A1642,'TAZs by City - CCAG Model'!$A:$A,'TAZs by City - CCAG Model'!$B:$B,"Unknown")</f>
        <v>Brisbane</v>
      </c>
      <c r="C1642" s="82">
        <f>_xlfn.XLOOKUP(A1642,'TAZs by City - CCAG Model'!$A:$A,'TAZs by City - CCAG Model'!$C:$C,999)</f>
        <v>2</v>
      </c>
      <c r="D1642" s="82" t="str">
        <f t="shared" si="200"/>
        <v>YES</v>
      </c>
      <c r="E1642" s="27">
        <v>8665.06</v>
      </c>
      <c r="F1642" s="27">
        <v>5608.64</v>
      </c>
      <c r="G1642" s="27">
        <v>309.2</v>
      </c>
      <c r="H1642" s="27">
        <v>220.68</v>
      </c>
      <c r="I1642" s="27">
        <v>416.82</v>
      </c>
      <c r="J1642" s="27">
        <v>15565.5</v>
      </c>
      <c r="K1642" s="47">
        <f t="shared" si="201"/>
        <v>0.55668369149722141</v>
      </c>
      <c r="L1642" s="47">
        <f t="shared" si="202"/>
        <v>0.36032507789663037</v>
      </c>
      <c r="M1642" s="84">
        <f t="shared" si="203"/>
        <v>0.91700876939385179</v>
      </c>
      <c r="N1642" s="47">
        <f t="shared" si="204"/>
        <v>1.9864443801998009E-2</v>
      </c>
      <c r="O1642" s="47">
        <f t="shared" si="205"/>
        <v>1.4177507950274646E-2</v>
      </c>
      <c r="P1642" s="47">
        <f t="shared" si="206"/>
        <v>2.6778452346535607E-2</v>
      </c>
      <c r="Q1642" s="47">
        <f t="shared" si="207"/>
        <v>1</v>
      </c>
    </row>
    <row r="1643" spans="1:17" x14ac:dyDescent="0.35">
      <c r="A1643" s="82">
        <v>1640</v>
      </c>
      <c r="B1643" s="83" t="str">
        <f>_xlfn.XLOOKUP(A1643,'TAZs by City - CCAG Model'!$A:$A,'TAZs by City - CCAG Model'!$B:$B,"Unknown")</f>
        <v>South San Francisco</v>
      </c>
      <c r="C1643" s="82">
        <f>_xlfn.XLOOKUP(A1643,'TAZs by City - CCAG Model'!$A:$A,'TAZs by City - CCAG Model'!$C:$C,999)</f>
        <v>2</v>
      </c>
      <c r="D1643" s="82" t="str">
        <f t="shared" si="200"/>
        <v>YES</v>
      </c>
      <c r="E1643" s="27">
        <v>16833.12</v>
      </c>
      <c r="F1643" s="27">
        <v>4843.34</v>
      </c>
      <c r="G1643" s="27">
        <v>290.8</v>
      </c>
      <c r="H1643" s="27">
        <v>295.36</v>
      </c>
      <c r="I1643" s="27">
        <v>271.27999999999997</v>
      </c>
      <c r="J1643" s="27">
        <v>22847.759999999998</v>
      </c>
      <c r="K1643" s="47">
        <f t="shared" si="201"/>
        <v>0.73675143646466879</v>
      </c>
      <c r="L1643" s="47">
        <f t="shared" si="202"/>
        <v>0.21198314408064511</v>
      </c>
      <c r="M1643" s="84">
        <f t="shared" si="203"/>
        <v>0.9487345805453139</v>
      </c>
      <c r="N1643" s="47">
        <f t="shared" si="204"/>
        <v>1.2727724731002078E-2</v>
      </c>
      <c r="O1643" s="47">
        <f t="shared" si="205"/>
        <v>1.2927306659383679E-2</v>
      </c>
      <c r="P1643" s="47">
        <f t="shared" si="206"/>
        <v>1.1873374020035224E-2</v>
      </c>
      <c r="Q1643" s="47">
        <f t="shared" si="207"/>
        <v>1</v>
      </c>
    </row>
    <row r="1644" spans="1:17" x14ac:dyDescent="0.35">
      <c r="A1644" s="82">
        <v>1641</v>
      </c>
      <c r="B1644" s="83" t="str">
        <f>_xlfn.XLOOKUP(A1644,'TAZs by City - CCAG Model'!$A:$A,'TAZs by City - CCAG Model'!$B:$B,"Unknown")</f>
        <v>South San Francisco</v>
      </c>
      <c r="C1644" s="82">
        <f>_xlfn.XLOOKUP(A1644,'TAZs by City - CCAG Model'!$A:$A,'TAZs by City - CCAG Model'!$C:$C,999)</f>
        <v>2</v>
      </c>
      <c r="D1644" s="82" t="str">
        <f t="shared" si="200"/>
        <v>YES</v>
      </c>
      <c r="E1644" s="27">
        <v>25519.94</v>
      </c>
      <c r="F1644" s="27">
        <v>8430.3799999999992</v>
      </c>
      <c r="G1644" s="27">
        <v>505.88</v>
      </c>
      <c r="H1644" s="27">
        <v>367.46</v>
      </c>
      <c r="I1644" s="27">
        <v>749.66</v>
      </c>
      <c r="J1644" s="27">
        <v>36102.379999999997</v>
      </c>
      <c r="K1644" s="47">
        <f t="shared" si="201"/>
        <v>0.70687694273895518</v>
      </c>
      <c r="L1644" s="47">
        <f t="shared" si="202"/>
        <v>0.23351313680704708</v>
      </c>
      <c r="M1644" s="84">
        <f t="shared" si="203"/>
        <v>0.94039007954600229</v>
      </c>
      <c r="N1644" s="47">
        <f t="shared" si="204"/>
        <v>1.4012372591502278E-2</v>
      </c>
      <c r="O1644" s="47">
        <f t="shared" si="205"/>
        <v>1.0178276335244381E-2</v>
      </c>
      <c r="P1644" s="47">
        <f t="shared" si="206"/>
        <v>2.0764836002501775E-2</v>
      </c>
      <c r="Q1644" s="47">
        <f t="shared" si="207"/>
        <v>1</v>
      </c>
    </row>
    <row r="1645" spans="1:17" x14ac:dyDescent="0.35">
      <c r="A1645" s="82">
        <v>1642</v>
      </c>
      <c r="B1645" s="83" t="str">
        <f>_xlfn.XLOOKUP(A1645,'TAZs by City - CCAG Model'!$A:$A,'TAZs by City - CCAG Model'!$B:$B,"Unknown")</f>
        <v>South San Francisco</v>
      </c>
      <c r="C1645" s="82">
        <f>_xlfn.XLOOKUP(A1645,'TAZs by City - CCAG Model'!$A:$A,'TAZs by City - CCAG Model'!$C:$C,999)</f>
        <v>2</v>
      </c>
      <c r="D1645" s="82" t="str">
        <f t="shared" si="200"/>
        <v>YES</v>
      </c>
      <c r="E1645" s="27">
        <v>11044.48</v>
      </c>
      <c r="F1645" s="27">
        <v>3288.92</v>
      </c>
      <c r="G1645" s="27">
        <v>282.26</v>
      </c>
      <c r="H1645" s="27">
        <v>160.96</v>
      </c>
      <c r="I1645" s="27">
        <v>343.12</v>
      </c>
      <c r="J1645" s="27">
        <v>15433.02</v>
      </c>
      <c r="K1645" s="47">
        <f t="shared" si="201"/>
        <v>0.71563958317944243</v>
      </c>
      <c r="L1645" s="47">
        <f t="shared" si="202"/>
        <v>0.2131092942275718</v>
      </c>
      <c r="M1645" s="84">
        <f t="shared" si="203"/>
        <v>0.92874887740701428</v>
      </c>
      <c r="N1645" s="47">
        <f t="shared" si="204"/>
        <v>1.8289356198592368E-2</v>
      </c>
      <c r="O1645" s="47">
        <f t="shared" si="205"/>
        <v>1.0429585395470233E-2</v>
      </c>
      <c r="P1645" s="47">
        <f t="shared" si="206"/>
        <v>2.223284878785876E-2</v>
      </c>
      <c r="Q1645" s="47">
        <f t="shared" si="207"/>
        <v>1</v>
      </c>
    </row>
    <row r="1646" spans="1:17" x14ac:dyDescent="0.35">
      <c r="A1646" s="82">
        <v>1643</v>
      </c>
      <c r="B1646" s="83" t="str">
        <f>_xlfn.XLOOKUP(A1646,'TAZs by City - CCAG Model'!$A:$A,'TAZs by City - CCAG Model'!$B:$B,"Unknown")</f>
        <v>South San Francisco</v>
      </c>
      <c r="C1646" s="82">
        <f>_xlfn.XLOOKUP(A1646,'TAZs by City - CCAG Model'!$A:$A,'TAZs by City - CCAG Model'!$C:$C,999)</f>
        <v>2</v>
      </c>
      <c r="D1646" s="82" t="str">
        <f t="shared" si="200"/>
        <v>YES</v>
      </c>
      <c r="E1646" s="27">
        <v>15921.4</v>
      </c>
      <c r="F1646" s="27">
        <v>9552.7199999999993</v>
      </c>
      <c r="G1646" s="27">
        <v>1153.74</v>
      </c>
      <c r="H1646" s="27">
        <v>416.92</v>
      </c>
      <c r="I1646" s="27">
        <v>2586.1799999999998</v>
      </c>
      <c r="J1646" s="27">
        <v>30823.9</v>
      </c>
      <c r="K1646" s="47">
        <f t="shared" si="201"/>
        <v>0.51652775930365724</v>
      </c>
      <c r="L1646" s="47">
        <f t="shared" si="202"/>
        <v>0.30991276249922944</v>
      </c>
      <c r="M1646" s="84">
        <f t="shared" si="203"/>
        <v>0.82644052180288663</v>
      </c>
      <c r="N1646" s="47">
        <f t="shared" si="204"/>
        <v>3.7430046165475489E-2</v>
      </c>
      <c r="O1646" s="47">
        <f t="shared" si="205"/>
        <v>1.3525867914183474E-2</v>
      </c>
      <c r="P1646" s="47">
        <f t="shared" si="206"/>
        <v>8.3901777516797019E-2</v>
      </c>
      <c r="Q1646" s="47">
        <f t="shared" si="207"/>
        <v>1</v>
      </c>
    </row>
    <row r="1647" spans="1:17" x14ac:dyDescent="0.35">
      <c r="A1647" s="82">
        <v>1644</v>
      </c>
      <c r="B1647" s="83" t="str">
        <f>_xlfn.XLOOKUP(A1647,'TAZs by City - CCAG Model'!$A:$A,'TAZs by City - CCAG Model'!$B:$B,"Unknown")</f>
        <v>South San Francisco</v>
      </c>
      <c r="C1647" s="82">
        <f>_xlfn.XLOOKUP(A1647,'TAZs by City - CCAG Model'!$A:$A,'TAZs by City - CCAG Model'!$C:$C,999)</f>
        <v>2</v>
      </c>
      <c r="D1647" s="82" t="str">
        <f t="shared" si="200"/>
        <v>YES</v>
      </c>
      <c r="E1647" s="27">
        <v>10892.34</v>
      </c>
      <c r="F1647" s="27">
        <v>3731.76</v>
      </c>
      <c r="G1647" s="27">
        <v>269.72000000000003</v>
      </c>
      <c r="H1647" s="27">
        <v>157.52000000000001</v>
      </c>
      <c r="I1647" s="27">
        <v>382.48</v>
      </c>
      <c r="J1647" s="27">
        <v>15734.24</v>
      </c>
      <c r="K1647" s="47">
        <f t="shared" si="201"/>
        <v>0.69226985224580284</v>
      </c>
      <c r="L1647" s="47">
        <f t="shared" si="202"/>
        <v>0.23717446791201865</v>
      </c>
      <c r="M1647" s="84">
        <f t="shared" si="203"/>
        <v>0.92944432015782141</v>
      </c>
      <c r="N1647" s="47">
        <f t="shared" si="204"/>
        <v>1.7142232481518017E-2</v>
      </c>
      <c r="O1647" s="47">
        <f t="shared" si="205"/>
        <v>1.0011287485127977E-2</v>
      </c>
      <c r="P1647" s="47">
        <f t="shared" si="206"/>
        <v>2.43087686472305E-2</v>
      </c>
      <c r="Q1647" s="47">
        <f t="shared" si="207"/>
        <v>1</v>
      </c>
    </row>
    <row r="1648" spans="1:17" x14ac:dyDescent="0.35">
      <c r="A1648" s="82">
        <v>1645</v>
      </c>
      <c r="B1648" s="83" t="str">
        <f>_xlfn.XLOOKUP(A1648,'TAZs by City - CCAG Model'!$A:$A,'TAZs by City - CCAG Model'!$B:$B,"Unknown")</f>
        <v>San Bruno</v>
      </c>
      <c r="C1648" s="82">
        <f>_xlfn.XLOOKUP(A1648,'TAZs by City - CCAG Model'!$A:$A,'TAZs by City - CCAG Model'!$C:$C,999)</f>
        <v>2</v>
      </c>
      <c r="D1648" s="82" t="str">
        <f t="shared" si="200"/>
        <v>YES</v>
      </c>
      <c r="E1648" s="27">
        <v>307.32</v>
      </c>
      <c r="F1648" s="27">
        <v>102.04</v>
      </c>
      <c r="G1648" s="27">
        <v>3.1</v>
      </c>
      <c r="H1648" s="27">
        <v>3.18</v>
      </c>
      <c r="I1648" s="27">
        <v>14.26</v>
      </c>
      <c r="J1648" s="27">
        <v>455.84</v>
      </c>
      <c r="K1648" s="47">
        <f t="shared" si="201"/>
        <v>0.67418392418392425</v>
      </c>
      <c r="L1648" s="47">
        <f t="shared" si="202"/>
        <v>0.22385047385047388</v>
      </c>
      <c r="M1648" s="84">
        <f t="shared" si="203"/>
        <v>0.89803439803439811</v>
      </c>
      <c r="N1648" s="47">
        <f t="shared" si="204"/>
        <v>6.800631800631801E-3</v>
      </c>
      <c r="O1648" s="47">
        <f t="shared" si="205"/>
        <v>6.9761319761319765E-3</v>
      </c>
      <c r="P1648" s="47">
        <f t="shared" si="206"/>
        <v>3.1282906282906281E-2</v>
      </c>
      <c r="Q1648" s="47">
        <f t="shared" si="207"/>
        <v>1</v>
      </c>
    </row>
    <row r="1649" spans="1:17" x14ac:dyDescent="0.35">
      <c r="A1649" s="82">
        <v>1646</v>
      </c>
      <c r="B1649" s="83" t="str">
        <f>_xlfn.XLOOKUP(A1649,'TAZs by City - CCAG Model'!$A:$A,'TAZs by City - CCAG Model'!$B:$B,"Unknown")</f>
        <v>San Bruno</v>
      </c>
      <c r="C1649" s="82">
        <f>_xlfn.XLOOKUP(A1649,'TAZs by City - CCAG Model'!$A:$A,'TAZs by City - CCAG Model'!$C:$C,999)</f>
        <v>2</v>
      </c>
      <c r="D1649" s="82" t="str">
        <f t="shared" si="200"/>
        <v>YES</v>
      </c>
      <c r="E1649" s="27">
        <v>10224.64</v>
      </c>
      <c r="F1649" s="27">
        <v>3399.82</v>
      </c>
      <c r="G1649" s="27">
        <v>355.16</v>
      </c>
      <c r="H1649" s="27">
        <v>152.80000000000001</v>
      </c>
      <c r="I1649" s="27">
        <v>782.44</v>
      </c>
      <c r="J1649" s="27">
        <v>15303.22</v>
      </c>
      <c r="K1649" s="47">
        <f t="shared" si="201"/>
        <v>0.66813650983257122</v>
      </c>
      <c r="L1649" s="47">
        <f t="shared" si="202"/>
        <v>0.22216370149550227</v>
      </c>
      <c r="M1649" s="84">
        <f t="shared" si="203"/>
        <v>0.89030021132807347</v>
      </c>
      <c r="N1649" s="47">
        <f t="shared" si="204"/>
        <v>2.3208187557912652E-2</v>
      </c>
      <c r="O1649" s="47">
        <f t="shared" si="205"/>
        <v>9.9848267227420125E-3</v>
      </c>
      <c r="P1649" s="47">
        <f t="shared" si="206"/>
        <v>5.1129108775800132E-2</v>
      </c>
      <c r="Q1649" s="47">
        <f t="shared" si="207"/>
        <v>1</v>
      </c>
    </row>
    <row r="1650" spans="1:17" x14ac:dyDescent="0.35">
      <c r="A1650" s="82">
        <v>1647</v>
      </c>
      <c r="B1650" s="83" t="str">
        <f>_xlfn.XLOOKUP(A1650,'TAZs by City - CCAG Model'!$A:$A,'TAZs by City - CCAG Model'!$B:$B,"Unknown")</f>
        <v>San Bruno</v>
      </c>
      <c r="C1650" s="82">
        <f>_xlfn.XLOOKUP(A1650,'TAZs by City - CCAG Model'!$A:$A,'TAZs by City - CCAG Model'!$C:$C,999)</f>
        <v>2</v>
      </c>
      <c r="D1650" s="82" t="str">
        <f t="shared" si="200"/>
        <v>YES</v>
      </c>
      <c r="E1650" s="27">
        <v>9986.3799999999992</v>
      </c>
      <c r="F1650" s="27">
        <v>6110.78</v>
      </c>
      <c r="G1650" s="27">
        <v>690.04</v>
      </c>
      <c r="H1650" s="27">
        <v>266.36</v>
      </c>
      <c r="I1650" s="27">
        <v>1313.36</v>
      </c>
      <c r="J1650" s="27">
        <v>19097.88</v>
      </c>
      <c r="K1650" s="47">
        <f t="shared" si="201"/>
        <v>0.52290516015390187</v>
      </c>
      <c r="L1650" s="47">
        <f t="shared" si="202"/>
        <v>0.31997164083133833</v>
      </c>
      <c r="M1650" s="84">
        <f t="shared" si="203"/>
        <v>0.8428768009852402</v>
      </c>
      <c r="N1650" s="47">
        <f t="shared" si="204"/>
        <v>3.6131759127191077E-2</v>
      </c>
      <c r="O1650" s="47">
        <f t="shared" si="205"/>
        <v>1.394709779305347E-2</v>
      </c>
      <c r="P1650" s="47">
        <f t="shared" si="206"/>
        <v>6.8769936767850662E-2</v>
      </c>
      <c r="Q1650" s="47">
        <f t="shared" si="207"/>
        <v>1</v>
      </c>
    </row>
    <row r="1651" spans="1:17" x14ac:dyDescent="0.35">
      <c r="A1651" s="82">
        <v>1648</v>
      </c>
      <c r="B1651" s="83" t="str">
        <f>_xlfn.XLOOKUP(A1651,'TAZs by City - CCAG Model'!$A:$A,'TAZs by City - CCAG Model'!$B:$B,"Unknown")</f>
        <v>Unincorporated</v>
      </c>
      <c r="C1651" s="82">
        <f>_xlfn.XLOOKUP(A1651,'TAZs by City - CCAG Model'!$A:$A,'TAZs by City - CCAG Model'!$C:$C,999)</f>
        <v>2</v>
      </c>
      <c r="D1651" s="82" t="str">
        <f t="shared" si="200"/>
        <v>YES</v>
      </c>
      <c r="E1651" s="27">
        <v>36919.279999999999</v>
      </c>
      <c r="F1651" s="27">
        <v>13043.58</v>
      </c>
      <c r="G1651" s="27">
        <v>1598.12</v>
      </c>
      <c r="H1651" s="27">
        <v>446.74</v>
      </c>
      <c r="I1651" s="27">
        <v>1954.52</v>
      </c>
      <c r="J1651" s="27">
        <v>55577.86</v>
      </c>
      <c r="K1651" s="47">
        <f t="shared" si="201"/>
        <v>0.66428034472719888</v>
      </c>
      <c r="L1651" s="47">
        <f t="shared" si="202"/>
        <v>0.23469021657185074</v>
      </c>
      <c r="M1651" s="84">
        <f t="shared" si="203"/>
        <v>0.89897056129904962</v>
      </c>
      <c r="N1651" s="47">
        <f t="shared" si="204"/>
        <v>2.8754615596930141E-2</v>
      </c>
      <c r="O1651" s="47">
        <f t="shared" si="205"/>
        <v>8.0380928664759675E-3</v>
      </c>
      <c r="P1651" s="47">
        <f t="shared" si="206"/>
        <v>3.5167241056060811E-2</v>
      </c>
      <c r="Q1651" s="47">
        <f t="shared" si="207"/>
        <v>1</v>
      </c>
    </row>
    <row r="1652" spans="1:17" x14ac:dyDescent="0.35">
      <c r="A1652" s="82">
        <v>1649</v>
      </c>
      <c r="B1652" s="83" t="str">
        <f>_xlfn.XLOOKUP(A1652,'TAZs by City - CCAG Model'!$A:$A,'TAZs by City - CCAG Model'!$B:$B,"Unknown")</f>
        <v>Unincorporated</v>
      </c>
      <c r="C1652" s="82">
        <f>_xlfn.XLOOKUP(A1652,'TAZs by City - CCAG Model'!$A:$A,'TAZs by City - CCAG Model'!$C:$C,999)</f>
        <v>2</v>
      </c>
      <c r="D1652" s="82" t="str">
        <f t="shared" si="200"/>
        <v>YES</v>
      </c>
      <c r="E1652" s="27">
        <v>12826.54</v>
      </c>
      <c r="F1652" s="27">
        <v>3781.98</v>
      </c>
      <c r="G1652" s="27">
        <v>0</v>
      </c>
      <c r="H1652" s="27">
        <v>137.46</v>
      </c>
      <c r="I1652" s="27">
        <v>206.14</v>
      </c>
      <c r="J1652" s="27">
        <v>16966.38</v>
      </c>
      <c r="K1652" s="47">
        <f t="shared" si="201"/>
        <v>0.75599744907281341</v>
      </c>
      <c r="L1652" s="47">
        <f t="shared" si="202"/>
        <v>0.22291024956413802</v>
      </c>
      <c r="M1652" s="84">
        <f t="shared" si="203"/>
        <v>0.97890769863695137</v>
      </c>
      <c r="N1652" s="47">
        <f t="shared" si="204"/>
        <v>0</v>
      </c>
      <c r="O1652" s="47">
        <f t="shared" si="205"/>
        <v>8.1019050616572309E-3</v>
      </c>
      <c r="P1652" s="47">
        <f t="shared" si="206"/>
        <v>1.2149910587880265E-2</v>
      </c>
      <c r="Q1652" s="47">
        <f t="shared" si="207"/>
        <v>1</v>
      </c>
    </row>
    <row r="1653" spans="1:17" x14ac:dyDescent="0.35">
      <c r="A1653" s="82">
        <v>1650</v>
      </c>
      <c r="B1653" s="83" t="str">
        <f>_xlfn.XLOOKUP(A1653,'TAZs by City - CCAG Model'!$A:$A,'TAZs by City - CCAG Model'!$B:$B,"Unknown")</f>
        <v>Millbrae</v>
      </c>
      <c r="C1653" s="82">
        <f>_xlfn.XLOOKUP(A1653,'TAZs by City - CCAG Model'!$A:$A,'TAZs by City - CCAG Model'!$C:$C,999)</f>
        <v>2</v>
      </c>
      <c r="D1653" s="82" t="str">
        <f t="shared" si="200"/>
        <v>YES</v>
      </c>
      <c r="E1653" s="27">
        <v>6540.46</v>
      </c>
      <c r="F1653" s="27">
        <v>3583.88</v>
      </c>
      <c r="G1653" s="27">
        <v>377.46</v>
      </c>
      <c r="H1653" s="27">
        <v>153.24</v>
      </c>
      <c r="I1653" s="27">
        <v>770.68</v>
      </c>
      <c r="J1653" s="27">
        <v>11846.1</v>
      </c>
      <c r="K1653" s="47">
        <f t="shared" si="201"/>
        <v>0.55211926287976631</v>
      </c>
      <c r="L1653" s="47">
        <f t="shared" si="202"/>
        <v>0.30253669984214215</v>
      </c>
      <c r="M1653" s="84">
        <f t="shared" si="203"/>
        <v>0.85465596272190847</v>
      </c>
      <c r="N1653" s="47">
        <f t="shared" si="204"/>
        <v>3.1863651328285253E-2</v>
      </c>
      <c r="O1653" s="47">
        <f t="shared" si="205"/>
        <v>1.2935902955403044E-2</v>
      </c>
      <c r="P1653" s="47">
        <f t="shared" si="206"/>
        <v>6.5057698314213111E-2</v>
      </c>
      <c r="Q1653" s="47">
        <f t="shared" si="207"/>
        <v>1</v>
      </c>
    </row>
    <row r="1654" spans="1:17" x14ac:dyDescent="0.35">
      <c r="A1654" s="82">
        <v>1651</v>
      </c>
      <c r="B1654" s="83" t="str">
        <f>_xlfn.XLOOKUP(A1654,'TAZs by City - CCAG Model'!$A:$A,'TAZs by City - CCAG Model'!$B:$B,"Unknown")</f>
        <v>Millbrae</v>
      </c>
      <c r="C1654" s="82">
        <f>_xlfn.XLOOKUP(A1654,'TAZs by City - CCAG Model'!$A:$A,'TAZs by City - CCAG Model'!$C:$C,999)</f>
        <v>2</v>
      </c>
      <c r="D1654" s="82" t="str">
        <f t="shared" si="200"/>
        <v>YES</v>
      </c>
      <c r="E1654" s="27">
        <v>15377.5</v>
      </c>
      <c r="F1654" s="27">
        <v>7337.78</v>
      </c>
      <c r="G1654" s="27">
        <v>978.46</v>
      </c>
      <c r="H1654" s="27">
        <v>284.27999999999997</v>
      </c>
      <c r="I1654" s="27">
        <v>2110.96</v>
      </c>
      <c r="J1654" s="27">
        <v>27107.18</v>
      </c>
      <c r="K1654" s="47">
        <f t="shared" si="201"/>
        <v>0.56728512519561236</v>
      </c>
      <c r="L1654" s="47">
        <f t="shared" si="202"/>
        <v>0.27069507045734748</v>
      </c>
      <c r="M1654" s="84">
        <f t="shared" si="203"/>
        <v>0.83798019565295978</v>
      </c>
      <c r="N1654" s="47">
        <f t="shared" si="204"/>
        <v>3.6095971620803052E-2</v>
      </c>
      <c r="O1654" s="47">
        <f t="shared" si="205"/>
        <v>1.0487258357379852E-2</v>
      </c>
      <c r="P1654" s="47">
        <f t="shared" si="206"/>
        <v>7.787457050124727E-2</v>
      </c>
      <c r="Q1654" s="47">
        <f t="shared" si="207"/>
        <v>1</v>
      </c>
    </row>
    <row r="1655" spans="1:17" x14ac:dyDescent="0.35">
      <c r="A1655" s="82">
        <v>1652</v>
      </c>
      <c r="B1655" s="83" t="str">
        <f>_xlfn.XLOOKUP(A1655,'TAZs by City - CCAG Model'!$A:$A,'TAZs by City - CCAG Model'!$B:$B,"Unknown")</f>
        <v>Burlingame</v>
      </c>
      <c r="C1655" s="82">
        <f>_xlfn.XLOOKUP(A1655,'TAZs by City - CCAG Model'!$A:$A,'TAZs by City - CCAG Model'!$C:$C,999)</f>
        <v>2</v>
      </c>
      <c r="D1655" s="82" t="str">
        <f t="shared" si="200"/>
        <v>YES</v>
      </c>
      <c r="E1655" s="27">
        <v>9559.6</v>
      </c>
      <c r="F1655" s="27">
        <v>2796.1</v>
      </c>
      <c r="G1655" s="27">
        <v>449.92</v>
      </c>
      <c r="H1655" s="27">
        <v>133.38</v>
      </c>
      <c r="I1655" s="27">
        <v>426.74</v>
      </c>
      <c r="J1655" s="27">
        <v>13846.92</v>
      </c>
      <c r="K1655" s="47">
        <f t="shared" si="201"/>
        <v>0.69037735467526351</v>
      </c>
      <c r="L1655" s="47">
        <f t="shared" si="202"/>
        <v>0.20192938212974437</v>
      </c>
      <c r="M1655" s="84">
        <f t="shared" si="203"/>
        <v>0.89230673680500794</v>
      </c>
      <c r="N1655" s="47">
        <f t="shared" si="204"/>
        <v>3.2492424308077174E-2</v>
      </c>
      <c r="O1655" s="47">
        <f t="shared" si="205"/>
        <v>9.6324670034924724E-3</v>
      </c>
      <c r="P1655" s="47">
        <f t="shared" si="206"/>
        <v>3.0818405825988739E-2</v>
      </c>
      <c r="Q1655" s="47">
        <f t="shared" si="207"/>
        <v>1</v>
      </c>
    </row>
    <row r="1656" spans="1:17" x14ac:dyDescent="0.35">
      <c r="A1656" s="82">
        <v>1653</v>
      </c>
      <c r="B1656" s="83" t="str">
        <f>_xlfn.XLOOKUP(A1656,'TAZs by City - CCAG Model'!$A:$A,'TAZs by City - CCAG Model'!$B:$B,"Unknown")</f>
        <v>Burlingame</v>
      </c>
      <c r="C1656" s="82">
        <f>_xlfn.XLOOKUP(A1656,'TAZs by City - CCAG Model'!$A:$A,'TAZs by City - CCAG Model'!$C:$C,999)</f>
        <v>2</v>
      </c>
      <c r="D1656" s="82" t="str">
        <f t="shared" si="200"/>
        <v>YES</v>
      </c>
      <c r="E1656" s="27">
        <v>5866.46</v>
      </c>
      <c r="F1656" s="27">
        <v>3886.64</v>
      </c>
      <c r="G1656" s="27">
        <v>213.66</v>
      </c>
      <c r="H1656" s="27">
        <v>147.62</v>
      </c>
      <c r="I1656" s="27">
        <v>896.72</v>
      </c>
      <c r="J1656" s="27">
        <v>11261.36</v>
      </c>
      <c r="K1656" s="47">
        <f t="shared" si="201"/>
        <v>0.52093708042367881</v>
      </c>
      <c r="L1656" s="47">
        <f t="shared" si="202"/>
        <v>0.34513060589484751</v>
      </c>
      <c r="M1656" s="84">
        <f t="shared" si="203"/>
        <v>0.86606768631852638</v>
      </c>
      <c r="N1656" s="47">
        <f t="shared" si="204"/>
        <v>1.8972841646124446E-2</v>
      </c>
      <c r="O1656" s="47">
        <f t="shared" si="205"/>
        <v>1.3108541064311948E-2</v>
      </c>
      <c r="P1656" s="47">
        <f t="shared" si="206"/>
        <v>7.9628037821364378E-2</v>
      </c>
      <c r="Q1656" s="47">
        <f t="shared" si="207"/>
        <v>1</v>
      </c>
    </row>
    <row r="1657" spans="1:17" x14ac:dyDescent="0.35">
      <c r="A1657" s="82">
        <v>1654</v>
      </c>
      <c r="B1657" s="83" t="str">
        <f>_xlfn.XLOOKUP(A1657,'TAZs by City - CCAG Model'!$A:$A,'TAZs by City - CCAG Model'!$B:$B,"Unknown")</f>
        <v>Foster City</v>
      </c>
      <c r="C1657" s="82">
        <f>_xlfn.XLOOKUP(A1657,'TAZs by City - CCAG Model'!$A:$A,'TAZs by City - CCAG Model'!$C:$C,999)</f>
        <v>2</v>
      </c>
      <c r="D1657" s="82" t="str">
        <f t="shared" si="200"/>
        <v>YES</v>
      </c>
      <c r="E1657" s="27">
        <v>18487.919999999998</v>
      </c>
      <c r="F1657" s="27">
        <v>5886.76</v>
      </c>
      <c r="G1657" s="27">
        <v>366.92</v>
      </c>
      <c r="H1657" s="27">
        <v>244.76</v>
      </c>
      <c r="I1657" s="27">
        <v>1953.82</v>
      </c>
      <c r="J1657" s="27">
        <v>27333.78</v>
      </c>
      <c r="K1657" s="47">
        <f t="shared" si="201"/>
        <v>0.67637626409519647</v>
      </c>
      <c r="L1657" s="47">
        <f t="shared" si="202"/>
        <v>0.21536574890117652</v>
      </c>
      <c r="M1657" s="84">
        <f t="shared" si="203"/>
        <v>0.89174201299637301</v>
      </c>
      <c r="N1657" s="47">
        <f t="shared" si="204"/>
        <v>1.342368307639851E-2</v>
      </c>
      <c r="O1657" s="47">
        <f t="shared" si="205"/>
        <v>8.9544878169064059E-3</v>
      </c>
      <c r="P1657" s="47">
        <f t="shared" si="206"/>
        <v>7.1480051423549906E-2</v>
      </c>
      <c r="Q1657" s="47">
        <f t="shared" si="207"/>
        <v>1</v>
      </c>
    </row>
    <row r="1658" spans="1:17" x14ac:dyDescent="0.35">
      <c r="A1658" s="82">
        <v>1655</v>
      </c>
      <c r="B1658" s="83" t="str">
        <f>_xlfn.XLOOKUP(A1658,'TAZs by City - CCAG Model'!$A:$A,'TAZs by City - CCAG Model'!$B:$B,"Unknown")</f>
        <v>Foster City</v>
      </c>
      <c r="C1658" s="82">
        <f>_xlfn.XLOOKUP(A1658,'TAZs by City - CCAG Model'!$A:$A,'TAZs by City - CCAG Model'!$C:$C,999)</f>
        <v>2</v>
      </c>
      <c r="D1658" s="82" t="str">
        <f t="shared" si="200"/>
        <v>YES</v>
      </c>
      <c r="E1658" s="27">
        <v>22911.46</v>
      </c>
      <c r="F1658" s="27">
        <v>9068.32</v>
      </c>
      <c r="G1658" s="27">
        <v>512.74</v>
      </c>
      <c r="H1658" s="27">
        <v>376.96</v>
      </c>
      <c r="I1658" s="27">
        <v>2280.6</v>
      </c>
      <c r="J1658" s="27">
        <v>35692.92</v>
      </c>
      <c r="K1658" s="47">
        <f t="shared" si="201"/>
        <v>0.64190489318329802</v>
      </c>
      <c r="L1658" s="47">
        <f t="shared" si="202"/>
        <v>0.25406495181677485</v>
      </c>
      <c r="M1658" s="84">
        <f t="shared" si="203"/>
        <v>0.89596984500007282</v>
      </c>
      <c r="N1658" s="47">
        <f t="shared" si="204"/>
        <v>1.4365313905390762E-2</v>
      </c>
      <c r="O1658" s="47">
        <f t="shared" si="205"/>
        <v>1.0561198131169991E-2</v>
      </c>
      <c r="P1658" s="47">
        <f t="shared" si="206"/>
        <v>6.3895024559492475E-2</v>
      </c>
      <c r="Q1658" s="47">
        <f t="shared" si="207"/>
        <v>1</v>
      </c>
    </row>
    <row r="1659" spans="1:17" x14ac:dyDescent="0.35">
      <c r="A1659" s="82">
        <v>1656</v>
      </c>
      <c r="B1659" s="83" t="str">
        <f>_xlfn.XLOOKUP(A1659,'TAZs by City - CCAG Model'!$A:$A,'TAZs by City - CCAG Model'!$B:$B,"Unknown")</f>
        <v>South San Francisco</v>
      </c>
      <c r="C1659" s="82">
        <f>_xlfn.XLOOKUP(A1659,'TAZs by City - CCAG Model'!$A:$A,'TAZs by City - CCAG Model'!$C:$C,999)</f>
        <v>2</v>
      </c>
      <c r="D1659" s="82" t="str">
        <f t="shared" si="200"/>
        <v>YES</v>
      </c>
      <c r="E1659" s="27">
        <v>6218.22</v>
      </c>
      <c r="F1659" s="27">
        <v>3251.82</v>
      </c>
      <c r="G1659" s="27">
        <v>573.32000000000005</v>
      </c>
      <c r="H1659" s="27">
        <v>179.12</v>
      </c>
      <c r="I1659" s="27">
        <v>529.84</v>
      </c>
      <c r="J1659" s="27">
        <v>11366.36</v>
      </c>
      <c r="K1659" s="47">
        <f t="shared" si="201"/>
        <v>0.54707223772606184</v>
      </c>
      <c r="L1659" s="47">
        <f t="shared" si="202"/>
        <v>0.28609158956781239</v>
      </c>
      <c r="M1659" s="84">
        <f t="shared" si="203"/>
        <v>0.83316382729387428</v>
      </c>
      <c r="N1659" s="47">
        <f t="shared" si="204"/>
        <v>5.0440070523896832E-2</v>
      </c>
      <c r="O1659" s="47">
        <f t="shared" si="205"/>
        <v>1.5758782934906162E-2</v>
      </c>
      <c r="P1659" s="47">
        <f t="shared" si="206"/>
        <v>4.6614747377348595E-2</v>
      </c>
      <c r="Q1659" s="47">
        <f t="shared" si="207"/>
        <v>1</v>
      </c>
    </row>
    <row r="1660" spans="1:17" x14ac:dyDescent="0.35">
      <c r="A1660" s="82">
        <v>1657</v>
      </c>
      <c r="B1660" s="83" t="str">
        <f>_xlfn.XLOOKUP(A1660,'TAZs by City - CCAG Model'!$A:$A,'TAZs by City - CCAG Model'!$B:$B,"Unknown")</f>
        <v>Belmont</v>
      </c>
      <c r="C1660" s="82">
        <f>_xlfn.XLOOKUP(A1660,'TAZs by City - CCAG Model'!$A:$A,'TAZs by City - CCAG Model'!$C:$C,999)</f>
        <v>2</v>
      </c>
      <c r="D1660" s="82" t="str">
        <f t="shared" si="200"/>
        <v>YES</v>
      </c>
      <c r="E1660" s="27">
        <v>8839.4</v>
      </c>
      <c r="F1660" s="27">
        <v>4762.08</v>
      </c>
      <c r="G1660" s="27">
        <v>318.86</v>
      </c>
      <c r="H1660" s="27">
        <v>179</v>
      </c>
      <c r="I1660" s="27">
        <v>1573.18</v>
      </c>
      <c r="J1660" s="27">
        <v>16036.56</v>
      </c>
      <c r="K1660" s="47">
        <f t="shared" si="201"/>
        <v>0.55120300114238963</v>
      </c>
      <c r="L1660" s="47">
        <f t="shared" si="202"/>
        <v>0.29695146590041754</v>
      </c>
      <c r="M1660" s="84">
        <f t="shared" si="203"/>
        <v>0.84815446704280717</v>
      </c>
      <c r="N1660" s="47">
        <f t="shared" si="204"/>
        <v>1.988331662151983E-2</v>
      </c>
      <c r="O1660" s="47">
        <f t="shared" si="205"/>
        <v>1.1161994841786519E-2</v>
      </c>
      <c r="P1660" s="47">
        <f t="shared" si="206"/>
        <v>9.8099592431294499E-2</v>
      </c>
      <c r="Q1660" s="47">
        <f t="shared" si="207"/>
        <v>1</v>
      </c>
    </row>
    <row r="1661" spans="1:17" x14ac:dyDescent="0.35">
      <c r="A1661" s="82">
        <v>1658</v>
      </c>
      <c r="B1661" s="83" t="str">
        <f>_xlfn.XLOOKUP(A1661,'TAZs by City - CCAG Model'!$A:$A,'TAZs by City - CCAG Model'!$B:$B,"Unknown")</f>
        <v>Unincorporated</v>
      </c>
      <c r="C1661" s="82">
        <f>_xlfn.XLOOKUP(A1661,'TAZs by City - CCAG Model'!$A:$A,'TAZs by City - CCAG Model'!$C:$C,999)</f>
        <v>2</v>
      </c>
      <c r="D1661" s="82" t="str">
        <f t="shared" si="200"/>
        <v>YES</v>
      </c>
      <c r="E1661" s="27">
        <v>9549.68</v>
      </c>
      <c r="F1661" s="27">
        <v>5397.16</v>
      </c>
      <c r="G1661" s="27">
        <v>184.28</v>
      </c>
      <c r="H1661" s="27">
        <v>120.72</v>
      </c>
      <c r="I1661" s="27">
        <v>791.26</v>
      </c>
      <c r="J1661" s="27">
        <v>16258.78</v>
      </c>
      <c r="K1661" s="47">
        <f t="shared" si="201"/>
        <v>0.58735526281799744</v>
      </c>
      <c r="L1661" s="47">
        <f t="shared" si="202"/>
        <v>0.33195356601171794</v>
      </c>
      <c r="M1661" s="84">
        <f t="shared" si="203"/>
        <v>0.91930882882971532</v>
      </c>
      <c r="N1661" s="47">
        <f t="shared" si="204"/>
        <v>1.1334183745643892E-2</v>
      </c>
      <c r="O1661" s="47">
        <f t="shared" si="205"/>
        <v>7.4249113402112578E-3</v>
      </c>
      <c r="P1661" s="47">
        <f t="shared" si="206"/>
        <v>4.866662812338933E-2</v>
      </c>
      <c r="Q1661" s="47">
        <f t="shared" si="207"/>
        <v>1</v>
      </c>
    </row>
    <row r="1662" spans="1:17" x14ac:dyDescent="0.35">
      <c r="A1662" s="82">
        <v>1659</v>
      </c>
      <c r="B1662" s="83" t="str">
        <f>_xlfn.XLOOKUP(A1662,'TAZs by City - CCAG Model'!$A:$A,'TAZs by City - CCAG Model'!$B:$B,"Unknown")</f>
        <v>Unincorporated</v>
      </c>
      <c r="C1662" s="82">
        <f>_xlfn.XLOOKUP(A1662,'TAZs by City - CCAG Model'!$A:$A,'TAZs by City - CCAG Model'!$C:$C,999)</f>
        <v>2</v>
      </c>
      <c r="D1662" s="82" t="str">
        <f t="shared" si="200"/>
        <v>YES</v>
      </c>
      <c r="E1662" s="27">
        <v>3801.64</v>
      </c>
      <c r="F1662" s="27">
        <v>2665.44</v>
      </c>
      <c r="G1662" s="27">
        <v>29.2</v>
      </c>
      <c r="H1662" s="27">
        <v>29.5</v>
      </c>
      <c r="I1662" s="27">
        <v>341.36</v>
      </c>
      <c r="J1662" s="27">
        <v>6920.66</v>
      </c>
      <c r="K1662" s="47">
        <f t="shared" si="201"/>
        <v>0.54931755063823395</v>
      </c>
      <c r="L1662" s="47">
        <f t="shared" si="202"/>
        <v>0.38514245751127785</v>
      </c>
      <c r="M1662" s="84">
        <f t="shared" si="203"/>
        <v>0.9344600081495118</v>
      </c>
      <c r="N1662" s="47">
        <f t="shared" si="204"/>
        <v>4.2192507651004386E-3</v>
      </c>
      <c r="O1662" s="47">
        <f t="shared" si="205"/>
        <v>4.2625992318651692E-3</v>
      </c>
      <c r="P1662" s="47">
        <f t="shared" si="206"/>
        <v>4.9324775382694717E-2</v>
      </c>
      <c r="Q1662" s="47">
        <f t="shared" si="207"/>
        <v>1</v>
      </c>
    </row>
    <row r="1663" spans="1:17" x14ac:dyDescent="0.35">
      <c r="A1663" s="82">
        <v>1660</v>
      </c>
      <c r="B1663" s="83" t="str">
        <f>_xlfn.XLOOKUP(A1663,'TAZs by City - CCAG Model'!$A:$A,'TAZs by City - CCAG Model'!$B:$B,"Unknown")</f>
        <v>Unincorporated</v>
      </c>
      <c r="C1663" s="82">
        <f>_xlfn.XLOOKUP(A1663,'TAZs by City - CCAG Model'!$A:$A,'TAZs by City - CCAG Model'!$C:$C,999)</f>
        <v>2</v>
      </c>
      <c r="D1663" s="82" t="str">
        <f t="shared" si="200"/>
        <v>YES</v>
      </c>
      <c r="E1663" s="27">
        <v>347.36</v>
      </c>
      <c r="F1663" s="27">
        <v>219.66</v>
      </c>
      <c r="G1663" s="27">
        <v>0</v>
      </c>
      <c r="H1663" s="27">
        <v>0.08</v>
      </c>
      <c r="I1663" s="27">
        <v>1.56</v>
      </c>
      <c r="J1663" s="27">
        <v>588.86</v>
      </c>
      <c r="K1663" s="47">
        <f t="shared" si="201"/>
        <v>0.58988554155486872</v>
      </c>
      <c r="L1663" s="47">
        <f t="shared" si="202"/>
        <v>0.37302584655096288</v>
      </c>
      <c r="M1663" s="84">
        <f t="shared" si="203"/>
        <v>0.96291138810583154</v>
      </c>
      <c r="N1663" s="47">
        <f t="shared" si="204"/>
        <v>0</v>
      </c>
      <c r="O1663" s="47">
        <f t="shared" si="205"/>
        <v>1.3585572122406004E-4</v>
      </c>
      <c r="P1663" s="47">
        <f t="shared" si="206"/>
        <v>2.649186563869171E-3</v>
      </c>
      <c r="Q1663" s="47">
        <f t="shared" si="207"/>
        <v>1</v>
      </c>
    </row>
    <row r="1664" spans="1:17" x14ac:dyDescent="0.35">
      <c r="A1664" s="82">
        <v>1661</v>
      </c>
      <c r="B1664" s="83" t="str">
        <f>_xlfn.XLOOKUP(A1664,'TAZs by City - CCAG Model'!$A:$A,'TAZs by City - CCAG Model'!$B:$B,"Unknown")</f>
        <v>Unincorporated</v>
      </c>
      <c r="C1664" s="82">
        <f>_xlfn.XLOOKUP(A1664,'TAZs by City - CCAG Model'!$A:$A,'TAZs by City - CCAG Model'!$C:$C,999)</f>
        <v>2</v>
      </c>
      <c r="D1664" s="82" t="str">
        <f t="shared" si="200"/>
        <v>YES</v>
      </c>
      <c r="E1664" s="27">
        <v>1296.8399999999999</v>
      </c>
      <c r="F1664" s="27">
        <v>775.02</v>
      </c>
      <c r="G1664" s="27">
        <v>0</v>
      </c>
      <c r="H1664" s="27">
        <v>5.74</v>
      </c>
      <c r="I1664" s="27">
        <v>6.78</v>
      </c>
      <c r="J1664" s="27">
        <v>2112.86</v>
      </c>
      <c r="K1664" s="47">
        <f t="shared" si="201"/>
        <v>0.61378415985914814</v>
      </c>
      <c r="L1664" s="47">
        <f t="shared" si="202"/>
        <v>0.36681086300086135</v>
      </c>
      <c r="M1664" s="84">
        <f t="shared" si="203"/>
        <v>0.98059502286000944</v>
      </c>
      <c r="N1664" s="47">
        <f t="shared" si="204"/>
        <v>0</v>
      </c>
      <c r="O1664" s="47">
        <f t="shared" si="205"/>
        <v>2.7166967995986484E-3</v>
      </c>
      <c r="P1664" s="47">
        <f t="shared" si="206"/>
        <v>3.2089206099788913E-3</v>
      </c>
      <c r="Q1664" s="47">
        <f t="shared" si="207"/>
        <v>1</v>
      </c>
    </row>
    <row r="1665" spans="1:17" x14ac:dyDescent="0.35">
      <c r="A1665" s="82">
        <v>1662</v>
      </c>
      <c r="B1665" s="83" t="str">
        <f>_xlfn.XLOOKUP(A1665,'TAZs by City - CCAG Model'!$A:$A,'TAZs by City - CCAG Model'!$B:$B,"Unknown")</f>
        <v>Unincorporated</v>
      </c>
      <c r="C1665" s="82">
        <f>_xlfn.XLOOKUP(A1665,'TAZs by City - CCAG Model'!$A:$A,'TAZs by City - CCAG Model'!$C:$C,999)</f>
        <v>2</v>
      </c>
      <c r="D1665" s="82" t="str">
        <f t="shared" si="200"/>
        <v>YES</v>
      </c>
      <c r="E1665" s="27">
        <v>4464.5200000000004</v>
      </c>
      <c r="F1665" s="27">
        <v>2422.44</v>
      </c>
      <c r="G1665" s="27">
        <v>0</v>
      </c>
      <c r="H1665" s="27">
        <v>13.44</v>
      </c>
      <c r="I1665" s="27">
        <v>303.66000000000003</v>
      </c>
      <c r="J1665" s="27">
        <v>7225.26</v>
      </c>
      <c r="K1665" s="47">
        <f t="shared" si="201"/>
        <v>0.61790440759225274</v>
      </c>
      <c r="L1665" s="47">
        <f t="shared" si="202"/>
        <v>0.3352737479343304</v>
      </c>
      <c r="M1665" s="84">
        <f t="shared" si="203"/>
        <v>0.95317815552658325</v>
      </c>
      <c r="N1665" s="47">
        <f t="shared" si="204"/>
        <v>0</v>
      </c>
      <c r="O1665" s="47">
        <f t="shared" si="205"/>
        <v>1.8601406731384061E-3</v>
      </c>
      <c r="P1665" s="47">
        <f t="shared" si="206"/>
        <v>4.2027553333720866E-2</v>
      </c>
      <c r="Q1665" s="47">
        <f t="shared" si="207"/>
        <v>1</v>
      </c>
    </row>
    <row r="1666" spans="1:17" x14ac:dyDescent="0.35">
      <c r="A1666" s="82">
        <v>1663</v>
      </c>
      <c r="B1666" s="83" t="str">
        <f>_xlfn.XLOOKUP(A1666,'TAZs by City - CCAG Model'!$A:$A,'TAZs by City - CCAG Model'!$B:$B,"Unknown")</f>
        <v>Unincorporated</v>
      </c>
      <c r="C1666" s="82">
        <f>_xlfn.XLOOKUP(A1666,'TAZs by City - CCAG Model'!$A:$A,'TAZs by City - CCAG Model'!$C:$C,999)</f>
        <v>2</v>
      </c>
      <c r="D1666" s="82" t="str">
        <f t="shared" si="200"/>
        <v>YES</v>
      </c>
      <c r="E1666" s="27">
        <v>829.04</v>
      </c>
      <c r="F1666" s="27">
        <v>543.88</v>
      </c>
      <c r="G1666" s="27">
        <v>0</v>
      </c>
      <c r="H1666" s="27">
        <v>3.34</v>
      </c>
      <c r="I1666" s="27">
        <v>23.1</v>
      </c>
      <c r="J1666" s="27">
        <v>1417.8</v>
      </c>
      <c r="K1666" s="47">
        <f t="shared" si="201"/>
        <v>0.58473691634927349</v>
      </c>
      <c r="L1666" s="47">
        <f t="shared" si="202"/>
        <v>0.38360840739173369</v>
      </c>
      <c r="M1666" s="84">
        <f t="shared" si="203"/>
        <v>0.96834532374100724</v>
      </c>
      <c r="N1666" s="47">
        <f t="shared" si="204"/>
        <v>0</v>
      </c>
      <c r="O1666" s="47">
        <f t="shared" si="205"/>
        <v>2.3557624488644378E-3</v>
      </c>
      <c r="P1666" s="47">
        <f t="shared" si="206"/>
        <v>1.6292848074481593E-2</v>
      </c>
      <c r="Q1666" s="47">
        <f t="shared" si="207"/>
        <v>1</v>
      </c>
    </row>
    <row r="1667" spans="1:17" x14ac:dyDescent="0.35">
      <c r="A1667" s="82">
        <v>1664</v>
      </c>
      <c r="B1667" s="83" t="str">
        <f>_xlfn.XLOOKUP(A1667,'TAZs by City - CCAG Model'!$A:$A,'TAZs by City - CCAG Model'!$B:$B,"Unknown")</f>
        <v>Unincorporated</v>
      </c>
      <c r="C1667" s="82">
        <f>_xlfn.XLOOKUP(A1667,'TAZs by City - CCAG Model'!$A:$A,'TAZs by City - CCAG Model'!$C:$C,999)</f>
        <v>2</v>
      </c>
      <c r="D1667" s="82" t="str">
        <f t="shared" si="200"/>
        <v>YES</v>
      </c>
      <c r="E1667" s="27">
        <v>743.6</v>
      </c>
      <c r="F1667" s="27">
        <v>393.08</v>
      </c>
      <c r="G1667" s="27">
        <v>0</v>
      </c>
      <c r="H1667" s="27">
        <v>2.64</v>
      </c>
      <c r="I1667" s="27">
        <v>2.2999999999999998</v>
      </c>
      <c r="J1667" s="27">
        <v>1171.8800000000001</v>
      </c>
      <c r="K1667" s="47">
        <f t="shared" si="201"/>
        <v>0.63453595931324025</v>
      </c>
      <c r="L1667" s="47">
        <f t="shared" si="202"/>
        <v>0.33542683551216845</v>
      </c>
      <c r="M1667" s="84">
        <f t="shared" si="203"/>
        <v>0.9699627948254087</v>
      </c>
      <c r="N1667" s="47">
        <f t="shared" si="204"/>
        <v>0</v>
      </c>
      <c r="O1667" s="47">
        <f t="shared" si="205"/>
        <v>2.2527903880943442E-3</v>
      </c>
      <c r="P1667" s="47">
        <f t="shared" si="206"/>
        <v>1.9626582926579512E-3</v>
      </c>
      <c r="Q1667" s="47">
        <f t="shared" si="207"/>
        <v>1</v>
      </c>
    </row>
    <row r="1668" spans="1:17" x14ac:dyDescent="0.35">
      <c r="A1668" s="82">
        <v>1665</v>
      </c>
      <c r="B1668" s="83" t="str">
        <f>_xlfn.XLOOKUP(A1668,'TAZs by City - CCAG Model'!$A:$A,'TAZs by City - CCAG Model'!$B:$B,"Unknown")</f>
        <v>Unincorporated</v>
      </c>
      <c r="C1668" s="82">
        <f>_xlfn.XLOOKUP(A1668,'TAZs by City - CCAG Model'!$A:$A,'TAZs by City - CCAG Model'!$C:$C,999)</f>
        <v>2</v>
      </c>
      <c r="D1668" s="82" t="str">
        <f t="shared" si="200"/>
        <v>YES</v>
      </c>
      <c r="E1668" s="27">
        <v>2162.2399999999998</v>
      </c>
      <c r="F1668" s="27">
        <v>1268.6600000000001</v>
      </c>
      <c r="G1668" s="27">
        <v>0</v>
      </c>
      <c r="H1668" s="27">
        <v>19.78</v>
      </c>
      <c r="I1668" s="27">
        <v>717.54</v>
      </c>
      <c r="J1668" s="27">
        <v>4190.22</v>
      </c>
      <c r="K1668" s="47">
        <f t="shared" si="201"/>
        <v>0.51602063853449209</v>
      </c>
      <c r="L1668" s="47">
        <f t="shared" si="202"/>
        <v>0.30276691915937587</v>
      </c>
      <c r="M1668" s="84">
        <f t="shared" si="203"/>
        <v>0.81878755769386802</v>
      </c>
      <c r="N1668" s="47">
        <f t="shared" si="204"/>
        <v>0</v>
      </c>
      <c r="O1668" s="47">
        <f t="shared" si="205"/>
        <v>4.7205158679019237E-3</v>
      </c>
      <c r="P1668" s="47">
        <f t="shared" si="206"/>
        <v>0.17124160545269698</v>
      </c>
      <c r="Q1668" s="47">
        <f t="shared" si="207"/>
        <v>1</v>
      </c>
    </row>
    <row r="1669" spans="1:17" x14ac:dyDescent="0.35">
      <c r="A1669" s="82">
        <v>1666</v>
      </c>
      <c r="B1669" s="83" t="str">
        <f>_xlfn.XLOOKUP(A1669,'TAZs by City - CCAG Model'!$A:$A,'TAZs by City - CCAG Model'!$B:$B,"Unknown")</f>
        <v>Unincorporated</v>
      </c>
      <c r="C1669" s="82">
        <f>_xlfn.XLOOKUP(A1669,'TAZs by City - CCAG Model'!$A:$A,'TAZs by City - CCAG Model'!$C:$C,999)</f>
        <v>2</v>
      </c>
      <c r="D1669" s="82" t="str">
        <f t="shared" ref="D1669:D1732" si="208">IF(C1669=2,"YES","NO")</f>
        <v>YES</v>
      </c>
      <c r="E1669" s="27">
        <v>5752.92</v>
      </c>
      <c r="F1669" s="27">
        <v>3770.6</v>
      </c>
      <c r="G1669" s="27">
        <v>5.72</v>
      </c>
      <c r="H1669" s="27">
        <v>67.48</v>
      </c>
      <c r="I1669" s="27">
        <v>232.9</v>
      </c>
      <c r="J1669" s="27">
        <v>9863.1</v>
      </c>
      <c r="K1669" s="47">
        <f t="shared" ref="K1669:K1732" si="209">IFERROR(E1669/$J1669,0)</f>
        <v>0.58327706299236548</v>
      </c>
      <c r="L1669" s="47">
        <f t="shared" ref="L1669:L1732" si="210">IFERROR(F1669/$J1669,0)</f>
        <v>0.38229359937544988</v>
      </c>
      <c r="M1669" s="84">
        <f t="shared" ref="M1669:M1732" si="211">IFERROR((E1669+F1669)/J1669,0)</f>
        <v>0.96557066236781541</v>
      </c>
      <c r="N1669" s="47">
        <f t="shared" ref="N1669:N1732" si="212">IFERROR(G1669/$J1669,0)</f>
        <v>5.7993936997495716E-4</v>
      </c>
      <c r="O1669" s="47">
        <f t="shared" ref="O1669:O1732" si="213">IFERROR(H1669/$J1669,0)</f>
        <v>6.8416623576765924E-3</v>
      </c>
      <c r="P1669" s="47">
        <f t="shared" ref="P1669:P1732" si="214">IFERROR(I1669/$J1669,0)</f>
        <v>2.3613265606148168E-2</v>
      </c>
      <c r="Q1669" s="47">
        <f t="shared" ref="Q1669:Q1732" si="215">IFERROR(J1669/$J1669,0)</f>
        <v>1</v>
      </c>
    </row>
    <row r="1670" spans="1:17" x14ac:dyDescent="0.35">
      <c r="A1670" s="82">
        <v>1667</v>
      </c>
      <c r="B1670" s="83" t="str">
        <f>_xlfn.XLOOKUP(A1670,'TAZs by City - CCAG Model'!$A:$A,'TAZs by City - CCAG Model'!$B:$B,"Unknown")</f>
        <v>Woodside</v>
      </c>
      <c r="C1670" s="82">
        <f>_xlfn.XLOOKUP(A1670,'TAZs by City - CCAG Model'!$A:$A,'TAZs by City - CCAG Model'!$C:$C,999)</f>
        <v>2</v>
      </c>
      <c r="D1670" s="82" t="str">
        <f t="shared" si="208"/>
        <v>YES</v>
      </c>
      <c r="E1670" s="27">
        <v>2211.08</v>
      </c>
      <c r="F1670" s="27">
        <v>1332.28</v>
      </c>
      <c r="G1670" s="27">
        <v>29.2</v>
      </c>
      <c r="H1670" s="27">
        <v>32.72</v>
      </c>
      <c r="I1670" s="27">
        <v>162.16</v>
      </c>
      <c r="J1670" s="27">
        <v>3831.34</v>
      </c>
      <c r="K1670" s="47">
        <f t="shared" si="209"/>
        <v>0.57710357211837104</v>
      </c>
      <c r="L1670" s="47">
        <f t="shared" si="210"/>
        <v>0.34773212505285356</v>
      </c>
      <c r="M1670" s="84">
        <f t="shared" si="211"/>
        <v>0.9248356971712246</v>
      </c>
      <c r="N1670" s="47">
        <f t="shared" si="212"/>
        <v>7.621354408640319E-3</v>
      </c>
      <c r="O1670" s="47">
        <f t="shared" si="213"/>
        <v>8.5400930222846311E-3</v>
      </c>
      <c r="P1670" s="47">
        <f t="shared" si="214"/>
        <v>4.2324617496750483E-2</v>
      </c>
      <c r="Q1670" s="47">
        <f t="shared" si="215"/>
        <v>1</v>
      </c>
    </row>
    <row r="1671" spans="1:17" x14ac:dyDescent="0.35">
      <c r="A1671" s="82">
        <v>1668</v>
      </c>
      <c r="B1671" s="83" t="str">
        <f>_xlfn.XLOOKUP(A1671,'TAZs by City - CCAG Model'!$A:$A,'TAZs by City - CCAG Model'!$B:$B,"Unknown")</f>
        <v>Woodside</v>
      </c>
      <c r="C1671" s="82">
        <f>_xlfn.XLOOKUP(A1671,'TAZs by City - CCAG Model'!$A:$A,'TAZs by City - CCAG Model'!$C:$C,999)</f>
        <v>2</v>
      </c>
      <c r="D1671" s="82" t="str">
        <f t="shared" si="208"/>
        <v>YES</v>
      </c>
      <c r="E1671" s="27">
        <v>1059.5</v>
      </c>
      <c r="F1671" s="27">
        <v>702.34</v>
      </c>
      <c r="G1671" s="27">
        <v>3.7</v>
      </c>
      <c r="H1671" s="27">
        <v>16.559999999999999</v>
      </c>
      <c r="I1671" s="27">
        <v>55.9</v>
      </c>
      <c r="J1671" s="27">
        <v>1872.54</v>
      </c>
      <c r="K1671" s="47">
        <f t="shared" si="209"/>
        <v>0.56580900808527457</v>
      </c>
      <c r="L1671" s="47">
        <f t="shared" si="210"/>
        <v>0.3750734296730644</v>
      </c>
      <c r="M1671" s="84">
        <f t="shared" si="211"/>
        <v>0.94088243775833902</v>
      </c>
      <c r="N1671" s="47">
        <f t="shared" si="212"/>
        <v>1.9759257479145973E-3</v>
      </c>
      <c r="O1671" s="47">
        <f t="shared" si="213"/>
        <v>8.8436028068826292E-3</v>
      </c>
      <c r="P1671" s="47">
        <f t="shared" si="214"/>
        <v>2.9852499813088105E-2</v>
      </c>
      <c r="Q1671" s="47">
        <f t="shared" si="215"/>
        <v>1</v>
      </c>
    </row>
    <row r="1672" spans="1:17" x14ac:dyDescent="0.35">
      <c r="A1672" s="82">
        <v>1669</v>
      </c>
      <c r="B1672" s="83" t="str">
        <f>_xlfn.XLOOKUP(A1672,'TAZs by City - CCAG Model'!$A:$A,'TAZs by City - CCAG Model'!$B:$B,"Unknown")</f>
        <v>San Carlos</v>
      </c>
      <c r="C1672" s="82">
        <f>_xlfn.XLOOKUP(A1672,'TAZs by City - CCAG Model'!$A:$A,'TAZs by City - CCAG Model'!$C:$C,999)</f>
        <v>2</v>
      </c>
      <c r="D1672" s="82" t="str">
        <f t="shared" si="208"/>
        <v>YES</v>
      </c>
      <c r="E1672" s="27">
        <v>1952.2</v>
      </c>
      <c r="F1672" s="27">
        <v>616.41999999999996</v>
      </c>
      <c r="G1672" s="27">
        <v>25.84</v>
      </c>
      <c r="H1672" s="27">
        <v>23.84</v>
      </c>
      <c r="I1672" s="27">
        <v>78.5</v>
      </c>
      <c r="J1672" s="27">
        <v>2765.92</v>
      </c>
      <c r="K1672" s="47">
        <f t="shared" si="209"/>
        <v>0.70580494012842021</v>
      </c>
      <c r="L1672" s="47">
        <f t="shared" si="210"/>
        <v>0.22286255567767685</v>
      </c>
      <c r="M1672" s="84">
        <f t="shared" si="211"/>
        <v>0.92866749580609698</v>
      </c>
      <c r="N1672" s="47">
        <f t="shared" si="212"/>
        <v>9.3422803262567244E-3</v>
      </c>
      <c r="O1672" s="47">
        <f t="shared" si="213"/>
        <v>8.6191936136981537E-3</v>
      </c>
      <c r="P1672" s="47">
        <f t="shared" si="214"/>
        <v>2.8381153467923873E-2</v>
      </c>
      <c r="Q1672" s="47">
        <f t="shared" si="215"/>
        <v>1</v>
      </c>
    </row>
    <row r="1673" spans="1:17" x14ac:dyDescent="0.35">
      <c r="A1673" s="82">
        <v>1670</v>
      </c>
      <c r="B1673" s="83" t="str">
        <f>_xlfn.XLOOKUP(A1673,'TAZs by City - CCAG Model'!$A:$A,'TAZs by City - CCAG Model'!$B:$B,"Unknown")</f>
        <v>San Carlos</v>
      </c>
      <c r="C1673" s="82">
        <f>_xlfn.XLOOKUP(A1673,'TAZs by City - CCAG Model'!$A:$A,'TAZs by City - CCAG Model'!$C:$C,999)</f>
        <v>2</v>
      </c>
      <c r="D1673" s="82" t="str">
        <f t="shared" si="208"/>
        <v>YES</v>
      </c>
      <c r="E1673" s="27">
        <v>6927.26</v>
      </c>
      <c r="F1673" s="27">
        <v>1847.6</v>
      </c>
      <c r="G1673" s="27">
        <v>373.32</v>
      </c>
      <c r="H1673" s="27">
        <v>91.98</v>
      </c>
      <c r="I1673" s="27">
        <v>575.29999999999995</v>
      </c>
      <c r="J1673" s="27">
        <v>10225.6</v>
      </c>
      <c r="K1673" s="47">
        <f t="shared" si="209"/>
        <v>0.67744288843686429</v>
      </c>
      <c r="L1673" s="47">
        <f t="shared" si="210"/>
        <v>0.18068377405726802</v>
      </c>
      <c r="M1673" s="84">
        <f t="shared" si="211"/>
        <v>0.85812666249413239</v>
      </c>
      <c r="N1673" s="47">
        <f t="shared" si="212"/>
        <v>3.6508371146925359E-2</v>
      </c>
      <c r="O1673" s="47">
        <f t="shared" si="213"/>
        <v>8.9950711938663747E-3</v>
      </c>
      <c r="P1673" s="47">
        <f t="shared" si="214"/>
        <v>5.6260757314974173E-2</v>
      </c>
      <c r="Q1673" s="47">
        <f t="shared" si="215"/>
        <v>1</v>
      </c>
    </row>
    <row r="1674" spans="1:17" x14ac:dyDescent="0.35">
      <c r="A1674" s="82">
        <v>1671</v>
      </c>
      <c r="B1674" s="83" t="str">
        <f>_xlfn.XLOOKUP(A1674,'TAZs by City - CCAG Model'!$A:$A,'TAZs by City - CCAG Model'!$B:$B,"Unknown")</f>
        <v>Redwood City</v>
      </c>
      <c r="C1674" s="82">
        <f>_xlfn.XLOOKUP(A1674,'TAZs by City - CCAG Model'!$A:$A,'TAZs by City - CCAG Model'!$C:$C,999)</f>
        <v>2</v>
      </c>
      <c r="D1674" s="82" t="str">
        <f t="shared" si="208"/>
        <v>YES</v>
      </c>
      <c r="E1674" s="27">
        <v>32912.199999999997</v>
      </c>
      <c r="F1674" s="27">
        <v>11730.1</v>
      </c>
      <c r="G1674" s="27">
        <v>716.98</v>
      </c>
      <c r="H1674" s="27">
        <v>478.24</v>
      </c>
      <c r="I1674" s="27">
        <v>9479.94</v>
      </c>
      <c r="J1674" s="27">
        <v>56059.360000000001</v>
      </c>
      <c r="K1674" s="47">
        <f t="shared" si="209"/>
        <v>0.58709553587482977</v>
      </c>
      <c r="L1674" s="47">
        <f t="shared" si="210"/>
        <v>0.20924427249972172</v>
      </c>
      <c r="M1674" s="84">
        <f t="shared" si="211"/>
        <v>0.79633980837455143</v>
      </c>
      <c r="N1674" s="47">
        <f t="shared" si="212"/>
        <v>1.2789657249030313E-2</v>
      </c>
      <c r="O1674" s="47">
        <f t="shared" si="213"/>
        <v>8.5309571853834937E-3</v>
      </c>
      <c r="P1674" s="47">
        <f t="shared" si="214"/>
        <v>0.16910539114253179</v>
      </c>
      <c r="Q1674" s="47">
        <f t="shared" si="215"/>
        <v>1</v>
      </c>
    </row>
    <row r="1675" spans="1:17" x14ac:dyDescent="0.35">
      <c r="A1675" s="82">
        <v>1672</v>
      </c>
      <c r="B1675" s="83" t="str">
        <f>_xlfn.XLOOKUP(A1675,'TAZs by City - CCAG Model'!$A:$A,'TAZs by City - CCAG Model'!$B:$B,"Unknown")</f>
        <v>Redwood City</v>
      </c>
      <c r="C1675" s="82">
        <f>_xlfn.XLOOKUP(A1675,'TAZs by City - CCAG Model'!$A:$A,'TAZs by City - CCAG Model'!$C:$C,999)</f>
        <v>2</v>
      </c>
      <c r="D1675" s="82" t="str">
        <f t="shared" si="208"/>
        <v>YES</v>
      </c>
      <c r="E1675" s="27">
        <v>6917.78</v>
      </c>
      <c r="F1675" s="27">
        <v>3632.88</v>
      </c>
      <c r="G1675" s="27">
        <v>120.76</v>
      </c>
      <c r="H1675" s="27">
        <v>126.7</v>
      </c>
      <c r="I1675" s="27">
        <v>405.4</v>
      </c>
      <c r="J1675" s="27">
        <v>11362.1</v>
      </c>
      <c r="K1675" s="47">
        <f t="shared" si="209"/>
        <v>0.60884695610846584</v>
      </c>
      <c r="L1675" s="47">
        <f t="shared" si="210"/>
        <v>0.31973666839756737</v>
      </c>
      <c r="M1675" s="84">
        <f t="shared" si="211"/>
        <v>0.92858362450603316</v>
      </c>
      <c r="N1675" s="47">
        <f t="shared" si="212"/>
        <v>1.0628316948451431E-2</v>
      </c>
      <c r="O1675" s="47">
        <f t="shared" si="213"/>
        <v>1.1151107629751543E-2</v>
      </c>
      <c r="P1675" s="47">
        <f t="shared" si="214"/>
        <v>3.5680023939236583E-2</v>
      </c>
      <c r="Q1675" s="47">
        <f t="shared" si="215"/>
        <v>1</v>
      </c>
    </row>
    <row r="1676" spans="1:17" x14ac:dyDescent="0.35">
      <c r="A1676" s="82">
        <v>1673</v>
      </c>
      <c r="B1676" s="83" t="str">
        <f>_xlfn.XLOOKUP(A1676,'TAZs by City - CCAG Model'!$A:$A,'TAZs by City - CCAG Model'!$B:$B,"Unknown")</f>
        <v>Redwood City</v>
      </c>
      <c r="C1676" s="82">
        <f>_xlfn.XLOOKUP(A1676,'TAZs by City - CCAG Model'!$A:$A,'TAZs by City - CCAG Model'!$C:$C,999)</f>
        <v>2</v>
      </c>
      <c r="D1676" s="82" t="str">
        <f t="shared" si="208"/>
        <v>YES</v>
      </c>
      <c r="E1676" s="27">
        <v>30169.279999999999</v>
      </c>
      <c r="F1676" s="27">
        <v>9976.48</v>
      </c>
      <c r="G1676" s="27">
        <v>180.96</v>
      </c>
      <c r="H1676" s="27">
        <v>370.42</v>
      </c>
      <c r="I1676" s="27">
        <v>1417.78</v>
      </c>
      <c r="J1676" s="27">
        <v>42307.28</v>
      </c>
      <c r="K1676" s="47">
        <f t="shared" si="209"/>
        <v>0.71309902220138</v>
      </c>
      <c r="L1676" s="47">
        <f t="shared" si="210"/>
        <v>0.23581000716661529</v>
      </c>
      <c r="M1676" s="84">
        <f t="shared" si="211"/>
        <v>0.94890902936799515</v>
      </c>
      <c r="N1676" s="47">
        <f t="shared" si="212"/>
        <v>4.2772780476551557E-3</v>
      </c>
      <c r="O1676" s="47">
        <f t="shared" si="213"/>
        <v>8.7554671441888964E-3</v>
      </c>
      <c r="P1676" s="47">
        <f t="shared" si="214"/>
        <v>3.3511490221068335E-2</v>
      </c>
      <c r="Q1676" s="47">
        <f t="shared" si="215"/>
        <v>1</v>
      </c>
    </row>
    <row r="1677" spans="1:17" x14ac:dyDescent="0.35">
      <c r="A1677" s="82">
        <v>1674</v>
      </c>
      <c r="B1677" s="83" t="str">
        <f>_xlfn.XLOOKUP(A1677,'TAZs by City - CCAG Model'!$A:$A,'TAZs by City - CCAG Model'!$B:$B,"Unknown")</f>
        <v>Redwood City</v>
      </c>
      <c r="C1677" s="82">
        <f>_xlfn.XLOOKUP(A1677,'TAZs by City - CCAG Model'!$A:$A,'TAZs by City - CCAG Model'!$C:$C,999)</f>
        <v>2</v>
      </c>
      <c r="D1677" s="82" t="str">
        <f t="shared" si="208"/>
        <v>YES</v>
      </c>
      <c r="E1677" s="27">
        <v>7.8</v>
      </c>
      <c r="F1677" s="27">
        <v>0.06</v>
      </c>
      <c r="G1677" s="27">
        <v>0</v>
      </c>
      <c r="H1677" s="27">
        <v>0</v>
      </c>
      <c r="I1677" s="27">
        <v>0</v>
      </c>
      <c r="J1677" s="27">
        <v>10.44</v>
      </c>
      <c r="K1677" s="47">
        <f t="shared" si="209"/>
        <v>0.74712643678160917</v>
      </c>
      <c r="L1677" s="47">
        <f t="shared" si="210"/>
        <v>5.7471264367816091E-3</v>
      </c>
      <c r="M1677" s="84">
        <f t="shared" si="211"/>
        <v>0.75287356321839083</v>
      </c>
      <c r="N1677" s="47">
        <f t="shared" si="212"/>
        <v>0</v>
      </c>
      <c r="O1677" s="47">
        <f t="shared" si="213"/>
        <v>0</v>
      </c>
      <c r="P1677" s="47">
        <f t="shared" si="214"/>
        <v>0</v>
      </c>
      <c r="Q1677" s="47">
        <f t="shared" si="215"/>
        <v>1</v>
      </c>
    </row>
    <row r="1678" spans="1:17" x14ac:dyDescent="0.35">
      <c r="A1678" s="82">
        <v>1675</v>
      </c>
      <c r="B1678" s="83" t="str">
        <f>_xlfn.XLOOKUP(A1678,'TAZs by City - CCAG Model'!$A:$A,'TAZs by City - CCAG Model'!$B:$B,"Unknown")</f>
        <v>Redwood City</v>
      </c>
      <c r="C1678" s="82">
        <f>_xlfn.XLOOKUP(A1678,'TAZs by City - CCAG Model'!$A:$A,'TAZs by City - CCAG Model'!$C:$C,999)</f>
        <v>2</v>
      </c>
      <c r="D1678" s="82" t="str">
        <f t="shared" si="208"/>
        <v>YES</v>
      </c>
      <c r="E1678" s="27">
        <v>5362.6</v>
      </c>
      <c r="F1678" s="27">
        <v>2891.34</v>
      </c>
      <c r="G1678" s="27">
        <v>94.14</v>
      </c>
      <c r="H1678" s="27">
        <v>111.24</v>
      </c>
      <c r="I1678" s="27">
        <v>195.98</v>
      </c>
      <c r="J1678" s="27">
        <v>8784.06</v>
      </c>
      <c r="K1678" s="47">
        <f t="shared" si="209"/>
        <v>0.61049218698415086</v>
      </c>
      <c r="L1678" s="47">
        <f t="shared" si="210"/>
        <v>0.32915758772139536</v>
      </c>
      <c r="M1678" s="84">
        <f t="shared" si="211"/>
        <v>0.93964977470554634</v>
      </c>
      <c r="N1678" s="47">
        <f t="shared" si="212"/>
        <v>1.0717139910246516E-2</v>
      </c>
      <c r="O1678" s="47">
        <f t="shared" si="213"/>
        <v>1.2663847924536035E-2</v>
      </c>
      <c r="P1678" s="47">
        <f t="shared" si="214"/>
        <v>2.2310867639792988E-2</v>
      </c>
      <c r="Q1678" s="47">
        <f t="shared" si="215"/>
        <v>1</v>
      </c>
    </row>
    <row r="1679" spans="1:17" x14ac:dyDescent="0.35">
      <c r="A1679" s="82">
        <v>1676</v>
      </c>
      <c r="B1679" s="83" t="str">
        <f>_xlfn.XLOOKUP(A1679,'TAZs by City - CCAG Model'!$A:$A,'TAZs by City - CCAG Model'!$B:$B,"Unknown")</f>
        <v>Redwood City</v>
      </c>
      <c r="C1679" s="82">
        <f>_xlfn.XLOOKUP(A1679,'TAZs by City - CCAG Model'!$A:$A,'TAZs by City - CCAG Model'!$C:$C,999)</f>
        <v>2</v>
      </c>
      <c r="D1679" s="82" t="str">
        <f t="shared" si="208"/>
        <v>YES</v>
      </c>
      <c r="E1679" s="27">
        <v>8.1199999999999992</v>
      </c>
      <c r="F1679" s="27">
        <v>0.08</v>
      </c>
      <c r="G1679" s="27">
        <v>0</v>
      </c>
      <c r="H1679" s="27">
        <v>0</v>
      </c>
      <c r="I1679" s="27">
        <v>0</v>
      </c>
      <c r="J1679" s="27">
        <v>10.9</v>
      </c>
      <c r="K1679" s="47">
        <f t="shared" si="209"/>
        <v>0.7449541284403669</v>
      </c>
      <c r="L1679" s="47">
        <f t="shared" si="210"/>
        <v>7.3394495412844032E-3</v>
      </c>
      <c r="M1679" s="84">
        <f t="shared" si="211"/>
        <v>0.75229357798165131</v>
      </c>
      <c r="N1679" s="47">
        <f t="shared" si="212"/>
        <v>0</v>
      </c>
      <c r="O1679" s="47">
        <f t="shared" si="213"/>
        <v>0</v>
      </c>
      <c r="P1679" s="47">
        <f t="shared" si="214"/>
        <v>0</v>
      </c>
      <c r="Q1679" s="47">
        <f t="shared" si="215"/>
        <v>1</v>
      </c>
    </row>
    <row r="1680" spans="1:17" x14ac:dyDescent="0.35">
      <c r="A1680" s="82">
        <v>1677</v>
      </c>
      <c r="B1680" s="83" t="str">
        <f>_xlfn.XLOOKUP(A1680,'TAZs by City - CCAG Model'!$A:$A,'TAZs by City - CCAG Model'!$B:$B,"Unknown")</f>
        <v>Redwood City</v>
      </c>
      <c r="C1680" s="82">
        <f>_xlfn.XLOOKUP(A1680,'TAZs by City - CCAG Model'!$A:$A,'TAZs by City - CCAG Model'!$C:$C,999)</f>
        <v>2</v>
      </c>
      <c r="D1680" s="82" t="str">
        <f t="shared" si="208"/>
        <v>YES</v>
      </c>
      <c r="E1680" s="27">
        <v>10.9</v>
      </c>
      <c r="F1680" s="27">
        <v>0.6</v>
      </c>
      <c r="G1680" s="27">
        <v>0</v>
      </c>
      <c r="H1680" s="27">
        <v>0.02</v>
      </c>
      <c r="I1680" s="27">
        <v>0.1</v>
      </c>
      <c r="J1680" s="27">
        <v>15.86</v>
      </c>
      <c r="K1680" s="47">
        <f t="shared" si="209"/>
        <v>0.6872635561160152</v>
      </c>
      <c r="L1680" s="47">
        <f t="shared" si="210"/>
        <v>3.7831021437578813E-2</v>
      </c>
      <c r="M1680" s="84">
        <f t="shared" si="211"/>
        <v>0.72509457755359397</v>
      </c>
      <c r="N1680" s="47">
        <f t="shared" si="212"/>
        <v>0</v>
      </c>
      <c r="O1680" s="47">
        <f t="shared" si="213"/>
        <v>1.2610340479192938E-3</v>
      </c>
      <c r="P1680" s="47">
        <f t="shared" si="214"/>
        <v>6.30517023959647E-3</v>
      </c>
      <c r="Q1680" s="47">
        <f t="shared" si="215"/>
        <v>1</v>
      </c>
    </row>
    <row r="1681" spans="1:17" x14ac:dyDescent="0.35">
      <c r="A1681" s="82">
        <v>1678</v>
      </c>
      <c r="B1681" s="83" t="str">
        <f>_xlfn.XLOOKUP(A1681,'TAZs by City - CCAG Model'!$A:$A,'TAZs by City - CCAG Model'!$B:$B,"Unknown")</f>
        <v>Redwood City</v>
      </c>
      <c r="C1681" s="82">
        <f>_xlfn.XLOOKUP(A1681,'TAZs by City - CCAG Model'!$A:$A,'TAZs by City - CCAG Model'!$C:$C,999)</f>
        <v>2</v>
      </c>
      <c r="D1681" s="82" t="str">
        <f t="shared" si="208"/>
        <v>YES</v>
      </c>
      <c r="E1681" s="27">
        <v>3476.72</v>
      </c>
      <c r="F1681" s="27">
        <v>2156.8200000000002</v>
      </c>
      <c r="G1681" s="27">
        <v>117.14</v>
      </c>
      <c r="H1681" s="27">
        <v>103.08</v>
      </c>
      <c r="I1681" s="27">
        <v>504.62</v>
      </c>
      <c r="J1681" s="27">
        <v>6518.34</v>
      </c>
      <c r="K1681" s="47">
        <f t="shared" si="209"/>
        <v>0.53337506174885008</v>
      </c>
      <c r="L1681" s="47">
        <f t="shared" si="210"/>
        <v>0.33088485718756616</v>
      </c>
      <c r="M1681" s="84">
        <f t="shared" si="211"/>
        <v>0.86425991893641629</v>
      </c>
      <c r="N1681" s="47">
        <f t="shared" si="212"/>
        <v>1.7970833064860071E-2</v>
      </c>
      <c r="O1681" s="47">
        <f t="shared" si="213"/>
        <v>1.5813842174541369E-2</v>
      </c>
      <c r="P1681" s="47">
        <f t="shared" si="214"/>
        <v>7.7415415581267619E-2</v>
      </c>
      <c r="Q1681" s="47">
        <f t="shared" si="215"/>
        <v>1</v>
      </c>
    </row>
    <row r="1682" spans="1:17" x14ac:dyDescent="0.35">
      <c r="A1682" s="82">
        <v>1679</v>
      </c>
      <c r="B1682" s="83" t="str">
        <f>_xlfn.XLOOKUP(A1682,'TAZs by City - CCAG Model'!$A:$A,'TAZs by City - CCAG Model'!$B:$B,"Unknown")</f>
        <v>Redwood City</v>
      </c>
      <c r="C1682" s="82">
        <f>_xlfn.XLOOKUP(A1682,'TAZs by City - CCAG Model'!$A:$A,'TAZs by City - CCAG Model'!$C:$C,999)</f>
        <v>2</v>
      </c>
      <c r="D1682" s="82" t="str">
        <f t="shared" si="208"/>
        <v>YES</v>
      </c>
      <c r="E1682" s="27">
        <v>17551.28</v>
      </c>
      <c r="F1682" s="27">
        <v>5975.88</v>
      </c>
      <c r="G1682" s="27">
        <v>638.38</v>
      </c>
      <c r="H1682" s="27">
        <v>251.7</v>
      </c>
      <c r="I1682" s="27">
        <v>1526.98</v>
      </c>
      <c r="J1682" s="27">
        <v>26611.24</v>
      </c>
      <c r="K1682" s="47">
        <f t="shared" si="209"/>
        <v>0.65954386191699443</v>
      </c>
      <c r="L1682" s="47">
        <f t="shared" si="210"/>
        <v>0.22456225264211663</v>
      </c>
      <c r="M1682" s="84">
        <f t="shared" si="211"/>
        <v>0.88410611455911103</v>
      </c>
      <c r="N1682" s="47">
        <f t="shared" si="212"/>
        <v>2.3989111367978343E-2</v>
      </c>
      <c r="O1682" s="47">
        <f t="shared" si="213"/>
        <v>9.4584093037378188E-3</v>
      </c>
      <c r="P1682" s="47">
        <f t="shared" si="214"/>
        <v>5.7381016442676097E-2</v>
      </c>
      <c r="Q1682" s="47">
        <f t="shared" si="215"/>
        <v>1</v>
      </c>
    </row>
    <row r="1683" spans="1:17" x14ac:dyDescent="0.35">
      <c r="A1683" s="82">
        <v>1680</v>
      </c>
      <c r="B1683" s="83" t="str">
        <f>_xlfn.XLOOKUP(A1683,'TAZs by City - CCAG Model'!$A:$A,'TAZs by City - CCAG Model'!$B:$B,"Unknown")</f>
        <v>Redwood City</v>
      </c>
      <c r="C1683" s="82">
        <f>_xlfn.XLOOKUP(A1683,'TAZs by City - CCAG Model'!$A:$A,'TAZs by City - CCAG Model'!$C:$C,999)</f>
        <v>2</v>
      </c>
      <c r="D1683" s="82" t="str">
        <f t="shared" si="208"/>
        <v>YES</v>
      </c>
      <c r="E1683" s="27">
        <v>1450.52</v>
      </c>
      <c r="F1683" s="27">
        <v>822.74</v>
      </c>
      <c r="G1683" s="27">
        <v>49.84</v>
      </c>
      <c r="H1683" s="27">
        <v>40.26</v>
      </c>
      <c r="I1683" s="27">
        <v>201.48</v>
      </c>
      <c r="J1683" s="27">
        <v>2659.56</v>
      </c>
      <c r="K1683" s="47">
        <f t="shared" si="209"/>
        <v>0.54539848696776916</v>
      </c>
      <c r="L1683" s="47">
        <f t="shared" si="210"/>
        <v>0.30935192287446045</v>
      </c>
      <c r="M1683" s="84">
        <f t="shared" si="211"/>
        <v>0.85475040984222961</v>
      </c>
      <c r="N1683" s="47">
        <f t="shared" si="212"/>
        <v>1.8739941945284184E-2</v>
      </c>
      <c r="O1683" s="47">
        <f t="shared" si="213"/>
        <v>1.5137842349862382E-2</v>
      </c>
      <c r="P1683" s="47">
        <f t="shared" si="214"/>
        <v>7.5756892117493119E-2</v>
      </c>
      <c r="Q1683" s="47">
        <f t="shared" si="215"/>
        <v>1</v>
      </c>
    </row>
    <row r="1684" spans="1:17" x14ac:dyDescent="0.35">
      <c r="A1684" s="82">
        <v>1681</v>
      </c>
      <c r="B1684" s="83" t="str">
        <f>_xlfn.XLOOKUP(A1684,'TAZs by City - CCAG Model'!$A:$A,'TAZs by City - CCAG Model'!$B:$B,"Unknown")</f>
        <v>Menlo Park</v>
      </c>
      <c r="C1684" s="82">
        <f>_xlfn.XLOOKUP(A1684,'TAZs by City - CCAG Model'!$A:$A,'TAZs by City - CCAG Model'!$C:$C,999)</f>
        <v>2</v>
      </c>
      <c r="D1684" s="82" t="str">
        <f t="shared" si="208"/>
        <v>YES</v>
      </c>
      <c r="E1684" s="27">
        <v>6688.82</v>
      </c>
      <c r="F1684" s="27">
        <v>5865.4</v>
      </c>
      <c r="G1684" s="27">
        <v>359.4</v>
      </c>
      <c r="H1684" s="27">
        <v>327.7</v>
      </c>
      <c r="I1684" s="27">
        <v>898.42</v>
      </c>
      <c r="J1684" s="27">
        <v>14536.44</v>
      </c>
      <c r="K1684" s="47">
        <f t="shared" si="209"/>
        <v>0.46014154772420202</v>
      </c>
      <c r="L1684" s="47">
        <f t="shared" si="210"/>
        <v>0.40349631684236303</v>
      </c>
      <c r="M1684" s="84">
        <f t="shared" si="211"/>
        <v>0.86363786456656511</v>
      </c>
      <c r="N1684" s="47">
        <f t="shared" si="212"/>
        <v>2.4724072744083142E-2</v>
      </c>
      <c r="O1684" s="47">
        <f t="shared" si="213"/>
        <v>2.2543346238831516E-2</v>
      </c>
      <c r="P1684" s="47">
        <f t="shared" si="214"/>
        <v>6.1804678449469054E-2</v>
      </c>
      <c r="Q1684" s="47">
        <f t="shared" si="215"/>
        <v>1</v>
      </c>
    </row>
    <row r="1685" spans="1:17" x14ac:dyDescent="0.35">
      <c r="A1685" s="82">
        <v>1682</v>
      </c>
      <c r="B1685" s="83" t="str">
        <f>_xlfn.XLOOKUP(A1685,'TAZs by City - CCAG Model'!$A:$A,'TAZs by City - CCAG Model'!$B:$B,"Unknown")</f>
        <v>East Palo Alto</v>
      </c>
      <c r="C1685" s="82">
        <f>_xlfn.XLOOKUP(A1685,'TAZs by City - CCAG Model'!$A:$A,'TAZs by City - CCAG Model'!$C:$C,999)</f>
        <v>2</v>
      </c>
      <c r="D1685" s="82" t="str">
        <f t="shared" si="208"/>
        <v>YES</v>
      </c>
      <c r="E1685" s="27">
        <v>5199.16</v>
      </c>
      <c r="F1685" s="27">
        <v>5156.3</v>
      </c>
      <c r="G1685" s="27">
        <v>255.26</v>
      </c>
      <c r="H1685" s="27">
        <v>290</v>
      </c>
      <c r="I1685" s="27">
        <v>1377.86</v>
      </c>
      <c r="J1685" s="27">
        <v>12567.92</v>
      </c>
      <c r="K1685" s="47">
        <f t="shared" si="209"/>
        <v>0.41368500117760137</v>
      </c>
      <c r="L1685" s="47">
        <f t="shared" si="210"/>
        <v>0.41027473122044061</v>
      </c>
      <c r="M1685" s="84">
        <f t="shared" si="211"/>
        <v>0.82395973239804188</v>
      </c>
      <c r="N1685" s="47">
        <f t="shared" si="212"/>
        <v>2.0310441186767579E-2</v>
      </c>
      <c r="O1685" s="47">
        <f t="shared" si="213"/>
        <v>2.3074621735338863E-2</v>
      </c>
      <c r="P1685" s="47">
        <f t="shared" si="214"/>
        <v>0.10963309760087588</v>
      </c>
      <c r="Q1685" s="47">
        <f t="shared" si="215"/>
        <v>1</v>
      </c>
    </row>
    <row r="1686" spans="1:17" x14ac:dyDescent="0.35">
      <c r="A1686" s="82">
        <v>1683</v>
      </c>
      <c r="B1686" s="83" t="str">
        <f>_xlfn.XLOOKUP(A1686,'TAZs by City - CCAG Model'!$A:$A,'TAZs by City - CCAG Model'!$B:$B,"Unknown")</f>
        <v>Menlo Park</v>
      </c>
      <c r="C1686" s="82">
        <f>_xlfn.XLOOKUP(A1686,'TAZs by City - CCAG Model'!$A:$A,'TAZs by City - CCAG Model'!$C:$C,999)</f>
        <v>2</v>
      </c>
      <c r="D1686" s="82" t="str">
        <f t="shared" si="208"/>
        <v>YES</v>
      </c>
      <c r="E1686" s="27">
        <v>1362.88</v>
      </c>
      <c r="F1686" s="27">
        <v>1067.7</v>
      </c>
      <c r="G1686" s="27">
        <v>48.1</v>
      </c>
      <c r="H1686" s="27">
        <v>42.02</v>
      </c>
      <c r="I1686" s="27">
        <v>264.36</v>
      </c>
      <c r="J1686" s="27">
        <v>2860.62</v>
      </c>
      <c r="K1686" s="47">
        <f t="shared" si="209"/>
        <v>0.47642818689654698</v>
      </c>
      <c r="L1686" s="47">
        <f t="shared" si="210"/>
        <v>0.37324076598779288</v>
      </c>
      <c r="M1686" s="84">
        <f t="shared" si="211"/>
        <v>0.84966895288433975</v>
      </c>
      <c r="N1686" s="47">
        <f t="shared" si="212"/>
        <v>1.6814536708825361E-2</v>
      </c>
      <c r="O1686" s="47">
        <f t="shared" si="213"/>
        <v>1.4689123336898995E-2</v>
      </c>
      <c r="P1686" s="47">
        <f t="shared" si="214"/>
        <v>9.2413532730666784E-2</v>
      </c>
      <c r="Q1686" s="47">
        <f t="shared" si="215"/>
        <v>1</v>
      </c>
    </row>
    <row r="1687" spans="1:17" x14ac:dyDescent="0.35">
      <c r="A1687" s="82">
        <v>1684</v>
      </c>
      <c r="B1687" s="83" t="str">
        <f>_xlfn.XLOOKUP(A1687,'TAZs by City - CCAG Model'!$A:$A,'TAZs by City - CCAG Model'!$B:$B,"Unknown")</f>
        <v>Atherton</v>
      </c>
      <c r="C1687" s="82">
        <f>_xlfn.XLOOKUP(A1687,'TAZs by City - CCAG Model'!$A:$A,'TAZs by City - CCAG Model'!$C:$C,999)</f>
        <v>2</v>
      </c>
      <c r="D1687" s="82" t="str">
        <f t="shared" si="208"/>
        <v>YES</v>
      </c>
      <c r="E1687" s="27">
        <v>2464.5</v>
      </c>
      <c r="F1687" s="27">
        <v>1593.7</v>
      </c>
      <c r="G1687" s="27">
        <v>25.98</v>
      </c>
      <c r="H1687" s="27">
        <v>51.5</v>
      </c>
      <c r="I1687" s="27">
        <v>128.56</v>
      </c>
      <c r="J1687" s="27">
        <v>4326.3599999999997</v>
      </c>
      <c r="K1687" s="47">
        <f t="shared" si="209"/>
        <v>0.56964746345657791</v>
      </c>
      <c r="L1687" s="47">
        <f t="shared" si="210"/>
        <v>0.36836971495668419</v>
      </c>
      <c r="M1687" s="84">
        <f t="shared" si="211"/>
        <v>0.93801717841326193</v>
      </c>
      <c r="N1687" s="47">
        <f t="shared" si="212"/>
        <v>6.0050481235958174E-3</v>
      </c>
      <c r="O1687" s="47">
        <f t="shared" si="213"/>
        <v>1.1903771299660686E-2</v>
      </c>
      <c r="P1687" s="47">
        <f t="shared" si="214"/>
        <v>2.9715511422997627E-2</v>
      </c>
      <c r="Q1687" s="47">
        <f t="shared" si="215"/>
        <v>1</v>
      </c>
    </row>
    <row r="1688" spans="1:17" x14ac:dyDescent="0.35">
      <c r="A1688" s="82">
        <v>1685</v>
      </c>
      <c r="B1688" s="83" t="str">
        <f>_xlfn.XLOOKUP(A1688,'TAZs by City - CCAG Model'!$A:$A,'TAZs by City - CCAG Model'!$B:$B,"Unknown")</f>
        <v>Atherton</v>
      </c>
      <c r="C1688" s="82">
        <f>_xlfn.XLOOKUP(A1688,'TAZs by City - CCAG Model'!$A:$A,'TAZs by City - CCAG Model'!$C:$C,999)</f>
        <v>2</v>
      </c>
      <c r="D1688" s="82" t="str">
        <f t="shared" si="208"/>
        <v>YES</v>
      </c>
      <c r="E1688" s="27">
        <v>5134.42</v>
      </c>
      <c r="F1688" s="27">
        <v>2977.12</v>
      </c>
      <c r="G1688" s="27">
        <v>130.28</v>
      </c>
      <c r="H1688" s="27">
        <v>104.64</v>
      </c>
      <c r="I1688" s="27">
        <v>514.88</v>
      </c>
      <c r="J1688" s="27">
        <v>9033.92</v>
      </c>
      <c r="K1688" s="47">
        <f t="shared" si="209"/>
        <v>0.56834906662888318</v>
      </c>
      <c r="L1688" s="47">
        <f t="shared" si="210"/>
        <v>0.32954907725549926</v>
      </c>
      <c r="M1688" s="84">
        <f t="shared" si="211"/>
        <v>0.89789814388438238</v>
      </c>
      <c r="N1688" s="47">
        <f t="shared" si="212"/>
        <v>1.4421203641387128E-2</v>
      </c>
      <c r="O1688" s="47">
        <f t="shared" si="213"/>
        <v>1.1583011583011582E-2</v>
      </c>
      <c r="P1688" s="47">
        <f t="shared" si="214"/>
        <v>5.6994084517020295E-2</v>
      </c>
      <c r="Q1688" s="47">
        <f t="shared" si="215"/>
        <v>1</v>
      </c>
    </row>
    <row r="1689" spans="1:17" x14ac:dyDescent="0.35">
      <c r="A1689" s="82">
        <v>1686</v>
      </c>
      <c r="B1689" s="83" t="str">
        <f>_xlfn.XLOOKUP(A1689,'TAZs by City - CCAG Model'!$A:$A,'TAZs by City - CCAG Model'!$B:$B,"Unknown")</f>
        <v>Atherton</v>
      </c>
      <c r="C1689" s="82">
        <f>_xlfn.XLOOKUP(A1689,'TAZs by City - CCAG Model'!$A:$A,'TAZs by City - CCAG Model'!$C:$C,999)</f>
        <v>2</v>
      </c>
      <c r="D1689" s="82" t="str">
        <f t="shared" si="208"/>
        <v>YES</v>
      </c>
      <c r="E1689" s="27">
        <v>2009.7</v>
      </c>
      <c r="F1689" s="27">
        <v>941.5</v>
      </c>
      <c r="G1689" s="27">
        <v>73.78</v>
      </c>
      <c r="H1689" s="27">
        <v>60.14</v>
      </c>
      <c r="I1689" s="27">
        <v>223.56</v>
      </c>
      <c r="J1689" s="27">
        <v>3432.96</v>
      </c>
      <c r="K1689" s="47">
        <f t="shared" si="209"/>
        <v>0.5854131711409396</v>
      </c>
      <c r="L1689" s="47">
        <f t="shared" si="210"/>
        <v>0.27425312266964952</v>
      </c>
      <c r="M1689" s="84">
        <f t="shared" si="211"/>
        <v>0.85966629381058901</v>
      </c>
      <c r="N1689" s="47">
        <f t="shared" si="212"/>
        <v>2.1491657345264727E-2</v>
      </c>
      <c r="O1689" s="47">
        <f t="shared" si="213"/>
        <v>1.7518409768829232E-2</v>
      </c>
      <c r="P1689" s="47">
        <f t="shared" si="214"/>
        <v>6.5121644295302011E-2</v>
      </c>
      <c r="Q1689" s="47">
        <f t="shared" si="215"/>
        <v>1</v>
      </c>
    </row>
    <row r="1690" spans="1:17" x14ac:dyDescent="0.35">
      <c r="A1690" s="82">
        <v>1687</v>
      </c>
      <c r="B1690" s="83" t="str">
        <f>_xlfn.XLOOKUP(A1690,'TAZs by City - CCAG Model'!$A:$A,'TAZs by City - CCAG Model'!$B:$B,"Unknown")</f>
        <v>South San Francisco</v>
      </c>
      <c r="C1690" s="82">
        <f>_xlfn.XLOOKUP(A1690,'TAZs by City - CCAG Model'!$A:$A,'TAZs by City - CCAG Model'!$C:$C,999)</f>
        <v>2</v>
      </c>
      <c r="D1690" s="82" t="str">
        <f t="shared" si="208"/>
        <v>YES</v>
      </c>
      <c r="E1690" s="27">
        <v>1332.3</v>
      </c>
      <c r="F1690" s="27">
        <v>730.24</v>
      </c>
      <c r="G1690" s="27">
        <v>65.58</v>
      </c>
      <c r="H1690" s="27">
        <v>33.1</v>
      </c>
      <c r="I1690" s="27">
        <v>178.36</v>
      </c>
      <c r="J1690" s="27">
        <v>2438.6799999999998</v>
      </c>
      <c r="K1690" s="47">
        <f t="shared" si="209"/>
        <v>0.54632014040382504</v>
      </c>
      <c r="L1690" s="47">
        <f t="shared" si="210"/>
        <v>0.29944068102416066</v>
      </c>
      <c r="M1690" s="84">
        <f t="shared" si="211"/>
        <v>0.8457608214279857</v>
      </c>
      <c r="N1690" s="47">
        <f t="shared" si="212"/>
        <v>2.6891597093509606E-2</v>
      </c>
      <c r="O1690" s="47">
        <f t="shared" si="213"/>
        <v>1.3572916495809211E-2</v>
      </c>
      <c r="P1690" s="47">
        <f t="shared" si="214"/>
        <v>7.3137927075303047E-2</v>
      </c>
      <c r="Q1690" s="47">
        <f t="shared" si="215"/>
        <v>1</v>
      </c>
    </row>
    <row r="1691" spans="1:17" x14ac:dyDescent="0.35">
      <c r="A1691" s="82">
        <v>1688</v>
      </c>
      <c r="B1691" s="83" t="str">
        <f>_xlfn.XLOOKUP(A1691,'TAZs by City - CCAG Model'!$A:$A,'TAZs by City - CCAG Model'!$B:$B,"Unknown")</f>
        <v>Unknown</v>
      </c>
      <c r="C1691" s="82">
        <f>_xlfn.XLOOKUP(A1691,'TAZs by City - CCAG Model'!$A:$A,'TAZs by City - CCAG Model'!$C:$C,999)</f>
        <v>999</v>
      </c>
      <c r="D1691" s="82" t="str">
        <f t="shared" si="208"/>
        <v>NO</v>
      </c>
      <c r="E1691" s="27">
        <v>0</v>
      </c>
      <c r="F1691" s="27">
        <v>0</v>
      </c>
      <c r="G1691" s="27">
        <v>0</v>
      </c>
      <c r="H1691" s="27">
        <v>0</v>
      </c>
      <c r="I1691" s="27">
        <v>0</v>
      </c>
      <c r="J1691" s="27">
        <v>0</v>
      </c>
      <c r="K1691" s="47">
        <f t="shared" si="209"/>
        <v>0</v>
      </c>
      <c r="L1691" s="47">
        <f t="shared" si="210"/>
        <v>0</v>
      </c>
      <c r="M1691" s="84">
        <f t="shared" si="211"/>
        <v>0</v>
      </c>
      <c r="N1691" s="47">
        <f t="shared" si="212"/>
        <v>0</v>
      </c>
      <c r="O1691" s="47">
        <f t="shared" si="213"/>
        <v>0</v>
      </c>
      <c r="P1691" s="47">
        <f t="shared" si="214"/>
        <v>0</v>
      </c>
      <c r="Q1691" s="47">
        <f t="shared" si="215"/>
        <v>0</v>
      </c>
    </row>
    <row r="1692" spans="1:17" x14ac:dyDescent="0.35">
      <c r="A1692" s="82">
        <v>1689</v>
      </c>
      <c r="B1692" s="83" t="str">
        <f>_xlfn.XLOOKUP(A1692,'TAZs by City - CCAG Model'!$A:$A,'TAZs by City - CCAG Model'!$B:$B,"Unknown")</f>
        <v>Unknown</v>
      </c>
      <c r="C1692" s="82">
        <f>_xlfn.XLOOKUP(A1692,'TAZs by City - CCAG Model'!$A:$A,'TAZs by City - CCAG Model'!$C:$C,999)</f>
        <v>999</v>
      </c>
      <c r="D1692" s="82" t="str">
        <f t="shared" si="208"/>
        <v>NO</v>
      </c>
      <c r="E1692" s="27">
        <v>0</v>
      </c>
      <c r="F1692" s="27">
        <v>0</v>
      </c>
      <c r="G1692" s="27">
        <v>0</v>
      </c>
      <c r="H1692" s="27">
        <v>0</v>
      </c>
      <c r="I1692" s="27">
        <v>0</v>
      </c>
      <c r="J1692" s="27">
        <v>0</v>
      </c>
      <c r="K1692" s="47">
        <f t="shared" si="209"/>
        <v>0</v>
      </c>
      <c r="L1692" s="47">
        <f t="shared" si="210"/>
        <v>0</v>
      </c>
      <c r="M1692" s="84">
        <f t="shared" si="211"/>
        <v>0</v>
      </c>
      <c r="N1692" s="47">
        <f t="shared" si="212"/>
        <v>0</v>
      </c>
      <c r="O1692" s="47">
        <f t="shared" si="213"/>
        <v>0</v>
      </c>
      <c r="P1692" s="47">
        <f t="shared" si="214"/>
        <v>0</v>
      </c>
      <c r="Q1692" s="47">
        <f t="shared" si="215"/>
        <v>0</v>
      </c>
    </row>
    <row r="1693" spans="1:17" x14ac:dyDescent="0.35">
      <c r="A1693" s="82">
        <v>1690</v>
      </c>
      <c r="B1693" s="83" t="str">
        <f>_xlfn.XLOOKUP(A1693,'TAZs by City - CCAG Model'!$A:$A,'TAZs by City - CCAG Model'!$B:$B,"Unknown")</f>
        <v>Unknown</v>
      </c>
      <c r="C1693" s="82">
        <f>_xlfn.XLOOKUP(A1693,'TAZs by City - CCAG Model'!$A:$A,'TAZs by City - CCAG Model'!$C:$C,999)</f>
        <v>999</v>
      </c>
      <c r="D1693" s="82" t="str">
        <f t="shared" si="208"/>
        <v>NO</v>
      </c>
      <c r="E1693" s="27">
        <v>0</v>
      </c>
      <c r="F1693" s="27">
        <v>0</v>
      </c>
      <c r="G1693" s="27">
        <v>0</v>
      </c>
      <c r="H1693" s="27">
        <v>0</v>
      </c>
      <c r="I1693" s="27">
        <v>0</v>
      </c>
      <c r="J1693" s="27">
        <v>0</v>
      </c>
      <c r="K1693" s="47">
        <f t="shared" si="209"/>
        <v>0</v>
      </c>
      <c r="L1693" s="47">
        <f t="shared" si="210"/>
        <v>0</v>
      </c>
      <c r="M1693" s="84">
        <f t="shared" si="211"/>
        <v>0</v>
      </c>
      <c r="N1693" s="47">
        <f t="shared" si="212"/>
        <v>0</v>
      </c>
      <c r="O1693" s="47">
        <f t="shared" si="213"/>
        <v>0</v>
      </c>
      <c r="P1693" s="47">
        <f t="shared" si="214"/>
        <v>0</v>
      </c>
      <c r="Q1693" s="47">
        <f t="shared" si="215"/>
        <v>0</v>
      </c>
    </row>
    <row r="1694" spans="1:17" x14ac:dyDescent="0.35">
      <c r="A1694" s="82">
        <v>1691</v>
      </c>
      <c r="B1694" s="83" t="str">
        <f>_xlfn.XLOOKUP(A1694,'TAZs by City - CCAG Model'!$A:$A,'TAZs by City - CCAG Model'!$B:$B,"Unknown")</f>
        <v>Unknown</v>
      </c>
      <c r="C1694" s="82">
        <f>_xlfn.XLOOKUP(A1694,'TAZs by City - CCAG Model'!$A:$A,'TAZs by City - CCAG Model'!$C:$C,999)</f>
        <v>999</v>
      </c>
      <c r="D1694" s="82" t="str">
        <f t="shared" si="208"/>
        <v>NO</v>
      </c>
      <c r="E1694" s="27">
        <v>0</v>
      </c>
      <c r="F1694" s="27">
        <v>0</v>
      </c>
      <c r="G1694" s="27">
        <v>0</v>
      </c>
      <c r="H1694" s="27">
        <v>0</v>
      </c>
      <c r="I1694" s="27">
        <v>0</v>
      </c>
      <c r="J1694" s="27">
        <v>0</v>
      </c>
      <c r="K1694" s="47">
        <f t="shared" si="209"/>
        <v>0</v>
      </c>
      <c r="L1694" s="47">
        <f t="shared" si="210"/>
        <v>0</v>
      </c>
      <c r="M1694" s="84">
        <f t="shared" si="211"/>
        <v>0</v>
      </c>
      <c r="N1694" s="47">
        <f t="shared" si="212"/>
        <v>0</v>
      </c>
      <c r="O1694" s="47">
        <f t="shared" si="213"/>
        <v>0</v>
      </c>
      <c r="P1694" s="47">
        <f t="shared" si="214"/>
        <v>0</v>
      </c>
      <c r="Q1694" s="47">
        <f t="shared" si="215"/>
        <v>0</v>
      </c>
    </row>
    <row r="1695" spans="1:17" x14ac:dyDescent="0.35">
      <c r="A1695" s="82">
        <v>1692</v>
      </c>
      <c r="B1695" s="83" t="str">
        <f>_xlfn.XLOOKUP(A1695,'TAZs by City - CCAG Model'!$A:$A,'TAZs by City - CCAG Model'!$B:$B,"Unknown")</f>
        <v>Unknown</v>
      </c>
      <c r="C1695" s="82">
        <f>_xlfn.XLOOKUP(A1695,'TAZs by City - CCAG Model'!$A:$A,'TAZs by City - CCAG Model'!$C:$C,999)</f>
        <v>999</v>
      </c>
      <c r="D1695" s="82" t="str">
        <f t="shared" si="208"/>
        <v>NO</v>
      </c>
      <c r="E1695" s="27">
        <v>0</v>
      </c>
      <c r="F1695" s="27">
        <v>0</v>
      </c>
      <c r="G1695" s="27">
        <v>0</v>
      </c>
      <c r="H1695" s="27">
        <v>0</v>
      </c>
      <c r="I1695" s="27">
        <v>0</v>
      </c>
      <c r="J1695" s="27">
        <v>0</v>
      </c>
      <c r="K1695" s="47">
        <f t="shared" si="209"/>
        <v>0</v>
      </c>
      <c r="L1695" s="47">
        <f t="shared" si="210"/>
        <v>0</v>
      </c>
      <c r="M1695" s="84">
        <f t="shared" si="211"/>
        <v>0</v>
      </c>
      <c r="N1695" s="47">
        <f t="shared" si="212"/>
        <v>0</v>
      </c>
      <c r="O1695" s="47">
        <f t="shared" si="213"/>
        <v>0</v>
      </c>
      <c r="P1695" s="47">
        <f t="shared" si="214"/>
        <v>0</v>
      </c>
      <c r="Q1695" s="47">
        <f t="shared" si="215"/>
        <v>0</v>
      </c>
    </row>
    <row r="1696" spans="1:17" x14ac:dyDescent="0.35">
      <c r="A1696" s="82">
        <v>1693</v>
      </c>
      <c r="B1696" s="83" t="str">
        <f>_xlfn.XLOOKUP(A1696,'TAZs by City - CCAG Model'!$A:$A,'TAZs by City - CCAG Model'!$B:$B,"Unknown")</f>
        <v>Unknown</v>
      </c>
      <c r="C1696" s="82">
        <f>_xlfn.XLOOKUP(A1696,'TAZs by City - CCAG Model'!$A:$A,'TAZs by City - CCAG Model'!$C:$C,999)</f>
        <v>999</v>
      </c>
      <c r="D1696" s="82" t="str">
        <f t="shared" si="208"/>
        <v>NO</v>
      </c>
      <c r="E1696" s="27">
        <v>0</v>
      </c>
      <c r="F1696" s="27">
        <v>0</v>
      </c>
      <c r="G1696" s="27">
        <v>0</v>
      </c>
      <c r="H1696" s="27">
        <v>0</v>
      </c>
      <c r="I1696" s="27">
        <v>0</v>
      </c>
      <c r="J1696" s="27">
        <v>0</v>
      </c>
      <c r="K1696" s="47">
        <f t="shared" si="209"/>
        <v>0</v>
      </c>
      <c r="L1696" s="47">
        <f t="shared" si="210"/>
        <v>0</v>
      </c>
      <c r="M1696" s="84">
        <f t="shared" si="211"/>
        <v>0</v>
      </c>
      <c r="N1696" s="47">
        <f t="shared" si="212"/>
        <v>0</v>
      </c>
      <c r="O1696" s="47">
        <f t="shared" si="213"/>
        <v>0</v>
      </c>
      <c r="P1696" s="47">
        <f t="shared" si="214"/>
        <v>0</v>
      </c>
      <c r="Q1696" s="47">
        <f t="shared" si="215"/>
        <v>0</v>
      </c>
    </row>
    <row r="1697" spans="1:17" x14ac:dyDescent="0.35">
      <c r="A1697" s="82">
        <v>1694</v>
      </c>
      <c r="B1697" s="83" t="str">
        <f>_xlfn.XLOOKUP(A1697,'TAZs by City - CCAG Model'!$A:$A,'TAZs by City - CCAG Model'!$B:$B,"Unknown")</f>
        <v>Unknown</v>
      </c>
      <c r="C1697" s="82">
        <f>_xlfn.XLOOKUP(A1697,'TAZs by City - CCAG Model'!$A:$A,'TAZs by City - CCAG Model'!$C:$C,999)</f>
        <v>999</v>
      </c>
      <c r="D1697" s="82" t="str">
        <f t="shared" si="208"/>
        <v>NO</v>
      </c>
      <c r="E1697" s="27">
        <v>0</v>
      </c>
      <c r="F1697" s="27">
        <v>0</v>
      </c>
      <c r="G1697" s="27">
        <v>0</v>
      </c>
      <c r="H1697" s="27">
        <v>0</v>
      </c>
      <c r="I1697" s="27">
        <v>0</v>
      </c>
      <c r="J1697" s="27">
        <v>0</v>
      </c>
      <c r="K1697" s="47">
        <f t="shared" si="209"/>
        <v>0</v>
      </c>
      <c r="L1697" s="47">
        <f t="shared" si="210"/>
        <v>0</v>
      </c>
      <c r="M1697" s="84">
        <f t="shared" si="211"/>
        <v>0</v>
      </c>
      <c r="N1697" s="47">
        <f t="shared" si="212"/>
        <v>0</v>
      </c>
      <c r="O1697" s="47">
        <f t="shared" si="213"/>
        <v>0</v>
      </c>
      <c r="P1697" s="47">
        <f t="shared" si="214"/>
        <v>0</v>
      </c>
      <c r="Q1697" s="47">
        <f t="shared" si="215"/>
        <v>0</v>
      </c>
    </row>
    <row r="1698" spans="1:17" x14ac:dyDescent="0.35">
      <c r="A1698" s="82">
        <v>1695</v>
      </c>
      <c r="B1698" s="83" t="str">
        <f>_xlfn.XLOOKUP(A1698,'TAZs by City - CCAG Model'!$A:$A,'TAZs by City - CCAG Model'!$B:$B,"Unknown")</f>
        <v>Unknown</v>
      </c>
      <c r="C1698" s="82">
        <f>_xlfn.XLOOKUP(A1698,'TAZs by City - CCAG Model'!$A:$A,'TAZs by City - CCAG Model'!$C:$C,999)</f>
        <v>999</v>
      </c>
      <c r="D1698" s="82" t="str">
        <f t="shared" si="208"/>
        <v>NO</v>
      </c>
      <c r="E1698" s="27">
        <v>0</v>
      </c>
      <c r="F1698" s="27">
        <v>0</v>
      </c>
      <c r="G1698" s="27">
        <v>0</v>
      </c>
      <c r="H1698" s="27">
        <v>0</v>
      </c>
      <c r="I1698" s="27">
        <v>0</v>
      </c>
      <c r="J1698" s="27">
        <v>0</v>
      </c>
      <c r="K1698" s="47">
        <f t="shared" si="209"/>
        <v>0</v>
      </c>
      <c r="L1698" s="47">
        <f t="shared" si="210"/>
        <v>0</v>
      </c>
      <c r="M1698" s="84">
        <f t="shared" si="211"/>
        <v>0</v>
      </c>
      <c r="N1698" s="47">
        <f t="shared" si="212"/>
        <v>0</v>
      </c>
      <c r="O1698" s="47">
        <f t="shared" si="213"/>
        <v>0</v>
      </c>
      <c r="P1698" s="47">
        <f t="shared" si="214"/>
        <v>0</v>
      </c>
      <c r="Q1698" s="47">
        <f t="shared" si="215"/>
        <v>0</v>
      </c>
    </row>
    <row r="1699" spans="1:17" x14ac:dyDescent="0.35">
      <c r="A1699" s="82">
        <v>1696</v>
      </c>
      <c r="B1699" s="83" t="str">
        <f>_xlfn.XLOOKUP(A1699,'TAZs by City - CCAG Model'!$A:$A,'TAZs by City - CCAG Model'!$B:$B,"Unknown")</f>
        <v>Unknown</v>
      </c>
      <c r="C1699" s="82">
        <f>_xlfn.XLOOKUP(A1699,'TAZs by City - CCAG Model'!$A:$A,'TAZs by City - CCAG Model'!$C:$C,999)</f>
        <v>999</v>
      </c>
      <c r="D1699" s="82" t="str">
        <f t="shared" si="208"/>
        <v>NO</v>
      </c>
      <c r="E1699" s="27">
        <v>0</v>
      </c>
      <c r="F1699" s="27">
        <v>0</v>
      </c>
      <c r="G1699" s="27">
        <v>0</v>
      </c>
      <c r="H1699" s="27">
        <v>0</v>
      </c>
      <c r="I1699" s="27">
        <v>0</v>
      </c>
      <c r="J1699" s="27">
        <v>0</v>
      </c>
      <c r="K1699" s="47">
        <f t="shared" si="209"/>
        <v>0</v>
      </c>
      <c r="L1699" s="47">
        <f t="shared" si="210"/>
        <v>0</v>
      </c>
      <c r="M1699" s="84">
        <f t="shared" si="211"/>
        <v>0</v>
      </c>
      <c r="N1699" s="47">
        <f t="shared" si="212"/>
        <v>0</v>
      </c>
      <c r="O1699" s="47">
        <f t="shared" si="213"/>
        <v>0</v>
      </c>
      <c r="P1699" s="47">
        <f t="shared" si="214"/>
        <v>0</v>
      </c>
      <c r="Q1699" s="47">
        <f t="shared" si="215"/>
        <v>0</v>
      </c>
    </row>
    <row r="1700" spans="1:17" x14ac:dyDescent="0.35">
      <c r="A1700" s="82">
        <v>1697</v>
      </c>
      <c r="B1700" s="83" t="str">
        <f>_xlfn.XLOOKUP(A1700,'TAZs by City - CCAG Model'!$A:$A,'TAZs by City - CCAG Model'!$B:$B,"Unknown")</f>
        <v>Unknown</v>
      </c>
      <c r="C1700" s="82">
        <f>_xlfn.XLOOKUP(A1700,'TAZs by City - CCAG Model'!$A:$A,'TAZs by City - CCAG Model'!$C:$C,999)</f>
        <v>999</v>
      </c>
      <c r="D1700" s="82" t="str">
        <f t="shared" si="208"/>
        <v>NO</v>
      </c>
      <c r="E1700" s="27">
        <v>0</v>
      </c>
      <c r="F1700" s="27">
        <v>0</v>
      </c>
      <c r="G1700" s="27">
        <v>0</v>
      </c>
      <c r="H1700" s="27">
        <v>0</v>
      </c>
      <c r="I1700" s="27">
        <v>0</v>
      </c>
      <c r="J1700" s="27">
        <v>0</v>
      </c>
      <c r="K1700" s="47">
        <f t="shared" si="209"/>
        <v>0</v>
      </c>
      <c r="L1700" s="47">
        <f t="shared" si="210"/>
        <v>0</v>
      </c>
      <c r="M1700" s="84">
        <f t="shared" si="211"/>
        <v>0</v>
      </c>
      <c r="N1700" s="47">
        <f t="shared" si="212"/>
        <v>0</v>
      </c>
      <c r="O1700" s="47">
        <f t="shared" si="213"/>
        <v>0</v>
      </c>
      <c r="P1700" s="47">
        <f t="shared" si="214"/>
        <v>0</v>
      </c>
      <c r="Q1700" s="47">
        <f t="shared" si="215"/>
        <v>0</v>
      </c>
    </row>
    <row r="1701" spans="1:17" x14ac:dyDescent="0.35">
      <c r="A1701" s="82">
        <v>1698</v>
      </c>
      <c r="B1701" s="83" t="str">
        <f>_xlfn.XLOOKUP(A1701,'TAZs by City - CCAG Model'!$A:$A,'TAZs by City - CCAG Model'!$B:$B,"Unknown")</f>
        <v>Unknown</v>
      </c>
      <c r="C1701" s="82">
        <f>_xlfn.XLOOKUP(A1701,'TAZs by City - CCAG Model'!$A:$A,'TAZs by City - CCAG Model'!$C:$C,999)</f>
        <v>999</v>
      </c>
      <c r="D1701" s="82" t="str">
        <f t="shared" si="208"/>
        <v>NO</v>
      </c>
      <c r="E1701" s="27">
        <v>0</v>
      </c>
      <c r="F1701" s="27">
        <v>0</v>
      </c>
      <c r="G1701" s="27">
        <v>0</v>
      </c>
      <c r="H1701" s="27">
        <v>0</v>
      </c>
      <c r="I1701" s="27">
        <v>0</v>
      </c>
      <c r="J1701" s="27">
        <v>0</v>
      </c>
      <c r="K1701" s="47">
        <f t="shared" si="209"/>
        <v>0</v>
      </c>
      <c r="L1701" s="47">
        <f t="shared" si="210"/>
        <v>0</v>
      </c>
      <c r="M1701" s="84">
        <f t="shared" si="211"/>
        <v>0</v>
      </c>
      <c r="N1701" s="47">
        <f t="shared" si="212"/>
        <v>0</v>
      </c>
      <c r="O1701" s="47">
        <f t="shared" si="213"/>
        <v>0</v>
      </c>
      <c r="P1701" s="47">
        <f t="shared" si="214"/>
        <v>0</v>
      </c>
      <c r="Q1701" s="47">
        <f t="shared" si="215"/>
        <v>0</v>
      </c>
    </row>
    <row r="1702" spans="1:17" x14ac:dyDescent="0.35">
      <c r="A1702" s="82">
        <v>1699</v>
      </c>
      <c r="B1702" s="83" t="str">
        <f>_xlfn.XLOOKUP(A1702,'TAZs by City - CCAG Model'!$A:$A,'TAZs by City - CCAG Model'!$B:$B,"Unknown")</f>
        <v>Unknown</v>
      </c>
      <c r="C1702" s="82">
        <f>_xlfn.XLOOKUP(A1702,'TAZs by City - CCAG Model'!$A:$A,'TAZs by City - CCAG Model'!$C:$C,999)</f>
        <v>999</v>
      </c>
      <c r="D1702" s="82" t="str">
        <f t="shared" si="208"/>
        <v>NO</v>
      </c>
      <c r="E1702" s="27">
        <v>0</v>
      </c>
      <c r="F1702" s="27">
        <v>0</v>
      </c>
      <c r="G1702" s="27">
        <v>0</v>
      </c>
      <c r="H1702" s="27">
        <v>0</v>
      </c>
      <c r="I1702" s="27">
        <v>0</v>
      </c>
      <c r="J1702" s="27">
        <v>0</v>
      </c>
      <c r="K1702" s="47">
        <f t="shared" si="209"/>
        <v>0</v>
      </c>
      <c r="L1702" s="47">
        <f t="shared" si="210"/>
        <v>0</v>
      </c>
      <c r="M1702" s="84">
        <f t="shared" si="211"/>
        <v>0</v>
      </c>
      <c r="N1702" s="47">
        <f t="shared" si="212"/>
        <v>0</v>
      </c>
      <c r="O1702" s="47">
        <f t="shared" si="213"/>
        <v>0</v>
      </c>
      <c r="P1702" s="47">
        <f t="shared" si="214"/>
        <v>0</v>
      </c>
      <c r="Q1702" s="47">
        <f t="shared" si="215"/>
        <v>0</v>
      </c>
    </row>
    <row r="1703" spans="1:17" x14ac:dyDescent="0.35">
      <c r="A1703" s="82">
        <v>1700</v>
      </c>
      <c r="B1703" s="83" t="str">
        <f>_xlfn.XLOOKUP(A1703,'TAZs by City - CCAG Model'!$A:$A,'TAZs by City - CCAG Model'!$B:$B,"Unknown")</f>
        <v>Unknown</v>
      </c>
      <c r="C1703" s="82">
        <f>_xlfn.XLOOKUP(A1703,'TAZs by City - CCAG Model'!$A:$A,'TAZs by City - CCAG Model'!$C:$C,999)</f>
        <v>999</v>
      </c>
      <c r="D1703" s="82" t="str">
        <f t="shared" si="208"/>
        <v>NO</v>
      </c>
      <c r="E1703" s="27">
        <v>0</v>
      </c>
      <c r="F1703" s="27">
        <v>0</v>
      </c>
      <c r="G1703" s="27">
        <v>0</v>
      </c>
      <c r="H1703" s="27">
        <v>0</v>
      </c>
      <c r="I1703" s="27">
        <v>0</v>
      </c>
      <c r="J1703" s="27">
        <v>0</v>
      </c>
      <c r="K1703" s="47">
        <f t="shared" si="209"/>
        <v>0</v>
      </c>
      <c r="L1703" s="47">
        <f t="shared" si="210"/>
        <v>0</v>
      </c>
      <c r="M1703" s="84">
        <f t="shared" si="211"/>
        <v>0</v>
      </c>
      <c r="N1703" s="47">
        <f t="shared" si="212"/>
        <v>0</v>
      </c>
      <c r="O1703" s="47">
        <f t="shared" si="213"/>
        <v>0</v>
      </c>
      <c r="P1703" s="47">
        <f t="shared" si="214"/>
        <v>0</v>
      </c>
      <c r="Q1703" s="47">
        <f t="shared" si="215"/>
        <v>0</v>
      </c>
    </row>
    <row r="1704" spans="1:17" x14ac:dyDescent="0.35">
      <c r="A1704" s="82">
        <v>1701</v>
      </c>
      <c r="B1704" s="83" t="str">
        <f>_xlfn.XLOOKUP(A1704,'TAZs by City - CCAG Model'!$A:$A,'TAZs by City - CCAG Model'!$B:$B,"Unknown")</f>
        <v>San Francisco</v>
      </c>
      <c r="C1704" s="82">
        <f>_xlfn.XLOOKUP(A1704,'TAZs by City - CCAG Model'!$A:$A,'TAZs by City - CCAG Model'!$C:$C,999)</f>
        <v>1</v>
      </c>
      <c r="D1704" s="82" t="str">
        <f t="shared" si="208"/>
        <v>NO</v>
      </c>
      <c r="E1704" s="27">
        <v>17668.64</v>
      </c>
      <c r="F1704" s="27">
        <v>9256.64</v>
      </c>
      <c r="G1704" s="27">
        <v>24124.92</v>
      </c>
      <c r="H1704" s="27">
        <v>907.98</v>
      </c>
      <c r="I1704" s="27">
        <v>19675.259999999998</v>
      </c>
      <c r="J1704" s="27">
        <v>95772.5</v>
      </c>
      <c r="K1704" s="47">
        <f t="shared" si="209"/>
        <v>0.18448552559450782</v>
      </c>
      <c r="L1704" s="47">
        <f t="shared" si="210"/>
        <v>9.6652379336448352E-2</v>
      </c>
      <c r="M1704" s="84">
        <f t="shared" si="211"/>
        <v>0.28113790493095614</v>
      </c>
      <c r="N1704" s="47">
        <f t="shared" si="212"/>
        <v>0.25189819624631288</v>
      </c>
      <c r="O1704" s="47">
        <f t="shared" si="213"/>
        <v>9.48059202798298E-3</v>
      </c>
      <c r="P1704" s="47">
        <f t="shared" si="214"/>
        <v>0.20543746900206217</v>
      </c>
      <c r="Q1704" s="47">
        <f t="shared" si="215"/>
        <v>1</v>
      </c>
    </row>
    <row r="1705" spans="1:17" x14ac:dyDescent="0.35">
      <c r="A1705" s="82">
        <v>1702</v>
      </c>
      <c r="B1705" s="83" t="str">
        <f>_xlfn.XLOOKUP(A1705,'TAZs by City - CCAG Model'!$A:$A,'TAZs by City - CCAG Model'!$B:$B,"Unknown")</f>
        <v>San Francisco</v>
      </c>
      <c r="C1705" s="82">
        <f>_xlfn.XLOOKUP(A1705,'TAZs by City - CCAG Model'!$A:$A,'TAZs by City - CCAG Model'!$C:$C,999)</f>
        <v>1</v>
      </c>
      <c r="D1705" s="82" t="str">
        <f t="shared" si="208"/>
        <v>NO</v>
      </c>
      <c r="E1705" s="27">
        <v>28268.82</v>
      </c>
      <c r="F1705" s="27">
        <v>14679.58</v>
      </c>
      <c r="G1705" s="27">
        <v>36448.54</v>
      </c>
      <c r="H1705" s="27">
        <v>1536.72</v>
      </c>
      <c r="I1705" s="27">
        <v>32284.82</v>
      </c>
      <c r="J1705" s="27">
        <v>149677</v>
      </c>
      <c r="K1705" s="47">
        <f t="shared" si="209"/>
        <v>0.1888654903558997</v>
      </c>
      <c r="L1705" s="47">
        <f t="shared" si="210"/>
        <v>9.8075054951662577E-2</v>
      </c>
      <c r="M1705" s="84">
        <f t="shared" si="211"/>
        <v>0.2869405453075623</v>
      </c>
      <c r="N1705" s="47">
        <f t="shared" si="212"/>
        <v>0.24351463484703728</v>
      </c>
      <c r="O1705" s="47">
        <f t="shared" si="213"/>
        <v>1.0266908075389004E-2</v>
      </c>
      <c r="P1705" s="47">
        <f t="shared" si="214"/>
        <v>0.2156966000120259</v>
      </c>
      <c r="Q1705" s="47">
        <f t="shared" si="215"/>
        <v>1</v>
      </c>
    </row>
    <row r="1706" spans="1:17" x14ac:dyDescent="0.35">
      <c r="A1706" s="82">
        <v>1703</v>
      </c>
      <c r="B1706" s="83" t="str">
        <f>_xlfn.XLOOKUP(A1706,'TAZs by City - CCAG Model'!$A:$A,'TAZs by City - CCAG Model'!$B:$B,"Unknown")</f>
        <v>San Francisco</v>
      </c>
      <c r="C1706" s="82">
        <f>_xlfn.XLOOKUP(A1706,'TAZs by City - CCAG Model'!$A:$A,'TAZs by City - CCAG Model'!$C:$C,999)</f>
        <v>1</v>
      </c>
      <c r="D1706" s="82" t="str">
        <f t="shared" si="208"/>
        <v>NO</v>
      </c>
      <c r="E1706" s="27">
        <v>3012.28</v>
      </c>
      <c r="F1706" s="27">
        <v>1414.92</v>
      </c>
      <c r="G1706" s="27">
        <v>3351.94</v>
      </c>
      <c r="H1706" s="27">
        <v>224.82</v>
      </c>
      <c r="I1706" s="27">
        <v>2853.54</v>
      </c>
      <c r="J1706" s="27">
        <v>14254.56</v>
      </c>
      <c r="K1706" s="47">
        <f t="shared" si="209"/>
        <v>0.21132044763219632</v>
      </c>
      <c r="L1706" s="47">
        <f t="shared" si="210"/>
        <v>9.9260868101155003E-2</v>
      </c>
      <c r="M1706" s="84">
        <f t="shared" si="211"/>
        <v>0.31058131573335135</v>
      </c>
      <c r="N1706" s="47">
        <f t="shared" si="212"/>
        <v>0.23514861209325297</v>
      </c>
      <c r="O1706" s="47">
        <f t="shared" si="213"/>
        <v>1.5771795130821296E-2</v>
      </c>
      <c r="P1706" s="47">
        <f t="shared" si="214"/>
        <v>0.20018436205677342</v>
      </c>
      <c r="Q1706" s="47">
        <f t="shared" si="215"/>
        <v>1</v>
      </c>
    </row>
    <row r="1707" spans="1:17" x14ac:dyDescent="0.35">
      <c r="A1707" s="82">
        <v>1704</v>
      </c>
      <c r="B1707" s="83" t="str">
        <f>_xlfn.XLOOKUP(A1707,'TAZs by City - CCAG Model'!$A:$A,'TAZs by City - CCAG Model'!$B:$B,"Unknown")</f>
        <v>San Francisco</v>
      </c>
      <c r="C1707" s="82">
        <f>_xlfn.XLOOKUP(A1707,'TAZs by City - CCAG Model'!$A:$A,'TAZs by City - CCAG Model'!$C:$C,999)</f>
        <v>1</v>
      </c>
      <c r="D1707" s="82" t="str">
        <f t="shared" si="208"/>
        <v>NO</v>
      </c>
      <c r="E1707" s="27">
        <v>22156.560000000001</v>
      </c>
      <c r="F1707" s="27">
        <v>11004.04</v>
      </c>
      <c r="G1707" s="27">
        <v>28497.7</v>
      </c>
      <c r="H1707" s="27">
        <v>1059.8399999999999</v>
      </c>
      <c r="I1707" s="27">
        <v>23919.78</v>
      </c>
      <c r="J1707" s="27">
        <v>115151.18</v>
      </c>
      <c r="K1707" s="47">
        <f t="shared" si="209"/>
        <v>0.19241279160144084</v>
      </c>
      <c r="L1707" s="47">
        <f t="shared" si="210"/>
        <v>9.5561678134779005E-2</v>
      </c>
      <c r="M1707" s="84">
        <f t="shared" si="211"/>
        <v>0.28797446973621987</v>
      </c>
      <c r="N1707" s="47">
        <f t="shared" si="212"/>
        <v>0.24748074661501518</v>
      </c>
      <c r="O1707" s="47">
        <f t="shared" si="213"/>
        <v>9.2039004724050587E-3</v>
      </c>
      <c r="P1707" s="47">
        <f t="shared" si="214"/>
        <v>0.20772500985226552</v>
      </c>
      <c r="Q1707" s="47">
        <f t="shared" si="215"/>
        <v>1</v>
      </c>
    </row>
    <row r="1708" spans="1:17" x14ac:dyDescent="0.35">
      <c r="A1708" s="82">
        <v>1705</v>
      </c>
      <c r="B1708" s="83" t="str">
        <f>_xlfn.XLOOKUP(A1708,'TAZs by City - CCAG Model'!$A:$A,'TAZs by City - CCAG Model'!$B:$B,"Unknown")</f>
        <v>San Francisco</v>
      </c>
      <c r="C1708" s="82">
        <f>_xlfn.XLOOKUP(A1708,'TAZs by City - CCAG Model'!$A:$A,'TAZs by City - CCAG Model'!$C:$C,999)</f>
        <v>1</v>
      </c>
      <c r="D1708" s="82" t="str">
        <f t="shared" si="208"/>
        <v>NO</v>
      </c>
      <c r="E1708" s="27">
        <v>21369.96</v>
      </c>
      <c r="F1708" s="27">
        <v>10392.120000000001</v>
      </c>
      <c r="G1708" s="27">
        <v>26176.76</v>
      </c>
      <c r="H1708" s="27">
        <v>1273.82</v>
      </c>
      <c r="I1708" s="27">
        <v>21490.16</v>
      </c>
      <c r="J1708" s="27">
        <v>106898.02</v>
      </c>
      <c r="K1708" s="47">
        <f t="shared" si="209"/>
        <v>0.1999097831746556</v>
      </c>
      <c r="L1708" s="47">
        <f t="shared" si="210"/>
        <v>9.7215271152823982E-2</v>
      </c>
      <c r="M1708" s="84">
        <f t="shared" si="211"/>
        <v>0.2971250543274796</v>
      </c>
      <c r="N1708" s="47">
        <f t="shared" si="212"/>
        <v>0.24487600425152867</v>
      </c>
      <c r="O1708" s="47">
        <f t="shared" si="213"/>
        <v>1.1916216970155293E-2</v>
      </c>
      <c r="P1708" s="47">
        <f t="shared" si="214"/>
        <v>0.20103421934288399</v>
      </c>
      <c r="Q1708" s="47">
        <f t="shared" si="215"/>
        <v>1</v>
      </c>
    </row>
    <row r="1709" spans="1:17" x14ac:dyDescent="0.35">
      <c r="A1709" s="82">
        <v>1706</v>
      </c>
      <c r="B1709" s="83" t="str">
        <f>_xlfn.XLOOKUP(A1709,'TAZs by City - CCAG Model'!$A:$A,'TAZs by City - CCAG Model'!$B:$B,"Unknown")</f>
        <v>San Francisco</v>
      </c>
      <c r="C1709" s="82">
        <f>_xlfn.XLOOKUP(A1709,'TAZs by City - CCAG Model'!$A:$A,'TAZs by City - CCAG Model'!$C:$C,999)</f>
        <v>1</v>
      </c>
      <c r="D1709" s="82" t="str">
        <f t="shared" si="208"/>
        <v>NO</v>
      </c>
      <c r="E1709" s="27">
        <v>8041.02</v>
      </c>
      <c r="F1709" s="27">
        <v>4748.38</v>
      </c>
      <c r="G1709" s="27">
        <v>7726.32</v>
      </c>
      <c r="H1709" s="27">
        <v>628.72</v>
      </c>
      <c r="I1709" s="27">
        <v>6965.88</v>
      </c>
      <c r="J1709" s="27">
        <v>35880.879999999997</v>
      </c>
      <c r="K1709" s="47">
        <f t="shared" si="209"/>
        <v>0.22410319925263819</v>
      </c>
      <c r="L1709" s="47">
        <f t="shared" si="210"/>
        <v>0.13233733397843087</v>
      </c>
      <c r="M1709" s="84">
        <f t="shared" si="211"/>
        <v>0.35644053323106911</v>
      </c>
      <c r="N1709" s="47">
        <f t="shared" si="212"/>
        <v>0.21533251135423659</v>
      </c>
      <c r="O1709" s="47">
        <f t="shared" si="213"/>
        <v>1.7522424199183522E-2</v>
      </c>
      <c r="P1709" s="47">
        <f t="shared" si="214"/>
        <v>0.19413905121613517</v>
      </c>
      <c r="Q1709" s="47">
        <f t="shared" si="215"/>
        <v>1</v>
      </c>
    </row>
    <row r="1710" spans="1:17" x14ac:dyDescent="0.35">
      <c r="A1710" s="82">
        <v>1707</v>
      </c>
      <c r="B1710" s="83" t="str">
        <f>_xlfn.XLOOKUP(A1710,'TAZs by City - CCAG Model'!$A:$A,'TAZs by City - CCAG Model'!$B:$B,"Unknown")</f>
        <v>San Francisco</v>
      </c>
      <c r="C1710" s="82">
        <f>_xlfn.XLOOKUP(A1710,'TAZs by City - CCAG Model'!$A:$A,'TAZs by City - CCAG Model'!$C:$C,999)</f>
        <v>1</v>
      </c>
      <c r="D1710" s="82" t="str">
        <f t="shared" si="208"/>
        <v>NO</v>
      </c>
      <c r="E1710" s="27">
        <v>14701.96</v>
      </c>
      <c r="F1710" s="27">
        <v>8307.6</v>
      </c>
      <c r="G1710" s="27">
        <v>16788.86</v>
      </c>
      <c r="H1710" s="27">
        <v>1062.1199999999999</v>
      </c>
      <c r="I1710" s="27">
        <v>14155.72</v>
      </c>
      <c r="J1710" s="27">
        <v>71841.66</v>
      </c>
      <c r="K1710" s="47">
        <f t="shared" si="209"/>
        <v>0.20464393500929681</v>
      </c>
      <c r="L1710" s="47">
        <f t="shared" si="210"/>
        <v>0.11563763977614103</v>
      </c>
      <c r="M1710" s="84">
        <f t="shared" si="211"/>
        <v>0.32028157478543784</v>
      </c>
      <c r="N1710" s="47">
        <f t="shared" si="212"/>
        <v>0.23369253995522932</v>
      </c>
      <c r="O1710" s="47">
        <f t="shared" si="213"/>
        <v>1.4784179541508366E-2</v>
      </c>
      <c r="P1710" s="47">
        <f t="shared" si="214"/>
        <v>0.19704054722566264</v>
      </c>
      <c r="Q1710" s="47">
        <f t="shared" si="215"/>
        <v>1</v>
      </c>
    </row>
    <row r="1711" spans="1:17" x14ac:dyDescent="0.35">
      <c r="A1711" s="82">
        <v>1708</v>
      </c>
      <c r="B1711" s="83" t="str">
        <f>_xlfn.XLOOKUP(A1711,'TAZs by City - CCAG Model'!$A:$A,'TAZs by City - CCAG Model'!$B:$B,"Unknown")</f>
        <v>San Francisco</v>
      </c>
      <c r="C1711" s="82">
        <f>_xlfn.XLOOKUP(A1711,'TAZs by City - CCAG Model'!$A:$A,'TAZs by City - CCAG Model'!$C:$C,999)</f>
        <v>1</v>
      </c>
      <c r="D1711" s="82" t="str">
        <f t="shared" si="208"/>
        <v>NO</v>
      </c>
      <c r="E1711" s="27">
        <v>10626.36</v>
      </c>
      <c r="F1711" s="27">
        <v>5971.3</v>
      </c>
      <c r="G1711" s="27">
        <v>14554.2</v>
      </c>
      <c r="H1711" s="27">
        <v>977.42</v>
      </c>
      <c r="I1711" s="27">
        <v>10436.040000000001</v>
      </c>
      <c r="J1711" s="27">
        <v>57157.42</v>
      </c>
      <c r="K1711" s="47">
        <f t="shared" si="209"/>
        <v>0.18591391983752942</v>
      </c>
      <c r="L1711" s="47">
        <f t="shared" si="210"/>
        <v>0.10447112553365775</v>
      </c>
      <c r="M1711" s="84">
        <f t="shared" si="211"/>
        <v>0.29038504537118714</v>
      </c>
      <c r="N1711" s="47">
        <f t="shared" si="212"/>
        <v>0.25463360662535156</v>
      </c>
      <c r="O1711" s="47">
        <f t="shared" si="213"/>
        <v>1.7100491939629186E-2</v>
      </c>
      <c r="P1711" s="47">
        <f t="shared" si="214"/>
        <v>0.18258416842467698</v>
      </c>
      <c r="Q1711" s="47">
        <f t="shared" si="215"/>
        <v>1</v>
      </c>
    </row>
    <row r="1712" spans="1:17" x14ac:dyDescent="0.35">
      <c r="A1712" s="82">
        <v>1709</v>
      </c>
      <c r="B1712" s="83" t="str">
        <f>_xlfn.XLOOKUP(A1712,'TAZs by City - CCAG Model'!$A:$A,'TAZs by City - CCAG Model'!$B:$B,"Unknown")</f>
        <v>San Francisco</v>
      </c>
      <c r="C1712" s="82">
        <f>_xlfn.XLOOKUP(A1712,'TAZs by City - CCAG Model'!$A:$A,'TAZs by City - CCAG Model'!$C:$C,999)</f>
        <v>1</v>
      </c>
      <c r="D1712" s="82" t="str">
        <f t="shared" si="208"/>
        <v>NO</v>
      </c>
      <c r="E1712" s="27">
        <v>30309.42</v>
      </c>
      <c r="F1712" s="27">
        <v>14232.98</v>
      </c>
      <c r="G1712" s="27">
        <v>30777.42</v>
      </c>
      <c r="H1712" s="27">
        <v>2124.14</v>
      </c>
      <c r="I1712" s="27">
        <v>20969.439999999999</v>
      </c>
      <c r="J1712" s="27">
        <v>129208.24</v>
      </c>
      <c r="K1712" s="47">
        <f t="shared" si="209"/>
        <v>0.23457807334888237</v>
      </c>
      <c r="L1712" s="47">
        <f t="shared" si="210"/>
        <v>0.1101553585127388</v>
      </c>
      <c r="M1712" s="84">
        <f t="shared" si="211"/>
        <v>0.34473343186162114</v>
      </c>
      <c r="N1712" s="47">
        <f t="shared" si="212"/>
        <v>0.23820013336610726</v>
      </c>
      <c r="O1712" s="47">
        <f t="shared" si="213"/>
        <v>1.6439663600401954E-2</v>
      </c>
      <c r="P1712" s="47">
        <f t="shared" si="214"/>
        <v>0.16229181668289885</v>
      </c>
      <c r="Q1712" s="47">
        <f t="shared" si="215"/>
        <v>1</v>
      </c>
    </row>
    <row r="1713" spans="1:17" x14ac:dyDescent="0.35">
      <c r="A1713" s="82">
        <v>1710</v>
      </c>
      <c r="B1713" s="83" t="str">
        <f>_xlfn.XLOOKUP(A1713,'TAZs by City - CCAG Model'!$A:$A,'TAZs by City - CCAG Model'!$B:$B,"Unknown")</f>
        <v>San Francisco</v>
      </c>
      <c r="C1713" s="82">
        <f>_xlfn.XLOOKUP(A1713,'TAZs by City - CCAG Model'!$A:$A,'TAZs by City - CCAG Model'!$C:$C,999)</f>
        <v>1</v>
      </c>
      <c r="D1713" s="82" t="str">
        <f t="shared" si="208"/>
        <v>NO</v>
      </c>
      <c r="E1713" s="27">
        <v>19851.68</v>
      </c>
      <c r="F1713" s="27">
        <v>8735.34</v>
      </c>
      <c r="G1713" s="27">
        <v>15067.84</v>
      </c>
      <c r="H1713" s="27">
        <v>1140.72</v>
      </c>
      <c r="I1713" s="27">
        <v>10208.58</v>
      </c>
      <c r="J1713" s="27">
        <v>70098.960000000006</v>
      </c>
      <c r="K1713" s="47">
        <f t="shared" si="209"/>
        <v>0.28319507165298885</v>
      </c>
      <c r="L1713" s="47">
        <f t="shared" si="210"/>
        <v>0.12461440226787956</v>
      </c>
      <c r="M1713" s="84">
        <f t="shared" si="211"/>
        <v>0.40780947392086841</v>
      </c>
      <c r="N1713" s="47">
        <f t="shared" si="212"/>
        <v>0.21495097787470741</v>
      </c>
      <c r="O1713" s="47">
        <f t="shared" si="213"/>
        <v>1.6272994635013128E-2</v>
      </c>
      <c r="P1713" s="47">
        <f t="shared" si="214"/>
        <v>0.14563097655086465</v>
      </c>
      <c r="Q1713" s="47">
        <f t="shared" si="215"/>
        <v>1</v>
      </c>
    </row>
    <row r="1714" spans="1:17" x14ac:dyDescent="0.35">
      <c r="A1714" s="82">
        <v>1711</v>
      </c>
      <c r="B1714" s="83" t="str">
        <f>_xlfn.XLOOKUP(A1714,'TAZs by City - CCAG Model'!$A:$A,'TAZs by City - CCAG Model'!$B:$B,"Unknown")</f>
        <v>San Francisco</v>
      </c>
      <c r="C1714" s="82">
        <f>_xlfn.XLOOKUP(A1714,'TAZs by City - CCAG Model'!$A:$A,'TAZs by City - CCAG Model'!$C:$C,999)</f>
        <v>1</v>
      </c>
      <c r="D1714" s="82" t="str">
        <f t="shared" si="208"/>
        <v>NO</v>
      </c>
      <c r="E1714" s="27">
        <v>21376.7</v>
      </c>
      <c r="F1714" s="27">
        <v>9989.74</v>
      </c>
      <c r="G1714" s="27">
        <v>21553.26</v>
      </c>
      <c r="H1714" s="27">
        <v>1269.5999999999999</v>
      </c>
      <c r="I1714" s="27">
        <v>15266.56</v>
      </c>
      <c r="J1714" s="27">
        <v>91037.4</v>
      </c>
      <c r="K1714" s="47">
        <f t="shared" si="209"/>
        <v>0.23481228593962483</v>
      </c>
      <c r="L1714" s="47">
        <f t="shared" si="210"/>
        <v>0.10973226388275588</v>
      </c>
      <c r="M1714" s="84">
        <f t="shared" si="211"/>
        <v>0.34454454982238075</v>
      </c>
      <c r="N1714" s="47">
        <f t="shared" si="212"/>
        <v>0.23675170863842773</v>
      </c>
      <c r="O1714" s="47">
        <f t="shared" si="213"/>
        <v>1.3945916733122871E-2</v>
      </c>
      <c r="P1714" s="47">
        <f t="shared" si="214"/>
        <v>0.16769547460713949</v>
      </c>
      <c r="Q1714" s="47">
        <f t="shared" si="215"/>
        <v>1</v>
      </c>
    </row>
    <row r="1715" spans="1:17" x14ac:dyDescent="0.35">
      <c r="A1715" s="82">
        <v>1712</v>
      </c>
      <c r="B1715" s="83" t="str">
        <f>_xlfn.XLOOKUP(A1715,'TAZs by City - CCAG Model'!$A:$A,'TAZs by City - CCAG Model'!$B:$B,"Unknown")</f>
        <v>San Francisco</v>
      </c>
      <c r="C1715" s="82">
        <f>_xlfn.XLOOKUP(A1715,'TAZs by City - CCAG Model'!$A:$A,'TAZs by City - CCAG Model'!$C:$C,999)</f>
        <v>1</v>
      </c>
      <c r="D1715" s="82" t="str">
        <f t="shared" si="208"/>
        <v>NO</v>
      </c>
      <c r="E1715" s="27">
        <v>14795.46</v>
      </c>
      <c r="F1715" s="27">
        <v>6729.5</v>
      </c>
      <c r="G1715" s="27">
        <v>19075.52</v>
      </c>
      <c r="H1715" s="27">
        <v>992.76</v>
      </c>
      <c r="I1715" s="27">
        <v>13987.6</v>
      </c>
      <c r="J1715" s="27">
        <v>74679.94</v>
      </c>
      <c r="K1715" s="47">
        <f t="shared" si="209"/>
        <v>0.19811826308376787</v>
      </c>
      <c r="L1715" s="47">
        <f t="shared" si="210"/>
        <v>9.0111213265570381E-2</v>
      </c>
      <c r="M1715" s="84">
        <f t="shared" si="211"/>
        <v>0.28822947634933821</v>
      </c>
      <c r="N1715" s="47">
        <f t="shared" si="212"/>
        <v>0.25543030698739178</v>
      </c>
      <c r="O1715" s="47">
        <f t="shared" si="213"/>
        <v>1.3293529694855137E-2</v>
      </c>
      <c r="P1715" s="47">
        <f t="shared" si="214"/>
        <v>0.18730063253934054</v>
      </c>
      <c r="Q1715" s="47">
        <f t="shared" si="215"/>
        <v>1</v>
      </c>
    </row>
    <row r="1716" spans="1:17" x14ac:dyDescent="0.35">
      <c r="A1716" s="82">
        <v>1713</v>
      </c>
      <c r="B1716" s="83" t="str">
        <f>_xlfn.XLOOKUP(A1716,'TAZs by City - CCAG Model'!$A:$A,'TAZs by City - CCAG Model'!$B:$B,"Unknown")</f>
        <v>San Francisco</v>
      </c>
      <c r="C1716" s="82">
        <f>_xlfn.XLOOKUP(A1716,'TAZs by City - CCAG Model'!$A:$A,'TAZs by City - CCAG Model'!$C:$C,999)</f>
        <v>1</v>
      </c>
      <c r="D1716" s="82" t="str">
        <f t="shared" si="208"/>
        <v>NO</v>
      </c>
      <c r="E1716" s="27">
        <v>15716.34</v>
      </c>
      <c r="F1716" s="27">
        <v>7478.22</v>
      </c>
      <c r="G1716" s="27">
        <v>21458.799999999999</v>
      </c>
      <c r="H1716" s="27">
        <v>829.36</v>
      </c>
      <c r="I1716" s="27">
        <v>13595.02</v>
      </c>
      <c r="J1716" s="27">
        <v>80558.399999999994</v>
      </c>
      <c r="K1716" s="47">
        <f t="shared" si="209"/>
        <v>0.19509250431984748</v>
      </c>
      <c r="L1716" s="47">
        <f t="shared" si="210"/>
        <v>9.2829798009890968E-2</v>
      </c>
      <c r="M1716" s="84">
        <f t="shared" si="211"/>
        <v>0.28792230232973848</v>
      </c>
      <c r="N1716" s="47">
        <f t="shared" si="212"/>
        <v>0.26637569763053887</v>
      </c>
      <c r="O1716" s="47">
        <f t="shared" si="213"/>
        <v>1.0295139923335122E-2</v>
      </c>
      <c r="P1716" s="47">
        <f t="shared" si="214"/>
        <v>0.16875980655027906</v>
      </c>
      <c r="Q1716" s="47">
        <f t="shared" si="215"/>
        <v>1</v>
      </c>
    </row>
    <row r="1717" spans="1:17" x14ac:dyDescent="0.35">
      <c r="A1717" s="82">
        <v>1714</v>
      </c>
      <c r="B1717" s="83" t="str">
        <f>_xlfn.XLOOKUP(A1717,'TAZs by City - CCAG Model'!$A:$A,'TAZs by City - CCAG Model'!$B:$B,"Unknown")</f>
        <v>San Francisco</v>
      </c>
      <c r="C1717" s="82">
        <f>_xlfn.XLOOKUP(A1717,'TAZs by City - CCAG Model'!$A:$A,'TAZs by City - CCAG Model'!$C:$C,999)</f>
        <v>1</v>
      </c>
      <c r="D1717" s="82" t="str">
        <f t="shared" si="208"/>
        <v>NO</v>
      </c>
      <c r="E1717" s="27">
        <v>21108.14</v>
      </c>
      <c r="F1717" s="27">
        <v>10289.66</v>
      </c>
      <c r="G1717" s="27">
        <v>28736.22</v>
      </c>
      <c r="H1717" s="27">
        <v>1122.18</v>
      </c>
      <c r="I1717" s="27">
        <v>19728.82</v>
      </c>
      <c r="J1717" s="27">
        <v>109737.16</v>
      </c>
      <c r="K1717" s="47">
        <f t="shared" si="209"/>
        <v>0.19235179769551169</v>
      </c>
      <c r="L1717" s="47">
        <f t="shared" si="210"/>
        <v>9.3766414221035058E-2</v>
      </c>
      <c r="M1717" s="84">
        <f t="shared" si="211"/>
        <v>0.28611821191654674</v>
      </c>
      <c r="N1717" s="47">
        <f t="shared" si="212"/>
        <v>0.26186407594291672</v>
      </c>
      <c r="O1717" s="47">
        <f t="shared" si="213"/>
        <v>1.0226071095698121E-2</v>
      </c>
      <c r="P1717" s="47">
        <f t="shared" si="214"/>
        <v>0.17978249118165623</v>
      </c>
      <c r="Q1717" s="47">
        <f t="shared" si="215"/>
        <v>1</v>
      </c>
    </row>
    <row r="1718" spans="1:17" x14ac:dyDescent="0.35">
      <c r="A1718" s="82">
        <v>1715</v>
      </c>
      <c r="B1718" s="83" t="str">
        <f>_xlfn.XLOOKUP(A1718,'TAZs by City - CCAG Model'!$A:$A,'TAZs by City - CCAG Model'!$B:$B,"Unknown")</f>
        <v>San Francisco</v>
      </c>
      <c r="C1718" s="82">
        <f>_xlfn.XLOOKUP(A1718,'TAZs by City - CCAG Model'!$A:$A,'TAZs by City - CCAG Model'!$C:$C,999)</f>
        <v>1</v>
      </c>
      <c r="D1718" s="82" t="str">
        <f t="shared" si="208"/>
        <v>NO</v>
      </c>
      <c r="E1718" s="27">
        <v>12786.52</v>
      </c>
      <c r="F1718" s="27">
        <v>6368.4</v>
      </c>
      <c r="G1718" s="27">
        <v>16536.36</v>
      </c>
      <c r="H1718" s="27">
        <v>886.14</v>
      </c>
      <c r="I1718" s="27">
        <v>11271.8</v>
      </c>
      <c r="J1718" s="27">
        <v>64413.22</v>
      </c>
      <c r="K1718" s="47">
        <f t="shared" si="209"/>
        <v>0.19850769764343407</v>
      </c>
      <c r="L1718" s="47">
        <f t="shared" si="210"/>
        <v>9.8867903203721214E-2</v>
      </c>
      <c r="M1718" s="84">
        <f t="shared" si="211"/>
        <v>0.29737560084715525</v>
      </c>
      <c r="N1718" s="47">
        <f t="shared" si="212"/>
        <v>0.25672307641195397</v>
      </c>
      <c r="O1718" s="47">
        <f t="shared" si="213"/>
        <v>1.3757113834706602E-2</v>
      </c>
      <c r="P1718" s="47">
        <f t="shared" si="214"/>
        <v>0.17499202803399674</v>
      </c>
      <c r="Q1718" s="47">
        <f t="shared" si="215"/>
        <v>1</v>
      </c>
    </row>
    <row r="1719" spans="1:17" x14ac:dyDescent="0.35">
      <c r="A1719" s="82">
        <v>1716</v>
      </c>
      <c r="B1719" s="83" t="str">
        <f>_xlfn.XLOOKUP(A1719,'TAZs by City - CCAG Model'!$A:$A,'TAZs by City - CCAG Model'!$B:$B,"Unknown")</f>
        <v>San Francisco</v>
      </c>
      <c r="C1719" s="82">
        <f>_xlfn.XLOOKUP(A1719,'TAZs by City - CCAG Model'!$A:$A,'TAZs by City - CCAG Model'!$C:$C,999)</f>
        <v>1</v>
      </c>
      <c r="D1719" s="82" t="str">
        <f t="shared" si="208"/>
        <v>NO</v>
      </c>
      <c r="E1719" s="27">
        <v>48568.22</v>
      </c>
      <c r="F1719" s="27">
        <v>22272.04</v>
      </c>
      <c r="G1719" s="27">
        <v>52767.28</v>
      </c>
      <c r="H1719" s="27">
        <v>2635.08</v>
      </c>
      <c r="I1719" s="27">
        <v>34762.36</v>
      </c>
      <c r="J1719" s="27">
        <v>213780.18</v>
      </c>
      <c r="K1719" s="47">
        <f t="shared" si="209"/>
        <v>0.22718766538600541</v>
      </c>
      <c r="L1719" s="47">
        <f t="shared" si="210"/>
        <v>0.10418196859970837</v>
      </c>
      <c r="M1719" s="84">
        <f t="shared" si="211"/>
        <v>0.33136963398571379</v>
      </c>
      <c r="N1719" s="47">
        <f t="shared" si="212"/>
        <v>0.24682961722644262</v>
      </c>
      <c r="O1719" s="47">
        <f t="shared" si="213"/>
        <v>1.2326119287578484E-2</v>
      </c>
      <c r="P1719" s="47">
        <f t="shared" si="214"/>
        <v>0.16260796487307663</v>
      </c>
      <c r="Q1719" s="47">
        <f t="shared" si="215"/>
        <v>1</v>
      </c>
    </row>
    <row r="1720" spans="1:17" x14ac:dyDescent="0.35">
      <c r="A1720" s="82">
        <v>1717</v>
      </c>
      <c r="B1720" s="83" t="str">
        <f>_xlfn.XLOOKUP(A1720,'TAZs by City - CCAG Model'!$A:$A,'TAZs by City - CCAG Model'!$B:$B,"Unknown")</f>
        <v>San Francisco</v>
      </c>
      <c r="C1720" s="82">
        <f>_xlfn.XLOOKUP(A1720,'TAZs by City - CCAG Model'!$A:$A,'TAZs by City - CCAG Model'!$C:$C,999)</f>
        <v>1</v>
      </c>
      <c r="D1720" s="82" t="str">
        <f t="shared" si="208"/>
        <v>NO</v>
      </c>
      <c r="E1720" s="27">
        <v>39479.040000000001</v>
      </c>
      <c r="F1720" s="27">
        <v>18271.82</v>
      </c>
      <c r="G1720" s="27">
        <v>33122.879999999997</v>
      </c>
      <c r="H1720" s="27">
        <v>2334.02</v>
      </c>
      <c r="I1720" s="27">
        <v>20305.72</v>
      </c>
      <c r="J1720" s="27">
        <v>146646.29999999999</v>
      </c>
      <c r="K1720" s="47">
        <f t="shared" si="209"/>
        <v>0.26921265657571997</v>
      </c>
      <c r="L1720" s="47">
        <f t="shared" si="210"/>
        <v>0.1245978930255997</v>
      </c>
      <c r="M1720" s="84">
        <f t="shared" si="211"/>
        <v>0.39381054960131967</v>
      </c>
      <c r="N1720" s="47">
        <f t="shared" si="212"/>
        <v>0.22586918319793953</v>
      </c>
      <c r="O1720" s="47">
        <f t="shared" si="213"/>
        <v>1.5915982878531541E-2</v>
      </c>
      <c r="P1720" s="47">
        <f t="shared" si="214"/>
        <v>0.13846731898452264</v>
      </c>
      <c r="Q1720" s="47">
        <f t="shared" si="215"/>
        <v>1</v>
      </c>
    </row>
    <row r="1721" spans="1:17" x14ac:dyDescent="0.35">
      <c r="A1721" s="82">
        <v>1718</v>
      </c>
      <c r="B1721" s="83" t="str">
        <f>_xlfn.XLOOKUP(A1721,'TAZs by City - CCAG Model'!$A:$A,'TAZs by City - CCAG Model'!$B:$B,"Unknown")</f>
        <v>San Francisco</v>
      </c>
      <c r="C1721" s="82">
        <f>_xlfn.XLOOKUP(A1721,'TAZs by City - CCAG Model'!$A:$A,'TAZs by City - CCAG Model'!$C:$C,999)</f>
        <v>1</v>
      </c>
      <c r="D1721" s="82" t="str">
        <f t="shared" si="208"/>
        <v>NO</v>
      </c>
      <c r="E1721" s="27">
        <v>15081.8</v>
      </c>
      <c r="F1721" s="27">
        <v>6036.68</v>
      </c>
      <c r="G1721" s="27">
        <v>8774.98</v>
      </c>
      <c r="H1721" s="27">
        <v>743.16</v>
      </c>
      <c r="I1721" s="27">
        <v>5309.46</v>
      </c>
      <c r="J1721" s="27">
        <v>44750.28</v>
      </c>
      <c r="K1721" s="47">
        <f t="shared" si="209"/>
        <v>0.33702135495018132</v>
      </c>
      <c r="L1721" s="47">
        <f t="shared" si="210"/>
        <v>0.13489703304649714</v>
      </c>
      <c r="M1721" s="84">
        <f t="shared" si="211"/>
        <v>0.47191838799667846</v>
      </c>
      <c r="N1721" s="47">
        <f t="shared" si="212"/>
        <v>0.19608771162996075</v>
      </c>
      <c r="O1721" s="47">
        <f t="shared" si="213"/>
        <v>1.6606823465685577E-2</v>
      </c>
      <c r="P1721" s="47">
        <f t="shared" si="214"/>
        <v>0.11864640846939953</v>
      </c>
      <c r="Q1721" s="47">
        <f t="shared" si="215"/>
        <v>1</v>
      </c>
    </row>
    <row r="1722" spans="1:17" x14ac:dyDescent="0.35">
      <c r="A1722" s="82">
        <v>1719</v>
      </c>
      <c r="B1722" s="83" t="str">
        <f>_xlfn.XLOOKUP(A1722,'TAZs by City - CCAG Model'!$A:$A,'TAZs by City - CCAG Model'!$B:$B,"Unknown")</f>
        <v>San Francisco</v>
      </c>
      <c r="C1722" s="82">
        <f>_xlfn.XLOOKUP(A1722,'TAZs by City - CCAG Model'!$A:$A,'TAZs by City - CCAG Model'!$C:$C,999)</f>
        <v>1</v>
      </c>
      <c r="D1722" s="82" t="str">
        <f t="shared" si="208"/>
        <v>NO</v>
      </c>
      <c r="E1722" s="27">
        <v>26921.88</v>
      </c>
      <c r="F1722" s="27">
        <v>10879.7</v>
      </c>
      <c r="G1722" s="27">
        <v>12460.54</v>
      </c>
      <c r="H1722" s="27">
        <v>1456.98</v>
      </c>
      <c r="I1722" s="27">
        <v>7970.68</v>
      </c>
      <c r="J1722" s="27">
        <v>72171.06</v>
      </c>
      <c r="K1722" s="47">
        <f t="shared" si="209"/>
        <v>0.37302874587126755</v>
      </c>
      <c r="L1722" s="47">
        <f t="shared" si="210"/>
        <v>0.15074879044314995</v>
      </c>
      <c r="M1722" s="84">
        <f t="shared" si="211"/>
        <v>0.52377753631441748</v>
      </c>
      <c r="N1722" s="47">
        <f t="shared" si="212"/>
        <v>0.17265286113298048</v>
      </c>
      <c r="O1722" s="47">
        <f t="shared" si="213"/>
        <v>2.0187870318102576E-2</v>
      </c>
      <c r="P1722" s="47">
        <f t="shared" si="214"/>
        <v>0.11044149829585433</v>
      </c>
      <c r="Q1722" s="47">
        <f t="shared" si="215"/>
        <v>1</v>
      </c>
    </row>
    <row r="1723" spans="1:17" x14ac:dyDescent="0.35">
      <c r="A1723" s="82">
        <v>1720</v>
      </c>
      <c r="B1723" s="83" t="str">
        <f>_xlfn.XLOOKUP(A1723,'TAZs by City - CCAG Model'!$A:$A,'TAZs by City - CCAG Model'!$B:$B,"Unknown")</f>
        <v>San Francisco</v>
      </c>
      <c r="C1723" s="82">
        <f>_xlfn.XLOOKUP(A1723,'TAZs by City - CCAG Model'!$A:$A,'TAZs by City - CCAG Model'!$C:$C,999)</f>
        <v>1</v>
      </c>
      <c r="D1723" s="82" t="str">
        <f t="shared" si="208"/>
        <v>NO</v>
      </c>
      <c r="E1723" s="27">
        <v>17155.759999999998</v>
      </c>
      <c r="F1723" s="27">
        <v>7260.14</v>
      </c>
      <c r="G1723" s="27">
        <v>14566.68</v>
      </c>
      <c r="H1723" s="27">
        <v>1120.02</v>
      </c>
      <c r="I1723" s="27">
        <v>8341.7199999999993</v>
      </c>
      <c r="J1723" s="27">
        <v>63042.1</v>
      </c>
      <c r="K1723" s="47">
        <f t="shared" si="209"/>
        <v>0.27213179763998979</v>
      </c>
      <c r="L1723" s="47">
        <f t="shared" si="210"/>
        <v>0.11516335908860904</v>
      </c>
      <c r="M1723" s="84">
        <f t="shared" si="211"/>
        <v>0.38729515672859882</v>
      </c>
      <c r="N1723" s="47">
        <f t="shared" si="212"/>
        <v>0.23106273426805263</v>
      </c>
      <c r="O1723" s="47">
        <f t="shared" si="213"/>
        <v>1.776622288914868E-2</v>
      </c>
      <c r="P1723" s="47">
        <f t="shared" si="214"/>
        <v>0.1323198307162991</v>
      </c>
      <c r="Q1723" s="47">
        <f t="shared" si="215"/>
        <v>1</v>
      </c>
    </row>
    <row r="1724" spans="1:17" x14ac:dyDescent="0.35">
      <c r="A1724" s="82">
        <v>1721</v>
      </c>
      <c r="B1724" s="83" t="str">
        <f>_xlfn.XLOOKUP(A1724,'TAZs by City - CCAG Model'!$A:$A,'TAZs by City - CCAG Model'!$B:$B,"Unknown")</f>
        <v>San Francisco</v>
      </c>
      <c r="C1724" s="82">
        <f>_xlfn.XLOOKUP(A1724,'TAZs by City - CCAG Model'!$A:$A,'TAZs by City - CCAG Model'!$C:$C,999)</f>
        <v>1</v>
      </c>
      <c r="D1724" s="82" t="str">
        <f t="shared" si="208"/>
        <v>NO</v>
      </c>
      <c r="E1724" s="27">
        <v>19178.64</v>
      </c>
      <c r="F1724" s="27">
        <v>8165.1</v>
      </c>
      <c r="G1724" s="27">
        <v>16293.8</v>
      </c>
      <c r="H1724" s="27">
        <v>1353.34</v>
      </c>
      <c r="I1724" s="27">
        <v>12043.58</v>
      </c>
      <c r="J1724" s="27">
        <v>73355.399999999994</v>
      </c>
      <c r="K1724" s="47">
        <f t="shared" si="209"/>
        <v>0.26144823693961183</v>
      </c>
      <c r="L1724" s="47">
        <f t="shared" si="210"/>
        <v>0.1113087789038026</v>
      </c>
      <c r="M1724" s="84">
        <f t="shared" si="211"/>
        <v>0.37275701584341442</v>
      </c>
      <c r="N1724" s="47">
        <f t="shared" si="212"/>
        <v>0.22212134348664175</v>
      </c>
      <c r="O1724" s="47">
        <f t="shared" si="213"/>
        <v>1.8449084866281145E-2</v>
      </c>
      <c r="P1724" s="47">
        <f t="shared" si="214"/>
        <v>0.1641812327381488</v>
      </c>
      <c r="Q1724" s="47">
        <f t="shared" si="215"/>
        <v>1</v>
      </c>
    </row>
    <row r="1725" spans="1:17" x14ac:dyDescent="0.35">
      <c r="A1725" s="82">
        <v>1722</v>
      </c>
      <c r="B1725" s="83" t="str">
        <f>_xlfn.XLOOKUP(A1725,'TAZs by City - CCAG Model'!$A:$A,'TAZs by City - CCAG Model'!$B:$B,"Unknown")</f>
        <v>San Francisco</v>
      </c>
      <c r="C1725" s="82">
        <f>_xlfn.XLOOKUP(A1725,'TAZs by City - CCAG Model'!$A:$A,'TAZs by City - CCAG Model'!$C:$C,999)</f>
        <v>1</v>
      </c>
      <c r="D1725" s="82" t="str">
        <f t="shared" si="208"/>
        <v>NO</v>
      </c>
      <c r="E1725" s="27">
        <v>24771.9</v>
      </c>
      <c r="F1725" s="27">
        <v>11201.76</v>
      </c>
      <c r="G1725" s="27">
        <v>26750.18</v>
      </c>
      <c r="H1725" s="27">
        <v>1468.26</v>
      </c>
      <c r="I1725" s="27">
        <v>18149.060000000001</v>
      </c>
      <c r="J1725" s="27">
        <v>109107.8</v>
      </c>
      <c r="K1725" s="47">
        <f t="shared" si="209"/>
        <v>0.22704059654763456</v>
      </c>
      <c r="L1725" s="47">
        <f t="shared" si="210"/>
        <v>0.10266690374107075</v>
      </c>
      <c r="M1725" s="84">
        <f t="shared" si="211"/>
        <v>0.32970750028870532</v>
      </c>
      <c r="N1725" s="47">
        <f t="shared" si="212"/>
        <v>0.24517202253184464</v>
      </c>
      <c r="O1725" s="47">
        <f t="shared" si="213"/>
        <v>1.3456966413033716E-2</v>
      </c>
      <c r="P1725" s="47">
        <f t="shared" si="214"/>
        <v>0.16634062825939117</v>
      </c>
      <c r="Q1725" s="47">
        <f t="shared" si="215"/>
        <v>1</v>
      </c>
    </row>
    <row r="1726" spans="1:17" x14ac:dyDescent="0.35">
      <c r="A1726" s="82">
        <v>1723</v>
      </c>
      <c r="B1726" s="83" t="str">
        <f>_xlfn.XLOOKUP(A1726,'TAZs by City - CCAG Model'!$A:$A,'TAZs by City - CCAG Model'!$B:$B,"Unknown")</f>
        <v>San Francisco</v>
      </c>
      <c r="C1726" s="82">
        <f>_xlfn.XLOOKUP(A1726,'TAZs by City - CCAG Model'!$A:$A,'TAZs by City - CCAG Model'!$C:$C,999)</f>
        <v>1</v>
      </c>
      <c r="D1726" s="82" t="str">
        <f t="shared" si="208"/>
        <v>NO</v>
      </c>
      <c r="E1726" s="27">
        <v>13789.54</v>
      </c>
      <c r="F1726" s="27">
        <v>6192.12</v>
      </c>
      <c r="G1726" s="27">
        <v>10135.84</v>
      </c>
      <c r="H1726" s="27">
        <v>808.4</v>
      </c>
      <c r="I1726" s="27">
        <v>6566.76</v>
      </c>
      <c r="J1726" s="27">
        <v>47660.6</v>
      </c>
      <c r="K1726" s="47">
        <f t="shared" si="209"/>
        <v>0.28932787249845787</v>
      </c>
      <c r="L1726" s="47">
        <f t="shared" si="210"/>
        <v>0.12992115080380859</v>
      </c>
      <c r="M1726" s="84">
        <f t="shared" si="211"/>
        <v>0.41924902330226643</v>
      </c>
      <c r="N1726" s="47">
        <f t="shared" si="212"/>
        <v>0.21266706671758226</v>
      </c>
      <c r="O1726" s="47">
        <f t="shared" si="213"/>
        <v>1.6961599308443452E-2</v>
      </c>
      <c r="P1726" s="47">
        <f t="shared" si="214"/>
        <v>0.13778173166095267</v>
      </c>
      <c r="Q1726" s="47">
        <f t="shared" si="215"/>
        <v>1</v>
      </c>
    </row>
    <row r="1727" spans="1:17" x14ac:dyDescent="0.35">
      <c r="A1727" s="82">
        <v>1724</v>
      </c>
      <c r="B1727" s="83" t="str">
        <f>_xlfn.XLOOKUP(A1727,'TAZs by City - CCAG Model'!$A:$A,'TAZs by City - CCAG Model'!$B:$B,"Unknown")</f>
        <v>San Francisco</v>
      </c>
      <c r="C1727" s="82">
        <f>_xlfn.XLOOKUP(A1727,'TAZs by City - CCAG Model'!$A:$A,'TAZs by City - CCAG Model'!$C:$C,999)</f>
        <v>1</v>
      </c>
      <c r="D1727" s="82" t="str">
        <f t="shared" si="208"/>
        <v>NO</v>
      </c>
      <c r="E1727" s="27">
        <v>14787.02</v>
      </c>
      <c r="F1727" s="27">
        <v>7207.72</v>
      </c>
      <c r="G1727" s="27">
        <v>16433.04</v>
      </c>
      <c r="H1727" s="27">
        <v>987.7</v>
      </c>
      <c r="I1727" s="27">
        <v>13586.16</v>
      </c>
      <c r="J1727" s="27">
        <v>69461.320000000007</v>
      </c>
      <c r="K1727" s="47">
        <f t="shared" si="209"/>
        <v>0.21288135612741019</v>
      </c>
      <c r="L1727" s="47">
        <f t="shared" si="210"/>
        <v>0.1037659520435258</v>
      </c>
      <c r="M1727" s="84">
        <f t="shared" si="211"/>
        <v>0.316647308170936</v>
      </c>
      <c r="N1727" s="47">
        <f t="shared" si="212"/>
        <v>0.23657828558397681</v>
      </c>
      <c r="O1727" s="47">
        <f t="shared" si="213"/>
        <v>1.4219424566075046E-2</v>
      </c>
      <c r="P1727" s="47">
        <f t="shared" si="214"/>
        <v>0.19559317329414411</v>
      </c>
      <c r="Q1727" s="47">
        <f t="shared" si="215"/>
        <v>1</v>
      </c>
    </row>
    <row r="1728" spans="1:17" x14ac:dyDescent="0.35">
      <c r="A1728" s="82">
        <v>1725</v>
      </c>
      <c r="B1728" s="83" t="str">
        <f>_xlfn.XLOOKUP(A1728,'TAZs by City - CCAG Model'!$A:$A,'TAZs by City - CCAG Model'!$B:$B,"Unknown")</f>
        <v>San Francisco</v>
      </c>
      <c r="C1728" s="82">
        <f>_xlfn.XLOOKUP(A1728,'TAZs by City - CCAG Model'!$A:$A,'TAZs by City - CCAG Model'!$C:$C,999)</f>
        <v>1</v>
      </c>
      <c r="D1728" s="82" t="str">
        <f t="shared" si="208"/>
        <v>NO</v>
      </c>
      <c r="E1728" s="27">
        <v>5330.3</v>
      </c>
      <c r="F1728" s="27">
        <v>3515.38</v>
      </c>
      <c r="G1728" s="27">
        <v>5468.12</v>
      </c>
      <c r="H1728" s="27">
        <v>394.04</v>
      </c>
      <c r="I1728" s="27">
        <v>5761.7</v>
      </c>
      <c r="J1728" s="27">
        <v>25984.080000000002</v>
      </c>
      <c r="K1728" s="47">
        <f t="shared" si="209"/>
        <v>0.20513714551371454</v>
      </c>
      <c r="L1728" s="47">
        <f t="shared" si="210"/>
        <v>0.13528976203890997</v>
      </c>
      <c r="M1728" s="84">
        <f t="shared" si="211"/>
        <v>0.3404269075526245</v>
      </c>
      <c r="N1728" s="47">
        <f t="shared" si="212"/>
        <v>0.2104411624348447</v>
      </c>
      <c r="O1728" s="47">
        <f t="shared" si="213"/>
        <v>1.5164670059513363E-2</v>
      </c>
      <c r="P1728" s="47">
        <f t="shared" si="214"/>
        <v>0.22173961902826653</v>
      </c>
      <c r="Q1728" s="47">
        <f t="shared" si="215"/>
        <v>1</v>
      </c>
    </row>
    <row r="1729" spans="1:17" x14ac:dyDescent="0.35">
      <c r="A1729" s="82">
        <v>1726</v>
      </c>
      <c r="B1729" s="83" t="str">
        <f>_xlfn.XLOOKUP(A1729,'TAZs by City - CCAG Model'!$A:$A,'TAZs by City - CCAG Model'!$B:$B,"Unknown")</f>
        <v>San Francisco</v>
      </c>
      <c r="C1729" s="82">
        <f>_xlfn.XLOOKUP(A1729,'TAZs by City - CCAG Model'!$A:$A,'TAZs by City - CCAG Model'!$C:$C,999)</f>
        <v>1</v>
      </c>
      <c r="D1729" s="82" t="str">
        <f t="shared" si="208"/>
        <v>NO</v>
      </c>
      <c r="E1729" s="27">
        <v>6273.76</v>
      </c>
      <c r="F1729" s="27">
        <v>3427.88</v>
      </c>
      <c r="G1729" s="27">
        <v>6495.5</v>
      </c>
      <c r="H1729" s="27">
        <v>427.38</v>
      </c>
      <c r="I1729" s="27">
        <v>6517.28</v>
      </c>
      <c r="J1729" s="27">
        <v>29681.82</v>
      </c>
      <c r="K1729" s="47">
        <f t="shared" si="209"/>
        <v>0.21136709271870796</v>
      </c>
      <c r="L1729" s="47">
        <f t="shared" si="210"/>
        <v>0.11548752738208103</v>
      </c>
      <c r="M1729" s="84">
        <f t="shared" si="211"/>
        <v>0.32685462010078897</v>
      </c>
      <c r="N1729" s="47">
        <f t="shared" si="212"/>
        <v>0.21883765887671308</v>
      </c>
      <c r="O1729" s="47">
        <f t="shared" si="213"/>
        <v>1.4398712747398913E-2</v>
      </c>
      <c r="P1729" s="47">
        <f t="shared" si="214"/>
        <v>0.21957144137387802</v>
      </c>
      <c r="Q1729" s="47">
        <f t="shared" si="215"/>
        <v>1</v>
      </c>
    </row>
    <row r="1730" spans="1:17" x14ac:dyDescent="0.35">
      <c r="A1730" s="82">
        <v>1727</v>
      </c>
      <c r="B1730" s="83" t="str">
        <f>_xlfn.XLOOKUP(A1730,'TAZs by City - CCAG Model'!$A:$A,'TAZs by City - CCAG Model'!$B:$B,"Unknown")</f>
        <v>San Francisco</v>
      </c>
      <c r="C1730" s="82">
        <f>_xlfn.XLOOKUP(A1730,'TAZs by City - CCAG Model'!$A:$A,'TAZs by City - CCAG Model'!$C:$C,999)</f>
        <v>1</v>
      </c>
      <c r="D1730" s="82" t="str">
        <f t="shared" si="208"/>
        <v>NO</v>
      </c>
      <c r="E1730" s="27">
        <v>4330.76</v>
      </c>
      <c r="F1730" s="27">
        <v>2619.9</v>
      </c>
      <c r="G1730" s="27">
        <v>4369.54</v>
      </c>
      <c r="H1730" s="27">
        <v>428.58</v>
      </c>
      <c r="I1730" s="27">
        <v>4763.74</v>
      </c>
      <c r="J1730" s="27">
        <v>20928.64</v>
      </c>
      <c r="K1730" s="47">
        <f t="shared" si="209"/>
        <v>0.20692983395003212</v>
      </c>
      <c r="L1730" s="47">
        <f t="shared" si="210"/>
        <v>0.12518252499923552</v>
      </c>
      <c r="M1730" s="84">
        <f t="shared" si="211"/>
        <v>0.33211235894926761</v>
      </c>
      <c r="N1730" s="47">
        <f t="shared" si="212"/>
        <v>0.2087827971621663</v>
      </c>
      <c r="O1730" s="47">
        <f t="shared" si="213"/>
        <v>2.0478158160300908E-2</v>
      </c>
      <c r="P1730" s="47">
        <f t="shared" si="214"/>
        <v>0.22761823032934772</v>
      </c>
      <c r="Q1730" s="47">
        <f t="shared" si="215"/>
        <v>1</v>
      </c>
    </row>
    <row r="1731" spans="1:17" x14ac:dyDescent="0.35">
      <c r="A1731" s="82">
        <v>1728</v>
      </c>
      <c r="B1731" s="83" t="str">
        <f>_xlfn.XLOOKUP(A1731,'TAZs by City - CCAG Model'!$A:$A,'TAZs by City - CCAG Model'!$B:$B,"Unknown")</f>
        <v>San Francisco</v>
      </c>
      <c r="C1731" s="82">
        <f>_xlfn.XLOOKUP(A1731,'TAZs by City - CCAG Model'!$A:$A,'TAZs by City - CCAG Model'!$C:$C,999)</f>
        <v>1</v>
      </c>
      <c r="D1731" s="82" t="str">
        <f t="shared" si="208"/>
        <v>NO</v>
      </c>
      <c r="E1731" s="27">
        <v>6538.72</v>
      </c>
      <c r="F1731" s="27">
        <v>3394.78</v>
      </c>
      <c r="G1731" s="27">
        <v>3255.68</v>
      </c>
      <c r="H1731" s="27">
        <v>481.48</v>
      </c>
      <c r="I1731" s="27">
        <v>5214.6000000000004</v>
      </c>
      <c r="J1731" s="27">
        <v>22185.18</v>
      </c>
      <c r="K1731" s="47">
        <f t="shared" si="209"/>
        <v>0.29473369159051221</v>
      </c>
      <c r="L1731" s="47">
        <f t="shared" si="210"/>
        <v>0.1530201693202399</v>
      </c>
      <c r="M1731" s="84">
        <f t="shared" si="211"/>
        <v>0.44775386091075214</v>
      </c>
      <c r="N1731" s="47">
        <f t="shared" si="212"/>
        <v>0.1467502179382813</v>
      </c>
      <c r="O1731" s="47">
        <f t="shared" si="213"/>
        <v>2.1702776357911003E-2</v>
      </c>
      <c r="P1731" s="47">
        <f t="shared" si="214"/>
        <v>0.2350488028494698</v>
      </c>
      <c r="Q1731" s="47">
        <f t="shared" si="215"/>
        <v>1</v>
      </c>
    </row>
    <row r="1732" spans="1:17" x14ac:dyDescent="0.35">
      <c r="A1732" s="82">
        <v>1729</v>
      </c>
      <c r="B1732" s="83" t="str">
        <f>_xlfn.XLOOKUP(A1732,'TAZs by City - CCAG Model'!$A:$A,'TAZs by City - CCAG Model'!$B:$B,"Unknown")</f>
        <v>San Francisco</v>
      </c>
      <c r="C1732" s="82">
        <f>_xlfn.XLOOKUP(A1732,'TAZs by City - CCAG Model'!$A:$A,'TAZs by City - CCAG Model'!$C:$C,999)</f>
        <v>1</v>
      </c>
      <c r="D1732" s="82" t="str">
        <f t="shared" si="208"/>
        <v>NO</v>
      </c>
      <c r="E1732" s="27">
        <v>8821.86</v>
      </c>
      <c r="F1732" s="27">
        <v>4433.84</v>
      </c>
      <c r="G1732" s="27">
        <v>7752.6</v>
      </c>
      <c r="H1732" s="27">
        <v>961.34</v>
      </c>
      <c r="I1732" s="27">
        <v>7826.66</v>
      </c>
      <c r="J1732" s="27">
        <v>37590.839999999997</v>
      </c>
      <c r="K1732" s="47">
        <f t="shared" si="209"/>
        <v>0.23468110848281126</v>
      </c>
      <c r="L1732" s="47">
        <f t="shared" si="210"/>
        <v>0.11795001122613914</v>
      </c>
      <c r="M1732" s="84">
        <f t="shared" si="211"/>
        <v>0.35263111970895045</v>
      </c>
      <c r="N1732" s="47">
        <f t="shared" si="212"/>
        <v>0.2062364129133587</v>
      </c>
      <c r="O1732" s="47">
        <f t="shared" si="213"/>
        <v>2.5573783400424148E-2</v>
      </c>
      <c r="P1732" s="47">
        <f t="shared" si="214"/>
        <v>0.2082065737291319</v>
      </c>
      <c r="Q1732" s="47">
        <f t="shared" si="215"/>
        <v>1</v>
      </c>
    </row>
    <row r="1733" spans="1:17" x14ac:dyDescent="0.35">
      <c r="A1733" s="82">
        <v>1730</v>
      </c>
      <c r="B1733" s="83" t="str">
        <f>_xlfn.XLOOKUP(A1733,'TAZs by City - CCAG Model'!$A:$A,'TAZs by City - CCAG Model'!$B:$B,"Unknown")</f>
        <v>San Francisco</v>
      </c>
      <c r="C1733" s="82">
        <f>_xlfn.XLOOKUP(A1733,'TAZs by City - CCAG Model'!$A:$A,'TAZs by City - CCAG Model'!$C:$C,999)</f>
        <v>1</v>
      </c>
      <c r="D1733" s="82" t="str">
        <f t="shared" ref="D1733:D1796" si="216">IF(C1733=2,"YES","NO")</f>
        <v>NO</v>
      </c>
      <c r="E1733" s="27">
        <v>10798.94</v>
      </c>
      <c r="F1733" s="27">
        <v>6042.22</v>
      </c>
      <c r="G1733" s="27">
        <v>10588.36</v>
      </c>
      <c r="H1733" s="27">
        <v>877.08</v>
      </c>
      <c r="I1733" s="27">
        <v>9586.1200000000008</v>
      </c>
      <c r="J1733" s="27">
        <v>48523.98</v>
      </c>
      <c r="K1733" s="47">
        <f t="shared" ref="K1733:K1796" si="217">IFERROR(E1733/$J1733,0)</f>
        <v>0.22254852137025857</v>
      </c>
      <c r="L1733" s="47">
        <f t="shared" ref="L1733:L1796" si="218">IFERROR(F1733/$J1733,0)</f>
        <v>0.12452028873146843</v>
      </c>
      <c r="M1733" s="84">
        <f t="shared" ref="M1733:M1796" si="219">IFERROR((E1733+F1733)/J1733,0)</f>
        <v>0.34706881010172702</v>
      </c>
      <c r="N1733" s="47">
        <f t="shared" ref="N1733:N1796" si="220">IFERROR(G1733/$J1733,0)</f>
        <v>0.21820881139593248</v>
      </c>
      <c r="O1733" s="47">
        <f t="shared" ref="O1733:O1796" si="221">IFERROR(H1733/$J1733,0)</f>
        <v>1.8075186742719785E-2</v>
      </c>
      <c r="P1733" s="47">
        <f t="shared" ref="P1733:P1796" si="222">IFERROR(I1733/$J1733,0)</f>
        <v>0.19755428140890338</v>
      </c>
      <c r="Q1733" s="47">
        <f t="shared" ref="Q1733:Q1796" si="223">IFERROR(J1733/$J1733,0)</f>
        <v>1</v>
      </c>
    </row>
    <row r="1734" spans="1:17" x14ac:dyDescent="0.35">
      <c r="A1734" s="82">
        <v>1731</v>
      </c>
      <c r="B1734" s="83" t="str">
        <f>_xlfn.XLOOKUP(A1734,'TAZs by City - CCAG Model'!$A:$A,'TAZs by City - CCAG Model'!$B:$B,"Unknown")</f>
        <v>San Francisco</v>
      </c>
      <c r="C1734" s="82">
        <f>_xlfn.XLOOKUP(A1734,'TAZs by City - CCAG Model'!$A:$A,'TAZs by City - CCAG Model'!$C:$C,999)</f>
        <v>1</v>
      </c>
      <c r="D1734" s="82" t="str">
        <f t="shared" si="216"/>
        <v>NO</v>
      </c>
      <c r="E1734" s="27">
        <v>7339.88</v>
      </c>
      <c r="F1734" s="27">
        <v>3588.48</v>
      </c>
      <c r="G1734" s="27">
        <v>6636.72</v>
      </c>
      <c r="H1734" s="27">
        <v>676.82</v>
      </c>
      <c r="I1734" s="27">
        <v>6029.94</v>
      </c>
      <c r="J1734" s="27">
        <v>30954.240000000002</v>
      </c>
      <c r="K1734" s="47">
        <f t="shared" si="217"/>
        <v>0.23712034280279534</v>
      </c>
      <c r="L1734" s="47">
        <f t="shared" si="218"/>
        <v>0.11592854484555265</v>
      </c>
      <c r="M1734" s="84">
        <f t="shared" si="219"/>
        <v>0.35304888764834802</v>
      </c>
      <c r="N1734" s="47">
        <f t="shared" si="220"/>
        <v>0.21440423024438654</v>
      </c>
      <c r="O1734" s="47">
        <f t="shared" si="221"/>
        <v>2.1865179051399744E-2</v>
      </c>
      <c r="P1734" s="47">
        <f t="shared" si="222"/>
        <v>0.1948017460612827</v>
      </c>
      <c r="Q1734" s="47">
        <f t="shared" si="223"/>
        <v>1</v>
      </c>
    </row>
    <row r="1735" spans="1:17" x14ac:dyDescent="0.35">
      <c r="A1735" s="82">
        <v>1732</v>
      </c>
      <c r="B1735" s="83" t="str">
        <f>_xlfn.XLOOKUP(A1735,'TAZs by City - CCAG Model'!$A:$A,'TAZs by City - CCAG Model'!$B:$B,"Unknown")</f>
        <v>San Francisco</v>
      </c>
      <c r="C1735" s="82">
        <f>_xlfn.XLOOKUP(A1735,'TAZs by City - CCAG Model'!$A:$A,'TAZs by City - CCAG Model'!$C:$C,999)</f>
        <v>1</v>
      </c>
      <c r="D1735" s="82" t="str">
        <f t="shared" si="216"/>
        <v>NO</v>
      </c>
      <c r="E1735" s="27">
        <v>12092.82</v>
      </c>
      <c r="F1735" s="27">
        <v>6040.78</v>
      </c>
      <c r="G1735" s="27">
        <v>8131.86</v>
      </c>
      <c r="H1735" s="27">
        <v>878.66</v>
      </c>
      <c r="I1735" s="27">
        <v>9145.26</v>
      </c>
      <c r="J1735" s="27">
        <v>44465.1</v>
      </c>
      <c r="K1735" s="47">
        <f t="shared" si="217"/>
        <v>0.27196205563464382</v>
      </c>
      <c r="L1735" s="47">
        <f t="shared" si="218"/>
        <v>0.13585441166218001</v>
      </c>
      <c r="M1735" s="84">
        <f t="shared" si="219"/>
        <v>0.4078164672968238</v>
      </c>
      <c r="N1735" s="47">
        <f t="shared" si="220"/>
        <v>0.18288185565758314</v>
      </c>
      <c r="O1735" s="47">
        <f t="shared" si="221"/>
        <v>1.9760666230369435E-2</v>
      </c>
      <c r="P1735" s="47">
        <f t="shared" si="222"/>
        <v>0.20567276358312475</v>
      </c>
      <c r="Q1735" s="47">
        <f t="shared" si="223"/>
        <v>1</v>
      </c>
    </row>
    <row r="1736" spans="1:17" x14ac:dyDescent="0.35">
      <c r="A1736" s="82">
        <v>1733</v>
      </c>
      <c r="B1736" s="83" t="str">
        <f>_xlfn.XLOOKUP(A1736,'TAZs by City - CCAG Model'!$A:$A,'TAZs by City - CCAG Model'!$B:$B,"Unknown")</f>
        <v>San Francisco</v>
      </c>
      <c r="C1736" s="82">
        <f>_xlfn.XLOOKUP(A1736,'TAZs by City - CCAG Model'!$A:$A,'TAZs by City - CCAG Model'!$C:$C,999)</f>
        <v>1</v>
      </c>
      <c r="D1736" s="82" t="str">
        <f t="shared" si="216"/>
        <v>NO</v>
      </c>
      <c r="E1736" s="27">
        <v>9087.6200000000008</v>
      </c>
      <c r="F1736" s="27">
        <v>4912.3</v>
      </c>
      <c r="G1736" s="27">
        <v>4420.38</v>
      </c>
      <c r="H1736" s="27">
        <v>602.46</v>
      </c>
      <c r="I1736" s="27">
        <v>6086.32</v>
      </c>
      <c r="J1736" s="27">
        <v>29570.22</v>
      </c>
      <c r="K1736" s="47">
        <f t="shared" si="217"/>
        <v>0.30732338142901883</v>
      </c>
      <c r="L1736" s="47">
        <f t="shared" si="218"/>
        <v>0.16612321450432224</v>
      </c>
      <c r="M1736" s="84">
        <f t="shared" si="219"/>
        <v>0.4734465959333411</v>
      </c>
      <c r="N1736" s="47">
        <f t="shared" si="220"/>
        <v>0.14948755876689454</v>
      </c>
      <c r="O1736" s="47">
        <f t="shared" si="221"/>
        <v>2.0373876149720901E-2</v>
      </c>
      <c r="P1736" s="47">
        <f t="shared" si="222"/>
        <v>0.20582599656005263</v>
      </c>
      <c r="Q1736" s="47">
        <f t="shared" si="223"/>
        <v>1</v>
      </c>
    </row>
    <row r="1737" spans="1:17" x14ac:dyDescent="0.35">
      <c r="A1737" s="82">
        <v>1734</v>
      </c>
      <c r="B1737" s="83" t="str">
        <f>_xlfn.XLOOKUP(A1737,'TAZs by City - CCAG Model'!$A:$A,'TAZs by City - CCAG Model'!$B:$B,"Unknown")</f>
        <v>San Francisco</v>
      </c>
      <c r="C1737" s="82">
        <f>_xlfn.XLOOKUP(A1737,'TAZs by City - CCAG Model'!$A:$A,'TAZs by City - CCAG Model'!$C:$C,999)</f>
        <v>1</v>
      </c>
      <c r="D1737" s="82" t="str">
        <f t="shared" si="216"/>
        <v>NO</v>
      </c>
      <c r="E1737" s="27">
        <v>9501.86</v>
      </c>
      <c r="F1737" s="27">
        <v>4742.6000000000004</v>
      </c>
      <c r="G1737" s="27">
        <v>4108.5600000000004</v>
      </c>
      <c r="H1737" s="27">
        <v>585.9</v>
      </c>
      <c r="I1737" s="27">
        <v>5339.88</v>
      </c>
      <c r="J1737" s="27">
        <v>28425.06</v>
      </c>
      <c r="K1737" s="47">
        <f t="shared" si="217"/>
        <v>0.33427757056625385</v>
      </c>
      <c r="L1737" s="47">
        <f t="shared" si="218"/>
        <v>0.16684573401076375</v>
      </c>
      <c r="M1737" s="84">
        <f t="shared" si="219"/>
        <v>0.50112330457701759</v>
      </c>
      <c r="N1737" s="47">
        <f t="shared" si="220"/>
        <v>0.1445400642953788</v>
      </c>
      <c r="O1737" s="47">
        <f t="shared" si="221"/>
        <v>2.0612093694789033E-2</v>
      </c>
      <c r="P1737" s="47">
        <f t="shared" si="222"/>
        <v>0.18785817866347512</v>
      </c>
      <c r="Q1737" s="47">
        <f t="shared" si="223"/>
        <v>1</v>
      </c>
    </row>
    <row r="1738" spans="1:17" x14ac:dyDescent="0.35">
      <c r="A1738" s="82">
        <v>1735</v>
      </c>
      <c r="B1738" s="83" t="str">
        <f>_xlfn.XLOOKUP(A1738,'TAZs by City - CCAG Model'!$A:$A,'TAZs by City - CCAG Model'!$B:$B,"Unknown")</f>
        <v>San Francisco</v>
      </c>
      <c r="C1738" s="82">
        <f>_xlfn.XLOOKUP(A1738,'TAZs by City - CCAG Model'!$A:$A,'TAZs by City - CCAG Model'!$C:$C,999)</f>
        <v>1</v>
      </c>
      <c r="D1738" s="82" t="str">
        <f t="shared" si="216"/>
        <v>NO</v>
      </c>
      <c r="E1738" s="27">
        <v>6811.86</v>
      </c>
      <c r="F1738" s="27">
        <v>4012.18</v>
      </c>
      <c r="G1738" s="27">
        <v>3297.38</v>
      </c>
      <c r="H1738" s="27">
        <v>459.24</v>
      </c>
      <c r="I1738" s="27">
        <v>4943.16</v>
      </c>
      <c r="J1738" s="27">
        <v>22858.2</v>
      </c>
      <c r="K1738" s="47">
        <f t="shared" si="217"/>
        <v>0.29800509226448274</v>
      </c>
      <c r="L1738" s="47">
        <f t="shared" si="218"/>
        <v>0.17552475697998965</v>
      </c>
      <c r="M1738" s="84">
        <f t="shared" si="219"/>
        <v>0.47352984924447239</v>
      </c>
      <c r="N1738" s="47">
        <f t="shared" si="220"/>
        <v>0.14425370326622394</v>
      </c>
      <c r="O1738" s="47">
        <f t="shared" si="221"/>
        <v>2.0090820799538021E-2</v>
      </c>
      <c r="P1738" s="47">
        <f t="shared" si="222"/>
        <v>0.21625324828726669</v>
      </c>
      <c r="Q1738" s="47">
        <f t="shared" si="223"/>
        <v>1</v>
      </c>
    </row>
    <row r="1739" spans="1:17" x14ac:dyDescent="0.35">
      <c r="A1739" s="82">
        <v>1736</v>
      </c>
      <c r="B1739" s="83" t="str">
        <f>_xlfn.XLOOKUP(A1739,'TAZs by City - CCAG Model'!$A:$A,'TAZs by City - CCAG Model'!$B:$B,"Unknown")</f>
        <v>San Francisco</v>
      </c>
      <c r="C1739" s="82">
        <f>_xlfn.XLOOKUP(A1739,'TAZs by City - CCAG Model'!$A:$A,'TAZs by City - CCAG Model'!$C:$C,999)</f>
        <v>1</v>
      </c>
      <c r="D1739" s="82" t="str">
        <f t="shared" si="216"/>
        <v>NO</v>
      </c>
      <c r="E1739" s="27">
        <v>9679.48</v>
      </c>
      <c r="F1739" s="27">
        <v>5739.38</v>
      </c>
      <c r="G1739" s="27">
        <v>8771.94</v>
      </c>
      <c r="H1739" s="27">
        <v>751.42</v>
      </c>
      <c r="I1739" s="27">
        <v>9589.4</v>
      </c>
      <c r="J1739" s="27">
        <v>43348.02</v>
      </c>
      <c r="K1739" s="47">
        <f t="shared" si="217"/>
        <v>0.22329693490037147</v>
      </c>
      <c r="L1739" s="47">
        <f t="shared" si="218"/>
        <v>0.13240235655515525</v>
      </c>
      <c r="M1739" s="84">
        <f t="shared" si="219"/>
        <v>0.3556992914555267</v>
      </c>
      <c r="N1739" s="47">
        <f t="shared" si="220"/>
        <v>0.20236079987044395</v>
      </c>
      <c r="O1739" s="47">
        <f t="shared" si="221"/>
        <v>1.7334586447085704E-2</v>
      </c>
      <c r="P1739" s="47">
        <f t="shared" si="222"/>
        <v>0.2212188699737612</v>
      </c>
      <c r="Q1739" s="47">
        <f t="shared" si="223"/>
        <v>1</v>
      </c>
    </row>
    <row r="1740" spans="1:17" x14ac:dyDescent="0.35">
      <c r="A1740" s="82">
        <v>1737</v>
      </c>
      <c r="B1740" s="83" t="str">
        <f>_xlfn.XLOOKUP(A1740,'TAZs by City - CCAG Model'!$A:$A,'TAZs by City - CCAG Model'!$B:$B,"Unknown")</f>
        <v>San Francisco</v>
      </c>
      <c r="C1740" s="82">
        <f>_xlfn.XLOOKUP(A1740,'TAZs by City - CCAG Model'!$A:$A,'TAZs by City - CCAG Model'!$C:$C,999)</f>
        <v>1</v>
      </c>
      <c r="D1740" s="82" t="str">
        <f t="shared" si="216"/>
        <v>NO</v>
      </c>
      <c r="E1740" s="27">
        <v>8699.32</v>
      </c>
      <c r="F1740" s="27">
        <v>5032.72</v>
      </c>
      <c r="G1740" s="27">
        <v>7605.84</v>
      </c>
      <c r="H1740" s="27">
        <v>658.58</v>
      </c>
      <c r="I1740" s="27">
        <v>7539.5</v>
      </c>
      <c r="J1740" s="27">
        <v>37184.239999999998</v>
      </c>
      <c r="K1740" s="47">
        <f t="shared" si="217"/>
        <v>0.23395180323707032</v>
      </c>
      <c r="L1740" s="47">
        <f t="shared" si="218"/>
        <v>0.13534551196958713</v>
      </c>
      <c r="M1740" s="84">
        <f t="shared" si="219"/>
        <v>0.36929731520665748</v>
      </c>
      <c r="N1740" s="47">
        <f t="shared" si="220"/>
        <v>0.20454472109689484</v>
      </c>
      <c r="O1740" s="47">
        <f t="shared" si="221"/>
        <v>1.7711266923836552E-2</v>
      </c>
      <c r="P1740" s="47">
        <f t="shared" si="222"/>
        <v>0.20276063192363217</v>
      </c>
      <c r="Q1740" s="47">
        <f t="shared" si="223"/>
        <v>1</v>
      </c>
    </row>
    <row r="1741" spans="1:17" x14ac:dyDescent="0.35">
      <c r="A1741" s="82">
        <v>1738</v>
      </c>
      <c r="B1741" s="83" t="str">
        <f>_xlfn.XLOOKUP(A1741,'TAZs by City - CCAG Model'!$A:$A,'TAZs by City - CCAG Model'!$B:$B,"Unknown")</f>
        <v>San Francisco</v>
      </c>
      <c r="C1741" s="82">
        <f>_xlfn.XLOOKUP(A1741,'TAZs by City - CCAG Model'!$A:$A,'TAZs by City - CCAG Model'!$C:$C,999)</f>
        <v>1</v>
      </c>
      <c r="D1741" s="82" t="str">
        <f t="shared" si="216"/>
        <v>NO</v>
      </c>
      <c r="E1741" s="27">
        <v>8380.02</v>
      </c>
      <c r="F1741" s="27">
        <v>4499.12</v>
      </c>
      <c r="G1741" s="27">
        <v>4451.16</v>
      </c>
      <c r="H1741" s="27">
        <v>548.91999999999996</v>
      </c>
      <c r="I1741" s="27">
        <v>5613.54</v>
      </c>
      <c r="J1741" s="27">
        <v>27986.080000000002</v>
      </c>
      <c r="K1741" s="47">
        <f t="shared" si="217"/>
        <v>0.29943529068737029</v>
      </c>
      <c r="L1741" s="47">
        <f t="shared" si="218"/>
        <v>0.16076277921023593</v>
      </c>
      <c r="M1741" s="84">
        <f t="shared" si="219"/>
        <v>0.4601980698976062</v>
      </c>
      <c r="N1741" s="47">
        <f t="shared" si="220"/>
        <v>0.15904907010913996</v>
      </c>
      <c r="O1741" s="47">
        <f t="shared" si="221"/>
        <v>1.9614036692527138E-2</v>
      </c>
      <c r="P1741" s="47">
        <f t="shared" si="222"/>
        <v>0.20058328997844641</v>
      </c>
      <c r="Q1741" s="47">
        <f t="shared" si="223"/>
        <v>1</v>
      </c>
    </row>
    <row r="1742" spans="1:17" x14ac:dyDescent="0.35">
      <c r="A1742" s="82">
        <v>1739</v>
      </c>
      <c r="B1742" s="83" t="str">
        <f>_xlfn.XLOOKUP(A1742,'TAZs by City - CCAG Model'!$A:$A,'TAZs by City - CCAG Model'!$B:$B,"Unknown")</f>
        <v>San Francisco</v>
      </c>
      <c r="C1742" s="82">
        <f>_xlfn.XLOOKUP(A1742,'TAZs by City - CCAG Model'!$A:$A,'TAZs by City - CCAG Model'!$C:$C,999)</f>
        <v>1</v>
      </c>
      <c r="D1742" s="82" t="str">
        <f t="shared" si="216"/>
        <v>NO</v>
      </c>
      <c r="E1742" s="27">
        <v>8961.98</v>
      </c>
      <c r="F1742" s="27">
        <v>4902.3999999999996</v>
      </c>
      <c r="G1742" s="27">
        <v>3376.94</v>
      </c>
      <c r="H1742" s="27">
        <v>528.91999999999996</v>
      </c>
      <c r="I1742" s="27">
        <v>5271.58</v>
      </c>
      <c r="J1742" s="27">
        <v>26456.34</v>
      </c>
      <c r="K1742" s="47">
        <f t="shared" si="217"/>
        <v>0.33874602458238739</v>
      </c>
      <c r="L1742" s="47">
        <f t="shared" si="218"/>
        <v>0.18530151940895828</v>
      </c>
      <c r="M1742" s="84">
        <f t="shared" si="219"/>
        <v>0.52404754399134568</v>
      </c>
      <c r="N1742" s="47">
        <f t="shared" si="220"/>
        <v>0.12764199431969803</v>
      </c>
      <c r="O1742" s="47">
        <f t="shared" si="221"/>
        <v>1.9992183348112397E-2</v>
      </c>
      <c r="P1742" s="47">
        <f t="shared" si="222"/>
        <v>0.19925583054950155</v>
      </c>
      <c r="Q1742" s="47">
        <f t="shared" si="223"/>
        <v>1</v>
      </c>
    </row>
    <row r="1743" spans="1:17" x14ac:dyDescent="0.35">
      <c r="A1743" s="82">
        <v>1740</v>
      </c>
      <c r="B1743" s="83" t="str">
        <f>_xlfn.XLOOKUP(A1743,'TAZs by City - CCAG Model'!$A:$A,'TAZs by City - CCAG Model'!$B:$B,"Unknown")</f>
        <v>San Francisco</v>
      </c>
      <c r="C1743" s="82">
        <f>_xlfn.XLOOKUP(A1743,'TAZs by City - CCAG Model'!$A:$A,'TAZs by City - CCAG Model'!$C:$C,999)</f>
        <v>1</v>
      </c>
      <c r="D1743" s="82" t="str">
        <f t="shared" si="216"/>
        <v>NO</v>
      </c>
      <c r="E1743" s="27">
        <v>13290</v>
      </c>
      <c r="F1743" s="27">
        <v>6519.64</v>
      </c>
      <c r="G1743" s="27">
        <v>5975.58</v>
      </c>
      <c r="H1743" s="27">
        <v>806.6</v>
      </c>
      <c r="I1743" s="27">
        <v>5855.16</v>
      </c>
      <c r="J1743" s="27">
        <v>38463.440000000002</v>
      </c>
      <c r="K1743" s="47">
        <f t="shared" si="217"/>
        <v>0.34552291734696633</v>
      </c>
      <c r="L1743" s="47">
        <f t="shared" si="218"/>
        <v>0.16950225980827507</v>
      </c>
      <c r="M1743" s="84">
        <f t="shared" si="219"/>
        <v>0.51502517715524143</v>
      </c>
      <c r="N1743" s="47">
        <f t="shared" si="220"/>
        <v>0.15535739913018698</v>
      </c>
      <c r="O1743" s="47">
        <f t="shared" si="221"/>
        <v>2.0970563215354631E-2</v>
      </c>
      <c r="P1743" s="47">
        <f t="shared" si="222"/>
        <v>0.15222663391521921</v>
      </c>
      <c r="Q1743" s="47">
        <f t="shared" si="223"/>
        <v>1</v>
      </c>
    </row>
    <row r="1744" spans="1:17" x14ac:dyDescent="0.35">
      <c r="A1744" s="82">
        <v>1741</v>
      </c>
      <c r="B1744" s="83" t="str">
        <f>_xlfn.XLOOKUP(A1744,'TAZs by City - CCAG Model'!$A:$A,'TAZs by City - CCAG Model'!$B:$B,"Unknown")</f>
        <v>San Francisco</v>
      </c>
      <c r="C1744" s="82">
        <f>_xlfn.XLOOKUP(A1744,'TAZs by City - CCAG Model'!$A:$A,'TAZs by City - CCAG Model'!$C:$C,999)</f>
        <v>1</v>
      </c>
      <c r="D1744" s="82" t="str">
        <f t="shared" si="216"/>
        <v>NO</v>
      </c>
      <c r="E1744" s="27">
        <v>23987.88</v>
      </c>
      <c r="F1744" s="27">
        <v>10527.84</v>
      </c>
      <c r="G1744" s="27">
        <v>9051.36</v>
      </c>
      <c r="H1744" s="27">
        <v>1179.96</v>
      </c>
      <c r="I1744" s="27">
        <v>9850.82</v>
      </c>
      <c r="J1744" s="27">
        <v>63683.88</v>
      </c>
      <c r="K1744" s="47">
        <f t="shared" si="217"/>
        <v>0.37667114503701726</v>
      </c>
      <c r="L1744" s="47">
        <f t="shared" si="218"/>
        <v>0.16531404807621647</v>
      </c>
      <c r="M1744" s="84">
        <f t="shared" si="219"/>
        <v>0.54198519311323368</v>
      </c>
      <c r="N1744" s="47">
        <f t="shared" si="220"/>
        <v>0.14212953105244217</v>
      </c>
      <c r="O1744" s="47">
        <f t="shared" si="221"/>
        <v>1.8528393684555652E-2</v>
      </c>
      <c r="P1744" s="47">
        <f t="shared" si="222"/>
        <v>0.15468310033873564</v>
      </c>
      <c r="Q1744" s="47">
        <f t="shared" si="223"/>
        <v>1</v>
      </c>
    </row>
    <row r="1745" spans="1:17" x14ac:dyDescent="0.35">
      <c r="A1745" s="82">
        <v>1742</v>
      </c>
      <c r="B1745" s="83" t="str">
        <f>_xlfn.XLOOKUP(A1745,'TAZs by City - CCAG Model'!$A:$A,'TAZs by City - CCAG Model'!$B:$B,"Unknown")</f>
        <v>San Francisco</v>
      </c>
      <c r="C1745" s="82">
        <f>_xlfn.XLOOKUP(A1745,'TAZs by City - CCAG Model'!$A:$A,'TAZs by City - CCAG Model'!$C:$C,999)</f>
        <v>1</v>
      </c>
      <c r="D1745" s="82" t="str">
        <f t="shared" si="216"/>
        <v>NO</v>
      </c>
      <c r="E1745" s="27">
        <v>13071.18</v>
      </c>
      <c r="F1745" s="27">
        <v>9040.06</v>
      </c>
      <c r="G1745" s="27">
        <v>2276.98</v>
      </c>
      <c r="H1745" s="27">
        <v>0</v>
      </c>
      <c r="I1745" s="27">
        <v>0</v>
      </c>
      <c r="J1745" s="27">
        <v>26700.7</v>
      </c>
      <c r="K1745" s="47">
        <f t="shared" si="217"/>
        <v>0.48954446887160263</v>
      </c>
      <c r="L1745" s="47">
        <f t="shared" si="218"/>
        <v>0.33857014984625866</v>
      </c>
      <c r="M1745" s="84">
        <f t="shared" si="219"/>
        <v>0.82811461871786118</v>
      </c>
      <c r="N1745" s="47">
        <f t="shared" si="220"/>
        <v>8.5277914062178148E-2</v>
      </c>
      <c r="O1745" s="47">
        <f t="shared" si="221"/>
        <v>0</v>
      </c>
      <c r="P1745" s="47">
        <f t="shared" si="222"/>
        <v>0</v>
      </c>
      <c r="Q1745" s="47">
        <f t="shared" si="223"/>
        <v>1</v>
      </c>
    </row>
    <row r="1746" spans="1:17" x14ac:dyDescent="0.35">
      <c r="A1746" s="82">
        <v>1743</v>
      </c>
      <c r="B1746" s="83" t="str">
        <f>_xlfn.XLOOKUP(A1746,'TAZs by City - CCAG Model'!$A:$A,'TAZs by City - CCAG Model'!$B:$B,"Unknown")</f>
        <v>San Francisco</v>
      </c>
      <c r="C1746" s="82">
        <f>_xlfn.XLOOKUP(A1746,'TAZs by City - CCAG Model'!$A:$A,'TAZs by City - CCAG Model'!$C:$C,999)</f>
        <v>1</v>
      </c>
      <c r="D1746" s="82" t="str">
        <f t="shared" si="216"/>
        <v>NO</v>
      </c>
      <c r="E1746" s="27">
        <v>17309.580000000002</v>
      </c>
      <c r="F1746" s="27">
        <v>8169.04</v>
      </c>
      <c r="G1746" s="27">
        <v>3825.48</v>
      </c>
      <c r="H1746" s="27">
        <v>713.86</v>
      </c>
      <c r="I1746" s="27">
        <v>3762.34</v>
      </c>
      <c r="J1746" s="27">
        <v>37643</v>
      </c>
      <c r="K1746" s="47">
        <f t="shared" si="217"/>
        <v>0.45983529474271451</v>
      </c>
      <c r="L1746" s="47">
        <f t="shared" si="218"/>
        <v>0.21701352177031585</v>
      </c>
      <c r="M1746" s="84">
        <f t="shared" si="219"/>
        <v>0.67684881651303042</v>
      </c>
      <c r="N1746" s="47">
        <f t="shared" si="220"/>
        <v>0.10162526897431129</v>
      </c>
      <c r="O1746" s="47">
        <f t="shared" si="221"/>
        <v>1.8963950800945727E-2</v>
      </c>
      <c r="P1746" s="47">
        <f t="shared" si="222"/>
        <v>9.9947931886406507E-2</v>
      </c>
      <c r="Q1746" s="47">
        <f t="shared" si="223"/>
        <v>1</v>
      </c>
    </row>
    <row r="1747" spans="1:17" x14ac:dyDescent="0.35">
      <c r="A1747" s="82">
        <v>1744</v>
      </c>
      <c r="B1747" s="83" t="str">
        <f>_xlfn.XLOOKUP(A1747,'TAZs by City - CCAG Model'!$A:$A,'TAZs by City - CCAG Model'!$B:$B,"Unknown")</f>
        <v>San Francisco</v>
      </c>
      <c r="C1747" s="82">
        <f>_xlfn.XLOOKUP(A1747,'TAZs by City - CCAG Model'!$A:$A,'TAZs by City - CCAG Model'!$C:$C,999)</f>
        <v>1</v>
      </c>
      <c r="D1747" s="82" t="str">
        <f t="shared" si="216"/>
        <v>NO</v>
      </c>
      <c r="E1747" s="27">
        <v>18193.900000000001</v>
      </c>
      <c r="F1747" s="27">
        <v>8582.76</v>
      </c>
      <c r="G1747" s="27">
        <v>6472.3</v>
      </c>
      <c r="H1747" s="27">
        <v>1004.1</v>
      </c>
      <c r="I1747" s="27">
        <v>6575.38</v>
      </c>
      <c r="J1747" s="27">
        <v>47339.58</v>
      </c>
      <c r="K1747" s="47">
        <f t="shared" si="217"/>
        <v>0.38432744861699242</v>
      </c>
      <c r="L1747" s="47">
        <f t="shared" si="218"/>
        <v>0.18130198873754266</v>
      </c>
      <c r="M1747" s="84">
        <f t="shared" si="219"/>
        <v>0.56562943735453508</v>
      </c>
      <c r="N1747" s="47">
        <f t="shared" si="220"/>
        <v>0.13672068911469007</v>
      </c>
      <c r="O1747" s="47">
        <f t="shared" si="221"/>
        <v>2.1210581082468413E-2</v>
      </c>
      <c r="P1747" s="47">
        <f t="shared" si="222"/>
        <v>0.13889814823029692</v>
      </c>
      <c r="Q1747" s="47">
        <f t="shared" si="223"/>
        <v>1</v>
      </c>
    </row>
    <row r="1748" spans="1:17" x14ac:dyDescent="0.35">
      <c r="A1748" s="82">
        <v>1745</v>
      </c>
      <c r="B1748" s="83" t="str">
        <f>_xlfn.XLOOKUP(A1748,'TAZs by City - CCAG Model'!$A:$A,'TAZs by City - CCAG Model'!$B:$B,"Unknown")</f>
        <v>San Francisco</v>
      </c>
      <c r="C1748" s="82">
        <f>_xlfn.XLOOKUP(A1748,'TAZs by City - CCAG Model'!$A:$A,'TAZs by City - CCAG Model'!$C:$C,999)</f>
        <v>1</v>
      </c>
      <c r="D1748" s="82" t="str">
        <f t="shared" si="216"/>
        <v>NO</v>
      </c>
      <c r="E1748" s="27">
        <v>17231.28</v>
      </c>
      <c r="F1748" s="27">
        <v>8181.96</v>
      </c>
      <c r="G1748" s="27">
        <v>4566.8999999999996</v>
      </c>
      <c r="H1748" s="27">
        <v>689.3</v>
      </c>
      <c r="I1748" s="27">
        <v>4943.1000000000004</v>
      </c>
      <c r="J1748" s="27">
        <v>40218.94</v>
      </c>
      <c r="K1748" s="47">
        <f t="shared" si="217"/>
        <v>0.42843695035224694</v>
      </c>
      <c r="L1748" s="47">
        <f t="shared" si="218"/>
        <v>0.20343549581366391</v>
      </c>
      <c r="M1748" s="84">
        <f t="shared" si="219"/>
        <v>0.63187244616591076</v>
      </c>
      <c r="N1748" s="47">
        <f t="shared" si="220"/>
        <v>0.11355097871798708</v>
      </c>
      <c r="O1748" s="47">
        <f t="shared" si="221"/>
        <v>1.7138691372771134E-2</v>
      </c>
      <c r="P1748" s="47">
        <f t="shared" si="222"/>
        <v>0.12290478068293198</v>
      </c>
      <c r="Q1748" s="47">
        <f t="shared" si="223"/>
        <v>1</v>
      </c>
    </row>
    <row r="1749" spans="1:17" x14ac:dyDescent="0.35">
      <c r="A1749" s="82">
        <v>1746</v>
      </c>
      <c r="B1749" s="83" t="str">
        <f>_xlfn.XLOOKUP(A1749,'TAZs by City - CCAG Model'!$A:$A,'TAZs by City - CCAG Model'!$B:$B,"Unknown")</f>
        <v>San Francisco</v>
      </c>
      <c r="C1749" s="82">
        <f>_xlfn.XLOOKUP(A1749,'TAZs by City - CCAG Model'!$A:$A,'TAZs by City - CCAG Model'!$C:$C,999)</f>
        <v>1</v>
      </c>
      <c r="D1749" s="82" t="str">
        <f t="shared" si="216"/>
        <v>NO</v>
      </c>
      <c r="E1749" s="27">
        <v>17948.04</v>
      </c>
      <c r="F1749" s="27">
        <v>8461.56</v>
      </c>
      <c r="G1749" s="27">
        <v>6789.44</v>
      </c>
      <c r="H1749" s="27">
        <v>1068.8599999999999</v>
      </c>
      <c r="I1749" s="27">
        <v>8863.52</v>
      </c>
      <c r="J1749" s="27">
        <v>49963.42</v>
      </c>
      <c r="K1749" s="47">
        <f t="shared" si="217"/>
        <v>0.35922360799160669</v>
      </c>
      <c r="L1749" s="47">
        <f t="shared" si="218"/>
        <v>0.16935510019129996</v>
      </c>
      <c r="M1749" s="84">
        <f t="shared" si="219"/>
        <v>0.52857870818290664</v>
      </c>
      <c r="N1749" s="47">
        <f t="shared" si="220"/>
        <v>0.13588821581869295</v>
      </c>
      <c r="O1749" s="47">
        <f t="shared" si="221"/>
        <v>2.1392851009798767E-2</v>
      </c>
      <c r="P1749" s="47">
        <f t="shared" si="222"/>
        <v>0.17740018597606011</v>
      </c>
      <c r="Q1749" s="47">
        <f t="shared" si="223"/>
        <v>1</v>
      </c>
    </row>
    <row r="1750" spans="1:17" x14ac:dyDescent="0.35">
      <c r="A1750" s="82">
        <v>1747</v>
      </c>
      <c r="B1750" s="83" t="str">
        <f>_xlfn.XLOOKUP(A1750,'TAZs by City - CCAG Model'!$A:$A,'TAZs by City - CCAG Model'!$B:$B,"Unknown")</f>
        <v>San Francisco</v>
      </c>
      <c r="C1750" s="82">
        <f>_xlfn.XLOOKUP(A1750,'TAZs by City - CCAG Model'!$A:$A,'TAZs by City - CCAG Model'!$C:$C,999)</f>
        <v>1</v>
      </c>
      <c r="D1750" s="82" t="str">
        <f t="shared" si="216"/>
        <v>NO</v>
      </c>
      <c r="E1750" s="27">
        <v>15328.14</v>
      </c>
      <c r="F1750" s="27">
        <v>6454.24</v>
      </c>
      <c r="G1750" s="27">
        <v>5617.16</v>
      </c>
      <c r="H1750" s="27">
        <v>859.44</v>
      </c>
      <c r="I1750" s="27">
        <v>4390.12</v>
      </c>
      <c r="J1750" s="27">
        <v>38304.18</v>
      </c>
      <c r="K1750" s="47">
        <f t="shared" si="217"/>
        <v>0.40016885885561315</v>
      </c>
      <c r="L1750" s="47">
        <f t="shared" si="218"/>
        <v>0.16849962588939379</v>
      </c>
      <c r="M1750" s="84">
        <f t="shared" si="219"/>
        <v>0.56866848474500686</v>
      </c>
      <c r="N1750" s="47">
        <f t="shared" si="220"/>
        <v>0.14664613627024517</v>
      </c>
      <c r="O1750" s="47">
        <f t="shared" si="221"/>
        <v>2.243723792024787E-2</v>
      </c>
      <c r="P1750" s="47">
        <f t="shared" si="222"/>
        <v>0.11461203450902747</v>
      </c>
      <c r="Q1750" s="47">
        <f t="shared" si="223"/>
        <v>1</v>
      </c>
    </row>
    <row r="1751" spans="1:17" x14ac:dyDescent="0.35">
      <c r="A1751" s="82">
        <v>1748</v>
      </c>
      <c r="B1751" s="83" t="str">
        <f>_xlfn.XLOOKUP(A1751,'TAZs by City - CCAG Model'!$A:$A,'TAZs by City - CCAG Model'!$B:$B,"Unknown")</f>
        <v>San Francisco</v>
      </c>
      <c r="C1751" s="82">
        <f>_xlfn.XLOOKUP(A1751,'TAZs by City - CCAG Model'!$A:$A,'TAZs by City - CCAG Model'!$C:$C,999)</f>
        <v>1</v>
      </c>
      <c r="D1751" s="82" t="str">
        <f t="shared" si="216"/>
        <v>NO</v>
      </c>
      <c r="E1751" s="27">
        <v>9590.2999999999993</v>
      </c>
      <c r="F1751" s="27">
        <v>4594.66</v>
      </c>
      <c r="G1751" s="27">
        <v>2539.2600000000002</v>
      </c>
      <c r="H1751" s="27">
        <v>477.68</v>
      </c>
      <c r="I1751" s="27">
        <v>2581.92</v>
      </c>
      <c r="J1751" s="27">
        <v>22361.279999999999</v>
      </c>
      <c r="K1751" s="47">
        <f t="shared" si="217"/>
        <v>0.42887974212567437</v>
      </c>
      <c r="L1751" s="47">
        <f t="shared" si="218"/>
        <v>0.20547392635841955</v>
      </c>
      <c r="M1751" s="84">
        <f t="shared" si="219"/>
        <v>0.63435366848409391</v>
      </c>
      <c r="N1751" s="47">
        <f t="shared" si="220"/>
        <v>0.11355611127806639</v>
      </c>
      <c r="O1751" s="47">
        <f t="shared" si="221"/>
        <v>2.1361925614276106E-2</v>
      </c>
      <c r="P1751" s="47">
        <f t="shared" si="222"/>
        <v>0.11546387326664664</v>
      </c>
      <c r="Q1751" s="47">
        <f t="shared" si="223"/>
        <v>1</v>
      </c>
    </row>
    <row r="1752" spans="1:17" x14ac:dyDescent="0.35">
      <c r="A1752" s="82">
        <v>1749</v>
      </c>
      <c r="B1752" s="83" t="str">
        <f>_xlfn.XLOOKUP(A1752,'TAZs by City - CCAG Model'!$A:$A,'TAZs by City - CCAG Model'!$B:$B,"Unknown")</f>
        <v>San Francisco</v>
      </c>
      <c r="C1752" s="82">
        <f>_xlfn.XLOOKUP(A1752,'TAZs by City - CCAG Model'!$A:$A,'TAZs by City - CCAG Model'!$C:$C,999)</f>
        <v>1</v>
      </c>
      <c r="D1752" s="82" t="str">
        <f t="shared" si="216"/>
        <v>NO</v>
      </c>
      <c r="E1752" s="27">
        <v>13100.4</v>
      </c>
      <c r="F1752" s="27">
        <v>6699.86</v>
      </c>
      <c r="G1752" s="27">
        <v>2648.4</v>
      </c>
      <c r="H1752" s="27">
        <v>535.24</v>
      </c>
      <c r="I1752" s="27">
        <v>3433.84</v>
      </c>
      <c r="J1752" s="27">
        <v>29105.200000000001</v>
      </c>
      <c r="K1752" s="47">
        <f t="shared" si="217"/>
        <v>0.45010513585201267</v>
      </c>
      <c r="L1752" s="47">
        <f t="shared" si="218"/>
        <v>0.2301946044005882</v>
      </c>
      <c r="M1752" s="84">
        <f t="shared" si="219"/>
        <v>0.68029974025260087</v>
      </c>
      <c r="N1752" s="47">
        <f t="shared" si="220"/>
        <v>9.0994049173343597E-2</v>
      </c>
      <c r="O1752" s="47">
        <f t="shared" si="221"/>
        <v>1.838984099061336E-2</v>
      </c>
      <c r="P1752" s="47">
        <f t="shared" si="222"/>
        <v>0.11798029218146586</v>
      </c>
      <c r="Q1752" s="47">
        <f t="shared" si="223"/>
        <v>1</v>
      </c>
    </row>
    <row r="1753" spans="1:17" x14ac:dyDescent="0.35">
      <c r="A1753" s="82">
        <v>1750</v>
      </c>
      <c r="B1753" s="83" t="str">
        <f>_xlfn.XLOOKUP(A1753,'TAZs by City - CCAG Model'!$A:$A,'TAZs by City - CCAG Model'!$B:$B,"Unknown")</f>
        <v>San Francisco</v>
      </c>
      <c r="C1753" s="82">
        <f>_xlfn.XLOOKUP(A1753,'TAZs by City - CCAG Model'!$A:$A,'TAZs by City - CCAG Model'!$C:$C,999)</f>
        <v>1</v>
      </c>
      <c r="D1753" s="82" t="str">
        <f t="shared" si="216"/>
        <v>NO</v>
      </c>
      <c r="E1753" s="27">
        <v>17613.080000000002</v>
      </c>
      <c r="F1753" s="27">
        <v>8746.84</v>
      </c>
      <c r="G1753" s="27">
        <v>3326.48</v>
      </c>
      <c r="H1753" s="27">
        <v>607.54</v>
      </c>
      <c r="I1753" s="27">
        <v>3913.3</v>
      </c>
      <c r="J1753" s="27">
        <v>37574.54</v>
      </c>
      <c r="K1753" s="47">
        <f t="shared" si="217"/>
        <v>0.46875038257288049</v>
      </c>
      <c r="L1753" s="47">
        <f t="shared" si="218"/>
        <v>0.23278634948025978</v>
      </c>
      <c r="M1753" s="84">
        <f t="shared" si="219"/>
        <v>0.70153673205314027</v>
      </c>
      <c r="N1753" s="47">
        <f t="shared" si="220"/>
        <v>8.8530158985312926E-2</v>
      </c>
      <c r="O1753" s="47">
        <f t="shared" si="221"/>
        <v>1.6168927151203979E-2</v>
      </c>
      <c r="P1753" s="47">
        <f t="shared" si="222"/>
        <v>0.10414764891333333</v>
      </c>
      <c r="Q1753" s="47">
        <f t="shared" si="223"/>
        <v>1</v>
      </c>
    </row>
    <row r="1754" spans="1:17" x14ac:dyDescent="0.35">
      <c r="A1754" s="82">
        <v>1751</v>
      </c>
      <c r="B1754" s="83" t="str">
        <f>_xlfn.XLOOKUP(A1754,'TAZs by City - CCAG Model'!$A:$A,'TAZs by City - CCAG Model'!$B:$B,"Unknown")</f>
        <v>San Francisco</v>
      </c>
      <c r="C1754" s="82">
        <f>_xlfn.XLOOKUP(A1754,'TAZs by City - CCAG Model'!$A:$A,'TAZs by City - CCAG Model'!$C:$C,999)</f>
        <v>1</v>
      </c>
      <c r="D1754" s="82" t="str">
        <f t="shared" si="216"/>
        <v>NO</v>
      </c>
      <c r="E1754" s="27">
        <v>10185.700000000001</v>
      </c>
      <c r="F1754" s="27">
        <v>5060.16</v>
      </c>
      <c r="G1754" s="27">
        <v>2223.8000000000002</v>
      </c>
      <c r="H1754" s="27">
        <v>408.96</v>
      </c>
      <c r="I1754" s="27">
        <v>1587.54</v>
      </c>
      <c r="J1754" s="27">
        <v>21729</v>
      </c>
      <c r="K1754" s="47">
        <f t="shared" si="217"/>
        <v>0.46876064245938609</v>
      </c>
      <c r="L1754" s="47">
        <f t="shared" si="218"/>
        <v>0.23287588016015462</v>
      </c>
      <c r="M1754" s="84">
        <f t="shared" si="219"/>
        <v>0.70163652261954068</v>
      </c>
      <c r="N1754" s="47">
        <f t="shared" si="220"/>
        <v>0.10234249160108612</v>
      </c>
      <c r="O1754" s="47">
        <f t="shared" si="221"/>
        <v>1.8820930553637993E-2</v>
      </c>
      <c r="P1754" s="47">
        <f t="shared" si="222"/>
        <v>7.3060886373049846E-2</v>
      </c>
      <c r="Q1754" s="47">
        <f t="shared" si="223"/>
        <v>1</v>
      </c>
    </row>
    <row r="1755" spans="1:17" x14ac:dyDescent="0.35">
      <c r="A1755" s="82">
        <v>1752</v>
      </c>
      <c r="B1755" s="83" t="str">
        <f>_xlfn.XLOOKUP(A1755,'TAZs by City - CCAG Model'!$A:$A,'TAZs by City - CCAG Model'!$B:$B,"Unknown")</f>
        <v>San Francisco</v>
      </c>
      <c r="C1755" s="82">
        <f>_xlfn.XLOOKUP(A1755,'TAZs by City - CCAG Model'!$A:$A,'TAZs by City - CCAG Model'!$C:$C,999)</f>
        <v>1</v>
      </c>
      <c r="D1755" s="82" t="str">
        <f t="shared" si="216"/>
        <v>NO</v>
      </c>
      <c r="E1755" s="27">
        <v>9345.56</v>
      </c>
      <c r="F1755" s="27">
        <v>5243.24</v>
      </c>
      <c r="G1755" s="27">
        <v>1439.62</v>
      </c>
      <c r="H1755" s="27">
        <v>292.12</v>
      </c>
      <c r="I1755" s="27">
        <v>516.9</v>
      </c>
      <c r="J1755" s="27">
        <v>18314.400000000001</v>
      </c>
      <c r="K1755" s="47">
        <f t="shared" si="217"/>
        <v>0.51028480321495651</v>
      </c>
      <c r="L1755" s="47">
        <f t="shared" si="218"/>
        <v>0.28629056916961515</v>
      </c>
      <c r="M1755" s="84">
        <f t="shared" si="219"/>
        <v>0.79657537238457155</v>
      </c>
      <c r="N1755" s="47">
        <f t="shared" si="220"/>
        <v>7.860590573537761E-2</v>
      </c>
      <c r="O1755" s="47">
        <f t="shared" si="221"/>
        <v>1.5950290481806666E-2</v>
      </c>
      <c r="P1755" s="47">
        <f t="shared" si="222"/>
        <v>2.8223692831870002E-2</v>
      </c>
      <c r="Q1755" s="47">
        <f t="shared" si="223"/>
        <v>1</v>
      </c>
    </row>
    <row r="1756" spans="1:17" x14ac:dyDescent="0.35">
      <c r="A1756" s="82">
        <v>1753</v>
      </c>
      <c r="B1756" s="83" t="str">
        <f>_xlfn.XLOOKUP(A1756,'TAZs by City - CCAG Model'!$A:$A,'TAZs by City - CCAG Model'!$B:$B,"Unknown")</f>
        <v>San Francisco</v>
      </c>
      <c r="C1756" s="82">
        <f>_xlfn.XLOOKUP(A1756,'TAZs by City - CCAG Model'!$A:$A,'TAZs by City - CCAG Model'!$C:$C,999)</f>
        <v>1</v>
      </c>
      <c r="D1756" s="82" t="str">
        <f t="shared" si="216"/>
        <v>NO</v>
      </c>
      <c r="E1756" s="27">
        <v>3054.64</v>
      </c>
      <c r="F1756" s="27">
        <v>948.74</v>
      </c>
      <c r="G1756" s="27">
        <v>236.1</v>
      </c>
      <c r="H1756" s="27">
        <v>81.180000000000007</v>
      </c>
      <c r="I1756" s="27">
        <v>244.82</v>
      </c>
      <c r="J1756" s="27">
        <v>4834.3999999999996</v>
      </c>
      <c r="K1756" s="47">
        <f t="shared" si="217"/>
        <v>0.63185503888796957</v>
      </c>
      <c r="L1756" s="47">
        <f t="shared" si="218"/>
        <v>0.19624772464007945</v>
      </c>
      <c r="M1756" s="84">
        <f t="shared" si="219"/>
        <v>0.82810276352804901</v>
      </c>
      <c r="N1756" s="47">
        <f t="shared" si="220"/>
        <v>4.8837497931490982E-2</v>
      </c>
      <c r="O1756" s="47">
        <f t="shared" si="221"/>
        <v>1.6792156213801094E-2</v>
      </c>
      <c r="P1756" s="47">
        <f t="shared" si="222"/>
        <v>5.0641237795796795E-2</v>
      </c>
      <c r="Q1756" s="47">
        <f t="shared" si="223"/>
        <v>1</v>
      </c>
    </row>
    <row r="1757" spans="1:17" x14ac:dyDescent="0.35">
      <c r="A1757" s="82">
        <v>1754</v>
      </c>
      <c r="B1757" s="83" t="str">
        <f>_xlfn.XLOOKUP(A1757,'TAZs by City - CCAG Model'!$A:$A,'TAZs by City - CCAG Model'!$B:$B,"Unknown")</f>
        <v>San Francisco</v>
      </c>
      <c r="C1757" s="82">
        <f>_xlfn.XLOOKUP(A1757,'TAZs by City - CCAG Model'!$A:$A,'TAZs by City - CCAG Model'!$C:$C,999)</f>
        <v>1</v>
      </c>
      <c r="D1757" s="82" t="str">
        <f t="shared" si="216"/>
        <v>NO</v>
      </c>
      <c r="E1757" s="27">
        <v>16841.16</v>
      </c>
      <c r="F1757" s="27">
        <v>9479.1200000000008</v>
      </c>
      <c r="G1757" s="27">
        <v>2582.8000000000002</v>
      </c>
      <c r="H1757" s="27">
        <v>533.46</v>
      </c>
      <c r="I1757" s="27">
        <v>2277.14</v>
      </c>
      <c r="J1757" s="27">
        <v>34331.72</v>
      </c>
      <c r="K1757" s="47">
        <f t="shared" si="217"/>
        <v>0.4905422740253037</v>
      </c>
      <c r="L1757" s="47">
        <f t="shared" si="218"/>
        <v>0.27610384798664328</v>
      </c>
      <c r="M1757" s="84">
        <f t="shared" si="219"/>
        <v>0.76664612201194693</v>
      </c>
      <c r="N1757" s="47">
        <f t="shared" si="220"/>
        <v>7.5230719579444313E-2</v>
      </c>
      <c r="O1757" s="47">
        <f t="shared" si="221"/>
        <v>1.5538400056857041E-2</v>
      </c>
      <c r="P1757" s="47">
        <f t="shared" si="222"/>
        <v>6.6327582771850635E-2</v>
      </c>
      <c r="Q1757" s="47">
        <f t="shared" si="223"/>
        <v>1</v>
      </c>
    </row>
    <row r="1758" spans="1:17" x14ac:dyDescent="0.35">
      <c r="A1758" s="82">
        <v>1755</v>
      </c>
      <c r="B1758" s="83" t="str">
        <f>_xlfn.XLOOKUP(A1758,'TAZs by City - CCAG Model'!$A:$A,'TAZs by City - CCAG Model'!$B:$B,"Unknown")</f>
        <v>San Francisco</v>
      </c>
      <c r="C1758" s="82">
        <f>_xlfn.XLOOKUP(A1758,'TAZs by City - CCAG Model'!$A:$A,'TAZs by City - CCAG Model'!$C:$C,999)</f>
        <v>1</v>
      </c>
      <c r="D1758" s="82" t="str">
        <f t="shared" si="216"/>
        <v>NO</v>
      </c>
      <c r="E1758" s="27">
        <v>8105.12</v>
      </c>
      <c r="F1758" s="27">
        <v>4744.74</v>
      </c>
      <c r="G1758" s="27">
        <v>1663.58</v>
      </c>
      <c r="H1758" s="27">
        <v>268.58</v>
      </c>
      <c r="I1758" s="27">
        <v>1210.76</v>
      </c>
      <c r="J1758" s="27">
        <v>17691.759999999998</v>
      </c>
      <c r="K1758" s="47">
        <f t="shared" si="217"/>
        <v>0.45812966036165992</v>
      </c>
      <c r="L1758" s="47">
        <f t="shared" si="218"/>
        <v>0.26818925872835719</v>
      </c>
      <c r="M1758" s="84">
        <f t="shared" si="219"/>
        <v>0.72631891909001711</v>
      </c>
      <c r="N1758" s="47">
        <f t="shared" si="220"/>
        <v>9.4031345666004976E-2</v>
      </c>
      <c r="O1758" s="47">
        <f t="shared" si="221"/>
        <v>1.5181078649043398E-2</v>
      </c>
      <c r="P1758" s="47">
        <f t="shared" si="222"/>
        <v>6.8436379421832547E-2</v>
      </c>
      <c r="Q1758" s="47">
        <f t="shared" si="223"/>
        <v>1</v>
      </c>
    </row>
    <row r="1759" spans="1:17" x14ac:dyDescent="0.35">
      <c r="A1759" s="82">
        <v>1756</v>
      </c>
      <c r="B1759" s="83" t="str">
        <f>_xlfn.XLOOKUP(A1759,'TAZs by City - CCAG Model'!$A:$A,'TAZs by City - CCAG Model'!$B:$B,"Unknown")</f>
        <v>San Francisco</v>
      </c>
      <c r="C1759" s="82">
        <f>_xlfn.XLOOKUP(A1759,'TAZs by City - CCAG Model'!$A:$A,'TAZs by City - CCAG Model'!$C:$C,999)</f>
        <v>1</v>
      </c>
      <c r="D1759" s="82" t="str">
        <f t="shared" si="216"/>
        <v>NO</v>
      </c>
      <c r="E1759" s="27">
        <v>5671.82</v>
      </c>
      <c r="F1759" s="27">
        <v>1744.4</v>
      </c>
      <c r="G1759" s="27">
        <v>359.64</v>
      </c>
      <c r="H1759" s="27">
        <v>126.24</v>
      </c>
      <c r="I1759" s="27">
        <v>507.68</v>
      </c>
      <c r="J1759" s="27">
        <v>8802.9599999999991</v>
      </c>
      <c r="K1759" s="47">
        <f t="shared" si="217"/>
        <v>0.64430827812463087</v>
      </c>
      <c r="L1759" s="47">
        <f t="shared" si="218"/>
        <v>0.19816061870098242</v>
      </c>
      <c r="M1759" s="84">
        <f t="shared" si="219"/>
        <v>0.84246889682561321</v>
      </c>
      <c r="N1759" s="47">
        <f t="shared" si="220"/>
        <v>4.0854439870225474E-2</v>
      </c>
      <c r="O1759" s="47">
        <f t="shared" si="221"/>
        <v>1.4340630878704437E-2</v>
      </c>
      <c r="P1759" s="47">
        <f t="shared" si="222"/>
        <v>5.7671510491925447E-2</v>
      </c>
      <c r="Q1759" s="47">
        <f t="shared" si="223"/>
        <v>1</v>
      </c>
    </row>
    <row r="1760" spans="1:17" x14ac:dyDescent="0.35">
      <c r="A1760" s="82">
        <v>1757</v>
      </c>
      <c r="B1760" s="83" t="str">
        <f>_xlfn.XLOOKUP(A1760,'TAZs by City - CCAG Model'!$A:$A,'TAZs by City - CCAG Model'!$B:$B,"Unknown")</f>
        <v>San Francisco</v>
      </c>
      <c r="C1760" s="82">
        <f>_xlfn.XLOOKUP(A1760,'TAZs by City - CCAG Model'!$A:$A,'TAZs by City - CCAG Model'!$C:$C,999)</f>
        <v>1</v>
      </c>
      <c r="D1760" s="82" t="str">
        <f t="shared" si="216"/>
        <v>NO</v>
      </c>
      <c r="E1760" s="27">
        <v>6263.12</v>
      </c>
      <c r="F1760" s="27">
        <v>3932.78</v>
      </c>
      <c r="G1760" s="27">
        <v>623.05999999999995</v>
      </c>
      <c r="H1760" s="27">
        <v>156.78</v>
      </c>
      <c r="I1760" s="27">
        <v>816.64</v>
      </c>
      <c r="J1760" s="27">
        <v>12452.98</v>
      </c>
      <c r="K1760" s="47">
        <f t="shared" si="217"/>
        <v>0.50294146461328937</v>
      </c>
      <c r="L1760" s="47">
        <f t="shared" si="218"/>
        <v>0.31581035222091419</v>
      </c>
      <c r="M1760" s="84">
        <f t="shared" si="219"/>
        <v>0.81875181683420351</v>
      </c>
      <c r="N1760" s="47">
        <f t="shared" si="220"/>
        <v>5.0033004148404635E-2</v>
      </c>
      <c r="O1760" s="47">
        <f t="shared" si="221"/>
        <v>1.2589757632309696E-2</v>
      </c>
      <c r="P1760" s="47">
        <f t="shared" si="222"/>
        <v>6.5577877744925309E-2</v>
      </c>
      <c r="Q1760" s="47">
        <f t="shared" si="223"/>
        <v>1</v>
      </c>
    </row>
    <row r="1761" spans="1:17" x14ac:dyDescent="0.35">
      <c r="A1761" s="82">
        <v>1758</v>
      </c>
      <c r="B1761" s="83" t="str">
        <f>_xlfn.XLOOKUP(A1761,'TAZs by City - CCAG Model'!$A:$A,'TAZs by City - CCAG Model'!$B:$B,"Unknown")</f>
        <v>San Francisco</v>
      </c>
      <c r="C1761" s="82">
        <f>_xlfn.XLOOKUP(A1761,'TAZs by City - CCAG Model'!$A:$A,'TAZs by City - CCAG Model'!$C:$C,999)</f>
        <v>1</v>
      </c>
      <c r="D1761" s="82" t="str">
        <f t="shared" si="216"/>
        <v>NO</v>
      </c>
      <c r="E1761" s="27">
        <v>14427.86</v>
      </c>
      <c r="F1761" s="27">
        <v>7795.76</v>
      </c>
      <c r="G1761" s="27">
        <v>3299.08</v>
      </c>
      <c r="H1761" s="27">
        <v>546.96</v>
      </c>
      <c r="I1761" s="27">
        <v>2667.7</v>
      </c>
      <c r="J1761" s="27">
        <v>32072.54</v>
      </c>
      <c r="K1761" s="47">
        <f t="shared" si="217"/>
        <v>0.44985086931063145</v>
      </c>
      <c r="L1761" s="47">
        <f t="shared" si="218"/>
        <v>0.24306649863091603</v>
      </c>
      <c r="M1761" s="84">
        <f t="shared" si="219"/>
        <v>0.69291736794154757</v>
      </c>
      <c r="N1761" s="47">
        <f t="shared" si="220"/>
        <v>0.10286307227304105</v>
      </c>
      <c r="O1761" s="47">
        <f t="shared" si="221"/>
        <v>1.7053841074015343E-2</v>
      </c>
      <c r="P1761" s="47">
        <f t="shared" si="222"/>
        <v>8.3177072972704991E-2</v>
      </c>
      <c r="Q1761" s="47">
        <f t="shared" si="223"/>
        <v>1</v>
      </c>
    </row>
    <row r="1762" spans="1:17" x14ac:dyDescent="0.35">
      <c r="A1762" s="82">
        <v>1759</v>
      </c>
      <c r="B1762" s="83" t="str">
        <f>_xlfn.XLOOKUP(A1762,'TAZs by City - CCAG Model'!$A:$A,'TAZs by City - CCAG Model'!$B:$B,"Unknown")</f>
        <v>San Francisco</v>
      </c>
      <c r="C1762" s="82">
        <f>_xlfn.XLOOKUP(A1762,'TAZs by City - CCAG Model'!$A:$A,'TAZs by City - CCAG Model'!$C:$C,999)</f>
        <v>1</v>
      </c>
      <c r="D1762" s="82" t="str">
        <f t="shared" si="216"/>
        <v>NO</v>
      </c>
      <c r="E1762" s="27">
        <v>16989.900000000001</v>
      </c>
      <c r="F1762" s="27">
        <v>10344.34</v>
      </c>
      <c r="G1762" s="27">
        <v>4174.82</v>
      </c>
      <c r="H1762" s="27">
        <v>692.54</v>
      </c>
      <c r="I1762" s="27">
        <v>3554.82</v>
      </c>
      <c r="J1762" s="27">
        <v>39967.379999999997</v>
      </c>
      <c r="K1762" s="47">
        <f t="shared" si="217"/>
        <v>0.42509416429097935</v>
      </c>
      <c r="L1762" s="47">
        <f t="shared" si="218"/>
        <v>0.25881956735717981</v>
      </c>
      <c r="M1762" s="84">
        <f t="shared" si="219"/>
        <v>0.68391373164815916</v>
      </c>
      <c r="N1762" s="47">
        <f t="shared" si="220"/>
        <v>0.10445568360998395</v>
      </c>
      <c r="O1762" s="47">
        <f t="shared" si="221"/>
        <v>1.7327630682821841E-2</v>
      </c>
      <c r="P1762" s="47">
        <f t="shared" si="222"/>
        <v>8.8943033043446945E-2</v>
      </c>
      <c r="Q1762" s="47">
        <f t="shared" si="223"/>
        <v>1</v>
      </c>
    </row>
    <row r="1763" spans="1:17" x14ac:dyDescent="0.35">
      <c r="A1763" s="82">
        <v>1760</v>
      </c>
      <c r="B1763" s="83" t="str">
        <f>_xlfn.XLOOKUP(A1763,'TAZs by City - CCAG Model'!$A:$A,'TAZs by City - CCAG Model'!$B:$B,"Unknown")</f>
        <v>San Francisco</v>
      </c>
      <c r="C1763" s="82">
        <f>_xlfn.XLOOKUP(A1763,'TAZs by City - CCAG Model'!$A:$A,'TAZs by City - CCAG Model'!$C:$C,999)</f>
        <v>1</v>
      </c>
      <c r="D1763" s="82" t="str">
        <f t="shared" si="216"/>
        <v>NO</v>
      </c>
      <c r="E1763" s="27">
        <v>6934.72</v>
      </c>
      <c r="F1763" s="27">
        <v>4442.7</v>
      </c>
      <c r="G1763" s="27">
        <v>1714.78</v>
      </c>
      <c r="H1763" s="27">
        <v>265.95999999999998</v>
      </c>
      <c r="I1763" s="27">
        <v>1133.96</v>
      </c>
      <c r="J1763" s="27">
        <v>16239.08</v>
      </c>
      <c r="K1763" s="47">
        <f t="shared" si="217"/>
        <v>0.42703897018796633</v>
      </c>
      <c r="L1763" s="47">
        <f t="shared" si="218"/>
        <v>0.27358076935392889</v>
      </c>
      <c r="M1763" s="84">
        <f t="shared" si="219"/>
        <v>0.70061973954189527</v>
      </c>
      <c r="N1763" s="47">
        <f t="shared" si="220"/>
        <v>0.10559588351064222</v>
      </c>
      <c r="O1763" s="47">
        <f t="shared" si="221"/>
        <v>1.6377775095633495E-2</v>
      </c>
      <c r="P1763" s="47">
        <f t="shared" si="222"/>
        <v>6.982907898723327E-2</v>
      </c>
      <c r="Q1763" s="47">
        <f t="shared" si="223"/>
        <v>1</v>
      </c>
    </row>
    <row r="1764" spans="1:17" x14ac:dyDescent="0.35">
      <c r="A1764" s="82">
        <v>1761</v>
      </c>
      <c r="B1764" s="83" t="str">
        <f>_xlfn.XLOOKUP(A1764,'TAZs by City - CCAG Model'!$A:$A,'TAZs by City - CCAG Model'!$B:$B,"Unknown")</f>
        <v>San Francisco</v>
      </c>
      <c r="C1764" s="82">
        <f>_xlfn.XLOOKUP(A1764,'TAZs by City - CCAG Model'!$A:$A,'TAZs by City - CCAG Model'!$C:$C,999)</f>
        <v>1</v>
      </c>
      <c r="D1764" s="82" t="str">
        <f t="shared" si="216"/>
        <v>NO</v>
      </c>
      <c r="E1764" s="27">
        <v>8947.4599999999991</v>
      </c>
      <c r="F1764" s="27">
        <v>5209.26</v>
      </c>
      <c r="G1764" s="27">
        <v>2669.38</v>
      </c>
      <c r="H1764" s="27">
        <v>371.22</v>
      </c>
      <c r="I1764" s="27">
        <v>1603.94</v>
      </c>
      <c r="J1764" s="27">
        <v>21507.64</v>
      </c>
      <c r="K1764" s="47">
        <f t="shared" si="217"/>
        <v>0.41601310046104545</v>
      </c>
      <c r="L1764" s="47">
        <f t="shared" si="218"/>
        <v>0.24220509549164856</v>
      </c>
      <c r="M1764" s="84">
        <f t="shared" si="219"/>
        <v>0.65821819595269404</v>
      </c>
      <c r="N1764" s="47">
        <f t="shared" si="220"/>
        <v>0.12411310585447777</v>
      </c>
      <c r="O1764" s="47">
        <f t="shared" si="221"/>
        <v>1.7259913221534303E-2</v>
      </c>
      <c r="P1764" s="47">
        <f t="shared" si="222"/>
        <v>7.4575360197585608E-2</v>
      </c>
      <c r="Q1764" s="47">
        <f t="shared" si="223"/>
        <v>1</v>
      </c>
    </row>
    <row r="1765" spans="1:17" x14ac:dyDescent="0.35">
      <c r="A1765" s="82">
        <v>1762</v>
      </c>
      <c r="B1765" s="83" t="str">
        <f>_xlfn.XLOOKUP(A1765,'TAZs by City - CCAG Model'!$A:$A,'TAZs by City - CCAG Model'!$B:$B,"Unknown")</f>
        <v>San Francisco</v>
      </c>
      <c r="C1765" s="82">
        <f>_xlfn.XLOOKUP(A1765,'TAZs by City - CCAG Model'!$A:$A,'TAZs by City - CCAG Model'!$C:$C,999)</f>
        <v>1</v>
      </c>
      <c r="D1765" s="82" t="str">
        <f t="shared" si="216"/>
        <v>NO</v>
      </c>
      <c r="E1765" s="27">
        <v>19370.78</v>
      </c>
      <c r="F1765" s="27">
        <v>10800.86</v>
      </c>
      <c r="G1765" s="27">
        <v>4241.66</v>
      </c>
      <c r="H1765" s="27">
        <v>717.04</v>
      </c>
      <c r="I1765" s="27">
        <v>3566.84</v>
      </c>
      <c r="J1765" s="27">
        <v>42974.36</v>
      </c>
      <c r="K1765" s="47">
        <f t="shared" si="217"/>
        <v>0.4507520298149873</v>
      </c>
      <c r="L1765" s="47">
        <f t="shared" si="218"/>
        <v>0.25133265509945929</v>
      </c>
      <c r="M1765" s="84">
        <f t="shared" si="219"/>
        <v>0.70208468491444664</v>
      </c>
      <c r="N1765" s="47">
        <f t="shared" si="220"/>
        <v>9.870210981617876E-2</v>
      </c>
      <c r="O1765" s="47">
        <f t="shared" si="221"/>
        <v>1.6685297931138474E-2</v>
      </c>
      <c r="P1765" s="47">
        <f t="shared" si="222"/>
        <v>8.2999258162308881E-2</v>
      </c>
      <c r="Q1765" s="47">
        <f t="shared" si="223"/>
        <v>1</v>
      </c>
    </row>
    <row r="1766" spans="1:17" x14ac:dyDescent="0.35">
      <c r="A1766" s="82">
        <v>1763</v>
      </c>
      <c r="B1766" s="83" t="str">
        <f>_xlfn.XLOOKUP(A1766,'TAZs by City - CCAG Model'!$A:$A,'TAZs by City - CCAG Model'!$B:$B,"Unknown")</f>
        <v>San Francisco</v>
      </c>
      <c r="C1766" s="82">
        <f>_xlfn.XLOOKUP(A1766,'TAZs by City - CCAG Model'!$A:$A,'TAZs by City - CCAG Model'!$C:$C,999)</f>
        <v>1</v>
      </c>
      <c r="D1766" s="82" t="str">
        <f t="shared" si="216"/>
        <v>NO</v>
      </c>
      <c r="E1766" s="27">
        <v>11662.12</v>
      </c>
      <c r="F1766" s="27">
        <v>6903.08</v>
      </c>
      <c r="G1766" s="27">
        <v>2615.7399999999998</v>
      </c>
      <c r="H1766" s="27">
        <v>471.26</v>
      </c>
      <c r="I1766" s="27">
        <v>1916.84</v>
      </c>
      <c r="J1766" s="27">
        <v>26222.52</v>
      </c>
      <c r="K1766" s="47">
        <f t="shared" si="217"/>
        <v>0.4447368140056715</v>
      </c>
      <c r="L1766" s="47">
        <f t="shared" si="218"/>
        <v>0.26325006139760787</v>
      </c>
      <c r="M1766" s="84">
        <f t="shared" si="219"/>
        <v>0.70798687540327931</v>
      </c>
      <c r="N1766" s="47">
        <f t="shared" si="220"/>
        <v>9.9751663837037777E-2</v>
      </c>
      <c r="O1766" s="47">
        <f t="shared" si="221"/>
        <v>1.7971575577023106E-2</v>
      </c>
      <c r="P1766" s="47">
        <f t="shared" si="222"/>
        <v>7.3099000401181877E-2</v>
      </c>
      <c r="Q1766" s="47">
        <f t="shared" si="223"/>
        <v>1</v>
      </c>
    </row>
    <row r="1767" spans="1:17" x14ac:dyDescent="0.35">
      <c r="A1767" s="82">
        <v>1764</v>
      </c>
      <c r="B1767" s="83" t="str">
        <f>_xlfn.XLOOKUP(A1767,'TAZs by City - CCAG Model'!$A:$A,'TAZs by City - CCAG Model'!$B:$B,"Unknown")</f>
        <v>San Francisco</v>
      </c>
      <c r="C1767" s="82">
        <f>_xlfn.XLOOKUP(A1767,'TAZs by City - CCAG Model'!$A:$A,'TAZs by City - CCAG Model'!$C:$C,999)</f>
        <v>1</v>
      </c>
      <c r="D1767" s="82" t="str">
        <f t="shared" si="216"/>
        <v>NO</v>
      </c>
      <c r="E1767" s="27">
        <v>14614.56</v>
      </c>
      <c r="F1767" s="27">
        <v>8451.7000000000007</v>
      </c>
      <c r="G1767" s="27">
        <v>3199.62</v>
      </c>
      <c r="H1767" s="27">
        <v>607.29999999999995</v>
      </c>
      <c r="I1767" s="27">
        <v>2582.2399999999998</v>
      </c>
      <c r="J1767" s="27">
        <v>32690.799999999999</v>
      </c>
      <c r="K1767" s="47">
        <f t="shared" si="217"/>
        <v>0.44705421708859983</v>
      </c>
      <c r="L1767" s="47">
        <f t="shared" si="218"/>
        <v>0.25853451123863597</v>
      </c>
      <c r="M1767" s="84">
        <f t="shared" si="219"/>
        <v>0.70558872832723585</v>
      </c>
      <c r="N1767" s="47">
        <f t="shared" si="220"/>
        <v>9.7875243187685826E-2</v>
      </c>
      <c r="O1767" s="47">
        <f t="shared" si="221"/>
        <v>1.8577092025891074E-2</v>
      </c>
      <c r="P1767" s="47">
        <f t="shared" si="222"/>
        <v>7.8989807529947262E-2</v>
      </c>
      <c r="Q1767" s="47">
        <f t="shared" si="223"/>
        <v>1</v>
      </c>
    </row>
    <row r="1768" spans="1:17" x14ac:dyDescent="0.35">
      <c r="A1768" s="82">
        <v>1765</v>
      </c>
      <c r="B1768" s="83" t="str">
        <f>_xlfn.XLOOKUP(A1768,'TAZs by City - CCAG Model'!$A:$A,'TAZs by City - CCAG Model'!$B:$B,"Unknown")</f>
        <v>San Francisco</v>
      </c>
      <c r="C1768" s="82">
        <f>_xlfn.XLOOKUP(A1768,'TAZs by City - CCAG Model'!$A:$A,'TAZs by City - CCAG Model'!$C:$C,999)</f>
        <v>1</v>
      </c>
      <c r="D1768" s="82" t="str">
        <f t="shared" si="216"/>
        <v>NO</v>
      </c>
      <c r="E1768" s="27">
        <v>18533.259999999998</v>
      </c>
      <c r="F1768" s="27">
        <v>10206.76</v>
      </c>
      <c r="G1768" s="27">
        <v>3658.62</v>
      </c>
      <c r="H1768" s="27">
        <v>627.32000000000005</v>
      </c>
      <c r="I1768" s="27">
        <v>3334.26</v>
      </c>
      <c r="J1768" s="27">
        <v>40053.74</v>
      </c>
      <c r="K1768" s="47">
        <f t="shared" si="217"/>
        <v>0.46270984931744202</v>
      </c>
      <c r="L1768" s="47">
        <f t="shared" si="218"/>
        <v>0.25482664040861103</v>
      </c>
      <c r="M1768" s="84">
        <f t="shared" si="219"/>
        <v>0.717536489726053</v>
      </c>
      <c r="N1768" s="47">
        <f t="shared" si="220"/>
        <v>9.134278097376175E-2</v>
      </c>
      <c r="O1768" s="47">
        <f t="shared" si="221"/>
        <v>1.5661958159213098E-2</v>
      </c>
      <c r="P1768" s="47">
        <f t="shared" si="222"/>
        <v>8.3244660798217601E-2</v>
      </c>
      <c r="Q1768" s="47">
        <f t="shared" si="223"/>
        <v>1</v>
      </c>
    </row>
    <row r="1769" spans="1:17" x14ac:dyDescent="0.35">
      <c r="A1769" s="82">
        <v>1766</v>
      </c>
      <c r="B1769" s="83" t="str">
        <f>_xlfn.XLOOKUP(A1769,'TAZs by City - CCAG Model'!$A:$A,'TAZs by City - CCAG Model'!$B:$B,"Unknown")</f>
        <v>San Francisco</v>
      </c>
      <c r="C1769" s="82">
        <f>_xlfn.XLOOKUP(A1769,'TAZs by City - CCAG Model'!$A:$A,'TAZs by City - CCAG Model'!$C:$C,999)</f>
        <v>1</v>
      </c>
      <c r="D1769" s="82" t="str">
        <f t="shared" si="216"/>
        <v>NO</v>
      </c>
      <c r="E1769" s="27">
        <v>15602.94</v>
      </c>
      <c r="F1769" s="27">
        <v>8460.42</v>
      </c>
      <c r="G1769" s="27">
        <v>2847.78</v>
      </c>
      <c r="H1769" s="27">
        <v>530.84</v>
      </c>
      <c r="I1769" s="27">
        <v>2931.62</v>
      </c>
      <c r="J1769" s="27">
        <v>33257.06</v>
      </c>
      <c r="K1769" s="47">
        <f t="shared" si="217"/>
        <v>0.46916173588404991</v>
      </c>
      <c r="L1769" s="47">
        <f t="shared" si="218"/>
        <v>0.25439470596619185</v>
      </c>
      <c r="M1769" s="84">
        <f t="shared" si="219"/>
        <v>0.72355644185024182</v>
      </c>
      <c r="N1769" s="47">
        <f t="shared" si="220"/>
        <v>8.5629337049035609E-2</v>
      </c>
      <c r="O1769" s="47">
        <f t="shared" si="221"/>
        <v>1.5961723615978082E-2</v>
      </c>
      <c r="P1769" s="47">
        <f t="shared" si="222"/>
        <v>8.8150305529111711E-2</v>
      </c>
      <c r="Q1769" s="47">
        <f t="shared" si="223"/>
        <v>1</v>
      </c>
    </row>
    <row r="1770" spans="1:17" x14ac:dyDescent="0.35">
      <c r="A1770" s="82">
        <v>1767</v>
      </c>
      <c r="B1770" s="83" t="str">
        <f>_xlfn.XLOOKUP(A1770,'TAZs by City - CCAG Model'!$A:$A,'TAZs by City - CCAG Model'!$B:$B,"Unknown")</f>
        <v>San Francisco</v>
      </c>
      <c r="C1770" s="82">
        <f>_xlfn.XLOOKUP(A1770,'TAZs by City - CCAG Model'!$A:$A,'TAZs by City - CCAG Model'!$C:$C,999)</f>
        <v>1</v>
      </c>
      <c r="D1770" s="82" t="str">
        <f t="shared" si="216"/>
        <v>NO</v>
      </c>
      <c r="E1770" s="27">
        <v>10679.8</v>
      </c>
      <c r="F1770" s="27">
        <v>6176.74</v>
      </c>
      <c r="G1770" s="27">
        <v>3250.06</v>
      </c>
      <c r="H1770" s="27">
        <v>535.86</v>
      </c>
      <c r="I1770" s="27">
        <v>2560.02</v>
      </c>
      <c r="J1770" s="27">
        <v>26490.58</v>
      </c>
      <c r="K1770" s="47">
        <f t="shared" si="217"/>
        <v>0.40315463081593528</v>
      </c>
      <c r="L1770" s="47">
        <f t="shared" si="218"/>
        <v>0.23316741271803032</v>
      </c>
      <c r="M1770" s="84">
        <f t="shared" si="219"/>
        <v>0.6363220435339656</v>
      </c>
      <c r="N1770" s="47">
        <f t="shared" si="220"/>
        <v>0.12268738547815865</v>
      </c>
      <c r="O1770" s="47">
        <f t="shared" si="221"/>
        <v>2.0228322671681783E-2</v>
      </c>
      <c r="P1770" s="47">
        <f t="shared" si="222"/>
        <v>9.6638880688909037E-2</v>
      </c>
      <c r="Q1770" s="47">
        <f t="shared" si="223"/>
        <v>1</v>
      </c>
    </row>
    <row r="1771" spans="1:17" x14ac:dyDescent="0.35">
      <c r="A1771" s="82">
        <v>1768</v>
      </c>
      <c r="B1771" s="83" t="str">
        <f>_xlfn.XLOOKUP(A1771,'TAZs by City - CCAG Model'!$A:$A,'TAZs by City - CCAG Model'!$B:$B,"Unknown")</f>
        <v>San Francisco</v>
      </c>
      <c r="C1771" s="82">
        <f>_xlfn.XLOOKUP(A1771,'TAZs by City - CCAG Model'!$A:$A,'TAZs by City - CCAG Model'!$C:$C,999)</f>
        <v>1</v>
      </c>
      <c r="D1771" s="82" t="str">
        <f t="shared" si="216"/>
        <v>NO</v>
      </c>
      <c r="E1771" s="27">
        <v>6837.5</v>
      </c>
      <c r="F1771" s="27">
        <v>3694.14</v>
      </c>
      <c r="G1771" s="27">
        <v>1493.98</v>
      </c>
      <c r="H1771" s="27">
        <v>281.52</v>
      </c>
      <c r="I1771" s="27">
        <v>1496.76</v>
      </c>
      <c r="J1771" s="27">
        <v>15333.84</v>
      </c>
      <c r="K1771" s="47">
        <f t="shared" si="217"/>
        <v>0.4459091786532271</v>
      </c>
      <c r="L1771" s="47">
        <f t="shared" si="218"/>
        <v>0.24091421326947457</v>
      </c>
      <c r="M1771" s="84">
        <f t="shared" si="219"/>
        <v>0.68682339192270159</v>
      </c>
      <c r="N1771" s="47">
        <f t="shared" si="220"/>
        <v>9.743025882623009E-2</v>
      </c>
      <c r="O1771" s="47">
        <f t="shared" si="221"/>
        <v>1.8359393341785227E-2</v>
      </c>
      <c r="P1771" s="47">
        <f t="shared" si="222"/>
        <v>9.7611557183327854E-2</v>
      </c>
      <c r="Q1771" s="47">
        <f t="shared" si="223"/>
        <v>1</v>
      </c>
    </row>
    <row r="1772" spans="1:17" x14ac:dyDescent="0.35">
      <c r="A1772" s="82">
        <v>1769</v>
      </c>
      <c r="B1772" s="83" t="str">
        <f>_xlfn.XLOOKUP(A1772,'TAZs by City - CCAG Model'!$A:$A,'TAZs by City - CCAG Model'!$B:$B,"Unknown")</f>
        <v>San Francisco</v>
      </c>
      <c r="C1772" s="82">
        <f>_xlfn.XLOOKUP(A1772,'TAZs by City - CCAG Model'!$A:$A,'TAZs by City - CCAG Model'!$C:$C,999)</f>
        <v>1</v>
      </c>
      <c r="D1772" s="82" t="str">
        <f t="shared" si="216"/>
        <v>NO</v>
      </c>
      <c r="E1772" s="27">
        <v>28754.62</v>
      </c>
      <c r="F1772" s="27">
        <v>12714.8</v>
      </c>
      <c r="G1772" s="27">
        <v>7099.14</v>
      </c>
      <c r="H1772" s="27">
        <v>1457.16</v>
      </c>
      <c r="I1772" s="27">
        <v>8389.18</v>
      </c>
      <c r="J1772" s="27">
        <v>65551.100000000006</v>
      </c>
      <c r="K1772" s="47">
        <f t="shared" si="217"/>
        <v>0.43865961059387254</v>
      </c>
      <c r="L1772" s="47">
        <f t="shared" si="218"/>
        <v>0.19396775950365439</v>
      </c>
      <c r="M1772" s="84">
        <f t="shared" si="219"/>
        <v>0.6326273700975269</v>
      </c>
      <c r="N1772" s="47">
        <f t="shared" si="220"/>
        <v>0.10829932678475265</v>
      </c>
      <c r="O1772" s="47">
        <f t="shared" si="221"/>
        <v>2.2229375250758569E-2</v>
      </c>
      <c r="P1772" s="47">
        <f t="shared" si="222"/>
        <v>0.12797924062296437</v>
      </c>
      <c r="Q1772" s="47">
        <f t="shared" si="223"/>
        <v>1</v>
      </c>
    </row>
    <row r="1773" spans="1:17" x14ac:dyDescent="0.35">
      <c r="A1773" s="82">
        <v>1770</v>
      </c>
      <c r="B1773" s="83" t="str">
        <f>_xlfn.XLOOKUP(A1773,'TAZs by City - CCAG Model'!$A:$A,'TAZs by City - CCAG Model'!$B:$B,"Unknown")</f>
        <v>San Francisco</v>
      </c>
      <c r="C1773" s="82">
        <f>_xlfn.XLOOKUP(A1773,'TAZs by City - CCAG Model'!$A:$A,'TAZs by City - CCAG Model'!$C:$C,999)</f>
        <v>1</v>
      </c>
      <c r="D1773" s="82" t="str">
        <f t="shared" si="216"/>
        <v>NO</v>
      </c>
      <c r="E1773" s="27">
        <v>23931.08</v>
      </c>
      <c r="F1773" s="27">
        <v>10667.14</v>
      </c>
      <c r="G1773" s="27">
        <v>5739.52</v>
      </c>
      <c r="H1773" s="27">
        <v>938.92</v>
      </c>
      <c r="I1773" s="27">
        <v>4684.8999999999996</v>
      </c>
      <c r="J1773" s="27">
        <v>51736.84</v>
      </c>
      <c r="K1773" s="47">
        <f t="shared" si="217"/>
        <v>0.46255395574990671</v>
      </c>
      <c r="L1773" s="47">
        <f t="shared" si="218"/>
        <v>0.20618074084153573</v>
      </c>
      <c r="M1773" s="84">
        <f t="shared" si="219"/>
        <v>0.66873469659144247</v>
      </c>
      <c r="N1773" s="47">
        <f t="shared" si="220"/>
        <v>0.11093681021106046</v>
      </c>
      <c r="O1773" s="47">
        <f t="shared" si="221"/>
        <v>1.8147996669297933E-2</v>
      </c>
      <c r="P1773" s="47">
        <f t="shared" si="222"/>
        <v>9.0552496055035445E-2</v>
      </c>
      <c r="Q1773" s="47">
        <f t="shared" si="223"/>
        <v>1</v>
      </c>
    </row>
    <row r="1774" spans="1:17" x14ac:dyDescent="0.35">
      <c r="A1774" s="82">
        <v>1771</v>
      </c>
      <c r="B1774" s="83" t="str">
        <f>_xlfn.XLOOKUP(A1774,'TAZs by City - CCAG Model'!$A:$A,'TAZs by City - CCAG Model'!$B:$B,"Unknown")</f>
        <v>San Francisco</v>
      </c>
      <c r="C1774" s="82">
        <f>_xlfn.XLOOKUP(A1774,'TAZs by City - CCAG Model'!$A:$A,'TAZs by City - CCAG Model'!$C:$C,999)</f>
        <v>1</v>
      </c>
      <c r="D1774" s="82" t="str">
        <f t="shared" si="216"/>
        <v>NO</v>
      </c>
      <c r="E1774" s="27">
        <v>18909.64</v>
      </c>
      <c r="F1774" s="27">
        <v>8725.58</v>
      </c>
      <c r="G1774" s="27">
        <v>3392.28</v>
      </c>
      <c r="H1774" s="27">
        <v>733.9</v>
      </c>
      <c r="I1774" s="27">
        <v>2998.02</v>
      </c>
      <c r="J1774" s="27">
        <v>38190.44</v>
      </c>
      <c r="K1774" s="47">
        <f t="shared" si="217"/>
        <v>0.49514066871185558</v>
      </c>
      <c r="L1774" s="47">
        <f t="shared" si="218"/>
        <v>0.22847550329349436</v>
      </c>
      <c r="M1774" s="84">
        <f t="shared" si="219"/>
        <v>0.72361617200535</v>
      </c>
      <c r="N1774" s="47">
        <f t="shared" si="220"/>
        <v>8.8825370956710628E-2</v>
      </c>
      <c r="O1774" s="47">
        <f t="shared" si="221"/>
        <v>1.9216851128188099E-2</v>
      </c>
      <c r="P1774" s="47">
        <f t="shared" si="222"/>
        <v>7.8501844964341858E-2</v>
      </c>
      <c r="Q1774" s="47">
        <f t="shared" si="223"/>
        <v>1</v>
      </c>
    </row>
    <row r="1775" spans="1:17" x14ac:dyDescent="0.35">
      <c r="A1775" s="82">
        <v>1772</v>
      </c>
      <c r="B1775" s="83" t="str">
        <f>_xlfn.XLOOKUP(A1775,'TAZs by City - CCAG Model'!$A:$A,'TAZs by City - CCAG Model'!$B:$B,"Unknown")</f>
        <v>San Francisco</v>
      </c>
      <c r="C1775" s="82">
        <f>_xlfn.XLOOKUP(A1775,'TAZs by City - CCAG Model'!$A:$A,'TAZs by City - CCAG Model'!$C:$C,999)</f>
        <v>1</v>
      </c>
      <c r="D1775" s="82" t="str">
        <f t="shared" si="216"/>
        <v>NO</v>
      </c>
      <c r="E1775" s="27">
        <v>8452.92</v>
      </c>
      <c r="F1775" s="27">
        <v>3904.9</v>
      </c>
      <c r="G1775" s="27">
        <v>2190.92</v>
      </c>
      <c r="H1775" s="27">
        <v>389.62</v>
      </c>
      <c r="I1775" s="27">
        <v>2622.72</v>
      </c>
      <c r="J1775" s="27">
        <v>19794.36</v>
      </c>
      <c r="K1775" s="47">
        <f t="shared" si="217"/>
        <v>0.42703679229841229</v>
      </c>
      <c r="L1775" s="47">
        <f t="shared" si="218"/>
        <v>0.19727336473621779</v>
      </c>
      <c r="M1775" s="84">
        <f t="shared" si="219"/>
        <v>0.62431015703463</v>
      </c>
      <c r="N1775" s="47">
        <f t="shared" si="220"/>
        <v>0.11068405343744379</v>
      </c>
      <c r="O1775" s="47">
        <f t="shared" si="221"/>
        <v>1.9683384560046396E-2</v>
      </c>
      <c r="P1775" s="47">
        <f t="shared" si="222"/>
        <v>0.13249834801428284</v>
      </c>
      <c r="Q1775" s="47">
        <f t="shared" si="223"/>
        <v>1</v>
      </c>
    </row>
    <row r="1776" spans="1:17" x14ac:dyDescent="0.35">
      <c r="A1776" s="82">
        <v>1773</v>
      </c>
      <c r="B1776" s="83" t="str">
        <f>_xlfn.XLOOKUP(A1776,'TAZs by City - CCAG Model'!$A:$A,'TAZs by City - CCAG Model'!$B:$B,"Unknown")</f>
        <v>San Francisco</v>
      </c>
      <c r="C1776" s="82">
        <f>_xlfn.XLOOKUP(A1776,'TAZs by City - CCAG Model'!$A:$A,'TAZs by City - CCAG Model'!$C:$C,999)</f>
        <v>1</v>
      </c>
      <c r="D1776" s="82" t="str">
        <f t="shared" si="216"/>
        <v>NO</v>
      </c>
      <c r="E1776" s="27">
        <v>11081.74</v>
      </c>
      <c r="F1776" s="27">
        <v>5224.96</v>
      </c>
      <c r="G1776" s="27">
        <v>4431.5</v>
      </c>
      <c r="H1776" s="27">
        <v>683.56</v>
      </c>
      <c r="I1776" s="27">
        <v>4819.84</v>
      </c>
      <c r="J1776" s="27">
        <v>30714.16</v>
      </c>
      <c r="K1776" s="47">
        <f t="shared" si="217"/>
        <v>0.3608023139815642</v>
      </c>
      <c r="L1776" s="47">
        <f t="shared" si="218"/>
        <v>0.17011567303159195</v>
      </c>
      <c r="M1776" s="84">
        <f t="shared" si="219"/>
        <v>0.53091798701315618</v>
      </c>
      <c r="N1776" s="47">
        <f t="shared" si="220"/>
        <v>0.14428198589836089</v>
      </c>
      <c r="O1776" s="47">
        <f t="shared" si="221"/>
        <v>2.2255532952879062E-2</v>
      </c>
      <c r="P1776" s="47">
        <f t="shared" si="222"/>
        <v>0.15692566555621251</v>
      </c>
      <c r="Q1776" s="47">
        <f t="shared" si="223"/>
        <v>1</v>
      </c>
    </row>
    <row r="1777" spans="1:17" x14ac:dyDescent="0.35">
      <c r="A1777" s="82">
        <v>1774</v>
      </c>
      <c r="B1777" s="83" t="str">
        <f>_xlfn.XLOOKUP(A1777,'TAZs by City - CCAG Model'!$A:$A,'TAZs by City - CCAG Model'!$B:$B,"Unknown")</f>
        <v>San Francisco</v>
      </c>
      <c r="C1777" s="82">
        <f>_xlfn.XLOOKUP(A1777,'TAZs by City - CCAG Model'!$A:$A,'TAZs by City - CCAG Model'!$C:$C,999)</f>
        <v>1</v>
      </c>
      <c r="D1777" s="82" t="str">
        <f t="shared" si="216"/>
        <v>NO</v>
      </c>
      <c r="E1777" s="27">
        <v>17825.38</v>
      </c>
      <c r="F1777" s="27">
        <v>8406.1</v>
      </c>
      <c r="G1777" s="27">
        <v>8910.7999999999993</v>
      </c>
      <c r="H1777" s="27">
        <v>938.04</v>
      </c>
      <c r="I1777" s="27">
        <v>6908.12</v>
      </c>
      <c r="J1777" s="27">
        <v>51938.879999999997</v>
      </c>
      <c r="K1777" s="47">
        <f t="shared" si="217"/>
        <v>0.34319916024373265</v>
      </c>
      <c r="L1777" s="47">
        <f t="shared" si="218"/>
        <v>0.16184600052985357</v>
      </c>
      <c r="M1777" s="84">
        <f t="shared" si="219"/>
        <v>0.5050451607735863</v>
      </c>
      <c r="N1777" s="47">
        <f t="shared" si="220"/>
        <v>0.17156319119703775</v>
      </c>
      <c r="O1777" s="47">
        <f t="shared" si="221"/>
        <v>1.8060458754597712E-2</v>
      </c>
      <c r="P1777" s="47">
        <f t="shared" si="222"/>
        <v>0.13300479332630971</v>
      </c>
      <c r="Q1777" s="47">
        <f t="shared" si="223"/>
        <v>1</v>
      </c>
    </row>
    <row r="1778" spans="1:17" x14ac:dyDescent="0.35">
      <c r="A1778" s="82">
        <v>1775</v>
      </c>
      <c r="B1778" s="83" t="str">
        <f>_xlfn.XLOOKUP(A1778,'TAZs by City - CCAG Model'!$A:$A,'TAZs by City - CCAG Model'!$B:$B,"Unknown")</f>
        <v>San Francisco</v>
      </c>
      <c r="C1778" s="82">
        <f>_xlfn.XLOOKUP(A1778,'TAZs by City - CCAG Model'!$A:$A,'TAZs by City - CCAG Model'!$C:$C,999)</f>
        <v>1</v>
      </c>
      <c r="D1778" s="82" t="str">
        <f t="shared" si="216"/>
        <v>NO</v>
      </c>
      <c r="E1778" s="27">
        <v>13184.32</v>
      </c>
      <c r="F1778" s="27">
        <v>5778.36</v>
      </c>
      <c r="G1778" s="27">
        <v>7847.44</v>
      </c>
      <c r="H1778" s="27">
        <v>857.72</v>
      </c>
      <c r="I1778" s="27">
        <v>7220.12</v>
      </c>
      <c r="J1778" s="27">
        <v>42774.3</v>
      </c>
      <c r="K1778" s="47">
        <f t="shared" si="217"/>
        <v>0.30822994181085367</v>
      </c>
      <c r="L1778" s="47">
        <f t="shared" si="218"/>
        <v>0.13508952805773558</v>
      </c>
      <c r="M1778" s="84">
        <f t="shared" si="219"/>
        <v>0.44331946986858928</v>
      </c>
      <c r="N1778" s="47">
        <f t="shared" si="220"/>
        <v>0.18346156453758447</v>
      </c>
      <c r="O1778" s="47">
        <f t="shared" si="221"/>
        <v>2.0052227622661269E-2</v>
      </c>
      <c r="P1778" s="47">
        <f t="shared" si="222"/>
        <v>0.16879574884919213</v>
      </c>
      <c r="Q1778" s="47">
        <f t="shared" si="223"/>
        <v>1</v>
      </c>
    </row>
    <row r="1779" spans="1:17" x14ac:dyDescent="0.35">
      <c r="A1779" s="82">
        <v>1776</v>
      </c>
      <c r="B1779" s="83" t="str">
        <f>_xlfn.XLOOKUP(A1779,'TAZs by City - CCAG Model'!$A:$A,'TAZs by City - CCAG Model'!$B:$B,"Unknown")</f>
        <v>San Francisco</v>
      </c>
      <c r="C1779" s="82">
        <f>_xlfn.XLOOKUP(A1779,'TAZs by City - CCAG Model'!$A:$A,'TAZs by City - CCAG Model'!$C:$C,999)</f>
        <v>1</v>
      </c>
      <c r="D1779" s="82" t="str">
        <f t="shared" si="216"/>
        <v>NO</v>
      </c>
      <c r="E1779" s="27">
        <v>9323</v>
      </c>
      <c r="F1779" s="27">
        <v>4123.0200000000004</v>
      </c>
      <c r="G1779" s="27">
        <v>7422.02</v>
      </c>
      <c r="H1779" s="27">
        <v>687.96</v>
      </c>
      <c r="I1779" s="27">
        <v>5918.02</v>
      </c>
      <c r="J1779" s="27">
        <v>34938.639999999999</v>
      </c>
      <c r="K1779" s="47">
        <f t="shared" si="217"/>
        <v>0.26683923587180269</v>
      </c>
      <c r="L1779" s="47">
        <f t="shared" si="218"/>
        <v>0.11800745535601845</v>
      </c>
      <c r="M1779" s="84">
        <f t="shared" si="219"/>
        <v>0.38484669122782111</v>
      </c>
      <c r="N1779" s="47">
        <f t="shared" si="220"/>
        <v>0.21243013465893351</v>
      </c>
      <c r="O1779" s="47">
        <f t="shared" si="221"/>
        <v>1.9690520295008621E-2</v>
      </c>
      <c r="P1779" s="47">
        <f t="shared" si="222"/>
        <v>0.16938323872938388</v>
      </c>
      <c r="Q1779" s="47">
        <f t="shared" si="223"/>
        <v>1</v>
      </c>
    </row>
    <row r="1780" spans="1:17" x14ac:dyDescent="0.35">
      <c r="A1780" s="82">
        <v>1777</v>
      </c>
      <c r="B1780" s="83" t="str">
        <f>_xlfn.XLOOKUP(A1780,'TAZs by City - CCAG Model'!$A:$A,'TAZs by City - CCAG Model'!$B:$B,"Unknown")</f>
        <v>San Francisco</v>
      </c>
      <c r="C1780" s="82">
        <f>_xlfn.XLOOKUP(A1780,'TAZs by City - CCAG Model'!$A:$A,'TAZs by City - CCAG Model'!$C:$C,999)</f>
        <v>1</v>
      </c>
      <c r="D1780" s="82" t="str">
        <f t="shared" si="216"/>
        <v>NO</v>
      </c>
      <c r="E1780" s="27">
        <v>9200.2999999999993</v>
      </c>
      <c r="F1780" s="27">
        <v>4839.7</v>
      </c>
      <c r="G1780" s="27">
        <v>4361.1000000000004</v>
      </c>
      <c r="H1780" s="27">
        <v>566.05999999999995</v>
      </c>
      <c r="I1780" s="27">
        <v>4765.8999999999996</v>
      </c>
      <c r="J1780" s="27">
        <v>28134.82</v>
      </c>
      <c r="K1780" s="47">
        <f t="shared" si="217"/>
        <v>0.32700760125708994</v>
      </c>
      <c r="L1780" s="47">
        <f t="shared" si="218"/>
        <v>0.17201816112560875</v>
      </c>
      <c r="M1780" s="84">
        <f t="shared" si="219"/>
        <v>0.49902576238269875</v>
      </c>
      <c r="N1780" s="47">
        <f t="shared" si="220"/>
        <v>0.15500721170421564</v>
      </c>
      <c r="O1780" s="47">
        <f t="shared" si="221"/>
        <v>2.0119552924099032E-2</v>
      </c>
      <c r="P1780" s="47">
        <f t="shared" si="222"/>
        <v>0.16939507699000739</v>
      </c>
      <c r="Q1780" s="47">
        <f t="shared" si="223"/>
        <v>1</v>
      </c>
    </row>
    <row r="1781" spans="1:17" x14ac:dyDescent="0.35">
      <c r="A1781" s="82">
        <v>1778</v>
      </c>
      <c r="B1781" s="83" t="str">
        <f>_xlfn.XLOOKUP(A1781,'TAZs by City - CCAG Model'!$A:$A,'TAZs by City - CCAG Model'!$B:$B,"Unknown")</f>
        <v>San Francisco</v>
      </c>
      <c r="C1781" s="82">
        <f>_xlfn.XLOOKUP(A1781,'TAZs by City - CCAG Model'!$A:$A,'TAZs by City - CCAG Model'!$C:$C,999)</f>
        <v>1</v>
      </c>
      <c r="D1781" s="82" t="str">
        <f t="shared" si="216"/>
        <v>NO</v>
      </c>
      <c r="E1781" s="27">
        <v>8304.9599999999991</v>
      </c>
      <c r="F1781" s="27">
        <v>4937.8599999999997</v>
      </c>
      <c r="G1781" s="27">
        <v>5358.66</v>
      </c>
      <c r="H1781" s="27">
        <v>634.17999999999995</v>
      </c>
      <c r="I1781" s="27">
        <v>4780.82</v>
      </c>
      <c r="J1781" s="27">
        <v>29415.86</v>
      </c>
      <c r="K1781" s="47">
        <f t="shared" si="217"/>
        <v>0.28232932846430459</v>
      </c>
      <c r="L1781" s="47">
        <f t="shared" si="218"/>
        <v>0.16786386663520969</v>
      </c>
      <c r="M1781" s="84">
        <f t="shared" si="219"/>
        <v>0.45019319509951433</v>
      </c>
      <c r="N1781" s="47">
        <f t="shared" si="220"/>
        <v>0.18216907477802791</v>
      </c>
      <c r="O1781" s="47">
        <f t="shared" si="221"/>
        <v>2.1559118108394584E-2</v>
      </c>
      <c r="P1781" s="47">
        <f t="shared" si="222"/>
        <v>0.16252524998419218</v>
      </c>
      <c r="Q1781" s="47">
        <f t="shared" si="223"/>
        <v>1</v>
      </c>
    </row>
    <row r="1782" spans="1:17" x14ac:dyDescent="0.35">
      <c r="A1782" s="82">
        <v>1779</v>
      </c>
      <c r="B1782" s="83" t="str">
        <f>_xlfn.XLOOKUP(A1782,'TAZs by City - CCAG Model'!$A:$A,'TAZs by City - CCAG Model'!$B:$B,"Unknown")</f>
        <v>San Francisco</v>
      </c>
      <c r="C1782" s="82">
        <f>_xlfn.XLOOKUP(A1782,'TAZs by City - CCAG Model'!$A:$A,'TAZs by City - CCAG Model'!$C:$C,999)</f>
        <v>1</v>
      </c>
      <c r="D1782" s="82" t="str">
        <f t="shared" si="216"/>
        <v>NO</v>
      </c>
      <c r="E1782" s="27">
        <v>9602.8799999999992</v>
      </c>
      <c r="F1782" s="27">
        <v>4081.34</v>
      </c>
      <c r="G1782" s="27">
        <v>7550.42</v>
      </c>
      <c r="H1782" s="27">
        <v>658.58</v>
      </c>
      <c r="I1782" s="27">
        <v>5001.08</v>
      </c>
      <c r="J1782" s="27">
        <v>34486.400000000001</v>
      </c>
      <c r="K1782" s="47">
        <f t="shared" si="217"/>
        <v>0.27845411524543007</v>
      </c>
      <c r="L1782" s="47">
        <f t="shared" si="218"/>
        <v>0.11834636262410689</v>
      </c>
      <c r="M1782" s="84">
        <f t="shared" si="219"/>
        <v>0.39680047786953693</v>
      </c>
      <c r="N1782" s="47">
        <f t="shared" si="220"/>
        <v>0.21893906003526026</v>
      </c>
      <c r="O1782" s="47">
        <f t="shared" si="221"/>
        <v>1.909680337756333E-2</v>
      </c>
      <c r="P1782" s="47">
        <f t="shared" si="222"/>
        <v>0.14501600630973369</v>
      </c>
      <c r="Q1782" s="47">
        <f t="shared" si="223"/>
        <v>1</v>
      </c>
    </row>
    <row r="1783" spans="1:17" x14ac:dyDescent="0.35">
      <c r="A1783" s="82">
        <v>1780</v>
      </c>
      <c r="B1783" s="83" t="str">
        <f>_xlfn.XLOOKUP(A1783,'TAZs by City - CCAG Model'!$A:$A,'TAZs by City - CCAG Model'!$B:$B,"Unknown")</f>
        <v>San Francisco</v>
      </c>
      <c r="C1783" s="82">
        <f>_xlfn.XLOOKUP(A1783,'TAZs by City - CCAG Model'!$A:$A,'TAZs by City - CCAG Model'!$C:$C,999)</f>
        <v>1</v>
      </c>
      <c r="D1783" s="82" t="str">
        <f t="shared" si="216"/>
        <v>NO</v>
      </c>
      <c r="E1783" s="27">
        <v>6908.14</v>
      </c>
      <c r="F1783" s="27">
        <v>3804.64</v>
      </c>
      <c r="G1783" s="27">
        <v>3885</v>
      </c>
      <c r="H1783" s="27">
        <v>462</v>
      </c>
      <c r="I1783" s="27">
        <v>3638.92</v>
      </c>
      <c r="J1783" s="27">
        <v>22619.96</v>
      </c>
      <c r="K1783" s="47">
        <f t="shared" si="217"/>
        <v>0.30540018638406086</v>
      </c>
      <c r="L1783" s="47">
        <f t="shared" si="218"/>
        <v>0.16819835225172813</v>
      </c>
      <c r="M1783" s="84">
        <f t="shared" si="219"/>
        <v>0.47359853863578899</v>
      </c>
      <c r="N1783" s="47">
        <f t="shared" si="220"/>
        <v>0.17175096684521104</v>
      </c>
      <c r="O1783" s="47">
        <f t="shared" si="221"/>
        <v>2.0424439300511583E-2</v>
      </c>
      <c r="P1783" s="47">
        <f t="shared" si="222"/>
        <v>0.16087207934938877</v>
      </c>
      <c r="Q1783" s="47">
        <f t="shared" si="223"/>
        <v>1</v>
      </c>
    </row>
    <row r="1784" spans="1:17" x14ac:dyDescent="0.35">
      <c r="A1784" s="82">
        <v>1781</v>
      </c>
      <c r="B1784" s="83" t="str">
        <f>_xlfn.XLOOKUP(A1784,'TAZs by City - CCAG Model'!$A:$A,'TAZs by City - CCAG Model'!$B:$B,"Unknown")</f>
        <v>San Francisco</v>
      </c>
      <c r="C1784" s="82">
        <f>_xlfn.XLOOKUP(A1784,'TAZs by City - CCAG Model'!$A:$A,'TAZs by City - CCAG Model'!$C:$C,999)</f>
        <v>1</v>
      </c>
      <c r="D1784" s="82" t="str">
        <f t="shared" si="216"/>
        <v>NO</v>
      </c>
      <c r="E1784" s="27">
        <v>15979.5</v>
      </c>
      <c r="F1784" s="27">
        <v>7235.8</v>
      </c>
      <c r="G1784" s="27">
        <v>9429.32</v>
      </c>
      <c r="H1784" s="27">
        <v>990.9</v>
      </c>
      <c r="I1784" s="27">
        <v>6312.28</v>
      </c>
      <c r="J1784" s="27">
        <v>49417.54</v>
      </c>
      <c r="K1784" s="47">
        <f t="shared" si="217"/>
        <v>0.3233568486007195</v>
      </c>
      <c r="L1784" s="47">
        <f t="shared" si="218"/>
        <v>0.14642169561657661</v>
      </c>
      <c r="M1784" s="84">
        <f t="shared" si="219"/>
        <v>0.46977854421729609</v>
      </c>
      <c r="N1784" s="47">
        <f t="shared" si="220"/>
        <v>0.19080917423246888</v>
      </c>
      <c r="O1784" s="47">
        <f t="shared" si="221"/>
        <v>2.0051584923086011E-2</v>
      </c>
      <c r="P1784" s="47">
        <f t="shared" si="222"/>
        <v>0.12773359418538438</v>
      </c>
      <c r="Q1784" s="47">
        <f t="shared" si="223"/>
        <v>1</v>
      </c>
    </row>
    <row r="1785" spans="1:17" x14ac:dyDescent="0.35">
      <c r="A1785" s="82">
        <v>1782</v>
      </c>
      <c r="B1785" s="83" t="str">
        <f>_xlfn.XLOOKUP(A1785,'TAZs by City - CCAG Model'!$A:$A,'TAZs by City - CCAG Model'!$B:$B,"Unknown")</f>
        <v>San Francisco</v>
      </c>
      <c r="C1785" s="82">
        <f>_xlfn.XLOOKUP(A1785,'TAZs by City - CCAG Model'!$A:$A,'TAZs by City - CCAG Model'!$C:$C,999)</f>
        <v>1</v>
      </c>
      <c r="D1785" s="82" t="str">
        <f t="shared" si="216"/>
        <v>NO</v>
      </c>
      <c r="E1785" s="27">
        <v>8213.06</v>
      </c>
      <c r="F1785" s="27">
        <v>3763.88</v>
      </c>
      <c r="G1785" s="27">
        <v>4254.34</v>
      </c>
      <c r="H1785" s="27">
        <v>437.1</v>
      </c>
      <c r="I1785" s="27">
        <v>2683.24</v>
      </c>
      <c r="J1785" s="27">
        <v>23644.959999999999</v>
      </c>
      <c r="K1785" s="47">
        <f t="shared" si="217"/>
        <v>0.34734928712080715</v>
      </c>
      <c r="L1785" s="47">
        <f t="shared" si="218"/>
        <v>0.15918318322382446</v>
      </c>
      <c r="M1785" s="84">
        <f t="shared" si="219"/>
        <v>0.50653247034463156</v>
      </c>
      <c r="N1785" s="47">
        <f t="shared" si="220"/>
        <v>0.17992587003742025</v>
      </c>
      <c r="O1785" s="47">
        <f t="shared" si="221"/>
        <v>1.8485969102929337E-2</v>
      </c>
      <c r="P1785" s="47">
        <f t="shared" si="222"/>
        <v>0.11348042035173668</v>
      </c>
      <c r="Q1785" s="47">
        <f t="shared" si="223"/>
        <v>1</v>
      </c>
    </row>
    <row r="1786" spans="1:17" x14ac:dyDescent="0.35">
      <c r="A1786" s="82">
        <v>1783</v>
      </c>
      <c r="B1786" s="83" t="str">
        <f>_xlfn.XLOOKUP(A1786,'TAZs by City - CCAG Model'!$A:$A,'TAZs by City - CCAG Model'!$B:$B,"Unknown")</f>
        <v>San Francisco</v>
      </c>
      <c r="C1786" s="82">
        <f>_xlfn.XLOOKUP(A1786,'TAZs by City - CCAG Model'!$A:$A,'TAZs by City - CCAG Model'!$C:$C,999)</f>
        <v>1</v>
      </c>
      <c r="D1786" s="82" t="str">
        <f t="shared" si="216"/>
        <v>NO</v>
      </c>
      <c r="E1786" s="27">
        <v>11156.56</v>
      </c>
      <c r="F1786" s="27">
        <v>5319.92</v>
      </c>
      <c r="G1786" s="27">
        <v>2565.5</v>
      </c>
      <c r="H1786" s="27">
        <v>425.92</v>
      </c>
      <c r="I1786" s="27">
        <v>2493.38</v>
      </c>
      <c r="J1786" s="27">
        <v>24564.28</v>
      </c>
      <c r="K1786" s="47">
        <f t="shared" si="217"/>
        <v>0.45417818067535465</v>
      </c>
      <c r="L1786" s="47">
        <f t="shared" si="218"/>
        <v>0.21657137925475528</v>
      </c>
      <c r="M1786" s="84">
        <f t="shared" si="219"/>
        <v>0.67074955993010987</v>
      </c>
      <c r="N1786" s="47">
        <f t="shared" si="220"/>
        <v>0.10444026855254866</v>
      </c>
      <c r="O1786" s="47">
        <f t="shared" si="221"/>
        <v>1.7338997927071342E-2</v>
      </c>
      <c r="P1786" s="47">
        <f t="shared" si="222"/>
        <v>0.10150429811091553</v>
      </c>
      <c r="Q1786" s="47">
        <f t="shared" si="223"/>
        <v>1</v>
      </c>
    </row>
    <row r="1787" spans="1:17" x14ac:dyDescent="0.35">
      <c r="A1787" s="82">
        <v>1784</v>
      </c>
      <c r="B1787" s="83" t="str">
        <f>_xlfn.XLOOKUP(A1787,'TAZs by City - CCAG Model'!$A:$A,'TAZs by City - CCAG Model'!$B:$B,"Unknown")</f>
        <v>San Francisco</v>
      </c>
      <c r="C1787" s="82">
        <f>_xlfn.XLOOKUP(A1787,'TAZs by City - CCAG Model'!$A:$A,'TAZs by City - CCAG Model'!$C:$C,999)</f>
        <v>1</v>
      </c>
      <c r="D1787" s="82" t="str">
        <f t="shared" si="216"/>
        <v>NO</v>
      </c>
      <c r="E1787" s="27">
        <v>8306.6</v>
      </c>
      <c r="F1787" s="27">
        <v>4039.9</v>
      </c>
      <c r="G1787" s="27">
        <v>4781.1400000000003</v>
      </c>
      <c r="H1787" s="27">
        <v>481.5</v>
      </c>
      <c r="I1787" s="27">
        <v>3298.34</v>
      </c>
      <c r="J1787" s="27">
        <v>25729.439999999999</v>
      </c>
      <c r="K1787" s="47">
        <f t="shared" si="217"/>
        <v>0.32284418160675088</v>
      </c>
      <c r="L1787" s="47">
        <f t="shared" si="218"/>
        <v>0.15701468823262379</v>
      </c>
      <c r="M1787" s="84">
        <f t="shared" si="219"/>
        <v>0.4798588698393747</v>
      </c>
      <c r="N1787" s="47">
        <f t="shared" si="220"/>
        <v>0.18582371011572738</v>
      </c>
      <c r="O1787" s="47">
        <f t="shared" si="221"/>
        <v>1.8713971232953382E-2</v>
      </c>
      <c r="P1787" s="47">
        <f t="shared" si="222"/>
        <v>0.12819322923468215</v>
      </c>
      <c r="Q1787" s="47">
        <f t="shared" si="223"/>
        <v>1</v>
      </c>
    </row>
    <row r="1788" spans="1:17" x14ac:dyDescent="0.35">
      <c r="A1788" s="82">
        <v>1785</v>
      </c>
      <c r="B1788" s="83" t="str">
        <f>_xlfn.XLOOKUP(A1788,'TAZs by City - CCAG Model'!$A:$A,'TAZs by City - CCAG Model'!$B:$B,"Unknown")</f>
        <v>San Francisco</v>
      </c>
      <c r="C1788" s="82">
        <f>_xlfn.XLOOKUP(A1788,'TAZs by City - CCAG Model'!$A:$A,'TAZs by City - CCAG Model'!$C:$C,999)</f>
        <v>1</v>
      </c>
      <c r="D1788" s="82" t="str">
        <f t="shared" si="216"/>
        <v>NO</v>
      </c>
      <c r="E1788" s="27">
        <v>8288.8799999999992</v>
      </c>
      <c r="F1788" s="27">
        <v>4038.88</v>
      </c>
      <c r="G1788" s="27">
        <v>3042.22</v>
      </c>
      <c r="H1788" s="27">
        <v>494.96</v>
      </c>
      <c r="I1788" s="27">
        <v>2615.04</v>
      </c>
      <c r="J1788" s="27">
        <v>21560.400000000001</v>
      </c>
      <c r="K1788" s="47">
        <f t="shared" si="217"/>
        <v>0.38444926810263252</v>
      </c>
      <c r="L1788" s="47">
        <f t="shared" si="218"/>
        <v>0.18732862099033412</v>
      </c>
      <c r="M1788" s="84">
        <f t="shared" si="219"/>
        <v>0.57177788909296667</v>
      </c>
      <c r="N1788" s="47">
        <f t="shared" si="220"/>
        <v>0.14110220589599448</v>
      </c>
      <c r="O1788" s="47">
        <f t="shared" si="221"/>
        <v>2.2956902469341938E-2</v>
      </c>
      <c r="P1788" s="47">
        <f t="shared" si="222"/>
        <v>0.12128902988812823</v>
      </c>
      <c r="Q1788" s="47">
        <f t="shared" si="223"/>
        <v>1</v>
      </c>
    </row>
    <row r="1789" spans="1:17" x14ac:dyDescent="0.35">
      <c r="A1789" s="82">
        <v>1786</v>
      </c>
      <c r="B1789" s="83" t="str">
        <f>_xlfn.XLOOKUP(A1789,'TAZs by City - CCAG Model'!$A:$A,'TAZs by City - CCAG Model'!$B:$B,"Unknown")</f>
        <v>San Francisco</v>
      </c>
      <c r="C1789" s="82">
        <f>_xlfn.XLOOKUP(A1789,'TAZs by City - CCAG Model'!$A:$A,'TAZs by City - CCAG Model'!$C:$C,999)</f>
        <v>1</v>
      </c>
      <c r="D1789" s="82" t="str">
        <f t="shared" si="216"/>
        <v>NO</v>
      </c>
      <c r="E1789" s="27">
        <v>12932.46</v>
      </c>
      <c r="F1789" s="27">
        <v>6926.38</v>
      </c>
      <c r="G1789" s="27">
        <v>4806.76</v>
      </c>
      <c r="H1789" s="27">
        <v>714.2</v>
      </c>
      <c r="I1789" s="27">
        <v>3975.56</v>
      </c>
      <c r="J1789" s="27">
        <v>34203.699999999997</v>
      </c>
      <c r="K1789" s="47">
        <f t="shared" si="217"/>
        <v>0.37810119957782345</v>
      </c>
      <c r="L1789" s="47">
        <f t="shared" si="218"/>
        <v>0.20250382268584979</v>
      </c>
      <c r="M1789" s="84">
        <f t="shared" si="219"/>
        <v>0.58060502226367328</v>
      </c>
      <c r="N1789" s="47">
        <f t="shared" si="220"/>
        <v>0.14053333411297611</v>
      </c>
      <c r="O1789" s="47">
        <f t="shared" si="221"/>
        <v>2.0880781903712176E-2</v>
      </c>
      <c r="P1789" s="47">
        <f t="shared" si="222"/>
        <v>0.11623186965152893</v>
      </c>
      <c r="Q1789" s="47">
        <f t="shared" si="223"/>
        <v>1</v>
      </c>
    </row>
    <row r="1790" spans="1:17" x14ac:dyDescent="0.35">
      <c r="A1790" s="82">
        <v>1787</v>
      </c>
      <c r="B1790" s="83" t="str">
        <f>_xlfn.XLOOKUP(A1790,'TAZs by City - CCAG Model'!$A:$A,'TAZs by City - CCAG Model'!$B:$B,"Unknown")</f>
        <v>San Francisco</v>
      </c>
      <c r="C1790" s="82">
        <f>_xlfn.XLOOKUP(A1790,'TAZs by City - CCAG Model'!$A:$A,'TAZs by City - CCAG Model'!$C:$C,999)</f>
        <v>1</v>
      </c>
      <c r="D1790" s="82" t="str">
        <f t="shared" si="216"/>
        <v>NO</v>
      </c>
      <c r="E1790" s="27">
        <v>15091.48</v>
      </c>
      <c r="F1790" s="27">
        <v>7340.5</v>
      </c>
      <c r="G1790" s="27">
        <v>3996.24</v>
      </c>
      <c r="H1790" s="27">
        <v>756.42</v>
      </c>
      <c r="I1790" s="27">
        <v>3435.54</v>
      </c>
      <c r="J1790" s="27">
        <v>34657.360000000001</v>
      </c>
      <c r="K1790" s="47">
        <f t="shared" si="217"/>
        <v>0.43544805490089261</v>
      </c>
      <c r="L1790" s="47">
        <f t="shared" si="218"/>
        <v>0.21180205301269339</v>
      </c>
      <c r="M1790" s="84">
        <f t="shared" si="219"/>
        <v>0.64725010791358606</v>
      </c>
      <c r="N1790" s="47">
        <f t="shared" si="220"/>
        <v>0.1153071093701309</v>
      </c>
      <c r="O1790" s="47">
        <f t="shared" si="221"/>
        <v>2.1825667044460397E-2</v>
      </c>
      <c r="P1790" s="47">
        <f t="shared" si="222"/>
        <v>9.9128727635342098E-2</v>
      </c>
      <c r="Q1790" s="47">
        <f t="shared" si="223"/>
        <v>1</v>
      </c>
    </row>
    <row r="1791" spans="1:17" x14ac:dyDescent="0.35">
      <c r="A1791" s="82">
        <v>1788</v>
      </c>
      <c r="B1791" s="83" t="str">
        <f>_xlfn.XLOOKUP(A1791,'TAZs by City - CCAG Model'!$A:$A,'TAZs by City - CCAG Model'!$B:$B,"Unknown")</f>
        <v>San Francisco</v>
      </c>
      <c r="C1791" s="82">
        <f>_xlfn.XLOOKUP(A1791,'TAZs by City - CCAG Model'!$A:$A,'TAZs by City - CCAG Model'!$C:$C,999)</f>
        <v>1</v>
      </c>
      <c r="D1791" s="82" t="str">
        <f t="shared" si="216"/>
        <v>NO</v>
      </c>
      <c r="E1791" s="27">
        <v>16506.419999999998</v>
      </c>
      <c r="F1791" s="27">
        <v>8056.92</v>
      </c>
      <c r="G1791" s="27">
        <v>4223.46</v>
      </c>
      <c r="H1791" s="27">
        <v>758.1</v>
      </c>
      <c r="I1791" s="27">
        <v>3796.82</v>
      </c>
      <c r="J1791" s="27">
        <v>37603.660000000003</v>
      </c>
      <c r="K1791" s="47">
        <f t="shared" si="217"/>
        <v>0.43895780357550296</v>
      </c>
      <c r="L1791" s="47">
        <f t="shared" si="218"/>
        <v>0.21425893117850761</v>
      </c>
      <c r="M1791" s="84">
        <f t="shared" si="219"/>
        <v>0.65321673475401054</v>
      </c>
      <c r="N1791" s="47">
        <f t="shared" si="220"/>
        <v>0.11231513102713937</v>
      </c>
      <c r="O1791" s="47">
        <f t="shared" si="221"/>
        <v>2.0160271633133581E-2</v>
      </c>
      <c r="P1791" s="47">
        <f t="shared" si="222"/>
        <v>0.10096942691216759</v>
      </c>
      <c r="Q1791" s="47">
        <f t="shared" si="223"/>
        <v>1</v>
      </c>
    </row>
    <row r="1792" spans="1:17" x14ac:dyDescent="0.35">
      <c r="A1792" s="82">
        <v>1789</v>
      </c>
      <c r="B1792" s="83" t="str">
        <f>_xlfn.XLOOKUP(A1792,'TAZs by City - CCAG Model'!$A:$A,'TAZs by City - CCAG Model'!$B:$B,"Unknown")</f>
        <v>San Francisco</v>
      </c>
      <c r="C1792" s="82">
        <f>_xlfn.XLOOKUP(A1792,'TAZs by City - CCAG Model'!$A:$A,'TAZs by City - CCAG Model'!$C:$C,999)</f>
        <v>1</v>
      </c>
      <c r="D1792" s="82" t="str">
        <f t="shared" si="216"/>
        <v>NO</v>
      </c>
      <c r="E1792" s="27">
        <v>18279.919999999998</v>
      </c>
      <c r="F1792" s="27">
        <v>9411.52</v>
      </c>
      <c r="G1792" s="27">
        <v>5764.86</v>
      </c>
      <c r="H1792" s="27">
        <v>796.74</v>
      </c>
      <c r="I1792" s="27">
        <v>3773.62</v>
      </c>
      <c r="J1792" s="27">
        <v>43827.5</v>
      </c>
      <c r="K1792" s="47">
        <f t="shared" si="217"/>
        <v>0.41708790143174945</v>
      </c>
      <c r="L1792" s="47">
        <f t="shared" si="218"/>
        <v>0.21474006046432037</v>
      </c>
      <c r="M1792" s="84">
        <f t="shared" si="219"/>
        <v>0.63182796189606982</v>
      </c>
      <c r="N1792" s="47">
        <f t="shared" si="220"/>
        <v>0.13153522331869261</v>
      </c>
      <c r="O1792" s="47">
        <f t="shared" si="221"/>
        <v>1.8178997204951228E-2</v>
      </c>
      <c r="P1792" s="47">
        <f t="shared" si="222"/>
        <v>8.6101648508356624E-2</v>
      </c>
      <c r="Q1792" s="47">
        <f t="shared" si="223"/>
        <v>1</v>
      </c>
    </row>
    <row r="1793" spans="1:17" x14ac:dyDescent="0.35">
      <c r="A1793" s="82">
        <v>1790</v>
      </c>
      <c r="B1793" s="83" t="str">
        <f>_xlfn.XLOOKUP(A1793,'TAZs by City - CCAG Model'!$A:$A,'TAZs by City - CCAG Model'!$B:$B,"Unknown")</f>
        <v>San Francisco</v>
      </c>
      <c r="C1793" s="82">
        <f>_xlfn.XLOOKUP(A1793,'TAZs by City - CCAG Model'!$A:$A,'TAZs by City - CCAG Model'!$C:$C,999)</f>
        <v>1</v>
      </c>
      <c r="D1793" s="82" t="str">
        <f t="shared" si="216"/>
        <v>NO</v>
      </c>
      <c r="E1793" s="27">
        <v>19367.259999999998</v>
      </c>
      <c r="F1793" s="27">
        <v>8253.7800000000007</v>
      </c>
      <c r="G1793" s="27">
        <v>5668.18</v>
      </c>
      <c r="H1793" s="27">
        <v>1028.42</v>
      </c>
      <c r="I1793" s="27">
        <v>2799.58</v>
      </c>
      <c r="J1793" s="27">
        <v>42819.94</v>
      </c>
      <c r="K1793" s="47">
        <f t="shared" si="217"/>
        <v>0.45229535585523933</v>
      </c>
      <c r="L1793" s="47">
        <f t="shared" si="218"/>
        <v>0.19275552464576085</v>
      </c>
      <c r="M1793" s="84">
        <f t="shared" si="219"/>
        <v>0.64505088050100023</v>
      </c>
      <c r="N1793" s="47">
        <f t="shared" si="220"/>
        <v>0.13237244143733037</v>
      </c>
      <c r="O1793" s="47">
        <f t="shared" si="221"/>
        <v>2.4017315297499248E-2</v>
      </c>
      <c r="P1793" s="47">
        <f t="shared" si="222"/>
        <v>6.538028778181379E-2</v>
      </c>
      <c r="Q1793" s="47">
        <f t="shared" si="223"/>
        <v>1</v>
      </c>
    </row>
    <row r="1794" spans="1:17" x14ac:dyDescent="0.35">
      <c r="A1794" s="82">
        <v>1791</v>
      </c>
      <c r="B1794" s="83" t="str">
        <f>_xlfn.XLOOKUP(A1794,'TAZs by City - CCAG Model'!$A:$A,'TAZs by City - CCAG Model'!$B:$B,"Unknown")</f>
        <v>San Francisco</v>
      </c>
      <c r="C1794" s="82">
        <f>_xlfn.XLOOKUP(A1794,'TAZs by City - CCAG Model'!$A:$A,'TAZs by City - CCAG Model'!$C:$C,999)</f>
        <v>1</v>
      </c>
      <c r="D1794" s="82" t="str">
        <f t="shared" si="216"/>
        <v>NO</v>
      </c>
      <c r="E1794" s="27">
        <v>25138.16</v>
      </c>
      <c r="F1794" s="27">
        <v>10328.02</v>
      </c>
      <c r="G1794" s="27">
        <v>4198.72</v>
      </c>
      <c r="H1794" s="27">
        <v>917.26</v>
      </c>
      <c r="I1794" s="27">
        <v>3249.32</v>
      </c>
      <c r="J1794" s="27">
        <v>48063.78</v>
      </c>
      <c r="K1794" s="47">
        <f t="shared" si="217"/>
        <v>0.52301670821562518</v>
      </c>
      <c r="L1794" s="47">
        <f t="shared" si="218"/>
        <v>0.21488155946119927</v>
      </c>
      <c r="M1794" s="84">
        <f t="shared" si="219"/>
        <v>0.73789826767682443</v>
      </c>
      <c r="N1794" s="47">
        <f t="shared" si="220"/>
        <v>8.7357257377592867E-2</v>
      </c>
      <c r="O1794" s="47">
        <f t="shared" si="221"/>
        <v>1.9084225169139837E-2</v>
      </c>
      <c r="P1794" s="47">
        <f t="shared" si="222"/>
        <v>6.7604337403341985E-2</v>
      </c>
      <c r="Q1794" s="47">
        <f t="shared" si="223"/>
        <v>1</v>
      </c>
    </row>
    <row r="1795" spans="1:17" x14ac:dyDescent="0.35">
      <c r="A1795" s="82">
        <v>1792</v>
      </c>
      <c r="B1795" s="83" t="str">
        <f>_xlfn.XLOOKUP(A1795,'TAZs by City - CCAG Model'!$A:$A,'TAZs by City - CCAG Model'!$B:$B,"Unknown")</f>
        <v>San Francisco</v>
      </c>
      <c r="C1795" s="82">
        <f>_xlfn.XLOOKUP(A1795,'TAZs by City - CCAG Model'!$A:$A,'TAZs by City - CCAG Model'!$C:$C,999)</f>
        <v>1</v>
      </c>
      <c r="D1795" s="82" t="str">
        <f t="shared" si="216"/>
        <v>NO</v>
      </c>
      <c r="E1795" s="27">
        <v>9284.66</v>
      </c>
      <c r="F1795" s="27">
        <v>4266.66</v>
      </c>
      <c r="G1795" s="27">
        <v>974.94</v>
      </c>
      <c r="H1795" s="27">
        <v>255.38</v>
      </c>
      <c r="I1795" s="27">
        <v>765.42</v>
      </c>
      <c r="J1795" s="27">
        <v>16560.86</v>
      </c>
      <c r="K1795" s="47">
        <f t="shared" si="217"/>
        <v>0.56063875909825933</v>
      </c>
      <c r="L1795" s="47">
        <f t="shared" si="218"/>
        <v>0.25763517112034034</v>
      </c>
      <c r="M1795" s="84">
        <f t="shared" si="219"/>
        <v>0.81827393021859973</v>
      </c>
      <c r="N1795" s="47">
        <f t="shared" si="220"/>
        <v>5.8870131140532557E-2</v>
      </c>
      <c r="O1795" s="47">
        <f t="shared" si="221"/>
        <v>1.542069675125567E-2</v>
      </c>
      <c r="P1795" s="47">
        <f t="shared" si="222"/>
        <v>4.6218614250709202E-2</v>
      </c>
      <c r="Q1795" s="47">
        <f t="shared" si="223"/>
        <v>1</v>
      </c>
    </row>
    <row r="1796" spans="1:17" x14ac:dyDescent="0.35">
      <c r="A1796" s="82">
        <v>1793</v>
      </c>
      <c r="B1796" s="83" t="str">
        <f>_xlfn.XLOOKUP(A1796,'TAZs by City - CCAG Model'!$A:$A,'TAZs by City - CCAG Model'!$B:$B,"Unknown")</f>
        <v>San Francisco</v>
      </c>
      <c r="C1796" s="82">
        <f>_xlfn.XLOOKUP(A1796,'TAZs by City - CCAG Model'!$A:$A,'TAZs by City - CCAG Model'!$C:$C,999)</f>
        <v>1</v>
      </c>
      <c r="D1796" s="82" t="str">
        <f t="shared" si="216"/>
        <v>NO</v>
      </c>
      <c r="E1796" s="27">
        <v>17270.900000000001</v>
      </c>
      <c r="F1796" s="27">
        <v>8885.7800000000007</v>
      </c>
      <c r="G1796" s="27">
        <v>2895.6</v>
      </c>
      <c r="H1796" s="27">
        <v>627.62</v>
      </c>
      <c r="I1796" s="27">
        <v>2044.62</v>
      </c>
      <c r="J1796" s="27">
        <v>34657.839999999997</v>
      </c>
      <c r="K1796" s="47">
        <f t="shared" si="217"/>
        <v>0.49832591990729957</v>
      </c>
      <c r="L1796" s="47">
        <f t="shared" si="218"/>
        <v>0.25638585670659225</v>
      </c>
      <c r="M1796" s="84">
        <f t="shared" si="219"/>
        <v>0.75471177661389177</v>
      </c>
      <c r="N1796" s="47">
        <f t="shared" si="220"/>
        <v>8.3548195732913541E-2</v>
      </c>
      <c r="O1796" s="47">
        <f t="shared" si="221"/>
        <v>1.8109033915558501E-2</v>
      </c>
      <c r="P1796" s="47">
        <f t="shared" si="222"/>
        <v>5.8994443969964665E-2</v>
      </c>
      <c r="Q1796" s="47">
        <f t="shared" si="223"/>
        <v>1</v>
      </c>
    </row>
    <row r="1797" spans="1:17" x14ac:dyDescent="0.35">
      <c r="A1797" s="82">
        <v>1794</v>
      </c>
      <c r="B1797" s="83" t="str">
        <f>_xlfn.XLOOKUP(A1797,'TAZs by City - CCAG Model'!$A:$A,'TAZs by City - CCAG Model'!$B:$B,"Unknown")</f>
        <v>San Francisco</v>
      </c>
      <c r="C1797" s="82">
        <f>_xlfn.XLOOKUP(A1797,'TAZs by City - CCAG Model'!$A:$A,'TAZs by City - CCAG Model'!$C:$C,999)</f>
        <v>1</v>
      </c>
      <c r="D1797" s="82" t="str">
        <f t="shared" ref="D1797:D1860" si="224">IF(C1797=2,"YES","NO")</f>
        <v>NO</v>
      </c>
      <c r="E1797" s="27">
        <v>11049.4</v>
      </c>
      <c r="F1797" s="27">
        <v>5376.46</v>
      </c>
      <c r="G1797" s="27">
        <v>2650.68</v>
      </c>
      <c r="H1797" s="27">
        <v>424.2</v>
      </c>
      <c r="I1797" s="27">
        <v>2173.6</v>
      </c>
      <c r="J1797" s="27">
        <v>24362.5</v>
      </c>
      <c r="K1797" s="47">
        <f t="shared" ref="K1797:K1860" si="225">IFERROR(E1797/$J1797,0)</f>
        <v>0.45354130323242686</v>
      </c>
      <c r="L1797" s="47">
        <f t="shared" ref="L1797:L1860" si="226">IFERROR(F1797/$J1797,0)</f>
        <v>0.22068589020010262</v>
      </c>
      <c r="M1797" s="84">
        <f t="shared" ref="M1797:M1860" si="227">IFERROR((E1797+F1797)/J1797,0)</f>
        <v>0.67422719343252957</v>
      </c>
      <c r="N1797" s="47">
        <f t="shared" ref="N1797:N1860" si="228">IFERROR(G1797/$J1797,0)</f>
        <v>0.10880164186762442</v>
      </c>
      <c r="O1797" s="47">
        <f t="shared" ref="O1797:O1860" si="229">IFERROR(H1797/$J1797,0)</f>
        <v>1.7412006157003591E-2</v>
      </c>
      <c r="P1797" s="47">
        <f t="shared" ref="P1797:P1860" si="230">IFERROR(I1797/$J1797,0)</f>
        <v>8.9219086711133905E-2</v>
      </c>
      <c r="Q1797" s="47">
        <f t="shared" ref="Q1797:Q1860" si="231">IFERROR(J1797/$J1797,0)</f>
        <v>1</v>
      </c>
    </row>
    <row r="1798" spans="1:17" x14ac:dyDescent="0.35">
      <c r="A1798" s="82">
        <v>1795</v>
      </c>
      <c r="B1798" s="83" t="str">
        <f>_xlfn.XLOOKUP(A1798,'TAZs by City - CCAG Model'!$A:$A,'TAZs by City - CCAG Model'!$B:$B,"Unknown")</f>
        <v>San Francisco</v>
      </c>
      <c r="C1798" s="82">
        <f>_xlfn.XLOOKUP(A1798,'TAZs by City - CCAG Model'!$A:$A,'TAZs by City - CCAG Model'!$C:$C,999)</f>
        <v>1</v>
      </c>
      <c r="D1798" s="82" t="str">
        <f t="shared" si="224"/>
        <v>NO</v>
      </c>
      <c r="E1798" s="27">
        <v>9500.94</v>
      </c>
      <c r="F1798" s="27">
        <v>5169.74</v>
      </c>
      <c r="G1798" s="27">
        <v>1388.58</v>
      </c>
      <c r="H1798" s="27">
        <v>325.14</v>
      </c>
      <c r="I1798" s="27">
        <v>1745.36</v>
      </c>
      <c r="J1798" s="27">
        <v>19556.32</v>
      </c>
      <c r="K1798" s="47">
        <f t="shared" si="225"/>
        <v>0.48582453140468146</v>
      </c>
      <c r="L1798" s="47">
        <f t="shared" si="226"/>
        <v>0.26435137081005017</v>
      </c>
      <c r="M1798" s="84">
        <f t="shared" si="227"/>
        <v>0.75017590221473163</v>
      </c>
      <c r="N1798" s="47">
        <f t="shared" si="228"/>
        <v>7.1004156201166679E-2</v>
      </c>
      <c r="O1798" s="47">
        <f t="shared" si="229"/>
        <v>1.6625827354021613E-2</v>
      </c>
      <c r="P1798" s="47">
        <f t="shared" si="230"/>
        <v>8.9247874855801088E-2</v>
      </c>
      <c r="Q1798" s="47">
        <f t="shared" si="231"/>
        <v>1</v>
      </c>
    </row>
    <row r="1799" spans="1:17" x14ac:dyDescent="0.35">
      <c r="A1799" s="82">
        <v>1796</v>
      </c>
      <c r="B1799" s="83" t="str">
        <f>_xlfn.XLOOKUP(A1799,'TAZs by City - CCAG Model'!$A:$A,'TAZs by City - CCAG Model'!$B:$B,"Unknown")</f>
        <v>San Francisco</v>
      </c>
      <c r="C1799" s="82">
        <f>_xlfn.XLOOKUP(A1799,'TAZs by City - CCAG Model'!$A:$A,'TAZs by City - CCAG Model'!$C:$C,999)</f>
        <v>1</v>
      </c>
      <c r="D1799" s="82" t="str">
        <f t="shared" si="224"/>
        <v>NO</v>
      </c>
      <c r="E1799" s="27">
        <v>6828.28</v>
      </c>
      <c r="F1799" s="27">
        <v>3729.88</v>
      </c>
      <c r="G1799" s="27">
        <v>968.64</v>
      </c>
      <c r="H1799" s="27">
        <v>236.9</v>
      </c>
      <c r="I1799" s="27">
        <v>1221.1600000000001</v>
      </c>
      <c r="J1799" s="27">
        <v>13992.24</v>
      </c>
      <c r="K1799" s="47">
        <f t="shared" si="225"/>
        <v>0.48800477979222767</v>
      </c>
      <c r="L1799" s="47">
        <f t="shared" si="226"/>
        <v>0.2665677546983185</v>
      </c>
      <c r="M1799" s="84">
        <f t="shared" si="227"/>
        <v>0.75457253449054618</v>
      </c>
      <c r="N1799" s="47">
        <f t="shared" si="228"/>
        <v>6.9226942934083463E-2</v>
      </c>
      <c r="O1799" s="47">
        <f t="shared" si="229"/>
        <v>1.6930813079249641E-2</v>
      </c>
      <c r="P1799" s="47">
        <f t="shared" si="230"/>
        <v>8.7274089066511157E-2</v>
      </c>
      <c r="Q1799" s="47">
        <f t="shared" si="231"/>
        <v>1</v>
      </c>
    </row>
    <row r="1800" spans="1:17" x14ac:dyDescent="0.35">
      <c r="A1800" s="82">
        <v>1797</v>
      </c>
      <c r="B1800" s="83" t="str">
        <f>_xlfn.XLOOKUP(A1800,'TAZs by City - CCAG Model'!$A:$A,'TAZs by City - CCAG Model'!$B:$B,"Unknown")</f>
        <v>San Francisco</v>
      </c>
      <c r="C1800" s="82">
        <f>_xlfn.XLOOKUP(A1800,'TAZs by City - CCAG Model'!$A:$A,'TAZs by City - CCAG Model'!$C:$C,999)</f>
        <v>1</v>
      </c>
      <c r="D1800" s="82" t="str">
        <f t="shared" si="224"/>
        <v>NO</v>
      </c>
      <c r="E1800" s="27">
        <v>9993.84</v>
      </c>
      <c r="F1800" s="27">
        <v>5460.36</v>
      </c>
      <c r="G1800" s="27">
        <v>2556.46</v>
      </c>
      <c r="H1800" s="27">
        <v>352.14</v>
      </c>
      <c r="I1800" s="27">
        <v>2131.7800000000002</v>
      </c>
      <c r="J1800" s="27">
        <v>23088.720000000001</v>
      </c>
      <c r="K1800" s="47">
        <f t="shared" si="225"/>
        <v>0.4328451295697639</v>
      </c>
      <c r="L1800" s="47">
        <f t="shared" si="226"/>
        <v>0.23649470390736252</v>
      </c>
      <c r="M1800" s="84">
        <f t="shared" si="227"/>
        <v>0.66933983347712644</v>
      </c>
      <c r="N1800" s="47">
        <f t="shared" si="228"/>
        <v>0.11072333156623666</v>
      </c>
      <c r="O1800" s="47">
        <f t="shared" si="229"/>
        <v>1.5251603380351962E-2</v>
      </c>
      <c r="P1800" s="47">
        <f t="shared" si="230"/>
        <v>9.2329934270934041E-2</v>
      </c>
      <c r="Q1800" s="47">
        <f t="shared" si="231"/>
        <v>1</v>
      </c>
    </row>
    <row r="1801" spans="1:17" x14ac:dyDescent="0.35">
      <c r="A1801" s="82">
        <v>1798</v>
      </c>
      <c r="B1801" s="83" t="str">
        <f>_xlfn.XLOOKUP(A1801,'TAZs by City - CCAG Model'!$A:$A,'TAZs by City - CCAG Model'!$B:$B,"Unknown")</f>
        <v>San Francisco</v>
      </c>
      <c r="C1801" s="82">
        <f>_xlfn.XLOOKUP(A1801,'TAZs by City - CCAG Model'!$A:$A,'TAZs by City - CCAG Model'!$C:$C,999)</f>
        <v>1</v>
      </c>
      <c r="D1801" s="82" t="str">
        <f t="shared" si="224"/>
        <v>NO</v>
      </c>
      <c r="E1801" s="27">
        <v>10939.94</v>
      </c>
      <c r="F1801" s="27">
        <v>5944.58</v>
      </c>
      <c r="G1801" s="27">
        <v>2811.02</v>
      </c>
      <c r="H1801" s="27">
        <v>407.76</v>
      </c>
      <c r="I1801" s="27">
        <v>2428.14</v>
      </c>
      <c r="J1801" s="27">
        <v>25380.22</v>
      </c>
      <c r="K1801" s="47">
        <f t="shared" si="225"/>
        <v>0.43104196890334284</v>
      </c>
      <c r="L1801" s="47">
        <f t="shared" si="226"/>
        <v>0.23422097995998456</v>
      </c>
      <c r="M1801" s="84">
        <f t="shared" si="227"/>
        <v>0.66526294886332737</v>
      </c>
      <c r="N1801" s="47">
        <f t="shared" si="228"/>
        <v>0.11075632914135496</v>
      </c>
      <c r="O1801" s="47">
        <f t="shared" si="229"/>
        <v>1.6066054588967312E-2</v>
      </c>
      <c r="P1801" s="47">
        <f t="shared" si="230"/>
        <v>9.5670565503372301E-2</v>
      </c>
      <c r="Q1801" s="47">
        <f t="shared" si="231"/>
        <v>1</v>
      </c>
    </row>
    <row r="1802" spans="1:17" x14ac:dyDescent="0.35">
      <c r="A1802" s="82">
        <v>1799</v>
      </c>
      <c r="B1802" s="83" t="str">
        <f>_xlfn.XLOOKUP(A1802,'TAZs by City - CCAG Model'!$A:$A,'TAZs by City - CCAG Model'!$B:$B,"Unknown")</f>
        <v>San Francisco</v>
      </c>
      <c r="C1802" s="82">
        <f>_xlfn.XLOOKUP(A1802,'TAZs by City - CCAG Model'!$A:$A,'TAZs by City - CCAG Model'!$C:$C,999)</f>
        <v>1</v>
      </c>
      <c r="D1802" s="82" t="str">
        <f t="shared" si="224"/>
        <v>NO</v>
      </c>
      <c r="E1802" s="27">
        <v>7605.9</v>
      </c>
      <c r="F1802" s="27">
        <v>4298.1000000000004</v>
      </c>
      <c r="G1802" s="27">
        <v>3373.84</v>
      </c>
      <c r="H1802" s="27">
        <v>328.7</v>
      </c>
      <c r="I1802" s="27">
        <v>1916.5</v>
      </c>
      <c r="J1802" s="27">
        <v>20933.2</v>
      </c>
      <c r="K1802" s="47">
        <f t="shared" si="225"/>
        <v>0.36334148625150475</v>
      </c>
      <c r="L1802" s="47">
        <f t="shared" si="226"/>
        <v>0.20532455620736439</v>
      </c>
      <c r="M1802" s="84">
        <f t="shared" si="227"/>
        <v>0.56866604245886909</v>
      </c>
      <c r="N1802" s="47">
        <f t="shared" si="228"/>
        <v>0.16117172720845355</v>
      </c>
      <c r="O1802" s="47">
        <f t="shared" si="229"/>
        <v>1.5702329314199452E-2</v>
      </c>
      <c r="P1802" s="47">
        <f t="shared" si="230"/>
        <v>9.1553130911661854E-2</v>
      </c>
      <c r="Q1802" s="47">
        <f t="shared" si="231"/>
        <v>1</v>
      </c>
    </row>
    <row r="1803" spans="1:17" x14ac:dyDescent="0.35">
      <c r="A1803" s="82">
        <v>1800</v>
      </c>
      <c r="B1803" s="83" t="str">
        <f>_xlfn.XLOOKUP(A1803,'TAZs by City - CCAG Model'!$A:$A,'TAZs by City - CCAG Model'!$B:$B,"Unknown")</f>
        <v>San Francisco</v>
      </c>
      <c r="C1803" s="82">
        <f>_xlfn.XLOOKUP(A1803,'TAZs by City - CCAG Model'!$A:$A,'TAZs by City - CCAG Model'!$C:$C,999)</f>
        <v>1</v>
      </c>
      <c r="D1803" s="82" t="str">
        <f t="shared" si="224"/>
        <v>NO</v>
      </c>
      <c r="E1803" s="27">
        <v>9803.74</v>
      </c>
      <c r="F1803" s="27">
        <v>5449.94</v>
      </c>
      <c r="G1803" s="27">
        <v>5352.8</v>
      </c>
      <c r="H1803" s="27">
        <v>474.9</v>
      </c>
      <c r="I1803" s="27">
        <v>2579.2199999999998</v>
      </c>
      <c r="J1803" s="27">
        <v>29051.96</v>
      </c>
      <c r="K1803" s="47">
        <f t="shared" si="225"/>
        <v>0.3374553730626092</v>
      </c>
      <c r="L1803" s="47">
        <f t="shared" si="226"/>
        <v>0.18759285087821956</v>
      </c>
      <c r="M1803" s="84">
        <f t="shared" si="227"/>
        <v>0.52504822394082884</v>
      </c>
      <c r="N1803" s="47">
        <f t="shared" si="228"/>
        <v>0.18424918662974893</v>
      </c>
      <c r="O1803" s="47">
        <f t="shared" si="229"/>
        <v>1.6346573518619741E-2</v>
      </c>
      <c r="P1803" s="47">
        <f t="shared" si="230"/>
        <v>8.8779552222982547E-2</v>
      </c>
      <c r="Q1803" s="47">
        <f t="shared" si="231"/>
        <v>1</v>
      </c>
    </row>
    <row r="1804" spans="1:17" x14ac:dyDescent="0.35">
      <c r="A1804" s="82">
        <v>1801</v>
      </c>
      <c r="B1804" s="83" t="str">
        <f>_xlfn.XLOOKUP(A1804,'TAZs by City - CCAG Model'!$A:$A,'TAZs by City - CCAG Model'!$B:$B,"Unknown")</f>
        <v>San Francisco</v>
      </c>
      <c r="C1804" s="82">
        <f>_xlfn.XLOOKUP(A1804,'TAZs by City - CCAG Model'!$A:$A,'TAZs by City - CCAG Model'!$C:$C,999)</f>
        <v>1</v>
      </c>
      <c r="D1804" s="82" t="str">
        <f t="shared" si="224"/>
        <v>NO</v>
      </c>
      <c r="E1804" s="27">
        <v>14080.36</v>
      </c>
      <c r="F1804" s="27">
        <v>7430.44</v>
      </c>
      <c r="G1804" s="27">
        <v>8638.74</v>
      </c>
      <c r="H1804" s="27">
        <v>825.92</v>
      </c>
      <c r="I1804" s="27">
        <v>4820.8599999999997</v>
      </c>
      <c r="J1804" s="27">
        <v>44476.24</v>
      </c>
      <c r="K1804" s="47">
        <f t="shared" si="225"/>
        <v>0.3165816175108328</v>
      </c>
      <c r="L1804" s="47">
        <f t="shared" si="226"/>
        <v>0.16706538142612776</v>
      </c>
      <c r="M1804" s="84">
        <f t="shared" si="227"/>
        <v>0.4836469989369605</v>
      </c>
      <c r="N1804" s="47">
        <f t="shared" si="228"/>
        <v>0.19423269592933215</v>
      </c>
      <c r="O1804" s="47">
        <f t="shared" si="229"/>
        <v>1.8569915082749799E-2</v>
      </c>
      <c r="P1804" s="47">
        <f t="shared" si="230"/>
        <v>0.10839180650162873</v>
      </c>
      <c r="Q1804" s="47">
        <f t="shared" si="231"/>
        <v>1</v>
      </c>
    </row>
    <row r="1805" spans="1:17" x14ac:dyDescent="0.35">
      <c r="A1805" s="82">
        <v>1802</v>
      </c>
      <c r="B1805" s="83" t="str">
        <f>_xlfn.XLOOKUP(A1805,'TAZs by City - CCAG Model'!$A:$A,'TAZs by City - CCAG Model'!$B:$B,"Unknown")</f>
        <v>San Francisco</v>
      </c>
      <c r="C1805" s="82">
        <f>_xlfn.XLOOKUP(A1805,'TAZs by City - CCAG Model'!$A:$A,'TAZs by City - CCAG Model'!$C:$C,999)</f>
        <v>1</v>
      </c>
      <c r="D1805" s="82" t="str">
        <f t="shared" si="224"/>
        <v>NO</v>
      </c>
      <c r="E1805" s="27">
        <v>11322.3</v>
      </c>
      <c r="F1805" s="27">
        <v>5758.78</v>
      </c>
      <c r="G1805" s="27">
        <v>5495.3</v>
      </c>
      <c r="H1805" s="27">
        <v>540.62</v>
      </c>
      <c r="I1805" s="27">
        <v>3487.14</v>
      </c>
      <c r="J1805" s="27">
        <v>32137.279999999999</v>
      </c>
      <c r="K1805" s="47">
        <f t="shared" si="225"/>
        <v>0.35231046311324415</v>
      </c>
      <c r="L1805" s="47">
        <f t="shared" si="226"/>
        <v>0.17919313644465243</v>
      </c>
      <c r="M1805" s="84">
        <f t="shared" si="227"/>
        <v>0.53150359955789661</v>
      </c>
      <c r="N1805" s="47">
        <f t="shared" si="228"/>
        <v>0.17099455834470123</v>
      </c>
      <c r="O1805" s="47">
        <f t="shared" si="229"/>
        <v>1.6822207728843262E-2</v>
      </c>
      <c r="P1805" s="47">
        <f t="shared" si="230"/>
        <v>0.1085076272789732</v>
      </c>
      <c r="Q1805" s="47">
        <f t="shared" si="231"/>
        <v>1</v>
      </c>
    </row>
    <row r="1806" spans="1:17" x14ac:dyDescent="0.35">
      <c r="A1806" s="82">
        <v>1803</v>
      </c>
      <c r="B1806" s="83" t="str">
        <f>_xlfn.XLOOKUP(A1806,'TAZs by City - CCAG Model'!$A:$A,'TAZs by City - CCAG Model'!$B:$B,"Unknown")</f>
        <v>San Francisco</v>
      </c>
      <c r="C1806" s="82">
        <f>_xlfn.XLOOKUP(A1806,'TAZs by City - CCAG Model'!$A:$A,'TAZs by City - CCAG Model'!$C:$C,999)</f>
        <v>1</v>
      </c>
      <c r="D1806" s="82" t="str">
        <f t="shared" si="224"/>
        <v>NO</v>
      </c>
      <c r="E1806" s="27">
        <v>14620.38</v>
      </c>
      <c r="F1806" s="27">
        <v>7953.32</v>
      </c>
      <c r="G1806" s="27">
        <v>4954.5</v>
      </c>
      <c r="H1806" s="27">
        <v>586.5</v>
      </c>
      <c r="I1806" s="27">
        <v>3300.48</v>
      </c>
      <c r="J1806" s="27">
        <v>36406.78</v>
      </c>
      <c r="K1806" s="47">
        <f t="shared" si="225"/>
        <v>0.40158399067426453</v>
      </c>
      <c r="L1806" s="47">
        <f t="shared" si="226"/>
        <v>0.21845711155998965</v>
      </c>
      <c r="M1806" s="84">
        <f t="shared" si="227"/>
        <v>0.62004110223425413</v>
      </c>
      <c r="N1806" s="47">
        <f t="shared" si="228"/>
        <v>0.13608728923568633</v>
      </c>
      <c r="O1806" s="47">
        <f t="shared" si="229"/>
        <v>1.6109636721511764E-2</v>
      </c>
      <c r="P1806" s="47">
        <f t="shared" si="230"/>
        <v>9.0655641614007063E-2</v>
      </c>
      <c r="Q1806" s="47">
        <f t="shared" si="231"/>
        <v>1</v>
      </c>
    </row>
    <row r="1807" spans="1:17" x14ac:dyDescent="0.35">
      <c r="A1807" s="82">
        <v>1804</v>
      </c>
      <c r="B1807" s="83" t="str">
        <f>_xlfn.XLOOKUP(A1807,'TAZs by City - CCAG Model'!$A:$A,'TAZs by City - CCAG Model'!$B:$B,"Unknown")</f>
        <v>San Francisco</v>
      </c>
      <c r="C1807" s="82">
        <f>_xlfn.XLOOKUP(A1807,'TAZs by City - CCAG Model'!$A:$A,'TAZs by City - CCAG Model'!$C:$C,999)</f>
        <v>1</v>
      </c>
      <c r="D1807" s="82" t="str">
        <f t="shared" si="224"/>
        <v>NO</v>
      </c>
      <c r="E1807" s="27">
        <v>10292.84</v>
      </c>
      <c r="F1807" s="27">
        <v>4878.22</v>
      </c>
      <c r="G1807" s="27">
        <v>3508</v>
      </c>
      <c r="H1807" s="27">
        <v>435.9</v>
      </c>
      <c r="I1807" s="27">
        <v>2558.8000000000002</v>
      </c>
      <c r="J1807" s="27">
        <v>25224.240000000002</v>
      </c>
      <c r="K1807" s="47">
        <f t="shared" si="225"/>
        <v>0.40805352311903154</v>
      </c>
      <c r="L1807" s="47">
        <f t="shared" si="226"/>
        <v>0.19339413199366959</v>
      </c>
      <c r="M1807" s="84">
        <f t="shared" si="227"/>
        <v>0.60144765511270115</v>
      </c>
      <c r="N1807" s="47">
        <f t="shared" si="228"/>
        <v>0.13907257463455786</v>
      </c>
      <c r="O1807" s="47">
        <f t="shared" si="229"/>
        <v>1.7280996374915557E-2</v>
      </c>
      <c r="P1807" s="47">
        <f t="shared" si="230"/>
        <v>0.10144210489592551</v>
      </c>
      <c r="Q1807" s="47">
        <f t="shared" si="231"/>
        <v>1</v>
      </c>
    </row>
    <row r="1808" spans="1:17" x14ac:dyDescent="0.35">
      <c r="A1808" s="82">
        <v>1805</v>
      </c>
      <c r="B1808" s="83" t="str">
        <f>_xlfn.XLOOKUP(A1808,'TAZs by City - CCAG Model'!$A:$A,'TAZs by City - CCAG Model'!$B:$B,"Unknown")</f>
        <v>San Francisco</v>
      </c>
      <c r="C1808" s="82">
        <f>_xlfn.XLOOKUP(A1808,'TAZs by City - CCAG Model'!$A:$A,'TAZs by City - CCAG Model'!$C:$C,999)</f>
        <v>1</v>
      </c>
      <c r="D1808" s="82" t="str">
        <f t="shared" si="224"/>
        <v>NO</v>
      </c>
      <c r="E1808" s="27">
        <v>13376.12</v>
      </c>
      <c r="F1808" s="27">
        <v>6771.26</v>
      </c>
      <c r="G1808" s="27">
        <v>8539.14</v>
      </c>
      <c r="H1808" s="27">
        <v>801.7</v>
      </c>
      <c r="I1808" s="27">
        <v>5699.44</v>
      </c>
      <c r="J1808" s="27">
        <v>43771.3</v>
      </c>
      <c r="K1808" s="47">
        <f t="shared" si="225"/>
        <v>0.30559110650129195</v>
      </c>
      <c r="L1808" s="47">
        <f t="shared" si="226"/>
        <v>0.15469634212372033</v>
      </c>
      <c r="M1808" s="84">
        <f t="shared" si="227"/>
        <v>0.46028744862501225</v>
      </c>
      <c r="N1808" s="47">
        <f t="shared" si="228"/>
        <v>0.19508536415413749</v>
      </c>
      <c r="O1808" s="47">
        <f t="shared" si="229"/>
        <v>1.8315654321438935E-2</v>
      </c>
      <c r="P1808" s="47">
        <f t="shared" si="230"/>
        <v>0.13020952085042023</v>
      </c>
      <c r="Q1808" s="47">
        <f t="shared" si="231"/>
        <v>1</v>
      </c>
    </row>
    <row r="1809" spans="1:17" x14ac:dyDescent="0.35">
      <c r="A1809" s="82">
        <v>1806</v>
      </c>
      <c r="B1809" s="83" t="str">
        <f>_xlfn.XLOOKUP(A1809,'TAZs by City - CCAG Model'!$A:$A,'TAZs by City - CCAG Model'!$B:$B,"Unknown")</f>
        <v>San Francisco</v>
      </c>
      <c r="C1809" s="82">
        <f>_xlfn.XLOOKUP(A1809,'TAZs by City - CCAG Model'!$A:$A,'TAZs by City - CCAG Model'!$C:$C,999)</f>
        <v>1</v>
      </c>
      <c r="D1809" s="82" t="str">
        <f t="shared" si="224"/>
        <v>NO</v>
      </c>
      <c r="E1809" s="27">
        <v>31354.12</v>
      </c>
      <c r="F1809" s="27">
        <v>13252.36</v>
      </c>
      <c r="G1809" s="27">
        <v>22437.86</v>
      </c>
      <c r="H1809" s="27">
        <v>1853.34</v>
      </c>
      <c r="I1809" s="27">
        <v>12982.58</v>
      </c>
      <c r="J1809" s="27">
        <v>104340.52</v>
      </c>
      <c r="K1809" s="47">
        <f t="shared" si="225"/>
        <v>0.30049802320325791</v>
      </c>
      <c r="L1809" s="47">
        <f t="shared" si="226"/>
        <v>0.12701067619751177</v>
      </c>
      <c r="M1809" s="84">
        <f t="shared" si="227"/>
        <v>0.42750869940076963</v>
      </c>
      <c r="N1809" s="47">
        <f t="shared" si="228"/>
        <v>0.21504454836912831</v>
      </c>
      <c r="O1809" s="47">
        <f t="shared" si="229"/>
        <v>1.7762418665346884E-2</v>
      </c>
      <c r="P1809" s="47">
        <f t="shared" si="230"/>
        <v>0.12442510349766323</v>
      </c>
      <c r="Q1809" s="47">
        <f t="shared" si="231"/>
        <v>1</v>
      </c>
    </row>
    <row r="1810" spans="1:17" x14ac:dyDescent="0.35">
      <c r="A1810" s="82">
        <v>1807</v>
      </c>
      <c r="B1810" s="83" t="str">
        <f>_xlfn.XLOOKUP(A1810,'TAZs by City - CCAG Model'!$A:$A,'TAZs by City - CCAG Model'!$B:$B,"Unknown")</f>
        <v>San Francisco</v>
      </c>
      <c r="C1810" s="82">
        <f>_xlfn.XLOOKUP(A1810,'TAZs by City - CCAG Model'!$A:$A,'TAZs by City - CCAG Model'!$C:$C,999)</f>
        <v>1</v>
      </c>
      <c r="D1810" s="82" t="str">
        <f t="shared" si="224"/>
        <v>NO</v>
      </c>
      <c r="E1810" s="27">
        <v>24338.78</v>
      </c>
      <c r="F1810" s="27">
        <v>9396.86</v>
      </c>
      <c r="G1810" s="27">
        <v>14608.46</v>
      </c>
      <c r="H1810" s="27">
        <v>1269.1199999999999</v>
      </c>
      <c r="I1810" s="27">
        <v>7609.94</v>
      </c>
      <c r="J1810" s="27">
        <v>71854.14</v>
      </c>
      <c r="K1810" s="47">
        <f t="shared" si="225"/>
        <v>0.3387248111243138</v>
      </c>
      <c r="L1810" s="47">
        <f t="shared" si="226"/>
        <v>0.13077687660029055</v>
      </c>
      <c r="M1810" s="84">
        <f t="shared" si="227"/>
        <v>0.46950168772460432</v>
      </c>
      <c r="N1810" s="47">
        <f t="shared" si="228"/>
        <v>0.20330714416733675</v>
      </c>
      <c r="O1810" s="47">
        <f t="shared" si="229"/>
        <v>1.7662447842253765E-2</v>
      </c>
      <c r="P1810" s="47">
        <f t="shared" si="230"/>
        <v>0.1059081633987965</v>
      </c>
      <c r="Q1810" s="47">
        <f t="shared" si="231"/>
        <v>1</v>
      </c>
    </row>
    <row r="1811" spans="1:17" x14ac:dyDescent="0.35">
      <c r="A1811" s="82">
        <v>1808</v>
      </c>
      <c r="B1811" s="83" t="str">
        <f>_xlfn.XLOOKUP(A1811,'TAZs by City - CCAG Model'!$A:$A,'TAZs by City - CCAG Model'!$B:$B,"Unknown")</f>
        <v>San Francisco</v>
      </c>
      <c r="C1811" s="82">
        <f>_xlfn.XLOOKUP(A1811,'TAZs by City - CCAG Model'!$A:$A,'TAZs by City - CCAG Model'!$C:$C,999)</f>
        <v>1</v>
      </c>
      <c r="D1811" s="82" t="str">
        <f t="shared" si="224"/>
        <v>NO</v>
      </c>
      <c r="E1811" s="27">
        <v>15360.02</v>
      </c>
      <c r="F1811" s="27">
        <v>5219.0200000000004</v>
      </c>
      <c r="G1811" s="27">
        <v>2666.06</v>
      </c>
      <c r="H1811" s="27">
        <v>453.54</v>
      </c>
      <c r="I1811" s="27">
        <v>2388.04</v>
      </c>
      <c r="J1811" s="27">
        <v>28792.560000000001</v>
      </c>
      <c r="K1811" s="47">
        <f t="shared" si="225"/>
        <v>0.53347184133678982</v>
      </c>
      <c r="L1811" s="47">
        <f t="shared" si="226"/>
        <v>0.18126279844515389</v>
      </c>
      <c r="M1811" s="84">
        <f t="shared" si="227"/>
        <v>0.71473463978194363</v>
      </c>
      <c r="N1811" s="47">
        <f t="shared" si="228"/>
        <v>9.2595448268580488E-2</v>
      </c>
      <c r="O1811" s="47">
        <f t="shared" si="229"/>
        <v>1.5751985929698505E-2</v>
      </c>
      <c r="P1811" s="47">
        <f t="shared" si="230"/>
        <v>8.2939481588299196E-2</v>
      </c>
      <c r="Q1811" s="47">
        <f t="shared" si="231"/>
        <v>1</v>
      </c>
    </row>
    <row r="1812" spans="1:17" x14ac:dyDescent="0.35">
      <c r="A1812" s="82">
        <v>1809</v>
      </c>
      <c r="B1812" s="83" t="str">
        <f>_xlfn.XLOOKUP(A1812,'TAZs by City - CCAG Model'!$A:$A,'TAZs by City - CCAG Model'!$B:$B,"Unknown")</f>
        <v>San Francisco</v>
      </c>
      <c r="C1812" s="82">
        <f>_xlfn.XLOOKUP(A1812,'TAZs by City - CCAG Model'!$A:$A,'TAZs by City - CCAG Model'!$C:$C,999)</f>
        <v>1</v>
      </c>
      <c r="D1812" s="82" t="str">
        <f t="shared" si="224"/>
        <v>NO</v>
      </c>
      <c r="E1812" s="27">
        <v>23993.98</v>
      </c>
      <c r="F1812" s="27">
        <v>11310.98</v>
      </c>
      <c r="G1812" s="27">
        <v>10140.86</v>
      </c>
      <c r="H1812" s="27">
        <v>1137.96</v>
      </c>
      <c r="I1812" s="27">
        <v>8591.56</v>
      </c>
      <c r="J1812" s="27">
        <v>65348.800000000003</v>
      </c>
      <c r="K1812" s="47">
        <f t="shared" si="225"/>
        <v>0.36716787454398547</v>
      </c>
      <c r="L1812" s="47">
        <f t="shared" si="226"/>
        <v>0.17308626937296476</v>
      </c>
      <c r="M1812" s="84">
        <f t="shared" si="227"/>
        <v>0.54025414391695026</v>
      </c>
      <c r="N1812" s="47">
        <f t="shared" si="228"/>
        <v>0.15518050828783389</v>
      </c>
      <c r="O1812" s="47">
        <f t="shared" si="229"/>
        <v>1.7413632691036407E-2</v>
      </c>
      <c r="P1812" s="47">
        <f t="shared" si="230"/>
        <v>0.13147234532233185</v>
      </c>
      <c r="Q1812" s="47">
        <f t="shared" si="231"/>
        <v>1</v>
      </c>
    </row>
    <row r="1813" spans="1:17" x14ac:dyDescent="0.35">
      <c r="A1813" s="82">
        <v>1810</v>
      </c>
      <c r="B1813" s="83" t="str">
        <f>_xlfn.XLOOKUP(A1813,'TAZs by City - CCAG Model'!$A:$A,'TAZs by City - CCAG Model'!$B:$B,"Unknown")</f>
        <v>San Francisco</v>
      </c>
      <c r="C1813" s="82">
        <f>_xlfn.XLOOKUP(A1813,'TAZs by City - CCAG Model'!$A:$A,'TAZs by City - CCAG Model'!$C:$C,999)</f>
        <v>1</v>
      </c>
      <c r="D1813" s="82" t="str">
        <f t="shared" si="224"/>
        <v>NO</v>
      </c>
      <c r="E1813" s="27">
        <v>6795.06</v>
      </c>
      <c r="F1813" s="27">
        <v>2936.06</v>
      </c>
      <c r="G1813" s="27">
        <v>1900.68</v>
      </c>
      <c r="H1813" s="27">
        <v>229.78</v>
      </c>
      <c r="I1813" s="27">
        <v>1316.12</v>
      </c>
      <c r="J1813" s="27">
        <v>15123.14</v>
      </c>
      <c r="K1813" s="47">
        <f t="shared" si="225"/>
        <v>0.44931541994585783</v>
      </c>
      <c r="L1813" s="47">
        <f t="shared" si="226"/>
        <v>0.19414354426395578</v>
      </c>
      <c r="M1813" s="84">
        <f t="shared" si="227"/>
        <v>0.64345896420981363</v>
      </c>
      <c r="N1813" s="47">
        <f t="shared" si="228"/>
        <v>0.12568024894301053</v>
      </c>
      <c r="O1813" s="47">
        <f t="shared" si="229"/>
        <v>1.519393459294829E-2</v>
      </c>
      <c r="P1813" s="47">
        <f t="shared" si="230"/>
        <v>8.7026900498176962E-2</v>
      </c>
      <c r="Q1813" s="47">
        <f t="shared" si="231"/>
        <v>1</v>
      </c>
    </row>
    <row r="1814" spans="1:17" x14ac:dyDescent="0.35">
      <c r="A1814" s="82">
        <v>1811</v>
      </c>
      <c r="B1814" s="83" t="str">
        <f>_xlfn.XLOOKUP(A1814,'TAZs by City - CCAG Model'!$A:$A,'TAZs by City - CCAG Model'!$B:$B,"Unknown")</f>
        <v>San Francisco</v>
      </c>
      <c r="C1814" s="82">
        <f>_xlfn.XLOOKUP(A1814,'TAZs by City - CCAG Model'!$A:$A,'TAZs by City - CCAG Model'!$C:$C,999)</f>
        <v>1</v>
      </c>
      <c r="D1814" s="82" t="str">
        <f t="shared" si="224"/>
        <v>NO</v>
      </c>
      <c r="E1814" s="27">
        <v>13186.74</v>
      </c>
      <c r="F1814" s="27">
        <v>5027.5200000000004</v>
      </c>
      <c r="G1814" s="27">
        <v>2363.64</v>
      </c>
      <c r="H1814" s="27">
        <v>384.64</v>
      </c>
      <c r="I1814" s="27">
        <v>1425.16</v>
      </c>
      <c r="J1814" s="27">
        <v>24791.54</v>
      </c>
      <c r="K1814" s="47">
        <f t="shared" si="225"/>
        <v>0.53190483527848609</v>
      </c>
      <c r="L1814" s="47">
        <f t="shared" si="226"/>
        <v>0.2027917588015912</v>
      </c>
      <c r="M1814" s="84">
        <f t="shared" si="227"/>
        <v>0.73469659408007737</v>
      </c>
      <c r="N1814" s="47">
        <f t="shared" si="228"/>
        <v>9.5340587958634274E-2</v>
      </c>
      <c r="O1814" s="47">
        <f t="shared" si="229"/>
        <v>1.5514970026065342E-2</v>
      </c>
      <c r="P1814" s="47">
        <f t="shared" si="230"/>
        <v>5.7485739086801386E-2</v>
      </c>
      <c r="Q1814" s="47">
        <f t="shared" si="231"/>
        <v>1</v>
      </c>
    </row>
    <row r="1815" spans="1:17" x14ac:dyDescent="0.35">
      <c r="A1815" s="82">
        <v>1812</v>
      </c>
      <c r="B1815" s="83" t="str">
        <f>_xlfn.XLOOKUP(A1815,'TAZs by City - CCAG Model'!$A:$A,'TAZs by City - CCAG Model'!$B:$B,"Unknown")</f>
        <v>San Francisco</v>
      </c>
      <c r="C1815" s="82">
        <f>_xlfn.XLOOKUP(A1815,'TAZs by City - CCAG Model'!$A:$A,'TAZs by City - CCAG Model'!$C:$C,999)</f>
        <v>1</v>
      </c>
      <c r="D1815" s="82" t="str">
        <f t="shared" si="224"/>
        <v>NO</v>
      </c>
      <c r="E1815" s="27">
        <v>5888.26</v>
      </c>
      <c r="F1815" s="27">
        <v>2877.34</v>
      </c>
      <c r="G1815" s="27">
        <v>1549.9</v>
      </c>
      <c r="H1815" s="27">
        <v>242.86</v>
      </c>
      <c r="I1815" s="27">
        <v>1043.68</v>
      </c>
      <c r="J1815" s="27">
        <v>13194.66</v>
      </c>
      <c r="K1815" s="47">
        <f t="shared" si="225"/>
        <v>0.44626083582297688</v>
      </c>
      <c r="L1815" s="47">
        <f t="shared" si="226"/>
        <v>0.21806852165951984</v>
      </c>
      <c r="M1815" s="84">
        <f t="shared" si="227"/>
        <v>0.66432935748249677</v>
      </c>
      <c r="N1815" s="47">
        <f t="shared" si="228"/>
        <v>0.11746418626929379</v>
      </c>
      <c r="O1815" s="47">
        <f t="shared" si="229"/>
        <v>1.8405930884160714E-2</v>
      </c>
      <c r="P1815" s="47">
        <f t="shared" si="230"/>
        <v>7.9098665672325028E-2</v>
      </c>
      <c r="Q1815" s="47">
        <f t="shared" si="231"/>
        <v>1</v>
      </c>
    </row>
    <row r="1816" spans="1:17" x14ac:dyDescent="0.35">
      <c r="A1816" s="82">
        <v>1813</v>
      </c>
      <c r="B1816" s="83" t="str">
        <f>_xlfn.XLOOKUP(A1816,'TAZs by City - CCAG Model'!$A:$A,'TAZs by City - CCAG Model'!$B:$B,"Unknown")</f>
        <v>San Francisco</v>
      </c>
      <c r="C1816" s="82">
        <f>_xlfn.XLOOKUP(A1816,'TAZs by City - CCAG Model'!$A:$A,'TAZs by City - CCAG Model'!$C:$C,999)</f>
        <v>1</v>
      </c>
      <c r="D1816" s="82" t="str">
        <f t="shared" si="224"/>
        <v>NO</v>
      </c>
      <c r="E1816" s="27">
        <v>11373.56</v>
      </c>
      <c r="F1816" s="27">
        <v>7367</v>
      </c>
      <c r="G1816" s="27">
        <v>2825.72</v>
      </c>
      <c r="H1816" s="27">
        <v>466</v>
      </c>
      <c r="I1816" s="27">
        <v>2074.04</v>
      </c>
      <c r="J1816" s="27">
        <v>26971.56</v>
      </c>
      <c r="K1816" s="47">
        <f t="shared" si="225"/>
        <v>0.42168714008385122</v>
      </c>
      <c r="L1816" s="47">
        <f t="shared" si="226"/>
        <v>0.27313955885384456</v>
      </c>
      <c r="M1816" s="84">
        <f t="shared" si="227"/>
        <v>0.69482669893769577</v>
      </c>
      <c r="N1816" s="47">
        <f t="shared" si="228"/>
        <v>0.10476665050149118</v>
      </c>
      <c r="O1816" s="47">
        <f t="shared" si="229"/>
        <v>1.7277458181877502E-2</v>
      </c>
      <c r="P1816" s="47">
        <f t="shared" si="230"/>
        <v>7.6897294780131367E-2</v>
      </c>
      <c r="Q1816" s="47">
        <f t="shared" si="231"/>
        <v>1</v>
      </c>
    </row>
    <row r="1817" spans="1:17" x14ac:dyDescent="0.35">
      <c r="A1817" s="82">
        <v>1814</v>
      </c>
      <c r="B1817" s="83" t="str">
        <f>_xlfn.XLOOKUP(A1817,'TAZs by City - CCAG Model'!$A:$A,'TAZs by City - CCAG Model'!$B:$B,"Unknown")</f>
        <v>San Francisco</v>
      </c>
      <c r="C1817" s="82">
        <f>_xlfn.XLOOKUP(A1817,'TAZs by City - CCAG Model'!$A:$A,'TAZs by City - CCAG Model'!$C:$C,999)</f>
        <v>1</v>
      </c>
      <c r="D1817" s="82" t="str">
        <f t="shared" si="224"/>
        <v>NO</v>
      </c>
      <c r="E1817" s="27">
        <v>8751.3799999999992</v>
      </c>
      <c r="F1817" s="27">
        <v>4355.9799999999996</v>
      </c>
      <c r="G1817" s="27">
        <v>2117.64</v>
      </c>
      <c r="H1817" s="27">
        <v>344.62</v>
      </c>
      <c r="I1817" s="27">
        <v>1749.66</v>
      </c>
      <c r="J1817" s="27">
        <v>19479.84</v>
      </c>
      <c r="K1817" s="47">
        <f t="shared" si="225"/>
        <v>0.44925317661746705</v>
      </c>
      <c r="L1817" s="47">
        <f t="shared" si="226"/>
        <v>0.22361477301661614</v>
      </c>
      <c r="M1817" s="84">
        <f t="shared" si="227"/>
        <v>0.67286794963408314</v>
      </c>
      <c r="N1817" s="47">
        <f t="shared" si="228"/>
        <v>0.1087093117807949</v>
      </c>
      <c r="O1817" s="47">
        <f t="shared" si="229"/>
        <v>1.7691110399264059E-2</v>
      </c>
      <c r="P1817" s="47">
        <f t="shared" si="230"/>
        <v>8.9819012887169508E-2</v>
      </c>
      <c r="Q1817" s="47">
        <f t="shared" si="231"/>
        <v>1</v>
      </c>
    </row>
    <row r="1818" spans="1:17" x14ac:dyDescent="0.35">
      <c r="A1818" s="82">
        <v>1815</v>
      </c>
      <c r="B1818" s="83" t="str">
        <f>_xlfn.XLOOKUP(A1818,'TAZs by City - CCAG Model'!$A:$A,'TAZs by City - CCAG Model'!$B:$B,"Unknown")</f>
        <v>San Francisco</v>
      </c>
      <c r="C1818" s="82">
        <f>_xlfn.XLOOKUP(A1818,'TAZs by City - CCAG Model'!$A:$A,'TAZs by City - CCAG Model'!$C:$C,999)</f>
        <v>1</v>
      </c>
      <c r="D1818" s="82" t="str">
        <f t="shared" si="224"/>
        <v>NO</v>
      </c>
      <c r="E1818" s="27">
        <v>12374.1</v>
      </c>
      <c r="F1818" s="27">
        <v>4717.4799999999996</v>
      </c>
      <c r="G1818" s="27">
        <v>2416.4</v>
      </c>
      <c r="H1818" s="27">
        <v>445.68</v>
      </c>
      <c r="I1818" s="27">
        <v>1534.4</v>
      </c>
      <c r="J1818" s="27">
        <v>23944</v>
      </c>
      <c r="K1818" s="47">
        <f t="shared" si="225"/>
        <v>0.51679335115268965</v>
      </c>
      <c r="L1818" s="47">
        <f t="shared" si="226"/>
        <v>0.19702138322753088</v>
      </c>
      <c r="M1818" s="84">
        <f t="shared" si="227"/>
        <v>0.71381473438022058</v>
      </c>
      <c r="N1818" s="47">
        <f t="shared" si="228"/>
        <v>0.1009188105579686</v>
      </c>
      <c r="O1818" s="47">
        <f t="shared" si="229"/>
        <v>1.861343133979285E-2</v>
      </c>
      <c r="P1818" s="47">
        <f t="shared" si="230"/>
        <v>6.4082860006682257E-2</v>
      </c>
      <c r="Q1818" s="47">
        <f t="shared" si="231"/>
        <v>1</v>
      </c>
    </row>
    <row r="1819" spans="1:17" x14ac:dyDescent="0.35">
      <c r="A1819" s="82">
        <v>1816</v>
      </c>
      <c r="B1819" s="83" t="str">
        <f>_xlfn.XLOOKUP(A1819,'TAZs by City - CCAG Model'!$A:$A,'TAZs by City - CCAG Model'!$B:$B,"Unknown")</f>
        <v>San Francisco</v>
      </c>
      <c r="C1819" s="82">
        <f>_xlfn.XLOOKUP(A1819,'TAZs by City - CCAG Model'!$A:$A,'TAZs by City - CCAG Model'!$C:$C,999)</f>
        <v>1</v>
      </c>
      <c r="D1819" s="82" t="str">
        <f t="shared" si="224"/>
        <v>NO</v>
      </c>
      <c r="E1819" s="27">
        <v>13077.86</v>
      </c>
      <c r="F1819" s="27">
        <v>6898.18</v>
      </c>
      <c r="G1819" s="27">
        <v>5630.72</v>
      </c>
      <c r="H1819" s="27">
        <v>693.44</v>
      </c>
      <c r="I1819" s="27">
        <v>3788.6</v>
      </c>
      <c r="J1819" s="27">
        <v>35757.620000000003</v>
      </c>
      <c r="K1819" s="47">
        <f t="shared" si="225"/>
        <v>0.36573631019066705</v>
      </c>
      <c r="L1819" s="47">
        <f t="shared" si="226"/>
        <v>0.1929149646984335</v>
      </c>
      <c r="M1819" s="84">
        <f t="shared" si="227"/>
        <v>0.55865127488910049</v>
      </c>
      <c r="N1819" s="47">
        <f t="shared" si="228"/>
        <v>0.15746909330095235</v>
      </c>
      <c r="O1819" s="47">
        <f t="shared" si="229"/>
        <v>1.9392789564853588E-2</v>
      </c>
      <c r="P1819" s="47">
        <f t="shared" si="230"/>
        <v>0.10595224178790422</v>
      </c>
      <c r="Q1819" s="47">
        <f t="shared" si="231"/>
        <v>1</v>
      </c>
    </row>
    <row r="1820" spans="1:17" x14ac:dyDescent="0.35">
      <c r="A1820" s="82">
        <v>1817</v>
      </c>
      <c r="B1820" s="83" t="str">
        <f>_xlfn.XLOOKUP(A1820,'TAZs by City - CCAG Model'!$A:$A,'TAZs by City - CCAG Model'!$B:$B,"Unknown")</f>
        <v>San Francisco</v>
      </c>
      <c r="C1820" s="82">
        <f>_xlfn.XLOOKUP(A1820,'TAZs by City - CCAG Model'!$A:$A,'TAZs by City - CCAG Model'!$C:$C,999)</f>
        <v>1</v>
      </c>
      <c r="D1820" s="82" t="str">
        <f t="shared" si="224"/>
        <v>NO</v>
      </c>
      <c r="E1820" s="27">
        <v>6590.8</v>
      </c>
      <c r="F1820" s="27">
        <v>4625</v>
      </c>
      <c r="G1820" s="27">
        <v>4301.46</v>
      </c>
      <c r="H1820" s="27">
        <v>406.8</v>
      </c>
      <c r="I1820" s="27">
        <v>2131.9</v>
      </c>
      <c r="J1820" s="27">
        <v>22393.24</v>
      </c>
      <c r="K1820" s="47">
        <f t="shared" si="225"/>
        <v>0.29432096471971003</v>
      </c>
      <c r="L1820" s="47">
        <f t="shared" si="226"/>
        <v>0.20653554376231398</v>
      </c>
      <c r="M1820" s="84">
        <f t="shared" si="227"/>
        <v>0.50085650848202401</v>
      </c>
      <c r="N1820" s="47">
        <f t="shared" si="228"/>
        <v>0.19208743352904714</v>
      </c>
      <c r="O1820" s="47">
        <f t="shared" si="229"/>
        <v>1.816619658432634E-2</v>
      </c>
      <c r="P1820" s="47">
        <f t="shared" si="230"/>
        <v>9.5202837999324788E-2</v>
      </c>
      <c r="Q1820" s="47">
        <f t="shared" si="231"/>
        <v>1</v>
      </c>
    </row>
    <row r="1821" spans="1:17" x14ac:dyDescent="0.35">
      <c r="A1821" s="82">
        <v>1818</v>
      </c>
      <c r="B1821" s="83" t="str">
        <f>_xlfn.XLOOKUP(A1821,'TAZs by City - CCAG Model'!$A:$A,'TAZs by City - CCAG Model'!$B:$B,"Unknown")</f>
        <v>San Francisco</v>
      </c>
      <c r="C1821" s="82">
        <f>_xlfn.XLOOKUP(A1821,'TAZs by City - CCAG Model'!$A:$A,'TAZs by City - CCAG Model'!$C:$C,999)</f>
        <v>1</v>
      </c>
      <c r="D1821" s="82" t="str">
        <f t="shared" si="224"/>
        <v>NO</v>
      </c>
      <c r="E1821" s="27">
        <v>5902.72</v>
      </c>
      <c r="F1821" s="27">
        <v>4635.72</v>
      </c>
      <c r="G1821" s="27">
        <v>3804.5</v>
      </c>
      <c r="H1821" s="27">
        <v>346.1</v>
      </c>
      <c r="I1821" s="27">
        <v>1845.66</v>
      </c>
      <c r="J1821" s="27">
        <v>20374.28</v>
      </c>
      <c r="K1821" s="47">
        <f t="shared" si="225"/>
        <v>0.28971428683614836</v>
      </c>
      <c r="L1821" s="47">
        <f t="shared" si="226"/>
        <v>0.22752804025467405</v>
      </c>
      <c r="M1821" s="84">
        <f t="shared" si="227"/>
        <v>0.51724232709082241</v>
      </c>
      <c r="N1821" s="47">
        <f t="shared" si="228"/>
        <v>0.18673052495597392</v>
      </c>
      <c r="O1821" s="47">
        <f t="shared" si="229"/>
        <v>1.6987103347946529E-2</v>
      </c>
      <c r="P1821" s="47">
        <f t="shared" si="230"/>
        <v>9.0587741014651821E-2</v>
      </c>
      <c r="Q1821" s="47">
        <f t="shared" si="231"/>
        <v>1</v>
      </c>
    </row>
    <row r="1822" spans="1:17" x14ac:dyDescent="0.35">
      <c r="A1822" s="82">
        <v>1819</v>
      </c>
      <c r="B1822" s="83" t="str">
        <f>_xlfn.XLOOKUP(A1822,'TAZs by City - CCAG Model'!$A:$A,'TAZs by City - CCAG Model'!$B:$B,"Unknown")</f>
        <v>San Francisco</v>
      </c>
      <c r="C1822" s="82">
        <f>_xlfn.XLOOKUP(A1822,'TAZs by City - CCAG Model'!$A:$A,'TAZs by City - CCAG Model'!$C:$C,999)</f>
        <v>1</v>
      </c>
      <c r="D1822" s="82" t="str">
        <f t="shared" si="224"/>
        <v>NO</v>
      </c>
      <c r="E1822" s="27">
        <v>4198.12</v>
      </c>
      <c r="F1822" s="27">
        <v>2854.48</v>
      </c>
      <c r="G1822" s="27">
        <v>1978.36</v>
      </c>
      <c r="H1822" s="27">
        <v>226.68</v>
      </c>
      <c r="I1822" s="27">
        <v>890.1</v>
      </c>
      <c r="J1822" s="27">
        <v>12160.62</v>
      </c>
      <c r="K1822" s="47">
        <f t="shared" si="225"/>
        <v>0.34522252977233064</v>
      </c>
      <c r="L1822" s="47">
        <f t="shared" si="226"/>
        <v>0.23473145283710861</v>
      </c>
      <c r="M1822" s="84">
        <f t="shared" si="227"/>
        <v>0.57995398260943931</v>
      </c>
      <c r="N1822" s="47">
        <f t="shared" si="228"/>
        <v>0.16268578411298107</v>
      </c>
      <c r="O1822" s="47">
        <f t="shared" si="229"/>
        <v>1.8640496948346384E-2</v>
      </c>
      <c r="P1822" s="47">
        <f t="shared" si="230"/>
        <v>7.3195281161651291E-2</v>
      </c>
      <c r="Q1822" s="47">
        <f t="shared" si="231"/>
        <v>1</v>
      </c>
    </row>
    <row r="1823" spans="1:17" x14ac:dyDescent="0.35">
      <c r="A1823" s="82">
        <v>1820</v>
      </c>
      <c r="B1823" s="83" t="str">
        <f>_xlfn.XLOOKUP(A1823,'TAZs by City - CCAG Model'!$A:$A,'TAZs by City - CCAG Model'!$B:$B,"Unknown")</f>
        <v>San Francisco</v>
      </c>
      <c r="C1823" s="82">
        <f>_xlfn.XLOOKUP(A1823,'TAZs by City - CCAG Model'!$A:$A,'TAZs by City - CCAG Model'!$C:$C,999)</f>
        <v>1</v>
      </c>
      <c r="D1823" s="82" t="str">
        <f t="shared" si="224"/>
        <v>NO</v>
      </c>
      <c r="E1823" s="27">
        <v>5836.12</v>
      </c>
      <c r="F1823" s="27">
        <v>4068.72</v>
      </c>
      <c r="G1823" s="27">
        <v>1894.66</v>
      </c>
      <c r="H1823" s="27">
        <v>267.44</v>
      </c>
      <c r="I1823" s="27">
        <v>1026.06</v>
      </c>
      <c r="J1823" s="27">
        <v>15023.32</v>
      </c>
      <c r="K1823" s="47">
        <f t="shared" si="225"/>
        <v>0.38847072418080691</v>
      </c>
      <c r="L1823" s="47">
        <f t="shared" si="226"/>
        <v>0.27082695436161913</v>
      </c>
      <c r="M1823" s="84">
        <f t="shared" si="227"/>
        <v>0.65929767854242605</v>
      </c>
      <c r="N1823" s="47">
        <f t="shared" si="228"/>
        <v>0.12611460050108764</v>
      </c>
      <c r="O1823" s="47">
        <f t="shared" si="229"/>
        <v>1.780165768951204E-2</v>
      </c>
      <c r="P1823" s="47">
        <f t="shared" si="230"/>
        <v>6.8297819656374215E-2</v>
      </c>
      <c r="Q1823" s="47">
        <f t="shared" si="231"/>
        <v>1</v>
      </c>
    </row>
    <row r="1824" spans="1:17" x14ac:dyDescent="0.35">
      <c r="A1824" s="82">
        <v>1821</v>
      </c>
      <c r="B1824" s="83" t="str">
        <f>_xlfn.XLOOKUP(A1824,'TAZs by City - CCAG Model'!$A:$A,'TAZs by City - CCAG Model'!$B:$B,"Unknown")</f>
        <v>San Francisco</v>
      </c>
      <c r="C1824" s="82">
        <f>_xlfn.XLOOKUP(A1824,'TAZs by City - CCAG Model'!$A:$A,'TAZs by City - CCAG Model'!$C:$C,999)</f>
        <v>1</v>
      </c>
      <c r="D1824" s="82" t="str">
        <f t="shared" si="224"/>
        <v>NO</v>
      </c>
      <c r="E1824" s="27">
        <v>6660.5</v>
      </c>
      <c r="F1824" s="27">
        <v>4400.16</v>
      </c>
      <c r="G1824" s="27">
        <v>1084.94</v>
      </c>
      <c r="H1824" s="27">
        <v>220.78</v>
      </c>
      <c r="I1824" s="27">
        <v>879.68</v>
      </c>
      <c r="J1824" s="27">
        <v>14369.34</v>
      </c>
      <c r="K1824" s="47">
        <f t="shared" si="225"/>
        <v>0.4635216370410889</v>
      </c>
      <c r="L1824" s="47">
        <f t="shared" si="226"/>
        <v>0.30621865722434016</v>
      </c>
      <c r="M1824" s="84">
        <f t="shared" si="227"/>
        <v>0.769740294265429</v>
      </c>
      <c r="N1824" s="47">
        <f t="shared" si="228"/>
        <v>7.5503815763284882E-2</v>
      </c>
      <c r="O1824" s="47">
        <f t="shared" si="229"/>
        <v>1.53646583628754E-2</v>
      </c>
      <c r="P1824" s="47">
        <f t="shared" si="230"/>
        <v>6.12192348430756E-2</v>
      </c>
      <c r="Q1824" s="47">
        <f t="shared" si="231"/>
        <v>1</v>
      </c>
    </row>
    <row r="1825" spans="1:17" x14ac:dyDescent="0.35">
      <c r="A1825" s="82">
        <v>1822</v>
      </c>
      <c r="B1825" s="83" t="str">
        <f>_xlfn.XLOOKUP(A1825,'TAZs by City - CCAG Model'!$A:$A,'TAZs by City - CCAG Model'!$B:$B,"Unknown")</f>
        <v>San Francisco</v>
      </c>
      <c r="C1825" s="82">
        <f>_xlfn.XLOOKUP(A1825,'TAZs by City - CCAG Model'!$A:$A,'TAZs by City - CCAG Model'!$C:$C,999)</f>
        <v>1</v>
      </c>
      <c r="D1825" s="82" t="str">
        <f t="shared" si="224"/>
        <v>NO</v>
      </c>
      <c r="E1825" s="27">
        <v>11871.28</v>
      </c>
      <c r="F1825" s="27">
        <v>6801.96</v>
      </c>
      <c r="G1825" s="27">
        <v>3072.22</v>
      </c>
      <c r="H1825" s="27">
        <v>465.88</v>
      </c>
      <c r="I1825" s="27">
        <v>2105.12</v>
      </c>
      <c r="J1825" s="27">
        <v>27425.98</v>
      </c>
      <c r="K1825" s="47">
        <f t="shared" si="225"/>
        <v>0.43284797844963063</v>
      </c>
      <c r="L1825" s="47">
        <f t="shared" si="226"/>
        <v>0.248011556925222</v>
      </c>
      <c r="M1825" s="84">
        <f t="shared" si="227"/>
        <v>0.68085953537485266</v>
      </c>
      <c r="N1825" s="47">
        <f t="shared" si="228"/>
        <v>0.11201860425771476</v>
      </c>
      <c r="O1825" s="47">
        <f t="shared" si="229"/>
        <v>1.6986813233291938E-2</v>
      </c>
      <c r="P1825" s="47">
        <f t="shared" si="230"/>
        <v>7.67564185491275E-2</v>
      </c>
      <c r="Q1825" s="47">
        <f t="shared" si="231"/>
        <v>1</v>
      </c>
    </row>
    <row r="1826" spans="1:17" x14ac:dyDescent="0.35">
      <c r="A1826" s="82">
        <v>1823</v>
      </c>
      <c r="B1826" s="83" t="str">
        <f>_xlfn.XLOOKUP(A1826,'TAZs by City - CCAG Model'!$A:$A,'TAZs by City - CCAG Model'!$B:$B,"Unknown")</f>
        <v>San Francisco</v>
      </c>
      <c r="C1826" s="82">
        <f>_xlfn.XLOOKUP(A1826,'TAZs by City - CCAG Model'!$A:$A,'TAZs by City - CCAG Model'!$C:$C,999)</f>
        <v>1</v>
      </c>
      <c r="D1826" s="82" t="str">
        <f t="shared" si="224"/>
        <v>NO</v>
      </c>
      <c r="E1826" s="27">
        <v>13240.9</v>
      </c>
      <c r="F1826" s="27">
        <v>6879.02</v>
      </c>
      <c r="G1826" s="27">
        <v>3817.26</v>
      </c>
      <c r="H1826" s="27">
        <v>570.04</v>
      </c>
      <c r="I1826" s="27">
        <v>2256.98</v>
      </c>
      <c r="J1826" s="27">
        <v>30619.86</v>
      </c>
      <c r="K1826" s="47">
        <f t="shared" si="225"/>
        <v>0.43242849575406289</v>
      </c>
      <c r="L1826" s="47">
        <f t="shared" si="226"/>
        <v>0.22465876721840009</v>
      </c>
      <c r="M1826" s="84">
        <f t="shared" si="227"/>
        <v>0.65708726297246289</v>
      </c>
      <c r="N1826" s="47">
        <f t="shared" si="228"/>
        <v>0.12466614804901133</v>
      </c>
      <c r="O1826" s="47">
        <f t="shared" si="229"/>
        <v>1.8616675582448776E-2</v>
      </c>
      <c r="P1826" s="47">
        <f t="shared" si="230"/>
        <v>7.3709677314004698E-2</v>
      </c>
      <c r="Q1826" s="47">
        <f t="shared" si="231"/>
        <v>1</v>
      </c>
    </row>
    <row r="1827" spans="1:17" x14ac:dyDescent="0.35">
      <c r="A1827" s="82">
        <v>1824</v>
      </c>
      <c r="B1827" s="83" t="str">
        <f>_xlfn.XLOOKUP(A1827,'TAZs by City - CCAG Model'!$A:$A,'TAZs by City - CCAG Model'!$B:$B,"Unknown")</f>
        <v>San Francisco</v>
      </c>
      <c r="C1827" s="82">
        <f>_xlfn.XLOOKUP(A1827,'TAZs by City - CCAG Model'!$A:$A,'TAZs by City - CCAG Model'!$C:$C,999)</f>
        <v>1</v>
      </c>
      <c r="D1827" s="82" t="str">
        <f t="shared" si="224"/>
        <v>NO</v>
      </c>
      <c r="E1827" s="27">
        <v>7185.38</v>
      </c>
      <c r="F1827" s="27">
        <v>4517.84</v>
      </c>
      <c r="G1827" s="27">
        <v>2303.2800000000002</v>
      </c>
      <c r="H1827" s="27">
        <v>279.22000000000003</v>
      </c>
      <c r="I1827" s="27">
        <v>1208.56</v>
      </c>
      <c r="J1827" s="27">
        <v>17834.759999999998</v>
      </c>
      <c r="K1827" s="47">
        <f t="shared" si="225"/>
        <v>0.40288627377099556</v>
      </c>
      <c r="L1827" s="47">
        <f t="shared" si="226"/>
        <v>0.25331655710533812</v>
      </c>
      <c r="M1827" s="84">
        <f t="shared" si="227"/>
        <v>0.6562028308763338</v>
      </c>
      <c r="N1827" s="47">
        <f t="shared" si="228"/>
        <v>0.12914555620597085</v>
      </c>
      <c r="O1827" s="47">
        <f t="shared" si="229"/>
        <v>1.5655943786179353E-2</v>
      </c>
      <c r="P1827" s="47">
        <f t="shared" si="230"/>
        <v>6.7764298482289639E-2</v>
      </c>
      <c r="Q1827" s="47">
        <f t="shared" si="231"/>
        <v>1</v>
      </c>
    </row>
    <row r="1828" spans="1:17" x14ac:dyDescent="0.35">
      <c r="A1828" s="82">
        <v>1825</v>
      </c>
      <c r="B1828" s="83" t="str">
        <f>_xlfn.XLOOKUP(A1828,'TAZs by City - CCAG Model'!$A:$A,'TAZs by City - CCAG Model'!$B:$B,"Unknown")</f>
        <v>San Francisco</v>
      </c>
      <c r="C1828" s="82">
        <f>_xlfn.XLOOKUP(A1828,'TAZs by City - CCAG Model'!$A:$A,'TAZs by City - CCAG Model'!$C:$C,999)</f>
        <v>1</v>
      </c>
      <c r="D1828" s="82" t="str">
        <f t="shared" si="224"/>
        <v>NO</v>
      </c>
      <c r="E1828" s="27">
        <v>5866.36</v>
      </c>
      <c r="F1828" s="27">
        <v>3807.76</v>
      </c>
      <c r="G1828" s="27">
        <v>1559.38</v>
      </c>
      <c r="H1828" s="27">
        <v>206.84</v>
      </c>
      <c r="I1828" s="27">
        <v>742.06</v>
      </c>
      <c r="J1828" s="27">
        <v>13777.7</v>
      </c>
      <c r="K1828" s="47">
        <f t="shared" si="225"/>
        <v>0.42578659718240341</v>
      </c>
      <c r="L1828" s="47">
        <f t="shared" si="226"/>
        <v>0.276371237579567</v>
      </c>
      <c r="M1828" s="84">
        <f t="shared" si="227"/>
        <v>0.70215783476197036</v>
      </c>
      <c r="N1828" s="47">
        <f t="shared" si="228"/>
        <v>0.11318144537912714</v>
      </c>
      <c r="O1828" s="47">
        <f t="shared" si="229"/>
        <v>1.5012665394078837E-2</v>
      </c>
      <c r="P1828" s="47">
        <f t="shared" si="230"/>
        <v>5.3859497593938023E-2</v>
      </c>
      <c r="Q1828" s="47">
        <f t="shared" si="231"/>
        <v>1</v>
      </c>
    </row>
    <row r="1829" spans="1:17" x14ac:dyDescent="0.35">
      <c r="A1829" s="82">
        <v>1826</v>
      </c>
      <c r="B1829" s="83" t="str">
        <f>_xlfn.XLOOKUP(A1829,'TAZs by City - CCAG Model'!$A:$A,'TAZs by City - CCAG Model'!$B:$B,"Unknown")</f>
        <v>San Francisco</v>
      </c>
      <c r="C1829" s="82">
        <f>_xlfn.XLOOKUP(A1829,'TAZs by City - CCAG Model'!$A:$A,'TAZs by City - CCAG Model'!$C:$C,999)</f>
        <v>1</v>
      </c>
      <c r="D1829" s="82" t="str">
        <f t="shared" si="224"/>
        <v>NO</v>
      </c>
      <c r="E1829" s="27">
        <v>6782.44</v>
      </c>
      <c r="F1829" s="27">
        <v>5077.54</v>
      </c>
      <c r="G1829" s="27">
        <v>2134.56</v>
      </c>
      <c r="H1829" s="27">
        <v>279.66000000000003</v>
      </c>
      <c r="I1829" s="27">
        <v>1182.24</v>
      </c>
      <c r="J1829" s="27">
        <v>17624.740000000002</v>
      </c>
      <c r="K1829" s="47">
        <f t="shared" si="225"/>
        <v>0.3848249676307281</v>
      </c>
      <c r="L1829" s="47">
        <f t="shared" si="226"/>
        <v>0.28809162574880537</v>
      </c>
      <c r="M1829" s="84">
        <f t="shared" si="227"/>
        <v>0.67291659337953347</v>
      </c>
      <c r="N1829" s="47">
        <f t="shared" si="228"/>
        <v>0.12111157384449357</v>
      </c>
      <c r="O1829" s="47">
        <f t="shared" si="229"/>
        <v>1.586746811584171E-2</v>
      </c>
      <c r="P1829" s="47">
        <f t="shared" si="230"/>
        <v>6.7078436334379959E-2</v>
      </c>
      <c r="Q1829" s="47">
        <f t="shared" si="231"/>
        <v>1</v>
      </c>
    </row>
    <row r="1830" spans="1:17" x14ac:dyDescent="0.35">
      <c r="A1830" s="82">
        <v>1827</v>
      </c>
      <c r="B1830" s="83" t="str">
        <f>_xlfn.XLOOKUP(A1830,'TAZs by City - CCAG Model'!$A:$A,'TAZs by City - CCAG Model'!$B:$B,"Unknown")</f>
        <v>San Francisco</v>
      </c>
      <c r="C1830" s="82">
        <f>_xlfn.XLOOKUP(A1830,'TAZs by City - CCAG Model'!$A:$A,'TAZs by City - CCAG Model'!$C:$C,999)</f>
        <v>1</v>
      </c>
      <c r="D1830" s="82" t="str">
        <f t="shared" si="224"/>
        <v>NO</v>
      </c>
      <c r="E1830" s="27">
        <v>8955.9599999999991</v>
      </c>
      <c r="F1830" s="27">
        <v>5408.34</v>
      </c>
      <c r="G1830" s="27">
        <v>2429.52</v>
      </c>
      <c r="H1830" s="27">
        <v>285.68</v>
      </c>
      <c r="I1830" s="27">
        <v>1256.58</v>
      </c>
      <c r="J1830" s="27">
        <v>20799.740000000002</v>
      </c>
      <c r="K1830" s="47">
        <f t="shared" si="225"/>
        <v>0.43058038225477813</v>
      </c>
      <c r="L1830" s="47">
        <f t="shared" si="226"/>
        <v>0.26001959639880112</v>
      </c>
      <c r="M1830" s="84">
        <f t="shared" si="227"/>
        <v>0.69059997865357925</v>
      </c>
      <c r="N1830" s="47">
        <f t="shared" si="228"/>
        <v>0.11680530622017389</v>
      </c>
      <c r="O1830" s="47">
        <f t="shared" si="229"/>
        <v>1.3734787069453752E-2</v>
      </c>
      <c r="P1830" s="47">
        <f t="shared" si="230"/>
        <v>6.0413255165689565E-2</v>
      </c>
      <c r="Q1830" s="47">
        <f t="shared" si="231"/>
        <v>1</v>
      </c>
    </row>
    <row r="1831" spans="1:17" x14ac:dyDescent="0.35">
      <c r="A1831" s="82">
        <v>1828</v>
      </c>
      <c r="B1831" s="83" t="str">
        <f>_xlfn.XLOOKUP(A1831,'TAZs by City - CCAG Model'!$A:$A,'TAZs by City - CCAG Model'!$B:$B,"Unknown")</f>
        <v>San Francisco</v>
      </c>
      <c r="C1831" s="82">
        <f>_xlfn.XLOOKUP(A1831,'TAZs by City - CCAG Model'!$A:$A,'TAZs by City - CCAG Model'!$C:$C,999)</f>
        <v>1</v>
      </c>
      <c r="D1831" s="82" t="str">
        <f t="shared" si="224"/>
        <v>NO</v>
      </c>
      <c r="E1831" s="27">
        <v>11202.58</v>
      </c>
      <c r="F1831" s="27">
        <v>6425.74</v>
      </c>
      <c r="G1831" s="27">
        <v>2844.02</v>
      </c>
      <c r="H1831" s="27">
        <v>415.42</v>
      </c>
      <c r="I1831" s="27">
        <v>2246.36</v>
      </c>
      <c r="J1831" s="27">
        <v>26017.08</v>
      </c>
      <c r="K1831" s="47">
        <f t="shared" si="225"/>
        <v>0.43058559992128242</v>
      </c>
      <c r="L1831" s="47">
        <f t="shared" si="226"/>
        <v>0.24698159824238536</v>
      </c>
      <c r="M1831" s="84">
        <f t="shared" si="227"/>
        <v>0.67756719816366784</v>
      </c>
      <c r="N1831" s="47">
        <f t="shared" si="228"/>
        <v>0.10931357400599913</v>
      </c>
      <c r="O1831" s="47">
        <f t="shared" si="229"/>
        <v>1.5967203083512831E-2</v>
      </c>
      <c r="P1831" s="47">
        <f t="shared" si="230"/>
        <v>8.6341741655866069E-2</v>
      </c>
      <c r="Q1831" s="47">
        <f t="shared" si="231"/>
        <v>1</v>
      </c>
    </row>
    <row r="1832" spans="1:17" x14ac:dyDescent="0.35">
      <c r="A1832" s="82">
        <v>1829</v>
      </c>
      <c r="B1832" s="83" t="str">
        <f>_xlfn.XLOOKUP(A1832,'TAZs by City - CCAG Model'!$A:$A,'TAZs by City - CCAG Model'!$B:$B,"Unknown")</f>
        <v>San Francisco</v>
      </c>
      <c r="C1832" s="82">
        <f>_xlfn.XLOOKUP(A1832,'TAZs by City - CCAG Model'!$A:$A,'TAZs by City - CCAG Model'!$C:$C,999)</f>
        <v>1</v>
      </c>
      <c r="D1832" s="82" t="str">
        <f t="shared" si="224"/>
        <v>NO</v>
      </c>
      <c r="E1832" s="27">
        <v>13176.24</v>
      </c>
      <c r="F1832" s="27">
        <v>6652.36</v>
      </c>
      <c r="G1832" s="27">
        <v>3205.6</v>
      </c>
      <c r="H1832" s="27">
        <v>517.64</v>
      </c>
      <c r="I1832" s="27">
        <v>1538.66</v>
      </c>
      <c r="J1832" s="27">
        <v>28329.7</v>
      </c>
      <c r="K1832" s="47">
        <f t="shared" si="225"/>
        <v>0.46510340737812261</v>
      </c>
      <c r="L1832" s="47">
        <f t="shared" si="226"/>
        <v>0.23481928859112519</v>
      </c>
      <c r="M1832" s="84">
        <f t="shared" si="227"/>
        <v>0.69992269596924772</v>
      </c>
      <c r="N1832" s="47">
        <f t="shared" si="228"/>
        <v>0.11315333378044949</v>
      </c>
      <c r="O1832" s="47">
        <f t="shared" si="229"/>
        <v>1.8271990172857459E-2</v>
      </c>
      <c r="P1832" s="47">
        <f t="shared" si="230"/>
        <v>5.4312611852578747E-2</v>
      </c>
      <c r="Q1832" s="47">
        <f t="shared" si="231"/>
        <v>1</v>
      </c>
    </row>
    <row r="1833" spans="1:17" x14ac:dyDescent="0.35">
      <c r="A1833" s="82">
        <v>1830</v>
      </c>
      <c r="B1833" s="83" t="str">
        <f>_xlfn.XLOOKUP(A1833,'TAZs by City - CCAG Model'!$A:$A,'TAZs by City - CCAG Model'!$B:$B,"Unknown")</f>
        <v>San Francisco</v>
      </c>
      <c r="C1833" s="82">
        <f>_xlfn.XLOOKUP(A1833,'TAZs by City - CCAG Model'!$A:$A,'TAZs by City - CCAG Model'!$C:$C,999)</f>
        <v>1</v>
      </c>
      <c r="D1833" s="82" t="str">
        <f t="shared" si="224"/>
        <v>NO</v>
      </c>
      <c r="E1833" s="27">
        <v>11203.68</v>
      </c>
      <c r="F1833" s="27">
        <v>6517.66</v>
      </c>
      <c r="G1833" s="27">
        <v>2380.7800000000002</v>
      </c>
      <c r="H1833" s="27">
        <v>329.4</v>
      </c>
      <c r="I1833" s="27">
        <v>1261.02</v>
      </c>
      <c r="J1833" s="27">
        <v>24109.7</v>
      </c>
      <c r="K1833" s="47">
        <f t="shared" si="225"/>
        <v>0.46469595225158339</v>
      </c>
      <c r="L1833" s="47">
        <f t="shared" si="226"/>
        <v>0.27033351721506282</v>
      </c>
      <c r="M1833" s="84">
        <f t="shared" si="227"/>
        <v>0.73502946946664616</v>
      </c>
      <c r="N1833" s="47">
        <f t="shared" si="228"/>
        <v>9.8747806899297796E-2</v>
      </c>
      <c r="O1833" s="47">
        <f t="shared" si="229"/>
        <v>1.3662550757578898E-2</v>
      </c>
      <c r="P1833" s="47">
        <f t="shared" si="230"/>
        <v>5.2303429739897218E-2</v>
      </c>
      <c r="Q1833" s="47">
        <f t="shared" si="231"/>
        <v>1</v>
      </c>
    </row>
    <row r="1834" spans="1:17" x14ac:dyDescent="0.35">
      <c r="A1834" s="82">
        <v>1831</v>
      </c>
      <c r="B1834" s="83" t="str">
        <f>_xlfn.XLOOKUP(A1834,'TAZs by City - CCAG Model'!$A:$A,'TAZs by City - CCAG Model'!$B:$B,"Unknown")</f>
        <v>San Francisco</v>
      </c>
      <c r="C1834" s="82">
        <f>_xlfn.XLOOKUP(A1834,'TAZs by City - CCAG Model'!$A:$A,'TAZs by City - CCAG Model'!$C:$C,999)</f>
        <v>1</v>
      </c>
      <c r="D1834" s="82" t="str">
        <f t="shared" si="224"/>
        <v>NO</v>
      </c>
      <c r="E1834" s="27">
        <v>13948.3</v>
      </c>
      <c r="F1834" s="27">
        <v>8876.08</v>
      </c>
      <c r="G1834" s="27">
        <v>2550.1999999999998</v>
      </c>
      <c r="H1834" s="27">
        <v>385.06</v>
      </c>
      <c r="I1834" s="27">
        <v>1393.82</v>
      </c>
      <c r="J1834" s="27">
        <v>29739.84</v>
      </c>
      <c r="K1834" s="47">
        <f t="shared" si="225"/>
        <v>0.4690105931975424</v>
      </c>
      <c r="L1834" s="47">
        <f t="shared" si="226"/>
        <v>0.29845755726997858</v>
      </c>
      <c r="M1834" s="84">
        <f t="shared" si="227"/>
        <v>0.76746815046752093</v>
      </c>
      <c r="N1834" s="47">
        <f t="shared" si="228"/>
        <v>8.5750293209378395E-2</v>
      </c>
      <c r="O1834" s="47">
        <f t="shared" si="229"/>
        <v>1.2947615051056093E-2</v>
      </c>
      <c r="P1834" s="47">
        <f t="shared" si="230"/>
        <v>4.6867098141751939E-2</v>
      </c>
      <c r="Q1834" s="47">
        <f t="shared" si="231"/>
        <v>1</v>
      </c>
    </row>
    <row r="1835" spans="1:17" x14ac:dyDescent="0.35">
      <c r="A1835" s="82">
        <v>1832</v>
      </c>
      <c r="B1835" s="83" t="str">
        <f>_xlfn.XLOOKUP(A1835,'TAZs by City - CCAG Model'!$A:$A,'TAZs by City - CCAG Model'!$B:$B,"Unknown")</f>
        <v>San Francisco</v>
      </c>
      <c r="C1835" s="82">
        <f>_xlfn.XLOOKUP(A1835,'TAZs by City - CCAG Model'!$A:$A,'TAZs by City - CCAG Model'!$C:$C,999)</f>
        <v>1</v>
      </c>
      <c r="D1835" s="82" t="str">
        <f t="shared" si="224"/>
        <v>NO</v>
      </c>
      <c r="E1835" s="27">
        <v>12169.98</v>
      </c>
      <c r="F1835" s="27">
        <v>7504.82</v>
      </c>
      <c r="G1835" s="27">
        <v>1310.26</v>
      </c>
      <c r="H1835" s="27">
        <v>351.22</v>
      </c>
      <c r="I1835" s="27">
        <v>1695.26</v>
      </c>
      <c r="J1835" s="27">
        <v>24380.66</v>
      </c>
      <c r="K1835" s="47">
        <f t="shared" si="225"/>
        <v>0.49916532202163516</v>
      </c>
      <c r="L1835" s="47">
        <f t="shared" si="226"/>
        <v>0.30781857423055814</v>
      </c>
      <c r="M1835" s="84">
        <f t="shared" si="227"/>
        <v>0.80698389625219336</v>
      </c>
      <c r="N1835" s="47">
        <f t="shared" si="228"/>
        <v>5.3741777293969895E-2</v>
      </c>
      <c r="O1835" s="47">
        <f t="shared" si="229"/>
        <v>1.4405680568122439E-2</v>
      </c>
      <c r="P1835" s="47">
        <f t="shared" si="230"/>
        <v>6.9532982290061052E-2</v>
      </c>
      <c r="Q1835" s="47">
        <f t="shared" si="231"/>
        <v>1</v>
      </c>
    </row>
    <row r="1836" spans="1:17" x14ac:dyDescent="0.35">
      <c r="A1836" s="82">
        <v>1833</v>
      </c>
      <c r="B1836" s="83" t="str">
        <f>_xlfn.XLOOKUP(A1836,'TAZs by City - CCAG Model'!$A:$A,'TAZs by City - CCAG Model'!$B:$B,"Unknown")</f>
        <v>San Francisco</v>
      </c>
      <c r="C1836" s="82">
        <f>_xlfn.XLOOKUP(A1836,'TAZs by City - CCAG Model'!$A:$A,'TAZs by City - CCAG Model'!$C:$C,999)</f>
        <v>1</v>
      </c>
      <c r="D1836" s="82" t="str">
        <f t="shared" si="224"/>
        <v>NO</v>
      </c>
      <c r="E1836" s="27">
        <v>26271.24</v>
      </c>
      <c r="F1836" s="27">
        <v>12926.3</v>
      </c>
      <c r="G1836" s="27">
        <v>8791.02</v>
      </c>
      <c r="H1836" s="27">
        <v>1112.92</v>
      </c>
      <c r="I1836" s="27">
        <v>4839.16</v>
      </c>
      <c r="J1836" s="27">
        <v>62771.22</v>
      </c>
      <c r="K1836" s="47">
        <f t="shared" si="225"/>
        <v>0.41852364825791183</v>
      </c>
      <c r="L1836" s="47">
        <f t="shared" si="226"/>
        <v>0.20592717490595211</v>
      </c>
      <c r="M1836" s="84">
        <f t="shared" si="227"/>
        <v>0.62445082316386391</v>
      </c>
      <c r="N1836" s="47">
        <f t="shared" si="228"/>
        <v>0.14004857640173315</v>
      </c>
      <c r="O1836" s="47">
        <f t="shared" si="229"/>
        <v>1.7729781259628218E-2</v>
      </c>
      <c r="P1836" s="47">
        <f t="shared" si="230"/>
        <v>7.7092017647577976E-2</v>
      </c>
      <c r="Q1836" s="47">
        <f t="shared" si="231"/>
        <v>1</v>
      </c>
    </row>
    <row r="1837" spans="1:17" x14ac:dyDescent="0.35">
      <c r="A1837" s="82">
        <v>1834</v>
      </c>
      <c r="B1837" s="83" t="str">
        <f>_xlfn.XLOOKUP(A1837,'TAZs by City - CCAG Model'!$A:$A,'TAZs by City - CCAG Model'!$B:$B,"Unknown")</f>
        <v>San Francisco</v>
      </c>
      <c r="C1837" s="82">
        <f>_xlfn.XLOOKUP(A1837,'TAZs by City - CCAG Model'!$A:$A,'TAZs by City - CCAG Model'!$C:$C,999)</f>
        <v>1</v>
      </c>
      <c r="D1837" s="82" t="str">
        <f t="shared" si="224"/>
        <v>NO</v>
      </c>
      <c r="E1837" s="27">
        <v>14713.56</v>
      </c>
      <c r="F1837" s="27">
        <v>10463.200000000001</v>
      </c>
      <c r="G1837" s="27">
        <v>4822.0200000000004</v>
      </c>
      <c r="H1837" s="27">
        <v>574.64</v>
      </c>
      <c r="I1837" s="27">
        <v>2522.14</v>
      </c>
      <c r="J1837" s="27">
        <v>37953.18</v>
      </c>
      <c r="K1837" s="47">
        <f t="shared" si="225"/>
        <v>0.38767660575477469</v>
      </c>
      <c r="L1837" s="47">
        <f t="shared" si="226"/>
        <v>0.27568704387880016</v>
      </c>
      <c r="M1837" s="84">
        <f t="shared" si="227"/>
        <v>0.66336364963357486</v>
      </c>
      <c r="N1837" s="47">
        <f t="shared" si="228"/>
        <v>0.12705180435473393</v>
      </c>
      <c r="O1837" s="47">
        <f t="shared" si="229"/>
        <v>1.5140760273579183E-2</v>
      </c>
      <c r="P1837" s="47">
        <f t="shared" si="230"/>
        <v>6.6453983566067451E-2</v>
      </c>
      <c r="Q1837" s="47">
        <f t="shared" si="231"/>
        <v>1</v>
      </c>
    </row>
    <row r="1838" spans="1:17" x14ac:dyDescent="0.35">
      <c r="A1838" s="82">
        <v>1835</v>
      </c>
      <c r="B1838" s="83" t="str">
        <f>_xlfn.XLOOKUP(A1838,'TAZs by City - CCAG Model'!$A:$A,'TAZs by City - CCAG Model'!$B:$B,"Unknown")</f>
        <v>San Francisco</v>
      </c>
      <c r="C1838" s="82">
        <f>_xlfn.XLOOKUP(A1838,'TAZs by City - CCAG Model'!$A:$A,'TAZs by City - CCAG Model'!$C:$C,999)</f>
        <v>1</v>
      </c>
      <c r="D1838" s="82" t="str">
        <f t="shared" si="224"/>
        <v>NO</v>
      </c>
      <c r="E1838" s="27">
        <v>8988.06</v>
      </c>
      <c r="F1838" s="27">
        <v>6950.8</v>
      </c>
      <c r="G1838" s="27">
        <v>2418.02</v>
      </c>
      <c r="H1838" s="27">
        <v>430.58</v>
      </c>
      <c r="I1838" s="27">
        <v>1750.68</v>
      </c>
      <c r="J1838" s="27">
        <v>22991.06</v>
      </c>
      <c r="K1838" s="47">
        <f t="shared" si="225"/>
        <v>0.39093717297071118</v>
      </c>
      <c r="L1838" s="47">
        <f t="shared" si="226"/>
        <v>0.30232620853496966</v>
      </c>
      <c r="M1838" s="84">
        <f t="shared" si="227"/>
        <v>0.6932633815056809</v>
      </c>
      <c r="N1838" s="47">
        <f t="shared" si="228"/>
        <v>0.10517218431860036</v>
      </c>
      <c r="O1838" s="47">
        <f t="shared" si="229"/>
        <v>1.872814911535179E-2</v>
      </c>
      <c r="P1838" s="47">
        <f t="shared" si="230"/>
        <v>7.6146119404672946E-2</v>
      </c>
      <c r="Q1838" s="47">
        <f t="shared" si="231"/>
        <v>1</v>
      </c>
    </row>
    <row r="1839" spans="1:17" x14ac:dyDescent="0.35">
      <c r="A1839" s="82">
        <v>1836</v>
      </c>
      <c r="B1839" s="83" t="str">
        <f>_xlfn.XLOOKUP(A1839,'TAZs by City - CCAG Model'!$A:$A,'TAZs by City - CCAG Model'!$B:$B,"Unknown")</f>
        <v>San Francisco</v>
      </c>
      <c r="C1839" s="82">
        <f>_xlfn.XLOOKUP(A1839,'TAZs by City - CCAG Model'!$A:$A,'TAZs by City - CCAG Model'!$C:$C,999)</f>
        <v>1</v>
      </c>
      <c r="D1839" s="82" t="str">
        <f t="shared" si="224"/>
        <v>NO</v>
      </c>
      <c r="E1839" s="27">
        <v>5721.02</v>
      </c>
      <c r="F1839" s="27">
        <v>3854.66</v>
      </c>
      <c r="G1839" s="27">
        <v>1648.38</v>
      </c>
      <c r="H1839" s="27">
        <v>219.78</v>
      </c>
      <c r="I1839" s="27">
        <v>773.68</v>
      </c>
      <c r="J1839" s="27">
        <v>13907.4</v>
      </c>
      <c r="K1839" s="47">
        <f t="shared" si="225"/>
        <v>0.41136517249809457</v>
      </c>
      <c r="L1839" s="47">
        <f t="shared" si="226"/>
        <v>0.27716611300458749</v>
      </c>
      <c r="M1839" s="84">
        <f t="shared" si="227"/>
        <v>0.68853128550268206</v>
      </c>
      <c r="N1839" s="47">
        <f t="shared" si="228"/>
        <v>0.11852538936105959</v>
      </c>
      <c r="O1839" s="47">
        <f t="shared" si="229"/>
        <v>1.5803097631476769E-2</v>
      </c>
      <c r="P1839" s="47">
        <f t="shared" si="230"/>
        <v>5.5630815249435549E-2</v>
      </c>
      <c r="Q1839" s="47">
        <f t="shared" si="231"/>
        <v>1</v>
      </c>
    </row>
    <row r="1840" spans="1:17" x14ac:dyDescent="0.35">
      <c r="A1840" s="82">
        <v>1837</v>
      </c>
      <c r="B1840" s="83" t="str">
        <f>_xlfn.XLOOKUP(A1840,'TAZs by City - CCAG Model'!$A:$A,'TAZs by City - CCAG Model'!$B:$B,"Unknown")</f>
        <v>San Francisco</v>
      </c>
      <c r="C1840" s="82">
        <f>_xlfn.XLOOKUP(A1840,'TAZs by City - CCAG Model'!$A:$A,'TAZs by City - CCAG Model'!$C:$C,999)</f>
        <v>1</v>
      </c>
      <c r="D1840" s="82" t="str">
        <f t="shared" si="224"/>
        <v>NO</v>
      </c>
      <c r="E1840" s="27">
        <v>8966.8799999999992</v>
      </c>
      <c r="F1840" s="27">
        <v>6974.16</v>
      </c>
      <c r="G1840" s="27">
        <v>2650.2</v>
      </c>
      <c r="H1840" s="27">
        <v>315.44</v>
      </c>
      <c r="I1840" s="27">
        <v>1382.6</v>
      </c>
      <c r="J1840" s="27">
        <v>22975.96</v>
      </c>
      <c r="K1840" s="47">
        <f t="shared" si="225"/>
        <v>0.39027226718709468</v>
      </c>
      <c r="L1840" s="47">
        <f t="shared" si="226"/>
        <v>0.30354161480086145</v>
      </c>
      <c r="M1840" s="84">
        <f t="shared" si="227"/>
        <v>0.69381388198795613</v>
      </c>
      <c r="N1840" s="47">
        <f t="shared" si="228"/>
        <v>0.11534664928037827</v>
      </c>
      <c r="O1840" s="47">
        <f t="shared" si="229"/>
        <v>1.3729132536790629E-2</v>
      </c>
      <c r="P1840" s="47">
        <f t="shared" si="230"/>
        <v>6.0175940417723568E-2</v>
      </c>
      <c r="Q1840" s="47">
        <f t="shared" si="231"/>
        <v>1</v>
      </c>
    </row>
    <row r="1841" spans="1:17" x14ac:dyDescent="0.35">
      <c r="A1841" s="82">
        <v>1838</v>
      </c>
      <c r="B1841" s="83" t="str">
        <f>_xlfn.XLOOKUP(A1841,'TAZs by City - CCAG Model'!$A:$A,'TAZs by City - CCAG Model'!$B:$B,"Unknown")</f>
        <v>San Francisco</v>
      </c>
      <c r="C1841" s="82">
        <f>_xlfn.XLOOKUP(A1841,'TAZs by City - CCAG Model'!$A:$A,'TAZs by City - CCAG Model'!$C:$C,999)</f>
        <v>1</v>
      </c>
      <c r="D1841" s="82" t="str">
        <f t="shared" si="224"/>
        <v>NO</v>
      </c>
      <c r="E1841" s="27">
        <v>17550.46</v>
      </c>
      <c r="F1841" s="27">
        <v>13016.06</v>
      </c>
      <c r="G1841" s="27">
        <v>4437.1000000000004</v>
      </c>
      <c r="H1841" s="27">
        <v>654.02</v>
      </c>
      <c r="I1841" s="27">
        <v>2482.64</v>
      </c>
      <c r="J1841" s="27">
        <v>42615.519999999997</v>
      </c>
      <c r="K1841" s="47">
        <f t="shared" si="225"/>
        <v>0.41183259056794336</v>
      </c>
      <c r="L1841" s="47">
        <f t="shared" si="226"/>
        <v>0.30543004051106265</v>
      </c>
      <c r="M1841" s="84">
        <f t="shared" si="227"/>
        <v>0.7172626310790059</v>
      </c>
      <c r="N1841" s="47">
        <f t="shared" si="228"/>
        <v>0.10411934431399641</v>
      </c>
      <c r="O1841" s="47">
        <f t="shared" si="229"/>
        <v>1.5346990955407796E-2</v>
      </c>
      <c r="P1841" s="47">
        <f t="shared" si="230"/>
        <v>5.8256710231389883E-2</v>
      </c>
      <c r="Q1841" s="47">
        <f t="shared" si="231"/>
        <v>1</v>
      </c>
    </row>
    <row r="1842" spans="1:17" x14ac:dyDescent="0.35">
      <c r="A1842" s="82">
        <v>1839</v>
      </c>
      <c r="B1842" s="83" t="str">
        <f>_xlfn.XLOOKUP(A1842,'TAZs by City - CCAG Model'!$A:$A,'TAZs by City - CCAG Model'!$B:$B,"Unknown")</f>
        <v>San Francisco</v>
      </c>
      <c r="C1842" s="82">
        <f>_xlfn.XLOOKUP(A1842,'TAZs by City - CCAG Model'!$A:$A,'TAZs by City - CCAG Model'!$C:$C,999)</f>
        <v>1</v>
      </c>
      <c r="D1842" s="82" t="str">
        <f t="shared" si="224"/>
        <v>NO</v>
      </c>
      <c r="E1842" s="27">
        <v>10376.200000000001</v>
      </c>
      <c r="F1842" s="27">
        <v>8017.1</v>
      </c>
      <c r="G1842" s="27">
        <v>2199.62</v>
      </c>
      <c r="H1842" s="27">
        <v>477.86</v>
      </c>
      <c r="I1842" s="27">
        <v>1708.4</v>
      </c>
      <c r="J1842" s="27">
        <v>25016</v>
      </c>
      <c r="K1842" s="47">
        <f t="shared" si="225"/>
        <v>0.41478253917492808</v>
      </c>
      <c r="L1842" s="47">
        <f t="shared" si="226"/>
        <v>0.32047889350815478</v>
      </c>
      <c r="M1842" s="84">
        <f t="shared" si="227"/>
        <v>0.73526143268308297</v>
      </c>
      <c r="N1842" s="47">
        <f t="shared" si="228"/>
        <v>8.7928525743524139E-2</v>
      </c>
      <c r="O1842" s="47">
        <f t="shared" si="229"/>
        <v>1.910217460825072E-2</v>
      </c>
      <c r="P1842" s="47">
        <f t="shared" si="230"/>
        <v>6.8292292932523188E-2</v>
      </c>
      <c r="Q1842" s="47">
        <f t="shared" si="231"/>
        <v>1</v>
      </c>
    </row>
    <row r="1843" spans="1:17" x14ac:dyDescent="0.35">
      <c r="A1843" s="82">
        <v>1840</v>
      </c>
      <c r="B1843" s="83" t="str">
        <f>_xlfn.XLOOKUP(A1843,'TAZs by City - CCAG Model'!$A:$A,'TAZs by City - CCAG Model'!$B:$B,"Unknown")</f>
        <v>San Francisco</v>
      </c>
      <c r="C1843" s="82">
        <f>_xlfn.XLOOKUP(A1843,'TAZs by City - CCAG Model'!$A:$A,'TAZs by City - CCAG Model'!$C:$C,999)</f>
        <v>1</v>
      </c>
      <c r="D1843" s="82" t="str">
        <f t="shared" si="224"/>
        <v>NO</v>
      </c>
      <c r="E1843" s="27">
        <v>7272.1</v>
      </c>
      <c r="F1843" s="27">
        <v>5895.3</v>
      </c>
      <c r="G1843" s="27">
        <v>1812.44</v>
      </c>
      <c r="H1843" s="27">
        <v>294.32</v>
      </c>
      <c r="I1843" s="27">
        <v>1243.72</v>
      </c>
      <c r="J1843" s="27">
        <v>18369.919999999998</v>
      </c>
      <c r="K1843" s="47">
        <f t="shared" si="225"/>
        <v>0.39586998745775709</v>
      </c>
      <c r="L1843" s="47">
        <f t="shared" si="226"/>
        <v>0.32092137581437485</v>
      </c>
      <c r="M1843" s="84">
        <f t="shared" si="227"/>
        <v>0.716791363272132</v>
      </c>
      <c r="N1843" s="47">
        <f t="shared" si="228"/>
        <v>9.8663467233390256E-2</v>
      </c>
      <c r="O1843" s="47">
        <f t="shared" si="229"/>
        <v>1.6021844406508032E-2</v>
      </c>
      <c r="P1843" s="47">
        <f t="shared" si="230"/>
        <v>6.7704159843918768E-2</v>
      </c>
      <c r="Q1843" s="47">
        <f t="shared" si="231"/>
        <v>1</v>
      </c>
    </row>
    <row r="1844" spans="1:17" x14ac:dyDescent="0.35">
      <c r="A1844" s="82">
        <v>1841</v>
      </c>
      <c r="B1844" s="83" t="str">
        <f>_xlfn.XLOOKUP(A1844,'TAZs by City - CCAG Model'!$A:$A,'TAZs by City - CCAG Model'!$B:$B,"Unknown")</f>
        <v>San Francisco</v>
      </c>
      <c r="C1844" s="82">
        <f>_xlfn.XLOOKUP(A1844,'TAZs by City - CCAG Model'!$A:$A,'TAZs by City - CCAG Model'!$C:$C,999)</f>
        <v>1</v>
      </c>
      <c r="D1844" s="82" t="str">
        <f t="shared" si="224"/>
        <v>NO</v>
      </c>
      <c r="E1844" s="27">
        <v>3726.14</v>
      </c>
      <c r="F1844" s="27">
        <v>3258.76</v>
      </c>
      <c r="G1844" s="27">
        <v>1356.94</v>
      </c>
      <c r="H1844" s="27">
        <v>150.5</v>
      </c>
      <c r="I1844" s="27">
        <v>783.82</v>
      </c>
      <c r="J1844" s="27">
        <v>10671.62</v>
      </c>
      <c r="K1844" s="47">
        <f t="shared" si="225"/>
        <v>0.34916348220794963</v>
      </c>
      <c r="L1844" s="47">
        <f t="shared" si="226"/>
        <v>0.30536694522481123</v>
      </c>
      <c r="M1844" s="84">
        <f t="shared" si="227"/>
        <v>0.6545304274327608</v>
      </c>
      <c r="N1844" s="47">
        <f t="shared" si="228"/>
        <v>0.12715407782510996</v>
      </c>
      <c r="O1844" s="47">
        <f t="shared" si="229"/>
        <v>1.4102826000176167E-2</v>
      </c>
      <c r="P1844" s="47">
        <f t="shared" si="230"/>
        <v>7.3449017112678303E-2</v>
      </c>
      <c r="Q1844" s="47">
        <f t="shared" si="231"/>
        <v>1</v>
      </c>
    </row>
    <row r="1845" spans="1:17" x14ac:dyDescent="0.35">
      <c r="A1845" s="82">
        <v>1842</v>
      </c>
      <c r="B1845" s="83" t="str">
        <f>_xlfn.XLOOKUP(A1845,'TAZs by City - CCAG Model'!$A:$A,'TAZs by City - CCAG Model'!$B:$B,"Unknown")</f>
        <v>San Francisco</v>
      </c>
      <c r="C1845" s="82">
        <f>_xlfn.XLOOKUP(A1845,'TAZs by City - CCAG Model'!$A:$A,'TAZs by City - CCAG Model'!$C:$C,999)</f>
        <v>1</v>
      </c>
      <c r="D1845" s="82" t="str">
        <f t="shared" si="224"/>
        <v>NO</v>
      </c>
      <c r="E1845" s="27">
        <v>51249.5</v>
      </c>
      <c r="F1845" s="27">
        <v>15805.68</v>
      </c>
      <c r="G1845" s="27">
        <v>5335.54</v>
      </c>
      <c r="H1845" s="27">
        <v>1223.8599999999999</v>
      </c>
      <c r="I1845" s="27">
        <v>3964.32</v>
      </c>
      <c r="J1845" s="27">
        <v>82932.36</v>
      </c>
      <c r="K1845" s="47">
        <f t="shared" si="225"/>
        <v>0.61796746167599714</v>
      </c>
      <c r="L1845" s="47">
        <f t="shared" si="226"/>
        <v>0.19058519497093776</v>
      </c>
      <c r="M1845" s="84">
        <f t="shared" si="227"/>
        <v>0.80855265664693488</v>
      </c>
      <c r="N1845" s="47">
        <f t="shared" si="228"/>
        <v>6.4336044458399591E-2</v>
      </c>
      <c r="O1845" s="47">
        <f t="shared" si="229"/>
        <v>1.475732753776692E-2</v>
      </c>
      <c r="P1845" s="47">
        <f t="shared" si="230"/>
        <v>4.780184719209727E-2</v>
      </c>
      <c r="Q1845" s="47">
        <f t="shared" si="231"/>
        <v>1</v>
      </c>
    </row>
    <row r="1846" spans="1:17" x14ac:dyDescent="0.35">
      <c r="A1846" s="82">
        <v>1843</v>
      </c>
      <c r="B1846" s="83" t="str">
        <f>_xlfn.XLOOKUP(A1846,'TAZs by City - CCAG Model'!$A:$A,'TAZs by City - CCAG Model'!$B:$B,"Unknown")</f>
        <v>San Francisco</v>
      </c>
      <c r="C1846" s="82">
        <f>_xlfn.XLOOKUP(A1846,'TAZs by City - CCAG Model'!$A:$A,'TAZs by City - CCAG Model'!$C:$C,999)</f>
        <v>1</v>
      </c>
      <c r="D1846" s="82" t="str">
        <f t="shared" si="224"/>
        <v>NO</v>
      </c>
      <c r="E1846" s="27">
        <v>3530.3</v>
      </c>
      <c r="F1846" s="27">
        <v>2495.06</v>
      </c>
      <c r="G1846" s="27">
        <v>916.02</v>
      </c>
      <c r="H1846" s="27">
        <v>148.68</v>
      </c>
      <c r="I1846" s="27">
        <v>648.98</v>
      </c>
      <c r="J1846" s="27">
        <v>8696.58</v>
      </c>
      <c r="K1846" s="47">
        <f t="shared" si="225"/>
        <v>0.40594118607544577</v>
      </c>
      <c r="L1846" s="47">
        <f t="shared" si="226"/>
        <v>0.28690128763260958</v>
      </c>
      <c r="M1846" s="84">
        <f t="shared" si="227"/>
        <v>0.69284247370805541</v>
      </c>
      <c r="N1846" s="47">
        <f t="shared" si="228"/>
        <v>0.10533106117577254</v>
      </c>
      <c r="O1846" s="47">
        <f t="shared" si="229"/>
        <v>1.7096375816700361E-2</v>
      </c>
      <c r="P1846" s="47">
        <f t="shared" si="230"/>
        <v>7.4624737540504429E-2</v>
      </c>
      <c r="Q1846" s="47">
        <f t="shared" si="231"/>
        <v>1</v>
      </c>
    </row>
    <row r="1847" spans="1:17" x14ac:dyDescent="0.35">
      <c r="A1847" s="82">
        <v>1844</v>
      </c>
      <c r="B1847" s="83" t="str">
        <f>_xlfn.XLOOKUP(A1847,'TAZs by City - CCAG Model'!$A:$A,'TAZs by City - CCAG Model'!$B:$B,"Unknown")</f>
        <v>San Francisco</v>
      </c>
      <c r="C1847" s="82">
        <f>_xlfn.XLOOKUP(A1847,'TAZs by City - CCAG Model'!$A:$A,'TAZs by City - CCAG Model'!$C:$C,999)</f>
        <v>1</v>
      </c>
      <c r="D1847" s="82" t="str">
        <f t="shared" si="224"/>
        <v>NO</v>
      </c>
      <c r="E1847" s="27">
        <v>6242.9</v>
      </c>
      <c r="F1847" s="27">
        <v>5053.1000000000004</v>
      </c>
      <c r="G1847" s="27">
        <v>1801.76</v>
      </c>
      <c r="H1847" s="27">
        <v>287.98</v>
      </c>
      <c r="I1847" s="27">
        <v>1222.3800000000001</v>
      </c>
      <c r="J1847" s="27">
        <v>16449.34</v>
      </c>
      <c r="K1847" s="47">
        <f t="shared" si="225"/>
        <v>0.37952282583982089</v>
      </c>
      <c r="L1847" s="47">
        <f t="shared" si="226"/>
        <v>0.30719165632177342</v>
      </c>
      <c r="M1847" s="84">
        <f t="shared" si="227"/>
        <v>0.68671448216159436</v>
      </c>
      <c r="N1847" s="47">
        <f t="shared" si="228"/>
        <v>0.10953387795498178</v>
      </c>
      <c r="O1847" s="47">
        <f t="shared" si="229"/>
        <v>1.7507085390660052E-2</v>
      </c>
      <c r="P1847" s="47">
        <f t="shared" si="230"/>
        <v>7.4311796096378335E-2</v>
      </c>
      <c r="Q1847" s="47">
        <f t="shared" si="231"/>
        <v>1</v>
      </c>
    </row>
    <row r="1848" spans="1:17" x14ac:dyDescent="0.35">
      <c r="A1848" s="82">
        <v>1845</v>
      </c>
      <c r="B1848" s="83" t="str">
        <f>_xlfn.XLOOKUP(A1848,'TAZs by City - CCAG Model'!$A:$A,'TAZs by City - CCAG Model'!$B:$B,"Unknown")</f>
        <v>San Francisco</v>
      </c>
      <c r="C1848" s="82">
        <f>_xlfn.XLOOKUP(A1848,'TAZs by City - CCAG Model'!$A:$A,'TAZs by City - CCAG Model'!$C:$C,999)</f>
        <v>1</v>
      </c>
      <c r="D1848" s="82" t="str">
        <f t="shared" si="224"/>
        <v>NO</v>
      </c>
      <c r="E1848" s="27">
        <v>6685.78</v>
      </c>
      <c r="F1848" s="27">
        <v>6088.06</v>
      </c>
      <c r="G1848" s="27">
        <v>1564.08</v>
      </c>
      <c r="H1848" s="27">
        <v>318.83999999999997</v>
      </c>
      <c r="I1848" s="27">
        <v>1597.36</v>
      </c>
      <c r="J1848" s="27">
        <v>17858.18</v>
      </c>
      <c r="K1848" s="47">
        <f t="shared" si="225"/>
        <v>0.37438193589716307</v>
      </c>
      <c r="L1848" s="47">
        <f t="shared" si="226"/>
        <v>0.34091155985660354</v>
      </c>
      <c r="M1848" s="84">
        <f t="shared" si="227"/>
        <v>0.71529349575376666</v>
      </c>
      <c r="N1848" s="47">
        <f t="shared" si="228"/>
        <v>8.7583393156525469E-2</v>
      </c>
      <c r="O1848" s="47">
        <f t="shared" si="229"/>
        <v>1.7854003039503463E-2</v>
      </c>
      <c r="P1848" s="47">
        <f t="shared" si="230"/>
        <v>8.9446964920277428E-2</v>
      </c>
      <c r="Q1848" s="47">
        <f t="shared" si="231"/>
        <v>1</v>
      </c>
    </row>
    <row r="1849" spans="1:17" x14ac:dyDescent="0.35">
      <c r="A1849" s="82">
        <v>1846</v>
      </c>
      <c r="B1849" s="83" t="str">
        <f>_xlfn.XLOOKUP(A1849,'TAZs by City - CCAG Model'!$A:$A,'TAZs by City - CCAG Model'!$B:$B,"Unknown")</f>
        <v>San Francisco</v>
      </c>
      <c r="C1849" s="82">
        <f>_xlfn.XLOOKUP(A1849,'TAZs by City - CCAG Model'!$A:$A,'TAZs by City - CCAG Model'!$C:$C,999)</f>
        <v>1</v>
      </c>
      <c r="D1849" s="82" t="str">
        <f t="shared" si="224"/>
        <v>NO</v>
      </c>
      <c r="E1849" s="27">
        <v>2376.88</v>
      </c>
      <c r="F1849" s="27">
        <v>1398.96</v>
      </c>
      <c r="G1849" s="27">
        <v>280.10000000000002</v>
      </c>
      <c r="H1849" s="27">
        <v>65.760000000000005</v>
      </c>
      <c r="I1849" s="27">
        <v>196.3</v>
      </c>
      <c r="J1849" s="27">
        <v>4636.34</v>
      </c>
      <c r="K1849" s="47">
        <f t="shared" si="225"/>
        <v>0.51266300573297041</v>
      </c>
      <c r="L1849" s="47">
        <f t="shared" si="226"/>
        <v>0.30173800886043733</v>
      </c>
      <c r="M1849" s="84">
        <f t="shared" si="227"/>
        <v>0.81440101459340775</v>
      </c>
      <c r="N1849" s="47">
        <f t="shared" si="228"/>
        <v>6.0414033483307955E-2</v>
      </c>
      <c r="O1849" s="47">
        <f t="shared" si="229"/>
        <v>1.4183601720322497E-2</v>
      </c>
      <c r="P1849" s="47">
        <f t="shared" si="230"/>
        <v>4.233943153435684E-2</v>
      </c>
      <c r="Q1849" s="47">
        <f t="shared" si="231"/>
        <v>1</v>
      </c>
    </row>
    <row r="1850" spans="1:17" x14ac:dyDescent="0.35">
      <c r="A1850" s="82">
        <v>1847</v>
      </c>
      <c r="B1850" s="83" t="str">
        <f>_xlfn.XLOOKUP(A1850,'TAZs by City - CCAG Model'!$A:$A,'TAZs by City - CCAG Model'!$B:$B,"Unknown")</f>
        <v>San Francisco</v>
      </c>
      <c r="C1850" s="82">
        <f>_xlfn.XLOOKUP(A1850,'TAZs by City - CCAG Model'!$A:$A,'TAZs by City - CCAG Model'!$C:$C,999)</f>
        <v>1</v>
      </c>
      <c r="D1850" s="82" t="str">
        <f t="shared" si="224"/>
        <v>NO</v>
      </c>
      <c r="E1850" s="27">
        <v>9164.7999999999993</v>
      </c>
      <c r="F1850" s="27">
        <v>7086.16</v>
      </c>
      <c r="G1850" s="27">
        <v>1892.42</v>
      </c>
      <c r="H1850" s="27">
        <v>361.18</v>
      </c>
      <c r="I1850" s="27">
        <v>1832.64</v>
      </c>
      <c r="J1850" s="27">
        <v>22270.82</v>
      </c>
      <c r="K1850" s="47">
        <f t="shared" si="225"/>
        <v>0.41151605553814363</v>
      </c>
      <c r="L1850" s="47">
        <f t="shared" si="226"/>
        <v>0.31818136916377576</v>
      </c>
      <c r="M1850" s="84">
        <f t="shared" si="227"/>
        <v>0.72969742470191934</v>
      </c>
      <c r="N1850" s="47">
        <f t="shared" si="228"/>
        <v>8.4973072387994703E-2</v>
      </c>
      <c r="O1850" s="47">
        <f t="shared" si="229"/>
        <v>1.6217633656955603E-2</v>
      </c>
      <c r="P1850" s="47">
        <f t="shared" si="230"/>
        <v>8.2288842530270551E-2</v>
      </c>
      <c r="Q1850" s="47">
        <f t="shared" si="231"/>
        <v>1</v>
      </c>
    </row>
    <row r="1851" spans="1:17" x14ac:dyDescent="0.35">
      <c r="A1851" s="82">
        <v>1848</v>
      </c>
      <c r="B1851" s="83" t="str">
        <f>_xlfn.XLOOKUP(A1851,'TAZs by City - CCAG Model'!$A:$A,'TAZs by City - CCAG Model'!$B:$B,"Unknown")</f>
        <v>San Francisco</v>
      </c>
      <c r="C1851" s="82">
        <f>_xlfn.XLOOKUP(A1851,'TAZs by City - CCAG Model'!$A:$A,'TAZs by City - CCAG Model'!$C:$C,999)</f>
        <v>1</v>
      </c>
      <c r="D1851" s="82" t="str">
        <f t="shared" si="224"/>
        <v>NO</v>
      </c>
      <c r="E1851" s="27">
        <v>9419.02</v>
      </c>
      <c r="F1851" s="27">
        <v>6672.04</v>
      </c>
      <c r="G1851" s="27">
        <v>1746.82</v>
      </c>
      <c r="H1851" s="27">
        <v>349.06</v>
      </c>
      <c r="I1851" s="27">
        <v>1440.1</v>
      </c>
      <c r="J1851" s="27">
        <v>21413.040000000001</v>
      </c>
      <c r="K1851" s="47">
        <f t="shared" si="225"/>
        <v>0.43987308667989228</v>
      </c>
      <c r="L1851" s="47">
        <f t="shared" si="226"/>
        <v>0.31158770543556635</v>
      </c>
      <c r="M1851" s="84">
        <f t="shared" si="227"/>
        <v>0.75146079211545869</v>
      </c>
      <c r="N1851" s="47">
        <f t="shared" si="228"/>
        <v>8.1577393961810185E-2</v>
      </c>
      <c r="O1851" s="47">
        <f t="shared" si="229"/>
        <v>1.630128183574121E-2</v>
      </c>
      <c r="P1851" s="47">
        <f t="shared" si="230"/>
        <v>6.7253411939640517E-2</v>
      </c>
      <c r="Q1851" s="47">
        <f t="shared" si="231"/>
        <v>1</v>
      </c>
    </row>
    <row r="1852" spans="1:17" x14ac:dyDescent="0.35">
      <c r="A1852" s="82">
        <v>1849</v>
      </c>
      <c r="B1852" s="83" t="str">
        <f>_xlfn.XLOOKUP(A1852,'TAZs by City - CCAG Model'!$A:$A,'TAZs by City - CCAG Model'!$B:$B,"Unknown")</f>
        <v>San Francisco</v>
      </c>
      <c r="C1852" s="82">
        <f>_xlfn.XLOOKUP(A1852,'TAZs by City - CCAG Model'!$A:$A,'TAZs by City - CCAG Model'!$C:$C,999)</f>
        <v>1</v>
      </c>
      <c r="D1852" s="82" t="str">
        <f t="shared" si="224"/>
        <v>NO</v>
      </c>
      <c r="E1852" s="27">
        <v>13737.86</v>
      </c>
      <c r="F1852" s="27">
        <v>8351.82</v>
      </c>
      <c r="G1852" s="27">
        <v>1992.5</v>
      </c>
      <c r="H1852" s="27">
        <v>392.12</v>
      </c>
      <c r="I1852" s="27">
        <v>1188.6199999999999</v>
      </c>
      <c r="J1852" s="27">
        <v>27693</v>
      </c>
      <c r="K1852" s="47">
        <f t="shared" si="225"/>
        <v>0.49607698696421482</v>
      </c>
      <c r="L1852" s="47">
        <f t="shared" si="226"/>
        <v>0.30158596035099122</v>
      </c>
      <c r="M1852" s="84">
        <f t="shared" si="227"/>
        <v>0.79766294731520604</v>
      </c>
      <c r="N1852" s="47">
        <f t="shared" si="228"/>
        <v>7.1949590149135156E-2</v>
      </c>
      <c r="O1852" s="47">
        <f t="shared" si="229"/>
        <v>1.4159534900516376E-2</v>
      </c>
      <c r="P1852" s="47">
        <f t="shared" si="230"/>
        <v>4.2921315855992487E-2</v>
      </c>
      <c r="Q1852" s="47">
        <f t="shared" si="231"/>
        <v>1</v>
      </c>
    </row>
    <row r="1853" spans="1:17" x14ac:dyDescent="0.35">
      <c r="A1853" s="82">
        <v>1850</v>
      </c>
      <c r="B1853" s="83" t="str">
        <f>_xlfn.XLOOKUP(A1853,'TAZs by City - CCAG Model'!$A:$A,'TAZs by City - CCAG Model'!$B:$B,"Unknown")</f>
        <v>San Francisco</v>
      </c>
      <c r="C1853" s="82">
        <f>_xlfn.XLOOKUP(A1853,'TAZs by City - CCAG Model'!$A:$A,'TAZs by City - CCAG Model'!$C:$C,999)</f>
        <v>1</v>
      </c>
      <c r="D1853" s="82" t="str">
        <f t="shared" si="224"/>
        <v>NO</v>
      </c>
      <c r="E1853" s="27">
        <v>8023.6</v>
      </c>
      <c r="F1853" s="27">
        <v>4986.24</v>
      </c>
      <c r="G1853" s="27">
        <v>1391.2</v>
      </c>
      <c r="H1853" s="27">
        <v>274.16000000000003</v>
      </c>
      <c r="I1853" s="27">
        <v>1136.24</v>
      </c>
      <c r="J1853" s="27">
        <v>17242.38</v>
      </c>
      <c r="K1853" s="47">
        <f t="shared" si="225"/>
        <v>0.46534179156241773</v>
      </c>
      <c r="L1853" s="47">
        <f t="shared" si="226"/>
        <v>0.28918513569472426</v>
      </c>
      <c r="M1853" s="84">
        <f t="shared" si="227"/>
        <v>0.75452692725714199</v>
      </c>
      <c r="N1853" s="47">
        <f t="shared" si="228"/>
        <v>8.0684917047414567E-2</v>
      </c>
      <c r="O1853" s="47">
        <f t="shared" si="229"/>
        <v>1.5900357143271406E-2</v>
      </c>
      <c r="P1853" s="47">
        <f t="shared" si="230"/>
        <v>6.5898095274550261E-2</v>
      </c>
      <c r="Q1853" s="47">
        <f t="shared" si="231"/>
        <v>1</v>
      </c>
    </row>
    <row r="1854" spans="1:17" x14ac:dyDescent="0.35">
      <c r="A1854" s="82">
        <v>1851</v>
      </c>
      <c r="B1854" s="83" t="str">
        <f>_xlfn.XLOOKUP(A1854,'TAZs by City - CCAG Model'!$A:$A,'TAZs by City - CCAG Model'!$B:$B,"Unknown")</f>
        <v>San Francisco</v>
      </c>
      <c r="C1854" s="82">
        <f>_xlfn.XLOOKUP(A1854,'TAZs by City - CCAG Model'!$A:$A,'TAZs by City - CCAG Model'!$C:$C,999)</f>
        <v>1</v>
      </c>
      <c r="D1854" s="82" t="str">
        <f t="shared" si="224"/>
        <v>NO</v>
      </c>
      <c r="E1854" s="27">
        <v>3037.14</v>
      </c>
      <c r="F1854" s="27">
        <v>2473.7800000000002</v>
      </c>
      <c r="G1854" s="27">
        <v>725.12</v>
      </c>
      <c r="H1854" s="27">
        <v>121.18</v>
      </c>
      <c r="I1854" s="27">
        <v>414.32</v>
      </c>
      <c r="J1854" s="27">
        <v>7527.14</v>
      </c>
      <c r="K1854" s="47">
        <f t="shared" si="225"/>
        <v>0.40349189732089474</v>
      </c>
      <c r="L1854" s="47">
        <f t="shared" si="226"/>
        <v>0.32864806553352272</v>
      </c>
      <c r="M1854" s="84">
        <f t="shared" si="227"/>
        <v>0.73213996285441751</v>
      </c>
      <c r="N1854" s="47">
        <f t="shared" si="228"/>
        <v>9.6334065793913751E-2</v>
      </c>
      <c r="O1854" s="47">
        <f t="shared" si="229"/>
        <v>1.609907614313006E-2</v>
      </c>
      <c r="P1854" s="47">
        <f t="shared" si="230"/>
        <v>5.5043482650781038E-2</v>
      </c>
      <c r="Q1854" s="47">
        <f t="shared" si="231"/>
        <v>1</v>
      </c>
    </row>
    <row r="1855" spans="1:17" x14ac:dyDescent="0.35">
      <c r="A1855" s="82">
        <v>1852</v>
      </c>
      <c r="B1855" s="83" t="str">
        <f>_xlfn.XLOOKUP(A1855,'TAZs by City - CCAG Model'!$A:$A,'TAZs by City - CCAG Model'!$B:$B,"Unknown")</f>
        <v>San Francisco</v>
      </c>
      <c r="C1855" s="82">
        <f>_xlfn.XLOOKUP(A1855,'TAZs by City - CCAG Model'!$A:$A,'TAZs by City - CCAG Model'!$C:$C,999)</f>
        <v>1</v>
      </c>
      <c r="D1855" s="82" t="str">
        <f t="shared" si="224"/>
        <v>NO</v>
      </c>
      <c r="E1855" s="27">
        <v>7365.42</v>
      </c>
      <c r="F1855" s="27">
        <v>5855.04</v>
      </c>
      <c r="G1855" s="27">
        <v>1267.6199999999999</v>
      </c>
      <c r="H1855" s="27">
        <v>290</v>
      </c>
      <c r="I1855" s="27">
        <v>1146.8800000000001</v>
      </c>
      <c r="J1855" s="27">
        <v>17224.740000000002</v>
      </c>
      <c r="K1855" s="47">
        <f t="shared" si="225"/>
        <v>0.42760703499733521</v>
      </c>
      <c r="L1855" s="47">
        <f t="shared" si="226"/>
        <v>0.33992037035101835</v>
      </c>
      <c r="M1855" s="84">
        <f t="shared" si="227"/>
        <v>0.76752740534835351</v>
      </c>
      <c r="N1855" s="47">
        <f t="shared" si="228"/>
        <v>7.3592983116145719E-2</v>
      </c>
      <c r="O1855" s="47">
        <f t="shared" si="229"/>
        <v>1.6836248326534971E-2</v>
      </c>
      <c r="P1855" s="47">
        <f t="shared" si="230"/>
        <v>6.6583298209435968E-2</v>
      </c>
      <c r="Q1855" s="47">
        <f t="shared" si="231"/>
        <v>1</v>
      </c>
    </row>
    <row r="1856" spans="1:17" x14ac:dyDescent="0.35">
      <c r="A1856" s="82">
        <v>1853</v>
      </c>
      <c r="B1856" s="83" t="str">
        <f>_xlfn.XLOOKUP(A1856,'TAZs by City - CCAG Model'!$A:$A,'TAZs by City - CCAG Model'!$B:$B,"Unknown")</f>
        <v>San Francisco</v>
      </c>
      <c r="C1856" s="82">
        <f>_xlfn.XLOOKUP(A1856,'TAZs by City - CCAG Model'!$A:$A,'TAZs by City - CCAG Model'!$C:$C,999)</f>
        <v>1</v>
      </c>
      <c r="D1856" s="82" t="str">
        <f t="shared" si="224"/>
        <v>NO</v>
      </c>
      <c r="E1856" s="27">
        <v>6345.38</v>
      </c>
      <c r="F1856" s="27">
        <v>5499.28</v>
      </c>
      <c r="G1856" s="27">
        <v>1591.48</v>
      </c>
      <c r="H1856" s="27">
        <v>252.76</v>
      </c>
      <c r="I1856" s="27">
        <v>758.88</v>
      </c>
      <c r="J1856" s="27">
        <v>16066.36</v>
      </c>
      <c r="K1856" s="47">
        <f t="shared" si="225"/>
        <v>0.39494820233083289</v>
      </c>
      <c r="L1856" s="47">
        <f t="shared" si="226"/>
        <v>0.34228537142202714</v>
      </c>
      <c r="M1856" s="84">
        <f t="shared" si="227"/>
        <v>0.73723357375286003</v>
      </c>
      <c r="N1856" s="47">
        <f t="shared" si="228"/>
        <v>9.9056662492313124E-2</v>
      </c>
      <c r="O1856" s="47">
        <f t="shared" si="229"/>
        <v>1.5732250491088211E-2</v>
      </c>
      <c r="P1856" s="47">
        <f t="shared" si="230"/>
        <v>4.723409658441613E-2</v>
      </c>
      <c r="Q1856" s="47">
        <f t="shared" si="231"/>
        <v>1</v>
      </c>
    </row>
    <row r="1857" spans="1:17" x14ac:dyDescent="0.35">
      <c r="A1857" s="82">
        <v>1854</v>
      </c>
      <c r="B1857" s="83" t="str">
        <f>_xlfn.XLOOKUP(A1857,'TAZs by City - CCAG Model'!$A:$A,'TAZs by City - CCAG Model'!$B:$B,"Unknown")</f>
        <v>San Francisco</v>
      </c>
      <c r="C1857" s="82">
        <f>_xlfn.XLOOKUP(A1857,'TAZs by City - CCAG Model'!$A:$A,'TAZs by City - CCAG Model'!$C:$C,999)</f>
        <v>1</v>
      </c>
      <c r="D1857" s="82" t="str">
        <f t="shared" si="224"/>
        <v>NO</v>
      </c>
      <c r="E1857" s="27">
        <v>7651.28</v>
      </c>
      <c r="F1857" s="27">
        <v>6951.14</v>
      </c>
      <c r="G1857" s="27">
        <v>2150.2199999999998</v>
      </c>
      <c r="H1857" s="27">
        <v>309.98</v>
      </c>
      <c r="I1857" s="27">
        <v>1146.6600000000001</v>
      </c>
      <c r="J1857" s="27">
        <v>20389.740000000002</v>
      </c>
      <c r="K1857" s="47">
        <f t="shared" si="225"/>
        <v>0.37525147451610463</v>
      </c>
      <c r="L1857" s="47">
        <f t="shared" si="226"/>
        <v>0.34091361635803102</v>
      </c>
      <c r="M1857" s="84">
        <f t="shared" si="227"/>
        <v>0.71616509087413571</v>
      </c>
      <c r="N1857" s="47">
        <f t="shared" si="228"/>
        <v>0.10545597933078105</v>
      </c>
      <c r="O1857" s="47">
        <f t="shared" si="229"/>
        <v>1.520274412523161E-2</v>
      </c>
      <c r="P1857" s="47">
        <f t="shared" si="230"/>
        <v>5.623710748641228E-2</v>
      </c>
      <c r="Q1857" s="47">
        <f t="shared" si="231"/>
        <v>1</v>
      </c>
    </row>
    <row r="1858" spans="1:17" x14ac:dyDescent="0.35">
      <c r="A1858" s="82">
        <v>1855</v>
      </c>
      <c r="B1858" s="83" t="str">
        <f>_xlfn.XLOOKUP(A1858,'TAZs by City - CCAG Model'!$A:$A,'TAZs by City - CCAG Model'!$B:$B,"Unknown")</f>
        <v>San Francisco</v>
      </c>
      <c r="C1858" s="82">
        <f>_xlfn.XLOOKUP(A1858,'TAZs by City - CCAG Model'!$A:$A,'TAZs by City - CCAG Model'!$C:$C,999)</f>
        <v>1</v>
      </c>
      <c r="D1858" s="82" t="str">
        <f t="shared" si="224"/>
        <v>NO</v>
      </c>
      <c r="E1858" s="27">
        <v>5748.14</v>
      </c>
      <c r="F1858" s="27">
        <v>5045.4799999999996</v>
      </c>
      <c r="G1858" s="27">
        <v>1217.06</v>
      </c>
      <c r="H1858" s="27">
        <v>238.7</v>
      </c>
      <c r="I1858" s="27">
        <v>767.14</v>
      </c>
      <c r="J1858" s="27">
        <v>14270.04</v>
      </c>
      <c r="K1858" s="47">
        <f t="shared" si="225"/>
        <v>0.40281176506863331</v>
      </c>
      <c r="L1858" s="47">
        <f t="shared" si="226"/>
        <v>0.35357153869225311</v>
      </c>
      <c r="M1858" s="84">
        <f t="shared" si="227"/>
        <v>0.75638330376088636</v>
      </c>
      <c r="N1858" s="47">
        <f t="shared" si="228"/>
        <v>8.528777774974701E-2</v>
      </c>
      <c r="O1858" s="47">
        <f t="shared" si="229"/>
        <v>1.672735325198808E-2</v>
      </c>
      <c r="P1858" s="47">
        <f t="shared" si="230"/>
        <v>5.3758784137956164E-2</v>
      </c>
      <c r="Q1858" s="47">
        <f t="shared" si="231"/>
        <v>1</v>
      </c>
    </row>
    <row r="1859" spans="1:17" x14ac:dyDescent="0.35">
      <c r="A1859" s="82">
        <v>1856</v>
      </c>
      <c r="B1859" s="83" t="str">
        <f>_xlfn.XLOOKUP(A1859,'TAZs by City - CCAG Model'!$A:$A,'TAZs by City - CCAG Model'!$B:$B,"Unknown")</f>
        <v>San Francisco</v>
      </c>
      <c r="C1859" s="82">
        <f>_xlfn.XLOOKUP(A1859,'TAZs by City - CCAG Model'!$A:$A,'TAZs by City - CCAG Model'!$C:$C,999)</f>
        <v>1</v>
      </c>
      <c r="D1859" s="82" t="str">
        <f t="shared" si="224"/>
        <v>NO</v>
      </c>
      <c r="E1859" s="27">
        <v>3635.54</v>
      </c>
      <c r="F1859" s="27">
        <v>3698.72</v>
      </c>
      <c r="G1859" s="27">
        <v>801.74</v>
      </c>
      <c r="H1859" s="27">
        <v>150.13999999999999</v>
      </c>
      <c r="I1859" s="27">
        <v>593.41999999999996</v>
      </c>
      <c r="J1859" s="27">
        <v>9712.5400000000009</v>
      </c>
      <c r="K1859" s="47">
        <f t="shared" si="225"/>
        <v>0.37431403113912526</v>
      </c>
      <c r="L1859" s="47">
        <f t="shared" si="226"/>
        <v>0.38081902365395659</v>
      </c>
      <c r="M1859" s="84">
        <f t="shared" si="227"/>
        <v>0.7551330547930819</v>
      </c>
      <c r="N1859" s="47">
        <f t="shared" si="228"/>
        <v>8.2546892985768908E-2</v>
      </c>
      <c r="O1859" s="47">
        <f t="shared" si="229"/>
        <v>1.5458366194630856E-2</v>
      </c>
      <c r="P1859" s="47">
        <f t="shared" si="230"/>
        <v>6.109833267095939E-2</v>
      </c>
      <c r="Q1859" s="47">
        <f t="shared" si="231"/>
        <v>1</v>
      </c>
    </row>
    <row r="1860" spans="1:17" x14ac:dyDescent="0.35">
      <c r="A1860" s="82">
        <v>1857</v>
      </c>
      <c r="B1860" s="83" t="str">
        <f>_xlfn.XLOOKUP(A1860,'TAZs by City - CCAG Model'!$A:$A,'TAZs by City - CCAG Model'!$B:$B,"Unknown")</f>
        <v>San Francisco</v>
      </c>
      <c r="C1860" s="82">
        <f>_xlfn.XLOOKUP(A1860,'TAZs by City - CCAG Model'!$A:$A,'TAZs by City - CCAG Model'!$C:$C,999)</f>
        <v>1</v>
      </c>
      <c r="D1860" s="82" t="str">
        <f t="shared" si="224"/>
        <v>NO</v>
      </c>
      <c r="E1860" s="27">
        <v>4172.54</v>
      </c>
      <c r="F1860" s="27">
        <v>4209.68</v>
      </c>
      <c r="G1860" s="27">
        <v>1047.24</v>
      </c>
      <c r="H1860" s="27">
        <v>205.66</v>
      </c>
      <c r="I1860" s="27">
        <v>780.64</v>
      </c>
      <c r="J1860" s="27">
        <v>11494.78</v>
      </c>
      <c r="K1860" s="47">
        <f t="shared" si="225"/>
        <v>0.36299433307988493</v>
      </c>
      <c r="L1860" s="47">
        <f t="shared" si="226"/>
        <v>0.36622536490476548</v>
      </c>
      <c r="M1860" s="84">
        <f t="shared" si="227"/>
        <v>0.72921969798465047</v>
      </c>
      <c r="N1860" s="47">
        <f t="shared" si="228"/>
        <v>9.1105701892511201E-2</v>
      </c>
      <c r="O1860" s="47">
        <f t="shared" si="229"/>
        <v>1.7891599491247329E-2</v>
      </c>
      <c r="P1860" s="47">
        <f t="shared" si="230"/>
        <v>6.7912565529744798E-2</v>
      </c>
      <c r="Q1860" s="47">
        <f t="shared" si="231"/>
        <v>1</v>
      </c>
    </row>
    <row r="1861" spans="1:17" x14ac:dyDescent="0.35">
      <c r="A1861" s="82">
        <v>1858</v>
      </c>
      <c r="B1861" s="83" t="str">
        <f>_xlfn.XLOOKUP(A1861,'TAZs by City - CCAG Model'!$A:$A,'TAZs by City - CCAG Model'!$B:$B,"Unknown")</f>
        <v>San Francisco</v>
      </c>
      <c r="C1861" s="82">
        <f>_xlfn.XLOOKUP(A1861,'TAZs by City - CCAG Model'!$A:$A,'TAZs by City - CCAG Model'!$C:$C,999)</f>
        <v>1</v>
      </c>
      <c r="D1861" s="82" t="str">
        <f t="shared" ref="D1861:D1924" si="232">IF(C1861=2,"YES","NO")</f>
        <v>NO</v>
      </c>
      <c r="E1861" s="27">
        <v>2383.98</v>
      </c>
      <c r="F1861" s="27">
        <v>1519.5</v>
      </c>
      <c r="G1861" s="27">
        <v>197.7</v>
      </c>
      <c r="H1861" s="27">
        <v>59.68</v>
      </c>
      <c r="I1861" s="27">
        <v>190.22</v>
      </c>
      <c r="J1861" s="27">
        <v>4583.7</v>
      </c>
      <c r="K1861" s="47">
        <f t="shared" ref="K1861:K1924" si="233">IFERROR(E1861/$J1861,0)</f>
        <v>0.52009948295045494</v>
      </c>
      <c r="L1861" s="47">
        <f t="shared" ref="L1861:L1924" si="234">IFERROR(F1861/$J1861,0)</f>
        <v>0.33150075266705936</v>
      </c>
      <c r="M1861" s="84">
        <f t="shared" ref="M1861:M1924" si="235">IFERROR((E1861+F1861)/J1861,0)</f>
        <v>0.8516002356175143</v>
      </c>
      <c r="N1861" s="47">
        <f t="shared" ref="N1861:N1924" si="236">IFERROR(G1861/$J1861,0)</f>
        <v>4.31310949669481E-2</v>
      </c>
      <c r="O1861" s="47">
        <f t="shared" ref="O1861:O1924" si="237">IFERROR(H1861/$J1861,0)</f>
        <v>1.3020049305146497E-2</v>
      </c>
      <c r="P1861" s="47">
        <f t="shared" ref="P1861:P1924" si="238">IFERROR(I1861/$J1861,0)</f>
        <v>4.1499225516504139E-2</v>
      </c>
      <c r="Q1861" s="47">
        <f t="shared" ref="Q1861:Q1924" si="239">IFERROR(J1861/$J1861,0)</f>
        <v>1</v>
      </c>
    </row>
    <row r="1862" spans="1:17" x14ac:dyDescent="0.35">
      <c r="A1862" s="82">
        <v>1859</v>
      </c>
      <c r="B1862" s="83" t="str">
        <f>_xlfn.XLOOKUP(A1862,'TAZs by City - CCAG Model'!$A:$A,'TAZs by City - CCAG Model'!$B:$B,"Unknown")</f>
        <v>San Francisco</v>
      </c>
      <c r="C1862" s="82">
        <f>_xlfn.XLOOKUP(A1862,'TAZs by City - CCAG Model'!$A:$A,'TAZs by City - CCAG Model'!$C:$C,999)</f>
        <v>1</v>
      </c>
      <c r="D1862" s="82" t="str">
        <f t="shared" si="232"/>
        <v>NO</v>
      </c>
      <c r="E1862" s="27">
        <v>7396.94</v>
      </c>
      <c r="F1862" s="27">
        <v>6224.72</v>
      </c>
      <c r="G1862" s="27">
        <v>1476.36</v>
      </c>
      <c r="H1862" s="27">
        <v>263.27999999999997</v>
      </c>
      <c r="I1862" s="27">
        <v>1049.9000000000001</v>
      </c>
      <c r="J1862" s="27">
        <v>17916.18</v>
      </c>
      <c r="K1862" s="47">
        <f t="shared" si="233"/>
        <v>0.41286367964599596</v>
      </c>
      <c r="L1862" s="47">
        <f t="shared" si="234"/>
        <v>0.34743566988052144</v>
      </c>
      <c r="M1862" s="84">
        <f t="shared" si="235"/>
        <v>0.76029934952651734</v>
      </c>
      <c r="N1862" s="47">
        <f t="shared" si="236"/>
        <v>8.2403726687273735E-2</v>
      </c>
      <c r="O1862" s="47">
        <f t="shared" si="237"/>
        <v>1.4695096834258193E-2</v>
      </c>
      <c r="P1862" s="47">
        <f t="shared" si="238"/>
        <v>5.8600661524945613E-2</v>
      </c>
      <c r="Q1862" s="47">
        <f t="shared" si="239"/>
        <v>1</v>
      </c>
    </row>
    <row r="1863" spans="1:17" x14ac:dyDescent="0.35">
      <c r="A1863" s="82">
        <v>1860</v>
      </c>
      <c r="B1863" s="83" t="str">
        <f>_xlfn.XLOOKUP(A1863,'TAZs by City - CCAG Model'!$A:$A,'TAZs by City - CCAG Model'!$B:$B,"Unknown")</f>
        <v>San Francisco</v>
      </c>
      <c r="C1863" s="82">
        <f>_xlfn.XLOOKUP(A1863,'TAZs by City - CCAG Model'!$A:$A,'TAZs by City - CCAG Model'!$C:$C,999)</f>
        <v>1</v>
      </c>
      <c r="D1863" s="82" t="str">
        <f t="shared" si="232"/>
        <v>NO</v>
      </c>
      <c r="E1863" s="27">
        <v>6592.24</v>
      </c>
      <c r="F1863" s="27">
        <v>5733.56</v>
      </c>
      <c r="G1863" s="27">
        <v>2040.24</v>
      </c>
      <c r="H1863" s="27">
        <v>261.60000000000002</v>
      </c>
      <c r="I1863" s="27">
        <v>1149.9000000000001</v>
      </c>
      <c r="J1863" s="27">
        <v>17851.2</v>
      </c>
      <c r="K1863" s="47">
        <f t="shared" si="233"/>
        <v>0.36928833915927217</v>
      </c>
      <c r="L1863" s="47">
        <f t="shared" si="234"/>
        <v>0.321186250784261</v>
      </c>
      <c r="M1863" s="84">
        <f t="shared" si="235"/>
        <v>0.69047458994353317</v>
      </c>
      <c r="N1863" s="47">
        <f t="shared" si="236"/>
        <v>0.11429147620328045</v>
      </c>
      <c r="O1863" s="47">
        <f t="shared" si="237"/>
        <v>1.4654477009948912E-2</v>
      </c>
      <c r="P1863" s="47">
        <f t="shared" si="238"/>
        <v>6.4415837590750202E-2</v>
      </c>
      <c r="Q1863" s="47">
        <f t="shared" si="239"/>
        <v>1</v>
      </c>
    </row>
    <row r="1864" spans="1:17" x14ac:dyDescent="0.35">
      <c r="A1864" s="82">
        <v>1861</v>
      </c>
      <c r="B1864" s="83" t="str">
        <f>_xlfn.XLOOKUP(A1864,'TAZs by City - CCAG Model'!$A:$A,'TAZs by City - CCAG Model'!$B:$B,"Unknown")</f>
        <v>San Francisco</v>
      </c>
      <c r="C1864" s="82">
        <f>_xlfn.XLOOKUP(A1864,'TAZs by City - CCAG Model'!$A:$A,'TAZs by City - CCAG Model'!$C:$C,999)</f>
        <v>1</v>
      </c>
      <c r="D1864" s="82" t="str">
        <f t="shared" si="232"/>
        <v>NO</v>
      </c>
      <c r="E1864" s="27">
        <v>5808.92</v>
      </c>
      <c r="F1864" s="27">
        <v>4900.3599999999997</v>
      </c>
      <c r="G1864" s="27">
        <v>1805.18</v>
      </c>
      <c r="H1864" s="27">
        <v>246.64</v>
      </c>
      <c r="I1864" s="27">
        <v>1287.32</v>
      </c>
      <c r="J1864" s="27">
        <v>15885.9</v>
      </c>
      <c r="K1864" s="47">
        <f t="shared" si="233"/>
        <v>0.36566514959807128</v>
      </c>
      <c r="L1864" s="47">
        <f t="shared" si="234"/>
        <v>0.30847229303973961</v>
      </c>
      <c r="M1864" s="84">
        <f t="shared" si="235"/>
        <v>0.67413744263781084</v>
      </c>
      <c r="N1864" s="47">
        <f t="shared" si="236"/>
        <v>0.11363410319843384</v>
      </c>
      <c r="O1864" s="47">
        <f t="shared" si="237"/>
        <v>1.5525717774882127E-2</v>
      </c>
      <c r="P1864" s="47">
        <f t="shared" si="238"/>
        <v>8.1035383579148801E-2</v>
      </c>
      <c r="Q1864" s="47">
        <f t="shared" si="239"/>
        <v>1</v>
      </c>
    </row>
    <row r="1865" spans="1:17" x14ac:dyDescent="0.35">
      <c r="A1865" s="82">
        <v>1862</v>
      </c>
      <c r="B1865" s="83" t="str">
        <f>_xlfn.XLOOKUP(A1865,'TAZs by City - CCAG Model'!$A:$A,'TAZs by City - CCAG Model'!$B:$B,"Unknown")</f>
        <v>San Francisco</v>
      </c>
      <c r="C1865" s="82">
        <f>_xlfn.XLOOKUP(A1865,'TAZs by City - CCAG Model'!$A:$A,'TAZs by City - CCAG Model'!$C:$C,999)</f>
        <v>1</v>
      </c>
      <c r="D1865" s="82" t="str">
        <f t="shared" si="232"/>
        <v>NO</v>
      </c>
      <c r="E1865" s="27">
        <v>7263.62</v>
      </c>
      <c r="F1865" s="27">
        <v>5674.52</v>
      </c>
      <c r="G1865" s="27">
        <v>2191.44</v>
      </c>
      <c r="H1865" s="27">
        <v>302.60000000000002</v>
      </c>
      <c r="I1865" s="27">
        <v>1454.86</v>
      </c>
      <c r="J1865" s="27">
        <v>19109.48</v>
      </c>
      <c r="K1865" s="47">
        <f t="shared" si="233"/>
        <v>0.38010558110424775</v>
      </c>
      <c r="L1865" s="47">
        <f t="shared" si="234"/>
        <v>0.29694790229770779</v>
      </c>
      <c r="M1865" s="84">
        <f t="shared" si="235"/>
        <v>0.67705348340195548</v>
      </c>
      <c r="N1865" s="47">
        <f t="shared" si="236"/>
        <v>0.11467815974061042</v>
      </c>
      <c r="O1865" s="47">
        <f t="shared" si="237"/>
        <v>1.5835072435252034E-2</v>
      </c>
      <c r="P1865" s="47">
        <f t="shared" si="238"/>
        <v>7.6132893202745439E-2</v>
      </c>
      <c r="Q1865" s="47">
        <f t="shared" si="239"/>
        <v>1</v>
      </c>
    </row>
    <row r="1866" spans="1:17" x14ac:dyDescent="0.35">
      <c r="A1866" s="82">
        <v>1863</v>
      </c>
      <c r="B1866" s="83" t="str">
        <f>_xlfn.XLOOKUP(A1866,'TAZs by City - CCAG Model'!$A:$A,'TAZs by City - CCAG Model'!$B:$B,"Unknown")</f>
        <v>San Francisco</v>
      </c>
      <c r="C1866" s="82">
        <f>_xlfn.XLOOKUP(A1866,'TAZs by City - CCAG Model'!$A:$A,'TAZs by City - CCAG Model'!$C:$C,999)</f>
        <v>1</v>
      </c>
      <c r="D1866" s="82" t="str">
        <f t="shared" si="232"/>
        <v>NO</v>
      </c>
      <c r="E1866" s="27">
        <v>7291.94</v>
      </c>
      <c r="F1866" s="27">
        <v>5706.84</v>
      </c>
      <c r="G1866" s="27">
        <v>1305.08</v>
      </c>
      <c r="H1866" s="27">
        <v>304.8</v>
      </c>
      <c r="I1866" s="27">
        <v>767.76</v>
      </c>
      <c r="J1866" s="27">
        <v>16711.2</v>
      </c>
      <c r="K1866" s="47">
        <f t="shared" si="233"/>
        <v>0.43635047154004497</v>
      </c>
      <c r="L1866" s="47">
        <f t="shared" si="234"/>
        <v>0.34149791756426828</v>
      </c>
      <c r="M1866" s="84">
        <f t="shared" si="235"/>
        <v>0.7778483891043132</v>
      </c>
      <c r="N1866" s="47">
        <f t="shared" si="236"/>
        <v>7.8096127148259836E-2</v>
      </c>
      <c r="O1866" s="47">
        <f t="shared" si="237"/>
        <v>1.8239264684762314E-2</v>
      </c>
      <c r="P1866" s="47">
        <f t="shared" si="238"/>
        <v>4.5942840729570583E-2</v>
      </c>
      <c r="Q1866" s="47">
        <f t="shared" si="239"/>
        <v>1</v>
      </c>
    </row>
    <row r="1867" spans="1:17" x14ac:dyDescent="0.35">
      <c r="A1867" s="82">
        <v>1864</v>
      </c>
      <c r="B1867" s="83" t="str">
        <f>_xlfn.XLOOKUP(A1867,'TAZs by City - CCAG Model'!$A:$A,'TAZs by City - CCAG Model'!$B:$B,"Unknown")</f>
        <v>San Francisco</v>
      </c>
      <c r="C1867" s="82">
        <f>_xlfn.XLOOKUP(A1867,'TAZs by City - CCAG Model'!$A:$A,'TAZs by City - CCAG Model'!$C:$C,999)</f>
        <v>1</v>
      </c>
      <c r="D1867" s="82" t="str">
        <f t="shared" si="232"/>
        <v>NO</v>
      </c>
      <c r="E1867" s="27">
        <v>10458.780000000001</v>
      </c>
      <c r="F1867" s="27">
        <v>8649.64</v>
      </c>
      <c r="G1867" s="27">
        <v>3364.48</v>
      </c>
      <c r="H1867" s="27">
        <v>398.18</v>
      </c>
      <c r="I1867" s="27">
        <v>2331.08</v>
      </c>
      <c r="J1867" s="27">
        <v>28602.66</v>
      </c>
      <c r="K1867" s="47">
        <f t="shared" si="233"/>
        <v>0.36565759967779221</v>
      </c>
      <c r="L1867" s="47">
        <f t="shared" si="234"/>
        <v>0.30240683908419702</v>
      </c>
      <c r="M1867" s="84">
        <f t="shared" si="235"/>
        <v>0.66806443876198918</v>
      </c>
      <c r="N1867" s="47">
        <f t="shared" si="236"/>
        <v>0.11762822059207081</v>
      </c>
      <c r="O1867" s="47">
        <f t="shared" si="237"/>
        <v>1.392108286432101E-2</v>
      </c>
      <c r="P1867" s="47">
        <f t="shared" si="238"/>
        <v>8.1498713755993324E-2</v>
      </c>
      <c r="Q1867" s="47">
        <f t="shared" si="239"/>
        <v>1</v>
      </c>
    </row>
    <row r="1868" spans="1:17" x14ac:dyDescent="0.35">
      <c r="A1868" s="82">
        <v>1865</v>
      </c>
      <c r="B1868" s="83" t="str">
        <f>_xlfn.XLOOKUP(A1868,'TAZs by City - CCAG Model'!$A:$A,'TAZs by City - CCAG Model'!$B:$B,"Unknown")</f>
        <v>San Francisco</v>
      </c>
      <c r="C1868" s="82">
        <f>_xlfn.XLOOKUP(A1868,'TAZs by City - CCAG Model'!$A:$A,'TAZs by City - CCAG Model'!$C:$C,999)</f>
        <v>1</v>
      </c>
      <c r="D1868" s="82" t="str">
        <f t="shared" si="232"/>
        <v>NO</v>
      </c>
      <c r="E1868" s="27">
        <v>17325.560000000001</v>
      </c>
      <c r="F1868" s="27">
        <v>11705.34</v>
      </c>
      <c r="G1868" s="27">
        <v>4230.08</v>
      </c>
      <c r="H1868" s="27">
        <v>661.88</v>
      </c>
      <c r="I1868" s="27">
        <v>3844.92</v>
      </c>
      <c r="J1868" s="27">
        <v>42033.78</v>
      </c>
      <c r="K1868" s="47">
        <f t="shared" si="233"/>
        <v>0.41218182138270698</v>
      </c>
      <c r="L1868" s="47">
        <f t="shared" si="234"/>
        <v>0.27847459828737747</v>
      </c>
      <c r="M1868" s="84">
        <f t="shared" si="235"/>
        <v>0.6906564196700844</v>
      </c>
      <c r="N1868" s="47">
        <f t="shared" si="236"/>
        <v>0.10063525098147252</v>
      </c>
      <c r="O1868" s="47">
        <f t="shared" si="237"/>
        <v>1.5746383028126427E-2</v>
      </c>
      <c r="P1868" s="47">
        <f t="shared" si="238"/>
        <v>9.1472144546600381E-2</v>
      </c>
      <c r="Q1868" s="47">
        <f t="shared" si="239"/>
        <v>1</v>
      </c>
    </row>
    <row r="1869" spans="1:17" x14ac:dyDescent="0.35">
      <c r="A1869" s="82">
        <v>1866</v>
      </c>
      <c r="B1869" s="83" t="str">
        <f>_xlfn.XLOOKUP(A1869,'TAZs by City - CCAG Model'!$A:$A,'TAZs by City - CCAG Model'!$B:$B,"Unknown")</f>
        <v>San Francisco</v>
      </c>
      <c r="C1869" s="82">
        <f>_xlfn.XLOOKUP(A1869,'TAZs by City - CCAG Model'!$A:$A,'TAZs by City - CCAG Model'!$C:$C,999)</f>
        <v>1</v>
      </c>
      <c r="D1869" s="82" t="str">
        <f t="shared" si="232"/>
        <v>NO</v>
      </c>
      <c r="E1869" s="27">
        <v>15028.68</v>
      </c>
      <c r="F1869" s="27">
        <v>12012.04</v>
      </c>
      <c r="G1869" s="27">
        <v>4696.26</v>
      </c>
      <c r="H1869" s="27">
        <v>615.44000000000005</v>
      </c>
      <c r="I1869" s="27">
        <v>3677.18</v>
      </c>
      <c r="J1869" s="27">
        <v>40756.46</v>
      </c>
      <c r="K1869" s="47">
        <f t="shared" si="233"/>
        <v>0.36874350716426307</v>
      </c>
      <c r="L1869" s="47">
        <f t="shared" si="234"/>
        <v>0.29472726532186555</v>
      </c>
      <c r="M1869" s="84">
        <f t="shared" si="235"/>
        <v>0.66347077248612862</v>
      </c>
      <c r="N1869" s="47">
        <f t="shared" si="236"/>
        <v>0.1152273774513292</v>
      </c>
      <c r="O1869" s="47">
        <f t="shared" si="237"/>
        <v>1.510042825112878E-2</v>
      </c>
      <c r="P1869" s="47">
        <f t="shared" si="238"/>
        <v>9.0223243137406928E-2</v>
      </c>
      <c r="Q1869" s="47">
        <f t="shared" si="239"/>
        <v>1</v>
      </c>
    </row>
    <row r="1870" spans="1:17" x14ac:dyDescent="0.35">
      <c r="A1870" s="82">
        <v>1867</v>
      </c>
      <c r="B1870" s="83" t="str">
        <f>_xlfn.XLOOKUP(A1870,'TAZs by City - CCAG Model'!$A:$A,'TAZs by City - CCAG Model'!$B:$B,"Unknown")</f>
        <v>San Francisco</v>
      </c>
      <c r="C1870" s="82">
        <f>_xlfn.XLOOKUP(A1870,'TAZs by City - CCAG Model'!$A:$A,'TAZs by City - CCAG Model'!$C:$C,999)</f>
        <v>1</v>
      </c>
      <c r="D1870" s="82" t="str">
        <f t="shared" si="232"/>
        <v>NO</v>
      </c>
      <c r="E1870" s="27">
        <v>9137.2800000000007</v>
      </c>
      <c r="F1870" s="27">
        <v>7775.82</v>
      </c>
      <c r="G1870" s="27">
        <v>2307.48</v>
      </c>
      <c r="H1870" s="27">
        <v>341.98</v>
      </c>
      <c r="I1870" s="27">
        <v>2017.12</v>
      </c>
      <c r="J1870" s="27">
        <v>23920.400000000001</v>
      </c>
      <c r="K1870" s="47">
        <f t="shared" si="233"/>
        <v>0.38198692329559708</v>
      </c>
      <c r="L1870" s="47">
        <f t="shared" si="234"/>
        <v>0.3250706509924583</v>
      </c>
      <c r="M1870" s="84">
        <f t="shared" si="235"/>
        <v>0.70705757428805527</v>
      </c>
      <c r="N1870" s="47">
        <f t="shared" si="236"/>
        <v>9.6464942057825118E-2</v>
      </c>
      <c r="O1870" s="47">
        <f t="shared" si="237"/>
        <v>1.4296583669169412E-2</v>
      </c>
      <c r="P1870" s="47">
        <f t="shared" si="238"/>
        <v>8.4326349057708055E-2</v>
      </c>
      <c r="Q1870" s="47">
        <f t="shared" si="239"/>
        <v>1</v>
      </c>
    </row>
    <row r="1871" spans="1:17" x14ac:dyDescent="0.35">
      <c r="A1871" s="82">
        <v>1868</v>
      </c>
      <c r="B1871" s="83" t="str">
        <f>_xlfn.XLOOKUP(A1871,'TAZs by City - CCAG Model'!$A:$A,'TAZs by City - CCAG Model'!$B:$B,"Unknown")</f>
        <v>San Francisco</v>
      </c>
      <c r="C1871" s="82">
        <f>_xlfn.XLOOKUP(A1871,'TAZs by City - CCAG Model'!$A:$A,'TAZs by City - CCAG Model'!$C:$C,999)</f>
        <v>1</v>
      </c>
      <c r="D1871" s="82" t="str">
        <f t="shared" si="232"/>
        <v>NO</v>
      </c>
      <c r="E1871" s="27">
        <v>14950.54</v>
      </c>
      <c r="F1871" s="27">
        <v>12123.8</v>
      </c>
      <c r="G1871" s="27">
        <v>3198.48</v>
      </c>
      <c r="H1871" s="27">
        <v>523.9</v>
      </c>
      <c r="I1871" s="27">
        <v>2697.9</v>
      </c>
      <c r="J1871" s="27">
        <v>36726.699999999997</v>
      </c>
      <c r="K1871" s="47">
        <f t="shared" si="233"/>
        <v>0.40707550637547074</v>
      </c>
      <c r="L1871" s="47">
        <f t="shared" si="234"/>
        <v>0.33010861307985745</v>
      </c>
      <c r="M1871" s="84">
        <f t="shared" si="235"/>
        <v>0.73718411945532825</v>
      </c>
      <c r="N1871" s="47">
        <f t="shared" si="236"/>
        <v>8.7088684798797611E-2</v>
      </c>
      <c r="O1871" s="47">
        <f t="shared" si="237"/>
        <v>1.4264826406946445E-2</v>
      </c>
      <c r="P1871" s="47">
        <f t="shared" si="238"/>
        <v>7.3458818788510821E-2</v>
      </c>
      <c r="Q1871" s="47">
        <f t="shared" si="239"/>
        <v>1</v>
      </c>
    </row>
    <row r="1872" spans="1:17" x14ac:dyDescent="0.35">
      <c r="A1872" s="82">
        <v>1869</v>
      </c>
      <c r="B1872" s="83" t="str">
        <f>_xlfn.XLOOKUP(A1872,'TAZs by City - CCAG Model'!$A:$A,'TAZs by City - CCAG Model'!$B:$B,"Unknown")</f>
        <v>San Francisco</v>
      </c>
      <c r="C1872" s="82">
        <f>_xlfn.XLOOKUP(A1872,'TAZs by City - CCAG Model'!$A:$A,'TAZs by City - CCAG Model'!$C:$C,999)</f>
        <v>1</v>
      </c>
      <c r="D1872" s="82" t="str">
        <f t="shared" si="232"/>
        <v>NO</v>
      </c>
      <c r="E1872" s="27">
        <v>18578.62</v>
      </c>
      <c r="F1872" s="27">
        <v>11257.68</v>
      </c>
      <c r="G1872" s="27">
        <v>2509.2399999999998</v>
      </c>
      <c r="H1872" s="27">
        <v>525.4</v>
      </c>
      <c r="I1872" s="27">
        <v>2509.2800000000002</v>
      </c>
      <c r="J1872" s="27">
        <v>37922.92</v>
      </c>
      <c r="K1872" s="47">
        <f t="shared" si="233"/>
        <v>0.48990478581290681</v>
      </c>
      <c r="L1872" s="47">
        <f t="shared" si="234"/>
        <v>0.29685688760253698</v>
      </c>
      <c r="M1872" s="84">
        <f t="shared" si="235"/>
        <v>0.78676167341544379</v>
      </c>
      <c r="N1872" s="47">
        <f t="shared" si="236"/>
        <v>6.6166845801958279E-2</v>
      </c>
      <c r="O1872" s="47">
        <f t="shared" si="237"/>
        <v>1.3854418383394528E-2</v>
      </c>
      <c r="P1872" s="47">
        <f t="shared" si="238"/>
        <v>6.6167900573057145E-2</v>
      </c>
      <c r="Q1872" s="47">
        <f t="shared" si="239"/>
        <v>1</v>
      </c>
    </row>
    <row r="1873" spans="1:17" x14ac:dyDescent="0.35">
      <c r="A1873" s="82">
        <v>1870</v>
      </c>
      <c r="B1873" s="83" t="str">
        <f>_xlfn.XLOOKUP(A1873,'TAZs by City - CCAG Model'!$A:$A,'TAZs by City - CCAG Model'!$B:$B,"Unknown")</f>
        <v>San Francisco</v>
      </c>
      <c r="C1873" s="82">
        <f>_xlfn.XLOOKUP(A1873,'TAZs by City - CCAG Model'!$A:$A,'TAZs by City - CCAG Model'!$C:$C,999)</f>
        <v>1</v>
      </c>
      <c r="D1873" s="82" t="str">
        <f t="shared" si="232"/>
        <v>NO</v>
      </c>
      <c r="E1873" s="27">
        <v>18990.2</v>
      </c>
      <c r="F1873" s="27">
        <v>10915.04</v>
      </c>
      <c r="G1873" s="27">
        <v>2930.62</v>
      </c>
      <c r="H1873" s="27">
        <v>543.20000000000005</v>
      </c>
      <c r="I1873" s="27">
        <v>2425.1799999999998</v>
      </c>
      <c r="J1873" s="27">
        <v>38770.14</v>
      </c>
      <c r="K1873" s="47">
        <f t="shared" si="233"/>
        <v>0.4898150999712666</v>
      </c>
      <c r="L1873" s="47">
        <f t="shared" si="234"/>
        <v>0.28153212756002433</v>
      </c>
      <c r="M1873" s="84">
        <f t="shared" si="235"/>
        <v>0.77134722753129092</v>
      </c>
      <c r="N1873" s="47">
        <f t="shared" si="236"/>
        <v>7.5589616132415299E-2</v>
      </c>
      <c r="O1873" s="47">
        <f t="shared" si="237"/>
        <v>1.4010782524901897E-2</v>
      </c>
      <c r="P1873" s="47">
        <f t="shared" si="238"/>
        <v>6.2552779020142821E-2</v>
      </c>
      <c r="Q1873" s="47">
        <f t="shared" si="239"/>
        <v>1</v>
      </c>
    </row>
    <row r="1874" spans="1:17" x14ac:dyDescent="0.35">
      <c r="A1874" s="82">
        <v>1871</v>
      </c>
      <c r="B1874" s="83" t="str">
        <f>_xlfn.XLOOKUP(A1874,'TAZs by City - CCAG Model'!$A:$A,'TAZs by City - CCAG Model'!$B:$B,"Unknown")</f>
        <v>San Francisco</v>
      </c>
      <c r="C1874" s="82">
        <f>_xlfn.XLOOKUP(A1874,'TAZs by City - CCAG Model'!$A:$A,'TAZs by City - CCAG Model'!$C:$C,999)</f>
        <v>1</v>
      </c>
      <c r="D1874" s="82" t="str">
        <f t="shared" si="232"/>
        <v>NO</v>
      </c>
      <c r="E1874" s="27">
        <v>6268.2</v>
      </c>
      <c r="F1874" s="27">
        <v>3688.3</v>
      </c>
      <c r="G1874" s="27">
        <v>751.36</v>
      </c>
      <c r="H1874" s="27">
        <v>181.66</v>
      </c>
      <c r="I1874" s="27">
        <v>702.56</v>
      </c>
      <c r="J1874" s="27">
        <v>12382.34</v>
      </c>
      <c r="K1874" s="47">
        <f t="shared" si="233"/>
        <v>0.50622095662047717</v>
      </c>
      <c r="L1874" s="47">
        <f t="shared" si="234"/>
        <v>0.29786776974303725</v>
      </c>
      <c r="M1874" s="84">
        <f t="shared" si="235"/>
        <v>0.80408872636351447</v>
      </c>
      <c r="N1874" s="47">
        <f t="shared" si="236"/>
        <v>6.067996840661781E-2</v>
      </c>
      <c r="O1874" s="47">
        <f t="shared" si="237"/>
        <v>1.4670894192858538E-2</v>
      </c>
      <c r="P1874" s="47">
        <f t="shared" si="238"/>
        <v>5.6738871651077258E-2</v>
      </c>
      <c r="Q1874" s="47">
        <f t="shared" si="239"/>
        <v>1</v>
      </c>
    </row>
    <row r="1875" spans="1:17" x14ac:dyDescent="0.35">
      <c r="A1875" s="82">
        <v>1872</v>
      </c>
      <c r="B1875" s="83" t="str">
        <f>_xlfn.XLOOKUP(A1875,'TAZs by City - CCAG Model'!$A:$A,'TAZs by City - CCAG Model'!$B:$B,"Unknown")</f>
        <v>San Francisco</v>
      </c>
      <c r="C1875" s="82">
        <f>_xlfn.XLOOKUP(A1875,'TAZs by City - CCAG Model'!$A:$A,'TAZs by City - CCAG Model'!$C:$C,999)</f>
        <v>1</v>
      </c>
      <c r="D1875" s="82" t="str">
        <f t="shared" si="232"/>
        <v>NO</v>
      </c>
      <c r="E1875" s="27">
        <v>13418.6</v>
      </c>
      <c r="F1875" s="27">
        <v>7845.12</v>
      </c>
      <c r="G1875" s="27">
        <v>2379.8000000000002</v>
      </c>
      <c r="H1875" s="27">
        <v>397.8</v>
      </c>
      <c r="I1875" s="27">
        <v>1623.02</v>
      </c>
      <c r="J1875" s="27">
        <v>28080.68</v>
      </c>
      <c r="K1875" s="47">
        <f t="shared" si="233"/>
        <v>0.47785879829120947</v>
      </c>
      <c r="L1875" s="47">
        <f t="shared" si="234"/>
        <v>0.27937784982414954</v>
      </c>
      <c r="M1875" s="84">
        <f t="shared" si="235"/>
        <v>0.75723664811535907</v>
      </c>
      <c r="N1875" s="47">
        <f t="shared" si="236"/>
        <v>8.4748659932736684E-2</v>
      </c>
      <c r="O1875" s="47">
        <f t="shared" si="237"/>
        <v>1.4166323607547965E-2</v>
      </c>
      <c r="P1875" s="47">
        <f t="shared" si="238"/>
        <v>5.7798457872102811E-2</v>
      </c>
      <c r="Q1875" s="47">
        <f t="shared" si="239"/>
        <v>1</v>
      </c>
    </row>
    <row r="1876" spans="1:17" x14ac:dyDescent="0.35">
      <c r="A1876" s="82">
        <v>1873</v>
      </c>
      <c r="B1876" s="83" t="str">
        <f>_xlfn.XLOOKUP(A1876,'TAZs by City - CCAG Model'!$A:$A,'TAZs by City - CCAG Model'!$B:$B,"Unknown")</f>
        <v>San Francisco</v>
      </c>
      <c r="C1876" s="82">
        <f>_xlfn.XLOOKUP(A1876,'TAZs by City - CCAG Model'!$A:$A,'TAZs by City - CCAG Model'!$C:$C,999)</f>
        <v>1</v>
      </c>
      <c r="D1876" s="82" t="str">
        <f t="shared" si="232"/>
        <v>NO</v>
      </c>
      <c r="E1876" s="27">
        <v>7433.54</v>
      </c>
      <c r="F1876" s="27">
        <v>4750.76</v>
      </c>
      <c r="G1876" s="27">
        <v>1009.64</v>
      </c>
      <c r="H1876" s="27">
        <v>235.46</v>
      </c>
      <c r="I1876" s="27">
        <v>1045.02</v>
      </c>
      <c r="J1876" s="27">
        <v>15518.66</v>
      </c>
      <c r="K1876" s="47">
        <f t="shared" si="233"/>
        <v>0.47900656371104205</v>
      </c>
      <c r="L1876" s="47">
        <f t="shared" si="234"/>
        <v>0.30613210161186599</v>
      </c>
      <c r="M1876" s="84">
        <f t="shared" si="235"/>
        <v>0.78513866532290799</v>
      </c>
      <c r="N1876" s="47">
        <f t="shared" si="236"/>
        <v>6.5059740982791034E-2</v>
      </c>
      <c r="O1876" s="47">
        <f t="shared" si="237"/>
        <v>1.5172701766776256E-2</v>
      </c>
      <c r="P1876" s="47">
        <f t="shared" si="238"/>
        <v>6.733957699956053E-2</v>
      </c>
      <c r="Q1876" s="47">
        <f t="shared" si="239"/>
        <v>1</v>
      </c>
    </row>
    <row r="1877" spans="1:17" x14ac:dyDescent="0.35">
      <c r="A1877" s="82">
        <v>1874</v>
      </c>
      <c r="B1877" s="83" t="str">
        <f>_xlfn.XLOOKUP(A1877,'TAZs by City - CCAG Model'!$A:$A,'TAZs by City - CCAG Model'!$B:$B,"Unknown")</f>
        <v>San Francisco</v>
      </c>
      <c r="C1877" s="82">
        <f>_xlfn.XLOOKUP(A1877,'TAZs by City - CCAG Model'!$A:$A,'TAZs by City - CCAG Model'!$C:$C,999)</f>
        <v>1</v>
      </c>
      <c r="D1877" s="82" t="str">
        <f t="shared" si="232"/>
        <v>NO</v>
      </c>
      <c r="E1877" s="27">
        <v>12333.58</v>
      </c>
      <c r="F1877" s="27">
        <v>7113.22</v>
      </c>
      <c r="G1877" s="27">
        <v>2057.1999999999998</v>
      </c>
      <c r="H1877" s="27">
        <v>447.82</v>
      </c>
      <c r="I1877" s="27">
        <v>1733.06</v>
      </c>
      <c r="J1877" s="27">
        <v>25777.439999999999</v>
      </c>
      <c r="K1877" s="47">
        <f t="shared" si="233"/>
        <v>0.47846411435736058</v>
      </c>
      <c r="L1877" s="47">
        <f t="shared" si="234"/>
        <v>0.27594749517407474</v>
      </c>
      <c r="M1877" s="84">
        <f t="shared" si="235"/>
        <v>0.75441160953143527</v>
      </c>
      <c r="N1877" s="47">
        <f t="shared" si="236"/>
        <v>7.9806218150444724E-2</v>
      </c>
      <c r="O1877" s="47">
        <f t="shared" si="237"/>
        <v>1.7372555226585727E-2</v>
      </c>
      <c r="P1877" s="47">
        <f t="shared" si="238"/>
        <v>6.7231656828606726E-2</v>
      </c>
      <c r="Q1877" s="47">
        <f t="shared" si="239"/>
        <v>1</v>
      </c>
    </row>
    <row r="1878" spans="1:17" x14ac:dyDescent="0.35">
      <c r="A1878" s="82">
        <v>1875</v>
      </c>
      <c r="B1878" s="83" t="str">
        <f>_xlfn.XLOOKUP(A1878,'TAZs by City - CCAG Model'!$A:$A,'TAZs by City - CCAG Model'!$B:$B,"Unknown")</f>
        <v>San Francisco</v>
      </c>
      <c r="C1878" s="82">
        <f>_xlfn.XLOOKUP(A1878,'TAZs by City - CCAG Model'!$A:$A,'TAZs by City - CCAG Model'!$C:$C,999)</f>
        <v>1</v>
      </c>
      <c r="D1878" s="82" t="str">
        <f t="shared" si="232"/>
        <v>NO</v>
      </c>
      <c r="E1878" s="27">
        <v>13646.66</v>
      </c>
      <c r="F1878" s="27">
        <v>6893.9</v>
      </c>
      <c r="G1878" s="27">
        <v>3487.22</v>
      </c>
      <c r="H1878" s="27">
        <v>533.02</v>
      </c>
      <c r="I1878" s="27">
        <v>1975.48</v>
      </c>
      <c r="J1878" s="27">
        <v>30060.720000000001</v>
      </c>
      <c r="K1878" s="47">
        <f t="shared" si="233"/>
        <v>0.45396983172725069</v>
      </c>
      <c r="L1878" s="47">
        <f t="shared" si="234"/>
        <v>0.22933249769133937</v>
      </c>
      <c r="M1878" s="84">
        <f t="shared" si="235"/>
        <v>0.68330232941859004</v>
      </c>
      <c r="N1878" s="47">
        <f t="shared" si="236"/>
        <v>0.11600587078419944</v>
      </c>
      <c r="O1878" s="47">
        <f t="shared" si="237"/>
        <v>1.7731444888878241E-2</v>
      </c>
      <c r="P1878" s="47">
        <f t="shared" si="238"/>
        <v>6.57163234945803E-2</v>
      </c>
      <c r="Q1878" s="47">
        <f t="shared" si="239"/>
        <v>1</v>
      </c>
    </row>
    <row r="1879" spans="1:17" x14ac:dyDescent="0.35">
      <c r="A1879" s="82">
        <v>1876</v>
      </c>
      <c r="B1879" s="83" t="str">
        <f>_xlfn.XLOOKUP(A1879,'TAZs by City - CCAG Model'!$A:$A,'TAZs by City - CCAG Model'!$B:$B,"Unknown")</f>
        <v>San Francisco</v>
      </c>
      <c r="C1879" s="82">
        <f>_xlfn.XLOOKUP(A1879,'TAZs by City - CCAG Model'!$A:$A,'TAZs by City - CCAG Model'!$C:$C,999)</f>
        <v>1</v>
      </c>
      <c r="D1879" s="82" t="str">
        <f t="shared" si="232"/>
        <v>NO</v>
      </c>
      <c r="E1879" s="27">
        <v>10496.4</v>
      </c>
      <c r="F1879" s="27">
        <v>5675.56</v>
      </c>
      <c r="G1879" s="27">
        <v>2510.1999999999998</v>
      </c>
      <c r="H1879" s="27">
        <v>405.2</v>
      </c>
      <c r="I1879" s="27">
        <v>1530.18</v>
      </c>
      <c r="J1879" s="27">
        <v>23161.599999999999</v>
      </c>
      <c r="K1879" s="47">
        <f t="shared" si="233"/>
        <v>0.45318112738325506</v>
      </c>
      <c r="L1879" s="47">
        <f t="shared" si="234"/>
        <v>0.24504179331306994</v>
      </c>
      <c r="M1879" s="84">
        <f t="shared" si="235"/>
        <v>0.69822292069632497</v>
      </c>
      <c r="N1879" s="47">
        <f t="shared" si="236"/>
        <v>0.10837765957446809</v>
      </c>
      <c r="O1879" s="47">
        <f t="shared" si="237"/>
        <v>1.7494473611494889E-2</v>
      </c>
      <c r="P1879" s="47">
        <f t="shared" si="238"/>
        <v>6.6065384084001116E-2</v>
      </c>
      <c r="Q1879" s="47">
        <f t="shared" si="239"/>
        <v>1</v>
      </c>
    </row>
    <row r="1880" spans="1:17" x14ac:dyDescent="0.35">
      <c r="A1880" s="82">
        <v>1877</v>
      </c>
      <c r="B1880" s="83" t="str">
        <f>_xlfn.XLOOKUP(A1880,'TAZs by City - CCAG Model'!$A:$A,'TAZs by City - CCAG Model'!$B:$B,"Unknown")</f>
        <v>San Francisco</v>
      </c>
      <c r="C1880" s="82">
        <f>_xlfn.XLOOKUP(A1880,'TAZs by City - CCAG Model'!$A:$A,'TAZs by City - CCAG Model'!$C:$C,999)</f>
        <v>1</v>
      </c>
      <c r="D1880" s="82" t="str">
        <f t="shared" si="232"/>
        <v>NO</v>
      </c>
      <c r="E1880" s="27">
        <v>23140.34</v>
      </c>
      <c r="F1880" s="27">
        <v>13028.56</v>
      </c>
      <c r="G1880" s="27">
        <v>4132.16</v>
      </c>
      <c r="H1880" s="27">
        <v>846.42</v>
      </c>
      <c r="I1880" s="27">
        <v>4331.4799999999996</v>
      </c>
      <c r="J1880" s="27">
        <v>49645.7</v>
      </c>
      <c r="K1880" s="47">
        <f t="shared" si="233"/>
        <v>0.4661096530011663</v>
      </c>
      <c r="L1880" s="47">
        <f t="shared" si="234"/>
        <v>0.26243078453924512</v>
      </c>
      <c r="M1880" s="84">
        <f t="shared" si="235"/>
        <v>0.72854043754041142</v>
      </c>
      <c r="N1880" s="47">
        <f t="shared" si="236"/>
        <v>8.3232988959768925E-2</v>
      </c>
      <c r="O1880" s="47">
        <f t="shared" si="237"/>
        <v>1.70492107070703E-2</v>
      </c>
      <c r="P1880" s="47">
        <f t="shared" si="238"/>
        <v>8.7247838181353066E-2</v>
      </c>
      <c r="Q1880" s="47">
        <f t="shared" si="239"/>
        <v>1</v>
      </c>
    </row>
    <row r="1881" spans="1:17" x14ac:dyDescent="0.35">
      <c r="A1881" s="82">
        <v>1878</v>
      </c>
      <c r="B1881" s="83" t="str">
        <f>_xlfn.XLOOKUP(A1881,'TAZs by City - CCAG Model'!$A:$A,'TAZs by City - CCAG Model'!$B:$B,"Unknown")</f>
        <v>San Francisco</v>
      </c>
      <c r="C1881" s="82">
        <f>_xlfn.XLOOKUP(A1881,'TAZs by City - CCAG Model'!$A:$A,'TAZs by City - CCAG Model'!$C:$C,999)</f>
        <v>1</v>
      </c>
      <c r="D1881" s="82" t="str">
        <f t="shared" si="232"/>
        <v>NO</v>
      </c>
      <c r="E1881" s="27">
        <v>12930.94</v>
      </c>
      <c r="F1881" s="27">
        <v>8218.2199999999993</v>
      </c>
      <c r="G1881" s="27">
        <v>2295.7800000000002</v>
      </c>
      <c r="H1881" s="27">
        <v>456.46</v>
      </c>
      <c r="I1881" s="27">
        <v>1908.22</v>
      </c>
      <c r="J1881" s="27">
        <v>28139.84</v>
      </c>
      <c r="K1881" s="47">
        <f t="shared" si="233"/>
        <v>0.45952429011678819</v>
      </c>
      <c r="L1881" s="47">
        <f t="shared" si="234"/>
        <v>0.2920492795978939</v>
      </c>
      <c r="M1881" s="84">
        <f t="shared" si="235"/>
        <v>0.75157356971468214</v>
      </c>
      <c r="N1881" s="47">
        <f t="shared" si="236"/>
        <v>8.1584685627210399E-2</v>
      </c>
      <c r="O1881" s="47">
        <f t="shared" si="237"/>
        <v>1.622112989981464E-2</v>
      </c>
      <c r="P1881" s="47">
        <f t="shared" si="238"/>
        <v>6.7812041575218626E-2</v>
      </c>
      <c r="Q1881" s="47">
        <f t="shared" si="239"/>
        <v>1</v>
      </c>
    </row>
    <row r="1882" spans="1:17" x14ac:dyDescent="0.35">
      <c r="A1882" s="82">
        <v>1879</v>
      </c>
      <c r="B1882" s="83" t="str">
        <f>_xlfn.XLOOKUP(A1882,'TAZs by City - CCAG Model'!$A:$A,'TAZs by City - CCAG Model'!$B:$B,"Unknown")</f>
        <v>San Francisco</v>
      </c>
      <c r="C1882" s="82">
        <f>_xlfn.XLOOKUP(A1882,'TAZs by City - CCAG Model'!$A:$A,'TAZs by City - CCAG Model'!$C:$C,999)</f>
        <v>1</v>
      </c>
      <c r="D1882" s="82" t="str">
        <f t="shared" si="232"/>
        <v>NO</v>
      </c>
      <c r="E1882" s="27">
        <v>15792.58</v>
      </c>
      <c r="F1882" s="27">
        <v>10388.14</v>
      </c>
      <c r="G1882" s="27">
        <v>2753.8</v>
      </c>
      <c r="H1882" s="27">
        <v>560.16</v>
      </c>
      <c r="I1882" s="27">
        <v>2812.22</v>
      </c>
      <c r="J1882" s="27">
        <v>35094.82</v>
      </c>
      <c r="K1882" s="47">
        <f t="shared" si="233"/>
        <v>0.44999746401320767</v>
      </c>
      <c r="L1882" s="47">
        <f t="shared" si="234"/>
        <v>0.29600208805743983</v>
      </c>
      <c r="M1882" s="84">
        <f t="shared" si="235"/>
        <v>0.7459995520706475</v>
      </c>
      <c r="N1882" s="47">
        <f t="shared" si="236"/>
        <v>7.8467420548103683E-2</v>
      </c>
      <c r="O1882" s="47">
        <f t="shared" si="237"/>
        <v>1.5961329905666989E-2</v>
      </c>
      <c r="P1882" s="47">
        <f t="shared" si="238"/>
        <v>8.0132053676297527E-2</v>
      </c>
      <c r="Q1882" s="47">
        <f t="shared" si="239"/>
        <v>1</v>
      </c>
    </row>
    <row r="1883" spans="1:17" x14ac:dyDescent="0.35">
      <c r="A1883" s="82">
        <v>1880</v>
      </c>
      <c r="B1883" s="83" t="str">
        <f>_xlfn.XLOOKUP(A1883,'TAZs by City - CCAG Model'!$A:$A,'TAZs by City - CCAG Model'!$B:$B,"Unknown")</f>
        <v>San Francisco</v>
      </c>
      <c r="C1883" s="82">
        <f>_xlfn.XLOOKUP(A1883,'TAZs by City - CCAG Model'!$A:$A,'TAZs by City - CCAG Model'!$C:$C,999)</f>
        <v>1</v>
      </c>
      <c r="D1883" s="82" t="str">
        <f t="shared" si="232"/>
        <v>NO</v>
      </c>
      <c r="E1883" s="27">
        <v>8759.58</v>
      </c>
      <c r="F1883" s="27">
        <v>5244.38</v>
      </c>
      <c r="G1883" s="27">
        <v>2025.28</v>
      </c>
      <c r="H1883" s="27">
        <v>340.34</v>
      </c>
      <c r="I1883" s="27">
        <v>1624.16</v>
      </c>
      <c r="J1883" s="27">
        <v>20052.259999999998</v>
      </c>
      <c r="K1883" s="47">
        <f t="shared" si="233"/>
        <v>0.43683754349883758</v>
      </c>
      <c r="L1883" s="47">
        <f t="shared" si="234"/>
        <v>0.26153560745771304</v>
      </c>
      <c r="M1883" s="84">
        <f t="shared" si="235"/>
        <v>0.6983731509565505</v>
      </c>
      <c r="N1883" s="47">
        <f t="shared" si="236"/>
        <v>0.10100008677326147</v>
      </c>
      <c r="O1883" s="47">
        <f t="shared" si="237"/>
        <v>1.6972650464336689E-2</v>
      </c>
      <c r="P1883" s="47">
        <f t="shared" si="238"/>
        <v>8.0996356520412177E-2</v>
      </c>
      <c r="Q1883" s="47">
        <f t="shared" si="239"/>
        <v>1</v>
      </c>
    </row>
    <row r="1884" spans="1:17" x14ac:dyDescent="0.35">
      <c r="A1884" s="82">
        <v>1881</v>
      </c>
      <c r="B1884" s="83" t="str">
        <f>_xlfn.XLOOKUP(A1884,'TAZs by City - CCAG Model'!$A:$A,'TAZs by City - CCAG Model'!$B:$B,"Unknown")</f>
        <v>San Francisco</v>
      </c>
      <c r="C1884" s="82">
        <f>_xlfn.XLOOKUP(A1884,'TAZs by City - CCAG Model'!$A:$A,'TAZs by City - CCAG Model'!$C:$C,999)</f>
        <v>1</v>
      </c>
      <c r="D1884" s="82" t="str">
        <f t="shared" si="232"/>
        <v>NO</v>
      </c>
      <c r="E1884" s="27">
        <v>10763.8</v>
      </c>
      <c r="F1884" s="27">
        <v>6945.76</v>
      </c>
      <c r="G1884" s="27">
        <v>1451.54</v>
      </c>
      <c r="H1884" s="27">
        <v>360.2</v>
      </c>
      <c r="I1884" s="27">
        <v>1813.4</v>
      </c>
      <c r="J1884" s="27">
        <v>22820.560000000001</v>
      </c>
      <c r="K1884" s="47">
        <f t="shared" si="233"/>
        <v>0.47167115969108553</v>
      </c>
      <c r="L1884" s="47">
        <f t="shared" si="234"/>
        <v>0.30436413479774377</v>
      </c>
      <c r="M1884" s="84">
        <f t="shared" si="235"/>
        <v>0.77603529448882924</v>
      </c>
      <c r="N1884" s="47">
        <f t="shared" si="236"/>
        <v>6.360667748731845E-2</v>
      </c>
      <c r="O1884" s="47">
        <f t="shared" si="237"/>
        <v>1.5784012311704881E-2</v>
      </c>
      <c r="P1884" s="47">
        <f t="shared" si="238"/>
        <v>7.946343122167028E-2</v>
      </c>
      <c r="Q1884" s="47">
        <f t="shared" si="239"/>
        <v>1</v>
      </c>
    </row>
    <row r="1885" spans="1:17" x14ac:dyDescent="0.35">
      <c r="A1885" s="82">
        <v>1882</v>
      </c>
      <c r="B1885" s="83" t="str">
        <f>_xlfn.XLOOKUP(A1885,'TAZs by City - CCAG Model'!$A:$A,'TAZs by City - CCAG Model'!$B:$B,"Unknown")</f>
        <v>San Francisco</v>
      </c>
      <c r="C1885" s="82">
        <f>_xlfn.XLOOKUP(A1885,'TAZs by City - CCAG Model'!$A:$A,'TAZs by City - CCAG Model'!$C:$C,999)</f>
        <v>1</v>
      </c>
      <c r="D1885" s="82" t="str">
        <f t="shared" si="232"/>
        <v>NO</v>
      </c>
      <c r="E1885" s="27">
        <v>11898.32</v>
      </c>
      <c r="F1885" s="27">
        <v>8077.22</v>
      </c>
      <c r="G1885" s="27">
        <v>1948.7</v>
      </c>
      <c r="H1885" s="27">
        <v>394.86</v>
      </c>
      <c r="I1885" s="27">
        <v>1968.1</v>
      </c>
      <c r="J1885" s="27">
        <v>26266.84</v>
      </c>
      <c r="K1885" s="47">
        <f t="shared" si="233"/>
        <v>0.45297873668853961</v>
      </c>
      <c r="L1885" s="47">
        <f t="shared" si="234"/>
        <v>0.30750634640482066</v>
      </c>
      <c r="M1885" s="84">
        <f t="shared" si="235"/>
        <v>0.76048508309336038</v>
      </c>
      <c r="N1885" s="47">
        <f t="shared" si="236"/>
        <v>7.4188596724996239E-2</v>
      </c>
      <c r="O1885" s="47">
        <f t="shared" si="237"/>
        <v>1.5032641916576186E-2</v>
      </c>
      <c r="P1885" s="47">
        <f t="shared" si="238"/>
        <v>7.492717053136197E-2</v>
      </c>
      <c r="Q1885" s="47">
        <f t="shared" si="239"/>
        <v>1</v>
      </c>
    </row>
    <row r="1886" spans="1:17" x14ac:dyDescent="0.35">
      <c r="A1886" s="82">
        <v>1883</v>
      </c>
      <c r="B1886" s="83" t="str">
        <f>_xlfn.XLOOKUP(A1886,'TAZs by City - CCAG Model'!$A:$A,'TAZs by City - CCAG Model'!$B:$B,"Unknown")</f>
        <v>San Francisco</v>
      </c>
      <c r="C1886" s="82">
        <f>_xlfn.XLOOKUP(A1886,'TAZs by City - CCAG Model'!$A:$A,'TAZs by City - CCAG Model'!$C:$C,999)</f>
        <v>1</v>
      </c>
      <c r="D1886" s="82" t="str">
        <f t="shared" si="232"/>
        <v>NO</v>
      </c>
      <c r="E1886" s="27">
        <v>15445.22</v>
      </c>
      <c r="F1886" s="27">
        <v>10157.82</v>
      </c>
      <c r="G1886" s="27">
        <v>2273.86</v>
      </c>
      <c r="H1886" s="27">
        <v>531.94000000000005</v>
      </c>
      <c r="I1886" s="27">
        <v>3031.86</v>
      </c>
      <c r="J1886" s="27">
        <v>33748.18</v>
      </c>
      <c r="K1886" s="47">
        <f t="shared" si="233"/>
        <v>0.45766082793205437</v>
      </c>
      <c r="L1886" s="47">
        <f t="shared" si="234"/>
        <v>0.300988675537466</v>
      </c>
      <c r="M1886" s="84">
        <f t="shared" si="235"/>
        <v>0.75864950346952043</v>
      </c>
      <c r="N1886" s="47">
        <f t="shared" si="236"/>
        <v>6.7377263010923852E-2</v>
      </c>
      <c r="O1886" s="47">
        <f t="shared" si="237"/>
        <v>1.5762035167526074E-2</v>
      </c>
      <c r="P1886" s="47">
        <f t="shared" si="238"/>
        <v>8.9837733471849451E-2</v>
      </c>
      <c r="Q1886" s="47">
        <f t="shared" si="239"/>
        <v>1</v>
      </c>
    </row>
    <row r="1887" spans="1:17" x14ac:dyDescent="0.35">
      <c r="A1887" s="82">
        <v>1884</v>
      </c>
      <c r="B1887" s="83" t="str">
        <f>_xlfn.XLOOKUP(A1887,'TAZs by City - CCAG Model'!$A:$A,'TAZs by City - CCAG Model'!$B:$B,"Unknown")</f>
        <v>San Francisco</v>
      </c>
      <c r="C1887" s="82">
        <f>_xlfn.XLOOKUP(A1887,'TAZs by City - CCAG Model'!$A:$A,'TAZs by City - CCAG Model'!$C:$C,999)</f>
        <v>1</v>
      </c>
      <c r="D1887" s="82" t="str">
        <f t="shared" si="232"/>
        <v>NO</v>
      </c>
      <c r="E1887" s="27">
        <v>20213.939999999999</v>
      </c>
      <c r="F1887" s="27">
        <v>12692.12</v>
      </c>
      <c r="G1887" s="27">
        <v>2620.56</v>
      </c>
      <c r="H1887" s="27">
        <v>668.24</v>
      </c>
      <c r="I1887" s="27">
        <v>3584.22</v>
      </c>
      <c r="J1887" s="27">
        <v>42432.08</v>
      </c>
      <c r="K1887" s="47">
        <f t="shared" si="233"/>
        <v>0.47638343442037245</v>
      </c>
      <c r="L1887" s="47">
        <f t="shared" si="234"/>
        <v>0.2991161404295995</v>
      </c>
      <c r="M1887" s="84">
        <f t="shared" si="235"/>
        <v>0.7754995748499719</v>
      </c>
      <c r="N1887" s="47">
        <f t="shared" si="236"/>
        <v>6.1758933335344386E-2</v>
      </c>
      <c r="O1887" s="47">
        <f t="shared" si="237"/>
        <v>1.5748462012703596E-2</v>
      </c>
      <c r="P1887" s="47">
        <f t="shared" si="238"/>
        <v>8.4469580562630903E-2</v>
      </c>
      <c r="Q1887" s="47">
        <f t="shared" si="239"/>
        <v>1</v>
      </c>
    </row>
    <row r="1888" spans="1:17" x14ac:dyDescent="0.35">
      <c r="A1888" s="82">
        <v>1885</v>
      </c>
      <c r="B1888" s="83" t="str">
        <f>_xlfn.XLOOKUP(A1888,'TAZs by City - CCAG Model'!$A:$A,'TAZs by City - CCAG Model'!$B:$B,"Unknown")</f>
        <v>San Francisco</v>
      </c>
      <c r="C1888" s="82">
        <f>_xlfn.XLOOKUP(A1888,'TAZs by City - CCAG Model'!$A:$A,'TAZs by City - CCAG Model'!$C:$C,999)</f>
        <v>1</v>
      </c>
      <c r="D1888" s="82" t="str">
        <f t="shared" si="232"/>
        <v>NO</v>
      </c>
      <c r="E1888" s="27">
        <v>18884.740000000002</v>
      </c>
      <c r="F1888" s="27">
        <v>11559.58</v>
      </c>
      <c r="G1888" s="27">
        <v>2511.4</v>
      </c>
      <c r="H1888" s="27">
        <v>671.34</v>
      </c>
      <c r="I1888" s="27">
        <v>3424.96</v>
      </c>
      <c r="J1888" s="27">
        <v>39599.879999999997</v>
      </c>
      <c r="K1888" s="47">
        <f t="shared" si="233"/>
        <v>0.47688881885500672</v>
      </c>
      <c r="L1888" s="47">
        <f t="shared" si="234"/>
        <v>0.29190947043273868</v>
      </c>
      <c r="M1888" s="84">
        <f t="shared" si="235"/>
        <v>0.76879828928774541</v>
      </c>
      <c r="N1888" s="47">
        <f t="shared" si="236"/>
        <v>6.3419384099143744E-2</v>
      </c>
      <c r="O1888" s="47">
        <f t="shared" si="237"/>
        <v>1.695308167600508E-2</v>
      </c>
      <c r="P1888" s="47">
        <f t="shared" si="238"/>
        <v>8.648915097722519E-2</v>
      </c>
      <c r="Q1888" s="47">
        <f t="shared" si="239"/>
        <v>1</v>
      </c>
    </row>
    <row r="1889" spans="1:17" x14ac:dyDescent="0.35">
      <c r="A1889" s="82">
        <v>1886</v>
      </c>
      <c r="B1889" s="83" t="str">
        <f>_xlfn.XLOOKUP(A1889,'TAZs by City - CCAG Model'!$A:$A,'TAZs by City - CCAG Model'!$B:$B,"Unknown")</f>
        <v>San Francisco</v>
      </c>
      <c r="C1889" s="82">
        <f>_xlfn.XLOOKUP(A1889,'TAZs by City - CCAG Model'!$A:$A,'TAZs by City - CCAG Model'!$C:$C,999)</f>
        <v>1</v>
      </c>
      <c r="D1889" s="82" t="str">
        <f t="shared" si="232"/>
        <v>NO</v>
      </c>
      <c r="E1889" s="27">
        <v>16778.46</v>
      </c>
      <c r="F1889" s="27">
        <v>11268.32</v>
      </c>
      <c r="G1889" s="27">
        <v>2208.54</v>
      </c>
      <c r="H1889" s="27">
        <v>568.24</v>
      </c>
      <c r="I1889" s="27">
        <v>2696.54</v>
      </c>
      <c r="J1889" s="27">
        <v>35762.68</v>
      </c>
      <c r="K1889" s="47">
        <f t="shared" si="233"/>
        <v>0.46916114787817914</v>
      </c>
      <c r="L1889" s="47">
        <f t="shared" si="234"/>
        <v>0.31508600585862134</v>
      </c>
      <c r="M1889" s="84">
        <f t="shared" si="235"/>
        <v>0.78424715373680043</v>
      </c>
      <c r="N1889" s="47">
        <f t="shared" si="236"/>
        <v>6.1755438910059308E-2</v>
      </c>
      <c r="O1889" s="47">
        <f t="shared" si="237"/>
        <v>1.5889189512642787E-2</v>
      </c>
      <c r="P1889" s="47">
        <f t="shared" si="238"/>
        <v>7.540094869847562E-2</v>
      </c>
      <c r="Q1889" s="47">
        <f t="shared" si="239"/>
        <v>1</v>
      </c>
    </row>
    <row r="1890" spans="1:17" x14ac:dyDescent="0.35">
      <c r="A1890" s="82">
        <v>1887</v>
      </c>
      <c r="B1890" s="83" t="str">
        <f>_xlfn.XLOOKUP(A1890,'TAZs by City - CCAG Model'!$A:$A,'TAZs by City - CCAG Model'!$B:$B,"Unknown")</f>
        <v>San Francisco</v>
      </c>
      <c r="C1890" s="82">
        <f>_xlfn.XLOOKUP(A1890,'TAZs by City - CCAG Model'!$A:$A,'TAZs by City - CCAG Model'!$C:$C,999)</f>
        <v>1</v>
      </c>
      <c r="D1890" s="82" t="str">
        <f t="shared" si="232"/>
        <v>NO</v>
      </c>
      <c r="E1890" s="27">
        <v>11222.46</v>
      </c>
      <c r="F1890" s="27">
        <v>7062.34</v>
      </c>
      <c r="G1890" s="27">
        <v>1123.68</v>
      </c>
      <c r="H1890" s="27">
        <v>314.42</v>
      </c>
      <c r="I1890" s="27">
        <v>1838.5</v>
      </c>
      <c r="J1890" s="27">
        <v>22720.3</v>
      </c>
      <c r="K1890" s="47">
        <f t="shared" si="233"/>
        <v>0.49393978072472633</v>
      </c>
      <c r="L1890" s="47">
        <f t="shared" si="234"/>
        <v>0.31083832519817084</v>
      </c>
      <c r="M1890" s="84">
        <f t="shared" si="235"/>
        <v>0.80477810592289711</v>
      </c>
      <c r="N1890" s="47">
        <f t="shared" si="236"/>
        <v>4.9457093436266253E-2</v>
      </c>
      <c r="O1890" s="47">
        <f t="shared" si="237"/>
        <v>1.383872572105122E-2</v>
      </c>
      <c r="P1890" s="47">
        <f t="shared" si="238"/>
        <v>8.0918825895784835E-2</v>
      </c>
      <c r="Q1890" s="47">
        <f t="shared" si="239"/>
        <v>1</v>
      </c>
    </row>
    <row r="1891" spans="1:17" x14ac:dyDescent="0.35">
      <c r="A1891" s="82">
        <v>1888</v>
      </c>
      <c r="B1891" s="83" t="str">
        <f>_xlfn.XLOOKUP(A1891,'TAZs by City - CCAG Model'!$A:$A,'TAZs by City - CCAG Model'!$B:$B,"Unknown")</f>
        <v>San Francisco</v>
      </c>
      <c r="C1891" s="82">
        <f>_xlfn.XLOOKUP(A1891,'TAZs by City - CCAG Model'!$A:$A,'TAZs by City - CCAG Model'!$C:$C,999)</f>
        <v>1</v>
      </c>
      <c r="D1891" s="82" t="str">
        <f t="shared" si="232"/>
        <v>NO</v>
      </c>
      <c r="E1891" s="27">
        <v>56156.9</v>
      </c>
      <c r="F1891" s="27">
        <v>22356.74</v>
      </c>
      <c r="G1891" s="27">
        <v>9359.56</v>
      </c>
      <c r="H1891" s="27">
        <v>1651.74</v>
      </c>
      <c r="I1891" s="27">
        <v>7249.52</v>
      </c>
      <c r="J1891" s="27">
        <v>106153.48</v>
      </c>
      <c r="K1891" s="47">
        <f t="shared" si="233"/>
        <v>0.52901610008451916</v>
      </c>
      <c r="L1891" s="47">
        <f t="shared" si="234"/>
        <v>0.21060769745843474</v>
      </c>
      <c r="M1891" s="84">
        <f t="shared" si="235"/>
        <v>0.73962379754295382</v>
      </c>
      <c r="N1891" s="47">
        <f t="shared" si="236"/>
        <v>8.8170072238799899E-2</v>
      </c>
      <c r="O1891" s="47">
        <f t="shared" si="237"/>
        <v>1.5559923235677248E-2</v>
      </c>
      <c r="P1891" s="47">
        <f t="shared" si="238"/>
        <v>6.8292815270870069E-2</v>
      </c>
      <c r="Q1891" s="47">
        <f t="shared" si="239"/>
        <v>1</v>
      </c>
    </row>
    <row r="1892" spans="1:17" x14ac:dyDescent="0.35">
      <c r="A1892" s="82">
        <v>1889</v>
      </c>
      <c r="B1892" s="83" t="str">
        <f>_xlfn.XLOOKUP(A1892,'TAZs by City - CCAG Model'!$A:$A,'TAZs by City - CCAG Model'!$B:$B,"Unknown")</f>
        <v>San Francisco</v>
      </c>
      <c r="C1892" s="82">
        <f>_xlfn.XLOOKUP(A1892,'TAZs by City - CCAG Model'!$A:$A,'TAZs by City - CCAG Model'!$C:$C,999)</f>
        <v>1</v>
      </c>
      <c r="D1892" s="82" t="str">
        <f t="shared" si="232"/>
        <v>NO</v>
      </c>
      <c r="E1892" s="27">
        <v>15060.1</v>
      </c>
      <c r="F1892" s="27">
        <v>10443.82</v>
      </c>
      <c r="G1892" s="27">
        <v>2934.68</v>
      </c>
      <c r="H1892" s="27">
        <v>583.86</v>
      </c>
      <c r="I1892" s="27">
        <v>2625.56</v>
      </c>
      <c r="J1892" s="27">
        <v>34613.480000000003</v>
      </c>
      <c r="K1892" s="47">
        <f t="shared" si="233"/>
        <v>0.43509349536654501</v>
      </c>
      <c r="L1892" s="47">
        <f t="shared" si="234"/>
        <v>0.30172695724324738</v>
      </c>
      <c r="M1892" s="84">
        <f t="shared" si="235"/>
        <v>0.73682045260979234</v>
      </c>
      <c r="N1892" s="47">
        <f t="shared" si="236"/>
        <v>8.47843094655608E-2</v>
      </c>
      <c r="O1892" s="47">
        <f t="shared" si="237"/>
        <v>1.6867994781223961E-2</v>
      </c>
      <c r="P1892" s="47">
        <f t="shared" si="238"/>
        <v>7.5853684749409761E-2</v>
      </c>
      <c r="Q1892" s="47">
        <f t="shared" si="239"/>
        <v>1</v>
      </c>
    </row>
    <row r="1893" spans="1:17" x14ac:dyDescent="0.35">
      <c r="A1893" s="82">
        <v>1890</v>
      </c>
      <c r="B1893" s="83" t="str">
        <f>_xlfn.XLOOKUP(A1893,'TAZs by City - CCAG Model'!$A:$A,'TAZs by City - CCAG Model'!$B:$B,"Unknown")</f>
        <v>San Francisco</v>
      </c>
      <c r="C1893" s="82">
        <f>_xlfn.XLOOKUP(A1893,'TAZs by City - CCAG Model'!$A:$A,'TAZs by City - CCAG Model'!$C:$C,999)</f>
        <v>1</v>
      </c>
      <c r="D1893" s="82" t="str">
        <f t="shared" si="232"/>
        <v>NO</v>
      </c>
      <c r="E1893" s="27">
        <v>8135.96</v>
      </c>
      <c r="F1893" s="27">
        <v>3835.62</v>
      </c>
      <c r="G1893" s="27">
        <v>795.98</v>
      </c>
      <c r="H1893" s="27">
        <v>189.12</v>
      </c>
      <c r="I1893" s="27">
        <v>684.84</v>
      </c>
      <c r="J1893" s="27">
        <v>14477.74</v>
      </c>
      <c r="K1893" s="47">
        <f t="shared" si="233"/>
        <v>0.56196340036497405</v>
      </c>
      <c r="L1893" s="47">
        <f t="shared" si="234"/>
        <v>0.26493223389838466</v>
      </c>
      <c r="M1893" s="84">
        <f t="shared" si="235"/>
        <v>0.82689563426335877</v>
      </c>
      <c r="N1893" s="47">
        <f t="shared" si="236"/>
        <v>5.4979575541486449E-2</v>
      </c>
      <c r="O1893" s="47">
        <f t="shared" si="237"/>
        <v>1.3062812289763458E-2</v>
      </c>
      <c r="P1893" s="47">
        <f t="shared" si="238"/>
        <v>4.7302963031522878E-2</v>
      </c>
      <c r="Q1893" s="47">
        <f t="shared" si="239"/>
        <v>1</v>
      </c>
    </row>
    <row r="1894" spans="1:17" x14ac:dyDescent="0.35">
      <c r="A1894" s="82">
        <v>1891</v>
      </c>
      <c r="B1894" s="83" t="str">
        <f>_xlfn.XLOOKUP(A1894,'TAZs by City - CCAG Model'!$A:$A,'TAZs by City - CCAG Model'!$B:$B,"Unknown")</f>
        <v>Unincorporated</v>
      </c>
      <c r="C1894" s="82">
        <f>_xlfn.XLOOKUP(A1894,'TAZs by City - CCAG Model'!$A:$A,'TAZs by City - CCAG Model'!$C:$C,999)</f>
        <v>2</v>
      </c>
      <c r="D1894" s="82" t="str">
        <f t="shared" si="232"/>
        <v>YES</v>
      </c>
      <c r="E1894" s="27">
        <v>6474.12</v>
      </c>
      <c r="F1894" s="27">
        <v>4029.58</v>
      </c>
      <c r="G1894" s="27">
        <v>665.46</v>
      </c>
      <c r="H1894" s="27">
        <v>164.6</v>
      </c>
      <c r="I1894" s="27">
        <v>570.41999999999996</v>
      </c>
      <c r="J1894" s="27">
        <v>12608</v>
      </c>
      <c r="K1894" s="47">
        <f t="shared" si="233"/>
        <v>0.51349302030456856</v>
      </c>
      <c r="L1894" s="47">
        <f t="shared" si="234"/>
        <v>0.31960501269035535</v>
      </c>
      <c r="M1894" s="84">
        <f t="shared" si="235"/>
        <v>0.83309803299492391</v>
      </c>
      <c r="N1894" s="47">
        <f t="shared" si="236"/>
        <v>5.278077411167513E-2</v>
      </c>
      <c r="O1894" s="47">
        <f t="shared" si="237"/>
        <v>1.3055203045685278E-2</v>
      </c>
      <c r="P1894" s="47">
        <f t="shared" si="238"/>
        <v>4.5242703045685277E-2</v>
      </c>
      <c r="Q1894" s="47">
        <f t="shared" si="239"/>
        <v>1</v>
      </c>
    </row>
    <row r="1895" spans="1:17" x14ac:dyDescent="0.35">
      <c r="A1895" s="82">
        <v>1892</v>
      </c>
      <c r="B1895" s="83" t="str">
        <f>_xlfn.XLOOKUP(A1895,'TAZs by City - CCAG Model'!$A:$A,'TAZs by City - CCAG Model'!$B:$B,"Unknown")</f>
        <v>Daly City</v>
      </c>
      <c r="C1895" s="82">
        <f>_xlfn.XLOOKUP(A1895,'TAZs by City - CCAG Model'!$A:$A,'TAZs by City - CCAG Model'!$C:$C,999)</f>
        <v>2</v>
      </c>
      <c r="D1895" s="82" t="str">
        <f t="shared" si="232"/>
        <v>YES</v>
      </c>
      <c r="E1895" s="27">
        <v>18201.2</v>
      </c>
      <c r="F1895" s="27">
        <v>11272.36</v>
      </c>
      <c r="G1895" s="27">
        <v>2998.74</v>
      </c>
      <c r="H1895" s="27">
        <v>667.28</v>
      </c>
      <c r="I1895" s="27">
        <v>2560.2800000000002</v>
      </c>
      <c r="J1895" s="27">
        <v>38737.160000000003</v>
      </c>
      <c r="K1895" s="47">
        <f t="shared" si="233"/>
        <v>0.46986407883283127</v>
      </c>
      <c r="L1895" s="47">
        <f t="shared" si="234"/>
        <v>0.2909960358477493</v>
      </c>
      <c r="M1895" s="84">
        <f t="shared" si="235"/>
        <v>0.76086011468058057</v>
      </c>
      <c r="N1895" s="47">
        <f t="shared" si="236"/>
        <v>7.7412489712720287E-2</v>
      </c>
      <c r="O1895" s="47">
        <f t="shared" si="237"/>
        <v>1.7225836896664595E-2</v>
      </c>
      <c r="P1895" s="47">
        <f t="shared" si="238"/>
        <v>6.6093642383695653E-2</v>
      </c>
      <c r="Q1895" s="47">
        <f t="shared" si="239"/>
        <v>1</v>
      </c>
    </row>
    <row r="1896" spans="1:17" x14ac:dyDescent="0.35">
      <c r="A1896" s="82">
        <v>1893</v>
      </c>
      <c r="B1896" s="83" t="str">
        <f>_xlfn.XLOOKUP(A1896,'TAZs by City - CCAG Model'!$A:$A,'TAZs by City - CCAG Model'!$B:$B,"Unknown")</f>
        <v>Daly City</v>
      </c>
      <c r="C1896" s="82">
        <f>_xlfn.XLOOKUP(A1896,'TAZs by City - CCAG Model'!$A:$A,'TAZs by City - CCAG Model'!$C:$C,999)</f>
        <v>2</v>
      </c>
      <c r="D1896" s="82" t="str">
        <f t="shared" si="232"/>
        <v>YES</v>
      </c>
      <c r="E1896" s="27">
        <v>15275.38</v>
      </c>
      <c r="F1896" s="27">
        <v>7965.38</v>
      </c>
      <c r="G1896" s="27">
        <v>1004.52</v>
      </c>
      <c r="H1896" s="27">
        <v>374.74</v>
      </c>
      <c r="I1896" s="27">
        <v>2200.7199999999998</v>
      </c>
      <c r="J1896" s="27">
        <v>27866.22</v>
      </c>
      <c r="K1896" s="47">
        <f t="shared" si="233"/>
        <v>0.54816835580857393</v>
      </c>
      <c r="L1896" s="47">
        <f t="shared" si="234"/>
        <v>0.28584357691857737</v>
      </c>
      <c r="M1896" s="84">
        <f t="shared" si="235"/>
        <v>0.83401193272715124</v>
      </c>
      <c r="N1896" s="47">
        <f t="shared" si="236"/>
        <v>3.6047946223061469E-2</v>
      </c>
      <c r="O1896" s="47">
        <f t="shared" si="237"/>
        <v>1.3447823206735611E-2</v>
      </c>
      <c r="P1896" s="47">
        <f t="shared" si="238"/>
        <v>7.8974471600382096E-2</v>
      </c>
      <c r="Q1896" s="47">
        <f t="shared" si="239"/>
        <v>1</v>
      </c>
    </row>
    <row r="1897" spans="1:17" x14ac:dyDescent="0.35">
      <c r="A1897" s="82">
        <v>1894</v>
      </c>
      <c r="B1897" s="83" t="str">
        <f>_xlfn.XLOOKUP(A1897,'TAZs by City - CCAG Model'!$A:$A,'TAZs by City - CCAG Model'!$B:$B,"Unknown")</f>
        <v>Daly City</v>
      </c>
      <c r="C1897" s="82">
        <f>_xlfn.XLOOKUP(A1897,'TAZs by City - CCAG Model'!$A:$A,'TAZs by City - CCAG Model'!$C:$C,999)</f>
        <v>2</v>
      </c>
      <c r="D1897" s="82" t="str">
        <f t="shared" si="232"/>
        <v>YES</v>
      </c>
      <c r="E1897" s="27">
        <v>13804.24</v>
      </c>
      <c r="F1897" s="27">
        <v>6577.54</v>
      </c>
      <c r="G1897" s="27">
        <v>935.32</v>
      </c>
      <c r="H1897" s="27">
        <v>318.24</v>
      </c>
      <c r="I1897" s="27">
        <v>5501.4</v>
      </c>
      <c r="J1897" s="27">
        <v>28110.880000000001</v>
      </c>
      <c r="K1897" s="47">
        <f t="shared" si="233"/>
        <v>0.49106395815428044</v>
      </c>
      <c r="L1897" s="47">
        <f t="shared" si="234"/>
        <v>0.23398556003938686</v>
      </c>
      <c r="M1897" s="84">
        <f t="shared" si="235"/>
        <v>0.72504951819366725</v>
      </c>
      <c r="N1897" s="47">
        <f t="shared" si="236"/>
        <v>3.3272526509308849E-2</v>
      </c>
      <c r="O1897" s="47">
        <f t="shared" si="237"/>
        <v>1.1320883586710911E-2</v>
      </c>
      <c r="P1897" s="47">
        <f t="shared" si="238"/>
        <v>0.19570358523105644</v>
      </c>
      <c r="Q1897" s="47">
        <f t="shared" si="239"/>
        <v>1</v>
      </c>
    </row>
    <row r="1898" spans="1:17" x14ac:dyDescent="0.35">
      <c r="A1898" s="82">
        <v>1895</v>
      </c>
      <c r="B1898" s="83" t="str">
        <f>_xlfn.XLOOKUP(A1898,'TAZs by City - CCAG Model'!$A:$A,'TAZs by City - CCAG Model'!$B:$B,"Unknown")</f>
        <v>Daly City</v>
      </c>
      <c r="C1898" s="82">
        <f>_xlfn.XLOOKUP(A1898,'TAZs by City - CCAG Model'!$A:$A,'TAZs by City - CCAG Model'!$C:$C,999)</f>
        <v>2</v>
      </c>
      <c r="D1898" s="82" t="str">
        <f t="shared" si="232"/>
        <v>YES</v>
      </c>
      <c r="E1898" s="27">
        <v>10733.62</v>
      </c>
      <c r="F1898" s="27">
        <v>8282.18</v>
      </c>
      <c r="G1898" s="27">
        <v>1351.5</v>
      </c>
      <c r="H1898" s="27">
        <v>317.3</v>
      </c>
      <c r="I1898" s="27">
        <v>1480.38</v>
      </c>
      <c r="J1898" s="27">
        <v>23552.92</v>
      </c>
      <c r="K1898" s="47">
        <f t="shared" si="233"/>
        <v>0.45572353661456844</v>
      </c>
      <c r="L1898" s="47">
        <f t="shared" si="234"/>
        <v>0.35164132515204061</v>
      </c>
      <c r="M1898" s="84">
        <f t="shared" si="235"/>
        <v>0.80736486176660915</v>
      </c>
      <c r="N1898" s="47">
        <f t="shared" si="236"/>
        <v>5.7381420223055153E-2</v>
      </c>
      <c r="O1898" s="47">
        <f t="shared" si="237"/>
        <v>1.3471790334277025E-2</v>
      </c>
      <c r="P1898" s="47">
        <f t="shared" si="238"/>
        <v>6.2853353214803093E-2</v>
      </c>
      <c r="Q1898" s="47">
        <f t="shared" si="239"/>
        <v>1</v>
      </c>
    </row>
    <row r="1899" spans="1:17" x14ac:dyDescent="0.35">
      <c r="A1899" s="82">
        <v>1896</v>
      </c>
      <c r="B1899" s="83" t="str">
        <f>_xlfn.XLOOKUP(A1899,'TAZs by City - CCAG Model'!$A:$A,'TAZs by City - CCAG Model'!$B:$B,"Unknown")</f>
        <v>Daly City</v>
      </c>
      <c r="C1899" s="82">
        <f>_xlfn.XLOOKUP(A1899,'TAZs by City - CCAG Model'!$A:$A,'TAZs by City - CCAG Model'!$C:$C,999)</f>
        <v>2</v>
      </c>
      <c r="D1899" s="82" t="str">
        <f t="shared" si="232"/>
        <v>YES</v>
      </c>
      <c r="E1899" s="27">
        <v>15126.2</v>
      </c>
      <c r="F1899" s="27">
        <v>11392.02</v>
      </c>
      <c r="G1899" s="27">
        <v>1393.28</v>
      </c>
      <c r="H1899" s="27">
        <v>404.56</v>
      </c>
      <c r="I1899" s="27">
        <v>1667.94</v>
      </c>
      <c r="J1899" s="27">
        <v>31415.599999999999</v>
      </c>
      <c r="K1899" s="47">
        <f t="shared" si="233"/>
        <v>0.48148690459516935</v>
      </c>
      <c r="L1899" s="47">
        <f t="shared" si="234"/>
        <v>0.36262302804975877</v>
      </c>
      <c r="M1899" s="84">
        <f t="shared" si="235"/>
        <v>0.84410993264492806</v>
      </c>
      <c r="N1899" s="47">
        <f t="shared" si="236"/>
        <v>4.4349940793745782E-2</v>
      </c>
      <c r="O1899" s="47">
        <f t="shared" si="237"/>
        <v>1.2877678605533557E-2</v>
      </c>
      <c r="P1899" s="47">
        <f t="shared" si="238"/>
        <v>5.3092730999885408E-2</v>
      </c>
      <c r="Q1899" s="47">
        <f t="shared" si="239"/>
        <v>1</v>
      </c>
    </row>
    <row r="1900" spans="1:17" x14ac:dyDescent="0.35">
      <c r="A1900" s="82">
        <v>1897</v>
      </c>
      <c r="B1900" s="83" t="str">
        <f>_xlfn.XLOOKUP(A1900,'TAZs by City - CCAG Model'!$A:$A,'TAZs by City - CCAG Model'!$B:$B,"Unknown")</f>
        <v>Daly City</v>
      </c>
      <c r="C1900" s="82">
        <f>_xlfn.XLOOKUP(A1900,'TAZs by City - CCAG Model'!$A:$A,'TAZs by City - CCAG Model'!$C:$C,999)</f>
        <v>2</v>
      </c>
      <c r="D1900" s="82" t="str">
        <f t="shared" si="232"/>
        <v>YES</v>
      </c>
      <c r="E1900" s="27">
        <v>8005.58</v>
      </c>
      <c r="F1900" s="27">
        <v>6993.38</v>
      </c>
      <c r="G1900" s="27">
        <v>1002.32</v>
      </c>
      <c r="H1900" s="27">
        <v>257.89999999999998</v>
      </c>
      <c r="I1900" s="27">
        <v>1275.96</v>
      </c>
      <c r="J1900" s="27">
        <v>18568.54</v>
      </c>
      <c r="K1900" s="47">
        <f t="shared" si="233"/>
        <v>0.43113675065460177</v>
      </c>
      <c r="L1900" s="47">
        <f t="shared" si="234"/>
        <v>0.37662519508803599</v>
      </c>
      <c r="M1900" s="84">
        <f t="shared" si="235"/>
        <v>0.80776194574263771</v>
      </c>
      <c r="N1900" s="47">
        <f t="shared" si="236"/>
        <v>5.3979472807232018E-2</v>
      </c>
      <c r="O1900" s="47">
        <f t="shared" si="237"/>
        <v>1.3889083363581627E-2</v>
      </c>
      <c r="P1900" s="47">
        <f t="shared" si="238"/>
        <v>6.8716226477687534E-2</v>
      </c>
      <c r="Q1900" s="47">
        <f t="shared" si="239"/>
        <v>1</v>
      </c>
    </row>
    <row r="1901" spans="1:17" x14ac:dyDescent="0.35">
      <c r="A1901" s="82">
        <v>1898</v>
      </c>
      <c r="B1901" s="83" t="str">
        <f>_xlfn.XLOOKUP(A1901,'TAZs by City - CCAG Model'!$A:$A,'TAZs by City - CCAG Model'!$B:$B,"Unknown")</f>
        <v>Daly City</v>
      </c>
      <c r="C1901" s="82">
        <f>_xlfn.XLOOKUP(A1901,'TAZs by City - CCAG Model'!$A:$A,'TAZs by City - CCAG Model'!$C:$C,999)</f>
        <v>2</v>
      </c>
      <c r="D1901" s="82" t="str">
        <f t="shared" si="232"/>
        <v>YES</v>
      </c>
      <c r="E1901" s="27">
        <v>5514.14</v>
      </c>
      <c r="F1901" s="27">
        <v>2842.42</v>
      </c>
      <c r="G1901" s="27">
        <v>487.32</v>
      </c>
      <c r="H1901" s="27">
        <v>139.80000000000001</v>
      </c>
      <c r="I1901" s="27">
        <v>575.44000000000005</v>
      </c>
      <c r="J1901" s="27">
        <v>10090.459999999999</v>
      </c>
      <c r="K1901" s="47">
        <f t="shared" si="233"/>
        <v>0.5464706267107744</v>
      </c>
      <c r="L1901" s="47">
        <f t="shared" si="234"/>
        <v>0.28169379790415899</v>
      </c>
      <c r="M1901" s="84">
        <f t="shared" si="235"/>
        <v>0.82816442461493356</v>
      </c>
      <c r="N1901" s="47">
        <f t="shared" si="236"/>
        <v>4.8295122323461968E-2</v>
      </c>
      <c r="O1901" s="47">
        <f t="shared" si="237"/>
        <v>1.3854670649306377E-2</v>
      </c>
      <c r="P1901" s="47">
        <f t="shared" si="238"/>
        <v>5.7028123593968964E-2</v>
      </c>
      <c r="Q1901" s="47">
        <f t="shared" si="239"/>
        <v>1</v>
      </c>
    </row>
    <row r="1902" spans="1:17" x14ac:dyDescent="0.35">
      <c r="A1902" s="82">
        <v>1899</v>
      </c>
      <c r="B1902" s="83" t="str">
        <f>_xlfn.XLOOKUP(A1902,'TAZs by City - CCAG Model'!$A:$A,'TAZs by City - CCAG Model'!$B:$B,"Unknown")</f>
        <v>Daly City</v>
      </c>
      <c r="C1902" s="82">
        <f>_xlfn.XLOOKUP(A1902,'TAZs by City - CCAG Model'!$A:$A,'TAZs by City - CCAG Model'!$C:$C,999)</f>
        <v>2</v>
      </c>
      <c r="D1902" s="82" t="str">
        <f t="shared" si="232"/>
        <v>YES</v>
      </c>
      <c r="E1902" s="27">
        <v>13501</v>
      </c>
      <c r="F1902" s="27">
        <v>5860.6</v>
      </c>
      <c r="G1902" s="27">
        <v>499.52</v>
      </c>
      <c r="H1902" s="27">
        <v>233.84</v>
      </c>
      <c r="I1902" s="27">
        <v>1181.56</v>
      </c>
      <c r="J1902" s="27">
        <v>21813.14</v>
      </c>
      <c r="K1902" s="47">
        <f t="shared" si="233"/>
        <v>0.61893885978818275</v>
      </c>
      <c r="L1902" s="47">
        <f t="shared" si="234"/>
        <v>0.26867291916707087</v>
      </c>
      <c r="M1902" s="84">
        <f t="shared" si="235"/>
        <v>0.88761177895525356</v>
      </c>
      <c r="N1902" s="47">
        <f t="shared" si="236"/>
        <v>2.2899958465402045E-2</v>
      </c>
      <c r="O1902" s="47">
        <f t="shared" si="237"/>
        <v>1.0720143913255955E-2</v>
      </c>
      <c r="P1902" s="47">
        <f t="shared" si="238"/>
        <v>5.4167350505245918E-2</v>
      </c>
      <c r="Q1902" s="47">
        <f t="shared" si="239"/>
        <v>1</v>
      </c>
    </row>
    <row r="1903" spans="1:17" x14ac:dyDescent="0.35">
      <c r="A1903" s="82">
        <v>1900</v>
      </c>
      <c r="B1903" s="83" t="str">
        <f>_xlfn.XLOOKUP(A1903,'TAZs by City - CCAG Model'!$A:$A,'TAZs by City - CCAG Model'!$B:$B,"Unknown")</f>
        <v>Colma</v>
      </c>
      <c r="C1903" s="82">
        <f>_xlfn.XLOOKUP(A1903,'TAZs by City - CCAG Model'!$A:$A,'TAZs by City - CCAG Model'!$C:$C,999)</f>
        <v>2</v>
      </c>
      <c r="D1903" s="82" t="str">
        <f t="shared" si="232"/>
        <v>YES</v>
      </c>
      <c r="E1903" s="27">
        <v>16320.94</v>
      </c>
      <c r="F1903" s="27">
        <v>7697.62</v>
      </c>
      <c r="G1903" s="27">
        <v>1135.32</v>
      </c>
      <c r="H1903" s="27">
        <v>311.86</v>
      </c>
      <c r="I1903" s="27">
        <v>2195.1</v>
      </c>
      <c r="J1903" s="27">
        <v>28836.06</v>
      </c>
      <c r="K1903" s="47">
        <f t="shared" si="233"/>
        <v>0.56599063811075434</v>
      </c>
      <c r="L1903" s="47">
        <f t="shared" si="234"/>
        <v>0.26694423579365556</v>
      </c>
      <c r="M1903" s="84">
        <f t="shared" si="235"/>
        <v>0.83293487390441001</v>
      </c>
      <c r="N1903" s="47">
        <f t="shared" si="236"/>
        <v>3.9371536888187911E-2</v>
      </c>
      <c r="O1903" s="47">
        <f t="shared" si="237"/>
        <v>1.0814931027331751E-2</v>
      </c>
      <c r="P1903" s="47">
        <f t="shared" si="238"/>
        <v>7.6123437113114617E-2</v>
      </c>
      <c r="Q1903" s="47">
        <f t="shared" si="239"/>
        <v>1</v>
      </c>
    </row>
    <row r="1904" spans="1:17" x14ac:dyDescent="0.35">
      <c r="A1904" s="82">
        <v>1901</v>
      </c>
      <c r="B1904" s="83" t="str">
        <f>_xlfn.XLOOKUP(A1904,'TAZs by City - CCAG Model'!$A:$A,'TAZs by City - CCAG Model'!$B:$B,"Unknown")</f>
        <v>Daly City</v>
      </c>
      <c r="C1904" s="82">
        <f>_xlfn.XLOOKUP(A1904,'TAZs by City - CCAG Model'!$A:$A,'TAZs by City - CCAG Model'!$C:$C,999)</f>
        <v>2</v>
      </c>
      <c r="D1904" s="82" t="str">
        <f t="shared" si="232"/>
        <v>YES</v>
      </c>
      <c r="E1904" s="27">
        <v>10262.42</v>
      </c>
      <c r="F1904" s="27">
        <v>7828.82</v>
      </c>
      <c r="G1904" s="27">
        <v>1507.54</v>
      </c>
      <c r="H1904" s="27">
        <v>404.24</v>
      </c>
      <c r="I1904" s="27">
        <v>1664.12</v>
      </c>
      <c r="J1904" s="27">
        <v>23214.12</v>
      </c>
      <c r="K1904" s="47">
        <f t="shared" si="233"/>
        <v>0.44207663267011632</v>
      </c>
      <c r="L1904" s="47">
        <f t="shared" si="234"/>
        <v>0.33724388432557428</v>
      </c>
      <c r="M1904" s="84">
        <f t="shared" si="235"/>
        <v>0.77932051699569049</v>
      </c>
      <c r="N1904" s="47">
        <f t="shared" si="236"/>
        <v>6.4940648191704017E-2</v>
      </c>
      <c r="O1904" s="47">
        <f t="shared" si="237"/>
        <v>1.7413539690498716E-2</v>
      </c>
      <c r="P1904" s="47">
        <f t="shared" si="238"/>
        <v>7.1685680956245598E-2</v>
      </c>
      <c r="Q1904" s="47">
        <f t="shared" si="239"/>
        <v>1</v>
      </c>
    </row>
    <row r="1905" spans="1:17" x14ac:dyDescent="0.35">
      <c r="A1905" s="82">
        <v>1902</v>
      </c>
      <c r="B1905" s="83" t="str">
        <f>_xlfn.XLOOKUP(A1905,'TAZs by City - CCAG Model'!$A:$A,'TAZs by City - CCAG Model'!$B:$B,"Unknown")</f>
        <v>Daly City</v>
      </c>
      <c r="C1905" s="82">
        <f>_xlfn.XLOOKUP(A1905,'TAZs by City - CCAG Model'!$A:$A,'TAZs by City - CCAG Model'!$C:$C,999)</f>
        <v>2</v>
      </c>
      <c r="D1905" s="82" t="str">
        <f t="shared" si="232"/>
        <v>YES</v>
      </c>
      <c r="E1905" s="27">
        <v>7944.76</v>
      </c>
      <c r="F1905" s="27">
        <v>6050.96</v>
      </c>
      <c r="G1905" s="27">
        <v>1425.8</v>
      </c>
      <c r="H1905" s="27">
        <v>242.38</v>
      </c>
      <c r="I1905" s="27">
        <v>1058.56</v>
      </c>
      <c r="J1905" s="27">
        <v>18182.62</v>
      </c>
      <c r="K1905" s="47">
        <f t="shared" si="233"/>
        <v>0.43694253083439022</v>
      </c>
      <c r="L1905" s="47">
        <f t="shared" si="234"/>
        <v>0.33278812404372971</v>
      </c>
      <c r="M1905" s="84">
        <f t="shared" si="235"/>
        <v>0.76973065487811998</v>
      </c>
      <c r="N1905" s="47">
        <f t="shared" si="236"/>
        <v>7.8415541874603326E-2</v>
      </c>
      <c r="O1905" s="47">
        <f t="shared" si="237"/>
        <v>1.3330312133234925E-2</v>
      </c>
      <c r="P1905" s="47">
        <f t="shared" si="238"/>
        <v>5.8218232575943399E-2</v>
      </c>
      <c r="Q1905" s="47">
        <f t="shared" si="239"/>
        <v>1</v>
      </c>
    </row>
    <row r="1906" spans="1:17" x14ac:dyDescent="0.35">
      <c r="A1906" s="82">
        <v>1903</v>
      </c>
      <c r="B1906" s="83" t="str">
        <f>_xlfn.XLOOKUP(A1906,'TAZs by City - CCAG Model'!$A:$A,'TAZs by City - CCAG Model'!$B:$B,"Unknown")</f>
        <v>Daly City</v>
      </c>
      <c r="C1906" s="82">
        <f>_xlfn.XLOOKUP(A1906,'TAZs by City - CCAG Model'!$A:$A,'TAZs by City - CCAG Model'!$C:$C,999)</f>
        <v>2</v>
      </c>
      <c r="D1906" s="82" t="str">
        <f t="shared" si="232"/>
        <v>YES</v>
      </c>
      <c r="E1906" s="27">
        <v>14261.38</v>
      </c>
      <c r="F1906" s="27">
        <v>8616.4599999999991</v>
      </c>
      <c r="G1906" s="27">
        <v>1664.14</v>
      </c>
      <c r="H1906" s="27">
        <v>434.1</v>
      </c>
      <c r="I1906" s="27">
        <v>2459.7399999999998</v>
      </c>
      <c r="J1906" s="27">
        <v>29135.54</v>
      </c>
      <c r="K1906" s="47">
        <f t="shared" si="233"/>
        <v>0.48948397730057513</v>
      </c>
      <c r="L1906" s="47">
        <f t="shared" si="234"/>
        <v>0.29573709634350348</v>
      </c>
      <c r="M1906" s="84">
        <f t="shared" si="235"/>
        <v>0.78522107364407856</v>
      </c>
      <c r="N1906" s="47">
        <f t="shared" si="236"/>
        <v>5.7117184030225629E-2</v>
      </c>
      <c r="O1906" s="47">
        <f t="shared" si="237"/>
        <v>1.4899329135481958E-2</v>
      </c>
      <c r="P1906" s="47">
        <f t="shared" si="238"/>
        <v>8.4424040192836641E-2</v>
      </c>
      <c r="Q1906" s="47">
        <f t="shared" si="239"/>
        <v>1</v>
      </c>
    </row>
    <row r="1907" spans="1:17" x14ac:dyDescent="0.35">
      <c r="A1907" s="82">
        <v>1904</v>
      </c>
      <c r="B1907" s="83" t="str">
        <f>_xlfn.XLOOKUP(A1907,'TAZs by City - CCAG Model'!$A:$A,'TAZs by City - CCAG Model'!$B:$B,"Unknown")</f>
        <v>Daly City</v>
      </c>
      <c r="C1907" s="82">
        <f>_xlfn.XLOOKUP(A1907,'TAZs by City - CCAG Model'!$A:$A,'TAZs by City - CCAG Model'!$C:$C,999)</f>
        <v>2</v>
      </c>
      <c r="D1907" s="82" t="str">
        <f t="shared" si="232"/>
        <v>YES</v>
      </c>
      <c r="E1907" s="27">
        <v>7941.18</v>
      </c>
      <c r="F1907" s="27">
        <v>5480.46</v>
      </c>
      <c r="G1907" s="27">
        <v>1504.98</v>
      </c>
      <c r="H1907" s="27">
        <v>261.58</v>
      </c>
      <c r="I1907" s="27">
        <v>1125.28</v>
      </c>
      <c r="J1907" s="27">
        <v>17859.32</v>
      </c>
      <c r="K1907" s="47">
        <f t="shared" si="233"/>
        <v>0.44465186804424806</v>
      </c>
      <c r="L1907" s="47">
        <f t="shared" si="234"/>
        <v>0.30686834661118118</v>
      </c>
      <c r="M1907" s="84">
        <f t="shared" si="235"/>
        <v>0.75152021465542918</v>
      </c>
      <c r="N1907" s="47">
        <f t="shared" si="236"/>
        <v>8.4268605971559954E-2</v>
      </c>
      <c r="O1907" s="47">
        <f t="shared" si="237"/>
        <v>1.4646694275033987E-2</v>
      </c>
      <c r="P1907" s="47">
        <f t="shared" si="238"/>
        <v>6.3007998064875934E-2</v>
      </c>
      <c r="Q1907" s="47">
        <f t="shared" si="239"/>
        <v>1</v>
      </c>
    </row>
    <row r="1908" spans="1:17" x14ac:dyDescent="0.35">
      <c r="A1908" s="82">
        <v>1905</v>
      </c>
      <c r="B1908" s="83" t="str">
        <f>_xlfn.XLOOKUP(A1908,'TAZs by City - CCAG Model'!$A:$A,'TAZs by City - CCAG Model'!$B:$B,"Unknown")</f>
        <v>Daly City</v>
      </c>
      <c r="C1908" s="82">
        <f>_xlfn.XLOOKUP(A1908,'TAZs by City - CCAG Model'!$A:$A,'TAZs by City - CCAG Model'!$C:$C,999)</f>
        <v>2</v>
      </c>
      <c r="D1908" s="82" t="str">
        <f t="shared" si="232"/>
        <v>YES</v>
      </c>
      <c r="E1908" s="27">
        <v>12876.82</v>
      </c>
      <c r="F1908" s="27">
        <v>11315.78</v>
      </c>
      <c r="G1908" s="27">
        <v>2748.18</v>
      </c>
      <c r="H1908" s="27">
        <v>434.32</v>
      </c>
      <c r="I1908" s="27">
        <v>1959.16</v>
      </c>
      <c r="J1908" s="27">
        <v>32116.94</v>
      </c>
      <c r="K1908" s="47">
        <f t="shared" si="233"/>
        <v>0.40093545649118506</v>
      </c>
      <c r="L1908" s="47">
        <f t="shared" si="234"/>
        <v>0.35233057694786618</v>
      </c>
      <c r="M1908" s="84">
        <f t="shared" si="235"/>
        <v>0.75326603343905119</v>
      </c>
      <c r="N1908" s="47">
        <f t="shared" si="236"/>
        <v>8.5567927704195981E-2</v>
      </c>
      <c r="O1908" s="47">
        <f t="shared" si="237"/>
        <v>1.3523081588719224E-2</v>
      </c>
      <c r="P1908" s="47">
        <f t="shared" si="238"/>
        <v>6.1000830091534251E-2</v>
      </c>
      <c r="Q1908" s="47">
        <f t="shared" si="239"/>
        <v>1</v>
      </c>
    </row>
    <row r="1909" spans="1:17" x14ac:dyDescent="0.35">
      <c r="A1909" s="82">
        <v>1906</v>
      </c>
      <c r="B1909" s="83" t="str">
        <f>_xlfn.XLOOKUP(A1909,'TAZs by City - CCAG Model'!$A:$A,'TAZs by City - CCAG Model'!$B:$B,"Unknown")</f>
        <v>Unincorporated</v>
      </c>
      <c r="C1909" s="82">
        <f>_xlfn.XLOOKUP(A1909,'TAZs by City - CCAG Model'!$A:$A,'TAZs by City - CCAG Model'!$C:$C,999)</f>
        <v>2</v>
      </c>
      <c r="D1909" s="82" t="str">
        <f t="shared" si="232"/>
        <v>YES</v>
      </c>
      <c r="E1909" s="27">
        <v>1105.44</v>
      </c>
      <c r="F1909" s="27">
        <v>687.08</v>
      </c>
      <c r="G1909" s="27">
        <v>0</v>
      </c>
      <c r="H1909" s="27">
        <v>25.32</v>
      </c>
      <c r="I1909" s="27">
        <v>24.54</v>
      </c>
      <c r="J1909" s="27">
        <v>1860</v>
      </c>
      <c r="K1909" s="47">
        <f t="shared" si="233"/>
        <v>0.5943225806451613</v>
      </c>
      <c r="L1909" s="47">
        <f t="shared" si="234"/>
        <v>0.36939784946236559</v>
      </c>
      <c r="M1909" s="84">
        <f t="shared" si="235"/>
        <v>0.96372043010752684</v>
      </c>
      <c r="N1909" s="47">
        <f t="shared" si="236"/>
        <v>0</v>
      </c>
      <c r="O1909" s="47">
        <f t="shared" si="237"/>
        <v>1.3612903225806453E-2</v>
      </c>
      <c r="P1909" s="47">
        <f t="shared" si="238"/>
        <v>1.3193548387096774E-2</v>
      </c>
      <c r="Q1909" s="47">
        <f t="shared" si="239"/>
        <v>1</v>
      </c>
    </row>
    <row r="1910" spans="1:17" x14ac:dyDescent="0.35">
      <c r="A1910" s="82">
        <v>1907</v>
      </c>
      <c r="B1910" s="83" t="str">
        <f>_xlfn.XLOOKUP(A1910,'TAZs by City - CCAG Model'!$A:$A,'TAZs by City - CCAG Model'!$B:$B,"Unknown")</f>
        <v>Daly City</v>
      </c>
      <c r="C1910" s="82">
        <f>_xlfn.XLOOKUP(A1910,'TAZs by City - CCAG Model'!$A:$A,'TAZs by City - CCAG Model'!$C:$C,999)</f>
        <v>2</v>
      </c>
      <c r="D1910" s="82" t="str">
        <f t="shared" si="232"/>
        <v>YES</v>
      </c>
      <c r="E1910" s="27">
        <v>11259.76</v>
      </c>
      <c r="F1910" s="27">
        <v>7949.28</v>
      </c>
      <c r="G1910" s="27">
        <v>984.22</v>
      </c>
      <c r="H1910" s="27">
        <v>393.62</v>
      </c>
      <c r="I1910" s="27">
        <v>1311.72</v>
      </c>
      <c r="J1910" s="27">
        <v>22920.6</v>
      </c>
      <c r="K1910" s="47">
        <f t="shared" si="233"/>
        <v>0.49125066534034889</v>
      </c>
      <c r="L1910" s="47">
        <f t="shared" si="234"/>
        <v>0.34681814612182926</v>
      </c>
      <c r="M1910" s="84">
        <f t="shared" si="235"/>
        <v>0.83806881146217826</v>
      </c>
      <c r="N1910" s="47">
        <f t="shared" si="236"/>
        <v>4.2940411682067664E-2</v>
      </c>
      <c r="O1910" s="47">
        <f t="shared" si="237"/>
        <v>1.7173197909304296E-2</v>
      </c>
      <c r="P1910" s="47">
        <f t="shared" si="238"/>
        <v>5.722886835423157E-2</v>
      </c>
      <c r="Q1910" s="47">
        <f t="shared" si="239"/>
        <v>1</v>
      </c>
    </row>
    <row r="1911" spans="1:17" x14ac:dyDescent="0.35">
      <c r="A1911" s="82">
        <v>1908</v>
      </c>
      <c r="B1911" s="83" t="str">
        <f>_xlfn.XLOOKUP(A1911,'TAZs by City - CCAG Model'!$A:$A,'TAZs by City - CCAG Model'!$B:$B,"Unknown")</f>
        <v>Unincorporated</v>
      </c>
      <c r="C1911" s="82">
        <f>_xlfn.XLOOKUP(A1911,'TAZs by City - CCAG Model'!$A:$A,'TAZs by City - CCAG Model'!$C:$C,999)</f>
        <v>2</v>
      </c>
      <c r="D1911" s="82" t="str">
        <f t="shared" si="232"/>
        <v>YES</v>
      </c>
      <c r="E1911" s="27">
        <v>393.38</v>
      </c>
      <c r="F1911" s="27">
        <v>68.06</v>
      </c>
      <c r="G1911" s="27">
        <v>1.52</v>
      </c>
      <c r="H1911" s="27">
        <v>2.42</v>
      </c>
      <c r="I1911" s="27">
        <v>1.88</v>
      </c>
      <c r="J1911" s="27">
        <v>487.62</v>
      </c>
      <c r="K1911" s="47">
        <f t="shared" si="233"/>
        <v>0.80673475247118653</v>
      </c>
      <c r="L1911" s="47">
        <f t="shared" si="234"/>
        <v>0.13957589926582176</v>
      </c>
      <c r="M1911" s="84">
        <f t="shared" si="235"/>
        <v>0.94631065173700835</v>
      </c>
      <c r="N1911" s="47">
        <f t="shared" si="236"/>
        <v>3.1171814117550551E-3</v>
      </c>
      <c r="O1911" s="47">
        <f t="shared" si="237"/>
        <v>4.9628809318731796E-3</v>
      </c>
      <c r="P1911" s="47">
        <f t="shared" si="238"/>
        <v>3.855461219802305E-3</v>
      </c>
      <c r="Q1911" s="47">
        <f t="shared" si="239"/>
        <v>1</v>
      </c>
    </row>
    <row r="1912" spans="1:17" x14ac:dyDescent="0.35">
      <c r="A1912" s="82">
        <v>1909</v>
      </c>
      <c r="B1912" s="83" t="str">
        <f>_xlfn.XLOOKUP(A1912,'TAZs by City - CCAG Model'!$A:$A,'TAZs by City - CCAG Model'!$B:$B,"Unknown")</f>
        <v>South San Francisco</v>
      </c>
      <c r="C1912" s="82">
        <f>_xlfn.XLOOKUP(A1912,'TAZs by City - CCAG Model'!$A:$A,'TAZs by City - CCAG Model'!$C:$C,999)</f>
        <v>2</v>
      </c>
      <c r="D1912" s="82" t="str">
        <f t="shared" si="232"/>
        <v>YES</v>
      </c>
      <c r="E1912" s="27">
        <v>13173.26</v>
      </c>
      <c r="F1912" s="27">
        <v>9706.7000000000007</v>
      </c>
      <c r="G1912" s="27">
        <v>1063.06</v>
      </c>
      <c r="H1912" s="27">
        <v>338.16</v>
      </c>
      <c r="I1912" s="27">
        <v>2331</v>
      </c>
      <c r="J1912" s="27">
        <v>27709.52</v>
      </c>
      <c r="K1912" s="47">
        <f t="shared" si="233"/>
        <v>0.47540556458574523</v>
      </c>
      <c r="L1912" s="47">
        <f t="shared" si="234"/>
        <v>0.35030199007416946</v>
      </c>
      <c r="M1912" s="84">
        <f t="shared" si="235"/>
        <v>0.82570755465991463</v>
      </c>
      <c r="N1912" s="47">
        <f t="shared" si="236"/>
        <v>3.8364432151838067E-2</v>
      </c>
      <c r="O1912" s="47">
        <f t="shared" si="237"/>
        <v>1.2203748025949205E-2</v>
      </c>
      <c r="P1912" s="47">
        <f t="shared" si="238"/>
        <v>8.4122713060348936E-2</v>
      </c>
      <c r="Q1912" s="47">
        <f t="shared" si="239"/>
        <v>1</v>
      </c>
    </row>
    <row r="1913" spans="1:17" x14ac:dyDescent="0.35">
      <c r="A1913" s="82">
        <v>1910</v>
      </c>
      <c r="B1913" s="83" t="str">
        <f>_xlfn.XLOOKUP(A1913,'TAZs by City - CCAG Model'!$A:$A,'TAZs by City - CCAG Model'!$B:$B,"Unknown")</f>
        <v>South San Francisco</v>
      </c>
      <c r="C1913" s="82">
        <f>_xlfn.XLOOKUP(A1913,'TAZs by City - CCAG Model'!$A:$A,'TAZs by City - CCAG Model'!$C:$C,999)</f>
        <v>2</v>
      </c>
      <c r="D1913" s="82" t="str">
        <f t="shared" si="232"/>
        <v>YES</v>
      </c>
      <c r="E1913" s="27">
        <v>10757.86</v>
      </c>
      <c r="F1913" s="27">
        <v>7636.36</v>
      </c>
      <c r="G1913" s="27">
        <v>914.92</v>
      </c>
      <c r="H1913" s="27">
        <v>390.96</v>
      </c>
      <c r="I1913" s="27">
        <v>1491.1</v>
      </c>
      <c r="J1913" s="27">
        <v>22145.360000000001</v>
      </c>
      <c r="K1913" s="47">
        <f t="shared" si="233"/>
        <v>0.48578392945519966</v>
      </c>
      <c r="L1913" s="47">
        <f t="shared" si="234"/>
        <v>0.34482889417918694</v>
      </c>
      <c r="M1913" s="84">
        <f t="shared" si="235"/>
        <v>0.8306128236343866</v>
      </c>
      <c r="N1913" s="47">
        <f t="shared" si="236"/>
        <v>4.1314297893554223E-2</v>
      </c>
      <c r="O1913" s="47">
        <f t="shared" si="237"/>
        <v>1.7654262563354128E-2</v>
      </c>
      <c r="P1913" s="47">
        <f t="shared" si="238"/>
        <v>6.7332389268000156E-2</v>
      </c>
      <c r="Q1913" s="47">
        <f t="shared" si="239"/>
        <v>1</v>
      </c>
    </row>
    <row r="1914" spans="1:17" x14ac:dyDescent="0.35">
      <c r="A1914" s="82">
        <v>1911</v>
      </c>
      <c r="B1914" s="83" t="str">
        <f>_xlfn.XLOOKUP(A1914,'TAZs by City - CCAG Model'!$A:$A,'TAZs by City - CCAG Model'!$B:$B,"Unknown")</f>
        <v>South San Francisco</v>
      </c>
      <c r="C1914" s="82">
        <f>_xlfn.XLOOKUP(A1914,'TAZs by City - CCAG Model'!$A:$A,'TAZs by City - CCAG Model'!$C:$C,999)</f>
        <v>2</v>
      </c>
      <c r="D1914" s="82" t="str">
        <f t="shared" si="232"/>
        <v>YES</v>
      </c>
      <c r="E1914" s="27">
        <v>14872.94</v>
      </c>
      <c r="F1914" s="27">
        <v>8458.4599999999991</v>
      </c>
      <c r="G1914" s="27">
        <v>1130.58</v>
      </c>
      <c r="H1914" s="27">
        <v>426.12</v>
      </c>
      <c r="I1914" s="27">
        <v>1797.9</v>
      </c>
      <c r="J1914" s="27">
        <v>27848.2</v>
      </c>
      <c r="K1914" s="47">
        <f t="shared" si="233"/>
        <v>0.53407186101794735</v>
      </c>
      <c r="L1914" s="47">
        <f t="shared" si="234"/>
        <v>0.30373453221393121</v>
      </c>
      <c r="M1914" s="84">
        <f t="shared" si="235"/>
        <v>0.83780639323187855</v>
      </c>
      <c r="N1914" s="47">
        <f t="shared" si="236"/>
        <v>4.0597956061792138E-2</v>
      </c>
      <c r="O1914" s="47">
        <f t="shared" si="237"/>
        <v>1.5301527567311351E-2</v>
      </c>
      <c r="P1914" s="47">
        <f t="shared" si="238"/>
        <v>6.4560725648336342E-2</v>
      </c>
      <c r="Q1914" s="47">
        <f t="shared" si="239"/>
        <v>1</v>
      </c>
    </row>
    <row r="1915" spans="1:17" x14ac:dyDescent="0.35">
      <c r="A1915" s="82">
        <v>1912</v>
      </c>
      <c r="B1915" s="83" t="str">
        <f>_xlfn.XLOOKUP(A1915,'TAZs by City - CCAG Model'!$A:$A,'TAZs by City - CCAG Model'!$B:$B,"Unknown")</f>
        <v>South San Francisco</v>
      </c>
      <c r="C1915" s="82">
        <f>_xlfn.XLOOKUP(A1915,'TAZs by City - CCAG Model'!$A:$A,'TAZs by City - CCAG Model'!$C:$C,999)</f>
        <v>2</v>
      </c>
      <c r="D1915" s="82" t="str">
        <f t="shared" si="232"/>
        <v>YES</v>
      </c>
      <c r="E1915" s="27">
        <v>13671.56</v>
      </c>
      <c r="F1915" s="27">
        <v>4467.8599999999997</v>
      </c>
      <c r="G1915" s="27">
        <v>373</v>
      </c>
      <c r="H1915" s="27">
        <v>204.84</v>
      </c>
      <c r="I1915" s="27">
        <v>975.86</v>
      </c>
      <c r="J1915" s="27">
        <v>20091.36</v>
      </c>
      <c r="K1915" s="47">
        <f t="shared" si="233"/>
        <v>0.68046961479959545</v>
      </c>
      <c r="L1915" s="47">
        <f t="shared" si="234"/>
        <v>0.22237718103702286</v>
      </c>
      <c r="M1915" s="84">
        <f t="shared" si="235"/>
        <v>0.9028467958366182</v>
      </c>
      <c r="N1915" s="47">
        <f t="shared" si="236"/>
        <v>1.8565194192926709E-2</v>
      </c>
      <c r="O1915" s="47">
        <f t="shared" si="237"/>
        <v>1.0195427288147742E-2</v>
      </c>
      <c r="P1915" s="47">
        <f t="shared" si="238"/>
        <v>4.8571127091446273E-2</v>
      </c>
      <c r="Q1915" s="47">
        <f t="shared" si="239"/>
        <v>1</v>
      </c>
    </row>
    <row r="1916" spans="1:17" x14ac:dyDescent="0.35">
      <c r="A1916" s="82">
        <v>1913</v>
      </c>
      <c r="B1916" s="83" t="str">
        <f>_xlfn.XLOOKUP(A1916,'TAZs by City - CCAG Model'!$A:$A,'TAZs by City - CCAG Model'!$B:$B,"Unknown")</f>
        <v>South San Francisco</v>
      </c>
      <c r="C1916" s="82">
        <f>_xlfn.XLOOKUP(A1916,'TAZs by City - CCAG Model'!$A:$A,'TAZs by City - CCAG Model'!$C:$C,999)</f>
        <v>2</v>
      </c>
      <c r="D1916" s="82" t="str">
        <f t="shared" si="232"/>
        <v>YES</v>
      </c>
      <c r="E1916" s="27">
        <v>13341.78</v>
      </c>
      <c r="F1916" s="27">
        <v>8177.06</v>
      </c>
      <c r="G1916" s="27">
        <v>809.3</v>
      </c>
      <c r="H1916" s="27">
        <v>333</v>
      </c>
      <c r="I1916" s="27">
        <v>2098.46</v>
      </c>
      <c r="J1916" s="27">
        <v>25609.52</v>
      </c>
      <c r="K1916" s="47">
        <f t="shared" si="233"/>
        <v>0.52096954570019272</v>
      </c>
      <c r="L1916" s="47">
        <f t="shared" si="234"/>
        <v>0.31929766742992449</v>
      </c>
      <c r="M1916" s="84">
        <f t="shared" si="235"/>
        <v>0.84026721313011721</v>
      </c>
      <c r="N1916" s="47">
        <f t="shared" si="236"/>
        <v>3.1601529431242753E-2</v>
      </c>
      <c r="O1916" s="47">
        <f t="shared" si="237"/>
        <v>1.300297701792146E-2</v>
      </c>
      <c r="P1916" s="47">
        <f t="shared" si="238"/>
        <v>8.1940622081163567E-2</v>
      </c>
      <c r="Q1916" s="47">
        <f t="shared" si="239"/>
        <v>1</v>
      </c>
    </row>
    <row r="1917" spans="1:17" x14ac:dyDescent="0.35">
      <c r="A1917" s="82">
        <v>1914</v>
      </c>
      <c r="B1917" s="83" t="str">
        <f>_xlfn.XLOOKUP(A1917,'TAZs by City - CCAG Model'!$A:$A,'TAZs by City - CCAG Model'!$B:$B,"Unknown")</f>
        <v>South San Francisco</v>
      </c>
      <c r="C1917" s="82">
        <f>_xlfn.XLOOKUP(A1917,'TAZs by City - CCAG Model'!$A:$A,'TAZs by City - CCAG Model'!$C:$C,999)</f>
        <v>2</v>
      </c>
      <c r="D1917" s="82" t="str">
        <f t="shared" si="232"/>
        <v>YES</v>
      </c>
      <c r="E1917" s="27">
        <v>8302.44</v>
      </c>
      <c r="F1917" s="27">
        <v>5614.04</v>
      </c>
      <c r="G1917" s="27">
        <v>555.14</v>
      </c>
      <c r="H1917" s="27">
        <v>229.74</v>
      </c>
      <c r="I1917" s="27">
        <v>3100.08</v>
      </c>
      <c r="J1917" s="27">
        <v>18394.72</v>
      </c>
      <c r="K1917" s="47">
        <f t="shared" si="233"/>
        <v>0.45134908278027608</v>
      </c>
      <c r="L1917" s="47">
        <f t="shared" si="234"/>
        <v>0.30519844825036746</v>
      </c>
      <c r="M1917" s="84">
        <f t="shared" si="235"/>
        <v>0.75654753103064354</v>
      </c>
      <c r="N1917" s="47">
        <f t="shared" si="236"/>
        <v>3.017931232440613E-2</v>
      </c>
      <c r="O1917" s="47">
        <f t="shared" si="237"/>
        <v>1.248945349535084E-2</v>
      </c>
      <c r="P1917" s="47">
        <f t="shared" si="238"/>
        <v>0.16853096975653881</v>
      </c>
      <c r="Q1917" s="47">
        <f t="shared" si="239"/>
        <v>1</v>
      </c>
    </row>
    <row r="1918" spans="1:17" x14ac:dyDescent="0.35">
      <c r="A1918" s="82">
        <v>1915</v>
      </c>
      <c r="B1918" s="83" t="str">
        <f>_xlfn.XLOOKUP(A1918,'TAZs by City - CCAG Model'!$A:$A,'TAZs by City - CCAG Model'!$B:$B,"Unknown")</f>
        <v>South San Francisco</v>
      </c>
      <c r="C1918" s="82">
        <f>_xlfn.XLOOKUP(A1918,'TAZs by City - CCAG Model'!$A:$A,'TAZs by City - CCAG Model'!$C:$C,999)</f>
        <v>2</v>
      </c>
      <c r="D1918" s="82" t="str">
        <f t="shared" si="232"/>
        <v>YES</v>
      </c>
      <c r="E1918" s="27">
        <v>10205.94</v>
      </c>
      <c r="F1918" s="27">
        <v>6682.12</v>
      </c>
      <c r="G1918" s="27">
        <v>937.9</v>
      </c>
      <c r="H1918" s="27">
        <v>334.52</v>
      </c>
      <c r="I1918" s="27">
        <v>1602.36</v>
      </c>
      <c r="J1918" s="27">
        <v>20741.099999999999</v>
      </c>
      <c r="K1918" s="47">
        <f t="shared" si="233"/>
        <v>0.49206358389863608</v>
      </c>
      <c r="L1918" s="47">
        <f t="shared" si="234"/>
        <v>0.32216806244606122</v>
      </c>
      <c r="M1918" s="84">
        <f t="shared" si="235"/>
        <v>0.81423164634469736</v>
      </c>
      <c r="N1918" s="47">
        <f t="shared" si="236"/>
        <v>4.5219395306902721E-2</v>
      </c>
      <c r="O1918" s="47">
        <f t="shared" si="237"/>
        <v>1.6128363490846676E-2</v>
      </c>
      <c r="P1918" s="47">
        <f t="shared" si="238"/>
        <v>7.7255304684900994E-2</v>
      </c>
      <c r="Q1918" s="47">
        <f t="shared" si="239"/>
        <v>1</v>
      </c>
    </row>
    <row r="1919" spans="1:17" x14ac:dyDescent="0.35">
      <c r="A1919" s="82">
        <v>1916</v>
      </c>
      <c r="B1919" s="83" t="str">
        <f>_xlfn.XLOOKUP(A1919,'TAZs by City - CCAG Model'!$A:$A,'TAZs by City - CCAG Model'!$B:$B,"Unknown")</f>
        <v>South San Francisco</v>
      </c>
      <c r="C1919" s="82">
        <f>_xlfn.XLOOKUP(A1919,'TAZs by City - CCAG Model'!$A:$A,'TAZs by City - CCAG Model'!$C:$C,999)</f>
        <v>2</v>
      </c>
      <c r="D1919" s="82" t="str">
        <f t="shared" si="232"/>
        <v>YES</v>
      </c>
      <c r="E1919" s="27">
        <v>7141.48</v>
      </c>
      <c r="F1919" s="27">
        <v>4547.32</v>
      </c>
      <c r="G1919" s="27">
        <v>542.12</v>
      </c>
      <c r="H1919" s="27">
        <v>228.66</v>
      </c>
      <c r="I1919" s="27">
        <v>964.98</v>
      </c>
      <c r="J1919" s="27">
        <v>14009.82</v>
      </c>
      <c r="K1919" s="47">
        <f t="shared" si="233"/>
        <v>0.50974816236040144</v>
      </c>
      <c r="L1919" s="47">
        <f t="shared" si="234"/>
        <v>0.3245809011107923</v>
      </c>
      <c r="M1919" s="84">
        <f t="shared" si="235"/>
        <v>0.83432906347119373</v>
      </c>
      <c r="N1919" s="47">
        <f t="shared" si="236"/>
        <v>3.8695714862860484E-2</v>
      </c>
      <c r="O1919" s="47">
        <f t="shared" si="237"/>
        <v>1.632140884037054E-2</v>
      </c>
      <c r="P1919" s="47">
        <f t="shared" si="238"/>
        <v>6.8878829278320494E-2</v>
      </c>
      <c r="Q1919" s="47">
        <f t="shared" si="239"/>
        <v>1</v>
      </c>
    </row>
    <row r="1920" spans="1:17" x14ac:dyDescent="0.35">
      <c r="A1920" s="82">
        <v>1917</v>
      </c>
      <c r="B1920" s="83" t="str">
        <f>_xlfn.XLOOKUP(A1920,'TAZs by City - CCAG Model'!$A:$A,'TAZs by City - CCAG Model'!$B:$B,"Unknown")</f>
        <v>South San Francisco</v>
      </c>
      <c r="C1920" s="82">
        <f>_xlfn.XLOOKUP(A1920,'TAZs by City - CCAG Model'!$A:$A,'TAZs by City - CCAG Model'!$C:$C,999)</f>
        <v>2</v>
      </c>
      <c r="D1920" s="82" t="str">
        <f t="shared" si="232"/>
        <v>YES</v>
      </c>
      <c r="E1920" s="27">
        <v>5884.4</v>
      </c>
      <c r="F1920" s="27">
        <v>4238.62</v>
      </c>
      <c r="G1920" s="27">
        <v>523.66</v>
      </c>
      <c r="H1920" s="27">
        <v>181.06</v>
      </c>
      <c r="I1920" s="27">
        <v>1805.38</v>
      </c>
      <c r="J1920" s="27">
        <v>13193.58</v>
      </c>
      <c r="K1920" s="47">
        <f t="shared" si="233"/>
        <v>0.44600479930390385</v>
      </c>
      <c r="L1920" s="47">
        <f t="shared" si="234"/>
        <v>0.32126382680061061</v>
      </c>
      <c r="M1920" s="84">
        <f t="shared" si="235"/>
        <v>0.76726862610451452</v>
      </c>
      <c r="N1920" s="47">
        <f t="shared" si="236"/>
        <v>3.9690516144973535E-2</v>
      </c>
      <c r="O1920" s="47">
        <f t="shared" si="237"/>
        <v>1.3723341200796145E-2</v>
      </c>
      <c r="P1920" s="47">
        <f t="shared" si="238"/>
        <v>0.13683776503420603</v>
      </c>
      <c r="Q1920" s="47">
        <f t="shared" si="239"/>
        <v>1</v>
      </c>
    </row>
    <row r="1921" spans="1:17" x14ac:dyDescent="0.35">
      <c r="A1921" s="82">
        <v>1918</v>
      </c>
      <c r="B1921" s="83" t="str">
        <f>_xlfn.XLOOKUP(A1921,'TAZs by City - CCAG Model'!$A:$A,'TAZs by City - CCAG Model'!$B:$B,"Unknown")</f>
        <v>Daly City</v>
      </c>
      <c r="C1921" s="82">
        <f>_xlfn.XLOOKUP(A1921,'TAZs by City - CCAG Model'!$A:$A,'TAZs by City - CCAG Model'!$C:$C,999)</f>
        <v>2</v>
      </c>
      <c r="D1921" s="82" t="str">
        <f t="shared" si="232"/>
        <v>YES</v>
      </c>
      <c r="E1921" s="27">
        <v>20962.96</v>
      </c>
      <c r="F1921" s="27">
        <v>11823.12</v>
      </c>
      <c r="G1921" s="27">
        <v>1370.2</v>
      </c>
      <c r="H1921" s="27">
        <v>524.96</v>
      </c>
      <c r="I1921" s="27">
        <v>3176.76</v>
      </c>
      <c r="J1921" s="27">
        <v>39263.58</v>
      </c>
      <c r="K1921" s="47">
        <f t="shared" si="233"/>
        <v>0.53390342908109745</v>
      </c>
      <c r="L1921" s="47">
        <f t="shared" si="234"/>
        <v>0.30112180295327123</v>
      </c>
      <c r="M1921" s="84">
        <f t="shared" si="235"/>
        <v>0.83502523203436874</v>
      </c>
      <c r="N1921" s="47">
        <f t="shared" si="236"/>
        <v>3.4897480056581699E-2</v>
      </c>
      <c r="O1921" s="47">
        <f t="shared" si="237"/>
        <v>1.3370151168079936E-2</v>
      </c>
      <c r="P1921" s="47">
        <f t="shared" si="238"/>
        <v>8.0908567175993637E-2</v>
      </c>
      <c r="Q1921" s="47">
        <f t="shared" si="239"/>
        <v>1</v>
      </c>
    </row>
    <row r="1922" spans="1:17" x14ac:dyDescent="0.35">
      <c r="A1922" s="82">
        <v>1919</v>
      </c>
      <c r="B1922" s="83" t="str">
        <f>_xlfn.XLOOKUP(A1922,'TAZs by City - CCAG Model'!$A:$A,'TAZs by City - CCAG Model'!$B:$B,"Unknown")</f>
        <v>Daly City</v>
      </c>
      <c r="C1922" s="82">
        <f>_xlfn.XLOOKUP(A1922,'TAZs by City - CCAG Model'!$A:$A,'TAZs by City - CCAG Model'!$C:$C,999)</f>
        <v>2</v>
      </c>
      <c r="D1922" s="82" t="str">
        <f t="shared" si="232"/>
        <v>YES</v>
      </c>
      <c r="E1922" s="27">
        <v>8027.52</v>
      </c>
      <c r="F1922" s="27">
        <v>6071.46</v>
      </c>
      <c r="G1922" s="27">
        <v>771.78</v>
      </c>
      <c r="H1922" s="27">
        <v>232.32</v>
      </c>
      <c r="I1922" s="27">
        <v>1365.74</v>
      </c>
      <c r="J1922" s="27">
        <v>17272.3</v>
      </c>
      <c r="K1922" s="47">
        <f t="shared" si="233"/>
        <v>0.46476265465514149</v>
      </c>
      <c r="L1922" s="47">
        <f t="shared" si="234"/>
        <v>0.35151427430046955</v>
      </c>
      <c r="M1922" s="84">
        <f t="shared" si="235"/>
        <v>0.81627692895561099</v>
      </c>
      <c r="N1922" s="47">
        <f t="shared" si="236"/>
        <v>4.468310531892105E-2</v>
      </c>
      <c r="O1922" s="47">
        <f t="shared" si="237"/>
        <v>1.3450437984518565E-2</v>
      </c>
      <c r="P1922" s="47">
        <f t="shared" si="238"/>
        <v>7.9071113864395595E-2</v>
      </c>
      <c r="Q1922" s="47">
        <f t="shared" si="239"/>
        <v>1</v>
      </c>
    </row>
    <row r="1923" spans="1:17" x14ac:dyDescent="0.35">
      <c r="A1923" s="82">
        <v>1920</v>
      </c>
      <c r="B1923" s="83" t="str">
        <f>_xlfn.XLOOKUP(A1923,'TAZs by City - CCAG Model'!$A:$A,'TAZs by City - CCAG Model'!$B:$B,"Unknown")</f>
        <v>Pacifica</v>
      </c>
      <c r="C1923" s="82">
        <f>_xlfn.XLOOKUP(A1923,'TAZs by City - CCAG Model'!$A:$A,'TAZs by City - CCAG Model'!$C:$C,999)</f>
        <v>2</v>
      </c>
      <c r="D1923" s="82" t="str">
        <f t="shared" si="232"/>
        <v>YES</v>
      </c>
      <c r="E1923" s="27">
        <v>11905.58</v>
      </c>
      <c r="F1923" s="27">
        <v>8975.14</v>
      </c>
      <c r="G1923" s="27">
        <v>1125.68</v>
      </c>
      <c r="H1923" s="27">
        <v>326.54000000000002</v>
      </c>
      <c r="I1923" s="27">
        <v>1872.74</v>
      </c>
      <c r="J1923" s="27">
        <v>25365.82</v>
      </c>
      <c r="K1923" s="47">
        <f t="shared" si="233"/>
        <v>0.46935521895211746</v>
      </c>
      <c r="L1923" s="47">
        <f t="shared" si="234"/>
        <v>0.3538281041180612</v>
      </c>
      <c r="M1923" s="84">
        <f t="shared" si="235"/>
        <v>0.82318332307017872</v>
      </c>
      <c r="N1923" s="47">
        <f t="shared" si="236"/>
        <v>4.4377828116733464E-2</v>
      </c>
      <c r="O1923" s="47">
        <f t="shared" si="237"/>
        <v>1.287322862024567E-2</v>
      </c>
      <c r="P1923" s="47">
        <f t="shared" si="238"/>
        <v>7.3829271042686578E-2</v>
      </c>
      <c r="Q1923" s="47">
        <f t="shared" si="239"/>
        <v>1</v>
      </c>
    </row>
    <row r="1924" spans="1:17" x14ac:dyDescent="0.35">
      <c r="A1924" s="82">
        <v>1921</v>
      </c>
      <c r="B1924" s="83" t="str">
        <f>_xlfn.XLOOKUP(A1924,'TAZs by City - CCAG Model'!$A:$A,'TAZs by City - CCAG Model'!$B:$B,"Unknown")</f>
        <v>Pacifica</v>
      </c>
      <c r="C1924" s="82">
        <f>_xlfn.XLOOKUP(A1924,'TAZs by City - CCAG Model'!$A:$A,'TAZs by City - CCAG Model'!$C:$C,999)</f>
        <v>2</v>
      </c>
      <c r="D1924" s="82" t="str">
        <f t="shared" si="232"/>
        <v>YES</v>
      </c>
      <c r="E1924" s="27">
        <v>8877.8799999999992</v>
      </c>
      <c r="F1924" s="27">
        <v>5957.9</v>
      </c>
      <c r="G1924" s="27">
        <v>719.82</v>
      </c>
      <c r="H1924" s="27">
        <v>217.46</v>
      </c>
      <c r="I1924" s="27">
        <v>1311.1</v>
      </c>
      <c r="J1924" s="27">
        <v>17840.740000000002</v>
      </c>
      <c r="K1924" s="47">
        <f t="shared" si="233"/>
        <v>0.49761837233208928</v>
      </c>
      <c r="L1924" s="47">
        <f t="shared" si="234"/>
        <v>0.33394915233336731</v>
      </c>
      <c r="M1924" s="84">
        <f t="shared" si="235"/>
        <v>0.83156752466545658</v>
      </c>
      <c r="N1924" s="47">
        <f t="shared" si="236"/>
        <v>4.0346981122980324E-2</v>
      </c>
      <c r="O1924" s="47">
        <f t="shared" si="237"/>
        <v>1.2188956287687618E-2</v>
      </c>
      <c r="P1924" s="47">
        <f t="shared" si="238"/>
        <v>7.3489104151509402E-2</v>
      </c>
      <c r="Q1924" s="47">
        <f t="shared" si="239"/>
        <v>1</v>
      </c>
    </row>
    <row r="1925" spans="1:17" x14ac:dyDescent="0.35">
      <c r="A1925" s="82">
        <v>1922</v>
      </c>
      <c r="B1925" s="83" t="str">
        <f>_xlfn.XLOOKUP(A1925,'TAZs by City - CCAG Model'!$A:$A,'TAZs by City - CCAG Model'!$B:$B,"Unknown")</f>
        <v>Pacifica</v>
      </c>
      <c r="C1925" s="82">
        <f>_xlfn.XLOOKUP(A1925,'TAZs by City - CCAG Model'!$A:$A,'TAZs by City - CCAG Model'!$C:$C,999)</f>
        <v>2</v>
      </c>
      <c r="D1925" s="82" t="str">
        <f t="shared" ref="D1925:D1988" si="240">IF(C1925=2,"YES","NO")</f>
        <v>YES</v>
      </c>
      <c r="E1925" s="27">
        <v>7576.9</v>
      </c>
      <c r="F1925" s="27">
        <v>4861.82</v>
      </c>
      <c r="G1925" s="27">
        <v>581.70000000000005</v>
      </c>
      <c r="H1925" s="27">
        <v>184.84</v>
      </c>
      <c r="I1925" s="27">
        <v>946.22</v>
      </c>
      <c r="J1925" s="27">
        <v>14766.82</v>
      </c>
      <c r="K1925" s="47">
        <f t="shared" ref="K1925:K1988" si="241">IFERROR(E1925/$J1925,0)</f>
        <v>0.51310302421238962</v>
      </c>
      <c r="L1925" s="47">
        <f t="shared" ref="L1925:L1988" si="242">IFERROR(F1925/$J1925,0)</f>
        <v>0.32923947065109482</v>
      </c>
      <c r="M1925" s="84">
        <f t="shared" ref="M1925:M1988" si="243">IFERROR((E1925+F1925)/J1925,0)</f>
        <v>0.84234249486348445</v>
      </c>
      <c r="N1925" s="47">
        <f t="shared" ref="N1925:N1988" si="244">IFERROR(G1925/$J1925,0)</f>
        <v>3.9392367483317335E-2</v>
      </c>
      <c r="O1925" s="47">
        <f t="shared" ref="O1925:O1988" si="245">IFERROR(H1925/$J1925,0)</f>
        <v>1.2517251513866899E-2</v>
      </c>
      <c r="P1925" s="47">
        <f t="shared" ref="P1925:P1988" si="246">IFERROR(I1925/$J1925,0)</f>
        <v>6.4077438473550838E-2</v>
      </c>
      <c r="Q1925" s="47">
        <f t="shared" ref="Q1925:Q1988" si="247">IFERROR(J1925/$J1925,0)</f>
        <v>1</v>
      </c>
    </row>
    <row r="1926" spans="1:17" x14ac:dyDescent="0.35">
      <c r="A1926" s="82">
        <v>1923</v>
      </c>
      <c r="B1926" s="83" t="str">
        <f>_xlfn.XLOOKUP(A1926,'TAZs by City - CCAG Model'!$A:$A,'TAZs by City - CCAG Model'!$B:$B,"Unknown")</f>
        <v>Pacifica</v>
      </c>
      <c r="C1926" s="82">
        <f>_xlfn.XLOOKUP(A1926,'TAZs by City - CCAG Model'!$A:$A,'TAZs by City - CCAG Model'!$C:$C,999)</f>
        <v>2</v>
      </c>
      <c r="D1926" s="82" t="str">
        <f t="shared" si="240"/>
        <v>YES</v>
      </c>
      <c r="E1926" s="27">
        <v>6881.4</v>
      </c>
      <c r="F1926" s="27">
        <v>4002.58</v>
      </c>
      <c r="G1926" s="27">
        <v>400.82</v>
      </c>
      <c r="H1926" s="27">
        <v>163.52000000000001</v>
      </c>
      <c r="I1926" s="27">
        <v>1953</v>
      </c>
      <c r="J1926" s="27">
        <v>13842.62</v>
      </c>
      <c r="K1926" s="47">
        <f t="shared" si="241"/>
        <v>0.49711687527361142</v>
      </c>
      <c r="L1926" s="47">
        <f t="shared" si="242"/>
        <v>0.28914901947752664</v>
      </c>
      <c r="M1926" s="84">
        <f t="shared" si="243"/>
        <v>0.78626589475113806</v>
      </c>
      <c r="N1926" s="47">
        <f t="shared" si="244"/>
        <v>2.8955501198472542E-2</v>
      </c>
      <c r="O1926" s="47">
        <f t="shared" si="245"/>
        <v>1.1812792664972382E-2</v>
      </c>
      <c r="P1926" s="47">
        <f t="shared" si="246"/>
        <v>0.14108600828455883</v>
      </c>
      <c r="Q1926" s="47">
        <f t="shared" si="247"/>
        <v>1</v>
      </c>
    </row>
    <row r="1927" spans="1:17" x14ac:dyDescent="0.35">
      <c r="A1927" s="82">
        <v>1924</v>
      </c>
      <c r="B1927" s="83" t="str">
        <f>_xlfn.XLOOKUP(A1927,'TAZs by City - CCAG Model'!$A:$A,'TAZs by City - CCAG Model'!$B:$B,"Unknown")</f>
        <v>Pacifica</v>
      </c>
      <c r="C1927" s="82">
        <f>_xlfn.XLOOKUP(A1927,'TAZs by City - CCAG Model'!$A:$A,'TAZs by City - CCAG Model'!$C:$C,999)</f>
        <v>2</v>
      </c>
      <c r="D1927" s="82" t="str">
        <f t="shared" si="240"/>
        <v>YES</v>
      </c>
      <c r="E1927" s="27">
        <v>10167.06</v>
      </c>
      <c r="F1927" s="27">
        <v>6492.4</v>
      </c>
      <c r="G1927" s="27">
        <v>624.4</v>
      </c>
      <c r="H1927" s="27">
        <v>201.26</v>
      </c>
      <c r="I1927" s="27">
        <v>738.7</v>
      </c>
      <c r="J1927" s="27">
        <v>18885.82</v>
      </c>
      <c r="K1927" s="47">
        <f t="shared" si="241"/>
        <v>0.53834358264560389</v>
      </c>
      <c r="L1927" s="47">
        <f t="shared" si="242"/>
        <v>0.3437711468180889</v>
      </c>
      <c r="M1927" s="84">
        <f t="shared" si="243"/>
        <v>0.88211472946369285</v>
      </c>
      <c r="N1927" s="47">
        <f t="shared" si="244"/>
        <v>3.306184216518001E-2</v>
      </c>
      <c r="O1927" s="47">
        <f t="shared" si="245"/>
        <v>1.0656672572332045E-2</v>
      </c>
      <c r="P1927" s="47">
        <f t="shared" si="246"/>
        <v>3.9114001933725939E-2</v>
      </c>
      <c r="Q1927" s="47">
        <f t="shared" si="247"/>
        <v>1</v>
      </c>
    </row>
    <row r="1928" spans="1:17" x14ac:dyDescent="0.35">
      <c r="A1928" s="82">
        <v>1925</v>
      </c>
      <c r="B1928" s="83" t="str">
        <f>_xlfn.XLOOKUP(A1928,'TAZs by City - CCAG Model'!$A:$A,'TAZs by City - CCAG Model'!$B:$B,"Unknown")</f>
        <v>Unincorporated</v>
      </c>
      <c r="C1928" s="82">
        <f>_xlfn.XLOOKUP(A1928,'TAZs by City - CCAG Model'!$A:$A,'TAZs by City - CCAG Model'!$C:$C,999)</f>
        <v>2</v>
      </c>
      <c r="D1928" s="82" t="str">
        <f t="shared" si="240"/>
        <v>YES</v>
      </c>
      <c r="E1928" s="27">
        <v>10581.88</v>
      </c>
      <c r="F1928" s="27">
        <v>6271.08</v>
      </c>
      <c r="G1928" s="27">
        <v>291.27999999999997</v>
      </c>
      <c r="H1928" s="27">
        <v>199.9</v>
      </c>
      <c r="I1928" s="27">
        <v>2891.22</v>
      </c>
      <c r="J1928" s="27">
        <v>20565.080000000002</v>
      </c>
      <c r="K1928" s="47">
        <f t="shared" si="241"/>
        <v>0.51455574206373123</v>
      </c>
      <c r="L1928" s="47">
        <f t="shared" si="242"/>
        <v>0.30493827400622803</v>
      </c>
      <c r="M1928" s="84">
        <f t="shared" si="243"/>
        <v>0.81949401606995931</v>
      </c>
      <c r="N1928" s="47">
        <f t="shared" si="244"/>
        <v>1.4163815555300536E-2</v>
      </c>
      <c r="O1928" s="47">
        <f t="shared" si="245"/>
        <v>9.7203609224958028E-3</v>
      </c>
      <c r="P1928" s="47">
        <f t="shared" si="246"/>
        <v>0.14058880393365839</v>
      </c>
      <c r="Q1928" s="47">
        <f t="shared" si="247"/>
        <v>1</v>
      </c>
    </row>
    <row r="1929" spans="1:17" x14ac:dyDescent="0.35">
      <c r="A1929" s="82">
        <v>1926</v>
      </c>
      <c r="B1929" s="83" t="str">
        <f>_xlfn.XLOOKUP(A1929,'TAZs by City - CCAG Model'!$A:$A,'TAZs by City - CCAG Model'!$B:$B,"Unknown")</f>
        <v>Unincorporated</v>
      </c>
      <c r="C1929" s="82">
        <f>_xlfn.XLOOKUP(A1929,'TAZs by City - CCAG Model'!$A:$A,'TAZs by City - CCAG Model'!$C:$C,999)</f>
        <v>2</v>
      </c>
      <c r="D1929" s="82" t="str">
        <f t="shared" si="240"/>
        <v>YES</v>
      </c>
      <c r="E1929" s="27">
        <v>13197.6</v>
      </c>
      <c r="F1929" s="27">
        <v>8473.02</v>
      </c>
      <c r="G1929" s="27">
        <v>273.86</v>
      </c>
      <c r="H1929" s="27">
        <v>252.56</v>
      </c>
      <c r="I1929" s="27">
        <v>2776.18</v>
      </c>
      <c r="J1929" s="27">
        <v>25280.26</v>
      </c>
      <c r="K1929" s="47">
        <f t="shared" si="241"/>
        <v>0.52205159282380798</v>
      </c>
      <c r="L1929" s="47">
        <f t="shared" si="242"/>
        <v>0.33516348328695988</v>
      </c>
      <c r="M1929" s="84">
        <f t="shared" si="243"/>
        <v>0.85721507611076797</v>
      </c>
      <c r="N1929" s="47">
        <f t="shared" si="244"/>
        <v>1.0832958205334914E-2</v>
      </c>
      <c r="O1929" s="47">
        <f t="shared" si="245"/>
        <v>9.9904035797100197E-3</v>
      </c>
      <c r="P1929" s="47">
        <f t="shared" si="246"/>
        <v>0.10981611739752677</v>
      </c>
      <c r="Q1929" s="47">
        <f t="shared" si="247"/>
        <v>1</v>
      </c>
    </row>
    <row r="1930" spans="1:17" x14ac:dyDescent="0.35">
      <c r="A1930" s="82">
        <v>1927</v>
      </c>
      <c r="B1930" s="83" t="str">
        <f>_xlfn.XLOOKUP(A1930,'TAZs by City - CCAG Model'!$A:$A,'TAZs by City - CCAG Model'!$B:$B,"Unknown")</f>
        <v>Pacifica</v>
      </c>
      <c r="C1930" s="82">
        <f>_xlfn.XLOOKUP(A1930,'TAZs by City - CCAG Model'!$A:$A,'TAZs by City - CCAG Model'!$C:$C,999)</f>
        <v>2</v>
      </c>
      <c r="D1930" s="82" t="str">
        <f t="shared" si="240"/>
        <v>YES</v>
      </c>
      <c r="E1930" s="27">
        <v>15226</v>
      </c>
      <c r="F1930" s="27">
        <v>10353.24</v>
      </c>
      <c r="G1930" s="27">
        <v>286.64</v>
      </c>
      <c r="H1930" s="27">
        <v>305</v>
      </c>
      <c r="I1930" s="27">
        <v>2661.4</v>
      </c>
      <c r="J1930" s="27">
        <v>29150.92</v>
      </c>
      <c r="K1930" s="47">
        <f t="shared" si="241"/>
        <v>0.52231627681047466</v>
      </c>
      <c r="L1930" s="47">
        <f t="shared" si="242"/>
        <v>0.35515997436787589</v>
      </c>
      <c r="M1930" s="84">
        <f t="shared" si="243"/>
        <v>0.87747625117835049</v>
      </c>
      <c r="N1930" s="47">
        <f t="shared" si="244"/>
        <v>9.8329658206327622E-3</v>
      </c>
      <c r="O1930" s="47">
        <f t="shared" si="245"/>
        <v>1.0462791568842425E-2</v>
      </c>
      <c r="P1930" s="47">
        <f t="shared" si="246"/>
        <v>9.1297290102679438E-2</v>
      </c>
      <c r="Q1930" s="47">
        <f t="shared" si="247"/>
        <v>1</v>
      </c>
    </row>
    <row r="1931" spans="1:17" x14ac:dyDescent="0.35">
      <c r="A1931" s="82">
        <v>1928</v>
      </c>
      <c r="B1931" s="83" t="str">
        <f>_xlfn.XLOOKUP(A1931,'TAZs by City - CCAG Model'!$A:$A,'TAZs by City - CCAG Model'!$B:$B,"Unknown")</f>
        <v>Unincorporated</v>
      </c>
      <c r="C1931" s="82">
        <f>_xlfn.XLOOKUP(A1931,'TAZs by City - CCAG Model'!$A:$A,'TAZs by City - CCAG Model'!$C:$C,999)</f>
        <v>2</v>
      </c>
      <c r="D1931" s="82" t="str">
        <f t="shared" si="240"/>
        <v>YES</v>
      </c>
      <c r="E1931" s="27">
        <v>964.86</v>
      </c>
      <c r="F1931" s="27">
        <v>221.66</v>
      </c>
      <c r="G1931" s="27">
        <v>14.86</v>
      </c>
      <c r="H1931" s="27">
        <v>14.36</v>
      </c>
      <c r="I1931" s="27">
        <v>108.24</v>
      </c>
      <c r="J1931" s="27">
        <v>1369.84</v>
      </c>
      <c r="K1931" s="47">
        <f t="shared" si="241"/>
        <v>0.70435963324183848</v>
      </c>
      <c r="L1931" s="47">
        <f t="shared" si="242"/>
        <v>0.16181451848391054</v>
      </c>
      <c r="M1931" s="84">
        <f t="shared" si="243"/>
        <v>0.86617415172574908</v>
      </c>
      <c r="N1931" s="47">
        <f t="shared" si="244"/>
        <v>1.0847982246101735E-2</v>
      </c>
      <c r="O1931" s="47">
        <f t="shared" si="245"/>
        <v>1.0482976113998715E-2</v>
      </c>
      <c r="P1931" s="47">
        <f t="shared" si="246"/>
        <v>7.9016527477661622E-2</v>
      </c>
      <c r="Q1931" s="47">
        <f t="shared" si="247"/>
        <v>1</v>
      </c>
    </row>
    <row r="1932" spans="1:17" x14ac:dyDescent="0.35">
      <c r="A1932" s="82">
        <v>1929</v>
      </c>
      <c r="B1932" s="83" t="str">
        <f>_xlfn.XLOOKUP(A1932,'TAZs by City - CCAG Model'!$A:$A,'TAZs by City - CCAG Model'!$B:$B,"Unknown")</f>
        <v>San Bruno</v>
      </c>
      <c r="C1932" s="82">
        <f>_xlfn.XLOOKUP(A1932,'TAZs by City - CCAG Model'!$A:$A,'TAZs by City - CCAG Model'!$C:$C,999)</f>
        <v>2</v>
      </c>
      <c r="D1932" s="82" t="str">
        <f t="shared" si="240"/>
        <v>YES</v>
      </c>
      <c r="E1932" s="27">
        <v>7420.9</v>
      </c>
      <c r="F1932" s="27">
        <v>3475.44</v>
      </c>
      <c r="G1932" s="27">
        <v>620.84</v>
      </c>
      <c r="H1932" s="27">
        <v>301.68</v>
      </c>
      <c r="I1932" s="27">
        <v>1712.96</v>
      </c>
      <c r="J1932" s="27">
        <v>14192.12</v>
      </c>
      <c r="K1932" s="47">
        <f t="shared" si="241"/>
        <v>0.52288875798682644</v>
      </c>
      <c r="L1932" s="47">
        <f t="shared" si="242"/>
        <v>0.24488518980955629</v>
      </c>
      <c r="M1932" s="84">
        <f t="shared" si="243"/>
        <v>0.76777394779638275</v>
      </c>
      <c r="N1932" s="47">
        <f t="shared" si="244"/>
        <v>4.3745402378221152E-2</v>
      </c>
      <c r="O1932" s="47">
        <f t="shared" si="245"/>
        <v>2.1256866486472775E-2</v>
      </c>
      <c r="P1932" s="47">
        <f t="shared" si="246"/>
        <v>0.12069796478609256</v>
      </c>
      <c r="Q1932" s="47">
        <f t="shared" si="247"/>
        <v>1</v>
      </c>
    </row>
    <row r="1933" spans="1:17" x14ac:dyDescent="0.35">
      <c r="A1933" s="82">
        <v>1930</v>
      </c>
      <c r="B1933" s="83" t="str">
        <f>_xlfn.XLOOKUP(A1933,'TAZs by City - CCAG Model'!$A:$A,'TAZs by City - CCAG Model'!$B:$B,"Unknown")</f>
        <v>South San Francisco</v>
      </c>
      <c r="C1933" s="82">
        <f>_xlfn.XLOOKUP(A1933,'TAZs by City - CCAG Model'!$A:$A,'TAZs by City - CCAG Model'!$C:$C,999)</f>
        <v>2</v>
      </c>
      <c r="D1933" s="82" t="str">
        <f t="shared" si="240"/>
        <v>YES</v>
      </c>
      <c r="E1933" s="27">
        <v>18781.48</v>
      </c>
      <c r="F1933" s="27">
        <v>13281.66</v>
      </c>
      <c r="G1933" s="27">
        <v>1125.3399999999999</v>
      </c>
      <c r="H1933" s="27">
        <v>540.79999999999995</v>
      </c>
      <c r="I1933" s="27">
        <v>3758.96</v>
      </c>
      <c r="J1933" s="27">
        <v>38649.78</v>
      </c>
      <c r="K1933" s="47">
        <f t="shared" si="241"/>
        <v>0.48594015282881298</v>
      </c>
      <c r="L1933" s="47">
        <f t="shared" si="242"/>
        <v>0.34364128333977578</v>
      </c>
      <c r="M1933" s="84">
        <f t="shared" si="243"/>
        <v>0.82958143616858881</v>
      </c>
      <c r="N1933" s="47">
        <f t="shared" si="244"/>
        <v>2.9116336496611363E-2</v>
      </c>
      <c r="O1933" s="47">
        <f t="shared" si="245"/>
        <v>1.3992317679427929E-2</v>
      </c>
      <c r="P1933" s="47">
        <f t="shared" si="246"/>
        <v>9.725695721942014E-2</v>
      </c>
      <c r="Q1933" s="47">
        <f t="shared" si="247"/>
        <v>1</v>
      </c>
    </row>
    <row r="1934" spans="1:17" x14ac:dyDescent="0.35">
      <c r="A1934" s="82">
        <v>1931</v>
      </c>
      <c r="B1934" s="83" t="str">
        <f>_xlfn.XLOOKUP(A1934,'TAZs by City - CCAG Model'!$A:$A,'TAZs by City - CCAG Model'!$B:$B,"Unknown")</f>
        <v>South San Francisco</v>
      </c>
      <c r="C1934" s="82">
        <f>_xlfn.XLOOKUP(A1934,'TAZs by City - CCAG Model'!$A:$A,'TAZs by City - CCAG Model'!$C:$C,999)</f>
        <v>2</v>
      </c>
      <c r="D1934" s="82" t="str">
        <f t="shared" si="240"/>
        <v>YES</v>
      </c>
      <c r="E1934" s="27">
        <v>9270.08</v>
      </c>
      <c r="F1934" s="27">
        <v>7028.04</v>
      </c>
      <c r="G1934" s="27">
        <v>744.54</v>
      </c>
      <c r="H1934" s="27">
        <v>239.36</v>
      </c>
      <c r="I1934" s="27">
        <v>1828.76</v>
      </c>
      <c r="J1934" s="27">
        <v>19887.080000000002</v>
      </c>
      <c r="K1934" s="47">
        <f t="shared" si="241"/>
        <v>0.46613580274228289</v>
      </c>
      <c r="L1934" s="47">
        <f t="shared" si="242"/>
        <v>0.35339728104880153</v>
      </c>
      <c r="M1934" s="84">
        <f t="shared" si="243"/>
        <v>0.81953308379108436</v>
      </c>
      <c r="N1934" s="47">
        <f t="shared" si="244"/>
        <v>3.7438377076976607E-2</v>
      </c>
      <c r="O1934" s="47">
        <f t="shared" si="245"/>
        <v>1.2035955001940959E-2</v>
      </c>
      <c r="P1934" s="47">
        <f t="shared" si="246"/>
        <v>9.1957190296413541E-2</v>
      </c>
      <c r="Q1934" s="47">
        <f t="shared" si="247"/>
        <v>1</v>
      </c>
    </row>
    <row r="1935" spans="1:17" x14ac:dyDescent="0.35">
      <c r="A1935" s="82">
        <v>1932</v>
      </c>
      <c r="B1935" s="83" t="str">
        <f>_xlfn.XLOOKUP(A1935,'TAZs by City - CCAG Model'!$A:$A,'TAZs by City - CCAG Model'!$B:$B,"Unknown")</f>
        <v>San Bruno</v>
      </c>
      <c r="C1935" s="82">
        <f>_xlfn.XLOOKUP(A1935,'TAZs by City - CCAG Model'!$A:$A,'TAZs by City - CCAG Model'!$C:$C,999)</f>
        <v>2</v>
      </c>
      <c r="D1935" s="82" t="str">
        <f t="shared" si="240"/>
        <v>YES</v>
      </c>
      <c r="E1935" s="27">
        <v>5791.5</v>
      </c>
      <c r="F1935" s="27">
        <v>4214.22</v>
      </c>
      <c r="G1935" s="27">
        <v>371.06</v>
      </c>
      <c r="H1935" s="27">
        <v>148.16</v>
      </c>
      <c r="I1935" s="27">
        <v>1251.6400000000001</v>
      </c>
      <c r="J1935" s="27">
        <v>12183.8</v>
      </c>
      <c r="K1935" s="47">
        <f t="shared" si="241"/>
        <v>0.47534430965708568</v>
      </c>
      <c r="L1935" s="47">
        <f t="shared" si="242"/>
        <v>0.34588716164086741</v>
      </c>
      <c r="M1935" s="84">
        <f t="shared" si="243"/>
        <v>0.82123147129795315</v>
      </c>
      <c r="N1935" s="47">
        <f t="shared" si="244"/>
        <v>3.0455194602669121E-2</v>
      </c>
      <c r="O1935" s="47">
        <f t="shared" si="245"/>
        <v>1.2160409724388123E-2</v>
      </c>
      <c r="P1935" s="47">
        <f t="shared" si="246"/>
        <v>0.10272985439682203</v>
      </c>
      <c r="Q1935" s="47">
        <f t="shared" si="247"/>
        <v>1</v>
      </c>
    </row>
    <row r="1936" spans="1:17" x14ac:dyDescent="0.35">
      <c r="A1936" s="82">
        <v>1933</v>
      </c>
      <c r="B1936" s="83" t="str">
        <f>_xlfn.XLOOKUP(A1936,'TAZs by City - CCAG Model'!$A:$A,'TAZs by City - CCAG Model'!$B:$B,"Unknown")</f>
        <v>San Bruno</v>
      </c>
      <c r="C1936" s="82">
        <f>_xlfn.XLOOKUP(A1936,'TAZs by City - CCAG Model'!$A:$A,'TAZs by City - CCAG Model'!$C:$C,999)</f>
        <v>2</v>
      </c>
      <c r="D1936" s="82" t="str">
        <f t="shared" si="240"/>
        <v>YES</v>
      </c>
      <c r="E1936" s="27">
        <v>14896.58</v>
      </c>
      <c r="F1936" s="27">
        <v>8998.74</v>
      </c>
      <c r="G1936" s="27">
        <v>707.7</v>
      </c>
      <c r="H1936" s="27">
        <v>358.04</v>
      </c>
      <c r="I1936" s="27">
        <v>1870.12</v>
      </c>
      <c r="J1936" s="27">
        <v>27573.72</v>
      </c>
      <c r="K1936" s="47">
        <f t="shared" si="241"/>
        <v>0.54024556715597316</v>
      </c>
      <c r="L1936" s="47">
        <f t="shared" si="242"/>
        <v>0.32635204825464242</v>
      </c>
      <c r="M1936" s="84">
        <f t="shared" si="243"/>
        <v>0.86659761541061553</v>
      </c>
      <c r="N1936" s="47">
        <f t="shared" si="244"/>
        <v>2.5665742598387161E-2</v>
      </c>
      <c r="O1936" s="47">
        <f t="shared" si="245"/>
        <v>1.2984827582205085E-2</v>
      </c>
      <c r="P1936" s="47">
        <f t="shared" si="246"/>
        <v>6.7822549877201904E-2</v>
      </c>
      <c r="Q1936" s="47">
        <f t="shared" si="247"/>
        <v>1</v>
      </c>
    </row>
    <row r="1937" spans="1:17" x14ac:dyDescent="0.35">
      <c r="A1937" s="82">
        <v>1934</v>
      </c>
      <c r="B1937" s="83" t="str">
        <f>_xlfn.XLOOKUP(A1937,'TAZs by City - CCAG Model'!$A:$A,'TAZs by City - CCAG Model'!$B:$B,"Unknown")</f>
        <v>San Bruno</v>
      </c>
      <c r="C1937" s="82">
        <f>_xlfn.XLOOKUP(A1937,'TAZs by City - CCAG Model'!$A:$A,'TAZs by City - CCAG Model'!$C:$C,999)</f>
        <v>2</v>
      </c>
      <c r="D1937" s="82" t="str">
        <f t="shared" si="240"/>
        <v>YES</v>
      </c>
      <c r="E1937" s="27">
        <v>27644.22</v>
      </c>
      <c r="F1937" s="27">
        <v>12548.98</v>
      </c>
      <c r="G1937" s="27">
        <v>1568.56</v>
      </c>
      <c r="H1937" s="27">
        <v>431.72</v>
      </c>
      <c r="I1937" s="27">
        <v>2847.26</v>
      </c>
      <c r="J1937" s="27">
        <v>46633.94</v>
      </c>
      <c r="K1937" s="47">
        <f t="shared" si="241"/>
        <v>0.59279185931962852</v>
      </c>
      <c r="L1937" s="47">
        <f t="shared" si="242"/>
        <v>0.26909542706449419</v>
      </c>
      <c r="M1937" s="84">
        <f t="shared" si="243"/>
        <v>0.86188728638412271</v>
      </c>
      <c r="N1937" s="47">
        <f t="shared" si="244"/>
        <v>3.3635588157466423E-2</v>
      </c>
      <c r="O1937" s="47">
        <f t="shared" si="245"/>
        <v>9.257635104389636E-3</v>
      </c>
      <c r="P1937" s="47">
        <f t="shared" si="246"/>
        <v>6.1055531657844053E-2</v>
      </c>
      <c r="Q1937" s="47">
        <f t="shared" si="247"/>
        <v>1</v>
      </c>
    </row>
    <row r="1938" spans="1:17" x14ac:dyDescent="0.35">
      <c r="A1938" s="82">
        <v>1935</v>
      </c>
      <c r="B1938" s="83" t="str">
        <f>_xlfn.XLOOKUP(A1938,'TAZs by City - CCAG Model'!$A:$A,'TAZs by City - CCAG Model'!$B:$B,"Unknown")</f>
        <v>San Bruno</v>
      </c>
      <c r="C1938" s="82">
        <f>_xlfn.XLOOKUP(A1938,'TAZs by City - CCAG Model'!$A:$A,'TAZs by City - CCAG Model'!$C:$C,999)</f>
        <v>2</v>
      </c>
      <c r="D1938" s="82" t="str">
        <f t="shared" si="240"/>
        <v>YES</v>
      </c>
      <c r="E1938" s="27">
        <v>10980.66</v>
      </c>
      <c r="F1938" s="27">
        <v>6450.98</v>
      </c>
      <c r="G1938" s="27">
        <v>462.2</v>
      </c>
      <c r="H1938" s="27">
        <v>243.48</v>
      </c>
      <c r="I1938" s="27">
        <v>2851.8</v>
      </c>
      <c r="J1938" s="27">
        <v>21491.86</v>
      </c>
      <c r="K1938" s="47">
        <f t="shared" si="241"/>
        <v>0.5109218094664677</v>
      </c>
      <c r="L1938" s="47">
        <f t="shared" si="242"/>
        <v>0.30015922307329379</v>
      </c>
      <c r="M1938" s="84">
        <f t="shared" si="243"/>
        <v>0.81108103253976149</v>
      </c>
      <c r="N1938" s="47">
        <f t="shared" si="244"/>
        <v>2.1505816620804339E-2</v>
      </c>
      <c r="O1938" s="47">
        <f t="shared" si="245"/>
        <v>1.1328940352300823E-2</v>
      </c>
      <c r="P1938" s="47">
        <f t="shared" si="246"/>
        <v>0.13269209831070927</v>
      </c>
      <c r="Q1938" s="47">
        <f t="shared" si="247"/>
        <v>1</v>
      </c>
    </row>
    <row r="1939" spans="1:17" x14ac:dyDescent="0.35">
      <c r="A1939" s="82">
        <v>1936</v>
      </c>
      <c r="B1939" s="83" t="str">
        <f>_xlfn.XLOOKUP(A1939,'TAZs by City - CCAG Model'!$A:$A,'TAZs by City - CCAG Model'!$B:$B,"Unknown")</f>
        <v>San Bruno</v>
      </c>
      <c r="C1939" s="82">
        <f>_xlfn.XLOOKUP(A1939,'TAZs by City - CCAG Model'!$A:$A,'TAZs by City - CCAG Model'!$C:$C,999)</f>
        <v>2</v>
      </c>
      <c r="D1939" s="82" t="str">
        <f t="shared" si="240"/>
        <v>YES</v>
      </c>
      <c r="E1939" s="27">
        <v>8479.94</v>
      </c>
      <c r="F1939" s="27">
        <v>5370.08</v>
      </c>
      <c r="G1939" s="27">
        <v>583.74</v>
      </c>
      <c r="H1939" s="27">
        <v>232.72</v>
      </c>
      <c r="I1939" s="27">
        <v>2637.8</v>
      </c>
      <c r="J1939" s="27">
        <v>17928.82</v>
      </c>
      <c r="K1939" s="47">
        <f t="shared" si="241"/>
        <v>0.47297814356996171</v>
      </c>
      <c r="L1939" s="47">
        <f t="shared" si="242"/>
        <v>0.29952222176361859</v>
      </c>
      <c r="M1939" s="84">
        <f t="shared" si="243"/>
        <v>0.77250036533358024</v>
      </c>
      <c r="N1939" s="47">
        <f t="shared" si="244"/>
        <v>3.2558751775074994E-2</v>
      </c>
      <c r="O1939" s="47">
        <f t="shared" si="245"/>
        <v>1.2980218441592922E-2</v>
      </c>
      <c r="P1939" s="47">
        <f t="shared" si="246"/>
        <v>0.14712624701458324</v>
      </c>
      <c r="Q1939" s="47">
        <f t="shared" si="247"/>
        <v>1</v>
      </c>
    </row>
    <row r="1940" spans="1:17" x14ac:dyDescent="0.35">
      <c r="A1940" s="82">
        <v>1937</v>
      </c>
      <c r="B1940" s="83" t="str">
        <f>_xlfn.XLOOKUP(A1940,'TAZs by City - CCAG Model'!$A:$A,'TAZs by City - CCAG Model'!$B:$B,"Unknown")</f>
        <v>San Bruno</v>
      </c>
      <c r="C1940" s="82">
        <f>_xlfn.XLOOKUP(A1940,'TAZs by City - CCAG Model'!$A:$A,'TAZs by City - CCAG Model'!$C:$C,999)</f>
        <v>2</v>
      </c>
      <c r="D1940" s="82" t="str">
        <f t="shared" si="240"/>
        <v>YES</v>
      </c>
      <c r="E1940" s="27">
        <v>5998.32</v>
      </c>
      <c r="F1940" s="27">
        <v>4473.18</v>
      </c>
      <c r="G1940" s="27">
        <v>618.08000000000004</v>
      </c>
      <c r="H1940" s="27">
        <v>207.46</v>
      </c>
      <c r="I1940" s="27">
        <v>891.78</v>
      </c>
      <c r="J1940" s="27">
        <v>12847.24</v>
      </c>
      <c r="K1940" s="47">
        <f t="shared" si="241"/>
        <v>0.46689561337688096</v>
      </c>
      <c r="L1940" s="47">
        <f t="shared" si="242"/>
        <v>0.34818217765060827</v>
      </c>
      <c r="M1940" s="84">
        <f t="shared" si="243"/>
        <v>0.81507779102748923</v>
      </c>
      <c r="N1940" s="47">
        <f t="shared" si="244"/>
        <v>4.8109944237050138E-2</v>
      </c>
      <c r="O1940" s="47">
        <f t="shared" si="245"/>
        <v>1.6148215492199105E-2</v>
      </c>
      <c r="P1940" s="47">
        <f t="shared" si="246"/>
        <v>6.9414130972878227E-2</v>
      </c>
      <c r="Q1940" s="47">
        <f t="shared" si="247"/>
        <v>1</v>
      </c>
    </row>
    <row r="1941" spans="1:17" x14ac:dyDescent="0.35">
      <c r="A1941" s="82">
        <v>1938</v>
      </c>
      <c r="B1941" s="83" t="str">
        <f>_xlfn.XLOOKUP(A1941,'TAZs by City - CCAG Model'!$A:$A,'TAZs by City - CCAG Model'!$B:$B,"Unknown")</f>
        <v>San Bruno</v>
      </c>
      <c r="C1941" s="82">
        <f>_xlfn.XLOOKUP(A1941,'TAZs by City - CCAG Model'!$A:$A,'TAZs by City - CCAG Model'!$C:$C,999)</f>
        <v>2</v>
      </c>
      <c r="D1941" s="82" t="str">
        <f t="shared" si="240"/>
        <v>YES</v>
      </c>
      <c r="E1941" s="27">
        <v>7926.3</v>
      </c>
      <c r="F1941" s="27">
        <v>5921.76</v>
      </c>
      <c r="G1941" s="27">
        <v>740.88</v>
      </c>
      <c r="H1941" s="27">
        <v>236.18</v>
      </c>
      <c r="I1941" s="27">
        <v>937.88</v>
      </c>
      <c r="J1941" s="27">
        <v>16543.36</v>
      </c>
      <c r="K1941" s="47">
        <f t="shared" si="241"/>
        <v>0.47912274169213509</v>
      </c>
      <c r="L1941" s="47">
        <f t="shared" si="242"/>
        <v>0.35795388603040734</v>
      </c>
      <c r="M1941" s="84">
        <f t="shared" si="243"/>
        <v>0.83707662772254254</v>
      </c>
      <c r="N1941" s="47">
        <f t="shared" si="244"/>
        <v>4.4784130914155285E-2</v>
      </c>
      <c r="O1941" s="47">
        <f t="shared" si="245"/>
        <v>1.4276422685597121E-2</v>
      </c>
      <c r="P1941" s="47">
        <f t="shared" si="246"/>
        <v>5.669223180780688E-2</v>
      </c>
      <c r="Q1941" s="47">
        <f t="shared" si="247"/>
        <v>1</v>
      </c>
    </row>
    <row r="1942" spans="1:17" x14ac:dyDescent="0.35">
      <c r="A1942" s="82">
        <v>1939</v>
      </c>
      <c r="B1942" s="83" t="str">
        <f>_xlfn.XLOOKUP(A1942,'TAZs by City - CCAG Model'!$A:$A,'TAZs by City - CCAG Model'!$B:$B,"Unknown")</f>
        <v>Unincorporated</v>
      </c>
      <c r="C1942" s="82">
        <f>_xlfn.XLOOKUP(A1942,'TAZs by City - CCAG Model'!$A:$A,'TAZs by City - CCAG Model'!$C:$C,999)</f>
        <v>2</v>
      </c>
      <c r="D1942" s="82" t="str">
        <f t="shared" si="240"/>
        <v>YES</v>
      </c>
      <c r="E1942" s="27">
        <v>128.18</v>
      </c>
      <c r="F1942" s="27">
        <v>11.6</v>
      </c>
      <c r="G1942" s="27">
        <v>0</v>
      </c>
      <c r="H1942" s="27">
        <v>0.18</v>
      </c>
      <c r="I1942" s="27">
        <v>0</v>
      </c>
      <c r="J1942" s="27">
        <v>140.13999999999999</v>
      </c>
      <c r="K1942" s="47">
        <f t="shared" si="241"/>
        <v>0.91465677179962912</v>
      </c>
      <c r="L1942" s="47">
        <f t="shared" si="242"/>
        <v>8.2774368488654215E-2</v>
      </c>
      <c r="M1942" s="84">
        <f t="shared" si="243"/>
        <v>0.99743114028828328</v>
      </c>
      <c r="N1942" s="47">
        <f t="shared" si="244"/>
        <v>0</v>
      </c>
      <c r="O1942" s="47">
        <f t="shared" si="245"/>
        <v>1.2844298558584274E-3</v>
      </c>
      <c r="P1942" s="47">
        <f t="shared" si="246"/>
        <v>0</v>
      </c>
      <c r="Q1942" s="47">
        <f t="shared" si="247"/>
        <v>1</v>
      </c>
    </row>
    <row r="1943" spans="1:17" x14ac:dyDescent="0.35">
      <c r="A1943" s="82">
        <v>1940</v>
      </c>
      <c r="B1943" s="83" t="str">
        <f>_xlfn.XLOOKUP(A1943,'TAZs by City - CCAG Model'!$A:$A,'TAZs by City - CCAG Model'!$B:$B,"Unknown")</f>
        <v>Millbrae</v>
      </c>
      <c r="C1943" s="82">
        <f>_xlfn.XLOOKUP(A1943,'TAZs by City - CCAG Model'!$A:$A,'TAZs by City - CCAG Model'!$C:$C,999)</f>
        <v>2</v>
      </c>
      <c r="D1943" s="82" t="str">
        <f t="shared" si="240"/>
        <v>YES</v>
      </c>
      <c r="E1943" s="27">
        <v>8002.7</v>
      </c>
      <c r="F1943" s="27">
        <v>3919.06</v>
      </c>
      <c r="G1943" s="27">
        <v>555.91999999999996</v>
      </c>
      <c r="H1943" s="27">
        <v>161.62</v>
      </c>
      <c r="I1943" s="27">
        <v>714.06</v>
      </c>
      <c r="J1943" s="27">
        <v>13953.36</v>
      </c>
      <c r="K1943" s="47">
        <f t="shared" si="241"/>
        <v>0.5735321098287437</v>
      </c>
      <c r="L1943" s="47">
        <f t="shared" si="242"/>
        <v>0.28086855065733268</v>
      </c>
      <c r="M1943" s="84">
        <f t="shared" si="243"/>
        <v>0.85440066048607644</v>
      </c>
      <c r="N1943" s="47">
        <f t="shared" si="244"/>
        <v>3.9841299873292164E-2</v>
      </c>
      <c r="O1943" s="47">
        <f t="shared" si="245"/>
        <v>1.1582873229100375E-2</v>
      </c>
      <c r="P1943" s="47">
        <f t="shared" si="246"/>
        <v>5.1174770807891429E-2</v>
      </c>
      <c r="Q1943" s="47">
        <f t="shared" si="247"/>
        <v>1</v>
      </c>
    </row>
    <row r="1944" spans="1:17" x14ac:dyDescent="0.35">
      <c r="A1944" s="82">
        <v>1941</v>
      </c>
      <c r="B1944" s="83" t="str">
        <f>_xlfn.XLOOKUP(A1944,'TAZs by City - CCAG Model'!$A:$A,'TAZs by City - CCAG Model'!$B:$B,"Unknown")</f>
        <v>Millbrae</v>
      </c>
      <c r="C1944" s="82">
        <f>_xlfn.XLOOKUP(A1944,'TAZs by City - CCAG Model'!$A:$A,'TAZs by City - CCAG Model'!$C:$C,999)</f>
        <v>2</v>
      </c>
      <c r="D1944" s="82" t="str">
        <f t="shared" si="240"/>
        <v>YES</v>
      </c>
      <c r="E1944" s="27">
        <v>7646.26</v>
      </c>
      <c r="F1944" s="27">
        <v>5255.1</v>
      </c>
      <c r="G1944" s="27">
        <v>421.56</v>
      </c>
      <c r="H1944" s="27">
        <v>187.64</v>
      </c>
      <c r="I1944" s="27">
        <v>1175.3800000000001</v>
      </c>
      <c r="J1944" s="27">
        <v>15146.86</v>
      </c>
      <c r="K1944" s="47">
        <f t="shared" si="241"/>
        <v>0.5048082572889695</v>
      </c>
      <c r="L1944" s="47">
        <f t="shared" si="242"/>
        <v>0.34694319482717872</v>
      </c>
      <c r="M1944" s="84">
        <f t="shared" si="243"/>
        <v>0.85175145211614822</v>
      </c>
      <c r="N1944" s="47">
        <f t="shared" si="244"/>
        <v>2.7831510953425329E-2</v>
      </c>
      <c r="O1944" s="47">
        <f t="shared" si="245"/>
        <v>1.2388046103284771E-2</v>
      </c>
      <c r="P1944" s="47">
        <f t="shared" si="246"/>
        <v>7.7598921492639403E-2</v>
      </c>
      <c r="Q1944" s="47">
        <f t="shared" si="247"/>
        <v>1</v>
      </c>
    </row>
    <row r="1945" spans="1:17" x14ac:dyDescent="0.35">
      <c r="A1945" s="82">
        <v>1942</v>
      </c>
      <c r="B1945" s="83" t="str">
        <f>_xlfn.XLOOKUP(A1945,'TAZs by City - CCAG Model'!$A:$A,'TAZs by City - CCAG Model'!$B:$B,"Unknown")</f>
        <v>Millbrae</v>
      </c>
      <c r="C1945" s="82">
        <f>_xlfn.XLOOKUP(A1945,'TAZs by City - CCAG Model'!$A:$A,'TAZs by City - CCAG Model'!$C:$C,999)</f>
        <v>2</v>
      </c>
      <c r="D1945" s="82" t="str">
        <f t="shared" si="240"/>
        <v>YES</v>
      </c>
      <c r="E1945" s="27">
        <v>7456.44</v>
      </c>
      <c r="F1945" s="27">
        <v>5027.28</v>
      </c>
      <c r="G1945" s="27">
        <v>183.46</v>
      </c>
      <c r="H1945" s="27">
        <v>167.4</v>
      </c>
      <c r="I1945" s="27">
        <v>720.44</v>
      </c>
      <c r="J1945" s="27">
        <v>13769.16</v>
      </c>
      <c r="K1945" s="47">
        <f t="shared" si="241"/>
        <v>0.54153194530385296</v>
      </c>
      <c r="L1945" s="47">
        <f t="shared" si="242"/>
        <v>0.36511159722161701</v>
      </c>
      <c r="M1945" s="84">
        <f t="shared" si="243"/>
        <v>0.90664354252546997</v>
      </c>
      <c r="N1945" s="47">
        <f t="shared" si="244"/>
        <v>1.3323979095311552E-2</v>
      </c>
      <c r="O1945" s="47">
        <f t="shared" si="245"/>
        <v>1.2157604385452709E-2</v>
      </c>
      <c r="P1945" s="47">
        <f t="shared" si="246"/>
        <v>5.2322727021837212E-2</v>
      </c>
      <c r="Q1945" s="47">
        <f t="shared" si="247"/>
        <v>1</v>
      </c>
    </row>
    <row r="1946" spans="1:17" x14ac:dyDescent="0.35">
      <c r="A1946" s="82">
        <v>1943</v>
      </c>
      <c r="B1946" s="83" t="str">
        <f>_xlfn.XLOOKUP(A1946,'TAZs by City - CCAG Model'!$A:$A,'TAZs by City - CCAG Model'!$B:$B,"Unknown")</f>
        <v>Millbrae</v>
      </c>
      <c r="C1946" s="82">
        <f>_xlfn.XLOOKUP(A1946,'TAZs by City - CCAG Model'!$A:$A,'TAZs by City - CCAG Model'!$C:$C,999)</f>
        <v>2</v>
      </c>
      <c r="D1946" s="82" t="str">
        <f t="shared" si="240"/>
        <v>YES</v>
      </c>
      <c r="E1946" s="27">
        <v>7896.54</v>
      </c>
      <c r="F1946" s="27">
        <v>5169.5200000000004</v>
      </c>
      <c r="G1946" s="27">
        <v>202.64</v>
      </c>
      <c r="H1946" s="27">
        <v>172.46</v>
      </c>
      <c r="I1946" s="27">
        <v>726</v>
      </c>
      <c r="J1946" s="27">
        <v>14400.64</v>
      </c>
      <c r="K1946" s="47">
        <f t="shared" si="241"/>
        <v>0.54834646237944984</v>
      </c>
      <c r="L1946" s="47">
        <f t="shared" si="242"/>
        <v>0.35897848984489583</v>
      </c>
      <c r="M1946" s="84">
        <f t="shared" si="243"/>
        <v>0.90732495222434573</v>
      </c>
      <c r="N1946" s="47">
        <f t="shared" si="244"/>
        <v>1.4071596817919203E-2</v>
      </c>
      <c r="O1946" s="47">
        <f t="shared" si="245"/>
        <v>1.1975856628594286E-2</v>
      </c>
      <c r="P1946" s="47">
        <f t="shared" si="246"/>
        <v>5.0414426025509981E-2</v>
      </c>
      <c r="Q1946" s="47">
        <f t="shared" si="247"/>
        <v>1</v>
      </c>
    </row>
    <row r="1947" spans="1:17" x14ac:dyDescent="0.35">
      <c r="A1947" s="82">
        <v>1944</v>
      </c>
      <c r="B1947" s="83" t="str">
        <f>_xlfn.XLOOKUP(A1947,'TAZs by City - CCAG Model'!$A:$A,'TAZs by City - CCAG Model'!$B:$B,"Unknown")</f>
        <v>Millbrae</v>
      </c>
      <c r="C1947" s="82">
        <f>_xlfn.XLOOKUP(A1947,'TAZs by City - CCAG Model'!$A:$A,'TAZs by City - CCAG Model'!$C:$C,999)</f>
        <v>2</v>
      </c>
      <c r="D1947" s="82" t="str">
        <f t="shared" si="240"/>
        <v>YES</v>
      </c>
      <c r="E1947" s="27">
        <v>19738.46</v>
      </c>
      <c r="F1947" s="27">
        <v>11454.2</v>
      </c>
      <c r="G1947" s="27">
        <v>1302.96</v>
      </c>
      <c r="H1947" s="27">
        <v>460.66</v>
      </c>
      <c r="I1947" s="27">
        <v>3494.92</v>
      </c>
      <c r="J1947" s="27">
        <v>37792.68</v>
      </c>
      <c r="K1947" s="47">
        <f t="shared" si="241"/>
        <v>0.52228262192572739</v>
      </c>
      <c r="L1947" s="47">
        <f t="shared" si="242"/>
        <v>0.30307985567575524</v>
      </c>
      <c r="M1947" s="84">
        <f t="shared" si="243"/>
        <v>0.82536247760148262</v>
      </c>
      <c r="N1947" s="47">
        <f t="shared" si="244"/>
        <v>3.4476517674851319E-2</v>
      </c>
      <c r="O1947" s="47">
        <f t="shared" si="245"/>
        <v>1.2189132922036754E-2</v>
      </c>
      <c r="P1947" s="47">
        <f t="shared" si="246"/>
        <v>9.247610913012784E-2</v>
      </c>
      <c r="Q1947" s="47">
        <f t="shared" si="247"/>
        <v>1</v>
      </c>
    </row>
    <row r="1948" spans="1:17" x14ac:dyDescent="0.35">
      <c r="A1948" s="82">
        <v>1945</v>
      </c>
      <c r="B1948" s="83" t="str">
        <f>_xlfn.XLOOKUP(A1948,'TAZs by City - CCAG Model'!$A:$A,'TAZs by City - CCAG Model'!$B:$B,"Unknown")</f>
        <v>Millbrae</v>
      </c>
      <c r="C1948" s="82">
        <f>_xlfn.XLOOKUP(A1948,'TAZs by City - CCAG Model'!$A:$A,'TAZs by City - CCAG Model'!$C:$C,999)</f>
        <v>2</v>
      </c>
      <c r="D1948" s="82" t="str">
        <f t="shared" si="240"/>
        <v>YES</v>
      </c>
      <c r="E1948" s="27">
        <v>5233.3999999999996</v>
      </c>
      <c r="F1948" s="27">
        <v>3839.86</v>
      </c>
      <c r="G1948" s="27">
        <v>145.02000000000001</v>
      </c>
      <c r="H1948" s="27">
        <v>113.82</v>
      </c>
      <c r="I1948" s="27">
        <v>719.22</v>
      </c>
      <c r="J1948" s="27">
        <v>10223.08</v>
      </c>
      <c r="K1948" s="47">
        <f t="shared" si="241"/>
        <v>0.51192008670576772</v>
      </c>
      <c r="L1948" s="47">
        <f t="shared" si="242"/>
        <v>0.37560695993770959</v>
      </c>
      <c r="M1948" s="84">
        <f t="shared" si="243"/>
        <v>0.88752704664347737</v>
      </c>
      <c r="N1948" s="47">
        <f t="shared" si="244"/>
        <v>1.4185548777863424E-2</v>
      </c>
      <c r="O1948" s="47">
        <f t="shared" si="245"/>
        <v>1.1133630960532442E-2</v>
      </c>
      <c r="P1948" s="47">
        <f t="shared" si="246"/>
        <v>7.0352574762204745E-2</v>
      </c>
      <c r="Q1948" s="47">
        <f t="shared" si="247"/>
        <v>1</v>
      </c>
    </row>
    <row r="1949" spans="1:17" x14ac:dyDescent="0.35">
      <c r="A1949" s="82">
        <v>1946</v>
      </c>
      <c r="B1949" s="83" t="str">
        <f>_xlfn.XLOOKUP(A1949,'TAZs by City - CCAG Model'!$A:$A,'TAZs by City - CCAG Model'!$B:$B,"Unknown")</f>
        <v>Burlingame</v>
      </c>
      <c r="C1949" s="82">
        <f>_xlfn.XLOOKUP(A1949,'TAZs by City - CCAG Model'!$A:$A,'TAZs by City - CCAG Model'!$C:$C,999)</f>
        <v>2</v>
      </c>
      <c r="D1949" s="82" t="str">
        <f t="shared" si="240"/>
        <v>YES</v>
      </c>
      <c r="E1949" s="27">
        <v>11525.6</v>
      </c>
      <c r="F1949" s="27">
        <v>7999.88</v>
      </c>
      <c r="G1949" s="27">
        <v>373.56</v>
      </c>
      <c r="H1949" s="27">
        <v>231.66</v>
      </c>
      <c r="I1949" s="27">
        <v>1389.44</v>
      </c>
      <c r="J1949" s="27">
        <v>21923.599999999999</v>
      </c>
      <c r="K1949" s="47">
        <f t="shared" si="241"/>
        <v>0.52571657939389527</v>
      </c>
      <c r="L1949" s="47">
        <f t="shared" si="242"/>
        <v>0.36489810067689615</v>
      </c>
      <c r="M1949" s="84">
        <f t="shared" si="243"/>
        <v>0.89061468007079136</v>
      </c>
      <c r="N1949" s="47">
        <f t="shared" si="244"/>
        <v>1.7039172398693646E-2</v>
      </c>
      <c r="O1949" s="47">
        <f t="shared" si="245"/>
        <v>1.0566695250779983E-2</v>
      </c>
      <c r="P1949" s="47">
        <f t="shared" si="246"/>
        <v>6.3376452772354916E-2</v>
      </c>
      <c r="Q1949" s="47">
        <f t="shared" si="247"/>
        <v>1</v>
      </c>
    </row>
    <row r="1950" spans="1:17" x14ac:dyDescent="0.35">
      <c r="A1950" s="82">
        <v>1947</v>
      </c>
      <c r="B1950" s="83" t="str">
        <f>_xlfn.XLOOKUP(A1950,'TAZs by City - CCAG Model'!$A:$A,'TAZs by City - CCAG Model'!$B:$B,"Unknown")</f>
        <v>Burlingame</v>
      </c>
      <c r="C1950" s="82">
        <f>_xlfn.XLOOKUP(A1950,'TAZs by City - CCAG Model'!$A:$A,'TAZs by City - CCAG Model'!$C:$C,999)</f>
        <v>2</v>
      </c>
      <c r="D1950" s="82" t="str">
        <f t="shared" si="240"/>
        <v>YES</v>
      </c>
      <c r="E1950" s="27">
        <v>8209.02</v>
      </c>
      <c r="F1950" s="27">
        <v>5916.04</v>
      </c>
      <c r="G1950" s="27">
        <v>474.42</v>
      </c>
      <c r="H1950" s="27">
        <v>192.94</v>
      </c>
      <c r="I1950" s="27">
        <v>2188.54</v>
      </c>
      <c r="J1950" s="27">
        <v>17495.96</v>
      </c>
      <c r="K1950" s="47">
        <f t="shared" si="241"/>
        <v>0.46919517420021539</v>
      </c>
      <c r="L1950" s="47">
        <f t="shared" si="242"/>
        <v>0.33813749002626892</v>
      </c>
      <c r="M1950" s="84">
        <f t="shared" si="243"/>
        <v>0.80733266422648442</v>
      </c>
      <c r="N1950" s="47">
        <f t="shared" si="244"/>
        <v>2.7115974202044361E-2</v>
      </c>
      <c r="O1950" s="47">
        <f t="shared" si="245"/>
        <v>1.1027688677843343E-2</v>
      </c>
      <c r="P1950" s="47">
        <f t="shared" si="246"/>
        <v>0.12508830610037974</v>
      </c>
      <c r="Q1950" s="47">
        <f t="shared" si="247"/>
        <v>1</v>
      </c>
    </row>
    <row r="1951" spans="1:17" x14ac:dyDescent="0.35">
      <c r="A1951" s="82">
        <v>1948</v>
      </c>
      <c r="B1951" s="83" t="str">
        <f>_xlfn.XLOOKUP(A1951,'TAZs by City - CCAG Model'!$A:$A,'TAZs by City - CCAG Model'!$B:$B,"Unknown")</f>
        <v>Burlingame</v>
      </c>
      <c r="C1951" s="82">
        <f>_xlfn.XLOOKUP(A1951,'TAZs by City - CCAG Model'!$A:$A,'TAZs by City - CCAG Model'!$C:$C,999)</f>
        <v>2</v>
      </c>
      <c r="D1951" s="82" t="str">
        <f t="shared" si="240"/>
        <v>YES</v>
      </c>
      <c r="E1951" s="27">
        <v>26718.22</v>
      </c>
      <c r="F1951" s="27">
        <v>9162.7199999999993</v>
      </c>
      <c r="G1951" s="27">
        <v>678.88</v>
      </c>
      <c r="H1951" s="27">
        <v>322.8</v>
      </c>
      <c r="I1951" s="27">
        <v>1182.3800000000001</v>
      </c>
      <c r="J1951" s="27">
        <v>38760.699999999997</v>
      </c>
      <c r="K1951" s="47">
        <f t="shared" si="241"/>
        <v>0.68931211252634761</v>
      </c>
      <c r="L1951" s="47">
        <f t="shared" si="242"/>
        <v>0.23639201562407283</v>
      </c>
      <c r="M1951" s="84">
        <f t="shared" si="243"/>
        <v>0.92570412815042058</v>
      </c>
      <c r="N1951" s="47">
        <f t="shared" si="244"/>
        <v>1.7514647568284372E-2</v>
      </c>
      <c r="O1951" s="47">
        <f t="shared" si="245"/>
        <v>8.3280229717213571E-3</v>
      </c>
      <c r="P1951" s="47">
        <f t="shared" si="246"/>
        <v>3.0504609049888165E-2</v>
      </c>
      <c r="Q1951" s="47">
        <f t="shared" si="247"/>
        <v>1</v>
      </c>
    </row>
    <row r="1952" spans="1:17" x14ac:dyDescent="0.35">
      <c r="A1952" s="82">
        <v>1949</v>
      </c>
      <c r="B1952" s="83" t="str">
        <f>_xlfn.XLOOKUP(A1952,'TAZs by City - CCAG Model'!$A:$A,'TAZs by City - CCAG Model'!$B:$B,"Unknown")</f>
        <v>Burlingame</v>
      </c>
      <c r="C1952" s="82">
        <f>_xlfn.XLOOKUP(A1952,'TAZs by City - CCAG Model'!$A:$A,'TAZs by City - CCAG Model'!$C:$C,999)</f>
        <v>2</v>
      </c>
      <c r="D1952" s="82" t="str">
        <f t="shared" si="240"/>
        <v>YES</v>
      </c>
      <c r="E1952" s="27">
        <v>18563.98</v>
      </c>
      <c r="F1952" s="27">
        <v>5795.32</v>
      </c>
      <c r="G1952" s="27">
        <v>185.6</v>
      </c>
      <c r="H1952" s="27">
        <v>228.86</v>
      </c>
      <c r="I1952" s="27">
        <v>637.4</v>
      </c>
      <c r="J1952" s="27">
        <v>25613.72</v>
      </c>
      <c r="K1952" s="47">
        <f t="shared" si="241"/>
        <v>0.72476703891508143</v>
      </c>
      <c r="L1952" s="47">
        <f t="shared" si="242"/>
        <v>0.2262584271242131</v>
      </c>
      <c r="M1952" s="84">
        <f t="shared" si="243"/>
        <v>0.9510254660392945</v>
      </c>
      <c r="N1952" s="47">
        <f t="shared" si="244"/>
        <v>7.2461165344198334E-3</v>
      </c>
      <c r="O1952" s="47">
        <f t="shared" si="245"/>
        <v>8.9350551188972158E-3</v>
      </c>
      <c r="P1952" s="47">
        <f t="shared" si="246"/>
        <v>2.4885100641375012E-2</v>
      </c>
      <c r="Q1952" s="47">
        <f t="shared" si="247"/>
        <v>1</v>
      </c>
    </row>
    <row r="1953" spans="1:17" x14ac:dyDescent="0.35">
      <c r="A1953" s="82">
        <v>1950</v>
      </c>
      <c r="B1953" s="83" t="str">
        <f>_xlfn.XLOOKUP(A1953,'TAZs by City - CCAG Model'!$A:$A,'TAZs by City - CCAG Model'!$B:$B,"Unknown")</f>
        <v>Burlingame</v>
      </c>
      <c r="C1953" s="82">
        <f>_xlfn.XLOOKUP(A1953,'TAZs by City - CCAG Model'!$A:$A,'TAZs by City - CCAG Model'!$C:$C,999)</f>
        <v>2</v>
      </c>
      <c r="D1953" s="82" t="str">
        <f t="shared" si="240"/>
        <v>YES</v>
      </c>
      <c r="E1953" s="27">
        <v>6403.66</v>
      </c>
      <c r="F1953" s="27">
        <v>4226.74</v>
      </c>
      <c r="G1953" s="27">
        <v>378.16</v>
      </c>
      <c r="H1953" s="27">
        <v>155.86000000000001</v>
      </c>
      <c r="I1953" s="27">
        <v>1036.3399999999999</v>
      </c>
      <c r="J1953" s="27">
        <v>12617.94</v>
      </c>
      <c r="K1953" s="47">
        <f t="shared" si="241"/>
        <v>0.50750439453666762</v>
      </c>
      <c r="L1953" s="47">
        <f t="shared" si="242"/>
        <v>0.33497860982062044</v>
      </c>
      <c r="M1953" s="84">
        <f t="shared" si="243"/>
        <v>0.84248300435728807</v>
      </c>
      <c r="N1953" s="47">
        <f t="shared" si="244"/>
        <v>2.9970026803107324E-2</v>
      </c>
      <c r="O1953" s="47">
        <f t="shared" si="245"/>
        <v>1.2352254012937136E-2</v>
      </c>
      <c r="P1953" s="47">
        <f t="shared" si="246"/>
        <v>8.2132265647165845E-2</v>
      </c>
      <c r="Q1953" s="47">
        <f t="shared" si="247"/>
        <v>1</v>
      </c>
    </row>
    <row r="1954" spans="1:17" x14ac:dyDescent="0.35">
      <c r="A1954" s="82">
        <v>1951</v>
      </c>
      <c r="B1954" s="83" t="str">
        <f>_xlfn.XLOOKUP(A1954,'TAZs by City - CCAG Model'!$A:$A,'TAZs by City - CCAG Model'!$B:$B,"Unknown")</f>
        <v>Burlingame</v>
      </c>
      <c r="C1954" s="82">
        <f>_xlfn.XLOOKUP(A1954,'TAZs by City - CCAG Model'!$A:$A,'TAZs by City - CCAG Model'!$C:$C,999)</f>
        <v>2</v>
      </c>
      <c r="D1954" s="82" t="str">
        <f t="shared" si="240"/>
        <v>YES</v>
      </c>
      <c r="E1954" s="27">
        <v>29249.38</v>
      </c>
      <c r="F1954" s="27">
        <v>12982.94</v>
      </c>
      <c r="G1954" s="27">
        <v>1745.98</v>
      </c>
      <c r="H1954" s="27">
        <v>489.62</v>
      </c>
      <c r="I1954" s="27">
        <v>3901.98</v>
      </c>
      <c r="J1954" s="27">
        <v>50144.62</v>
      </c>
      <c r="K1954" s="47">
        <f t="shared" si="241"/>
        <v>0.58330046174445038</v>
      </c>
      <c r="L1954" s="47">
        <f t="shared" si="242"/>
        <v>0.25890992892158721</v>
      </c>
      <c r="M1954" s="84">
        <f t="shared" si="243"/>
        <v>0.84221039066603753</v>
      </c>
      <c r="N1954" s="47">
        <f t="shared" si="244"/>
        <v>3.481888984301805E-2</v>
      </c>
      <c r="O1954" s="47">
        <f t="shared" si="245"/>
        <v>9.7641581489699182E-3</v>
      </c>
      <c r="P1954" s="47">
        <f t="shared" si="246"/>
        <v>7.7814529255581147E-2</v>
      </c>
      <c r="Q1954" s="47">
        <f t="shared" si="247"/>
        <v>1</v>
      </c>
    </row>
    <row r="1955" spans="1:17" x14ac:dyDescent="0.35">
      <c r="A1955" s="82">
        <v>1952</v>
      </c>
      <c r="B1955" s="83" t="str">
        <f>_xlfn.XLOOKUP(A1955,'TAZs by City - CCAG Model'!$A:$A,'TAZs by City - CCAG Model'!$B:$B,"Unknown")</f>
        <v>Hillsborough</v>
      </c>
      <c r="C1955" s="82">
        <f>_xlfn.XLOOKUP(A1955,'TAZs by City - CCAG Model'!$A:$A,'TAZs by City - CCAG Model'!$C:$C,999)</f>
        <v>2</v>
      </c>
      <c r="D1955" s="82" t="str">
        <f t="shared" si="240"/>
        <v>YES</v>
      </c>
      <c r="E1955" s="27">
        <v>7816.56</v>
      </c>
      <c r="F1955" s="27">
        <v>4721.5</v>
      </c>
      <c r="G1955" s="27">
        <v>124.08</v>
      </c>
      <c r="H1955" s="27">
        <v>103.04</v>
      </c>
      <c r="I1955" s="27">
        <v>375.16</v>
      </c>
      <c r="J1955" s="27">
        <v>13292.7</v>
      </c>
      <c r="K1955" s="47">
        <f t="shared" si="241"/>
        <v>0.58803403371775487</v>
      </c>
      <c r="L1955" s="47">
        <f t="shared" si="242"/>
        <v>0.3551949566303309</v>
      </c>
      <c r="M1955" s="84">
        <f t="shared" si="243"/>
        <v>0.94322899034808583</v>
      </c>
      <c r="N1955" s="47">
        <f t="shared" si="244"/>
        <v>9.3344467263986996E-3</v>
      </c>
      <c r="O1955" s="47">
        <f t="shared" si="245"/>
        <v>7.7516230713098166E-3</v>
      </c>
      <c r="P1955" s="47">
        <f t="shared" si="246"/>
        <v>2.8223009621822504E-2</v>
      </c>
      <c r="Q1955" s="47">
        <f t="shared" si="247"/>
        <v>1</v>
      </c>
    </row>
    <row r="1956" spans="1:17" x14ac:dyDescent="0.35">
      <c r="A1956" s="82">
        <v>1953</v>
      </c>
      <c r="B1956" s="83" t="str">
        <f>_xlfn.XLOOKUP(A1956,'TAZs by City - CCAG Model'!$A:$A,'TAZs by City - CCAG Model'!$B:$B,"Unknown")</f>
        <v>San Mateo</v>
      </c>
      <c r="C1956" s="82">
        <f>_xlfn.XLOOKUP(A1956,'TAZs by City - CCAG Model'!$A:$A,'TAZs by City - CCAG Model'!$C:$C,999)</f>
        <v>2</v>
      </c>
      <c r="D1956" s="82" t="str">
        <f t="shared" si="240"/>
        <v>YES</v>
      </c>
      <c r="E1956" s="27">
        <v>7714.42</v>
      </c>
      <c r="F1956" s="27">
        <v>4812.5200000000004</v>
      </c>
      <c r="G1956" s="27">
        <v>353.4</v>
      </c>
      <c r="H1956" s="27">
        <v>148.68</v>
      </c>
      <c r="I1956" s="27">
        <v>975.6</v>
      </c>
      <c r="J1956" s="27">
        <v>14402.36</v>
      </c>
      <c r="K1956" s="47">
        <f t="shared" si="241"/>
        <v>0.53563582635068141</v>
      </c>
      <c r="L1956" s="47">
        <f t="shared" si="242"/>
        <v>0.33414801463093552</v>
      </c>
      <c r="M1956" s="84">
        <f t="shared" si="243"/>
        <v>0.86978384098161687</v>
      </c>
      <c r="N1956" s="47">
        <f t="shared" si="244"/>
        <v>2.4537645219255732E-2</v>
      </c>
      <c r="O1956" s="47">
        <f t="shared" si="245"/>
        <v>1.0323308124501818E-2</v>
      </c>
      <c r="P1956" s="47">
        <f t="shared" si="246"/>
        <v>6.7738898347215318E-2</v>
      </c>
      <c r="Q1956" s="47">
        <f t="shared" si="247"/>
        <v>1</v>
      </c>
    </row>
    <row r="1957" spans="1:17" x14ac:dyDescent="0.35">
      <c r="A1957" s="82">
        <v>1954</v>
      </c>
      <c r="B1957" s="83" t="str">
        <f>_xlfn.XLOOKUP(A1957,'TAZs by City - CCAG Model'!$A:$A,'TAZs by City - CCAG Model'!$B:$B,"Unknown")</f>
        <v>Hillsborough</v>
      </c>
      <c r="C1957" s="82">
        <f>_xlfn.XLOOKUP(A1957,'TAZs by City - CCAG Model'!$A:$A,'TAZs by City - CCAG Model'!$C:$C,999)</f>
        <v>2</v>
      </c>
      <c r="D1957" s="82" t="str">
        <f t="shared" si="240"/>
        <v>YES</v>
      </c>
      <c r="E1957" s="27">
        <v>4080.4</v>
      </c>
      <c r="F1957" s="27">
        <v>3323.1</v>
      </c>
      <c r="G1957" s="27">
        <v>125.86</v>
      </c>
      <c r="H1957" s="27">
        <v>50.9</v>
      </c>
      <c r="I1957" s="27">
        <v>215.14</v>
      </c>
      <c r="J1957" s="27">
        <v>7942.4</v>
      </c>
      <c r="K1957" s="47">
        <f t="shared" si="241"/>
        <v>0.51374899274778407</v>
      </c>
      <c r="L1957" s="47">
        <f t="shared" si="242"/>
        <v>0.41839997985495569</v>
      </c>
      <c r="M1957" s="84">
        <f t="shared" si="243"/>
        <v>0.93214897260273977</v>
      </c>
      <c r="N1957" s="47">
        <f t="shared" si="244"/>
        <v>1.5846595487510072E-2</v>
      </c>
      <c r="O1957" s="47">
        <f t="shared" si="245"/>
        <v>6.4086422240128933E-3</v>
      </c>
      <c r="P1957" s="47">
        <f t="shared" si="246"/>
        <v>2.7087530217566477E-2</v>
      </c>
      <c r="Q1957" s="47">
        <f t="shared" si="247"/>
        <v>1</v>
      </c>
    </row>
    <row r="1958" spans="1:17" x14ac:dyDescent="0.35">
      <c r="A1958" s="82">
        <v>1955</v>
      </c>
      <c r="B1958" s="83" t="str">
        <f>_xlfn.XLOOKUP(A1958,'TAZs by City - CCAG Model'!$A:$A,'TAZs by City - CCAG Model'!$B:$B,"Unknown")</f>
        <v>San Mateo</v>
      </c>
      <c r="C1958" s="82">
        <f>_xlfn.XLOOKUP(A1958,'TAZs by City - CCAG Model'!$A:$A,'TAZs by City - CCAG Model'!$C:$C,999)</f>
        <v>2</v>
      </c>
      <c r="D1958" s="82" t="str">
        <f t="shared" si="240"/>
        <v>YES</v>
      </c>
      <c r="E1958" s="27">
        <v>9473.2800000000007</v>
      </c>
      <c r="F1958" s="27">
        <v>6697.38</v>
      </c>
      <c r="G1958" s="27">
        <v>363.38</v>
      </c>
      <c r="H1958" s="27">
        <v>246.52</v>
      </c>
      <c r="I1958" s="27">
        <v>1685.74</v>
      </c>
      <c r="J1958" s="27">
        <v>18870.04</v>
      </c>
      <c r="K1958" s="47">
        <f t="shared" si="241"/>
        <v>0.50202755267079457</v>
      </c>
      <c r="L1958" s="47">
        <f t="shared" si="242"/>
        <v>0.35492134621866195</v>
      </c>
      <c r="M1958" s="84">
        <f t="shared" si="243"/>
        <v>0.85694889888945647</v>
      </c>
      <c r="N1958" s="47">
        <f t="shared" si="244"/>
        <v>1.9256980907300672E-2</v>
      </c>
      <c r="O1958" s="47">
        <f t="shared" si="245"/>
        <v>1.3064095253640162E-2</v>
      </c>
      <c r="P1958" s="47">
        <f t="shared" si="246"/>
        <v>8.9334203849064445E-2</v>
      </c>
      <c r="Q1958" s="47">
        <f t="shared" si="247"/>
        <v>1</v>
      </c>
    </row>
    <row r="1959" spans="1:17" x14ac:dyDescent="0.35">
      <c r="A1959" s="82">
        <v>1956</v>
      </c>
      <c r="B1959" s="83" t="str">
        <f>_xlfn.XLOOKUP(A1959,'TAZs by City - CCAG Model'!$A:$A,'TAZs by City - CCAG Model'!$B:$B,"Unknown")</f>
        <v>San Mateo</v>
      </c>
      <c r="C1959" s="82">
        <f>_xlfn.XLOOKUP(A1959,'TAZs by City - CCAG Model'!$A:$A,'TAZs by City - CCAG Model'!$C:$C,999)</f>
        <v>2</v>
      </c>
      <c r="D1959" s="82" t="str">
        <f t="shared" si="240"/>
        <v>YES</v>
      </c>
      <c r="E1959" s="27">
        <v>6695.12</v>
      </c>
      <c r="F1959" s="27">
        <v>3516.34</v>
      </c>
      <c r="G1959" s="27">
        <v>292.66000000000003</v>
      </c>
      <c r="H1959" s="27">
        <v>150.9</v>
      </c>
      <c r="I1959" s="27">
        <v>810.24</v>
      </c>
      <c r="J1959" s="27">
        <v>11799.88</v>
      </c>
      <c r="K1959" s="47">
        <f t="shared" si="241"/>
        <v>0.56738882090326348</v>
      </c>
      <c r="L1959" s="47">
        <f t="shared" si="242"/>
        <v>0.29799794574182115</v>
      </c>
      <c r="M1959" s="84">
        <f t="shared" si="243"/>
        <v>0.86538676664508452</v>
      </c>
      <c r="N1959" s="47">
        <f t="shared" si="244"/>
        <v>2.4801947138445479E-2</v>
      </c>
      <c r="O1959" s="47">
        <f t="shared" si="245"/>
        <v>1.2788265643379426E-2</v>
      </c>
      <c r="P1959" s="47">
        <f t="shared" si="246"/>
        <v>6.8665105068865112E-2</v>
      </c>
      <c r="Q1959" s="47">
        <f t="shared" si="247"/>
        <v>1</v>
      </c>
    </row>
    <row r="1960" spans="1:17" x14ac:dyDescent="0.35">
      <c r="A1960" s="82">
        <v>1957</v>
      </c>
      <c r="B1960" s="83" t="str">
        <f>_xlfn.XLOOKUP(A1960,'TAZs by City - CCAG Model'!$A:$A,'TAZs by City - CCAG Model'!$B:$B,"Unknown")</f>
        <v>San Mateo</v>
      </c>
      <c r="C1960" s="82">
        <f>_xlfn.XLOOKUP(A1960,'TAZs by City - CCAG Model'!$A:$A,'TAZs by City - CCAG Model'!$C:$C,999)</f>
        <v>2</v>
      </c>
      <c r="D1960" s="82" t="str">
        <f t="shared" si="240"/>
        <v>YES</v>
      </c>
      <c r="E1960" s="27">
        <v>35047.1</v>
      </c>
      <c r="F1960" s="27">
        <v>14324.84</v>
      </c>
      <c r="G1960" s="27">
        <v>1801.5</v>
      </c>
      <c r="H1960" s="27">
        <v>590.4</v>
      </c>
      <c r="I1960" s="27">
        <v>5889.1</v>
      </c>
      <c r="J1960" s="27">
        <v>59476.52</v>
      </c>
      <c r="K1960" s="47">
        <f t="shared" si="241"/>
        <v>0.58925942540014109</v>
      </c>
      <c r="L1960" s="47">
        <f t="shared" si="242"/>
        <v>0.24084865758790194</v>
      </c>
      <c r="M1960" s="84">
        <f t="shared" si="243"/>
        <v>0.83010808298804306</v>
      </c>
      <c r="N1960" s="47">
        <f t="shared" si="244"/>
        <v>3.0289263729619691E-2</v>
      </c>
      <c r="O1960" s="47">
        <f t="shared" si="245"/>
        <v>9.9266063313724479E-3</v>
      </c>
      <c r="P1960" s="47">
        <f t="shared" si="246"/>
        <v>9.9015544285375151E-2</v>
      </c>
      <c r="Q1960" s="47">
        <f t="shared" si="247"/>
        <v>1</v>
      </c>
    </row>
    <row r="1961" spans="1:17" x14ac:dyDescent="0.35">
      <c r="A1961" s="82">
        <v>1958</v>
      </c>
      <c r="B1961" s="83" t="str">
        <f>_xlfn.XLOOKUP(A1961,'TAZs by City - CCAG Model'!$A:$A,'TAZs by City - CCAG Model'!$B:$B,"Unknown")</f>
        <v>San Mateo</v>
      </c>
      <c r="C1961" s="82">
        <f>_xlfn.XLOOKUP(A1961,'TAZs by City - CCAG Model'!$A:$A,'TAZs by City - CCAG Model'!$C:$C,999)</f>
        <v>2</v>
      </c>
      <c r="D1961" s="82" t="str">
        <f t="shared" si="240"/>
        <v>YES</v>
      </c>
      <c r="E1961" s="27">
        <v>9234.36</v>
      </c>
      <c r="F1961" s="27">
        <v>4944.9399999999996</v>
      </c>
      <c r="G1961" s="27">
        <v>535.4</v>
      </c>
      <c r="H1961" s="27">
        <v>217.98</v>
      </c>
      <c r="I1961" s="27">
        <v>1881.96</v>
      </c>
      <c r="J1961" s="27">
        <v>17393.18</v>
      </c>
      <c r="K1961" s="47">
        <f t="shared" si="241"/>
        <v>0.53091844044619785</v>
      </c>
      <c r="L1961" s="47">
        <f t="shared" si="242"/>
        <v>0.28430338787961718</v>
      </c>
      <c r="M1961" s="84">
        <f t="shared" si="243"/>
        <v>0.81522182832581502</v>
      </c>
      <c r="N1961" s="47">
        <f t="shared" si="244"/>
        <v>3.0782180141871698E-2</v>
      </c>
      <c r="O1961" s="47">
        <f t="shared" si="245"/>
        <v>1.253249837005079E-2</v>
      </c>
      <c r="P1961" s="47">
        <f t="shared" si="246"/>
        <v>0.10820103051885854</v>
      </c>
      <c r="Q1961" s="47">
        <f t="shared" si="247"/>
        <v>1</v>
      </c>
    </row>
    <row r="1962" spans="1:17" x14ac:dyDescent="0.35">
      <c r="A1962" s="82">
        <v>1959</v>
      </c>
      <c r="B1962" s="83" t="str">
        <f>_xlfn.XLOOKUP(A1962,'TAZs by City - CCAG Model'!$A:$A,'TAZs by City - CCAG Model'!$B:$B,"Unknown")</f>
        <v>San Mateo</v>
      </c>
      <c r="C1962" s="82">
        <f>_xlfn.XLOOKUP(A1962,'TAZs by City - CCAG Model'!$A:$A,'TAZs by City - CCAG Model'!$C:$C,999)</f>
        <v>2</v>
      </c>
      <c r="D1962" s="82" t="str">
        <f t="shared" si="240"/>
        <v>YES</v>
      </c>
      <c r="E1962" s="27">
        <v>10493.48</v>
      </c>
      <c r="F1962" s="27">
        <v>5878.78</v>
      </c>
      <c r="G1962" s="27">
        <v>430.04</v>
      </c>
      <c r="H1962" s="27">
        <v>250.84</v>
      </c>
      <c r="I1962" s="27">
        <v>1398.92</v>
      </c>
      <c r="J1962" s="27">
        <v>18922.5</v>
      </c>
      <c r="K1962" s="47">
        <f t="shared" si="241"/>
        <v>0.5545504029594398</v>
      </c>
      <c r="L1962" s="47">
        <f t="shared" si="242"/>
        <v>0.31067670762319988</v>
      </c>
      <c r="M1962" s="84">
        <f t="shared" si="243"/>
        <v>0.86522711058263968</v>
      </c>
      <c r="N1962" s="47">
        <f t="shared" si="244"/>
        <v>2.2726383934469546E-2</v>
      </c>
      <c r="O1962" s="47">
        <f t="shared" si="245"/>
        <v>1.3256176509446426E-2</v>
      </c>
      <c r="P1962" s="47">
        <f t="shared" si="246"/>
        <v>7.3928920597172681E-2</v>
      </c>
      <c r="Q1962" s="47">
        <f t="shared" si="247"/>
        <v>1</v>
      </c>
    </row>
    <row r="1963" spans="1:17" x14ac:dyDescent="0.35">
      <c r="A1963" s="82">
        <v>1960</v>
      </c>
      <c r="B1963" s="83" t="str">
        <f>_xlfn.XLOOKUP(A1963,'TAZs by City - CCAG Model'!$A:$A,'TAZs by City - CCAG Model'!$B:$B,"Unknown")</f>
        <v>San Mateo</v>
      </c>
      <c r="C1963" s="82">
        <f>_xlfn.XLOOKUP(A1963,'TAZs by City - CCAG Model'!$A:$A,'TAZs by City - CCAG Model'!$C:$C,999)</f>
        <v>2</v>
      </c>
      <c r="D1963" s="82" t="str">
        <f t="shared" si="240"/>
        <v>YES</v>
      </c>
      <c r="E1963" s="27">
        <v>6934.1</v>
      </c>
      <c r="F1963" s="27">
        <v>5462.14</v>
      </c>
      <c r="G1963" s="27">
        <v>692.02</v>
      </c>
      <c r="H1963" s="27">
        <v>247.64</v>
      </c>
      <c r="I1963" s="27">
        <v>1382.72</v>
      </c>
      <c r="J1963" s="27">
        <v>15456.36</v>
      </c>
      <c r="K1963" s="47">
        <f t="shared" si="241"/>
        <v>0.44862438504279145</v>
      </c>
      <c r="L1963" s="47">
        <f t="shared" si="242"/>
        <v>0.35339109596308577</v>
      </c>
      <c r="M1963" s="84">
        <f t="shared" si="243"/>
        <v>0.80201548100587727</v>
      </c>
      <c r="N1963" s="47">
        <f t="shared" si="244"/>
        <v>4.4772507886721061E-2</v>
      </c>
      <c r="O1963" s="47">
        <f t="shared" si="245"/>
        <v>1.6021883548261038E-2</v>
      </c>
      <c r="P1963" s="47">
        <f t="shared" si="246"/>
        <v>8.9459614035904952E-2</v>
      </c>
      <c r="Q1963" s="47">
        <f t="shared" si="247"/>
        <v>1</v>
      </c>
    </row>
    <row r="1964" spans="1:17" x14ac:dyDescent="0.35">
      <c r="A1964" s="82">
        <v>1961</v>
      </c>
      <c r="B1964" s="83" t="str">
        <f>_xlfn.XLOOKUP(A1964,'TAZs by City - CCAG Model'!$A:$A,'TAZs by City - CCAG Model'!$B:$B,"Unknown")</f>
        <v>San Mateo</v>
      </c>
      <c r="C1964" s="82">
        <f>_xlfn.XLOOKUP(A1964,'TAZs by City - CCAG Model'!$A:$A,'TAZs by City - CCAG Model'!$C:$C,999)</f>
        <v>2</v>
      </c>
      <c r="D1964" s="82" t="str">
        <f t="shared" si="240"/>
        <v>YES</v>
      </c>
      <c r="E1964" s="27">
        <v>11501.98</v>
      </c>
      <c r="F1964" s="27">
        <v>7364.92</v>
      </c>
      <c r="G1964" s="27">
        <v>571.08000000000004</v>
      </c>
      <c r="H1964" s="27">
        <v>269.64</v>
      </c>
      <c r="I1964" s="27">
        <v>1191.3800000000001</v>
      </c>
      <c r="J1964" s="27">
        <v>21508</v>
      </c>
      <c r="K1964" s="47">
        <f t="shared" si="241"/>
        <v>0.53477682722707831</v>
      </c>
      <c r="L1964" s="47">
        <f t="shared" si="242"/>
        <v>0.34242700390552355</v>
      </c>
      <c r="M1964" s="84">
        <f t="shared" si="243"/>
        <v>0.87720383113260192</v>
      </c>
      <c r="N1964" s="47">
        <f t="shared" si="244"/>
        <v>2.6551980658359682E-2</v>
      </c>
      <c r="O1964" s="47">
        <f t="shared" si="245"/>
        <v>1.2536730518876696E-2</v>
      </c>
      <c r="P1964" s="47">
        <f t="shared" si="246"/>
        <v>5.5392412125720665E-2</v>
      </c>
      <c r="Q1964" s="47">
        <f t="shared" si="247"/>
        <v>1</v>
      </c>
    </row>
    <row r="1965" spans="1:17" x14ac:dyDescent="0.35">
      <c r="A1965" s="82">
        <v>1962</v>
      </c>
      <c r="B1965" s="83" t="str">
        <f>_xlfn.XLOOKUP(A1965,'TAZs by City - CCAG Model'!$A:$A,'TAZs by City - CCAG Model'!$B:$B,"Unknown")</f>
        <v>San Mateo</v>
      </c>
      <c r="C1965" s="82">
        <f>_xlfn.XLOOKUP(A1965,'TAZs by City - CCAG Model'!$A:$A,'TAZs by City - CCAG Model'!$C:$C,999)</f>
        <v>2</v>
      </c>
      <c r="D1965" s="82" t="str">
        <f t="shared" si="240"/>
        <v>YES</v>
      </c>
      <c r="E1965" s="27">
        <v>10163.36</v>
      </c>
      <c r="F1965" s="27">
        <v>6659.82</v>
      </c>
      <c r="G1965" s="27">
        <v>511.32</v>
      </c>
      <c r="H1965" s="27">
        <v>250.7</v>
      </c>
      <c r="I1965" s="27">
        <v>1072.74</v>
      </c>
      <c r="J1965" s="27">
        <v>19208.68</v>
      </c>
      <c r="K1965" s="47">
        <f t="shared" si="241"/>
        <v>0.5291024682591412</v>
      </c>
      <c r="L1965" s="47">
        <f t="shared" si="242"/>
        <v>0.34670888369216413</v>
      </c>
      <c r="M1965" s="84">
        <f t="shared" si="243"/>
        <v>0.87581135195130533</v>
      </c>
      <c r="N1965" s="47">
        <f t="shared" si="244"/>
        <v>2.661921589614695E-2</v>
      </c>
      <c r="O1965" s="47">
        <f t="shared" si="245"/>
        <v>1.3051391350160448E-2</v>
      </c>
      <c r="P1965" s="47">
        <f t="shared" si="246"/>
        <v>5.5846627670407337E-2</v>
      </c>
      <c r="Q1965" s="47">
        <f t="shared" si="247"/>
        <v>1</v>
      </c>
    </row>
    <row r="1966" spans="1:17" x14ac:dyDescent="0.35">
      <c r="A1966" s="82">
        <v>1963</v>
      </c>
      <c r="B1966" s="83" t="str">
        <f>_xlfn.XLOOKUP(A1966,'TAZs by City - CCAG Model'!$A:$A,'TAZs by City - CCAG Model'!$B:$B,"Unknown")</f>
        <v>San Mateo</v>
      </c>
      <c r="C1966" s="82">
        <f>_xlfn.XLOOKUP(A1966,'TAZs by City - CCAG Model'!$A:$A,'TAZs by City - CCAG Model'!$C:$C,999)</f>
        <v>2</v>
      </c>
      <c r="D1966" s="82" t="str">
        <f t="shared" si="240"/>
        <v>YES</v>
      </c>
      <c r="E1966" s="27">
        <v>5151.32</v>
      </c>
      <c r="F1966" s="27">
        <v>4005.64</v>
      </c>
      <c r="G1966" s="27">
        <v>338.3</v>
      </c>
      <c r="H1966" s="27">
        <v>135.12</v>
      </c>
      <c r="I1966" s="27">
        <v>1548.1</v>
      </c>
      <c r="J1966" s="27">
        <v>11551.3</v>
      </c>
      <c r="K1966" s="47">
        <f t="shared" si="241"/>
        <v>0.44595153792213865</v>
      </c>
      <c r="L1966" s="47">
        <f t="shared" si="242"/>
        <v>0.34676962766095593</v>
      </c>
      <c r="M1966" s="84">
        <f t="shared" si="243"/>
        <v>0.79272116558309447</v>
      </c>
      <c r="N1966" s="47">
        <f t="shared" si="244"/>
        <v>2.9286746946231162E-2</v>
      </c>
      <c r="O1966" s="47">
        <f t="shared" si="245"/>
        <v>1.1697384709946067E-2</v>
      </c>
      <c r="P1966" s="47">
        <f t="shared" si="246"/>
        <v>0.13401954758338888</v>
      </c>
      <c r="Q1966" s="47">
        <f t="shared" si="247"/>
        <v>1</v>
      </c>
    </row>
    <row r="1967" spans="1:17" x14ac:dyDescent="0.35">
      <c r="A1967" s="82">
        <v>1964</v>
      </c>
      <c r="B1967" s="83" t="str">
        <f>_xlfn.XLOOKUP(A1967,'TAZs by City - CCAG Model'!$A:$A,'TAZs by City - CCAG Model'!$B:$B,"Unknown")</f>
        <v>San Mateo</v>
      </c>
      <c r="C1967" s="82">
        <f>_xlfn.XLOOKUP(A1967,'TAZs by City - CCAG Model'!$A:$A,'TAZs by City - CCAG Model'!$C:$C,999)</f>
        <v>2</v>
      </c>
      <c r="D1967" s="82" t="str">
        <f t="shared" si="240"/>
        <v>YES</v>
      </c>
      <c r="E1967" s="27">
        <v>9468.98</v>
      </c>
      <c r="F1967" s="27">
        <v>6009.74</v>
      </c>
      <c r="G1967" s="27">
        <v>352.3</v>
      </c>
      <c r="H1967" s="27">
        <v>207.72</v>
      </c>
      <c r="I1967" s="27">
        <v>1991.14</v>
      </c>
      <c r="J1967" s="27">
        <v>18425.72</v>
      </c>
      <c r="K1967" s="47">
        <f t="shared" si="241"/>
        <v>0.51390013524573253</v>
      </c>
      <c r="L1967" s="47">
        <f t="shared" si="242"/>
        <v>0.32616038884776277</v>
      </c>
      <c r="M1967" s="84">
        <f t="shared" si="243"/>
        <v>0.8400605240934953</v>
      </c>
      <c r="N1967" s="47">
        <f t="shared" si="244"/>
        <v>1.9120012677930631E-2</v>
      </c>
      <c r="O1967" s="47">
        <f t="shared" si="245"/>
        <v>1.1273372221004118E-2</v>
      </c>
      <c r="P1967" s="47">
        <f t="shared" si="246"/>
        <v>0.10806307704665001</v>
      </c>
      <c r="Q1967" s="47">
        <f t="shared" si="247"/>
        <v>1</v>
      </c>
    </row>
    <row r="1968" spans="1:17" x14ac:dyDescent="0.35">
      <c r="A1968" s="82">
        <v>1965</v>
      </c>
      <c r="B1968" s="83" t="str">
        <f>_xlfn.XLOOKUP(A1968,'TAZs by City - CCAG Model'!$A:$A,'TAZs by City - CCAG Model'!$B:$B,"Unknown")</f>
        <v>San Mateo</v>
      </c>
      <c r="C1968" s="82">
        <f>_xlfn.XLOOKUP(A1968,'TAZs by City - CCAG Model'!$A:$A,'TAZs by City - CCAG Model'!$C:$C,999)</f>
        <v>2</v>
      </c>
      <c r="D1968" s="82" t="str">
        <f t="shared" si="240"/>
        <v>YES</v>
      </c>
      <c r="E1968" s="27">
        <v>43393.919999999998</v>
      </c>
      <c r="F1968" s="27">
        <v>17734.66</v>
      </c>
      <c r="G1968" s="27">
        <v>853.52</v>
      </c>
      <c r="H1968" s="27">
        <v>647.14</v>
      </c>
      <c r="I1968" s="27">
        <v>6403.76</v>
      </c>
      <c r="J1968" s="27">
        <v>69907.72</v>
      </c>
      <c r="K1968" s="47">
        <f t="shared" si="241"/>
        <v>0.62073144425250881</v>
      </c>
      <c r="L1968" s="47">
        <f t="shared" si="242"/>
        <v>0.25368671728959263</v>
      </c>
      <c r="M1968" s="84">
        <f t="shared" si="243"/>
        <v>0.8744181615421015</v>
      </c>
      <c r="N1968" s="47">
        <f t="shared" si="244"/>
        <v>1.2209238121340532E-2</v>
      </c>
      <c r="O1968" s="47">
        <f t="shared" si="245"/>
        <v>9.2570605935939545E-3</v>
      </c>
      <c r="P1968" s="47">
        <f t="shared" si="246"/>
        <v>9.1603044699498135E-2</v>
      </c>
      <c r="Q1968" s="47">
        <f t="shared" si="247"/>
        <v>1</v>
      </c>
    </row>
    <row r="1969" spans="1:17" x14ac:dyDescent="0.35">
      <c r="A1969" s="82">
        <v>1966</v>
      </c>
      <c r="B1969" s="83" t="str">
        <f>_xlfn.XLOOKUP(A1969,'TAZs by City - CCAG Model'!$A:$A,'TAZs by City - CCAG Model'!$B:$B,"Unknown")</f>
        <v>Foster City</v>
      </c>
      <c r="C1969" s="82">
        <f>_xlfn.XLOOKUP(A1969,'TAZs by City - CCAG Model'!$A:$A,'TAZs by City - CCAG Model'!$C:$C,999)</f>
        <v>2</v>
      </c>
      <c r="D1969" s="82" t="str">
        <f t="shared" si="240"/>
        <v>YES</v>
      </c>
      <c r="E1969" s="27">
        <v>5477.7</v>
      </c>
      <c r="F1969" s="27">
        <v>3872.5</v>
      </c>
      <c r="G1969" s="27">
        <v>231</v>
      </c>
      <c r="H1969" s="27">
        <v>131.26</v>
      </c>
      <c r="I1969" s="27">
        <v>1008.2</v>
      </c>
      <c r="J1969" s="27">
        <v>10990.22</v>
      </c>
      <c r="K1969" s="47">
        <f t="shared" si="241"/>
        <v>0.49841586428661122</v>
      </c>
      <c r="L1969" s="47">
        <f t="shared" si="242"/>
        <v>0.3523587334921412</v>
      </c>
      <c r="M1969" s="84">
        <f t="shared" si="243"/>
        <v>0.85077459777875253</v>
      </c>
      <c r="N1969" s="47">
        <f t="shared" si="244"/>
        <v>2.101868752399861E-2</v>
      </c>
      <c r="O1969" s="47">
        <f t="shared" si="245"/>
        <v>1.1943345993073841E-2</v>
      </c>
      <c r="P1969" s="47">
        <f t="shared" si="246"/>
        <v>9.1736107193486585E-2</v>
      </c>
      <c r="Q1969" s="47">
        <f t="shared" si="247"/>
        <v>1</v>
      </c>
    </row>
    <row r="1970" spans="1:17" x14ac:dyDescent="0.35">
      <c r="A1970" s="82">
        <v>1967</v>
      </c>
      <c r="B1970" s="83" t="str">
        <f>_xlfn.XLOOKUP(A1970,'TAZs by City - CCAG Model'!$A:$A,'TAZs by City - CCAG Model'!$B:$B,"Unknown")</f>
        <v>Foster City</v>
      </c>
      <c r="C1970" s="82">
        <f>_xlfn.XLOOKUP(A1970,'TAZs by City - CCAG Model'!$A:$A,'TAZs by City - CCAG Model'!$C:$C,999)</f>
        <v>2</v>
      </c>
      <c r="D1970" s="82" t="str">
        <f t="shared" si="240"/>
        <v>YES</v>
      </c>
      <c r="E1970" s="27">
        <v>10393.040000000001</v>
      </c>
      <c r="F1970" s="27">
        <v>6358.72</v>
      </c>
      <c r="G1970" s="27">
        <v>345.34</v>
      </c>
      <c r="H1970" s="27">
        <v>213.88</v>
      </c>
      <c r="I1970" s="27">
        <v>1038.8800000000001</v>
      </c>
      <c r="J1970" s="27">
        <v>18730.88</v>
      </c>
      <c r="K1970" s="47">
        <f t="shared" si="241"/>
        <v>0.55486127720640999</v>
      </c>
      <c r="L1970" s="47">
        <f t="shared" si="242"/>
        <v>0.33947791027437046</v>
      </c>
      <c r="M1970" s="84">
        <f t="shared" si="243"/>
        <v>0.89433918748078045</v>
      </c>
      <c r="N1970" s="47">
        <f t="shared" si="244"/>
        <v>1.8436934089588953E-2</v>
      </c>
      <c r="O1970" s="47">
        <f t="shared" si="245"/>
        <v>1.1418577237161307E-2</v>
      </c>
      <c r="P1970" s="47">
        <f t="shared" si="246"/>
        <v>5.5463491304199274E-2</v>
      </c>
      <c r="Q1970" s="47">
        <f t="shared" si="247"/>
        <v>1</v>
      </c>
    </row>
    <row r="1971" spans="1:17" x14ac:dyDescent="0.35">
      <c r="A1971" s="82">
        <v>1968</v>
      </c>
      <c r="B1971" s="83" t="str">
        <f>_xlfn.XLOOKUP(A1971,'TAZs by City - CCAG Model'!$A:$A,'TAZs by City - CCAG Model'!$B:$B,"Unknown")</f>
        <v>Foster City</v>
      </c>
      <c r="C1971" s="82">
        <f>_xlfn.XLOOKUP(A1971,'TAZs by City - CCAG Model'!$A:$A,'TAZs by City - CCAG Model'!$C:$C,999)</f>
        <v>2</v>
      </c>
      <c r="D1971" s="82" t="str">
        <f t="shared" si="240"/>
        <v>YES</v>
      </c>
      <c r="E1971" s="27">
        <v>8302.2000000000007</v>
      </c>
      <c r="F1971" s="27">
        <v>5822.22</v>
      </c>
      <c r="G1971" s="27">
        <v>320.38</v>
      </c>
      <c r="H1971" s="27">
        <v>199.48</v>
      </c>
      <c r="I1971" s="27">
        <v>1125.54</v>
      </c>
      <c r="J1971" s="27">
        <v>16129.22</v>
      </c>
      <c r="K1971" s="47">
        <f t="shared" si="241"/>
        <v>0.51473040853804464</v>
      </c>
      <c r="L1971" s="47">
        <f t="shared" si="242"/>
        <v>0.3609734382691786</v>
      </c>
      <c r="M1971" s="84">
        <f t="shared" si="243"/>
        <v>0.87570384680722335</v>
      </c>
      <c r="N1971" s="47">
        <f t="shared" si="244"/>
        <v>1.9863328790852876E-2</v>
      </c>
      <c r="O1971" s="47">
        <f t="shared" si="245"/>
        <v>1.2367616040949284E-2</v>
      </c>
      <c r="P1971" s="47">
        <f t="shared" si="246"/>
        <v>6.978266772974763E-2</v>
      </c>
      <c r="Q1971" s="47">
        <f t="shared" si="247"/>
        <v>1</v>
      </c>
    </row>
    <row r="1972" spans="1:17" x14ac:dyDescent="0.35">
      <c r="A1972" s="82">
        <v>1969</v>
      </c>
      <c r="B1972" s="83" t="str">
        <f>_xlfn.XLOOKUP(A1972,'TAZs by City - CCAG Model'!$A:$A,'TAZs by City - CCAG Model'!$B:$B,"Unknown")</f>
        <v>Foster City</v>
      </c>
      <c r="C1972" s="82">
        <f>_xlfn.XLOOKUP(A1972,'TAZs by City - CCAG Model'!$A:$A,'TAZs by City - CCAG Model'!$C:$C,999)</f>
        <v>2</v>
      </c>
      <c r="D1972" s="82" t="str">
        <f t="shared" si="240"/>
        <v>YES</v>
      </c>
      <c r="E1972" s="27">
        <v>8859.82</v>
      </c>
      <c r="F1972" s="27">
        <v>5743.76</v>
      </c>
      <c r="G1972" s="27">
        <v>317.77999999999997</v>
      </c>
      <c r="H1972" s="27">
        <v>186.94</v>
      </c>
      <c r="I1972" s="27">
        <v>1270.98</v>
      </c>
      <c r="J1972" s="27">
        <v>16733.72</v>
      </c>
      <c r="K1972" s="47">
        <f t="shared" si="241"/>
        <v>0.52945908022842492</v>
      </c>
      <c r="L1972" s="47">
        <f t="shared" si="242"/>
        <v>0.34324465809156601</v>
      </c>
      <c r="M1972" s="84">
        <f t="shared" si="243"/>
        <v>0.87270373831999093</v>
      </c>
      <c r="N1972" s="47">
        <f t="shared" si="244"/>
        <v>1.899039783144453E-2</v>
      </c>
      <c r="O1972" s="47">
        <f t="shared" si="245"/>
        <v>1.1171455002235008E-2</v>
      </c>
      <c r="P1972" s="47">
        <f t="shared" si="246"/>
        <v>7.5953224985239376E-2</v>
      </c>
      <c r="Q1972" s="47">
        <f t="shared" si="247"/>
        <v>1</v>
      </c>
    </row>
    <row r="1973" spans="1:17" x14ac:dyDescent="0.35">
      <c r="A1973" s="82">
        <v>1970</v>
      </c>
      <c r="B1973" s="83" t="str">
        <f>_xlfn.XLOOKUP(A1973,'TAZs by City - CCAG Model'!$A:$A,'TAZs by City - CCAG Model'!$B:$B,"Unknown")</f>
        <v>Foster City</v>
      </c>
      <c r="C1973" s="82">
        <f>_xlfn.XLOOKUP(A1973,'TAZs by City - CCAG Model'!$A:$A,'TAZs by City - CCAG Model'!$C:$C,999)</f>
        <v>2</v>
      </c>
      <c r="D1973" s="82" t="str">
        <f t="shared" si="240"/>
        <v>YES</v>
      </c>
      <c r="E1973" s="27">
        <v>10173.719999999999</v>
      </c>
      <c r="F1973" s="27">
        <v>5864.22</v>
      </c>
      <c r="G1973" s="27">
        <v>387.86</v>
      </c>
      <c r="H1973" s="27">
        <v>224.12</v>
      </c>
      <c r="I1973" s="27">
        <v>1453.26</v>
      </c>
      <c r="J1973" s="27">
        <v>18529.259999999998</v>
      </c>
      <c r="K1973" s="47">
        <f t="shared" si="241"/>
        <v>0.54906240184443411</v>
      </c>
      <c r="L1973" s="47">
        <f t="shared" si="242"/>
        <v>0.31648430644289088</v>
      </c>
      <c r="M1973" s="84">
        <f t="shared" si="243"/>
        <v>0.86554670828732505</v>
      </c>
      <c r="N1973" s="47">
        <f t="shared" si="244"/>
        <v>2.0932298429618888E-2</v>
      </c>
      <c r="O1973" s="47">
        <f t="shared" si="245"/>
        <v>1.2095464146976188E-2</v>
      </c>
      <c r="P1973" s="47">
        <f t="shared" si="246"/>
        <v>7.8430547145433765E-2</v>
      </c>
      <c r="Q1973" s="47">
        <f t="shared" si="247"/>
        <v>1</v>
      </c>
    </row>
    <row r="1974" spans="1:17" x14ac:dyDescent="0.35">
      <c r="A1974" s="82">
        <v>1971</v>
      </c>
      <c r="B1974" s="83" t="str">
        <f>_xlfn.XLOOKUP(A1974,'TAZs by City - CCAG Model'!$A:$A,'TAZs by City - CCAG Model'!$B:$B,"Unknown")</f>
        <v>Foster City</v>
      </c>
      <c r="C1974" s="82">
        <f>_xlfn.XLOOKUP(A1974,'TAZs by City - CCAG Model'!$A:$A,'TAZs by City - CCAG Model'!$C:$C,999)</f>
        <v>2</v>
      </c>
      <c r="D1974" s="82" t="str">
        <f t="shared" si="240"/>
        <v>YES</v>
      </c>
      <c r="E1974" s="27">
        <v>8533.32</v>
      </c>
      <c r="F1974" s="27">
        <v>5756.04</v>
      </c>
      <c r="G1974" s="27">
        <v>342.18</v>
      </c>
      <c r="H1974" s="27">
        <v>178.74</v>
      </c>
      <c r="I1974" s="27">
        <v>1461.34</v>
      </c>
      <c r="J1974" s="27">
        <v>16648.939999999999</v>
      </c>
      <c r="K1974" s="47">
        <f t="shared" si="241"/>
        <v>0.51254434216232392</v>
      </c>
      <c r="L1974" s="47">
        <f t="shared" si="242"/>
        <v>0.34573011855409413</v>
      </c>
      <c r="M1974" s="84">
        <f t="shared" si="243"/>
        <v>0.85827446071641811</v>
      </c>
      <c r="N1974" s="47">
        <f t="shared" si="244"/>
        <v>2.0552659808972827E-2</v>
      </c>
      <c r="O1974" s="47">
        <f t="shared" si="245"/>
        <v>1.0735818616680702E-2</v>
      </c>
      <c r="P1974" s="47">
        <f t="shared" si="246"/>
        <v>8.7773756167059291E-2</v>
      </c>
      <c r="Q1974" s="47">
        <f t="shared" si="247"/>
        <v>1</v>
      </c>
    </row>
    <row r="1975" spans="1:17" x14ac:dyDescent="0.35">
      <c r="A1975" s="82">
        <v>1972</v>
      </c>
      <c r="B1975" s="83" t="str">
        <f>_xlfn.XLOOKUP(A1975,'TAZs by City - CCAG Model'!$A:$A,'TAZs by City - CCAG Model'!$B:$B,"Unknown")</f>
        <v>Foster City</v>
      </c>
      <c r="C1975" s="82">
        <f>_xlfn.XLOOKUP(A1975,'TAZs by City - CCAG Model'!$A:$A,'TAZs by City - CCAG Model'!$C:$C,999)</f>
        <v>2</v>
      </c>
      <c r="D1975" s="82" t="str">
        <f t="shared" si="240"/>
        <v>YES</v>
      </c>
      <c r="E1975" s="27">
        <v>7434.14</v>
      </c>
      <c r="F1975" s="27">
        <v>5131.6000000000004</v>
      </c>
      <c r="G1975" s="27">
        <v>206.64</v>
      </c>
      <c r="H1975" s="27">
        <v>157.82</v>
      </c>
      <c r="I1975" s="27">
        <v>789.76</v>
      </c>
      <c r="J1975" s="27">
        <v>13961.74</v>
      </c>
      <c r="K1975" s="47">
        <f t="shared" si="241"/>
        <v>0.53246515119175697</v>
      </c>
      <c r="L1975" s="47">
        <f t="shared" si="242"/>
        <v>0.36754731143825914</v>
      </c>
      <c r="M1975" s="84">
        <f t="shared" si="243"/>
        <v>0.90001246263001611</v>
      </c>
      <c r="N1975" s="47">
        <f t="shared" si="244"/>
        <v>1.4800447508691609E-2</v>
      </c>
      <c r="O1975" s="47">
        <f t="shared" si="245"/>
        <v>1.1303748673159648E-2</v>
      </c>
      <c r="P1975" s="47">
        <f t="shared" si="246"/>
        <v>5.6566015410686635E-2</v>
      </c>
      <c r="Q1975" s="47">
        <f t="shared" si="247"/>
        <v>1</v>
      </c>
    </row>
    <row r="1976" spans="1:17" x14ac:dyDescent="0.35">
      <c r="A1976" s="82">
        <v>1973</v>
      </c>
      <c r="B1976" s="83" t="str">
        <f>_xlfn.XLOOKUP(A1976,'TAZs by City - CCAG Model'!$A:$A,'TAZs by City - CCAG Model'!$B:$B,"Unknown")</f>
        <v>Foster City</v>
      </c>
      <c r="C1976" s="82">
        <f>_xlfn.XLOOKUP(A1976,'TAZs by City - CCAG Model'!$A:$A,'TAZs by City - CCAG Model'!$C:$C,999)</f>
        <v>2</v>
      </c>
      <c r="D1976" s="82" t="str">
        <f t="shared" si="240"/>
        <v>YES</v>
      </c>
      <c r="E1976" s="27">
        <v>9789.4599999999991</v>
      </c>
      <c r="F1976" s="27">
        <v>7021.74</v>
      </c>
      <c r="G1976" s="27">
        <v>258.16000000000003</v>
      </c>
      <c r="H1976" s="27">
        <v>222.46</v>
      </c>
      <c r="I1976" s="27">
        <v>1008.74</v>
      </c>
      <c r="J1976" s="27">
        <v>18588.36</v>
      </c>
      <c r="K1976" s="47">
        <f t="shared" si="241"/>
        <v>0.52664463137146034</v>
      </c>
      <c r="L1976" s="47">
        <f t="shared" si="242"/>
        <v>0.37774930117557437</v>
      </c>
      <c r="M1976" s="84">
        <f t="shared" si="243"/>
        <v>0.9043939325470346</v>
      </c>
      <c r="N1976" s="47">
        <f t="shared" si="244"/>
        <v>1.388826125596879E-2</v>
      </c>
      <c r="O1976" s="47">
        <f t="shared" si="245"/>
        <v>1.1967704520463343E-2</v>
      </c>
      <c r="P1976" s="47">
        <f t="shared" si="246"/>
        <v>5.4267294156127813E-2</v>
      </c>
      <c r="Q1976" s="47">
        <f t="shared" si="247"/>
        <v>1</v>
      </c>
    </row>
    <row r="1977" spans="1:17" x14ac:dyDescent="0.35">
      <c r="A1977" s="82">
        <v>1974</v>
      </c>
      <c r="B1977" s="83" t="str">
        <f>_xlfn.XLOOKUP(A1977,'TAZs by City - CCAG Model'!$A:$A,'TAZs by City - CCAG Model'!$B:$B,"Unknown")</f>
        <v>San Mateo</v>
      </c>
      <c r="C1977" s="82">
        <f>_xlfn.XLOOKUP(A1977,'TAZs by City - CCAG Model'!$A:$A,'TAZs by City - CCAG Model'!$C:$C,999)</f>
        <v>2</v>
      </c>
      <c r="D1977" s="82" t="str">
        <f t="shared" si="240"/>
        <v>YES</v>
      </c>
      <c r="E1977" s="27">
        <v>12543.42</v>
      </c>
      <c r="F1977" s="27">
        <v>7283.24</v>
      </c>
      <c r="G1977" s="27">
        <v>540.34</v>
      </c>
      <c r="H1977" s="27">
        <v>291.2</v>
      </c>
      <c r="I1977" s="27">
        <v>1078.02</v>
      </c>
      <c r="J1977" s="27">
        <v>22317.68</v>
      </c>
      <c r="K1977" s="47">
        <f t="shared" si="241"/>
        <v>0.56203960268271613</v>
      </c>
      <c r="L1977" s="47">
        <f t="shared" si="242"/>
        <v>0.32634395689874574</v>
      </c>
      <c r="M1977" s="84">
        <f t="shared" si="243"/>
        <v>0.88838355958146187</v>
      </c>
      <c r="N1977" s="47">
        <f t="shared" si="244"/>
        <v>2.4211297948532287E-2</v>
      </c>
      <c r="O1977" s="47">
        <f t="shared" si="245"/>
        <v>1.3047951220736206E-2</v>
      </c>
      <c r="P1977" s="47">
        <f t="shared" si="246"/>
        <v>4.8303407881105917E-2</v>
      </c>
      <c r="Q1977" s="47">
        <f t="shared" si="247"/>
        <v>1</v>
      </c>
    </row>
    <row r="1978" spans="1:17" x14ac:dyDescent="0.35">
      <c r="A1978" s="82">
        <v>1975</v>
      </c>
      <c r="B1978" s="83" t="str">
        <f>_xlfn.XLOOKUP(A1978,'TAZs by City - CCAG Model'!$A:$A,'TAZs by City - CCAG Model'!$B:$B,"Unknown")</f>
        <v>Belmont</v>
      </c>
      <c r="C1978" s="82">
        <f>_xlfn.XLOOKUP(A1978,'TAZs by City - CCAG Model'!$A:$A,'TAZs by City - CCAG Model'!$C:$C,999)</f>
        <v>2</v>
      </c>
      <c r="D1978" s="82" t="str">
        <f t="shared" si="240"/>
        <v>YES</v>
      </c>
      <c r="E1978" s="27">
        <v>13104.22</v>
      </c>
      <c r="F1978" s="27">
        <v>7614.1</v>
      </c>
      <c r="G1978" s="27">
        <v>621.29999999999995</v>
      </c>
      <c r="H1978" s="27">
        <v>370.88</v>
      </c>
      <c r="I1978" s="27">
        <v>1465.02</v>
      </c>
      <c r="J1978" s="27">
        <v>23835.96</v>
      </c>
      <c r="K1978" s="47">
        <f t="shared" si="241"/>
        <v>0.54976682290119638</v>
      </c>
      <c r="L1978" s="47">
        <f t="shared" si="242"/>
        <v>0.3194375221304282</v>
      </c>
      <c r="M1978" s="84">
        <f t="shared" si="243"/>
        <v>0.86920434503162447</v>
      </c>
      <c r="N1978" s="47">
        <f t="shared" si="244"/>
        <v>2.6065658777745894E-2</v>
      </c>
      <c r="O1978" s="47">
        <f t="shared" si="245"/>
        <v>1.5559683771914369E-2</v>
      </c>
      <c r="P1978" s="47">
        <f t="shared" si="246"/>
        <v>6.1462596849466103E-2</v>
      </c>
      <c r="Q1978" s="47">
        <f t="shared" si="247"/>
        <v>1</v>
      </c>
    </row>
    <row r="1979" spans="1:17" x14ac:dyDescent="0.35">
      <c r="A1979" s="82">
        <v>1976</v>
      </c>
      <c r="B1979" s="83" t="str">
        <f>_xlfn.XLOOKUP(A1979,'TAZs by City - CCAG Model'!$A:$A,'TAZs by City - CCAG Model'!$B:$B,"Unknown")</f>
        <v>San Mateo</v>
      </c>
      <c r="C1979" s="82">
        <f>_xlfn.XLOOKUP(A1979,'TAZs by City - CCAG Model'!$A:$A,'TAZs by City - CCAG Model'!$C:$C,999)</f>
        <v>2</v>
      </c>
      <c r="D1979" s="82" t="str">
        <f t="shared" si="240"/>
        <v>YES</v>
      </c>
      <c r="E1979" s="27">
        <v>8119.06</v>
      </c>
      <c r="F1979" s="27">
        <v>4648.3999999999996</v>
      </c>
      <c r="G1979" s="27">
        <v>356.54</v>
      </c>
      <c r="H1979" s="27">
        <v>190.22</v>
      </c>
      <c r="I1979" s="27">
        <v>2014.64</v>
      </c>
      <c r="J1979" s="27">
        <v>15730.78</v>
      </c>
      <c r="K1979" s="47">
        <f t="shared" si="241"/>
        <v>0.51612571023178766</v>
      </c>
      <c r="L1979" s="47">
        <f t="shared" si="242"/>
        <v>0.29549710821713859</v>
      </c>
      <c r="M1979" s="84">
        <f t="shared" si="243"/>
        <v>0.81162281844892614</v>
      </c>
      <c r="N1979" s="47">
        <f t="shared" si="244"/>
        <v>2.2665118957864772E-2</v>
      </c>
      <c r="O1979" s="47">
        <f t="shared" si="245"/>
        <v>1.2092216660585171E-2</v>
      </c>
      <c r="P1979" s="47">
        <f t="shared" si="246"/>
        <v>0.12806993677363743</v>
      </c>
      <c r="Q1979" s="47">
        <f t="shared" si="247"/>
        <v>1</v>
      </c>
    </row>
    <row r="1980" spans="1:17" x14ac:dyDescent="0.35">
      <c r="A1980" s="82">
        <v>1977</v>
      </c>
      <c r="B1980" s="83" t="str">
        <f>_xlfn.XLOOKUP(A1980,'TAZs by City - CCAG Model'!$A:$A,'TAZs by City - CCAG Model'!$B:$B,"Unknown")</f>
        <v>San Mateo</v>
      </c>
      <c r="C1980" s="82">
        <f>_xlfn.XLOOKUP(A1980,'TAZs by City - CCAG Model'!$A:$A,'TAZs by City - CCAG Model'!$C:$C,999)</f>
        <v>2</v>
      </c>
      <c r="D1980" s="82" t="str">
        <f t="shared" si="240"/>
        <v>YES</v>
      </c>
      <c r="E1980" s="27">
        <v>11861.06</v>
      </c>
      <c r="F1980" s="27">
        <v>7362.02</v>
      </c>
      <c r="G1980" s="27">
        <v>647.54</v>
      </c>
      <c r="H1980" s="27">
        <v>320</v>
      </c>
      <c r="I1980" s="27">
        <v>2670.04</v>
      </c>
      <c r="J1980" s="27">
        <v>23549.439999999999</v>
      </c>
      <c r="K1980" s="47">
        <f t="shared" si="241"/>
        <v>0.50366632922056742</v>
      </c>
      <c r="L1980" s="47">
        <f t="shared" si="242"/>
        <v>0.31261974807044246</v>
      </c>
      <c r="M1980" s="84">
        <f t="shared" si="243"/>
        <v>0.81628607729100999</v>
      </c>
      <c r="N1980" s="47">
        <f t="shared" si="244"/>
        <v>2.7497044515708228E-2</v>
      </c>
      <c r="O1980" s="47">
        <f t="shared" si="245"/>
        <v>1.3588433525383194E-2</v>
      </c>
      <c r="P1980" s="47">
        <f t="shared" si="246"/>
        <v>0.1133801907816067</v>
      </c>
      <c r="Q1980" s="47">
        <f t="shared" si="247"/>
        <v>1</v>
      </c>
    </row>
    <row r="1981" spans="1:17" x14ac:dyDescent="0.35">
      <c r="A1981" s="82">
        <v>1978</v>
      </c>
      <c r="B1981" s="83" t="str">
        <f>_xlfn.XLOOKUP(A1981,'TAZs by City - CCAG Model'!$A:$A,'TAZs by City - CCAG Model'!$B:$B,"Unknown")</f>
        <v>San Mateo</v>
      </c>
      <c r="C1981" s="82">
        <f>_xlfn.XLOOKUP(A1981,'TAZs by City - CCAG Model'!$A:$A,'TAZs by City - CCAG Model'!$C:$C,999)</f>
        <v>2</v>
      </c>
      <c r="D1981" s="82" t="str">
        <f t="shared" si="240"/>
        <v>YES</v>
      </c>
      <c r="E1981" s="27">
        <v>12680.08</v>
      </c>
      <c r="F1981" s="27">
        <v>7373.74</v>
      </c>
      <c r="G1981" s="27">
        <v>724.8</v>
      </c>
      <c r="H1981" s="27">
        <v>343.02</v>
      </c>
      <c r="I1981" s="27">
        <v>1130.68</v>
      </c>
      <c r="J1981" s="27">
        <v>23019.52</v>
      </c>
      <c r="K1981" s="47">
        <f t="shared" si="241"/>
        <v>0.55084033029359425</v>
      </c>
      <c r="L1981" s="47">
        <f t="shared" si="242"/>
        <v>0.32032553241770462</v>
      </c>
      <c r="M1981" s="84">
        <f t="shared" si="243"/>
        <v>0.87116586271129892</v>
      </c>
      <c r="N1981" s="47">
        <f t="shared" si="244"/>
        <v>3.1486321174377219E-2</v>
      </c>
      <c r="O1981" s="47">
        <f t="shared" si="245"/>
        <v>1.490126640346975E-2</v>
      </c>
      <c r="P1981" s="47">
        <f t="shared" si="246"/>
        <v>4.9118313500889681E-2</v>
      </c>
      <c r="Q1981" s="47">
        <f t="shared" si="247"/>
        <v>1</v>
      </c>
    </row>
    <row r="1982" spans="1:17" x14ac:dyDescent="0.35">
      <c r="A1982" s="82">
        <v>1979</v>
      </c>
      <c r="B1982" s="83" t="str">
        <f>_xlfn.XLOOKUP(A1982,'TAZs by City - CCAG Model'!$A:$A,'TAZs by City - CCAG Model'!$B:$B,"Unknown")</f>
        <v>San Mateo</v>
      </c>
      <c r="C1982" s="82">
        <f>_xlfn.XLOOKUP(A1982,'TAZs by City - CCAG Model'!$A:$A,'TAZs by City - CCAG Model'!$C:$C,999)</f>
        <v>2</v>
      </c>
      <c r="D1982" s="82" t="str">
        <f t="shared" si="240"/>
        <v>YES</v>
      </c>
      <c r="E1982" s="27">
        <v>25077.66</v>
      </c>
      <c r="F1982" s="27">
        <v>8571.08</v>
      </c>
      <c r="G1982" s="27">
        <v>782.76</v>
      </c>
      <c r="H1982" s="27">
        <v>356.34</v>
      </c>
      <c r="I1982" s="27">
        <v>2762</v>
      </c>
      <c r="J1982" s="27">
        <v>38359.379999999997</v>
      </c>
      <c r="K1982" s="47">
        <f t="shared" si="241"/>
        <v>0.65375561335975718</v>
      </c>
      <c r="L1982" s="47">
        <f t="shared" si="242"/>
        <v>0.22344156761657777</v>
      </c>
      <c r="M1982" s="84">
        <f t="shared" si="243"/>
        <v>0.87719718097633492</v>
      </c>
      <c r="N1982" s="47">
        <f t="shared" si="244"/>
        <v>2.0405960680282113E-2</v>
      </c>
      <c r="O1982" s="47">
        <f t="shared" si="245"/>
        <v>9.2895140640959269E-3</v>
      </c>
      <c r="P1982" s="47">
        <f t="shared" si="246"/>
        <v>7.2003249270452235E-2</v>
      </c>
      <c r="Q1982" s="47">
        <f t="shared" si="247"/>
        <v>1</v>
      </c>
    </row>
    <row r="1983" spans="1:17" x14ac:dyDescent="0.35">
      <c r="A1983" s="82">
        <v>1980</v>
      </c>
      <c r="B1983" s="83" t="str">
        <f>_xlfn.XLOOKUP(A1983,'TAZs by City - CCAG Model'!$A:$A,'TAZs by City - CCAG Model'!$B:$B,"Unknown")</f>
        <v>San Mateo</v>
      </c>
      <c r="C1983" s="82">
        <f>_xlfn.XLOOKUP(A1983,'TAZs by City - CCAG Model'!$A:$A,'TAZs by City - CCAG Model'!$C:$C,999)</f>
        <v>2</v>
      </c>
      <c r="D1983" s="82" t="str">
        <f t="shared" si="240"/>
        <v>YES</v>
      </c>
      <c r="E1983" s="27">
        <v>15948.28</v>
      </c>
      <c r="F1983" s="27">
        <v>8191.24</v>
      </c>
      <c r="G1983" s="27">
        <v>581.36</v>
      </c>
      <c r="H1983" s="27">
        <v>339.78</v>
      </c>
      <c r="I1983" s="27">
        <v>2790.82</v>
      </c>
      <c r="J1983" s="27">
        <v>28473.84</v>
      </c>
      <c r="K1983" s="47">
        <f t="shared" si="241"/>
        <v>0.56010288742227954</v>
      </c>
      <c r="L1983" s="47">
        <f t="shared" si="242"/>
        <v>0.28767598609811673</v>
      </c>
      <c r="M1983" s="84">
        <f t="shared" si="243"/>
        <v>0.84777887352039627</v>
      </c>
      <c r="N1983" s="47">
        <f t="shared" si="244"/>
        <v>2.0417337457820935E-2</v>
      </c>
      <c r="O1983" s="47">
        <f t="shared" si="245"/>
        <v>1.1933058554799774E-2</v>
      </c>
      <c r="P1983" s="47">
        <f t="shared" si="246"/>
        <v>9.8013474824610952E-2</v>
      </c>
      <c r="Q1983" s="47">
        <f t="shared" si="247"/>
        <v>1</v>
      </c>
    </row>
    <row r="1984" spans="1:17" x14ac:dyDescent="0.35">
      <c r="A1984" s="82">
        <v>1981</v>
      </c>
      <c r="B1984" s="83" t="str">
        <f>_xlfn.XLOOKUP(A1984,'TAZs by City - CCAG Model'!$A:$A,'TAZs by City - CCAG Model'!$B:$B,"Unknown")</f>
        <v>San Mateo</v>
      </c>
      <c r="C1984" s="82">
        <f>_xlfn.XLOOKUP(A1984,'TAZs by City - CCAG Model'!$A:$A,'TAZs by City - CCAG Model'!$C:$C,999)</f>
        <v>2</v>
      </c>
      <c r="D1984" s="82" t="str">
        <f t="shared" si="240"/>
        <v>YES</v>
      </c>
      <c r="E1984" s="27">
        <v>9396.86</v>
      </c>
      <c r="F1984" s="27">
        <v>4736.74</v>
      </c>
      <c r="G1984" s="27">
        <v>362.72</v>
      </c>
      <c r="H1984" s="27">
        <v>193.02</v>
      </c>
      <c r="I1984" s="27">
        <v>1193.8800000000001</v>
      </c>
      <c r="J1984" s="27">
        <v>16289.4</v>
      </c>
      <c r="K1984" s="47">
        <f t="shared" si="241"/>
        <v>0.57686962073495651</v>
      </c>
      <c r="L1984" s="47">
        <f t="shared" si="242"/>
        <v>0.29078664653087283</v>
      </c>
      <c r="M1984" s="84">
        <f t="shared" si="243"/>
        <v>0.86765626726582934</v>
      </c>
      <c r="N1984" s="47">
        <f t="shared" si="244"/>
        <v>2.2267241273466184E-2</v>
      </c>
      <c r="O1984" s="47">
        <f t="shared" si="245"/>
        <v>1.1849423551512027E-2</v>
      </c>
      <c r="P1984" s="47">
        <f t="shared" si="246"/>
        <v>7.3291833953368454E-2</v>
      </c>
      <c r="Q1984" s="47">
        <f t="shared" si="247"/>
        <v>1</v>
      </c>
    </row>
    <row r="1985" spans="1:17" x14ac:dyDescent="0.35">
      <c r="A1985" s="82">
        <v>1982</v>
      </c>
      <c r="B1985" s="83" t="str">
        <f>_xlfn.XLOOKUP(A1985,'TAZs by City - CCAG Model'!$A:$A,'TAZs by City - CCAG Model'!$B:$B,"Unknown")</f>
        <v>San Mateo</v>
      </c>
      <c r="C1985" s="82">
        <f>_xlfn.XLOOKUP(A1985,'TAZs by City - CCAG Model'!$A:$A,'TAZs by City - CCAG Model'!$C:$C,999)</f>
        <v>2</v>
      </c>
      <c r="D1985" s="82" t="str">
        <f t="shared" si="240"/>
        <v>YES</v>
      </c>
      <c r="E1985" s="27">
        <v>20978.7</v>
      </c>
      <c r="F1985" s="27">
        <v>8131.56</v>
      </c>
      <c r="G1985" s="27">
        <v>388.3</v>
      </c>
      <c r="H1985" s="27">
        <v>318.26</v>
      </c>
      <c r="I1985" s="27">
        <v>2380.52</v>
      </c>
      <c r="J1985" s="27">
        <v>32615.9</v>
      </c>
      <c r="K1985" s="47">
        <f t="shared" si="241"/>
        <v>0.64320469464279695</v>
      </c>
      <c r="L1985" s="47">
        <f t="shared" si="242"/>
        <v>0.24931275850122181</v>
      </c>
      <c r="M1985" s="84">
        <f t="shared" si="243"/>
        <v>0.89251745314401876</v>
      </c>
      <c r="N1985" s="47">
        <f t="shared" si="244"/>
        <v>1.1905236403104008E-2</v>
      </c>
      <c r="O1985" s="47">
        <f t="shared" si="245"/>
        <v>9.7578175061856318E-3</v>
      </c>
      <c r="P1985" s="47">
        <f t="shared" si="246"/>
        <v>7.298648818521028E-2</v>
      </c>
      <c r="Q1985" s="47">
        <f t="shared" si="247"/>
        <v>1</v>
      </c>
    </row>
    <row r="1986" spans="1:17" x14ac:dyDescent="0.35">
      <c r="A1986" s="82">
        <v>1983</v>
      </c>
      <c r="B1986" s="83" t="str">
        <f>_xlfn.XLOOKUP(A1986,'TAZs by City - CCAG Model'!$A:$A,'TAZs by City - CCAG Model'!$B:$B,"Unknown")</f>
        <v>San Mateo</v>
      </c>
      <c r="C1986" s="82">
        <f>_xlfn.XLOOKUP(A1986,'TAZs by City - CCAG Model'!$A:$A,'TAZs by City - CCAG Model'!$C:$C,999)</f>
        <v>2</v>
      </c>
      <c r="D1986" s="82" t="str">
        <f t="shared" si="240"/>
        <v>YES</v>
      </c>
      <c r="E1986" s="27">
        <v>4560.58</v>
      </c>
      <c r="F1986" s="27">
        <v>3287.46</v>
      </c>
      <c r="G1986" s="27">
        <v>195.14</v>
      </c>
      <c r="H1986" s="27">
        <v>128.44</v>
      </c>
      <c r="I1986" s="27">
        <v>1214.26</v>
      </c>
      <c r="J1986" s="27">
        <v>9621.74</v>
      </c>
      <c r="K1986" s="47">
        <f t="shared" si="241"/>
        <v>0.47398703353031779</v>
      </c>
      <c r="L1986" s="47">
        <f t="shared" si="242"/>
        <v>0.34167000979032902</v>
      </c>
      <c r="M1986" s="84">
        <f t="shared" si="243"/>
        <v>0.81565704332064681</v>
      </c>
      <c r="N1986" s="47">
        <f t="shared" si="244"/>
        <v>2.0281154967812475E-2</v>
      </c>
      <c r="O1986" s="47">
        <f t="shared" si="245"/>
        <v>1.3348936886675383E-2</v>
      </c>
      <c r="P1986" s="47">
        <f t="shared" si="246"/>
        <v>0.12619962709447563</v>
      </c>
      <c r="Q1986" s="47">
        <f t="shared" si="247"/>
        <v>1</v>
      </c>
    </row>
    <row r="1987" spans="1:17" x14ac:dyDescent="0.35">
      <c r="A1987" s="82">
        <v>1984</v>
      </c>
      <c r="B1987" s="83" t="str">
        <f>_xlfn.XLOOKUP(A1987,'TAZs by City - CCAG Model'!$A:$A,'TAZs by City - CCAG Model'!$B:$B,"Unknown")</f>
        <v>San Mateo</v>
      </c>
      <c r="C1987" s="82">
        <f>_xlfn.XLOOKUP(A1987,'TAZs by City - CCAG Model'!$A:$A,'TAZs by City - CCAG Model'!$C:$C,999)</f>
        <v>2</v>
      </c>
      <c r="D1987" s="82" t="str">
        <f t="shared" si="240"/>
        <v>YES</v>
      </c>
      <c r="E1987" s="27">
        <v>15486.1</v>
      </c>
      <c r="F1987" s="27">
        <v>7990.98</v>
      </c>
      <c r="G1987" s="27">
        <v>929.84</v>
      </c>
      <c r="H1987" s="27">
        <v>397.92</v>
      </c>
      <c r="I1987" s="27">
        <v>2506.44</v>
      </c>
      <c r="J1987" s="27">
        <v>28280.02</v>
      </c>
      <c r="K1987" s="47">
        <f t="shared" si="241"/>
        <v>0.54759862263180858</v>
      </c>
      <c r="L1987" s="47">
        <f t="shared" si="242"/>
        <v>0.28256627824167024</v>
      </c>
      <c r="M1987" s="84">
        <f t="shared" si="243"/>
        <v>0.83016490087347894</v>
      </c>
      <c r="N1987" s="47">
        <f t="shared" si="244"/>
        <v>3.2879750438648915E-2</v>
      </c>
      <c r="O1987" s="47">
        <f t="shared" si="245"/>
        <v>1.4070711406851904E-2</v>
      </c>
      <c r="P1987" s="47">
        <f t="shared" si="246"/>
        <v>8.8629357404980624E-2</v>
      </c>
      <c r="Q1987" s="47">
        <f t="shared" si="247"/>
        <v>1</v>
      </c>
    </row>
    <row r="1988" spans="1:17" x14ac:dyDescent="0.35">
      <c r="A1988" s="82">
        <v>1985</v>
      </c>
      <c r="B1988" s="83" t="str">
        <f>_xlfn.XLOOKUP(A1988,'TAZs by City - CCAG Model'!$A:$A,'TAZs by City - CCAG Model'!$B:$B,"Unknown")</f>
        <v>San Mateo</v>
      </c>
      <c r="C1988" s="82">
        <f>_xlfn.XLOOKUP(A1988,'TAZs by City - CCAG Model'!$A:$A,'TAZs by City - CCAG Model'!$C:$C,999)</f>
        <v>2</v>
      </c>
      <c r="D1988" s="82" t="str">
        <f t="shared" si="240"/>
        <v>YES</v>
      </c>
      <c r="E1988" s="27">
        <v>2726.8</v>
      </c>
      <c r="F1988" s="27">
        <v>1746.24</v>
      </c>
      <c r="G1988" s="27">
        <v>63.22</v>
      </c>
      <c r="H1988" s="27">
        <v>57.18</v>
      </c>
      <c r="I1988" s="27">
        <v>870.88</v>
      </c>
      <c r="J1988" s="27">
        <v>5565.58</v>
      </c>
      <c r="K1988" s="47">
        <f t="shared" si="241"/>
        <v>0.48993995234997972</v>
      </c>
      <c r="L1988" s="47">
        <f t="shared" si="242"/>
        <v>0.31375705676677007</v>
      </c>
      <c r="M1988" s="84">
        <f t="shared" si="243"/>
        <v>0.80369700911674979</v>
      </c>
      <c r="N1988" s="47">
        <f t="shared" si="244"/>
        <v>1.1359103633403885E-2</v>
      </c>
      <c r="O1988" s="47">
        <f t="shared" si="245"/>
        <v>1.0273861843689247E-2</v>
      </c>
      <c r="P1988" s="47">
        <f t="shared" si="246"/>
        <v>0.15647605460706701</v>
      </c>
      <c r="Q1988" s="47">
        <f t="shared" si="247"/>
        <v>1</v>
      </c>
    </row>
    <row r="1989" spans="1:17" x14ac:dyDescent="0.35">
      <c r="A1989" s="82">
        <v>1986</v>
      </c>
      <c r="B1989" s="83" t="str">
        <f>_xlfn.XLOOKUP(A1989,'TAZs by City - CCAG Model'!$A:$A,'TAZs by City - CCAG Model'!$B:$B,"Unknown")</f>
        <v>Belmont</v>
      </c>
      <c r="C1989" s="82">
        <f>_xlfn.XLOOKUP(A1989,'TAZs by City - CCAG Model'!$A:$A,'TAZs by City - CCAG Model'!$C:$C,999)</f>
        <v>2</v>
      </c>
      <c r="D1989" s="82" t="str">
        <f t="shared" ref="D1989:D2052" si="248">IF(C1989=2,"YES","NO")</f>
        <v>YES</v>
      </c>
      <c r="E1989" s="27">
        <v>8852.92</v>
      </c>
      <c r="F1989" s="27">
        <v>5537.84</v>
      </c>
      <c r="G1989" s="27">
        <v>353.78</v>
      </c>
      <c r="H1989" s="27">
        <v>224.92</v>
      </c>
      <c r="I1989" s="27">
        <v>1769.3</v>
      </c>
      <c r="J1989" s="27">
        <v>17130.759999999998</v>
      </c>
      <c r="K1989" s="47">
        <f t="shared" ref="K1989:K2052" si="249">IFERROR(E1989/$J1989,0)</f>
        <v>0.51678501128963339</v>
      </c>
      <c r="L1989" s="47">
        <f t="shared" ref="L1989:L2052" si="250">IFERROR(F1989/$J1989,0)</f>
        <v>0.32326878667379616</v>
      </c>
      <c r="M1989" s="84">
        <f t="shared" ref="M1989:M2052" si="251">IFERROR((E1989+F1989)/J1989,0)</f>
        <v>0.8400537979634296</v>
      </c>
      <c r="N1989" s="47">
        <f t="shared" ref="N1989:N2052" si="252">IFERROR(G1989/$J1989,0)</f>
        <v>2.0651739911130621E-2</v>
      </c>
      <c r="O1989" s="47">
        <f t="shared" ref="O1989:O2052" si="253">IFERROR(H1989/$J1989,0)</f>
        <v>1.3129598453308551E-2</v>
      </c>
      <c r="P1989" s="47">
        <f t="shared" ref="P1989:P2052" si="254">IFERROR(I1989/$J1989,0)</f>
        <v>0.1032820493661694</v>
      </c>
      <c r="Q1989" s="47">
        <f t="shared" ref="Q1989:Q2052" si="255">IFERROR(J1989/$J1989,0)</f>
        <v>1</v>
      </c>
    </row>
    <row r="1990" spans="1:17" x14ac:dyDescent="0.35">
      <c r="A1990" s="82">
        <v>1987</v>
      </c>
      <c r="B1990" s="83" t="str">
        <f>_xlfn.XLOOKUP(A1990,'TAZs by City - CCAG Model'!$A:$A,'TAZs by City - CCAG Model'!$B:$B,"Unknown")</f>
        <v>Belmont</v>
      </c>
      <c r="C1990" s="82">
        <f>_xlfn.XLOOKUP(A1990,'TAZs by City - CCAG Model'!$A:$A,'TAZs by City - CCAG Model'!$C:$C,999)</f>
        <v>2</v>
      </c>
      <c r="D1990" s="82" t="str">
        <f t="shared" si="248"/>
        <v>YES</v>
      </c>
      <c r="E1990" s="27">
        <v>11274.8</v>
      </c>
      <c r="F1990" s="27">
        <v>6008.78</v>
      </c>
      <c r="G1990" s="27">
        <v>389.08</v>
      </c>
      <c r="H1990" s="27">
        <v>220.9</v>
      </c>
      <c r="I1990" s="27">
        <v>2545.54</v>
      </c>
      <c r="J1990" s="27">
        <v>20870.419999999998</v>
      </c>
      <c r="K1990" s="47">
        <f t="shared" si="249"/>
        <v>0.54022870646589771</v>
      </c>
      <c r="L1990" s="47">
        <f t="shared" si="250"/>
        <v>0.28790891606397956</v>
      </c>
      <c r="M1990" s="84">
        <f t="shared" si="251"/>
        <v>0.82813762252987722</v>
      </c>
      <c r="N1990" s="47">
        <f t="shared" si="252"/>
        <v>1.8642653094666999E-2</v>
      </c>
      <c r="O1990" s="47">
        <f t="shared" si="253"/>
        <v>1.0584358148997481E-2</v>
      </c>
      <c r="P1990" s="47">
        <f t="shared" si="254"/>
        <v>0.1219687960280627</v>
      </c>
      <c r="Q1990" s="47">
        <f t="shared" si="255"/>
        <v>1</v>
      </c>
    </row>
    <row r="1991" spans="1:17" x14ac:dyDescent="0.35">
      <c r="A1991" s="82">
        <v>1988</v>
      </c>
      <c r="B1991" s="83" t="str">
        <f>_xlfn.XLOOKUP(A1991,'TAZs by City - CCAG Model'!$A:$A,'TAZs by City - CCAG Model'!$B:$B,"Unknown")</f>
        <v>Unincorporated</v>
      </c>
      <c r="C1991" s="82">
        <f>_xlfn.XLOOKUP(A1991,'TAZs by City - CCAG Model'!$A:$A,'TAZs by City - CCAG Model'!$C:$C,999)</f>
        <v>2</v>
      </c>
      <c r="D1991" s="82" t="str">
        <f t="shared" si="248"/>
        <v>YES</v>
      </c>
      <c r="E1991" s="27">
        <v>3246.28</v>
      </c>
      <c r="F1991" s="27">
        <v>2022.26</v>
      </c>
      <c r="G1991" s="27">
        <v>57.46</v>
      </c>
      <c r="H1991" s="27">
        <v>55.36</v>
      </c>
      <c r="I1991" s="27">
        <v>235.34</v>
      </c>
      <c r="J1991" s="27">
        <v>5707.42</v>
      </c>
      <c r="K1991" s="47">
        <f t="shared" si="249"/>
        <v>0.56878239204404091</v>
      </c>
      <c r="L1991" s="47">
        <f t="shared" si="250"/>
        <v>0.35432121694215601</v>
      </c>
      <c r="M1991" s="84">
        <f t="shared" si="251"/>
        <v>0.92310360898619692</v>
      </c>
      <c r="N1991" s="47">
        <f t="shared" si="252"/>
        <v>1.0067596216854552E-2</v>
      </c>
      <c r="O1991" s="47">
        <f t="shared" si="253"/>
        <v>9.699654134442532E-3</v>
      </c>
      <c r="P1991" s="47">
        <f t="shared" si="254"/>
        <v>4.1234042702306822E-2</v>
      </c>
      <c r="Q1991" s="47">
        <f t="shared" si="255"/>
        <v>1</v>
      </c>
    </row>
    <row r="1992" spans="1:17" x14ac:dyDescent="0.35">
      <c r="A1992" s="82">
        <v>1989</v>
      </c>
      <c r="B1992" s="83" t="str">
        <f>_xlfn.XLOOKUP(A1992,'TAZs by City - CCAG Model'!$A:$A,'TAZs by City - CCAG Model'!$B:$B,"Unknown")</f>
        <v>Belmont</v>
      </c>
      <c r="C1992" s="82">
        <f>_xlfn.XLOOKUP(A1992,'TAZs by City - CCAG Model'!$A:$A,'TAZs by City - CCAG Model'!$C:$C,999)</f>
        <v>2</v>
      </c>
      <c r="D1992" s="82" t="str">
        <f t="shared" si="248"/>
        <v>YES</v>
      </c>
      <c r="E1992" s="27">
        <v>10511.08</v>
      </c>
      <c r="F1992" s="27">
        <v>6880</v>
      </c>
      <c r="G1992" s="27">
        <v>223.2</v>
      </c>
      <c r="H1992" s="27">
        <v>220.94</v>
      </c>
      <c r="I1992" s="27">
        <v>1284</v>
      </c>
      <c r="J1992" s="27">
        <v>19377.68</v>
      </c>
      <c r="K1992" s="47">
        <f t="shared" si="249"/>
        <v>0.54243232419980103</v>
      </c>
      <c r="L1992" s="47">
        <f t="shared" si="250"/>
        <v>0.3550476630845385</v>
      </c>
      <c r="M1992" s="84">
        <f t="shared" si="251"/>
        <v>0.89747998728433953</v>
      </c>
      <c r="N1992" s="47">
        <f t="shared" si="252"/>
        <v>1.1518406744254214E-2</v>
      </c>
      <c r="O1992" s="47">
        <f t="shared" si="253"/>
        <v>1.1401777715392141E-2</v>
      </c>
      <c r="P1992" s="47">
        <f t="shared" si="254"/>
        <v>6.6261802238451656E-2</v>
      </c>
      <c r="Q1992" s="47">
        <f t="shared" si="255"/>
        <v>1</v>
      </c>
    </row>
    <row r="1993" spans="1:17" x14ac:dyDescent="0.35">
      <c r="A1993" s="82">
        <v>1990</v>
      </c>
      <c r="B1993" s="83" t="str">
        <f>_xlfn.XLOOKUP(A1993,'TAZs by City - CCAG Model'!$A:$A,'TAZs by City - CCAG Model'!$B:$B,"Unknown")</f>
        <v>San Mateo</v>
      </c>
      <c r="C1993" s="82">
        <f>_xlfn.XLOOKUP(A1993,'TAZs by City - CCAG Model'!$A:$A,'TAZs by City - CCAG Model'!$C:$C,999)</f>
        <v>2</v>
      </c>
      <c r="D1993" s="82" t="str">
        <f t="shared" si="248"/>
        <v>YES</v>
      </c>
      <c r="E1993" s="27">
        <v>8517.82</v>
      </c>
      <c r="F1993" s="27">
        <v>5425</v>
      </c>
      <c r="G1993" s="27">
        <v>148.76</v>
      </c>
      <c r="H1993" s="27">
        <v>167.9</v>
      </c>
      <c r="I1993" s="27">
        <v>1225.98</v>
      </c>
      <c r="J1993" s="27">
        <v>15668.34</v>
      </c>
      <c r="K1993" s="47">
        <f t="shared" si="249"/>
        <v>0.54363257371233964</v>
      </c>
      <c r="L1993" s="47">
        <f t="shared" si="250"/>
        <v>0.34623961440714202</v>
      </c>
      <c r="M1993" s="84">
        <f t="shared" si="251"/>
        <v>0.88987218811948166</v>
      </c>
      <c r="N1993" s="47">
        <f t="shared" si="252"/>
        <v>9.494305076351418E-3</v>
      </c>
      <c r="O1993" s="47">
        <f t="shared" si="253"/>
        <v>1.0715876729762056E-2</v>
      </c>
      <c r="P1993" s="47">
        <f t="shared" si="254"/>
        <v>7.8245685248086269E-2</v>
      </c>
      <c r="Q1993" s="47">
        <f t="shared" si="255"/>
        <v>1</v>
      </c>
    </row>
    <row r="1994" spans="1:17" x14ac:dyDescent="0.35">
      <c r="A1994" s="82">
        <v>1991</v>
      </c>
      <c r="B1994" s="83" t="str">
        <f>_xlfn.XLOOKUP(A1994,'TAZs by City - CCAG Model'!$A:$A,'TAZs by City - CCAG Model'!$B:$B,"Unknown")</f>
        <v>Unincorporated</v>
      </c>
      <c r="C1994" s="82">
        <f>_xlfn.XLOOKUP(A1994,'TAZs by City - CCAG Model'!$A:$A,'TAZs by City - CCAG Model'!$C:$C,999)</f>
        <v>2</v>
      </c>
      <c r="D1994" s="82" t="str">
        <f t="shared" si="248"/>
        <v>YES</v>
      </c>
      <c r="E1994" s="27">
        <v>11773.86</v>
      </c>
      <c r="F1994" s="27">
        <v>6564.46</v>
      </c>
      <c r="G1994" s="27">
        <v>182.58</v>
      </c>
      <c r="H1994" s="27">
        <v>191.26</v>
      </c>
      <c r="I1994" s="27">
        <v>1040.26</v>
      </c>
      <c r="J1994" s="27">
        <v>19969.2</v>
      </c>
      <c r="K1994" s="47">
        <f t="shared" si="249"/>
        <v>0.58960098551769724</v>
      </c>
      <c r="L1994" s="47">
        <f t="shared" si="250"/>
        <v>0.32872924303427276</v>
      </c>
      <c r="M1994" s="84">
        <f t="shared" si="251"/>
        <v>0.91833022855197</v>
      </c>
      <c r="N1994" s="47">
        <f t="shared" si="252"/>
        <v>9.1430803437293432E-3</v>
      </c>
      <c r="O1994" s="47">
        <f t="shared" si="253"/>
        <v>9.5777497345912697E-3</v>
      </c>
      <c r="P1994" s="47">
        <f t="shared" si="254"/>
        <v>5.2093223564289005E-2</v>
      </c>
      <c r="Q1994" s="47">
        <f t="shared" si="255"/>
        <v>1</v>
      </c>
    </row>
    <row r="1995" spans="1:17" x14ac:dyDescent="0.35">
      <c r="A1995" s="82">
        <v>1992</v>
      </c>
      <c r="B1995" s="83" t="str">
        <f>_xlfn.XLOOKUP(A1995,'TAZs by City - CCAG Model'!$A:$A,'TAZs by City - CCAG Model'!$B:$B,"Unknown")</f>
        <v>Unincorporated</v>
      </c>
      <c r="C1995" s="82">
        <f>_xlfn.XLOOKUP(A1995,'TAZs by City - CCAG Model'!$A:$A,'TAZs by City - CCAG Model'!$C:$C,999)</f>
        <v>2</v>
      </c>
      <c r="D1995" s="82" t="str">
        <f t="shared" si="248"/>
        <v>YES</v>
      </c>
      <c r="E1995" s="27">
        <v>10526.78</v>
      </c>
      <c r="F1995" s="27">
        <v>6177.96</v>
      </c>
      <c r="G1995" s="27">
        <v>1.42</v>
      </c>
      <c r="H1995" s="27">
        <v>136.74</v>
      </c>
      <c r="I1995" s="27">
        <v>521.9</v>
      </c>
      <c r="J1995" s="27">
        <v>17391.3</v>
      </c>
      <c r="K1995" s="47">
        <f t="shared" si="249"/>
        <v>0.60529000132250044</v>
      </c>
      <c r="L1995" s="47">
        <f t="shared" si="250"/>
        <v>0.3552327888081972</v>
      </c>
      <c r="M1995" s="84">
        <f t="shared" si="251"/>
        <v>0.96052279013069763</v>
      </c>
      <c r="N1995" s="47">
        <f t="shared" si="252"/>
        <v>8.1650020412505107E-5</v>
      </c>
      <c r="O1995" s="47">
        <f t="shared" si="253"/>
        <v>7.8625519656379921E-3</v>
      </c>
      <c r="P1995" s="47">
        <f t="shared" si="254"/>
        <v>3.0009257502314375E-2</v>
      </c>
      <c r="Q1995" s="47">
        <f t="shared" si="255"/>
        <v>1</v>
      </c>
    </row>
    <row r="1996" spans="1:17" x14ac:dyDescent="0.35">
      <c r="A1996" s="82">
        <v>1993</v>
      </c>
      <c r="B1996" s="83" t="str">
        <f>_xlfn.XLOOKUP(A1996,'TAZs by City - CCAG Model'!$A:$A,'TAZs by City - CCAG Model'!$B:$B,"Unknown")</f>
        <v>Unincorporated</v>
      </c>
      <c r="C1996" s="82">
        <f>_xlfn.XLOOKUP(A1996,'TAZs by City - CCAG Model'!$A:$A,'TAZs by City - CCAG Model'!$C:$C,999)</f>
        <v>2</v>
      </c>
      <c r="D1996" s="82" t="str">
        <f t="shared" si="248"/>
        <v>YES</v>
      </c>
      <c r="E1996" s="27">
        <v>7159.66</v>
      </c>
      <c r="F1996" s="27">
        <v>4474.58</v>
      </c>
      <c r="G1996" s="27">
        <v>171.14</v>
      </c>
      <c r="H1996" s="27">
        <v>150.41999999999999</v>
      </c>
      <c r="I1996" s="27">
        <v>2047.16</v>
      </c>
      <c r="J1996" s="27">
        <v>14203.6</v>
      </c>
      <c r="K1996" s="47">
        <f t="shared" si="249"/>
        <v>0.50407361513982374</v>
      </c>
      <c r="L1996" s="47">
        <f t="shared" si="250"/>
        <v>0.3150314004900166</v>
      </c>
      <c r="M1996" s="84">
        <f t="shared" si="251"/>
        <v>0.81910501562984028</v>
      </c>
      <c r="N1996" s="47">
        <f t="shared" si="252"/>
        <v>1.20490579852995E-2</v>
      </c>
      <c r="O1996" s="47">
        <f t="shared" si="253"/>
        <v>1.0590272888563462E-2</v>
      </c>
      <c r="P1996" s="47">
        <f t="shared" si="254"/>
        <v>0.14412965726998789</v>
      </c>
      <c r="Q1996" s="47">
        <f t="shared" si="255"/>
        <v>1</v>
      </c>
    </row>
    <row r="1997" spans="1:17" x14ac:dyDescent="0.35">
      <c r="A1997" s="82">
        <v>1994</v>
      </c>
      <c r="B1997" s="83" t="str">
        <f>_xlfn.XLOOKUP(A1997,'TAZs by City - CCAG Model'!$A:$A,'TAZs by City - CCAG Model'!$B:$B,"Unknown")</f>
        <v>Unincorporated</v>
      </c>
      <c r="C1997" s="82">
        <f>_xlfn.XLOOKUP(A1997,'TAZs by City - CCAG Model'!$A:$A,'TAZs by City - CCAG Model'!$C:$C,999)</f>
        <v>2</v>
      </c>
      <c r="D1997" s="82" t="str">
        <f t="shared" si="248"/>
        <v>YES</v>
      </c>
      <c r="E1997" s="27">
        <v>3747.54</v>
      </c>
      <c r="F1997" s="27">
        <v>2410.02</v>
      </c>
      <c r="G1997" s="27">
        <v>0</v>
      </c>
      <c r="H1997" s="27">
        <v>43.5</v>
      </c>
      <c r="I1997" s="27">
        <v>789.92</v>
      </c>
      <c r="J1997" s="27">
        <v>7011.24</v>
      </c>
      <c r="K1997" s="47">
        <f t="shared" si="249"/>
        <v>0.53450459547811802</v>
      </c>
      <c r="L1997" s="47">
        <f t="shared" si="250"/>
        <v>0.34373662861348347</v>
      </c>
      <c r="M1997" s="84">
        <f t="shared" si="251"/>
        <v>0.87824122409160144</v>
      </c>
      <c r="N1997" s="47">
        <f t="shared" si="252"/>
        <v>0</v>
      </c>
      <c r="O1997" s="47">
        <f t="shared" si="253"/>
        <v>6.2043233436596098E-3</v>
      </c>
      <c r="P1997" s="47">
        <f t="shared" si="254"/>
        <v>0.11266480679594479</v>
      </c>
      <c r="Q1997" s="47">
        <f t="shared" si="255"/>
        <v>1</v>
      </c>
    </row>
    <row r="1998" spans="1:17" x14ac:dyDescent="0.35">
      <c r="A1998" s="82">
        <v>1995</v>
      </c>
      <c r="B1998" s="83" t="str">
        <f>_xlfn.XLOOKUP(A1998,'TAZs by City - CCAG Model'!$A:$A,'TAZs by City - CCAG Model'!$B:$B,"Unknown")</f>
        <v>Unincorporated</v>
      </c>
      <c r="C1998" s="82">
        <f>_xlfn.XLOOKUP(A1998,'TAZs by City - CCAG Model'!$A:$A,'TAZs by City - CCAG Model'!$C:$C,999)</f>
        <v>2</v>
      </c>
      <c r="D1998" s="82" t="str">
        <f t="shared" si="248"/>
        <v>YES</v>
      </c>
      <c r="E1998" s="27">
        <v>459.44</v>
      </c>
      <c r="F1998" s="27">
        <v>197.74</v>
      </c>
      <c r="G1998" s="27">
        <v>5.8</v>
      </c>
      <c r="H1998" s="27">
        <v>1.68</v>
      </c>
      <c r="I1998" s="27">
        <v>2.74</v>
      </c>
      <c r="J1998" s="27">
        <v>702.2</v>
      </c>
      <c r="K1998" s="47">
        <f t="shared" si="249"/>
        <v>0.65428652805468523</v>
      </c>
      <c r="L1998" s="47">
        <f t="shared" si="250"/>
        <v>0.28160068356593565</v>
      </c>
      <c r="M1998" s="84">
        <f t="shared" si="251"/>
        <v>0.93588721162062094</v>
      </c>
      <c r="N1998" s="47">
        <f t="shared" si="252"/>
        <v>8.2597550555397314E-3</v>
      </c>
      <c r="O1998" s="47">
        <f t="shared" si="253"/>
        <v>2.3924807747080601E-3</v>
      </c>
      <c r="P1998" s="47">
        <f t="shared" si="254"/>
        <v>3.9020222158929079E-3</v>
      </c>
      <c r="Q1998" s="47">
        <f t="shared" si="255"/>
        <v>1</v>
      </c>
    </row>
    <row r="1999" spans="1:17" x14ac:dyDescent="0.35">
      <c r="A1999" s="82">
        <v>1996</v>
      </c>
      <c r="B1999" s="83" t="str">
        <f>_xlfn.XLOOKUP(A1999,'TAZs by City - CCAG Model'!$A:$A,'TAZs by City - CCAG Model'!$B:$B,"Unknown")</f>
        <v>Unincorporated</v>
      </c>
      <c r="C1999" s="82">
        <f>_xlfn.XLOOKUP(A1999,'TAZs by City - CCAG Model'!$A:$A,'TAZs by City - CCAG Model'!$C:$C,999)</f>
        <v>2</v>
      </c>
      <c r="D1999" s="82" t="str">
        <f t="shared" si="248"/>
        <v>YES</v>
      </c>
      <c r="E1999" s="27">
        <v>13.54</v>
      </c>
      <c r="F1999" s="27">
        <v>8.94</v>
      </c>
      <c r="G1999" s="27">
        <v>0</v>
      </c>
      <c r="H1999" s="27">
        <v>0</v>
      </c>
      <c r="I1999" s="27">
        <v>0.06</v>
      </c>
      <c r="J1999" s="27">
        <v>26.8</v>
      </c>
      <c r="K1999" s="47">
        <f t="shared" si="249"/>
        <v>0.50522388059701484</v>
      </c>
      <c r="L1999" s="47">
        <f t="shared" si="250"/>
        <v>0.33358208955223878</v>
      </c>
      <c r="M1999" s="84">
        <f t="shared" si="251"/>
        <v>0.83880597014925362</v>
      </c>
      <c r="N1999" s="47">
        <f t="shared" si="252"/>
        <v>0</v>
      </c>
      <c r="O1999" s="47">
        <f t="shared" si="253"/>
        <v>0</v>
      </c>
      <c r="P1999" s="47">
        <f t="shared" si="254"/>
        <v>2.2388059701492534E-3</v>
      </c>
      <c r="Q1999" s="47">
        <f t="shared" si="255"/>
        <v>1</v>
      </c>
    </row>
    <row r="2000" spans="1:17" x14ac:dyDescent="0.35">
      <c r="A2000" s="82">
        <v>1997</v>
      </c>
      <c r="B2000" s="83" t="str">
        <f>_xlfn.XLOOKUP(A2000,'TAZs by City - CCAG Model'!$A:$A,'TAZs by City - CCAG Model'!$B:$B,"Unknown")</f>
        <v>Unincorporated</v>
      </c>
      <c r="C2000" s="82">
        <f>_xlfn.XLOOKUP(A2000,'TAZs by City - CCAG Model'!$A:$A,'TAZs by City - CCAG Model'!$C:$C,999)</f>
        <v>2</v>
      </c>
      <c r="D2000" s="82" t="str">
        <f t="shared" si="248"/>
        <v>YES</v>
      </c>
      <c r="E2000" s="27">
        <v>3680</v>
      </c>
      <c r="F2000" s="27">
        <v>1951.44</v>
      </c>
      <c r="G2000" s="27">
        <v>0</v>
      </c>
      <c r="H2000" s="27">
        <v>57.38</v>
      </c>
      <c r="I2000" s="27">
        <v>1798.04</v>
      </c>
      <c r="J2000" s="27">
        <v>7509.34</v>
      </c>
      <c r="K2000" s="47">
        <f t="shared" si="249"/>
        <v>0.49005638311755761</v>
      </c>
      <c r="L2000" s="47">
        <f t="shared" si="250"/>
        <v>0.25986837724753442</v>
      </c>
      <c r="M2000" s="84">
        <f t="shared" si="251"/>
        <v>0.74992476036509204</v>
      </c>
      <c r="N2000" s="47">
        <f t="shared" si="252"/>
        <v>0</v>
      </c>
      <c r="O2000" s="47">
        <f t="shared" si="253"/>
        <v>7.6411508867623521E-3</v>
      </c>
      <c r="P2000" s="47">
        <f t="shared" si="254"/>
        <v>0.23944048345127533</v>
      </c>
      <c r="Q2000" s="47">
        <f t="shared" si="255"/>
        <v>1</v>
      </c>
    </row>
    <row r="2001" spans="1:17" x14ac:dyDescent="0.35">
      <c r="A2001" s="82">
        <v>1998</v>
      </c>
      <c r="B2001" s="83" t="str">
        <f>_xlfn.XLOOKUP(A2001,'TAZs by City - CCAG Model'!$A:$A,'TAZs by City - CCAG Model'!$B:$B,"Unknown")</f>
        <v>Portola Valley</v>
      </c>
      <c r="C2001" s="82">
        <f>_xlfn.XLOOKUP(A2001,'TAZs by City - CCAG Model'!$A:$A,'TAZs by City - CCAG Model'!$C:$C,999)</f>
        <v>2</v>
      </c>
      <c r="D2001" s="82" t="str">
        <f t="shared" si="248"/>
        <v>YES</v>
      </c>
      <c r="E2001" s="27">
        <v>9811.34</v>
      </c>
      <c r="F2001" s="27">
        <v>5087.26</v>
      </c>
      <c r="G2001" s="27">
        <v>0</v>
      </c>
      <c r="H2001" s="27">
        <v>98.36</v>
      </c>
      <c r="I2001" s="27">
        <v>2699.5</v>
      </c>
      <c r="J2001" s="27">
        <v>17714.259999999998</v>
      </c>
      <c r="K2001" s="47">
        <f t="shared" si="249"/>
        <v>0.55386677174208809</v>
      </c>
      <c r="L2001" s="47">
        <f t="shared" si="250"/>
        <v>0.28718444913871655</v>
      </c>
      <c r="M2001" s="84">
        <f t="shared" si="251"/>
        <v>0.84105122088080464</v>
      </c>
      <c r="N2001" s="47">
        <f t="shared" si="252"/>
        <v>0</v>
      </c>
      <c r="O2001" s="47">
        <f t="shared" si="253"/>
        <v>5.5525887053707017E-3</v>
      </c>
      <c r="P2001" s="47">
        <f t="shared" si="254"/>
        <v>0.15239135024550843</v>
      </c>
      <c r="Q2001" s="47">
        <f t="shared" si="255"/>
        <v>1</v>
      </c>
    </row>
    <row r="2002" spans="1:17" x14ac:dyDescent="0.35">
      <c r="A2002" s="82">
        <v>1999</v>
      </c>
      <c r="B2002" s="83" t="str">
        <f>_xlfn.XLOOKUP(A2002,'TAZs by City - CCAG Model'!$A:$A,'TAZs by City - CCAG Model'!$B:$B,"Unknown")</f>
        <v>Unincorporated</v>
      </c>
      <c r="C2002" s="82">
        <f>_xlfn.XLOOKUP(A2002,'TAZs by City - CCAG Model'!$A:$A,'TAZs by City - CCAG Model'!$C:$C,999)</f>
        <v>2</v>
      </c>
      <c r="D2002" s="82" t="str">
        <f t="shared" si="248"/>
        <v>YES</v>
      </c>
      <c r="E2002" s="27">
        <v>12523.6</v>
      </c>
      <c r="F2002" s="27">
        <v>7715.04</v>
      </c>
      <c r="G2002" s="27">
        <v>0</v>
      </c>
      <c r="H2002" s="27">
        <v>70.2</v>
      </c>
      <c r="I2002" s="27">
        <v>795.68</v>
      </c>
      <c r="J2002" s="27">
        <v>21123.54</v>
      </c>
      <c r="K2002" s="47">
        <f t="shared" si="249"/>
        <v>0.59287411106282373</v>
      </c>
      <c r="L2002" s="47">
        <f t="shared" si="250"/>
        <v>0.3652342363069826</v>
      </c>
      <c r="M2002" s="84">
        <f t="shared" si="251"/>
        <v>0.95810834736980632</v>
      </c>
      <c r="N2002" s="47">
        <f t="shared" si="252"/>
        <v>0</v>
      </c>
      <c r="O2002" s="47">
        <f t="shared" si="253"/>
        <v>3.3233066048588447E-3</v>
      </c>
      <c r="P2002" s="47">
        <f t="shared" si="254"/>
        <v>3.7667928765727714E-2</v>
      </c>
      <c r="Q2002" s="47">
        <f t="shared" si="255"/>
        <v>1</v>
      </c>
    </row>
    <row r="2003" spans="1:17" x14ac:dyDescent="0.35">
      <c r="A2003" s="82">
        <v>2000</v>
      </c>
      <c r="B2003" s="83" t="str">
        <f>_xlfn.XLOOKUP(A2003,'TAZs by City - CCAG Model'!$A:$A,'TAZs by City - CCAG Model'!$B:$B,"Unknown")</f>
        <v>Woodside</v>
      </c>
      <c r="C2003" s="82">
        <f>_xlfn.XLOOKUP(A2003,'TAZs by City - CCAG Model'!$A:$A,'TAZs by City - CCAG Model'!$C:$C,999)</f>
        <v>2</v>
      </c>
      <c r="D2003" s="82" t="str">
        <f t="shared" si="248"/>
        <v>YES</v>
      </c>
      <c r="E2003" s="27">
        <v>5063.8599999999997</v>
      </c>
      <c r="F2003" s="27">
        <v>3100.46</v>
      </c>
      <c r="G2003" s="27">
        <v>0</v>
      </c>
      <c r="H2003" s="27">
        <v>52.6</v>
      </c>
      <c r="I2003" s="27">
        <v>126.72</v>
      </c>
      <c r="J2003" s="27">
        <v>8368.6200000000008</v>
      </c>
      <c r="K2003" s="47">
        <f t="shared" si="249"/>
        <v>0.60510096049288886</v>
      </c>
      <c r="L2003" s="47">
        <f t="shared" si="250"/>
        <v>0.37048641233560609</v>
      </c>
      <c r="M2003" s="84">
        <f t="shared" si="251"/>
        <v>0.97558737282849495</v>
      </c>
      <c r="N2003" s="47">
        <f t="shared" si="252"/>
        <v>0</v>
      </c>
      <c r="O2003" s="47">
        <f t="shared" si="253"/>
        <v>6.2853851650570818E-3</v>
      </c>
      <c r="P2003" s="47">
        <f t="shared" si="254"/>
        <v>1.5142281523118506E-2</v>
      </c>
      <c r="Q2003" s="47">
        <f t="shared" si="255"/>
        <v>1</v>
      </c>
    </row>
    <row r="2004" spans="1:17" x14ac:dyDescent="0.35">
      <c r="A2004" s="82">
        <v>2001</v>
      </c>
      <c r="B2004" s="83" t="str">
        <f>_xlfn.XLOOKUP(A2004,'TAZs by City - CCAG Model'!$A:$A,'TAZs by City - CCAG Model'!$B:$B,"Unknown")</f>
        <v>Redwood City</v>
      </c>
      <c r="C2004" s="82">
        <f>_xlfn.XLOOKUP(A2004,'TAZs by City - CCAG Model'!$A:$A,'TAZs by City - CCAG Model'!$C:$C,999)</f>
        <v>2</v>
      </c>
      <c r="D2004" s="82" t="str">
        <f t="shared" si="248"/>
        <v>YES</v>
      </c>
      <c r="E2004" s="27">
        <v>7614.6</v>
      </c>
      <c r="F2004" s="27">
        <v>5130.0200000000004</v>
      </c>
      <c r="G2004" s="27">
        <v>123.44</v>
      </c>
      <c r="H2004" s="27">
        <v>155.6</v>
      </c>
      <c r="I2004" s="27">
        <v>767.14</v>
      </c>
      <c r="J2004" s="27">
        <v>13950.28</v>
      </c>
      <c r="K2004" s="47">
        <f t="shared" si="249"/>
        <v>0.54583850646725374</v>
      </c>
      <c r="L2004" s="47">
        <f t="shared" si="250"/>
        <v>0.36773598809486263</v>
      </c>
      <c r="M2004" s="84">
        <f t="shared" si="251"/>
        <v>0.91357449456211637</v>
      </c>
      <c r="N2004" s="47">
        <f t="shared" si="252"/>
        <v>8.848567914049036E-3</v>
      </c>
      <c r="O2004" s="47">
        <f t="shared" si="253"/>
        <v>1.1153897986276976E-2</v>
      </c>
      <c r="P2004" s="47">
        <f t="shared" si="254"/>
        <v>5.4991010933113885E-2</v>
      </c>
      <c r="Q2004" s="47">
        <f t="shared" si="255"/>
        <v>1</v>
      </c>
    </row>
    <row r="2005" spans="1:17" x14ac:dyDescent="0.35">
      <c r="A2005" s="82">
        <v>2002</v>
      </c>
      <c r="B2005" s="83" t="str">
        <f>_xlfn.XLOOKUP(A2005,'TAZs by City - CCAG Model'!$A:$A,'TAZs by City - CCAG Model'!$B:$B,"Unknown")</f>
        <v>Unincorporated</v>
      </c>
      <c r="C2005" s="82">
        <f>_xlfn.XLOOKUP(A2005,'TAZs by City - CCAG Model'!$A:$A,'TAZs by City - CCAG Model'!$C:$C,999)</f>
        <v>2</v>
      </c>
      <c r="D2005" s="82" t="str">
        <f t="shared" si="248"/>
        <v>YES</v>
      </c>
      <c r="E2005" s="27">
        <v>11955.64</v>
      </c>
      <c r="F2005" s="27">
        <v>8239.7000000000007</v>
      </c>
      <c r="G2005" s="27">
        <v>159.84</v>
      </c>
      <c r="H2005" s="27">
        <v>204.04</v>
      </c>
      <c r="I2005" s="27">
        <v>551.64</v>
      </c>
      <c r="J2005" s="27">
        <v>21298.240000000002</v>
      </c>
      <c r="K2005" s="47">
        <f t="shared" si="249"/>
        <v>0.56134403593911975</v>
      </c>
      <c r="L2005" s="47">
        <f t="shared" si="250"/>
        <v>0.38687234250341812</v>
      </c>
      <c r="M2005" s="84">
        <f t="shared" si="251"/>
        <v>0.94821637844253792</v>
      </c>
      <c r="N2005" s="47">
        <f t="shared" si="252"/>
        <v>7.504845470799465E-3</v>
      </c>
      <c r="O2005" s="47">
        <f t="shared" si="253"/>
        <v>9.5801343209579743E-3</v>
      </c>
      <c r="P2005" s="47">
        <f t="shared" si="254"/>
        <v>2.5900731703652504E-2</v>
      </c>
      <c r="Q2005" s="47">
        <f t="shared" si="255"/>
        <v>1</v>
      </c>
    </row>
    <row r="2006" spans="1:17" x14ac:dyDescent="0.35">
      <c r="A2006" s="82">
        <v>2003</v>
      </c>
      <c r="B2006" s="83" t="str">
        <f>_xlfn.XLOOKUP(A2006,'TAZs by City - CCAG Model'!$A:$A,'TAZs by City - CCAG Model'!$B:$B,"Unknown")</f>
        <v>Redwood City</v>
      </c>
      <c r="C2006" s="82">
        <f>_xlfn.XLOOKUP(A2006,'TAZs by City - CCAG Model'!$A:$A,'TAZs by City - CCAG Model'!$C:$C,999)</f>
        <v>2</v>
      </c>
      <c r="D2006" s="82" t="str">
        <f t="shared" si="248"/>
        <v>YES</v>
      </c>
      <c r="E2006" s="27">
        <v>14074.74</v>
      </c>
      <c r="F2006" s="27">
        <v>7435.86</v>
      </c>
      <c r="G2006" s="27">
        <v>188.48</v>
      </c>
      <c r="H2006" s="27">
        <v>297.12</v>
      </c>
      <c r="I2006" s="27">
        <v>1430.14</v>
      </c>
      <c r="J2006" s="27">
        <v>23648.880000000001</v>
      </c>
      <c r="K2006" s="47">
        <f t="shared" si="249"/>
        <v>0.59515461197316744</v>
      </c>
      <c r="L2006" s="47">
        <f t="shared" si="250"/>
        <v>0.31442757542851923</v>
      </c>
      <c r="M2006" s="84">
        <f t="shared" si="251"/>
        <v>0.90958218740168661</v>
      </c>
      <c r="N2006" s="47">
        <f t="shared" si="252"/>
        <v>7.9699334598509527E-3</v>
      </c>
      <c r="O2006" s="47">
        <f t="shared" si="253"/>
        <v>1.256380851862752E-2</v>
      </c>
      <c r="P2006" s="47">
        <f t="shared" si="254"/>
        <v>6.0473899821048609E-2</v>
      </c>
      <c r="Q2006" s="47">
        <f t="shared" si="255"/>
        <v>1</v>
      </c>
    </row>
    <row r="2007" spans="1:17" x14ac:dyDescent="0.35">
      <c r="A2007" s="82">
        <v>2004</v>
      </c>
      <c r="B2007" s="83" t="str">
        <f>_xlfn.XLOOKUP(A2007,'TAZs by City - CCAG Model'!$A:$A,'TAZs by City - CCAG Model'!$B:$B,"Unknown")</f>
        <v>Unincorporated</v>
      </c>
      <c r="C2007" s="82">
        <f>_xlfn.XLOOKUP(A2007,'TAZs by City - CCAG Model'!$A:$A,'TAZs by City - CCAG Model'!$C:$C,999)</f>
        <v>2</v>
      </c>
      <c r="D2007" s="82" t="str">
        <f t="shared" si="248"/>
        <v>YES</v>
      </c>
      <c r="E2007" s="27">
        <v>5615.6</v>
      </c>
      <c r="F2007" s="27">
        <v>3073.84</v>
      </c>
      <c r="G2007" s="27">
        <v>58.02</v>
      </c>
      <c r="H2007" s="27">
        <v>80.599999999999994</v>
      </c>
      <c r="I2007" s="27">
        <v>161.88</v>
      </c>
      <c r="J2007" s="27">
        <v>9076.2000000000007</v>
      </c>
      <c r="K2007" s="47">
        <f t="shared" si="249"/>
        <v>0.61871708424230398</v>
      </c>
      <c r="L2007" s="47">
        <f t="shared" si="250"/>
        <v>0.3386703686564862</v>
      </c>
      <c r="M2007" s="84">
        <f t="shared" si="251"/>
        <v>0.95738745289879024</v>
      </c>
      <c r="N2007" s="47">
        <f t="shared" si="252"/>
        <v>6.3925431347920938E-3</v>
      </c>
      <c r="O2007" s="47">
        <f t="shared" si="253"/>
        <v>8.8803684361296563E-3</v>
      </c>
      <c r="P2007" s="47">
        <f t="shared" si="254"/>
        <v>1.7835658094797379E-2</v>
      </c>
      <c r="Q2007" s="47">
        <f t="shared" si="255"/>
        <v>1</v>
      </c>
    </row>
    <row r="2008" spans="1:17" x14ac:dyDescent="0.35">
      <c r="A2008" s="82">
        <v>2005</v>
      </c>
      <c r="B2008" s="83" t="str">
        <f>_xlfn.XLOOKUP(A2008,'TAZs by City - CCAG Model'!$A:$A,'TAZs by City - CCAG Model'!$B:$B,"Unknown")</f>
        <v>San Carlos</v>
      </c>
      <c r="C2008" s="82">
        <f>_xlfn.XLOOKUP(A2008,'TAZs by City - CCAG Model'!$A:$A,'TAZs by City - CCAG Model'!$C:$C,999)</f>
        <v>2</v>
      </c>
      <c r="D2008" s="82" t="str">
        <f t="shared" si="248"/>
        <v>YES</v>
      </c>
      <c r="E2008" s="27">
        <v>4357.4399999999996</v>
      </c>
      <c r="F2008" s="27">
        <v>3002.38</v>
      </c>
      <c r="G2008" s="27">
        <v>52.8</v>
      </c>
      <c r="H2008" s="27">
        <v>94.94</v>
      </c>
      <c r="I2008" s="27">
        <v>299.8</v>
      </c>
      <c r="J2008" s="27">
        <v>7883.72</v>
      </c>
      <c r="K2008" s="47">
        <f t="shared" si="249"/>
        <v>0.55271369353553901</v>
      </c>
      <c r="L2008" s="47">
        <f t="shared" si="250"/>
        <v>0.38083290629296829</v>
      </c>
      <c r="M2008" s="84">
        <f t="shared" si="251"/>
        <v>0.9335465998285073</v>
      </c>
      <c r="N2008" s="47">
        <f t="shared" si="252"/>
        <v>6.6973459229906687E-3</v>
      </c>
      <c r="O2008" s="47">
        <f t="shared" si="253"/>
        <v>1.2042538294104814E-2</v>
      </c>
      <c r="P2008" s="47">
        <f t="shared" si="254"/>
        <v>3.8027733100617474E-2</v>
      </c>
      <c r="Q2008" s="47">
        <f t="shared" si="255"/>
        <v>1</v>
      </c>
    </row>
    <row r="2009" spans="1:17" x14ac:dyDescent="0.35">
      <c r="A2009" s="82">
        <v>2006</v>
      </c>
      <c r="B2009" s="83" t="str">
        <f>_xlfn.XLOOKUP(A2009,'TAZs by City - CCAG Model'!$A:$A,'TAZs by City - CCAG Model'!$B:$B,"Unknown")</f>
        <v>San Carlos</v>
      </c>
      <c r="C2009" s="82">
        <f>_xlfn.XLOOKUP(A2009,'TAZs by City - CCAG Model'!$A:$A,'TAZs by City - CCAG Model'!$C:$C,999)</f>
        <v>2</v>
      </c>
      <c r="D2009" s="82" t="str">
        <f t="shared" si="248"/>
        <v>YES</v>
      </c>
      <c r="E2009" s="27">
        <v>7940.54</v>
      </c>
      <c r="F2009" s="27">
        <v>5296.8</v>
      </c>
      <c r="G2009" s="27">
        <v>106.92</v>
      </c>
      <c r="H2009" s="27">
        <v>149.86000000000001</v>
      </c>
      <c r="I2009" s="27">
        <v>609.36</v>
      </c>
      <c r="J2009" s="27">
        <v>14237.98</v>
      </c>
      <c r="K2009" s="47">
        <f t="shared" si="249"/>
        <v>0.55770130313429289</v>
      </c>
      <c r="L2009" s="47">
        <f t="shared" si="250"/>
        <v>0.37201906450212741</v>
      </c>
      <c r="M2009" s="84">
        <f t="shared" si="251"/>
        <v>0.92972036763642041</v>
      </c>
      <c r="N2009" s="47">
        <f t="shared" si="252"/>
        <v>7.5094922172948692E-3</v>
      </c>
      <c r="O2009" s="47">
        <f t="shared" si="253"/>
        <v>1.0525369469545541E-2</v>
      </c>
      <c r="P2009" s="47">
        <f t="shared" si="254"/>
        <v>4.2798205925278728E-2</v>
      </c>
      <c r="Q2009" s="47">
        <f t="shared" si="255"/>
        <v>1</v>
      </c>
    </row>
    <row r="2010" spans="1:17" x14ac:dyDescent="0.35">
      <c r="A2010" s="82">
        <v>2007</v>
      </c>
      <c r="B2010" s="83" t="str">
        <f>_xlfn.XLOOKUP(A2010,'TAZs by City - CCAG Model'!$A:$A,'TAZs by City - CCAG Model'!$B:$B,"Unknown")</f>
        <v>San Carlos</v>
      </c>
      <c r="C2010" s="82">
        <f>_xlfn.XLOOKUP(A2010,'TAZs by City - CCAG Model'!$A:$A,'TAZs by City - CCAG Model'!$C:$C,999)</f>
        <v>2</v>
      </c>
      <c r="D2010" s="82" t="str">
        <f t="shared" si="248"/>
        <v>YES</v>
      </c>
      <c r="E2010" s="27">
        <v>6351.48</v>
      </c>
      <c r="F2010" s="27">
        <v>4320.3599999999997</v>
      </c>
      <c r="G2010" s="27">
        <v>151.24</v>
      </c>
      <c r="H2010" s="27">
        <v>144.44</v>
      </c>
      <c r="I2010" s="27">
        <v>1678.76</v>
      </c>
      <c r="J2010" s="27">
        <v>12835.22</v>
      </c>
      <c r="K2010" s="47">
        <f t="shared" si="249"/>
        <v>0.49484777043167161</v>
      </c>
      <c r="L2010" s="47">
        <f t="shared" si="250"/>
        <v>0.33660194371424873</v>
      </c>
      <c r="M2010" s="84">
        <f t="shared" si="251"/>
        <v>0.83144971414592039</v>
      </c>
      <c r="N2010" s="47">
        <f t="shared" si="252"/>
        <v>1.1783202781097638E-2</v>
      </c>
      <c r="O2010" s="47">
        <f t="shared" si="253"/>
        <v>1.1253410537567725E-2</v>
      </c>
      <c r="P2010" s="47">
        <f t="shared" si="254"/>
        <v>0.13079323922768757</v>
      </c>
      <c r="Q2010" s="47">
        <f t="shared" si="255"/>
        <v>1</v>
      </c>
    </row>
    <row r="2011" spans="1:17" x14ac:dyDescent="0.35">
      <c r="A2011" s="82">
        <v>2008</v>
      </c>
      <c r="B2011" s="83" t="str">
        <f>_xlfn.XLOOKUP(A2011,'TAZs by City - CCAG Model'!$A:$A,'TAZs by City - CCAG Model'!$B:$B,"Unknown")</f>
        <v>San Carlos</v>
      </c>
      <c r="C2011" s="82">
        <f>_xlfn.XLOOKUP(A2011,'TAZs by City - CCAG Model'!$A:$A,'TAZs by City - CCAG Model'!$C:$C,999)</f>
        <v>2</v>
      </c>
      <c r="D2011" s="82" t="str">
        <f t="shared" si="248"/>
        <v>YES</v>
      </c>
      <c r="E2011" s="27">
        <v>6982.58</v>
      </c>
      <c r="F2011" s="27">
        <v>5360.7</v>
      </c>
      <c r="G2011" s="27">
        <v>192.06</v>
      </c>
      <c r="H2011" s="27">
        <v>174.22</v>
      </c>
      <c r="I2011" s="27">
        <v>930.78</v>
      </c>
      <c r="J2011" s="27">
        <v>13864.14</v>
      </c>
      <c r="K2011" s="47">
        <f t="shared" si="249"/>
        <v>0.50364321191217054</v>
      </c>
      <c r="L2011" s="47">
        <f t="shared" si="250"/>
        <v>0.38665939611111833</v>
      </c>
      <c r="M2011" s="84">
        <f t="shared" si="251"/>
        <v>0.89030260802328887</v>
      </c>
      <c r="N2011" s="47">
        <f t="shared" si="252"/>
        <v>1.3853004946574401E-2</v>
      </c>
      <c r="O2011" s="47">
        <f t="shared" si="253"/>
        <v>1.2566232020161366E-2</v>
      </c>
      <c r="P2011" s="47">
        <f t="shared" si="254"/>
        <v>6.7135790608000206E-2</v>
      </c>
      <c r="Q2011" s="47">
        <f t="shared" si="255"/>
        <v>1</v>
      </c>
    </row>
    <row r="2012" spans="1:17" x14ac:dyDescent="0.35">
      <c r="A2012" s="82">
        <v>2009</v>
      </c>
      <c r="B2012" s="83" t="str">
        <f>_xlfn.XLOOKUP(A2012,'TAZs by City - CCAG Model'!$A:$A,'TAZs by City - CCAG Model'!$B:$B,"Unknown")</f>
        <v>San Carlos</v>
      </c>
      <c r="C2012" s="82">
        <f>_xlfn.XLOOKUP(A2012,'TAZs by City - CCAG Model'!$A:$A,'TAZs by City - CCAG Model'!$C:$C,999)</f>
        <v>2</v>
      </c>
      <c r="D2012" s="82" t="str">
        <f t="shared" si="248"/>
        <v>YES</v>
      </c>
      <c r="E2012" s="27">
        <v>18603.34</v>
      </c>
      <c r="F2012" s="27">
        <v>9295.66</v>
      </c>
      <c r="G2012" s="27">
        <v>713.36</v>
      </c>
      <c r="H2012" s="27">
        <v>409.6</v>
      </c>
      <c r="I2012" s="27">
        <v>7892.76</v>
      </c>
      <c r="J2012" s="27">
        <v>37668.32</v>
      </c>
      <c r="K2012" s="47">
        <f t="shared" si="249"/>
        <v>0.49387230436610924</v>
      </c>
      <c r="L2012" s="47">
        <f t="shared" si="250"/>
        <v>0.24677660166421014</v>
      </c>
      <c r="M2012" s="84">
        <f t="shared" si="251"/>
        <v>0.74064890603031941</v>
      </c>
      <c r="N2012" s="47">
        <f t="shared" si="252"/>
        <v>1.8937929804143112E-2</v>
      </c>
      <c r="O2012" s="47">
        <f t="shared" si="253"/>
        <v>1.0873858988136451E-2</v>
      </c>
      <c r="P2012" s="47">
        <f t="shared" si="254"/>
        <v>0.20953310367969691</v>
      </c>
      <c r="Q2012" s="47">
        <f t="shared" si="255"/>
        <v>1</v>
      </c>
    </row>
    <row r="2013" spans="1:17" x14ac:dyDescent="0.35">
      <c r="A2013" s="82">
        <v>2010</v>
      </c>
      <c r="B2013" s="83" t="str">
        <f>_xlfn.XLOOKUP(A2013,'TAZs by City - CCAG Model'!$A:$A,'TAZs by City - CCAG Model'!$B:$B,"Unknown")</f>
        <v>San Carlos</v>
      </c>
      <c r="C2013" s="82">
        <f>_xlfn.XLOOKUP(A2013,'TAZs by City - CCAG Model'!$A:$A,'TAZs by City - CCAG Model'!$C:$C,999)</f>
        <v>2</v>
      </c>
      <c r="D2013" s="82" t="str">
        <f t="shared" si="248"/>
        <v>YES</v>
      </c>
      <c r="E2013" s="27">
        <v>13423.4</v>
      </c>
      <c r="F2013" s="27">
        <v>3930.26</v>
      </c>
      <c r="G2013" s="27">
        <v>369.1</v>
      </c>
      <c r="H2013" s="27">
        <v>168.86</v>
      </c>
      <c r="I2013" s="27">
        <v>604.16</v>
      </c>
      <c r="J2013" s="27">
        <v>18899.900000000001</v>
      </c>
      <c r="K2013" s="47">
        <f t="shared" si="249"/>
        <v>0.71023656209821207</v>
      </c>
      <c r="L2013" s="47">
        <f t="shared" si="250"/>
        <v>0.20795136482203608</v>
      </c>
      <c r="M2013" s="84">
        <f t="shared" si="251"/>
        <v>0.9181879269202482</v>
      </c>
      <c r="N2013" s="47">
        <f t="shared" si="252"/>
        <v>1.9529203858221472E-2</v>
      </c>
      <c r="O2013" s="47">
        <f t="shared" si="253"/>
        <v>8.9344388065545326E-3</v>
      </c>
      <c r="P2013" s="47">
        <f t="shared" si="254"/>
        <v>3.1966306700035446E-2</v>
      </c>
      <c r="Q2013" s="47">
        <f t="shared" si="255"/>
        <v>1</v>
      </c>
    </row>
    <row r="2014" spans="1:17" x14ac:dyDescent="0.35">
      <c r="A2014" s="82">
        <v>2011</v>
      </c>
      <c r="B2014" s="83" t="str">
        <f>_xlfn.XLOOKUP(A2014,'TAZs by City - CCAG Model'!$A:$A,'TAZs by City - CCAG Model'!$B:$B,"Unknown")</f>
        <v>Redwood City</v>
      </c>
      <c r="C2014" s="82">
        <f>_xlfn.XLOOKUP(A2014,'TAZs by City - CCAG Model'!$A:$A,'TAZs by City - CCAG Model'!$C:$C,999)</f>
        <v>2</v>
      </c>
      <c r="D2014" s="82" t="str">
        <f t="shared" si="248"/>
        <v>YES</v>
      </c>
      <c r="E2014" s="27">
        <v>5085.68</v>
      </c>
      <c r="F2014" s="27">
        <v>2953.9</v>
      </c>
      <c r="G2014" s="27">
        <v>167.18</v>
      </c>
      <c r="H2014" s="27">
        <v>105.88</v>
      </c>
      <c r="I2014" s="27">
        <v>1528.4</v>
      </c>
      <c r="J2014" s="27">
        <v>10052.120000000001</v>
      </c>
      <c r="K2014" s="47">
        <f t="shared" si="249"/>
        <v>0.50593108717365087</v>
      </c>
      <c r="L2014" s="47">
        <f t="shared" si="250"/>
        <v>0.29385840996725066</v>
      </c>
      <c r="M2014" s="84">
        <f t="shared" si="251"/>
        <v>0.79978949714090153</v>
      </c>
      <c r="N2014" s="47">
        <f t="shared" si="252"/>
        <v>1.663131757281051E-2</v>
      </c>
      <c r="O2014" s="47">
        <f t="shared" si="253"/>
        <v>1.0533101475111717E-2</v>
      </c>
      <c r="P2014" s="47">
        <f t="shared" si="254"/>
        <v>0.15204752828259113</v>
      </c>
      <c r="Q2014" s="47">
        <f t="shared" si="255"/>
        <v>1</v>
      </c>
    </row>
    <row r="2015" spans="1:17" x14ac:dyDescent="0.35">
      <c r="A2015" s="82">
        <v>2012</v>
      </c>
      <c r="B2015" s="83" t="str">
        <f>_xlfn.XLOOKUP(A2015,'TAZs by City - CCAG Model'!$A:$A,'TAZs by City - CCAG Model'!$B:$B,"Unknown")</f>
        <v>Redwood City</v>
      </c>
      <c r="C2015" s="82">
        <f>_xlfn.XLOOKUP(A2015,'TAZs by City - CCAG Model'!$A:$A,'TAZs by City - CCAG Model'!$C:$C,999)</f>
        <v>2</v>
      </c>
      <c r="D2015" s="82" t="str">
        <f t="shared" si="248"/>
        <v>YES</v>
      </c>
      <c r="E2015" s="27">
        <v>16872.060000000001</v>
      </c>
      <c r="F2015" s="27">
        <v>11372.3</v>
      </c>
      <c r="G2015" s="27">
        <v>539.4</v>
      </c>
      <c r="H2015" s="27">
        <v>277.83999999999997</v>
      </c>
      <c r="I2015" s="27">
        <v>2656.84</v>
      </c>
      <c r="J2015" s="27">
        <v>32296.1</v>
      </c>
      <c r="K2015" s="47">
        <f t="shared" si="249"/>
        <v>0.52241787708113374</v>
      </c>
      <c r="L2015" s="47">
        <f t="shared" si="250"/>
        <v>0.35212610810593231</v>
      </c>
      <c r="M2015" s="84">
        <f t="shared" si="251"/>
        <v>0.874543985187066</v>
      </c>
      <c r="N2015" s="47">
        <f t="shared" si="252"/>
        <v>1.6701707017255953E-2</v>
      </c>
      <c r="O2015" s="47">
        <f t="shared" si="253"/>
        <v>8.6028963249432586E-3</v>
      </c>
      <c r="P2015" s="47">
        <f t="shared" si="254"/>
        <v>8.2265041289815183E-2</v>
      </c>
      <c r="Q2015" s="47">
        <f t="shared" si="255"/>
        <v>1</v>
      </c>
    </row>
    <row r="2016" spans="1:17" x14ac:dyDescent="0.35">
      <c r="A2016" s="82">
        <v>2013</v>
      </c>
      <c r="B2016" s="83" t="str">
        <f>_xlfn.XLOOKUP(A2016,'TAZs by City - CCAG Model'!$A:$A,'TAZs by City - CCAG Model'!$B:$B,"Unknown")</f>
        <v>Redwood City</v>
      </c>
      <c r="C2016" s="82">
        <f>_xlfn.XLOOKUP(A2016,'TAZs by City - CCAG Model'!$A:$A,'TAZs by City - CCAG Model'!$C:$C,999)</f>
        <v>2</v>
      </c>
      <c r="D2016" s="82" t="str">
        <f t="shared" si="248"/>
        <v>YES</v>
      </c>
      <c r="E2016" s="27">
        <v>213.94</v>
      </c>
      <c r="F2016" s="27">
        <v>18.920000000000002</v>
      </c>
      <c r="G2016" s="27">
        <v>17.5</v>
      </c>
      <c r="H2016" s="27">
        <v>0.2</v>
      </c>
      <c r="I2016" s="27">
        <v>0</v>
      </c>
      <c r="J2016" s="27">
        <v>270.66000000000003</v>
      </c>
      <c r="K2016" s="47">
        <f t="shared" si="249"/>
        <v>0.79043818813271249</v>
      </c>
      <c r="L2016" s="47">
        <f t="shared" si="250"/>
        <v>6.9903199586196701E-2</v>
      </c>
      <c r="M2016" s="84">
        <f t="shared" si="251"/>
        <v>0.86034138771890933</v>
      </c>
      <c r="N2016" s="47">
        <f t="shared" si="252"/>
        <v>6.4656764944949374E-2</v>
      </c>
      <c r="O2016" s="47">
        <f t="shared" si="253"/>
        <v>7.3893445651370716E-4</v>
      </c>
      <c r="P2016" s="47">
        <f t="shared" si="254"/>
        <v>0</v>
      </c>
      <c r="Q2016" s="47">
        <f t="shared" si="255"/>
        <v>1</v>
      </c>
    </row>
    <row r="2017" spans="1:17" x14ac:dyDescent="0.35">
      <c r="A2017" s="82">
        <v>2014</v>
      </c>
      <c r="B2017" s="83" t="str">
        <f>_xlfn.XLOOKUP(A2017,'TAZs by City - CCAG Model'!$A:$A,'TAZs by City - CCAG Model'!$B:$B,"Unknown")</f>
        <v>Redwood City</v>
      </c>
      <c r="C2017" s="82">
        <f>_xlfn.XLOOKUP(A2017,'TAZs by City - CCAG Model'!$A:$A,'TAZs by City - CCAG Model'!$C:$C,999)</f>
        <v>2</v>
      </c>
      <c r="D2017" s="82" t="str">
        <f t="shared" si="248"/>
        <v>YES</v>
      </c>
      <c r="E2017" s="27">
        <v>13765.26</v>
      </c>
      <c r="F2017" s="27">
        <v>5759.24</v>
      </c>
      <c r="G2017" s="27">
        <v>330.32</v>
      </c>
      <c r="H2017" s="27">
        <v>302.64</v>
      </c>
      <c r="I2017" s="27">
        <v>1313.58</v>
      </c>
      <c r="J2017" s="27">
        <v>21838.6</v>
      </c>
      <c r="K2017" s="47">
        <f t="shared" si="249"/>
        <v>0.63031787751962132</v>
      </c>
      <c r="L2017" s="47">
        <f t="shared" si="250"/>
        <v>0.26371837022519762</v>
      </c>
      <c r="M2017" s="84">
        <f t="shared" si="251"/>
        <v>0.89403624774481882</v>
      </c>
      <c r="N2017" s="47">
        <f t="shared" si="252"/>
        <v>1.5125511708626012E-2</v>
      </c>
      <c r="O2017" s="47">
        <f t="shared" si="253"/>
        <v>1.3858031192475709E-2</v>
      </c>
      <c r="P2017" s="47">
        <f t="shared" si="254"/>
        <v>6.0149460130228129E-2</v>
      </c>
      <c r="Q2017" s="47">
        <f t="shared" si="255"/>
        <v>1</v>
      </c>
    </row>
    <row r="2018" spans="1:17" x14ac:dyDescent="0.35">
      <c r="A2018" s="82">
        <v>2015</v>
      </c>
      <c r="B2018" s="83" t="str">
        <f>_xlfn.XLOOKUP(A2018,'TAZs by City - CCAG Model'!$A:$A,'TAZs by City - CCAG Model'!$B:$B,"Unknown")</f>
        <v>Redwood City</v>
      </c>
      <c r="C2018" s="82">
        <f>_xlfn.XLOOKUP(A2018,'TAZs by City - CCAG Model'!$A:$A,'TAZs by City - CCAG Model'!$C:$C,999)</f>
        <v>2</v>
      </c>
      <c r="D2018" s="82" t="str">
        <f t="shared" si="248"/>
        <v>YES</v>
      </c>
      <c r="E2018" s="27">
        <v>32184.68</v>
      </c>
      <c r="F2018" s="27">
        <v>11044.78</v>
      </c>
      <c r="G2018" s="27">
        <v>1702.22</v>
      </c>
      <c r="H2018" s="27">
        <v>570.94000000000005</v>
      </c>
      <c r="I2018" s="27">
        <v>3472.04</v>
      </c>
      <c r="J2018" s="27">
        <v>50693.34</v>
      </c>
      <c r="K2018" s="47">
        <f t="shared" si="249"/>
        <v>0.63488971135064298</v>
      </c>
      <c r="L2018" s="47">
        <f t="shared" si="250"/>
        <v>0.21787437955360608</v>
      </c>
      <c r="M2018" s="84">
        <f t="shared" si="251"/>
        <v>0.85276409090424898</v>
      </c>
      <c r="N2018" s="47">
        <f t="shared" si="252"/>
        <v>3.357876991336535E-2</v>
      </c>
      <c r="O2018" s="47">
        <f t="shared" si="253"/>
        <v>1.1262623453100548E-2</v>
      </c>
      <c r="P2018" s="47">
        <f t="shared" si="254"/>
        <v>6.849104833100364E-2</v>
      </c>
      <c r="Q2018" s="47">
        <f t="shared" si="255"/>
        <v>1</v>
      </c>
    </row>
    <row r="2019" spans="1:17" x14ac:dyDescent="0.35">
      <c r="A2019" s="82">
        <v>2016</v>
      </c>
      <c r="B2019" s="83" t="str">
        <f>_xlfn.XLOOKUP(A2019,'TAZs by City - CCAG Model'!$A:$A,'TAZs by City - CCAG Model'!$B:$B,"Unknown")</f>
        <v>Redwood City</v>
      </c>
      <c r="C2019" s="82">
        <f>_xlfn.XLOOKUP(A2019,'TAZs by City - CCAG Model'!$A:$A,'TAZs by City - CCAG Model'!$C:$C,999)</f>
        <v>2</v>
      </c>
      <c r="D2019" s="82" t="str">
        <f t="shared" si="248"/>
        <v>YES</v>
      </c>
      <c r="E2019" s="27">
        <v>7291.72</v>
      </c>
      <c r="F2019" s="27">
        <v>4416.18</v>
      </c>
      <c r="G2019" s="27">
        <v>389.2</v>
      </c>
      <c r="H2019" s="27">
        <v>266.88</v>
      </c>
      <c r="I2019" s="27">
        <v>1050.58</v>
      </c>
      <c r="J2019" s="27">
        <v>13845.24</v>
      </c>
      <c r="K2019" s="47">
        <f t="shared" si="249"/>
        <v>0.52665898171501546</v>
      </c>
      <c r="L2019" s="47">
        <f t="shared" si="250"/>
        <v>0.31896738518075529</v>
      </c>
      <c r="M2019" s="84">
        <f t="shared" si="251"/>
        <v>0.84562636689577075</v>
      </c>
      <c r="N2019" s="47">
        <f t="shared" si="252"/>
        <v>2.8110744198005955E-2</v>
      </c>
      <c r="O2019" s="47">
        <f t="shared" si="253"/>
        <v>1.9275938878632656E-2</v>
      </c>
      <c r="P2019" s="47">
        <f t="shared" si="254"/>
        <v>7.5880230317423164E-2</v>
      </c>
      <c r="Q2019" s="47">
        <f t="shared" si="255"/>
        <v>1</v>
      </c>
    </row>
    <row r="2020" spans="1:17" x14ac:dyDescent="0.35">
      <c r="A2020" s="82">
        <v>2017</v>
      </c>
      <c r="B2020" s="83" t="str">
        <f>_xlfn.XLOOKUP(A2020,'TAZs by City - CCAG Model'!$A:$A,'TAZs by City - CCAG Model'!$B:$B,"Unknown")</f>
        <v>Redwood City</v>
      </c>
      <c r="C2020" s="82">
        <f>_xlfn.XLOOKUP(A2020,'TAZs by City - CCAG Model'!$A:$A,'TAZs by City - CCAG Model'!$C:$C,999)</f>
        <v>2</v>
      </c>
      <c r="D2020" s="82" t="str">
        <f t="shared" si="248"/>
        <v>YES</v>
      </c>
      <c r="E2020" s="27">
        <v>8103.08</v>
      </c>
      <c r="F2020" s="27">
        <v>4750.6000000000004</v>
      </c>
      <c r="G2020" s="27">
        <v>414.86</v>
      </c>
      <c r="H2020" s="27">
        <v>259.8</v>
      </c>
      <c r="I2020" s="27">
        <v>2591.7399999999998</v>
      </c>
      <c r="J2020" s="27">
        <v>16579.3</v>
      </c>
      <c r="K2020" s="47">
        <f t="shared" si="249"/>
        <v>0.4887468107821199</v>
      </c>
      <c r="L2020" s="47">
        <f t="shared" si="250"/>
        <v>0.28653803236566083</v>
      </c>
      <c r="M2020" s="84">
        <f t="shared" si="251"/>
        <v>0.77528484314778068</v>
      </c>
      <c r="N2020" s="47">
        <f t="shared" si="252"/>
        <v>2.5022769356969236E-2</v>
      </c>
      <c r="O2020" s="47">
        <f t="shared" si="253"/>
        <v>1.5670142889024265E-2</v>
      </c>
      <c r="P2020" s="47">
        <f t="shared" si="254"/>
        <v>0.1563238496197065</v>
      </c>
      <c r="Q2020" s="47">
        <f t="shared" si="255"/>
        <v>1</v>
      </c>
    </row>
    <row r="2021" spans="1:17" x14ac:dyDescent="0.35">
      <c r="A2021" s="82">
        <v>2018</v>
      </c>
      <c r="B2021" s="83" t="str">
        <f>_xlfn.XLOOKUP(A2021,'TAZs by City - CCAG Model'!$A:$A,'TAZs by City - CCAG Model'!$B:$B,"Unknown")</f>
        <v>San Carlos</v>
      </c>
      <c r="C2021" s="82">
        <f>_xlfn.XLOOKUP(A2021,'TAZs by City - CCAG Model'!$A:$A,'TAZs by City - CCAG Model'!$C:$C,999)</f>
        <v>2</v>
      </c>
      <c r="D2021" s="82" t="str">
        <f t="shared" si="248"/>
        <v>YES</v>
      </c>
      <c r="E2021" s="27">
        <v>10950.24</v>
      </c>
      <c r="F2021" s="27">
        <v>6782.8</v>
      </c>
      <c r="G2021" s="27">
        <v>288.22000000000003</v>
      </c>
      <c r="H2021" s="27">
        <v>272.7</v>
      </c>
      <c r="I2021" s="27">
        <v>2359.38</v>
      </c>
      <c r="J2021" s="27">
        <v>20979.46</v>
      </c>
      <c r="K2021" s="47">
        <f t="shared" si="249"/>
        <v>0.52195051731550768</v>
      </c>
      <c r="L2021" s="47">
        <f t="shared" si="250"/>
        <v>0.32330670093510511</v>
      </c>
      <c r="M2021" s="84">
        <f t="shared" si="251"/>
        <v>0.84525721825061284</v>
      </c>
      <c r="N2021" s="47">
        <f t="shared" si="252"/>
        <v>1.3738199171951997E-2</v>
      </c>
      <c r="O2021" s="47">
        <f t="shared" si="253"/>
        <v>1.2998427986230342E-2</v>
      </c>
      <c r="P2021" s="47">
        <f t="shared" si="254"/>
        <v>0.11246142655721358</v>
      </c>
      <c r="Q2021" s="47">
        <f t="shared" si="255"/>
        <v>1</v>
      </c>
    </row>
    <row r="2022" spans="1:17" x14ac:dyDescent="0.35">
      <c r="A2022" s="82">
        <v>2019</v>
      </c>
      <c r="B2022" s="83" t="str">
        <f>_xlfn.XLOOKUP(A2022,'TAZs by City - CCAG Model'!$A:$A,'TAZs by City - CCAG Model'!$B:$B,"Unknown")</f>
        <v>Redwood City</v>
      </c>
      <c r="C2022" s="82">
        <f>_xlfn.XLOOKUP(A2022,'TAZs by City - CCAG Model'!$A:$A,'TAZs by City - CCAG Model'!$C:$C,999)</f>
        <v>2</v>
      </c>
      <c r="D2022" s="82" t="str">
        <f t="shared" si="248"/>
        <v>YES</v>
      </c>
      <c r="E2022" s="27">
        <v>7180.8</v>
      </c>
      <c r="F2022" s="27">
        <v>4986.0200000000004</v>
      </c>
      <c r="G2022" s="27">
        <v>83</v>
      </c>
      <c r="H2022" s="27">
        <v>181.74</v>
      </c>
      <c r="I2022" s="27">
        <v>1160.5</v>
      </c>
      <c r="J2022" s="27">
        <v>13703.32</v>
      </c>
      <c r="K2022" s="47">
        <f t="shared" si="249"/>
        <v>0.52401899685623632</v>
      </c>
      <c r="L2022" s="47">
        <f t="shared" si="250"/>
        <v>0.36385489063964066</v>
      </c>
      <c r="M2022" s="84">
        <f t="shared" si="251"/>
        <v>0.88787388749587692</v>
      </c>
      <c r="N2022" s="47">
        <f t="shared" si="252"/>
        <v>6.0569263506945765E-3</v>
      </c>
      <c r="O2022" s="47">
        <f t="shared" si="253"/>
        <v>1.326247945753292E-2</v>
      </c>
      <c r="P2022" s="47">
        <f t="shared" si="254"/>
        <v>8.4687506385313929E-2</v>
      </c>
      <c r="Q2022" s="47">
        <f t="shared" si="255"/>
        <v>1</v>
      </c>
    </row>
    <row r="2023" spans="1:17" x14ac:dyDescent="0.35">
      <c r="A2023" s="82">
        <v>2020</v>
      </c>
      <c r="B2023" s="83" t="str">
        <f>_xlfn.XLOOKUP(A2023,'TAZs by City - CCAG Model'!$A:$A,'TAZs by City - CCAG Model'!$B:$B,"Unknown")</f>
        <v>Redwood City</v>
      </c>
      <c r="C2023" s="82">
        <f>_xlfn.XLOOKUP(A2023,'TAZs by City - CCAG Model'!$A:$A,'TAZs by City - CCAG Model'!$C:$C,999)</f>
        <v>2</v>
      </c>
      <c r="D2023" s="82" t="str">
        <f t="shared" si="248"/>
        <v>YES</v>
      </c>
      <c r="E2023" s="27">
        <v>11303.32</v>
      </c>
      <c r="F2023" s="27">
        <v>7116.4</v>
      </c>
      <c r="G2023" s="27">
        <v>80.239999999999995</v>
      </c>
      <c r="H2023" s="27">
        <v>403.44</v>
      </c>
      <c r="I2023" s="27">
        <v>3023.94</v>
      </c>
      <c r="J2023" s="27">
        <v>22038.7</v>
      </c>
      <c r="K2023" s="47">
        <f t="shared" si="249"/>
        <v>0.51288506127856903</v>
      </c>
      <c r="L2023" s="47">
        <f t="shared" si="250"/>
        <v>0.3229047085354399</v>
      </c>
      <c r="M2023" s="84">
        <f t="shared" si="251"/>
        <v>0.83578976981400899</v>
      </c>
      <c r="N2023" s="47">
        <f t="shared" si="252"/>
        <v>3.6408681092804924E-3</v>
      </c>
      <c r="O2023" s="47">
        <f t="shared" si="253"/>
        <v>1.830597993529564E-2</v>
      </c>
      <c r="P2023" s="47">
        <f t="shared" si="254"/>
        <v>0.13721045252215422</v>
      </c>
      <c r="Q2023" s="47">
        <f t="shared" si="255"/>
        <v>1</v>
      </c>
    </row>
    <row r="2024" spans="1:17" x14ac:dyDescent="0.35">
      <c r="A2024" s="82">
        <v>2021</v>
      </c>
      <c r="B2024" s="83" t="str">
        <f>_xlfn.XLOOKUP(A2024,'TAZs by City - CCAG Model'!$A:$A,'TAZs by City - CCAG Model'!$B:$B,"Unknown")</f>
        <v>Redwood City</v>
      </c>
      <c r="C2024" s="82">
        <f>_xlfn.XLOOKUP(A2024,'TAZs by City - CCAG Model'!$A:$A,'TAZs by City - CCAG Model'!$C:$C,999)</f>
        <v>2</v>
      </c>
      <c r="D2024" s="82" t="str">
        <f t="shared" si="248"/>
        <v>YES</v>
      </c>
      <c r="E2024" s="27">
        <v>8650.86</v>
      </c>
      <c r="F2024" s="27">
        <v>5268.76</v>
      </c>
      <c r="G2024" s="27">
        <v>106.4</v>
      </c>
      <c r="H2024" s="27">
        <v>254.14</v>
      </c>
      <c r="I2024" s="27">
        <v>1219.82</v>
      </c>
      <c r="J2024" s="27">
        <v>15641.18</v>
      </c>
      <c r="K2024" s="47">
        <f t="shared" si="249"/>
        <v>0.55308231220406645</v>
      </c>
      <c r="L2024" s="47">
        <f t="shared" si="250"/>
        <v>0.33685182320003992</v>
      </c>
      <c r="M2024" s="84">
        <f t="shared" si="251"/>
        <v>0.88993413540410637</v>
      </c>
      <c r="N2024" s="47">
        <f t="shared" si="252"/>
        <v>6.8025558173999663E-3</v>
      </c>
      <c r="O2024" s="47">
        <f t="shared" si="253"/>
        <v>1.6248134731522812E-2</v>
      </c>
      <c r="P2024" s="47">
        <f t="shared" si="254"/>
        <v>7.7987722153955136E-2</v>
      </c>
      <c r="Q2024" s="47">
        <f t="shared" si="255"/>
        <v>1</v>
      </c>
    </row>
    <row r="2025" spans="1:17" x14ac:dyDescent="0.35">
      <c r="A2025" s="82">
        <v>2022</v>
      </c>
      <c r="B2025" s="83" t="str">
        <f>_xlfn.XLOOKUP(A2025,'TAZs by City - CCAG Model'!$A:$A,'TAZs by City - CCAG Model'!$B:$B,"Unknown")</f>
        <v>Unincorporated</v>
      </c>
      <c r="C2025" s="82">
        <f>_xlfn.XLOOKUP(A2025,'TAZs by City - CCAG Model'!$A:$A,'TAZs by City - CCAG Model'!$C:$C,999)</f>
        <v>2</v>
      </c>
      <c r="D2025" s="82" t="str">
        <f t="shared" si="248"/>
        <v>YES</v>
      </c>
      <c r="E2025" s="27">
        <v>16650.939999999999</v>
      </c>
      <c r="F2025" s="27">
        <v>9123.94</v>
      </c>
      <c r="G2025" s="27">
        <v>233.24</v>
      </c>
      <c r="H2025" s="27">
        <v>521.38</v>
      </c>
      <c r="I2025" s="27">
        <v>5679.5</v>
      </c>
      <c r="J2025" s="27">
        <v>32474.66</v>
      </c>
      <c r="K2025" s="47">
        <f t="shared" si="249"/>
        <v>0.51273639200533583</v>
      </c>
      <c r="L2025" s="47">
        <f t="shared" si="250"/>
        <v>0.28095567436271851</v>
      </c>
      <c r="M2025" s="84">
        <f t="shared" si="251"/>
        <v>0.79369206636805423</v>
      </c>
      <c r="N2025" s="47">
        <f t="shared" si="252"/>
        <v>7.1822153026390428E-3</v>
      </c>
      <c r="O2025" s="47">
        <f t="shared" si="253"/>
        <v>1.6054979482464173E-2</v>
      </c>
      <c r="P2025" s="47">
        <f t="shared" si="254"/>
        <v>0.17489020670270297</v>
      </c>
      <c r="Q2025" s="47">
        <f t="shared" si="255"/>
        <v>1</v>
      </c>
    </row>
    <row r="2026" spans="1:17" x14ac:dyDescent="0.35">
      <c r="A2026" s="82">
        <v>2023</v>
      </c>
      <c r="B2026" s="83" t="str">
        <f>_xlfn.XLOOKUP(A2026,'TAZs by City - CCAG Model'!$A:$A,'TAZs by City - CCAG Model'!$B:$B,"Unknown")</f>
        <v>Redwood City</v>
      </c>
      <c r="C2026" s="82">
        <f>_xlfn.XLOOKUP(A2026,'TAZs by City - CCAG Model'!$A:$A,'TAZs by City - CCAG Model'!$C:$C,999)</f>
        <v>2</v>
      </c>
      <c r="D2026" s="82" t="str">
        <f t="shared" si="248"/>
        <v>YES</v>
      </c>
      <c r="E2026" s="27">
        <v>17151.78</v>
      </c>
      <c r="F2026" s="27">
        <v>9986.52</v>
      </c>
      <c r="G2026" s="27">
        <v>679.34</v>
      </c>
      <c r="H2026" s="27">
        <v>604.94000000000005</v>
      </c>
      <c r="I2026" s="27">
        <v>2556.34</v>
      </c>
      <c r="J2026" s="27">
        <v>31700.22</v>
      </c>
      <c r="K2026" s="47">
        <f t="shared" si="249"/>
        <v>0.54106186013850999</v>
      </c>
      <c r="L2026" s="47">
        <f t="shared" si="250"/>
        <v>0.31502999032814283</v>
      </c>
      <c r="M2026" s="84">
        <f t="shared" si="251"/>
        <v>0.85609185046665282</v>
      </c>
      <c r="N2026" s="47">
        <f t="shared" si="252"/>
        <v>2.1430135185181682E-2</v>
      </c>
      <c r="O2026" s="47">
        <f t="shared" si="253"/>
        <v>1.9083148318844476E-2</v>
      </c>
      <c r="P2026" s="47">
        <f t="shared" si="254"/>
        <v>8.0641080724360908E-2</v>
      </c>
      <c r="Q2026" s="47">
        <f t="shared" si="255"/>
        <v>1</v>
      </c>
    </row>
    <row r="2027" spans="1:17" x14ac:dyDescent="0.35">
      <c r="A2027" s="82">
        <v>2024</v>
      </c>
      <c r="B2027" s="83" t="str">
        <f>_xlfn.XLOOKUP(A2027,'TAZs by City - CCAG Model'!$A:$A,'TAZs by City - CCAG Model'!$B:$B,"Unknown")</f>
        <v>Redwood City</v>
      </c>
      <c r="C2027" s="82">
        <f>_xlfn.XLOOKUP(A2027,'TAZs by City - CCAG Model'!$A:$A,'TAZs by City - CCAG Model'!$C:$C,999)</f>
        <v>2</v>
      </c>
      <c r="D2027" s="82" t="str">
        <f t="shared" si="248"/>
        <v>YES</v>
      </c>
      <c r="E2027" s="27">
        <v>14817.48</v>
      </c>
      <c r="F2027" s="27">
        <v>9435.92</v>
      </c>
      <c r="G2027" s="27">
        <v>520.70000000000005</v>
      </c>
      <c r="H2027" s="27">
        <v>589.74</v>
      </c>
      <c r="I2027" s="27">
        <v>2251.96</v>
      </c>
      <c r="J2027" s="27">
        <v>28177.26</v>
      </c>
      <c r="K2027" s="47">
        <f t="shared" si="249"/>
        <v>0.52586660306928357</v>
      </c>
      <c r="L2027" s="47">
        <f t="shared" si="250"/>
        <v>0.33487713141732023</v>
      </c>
      <c r="M2027" s="84">
        <f t="shared" si="251"/>
        <v>0.8607437344866038</v>
      </c>
      <c r="N2027" s="47">
        <f t="shared" si="252"/>
        <v>1.847944051337852E-2</v>
      </c>
      <c r="O2027" s="47">
        <f t="shared" si="253"/>
        <v>2.0929643265526883E-2</v>
      </c>
      <c r="P2027" s="47">
        <f t="shared" si="254"/>
        <v>7.9921184671611079E-2</v>
      </c>
      <c r="Q2027" s="47">
        <f t="shared" si="255"/>
        <v>1</v>
      </c>
    </row>
    <row r="2028" spans="1:17" x14ac:dyDescent="0.35">
      <c r="A2028" s="82">
        <v>2025</v>
      </c>
      <c r="B2028" s="83" t="str">
        <f>_xlfn.XLOOKUP(A2028,'TAZs by City - CCAG Model'!$A:$A,'TAZs by City - CCAG Model'!$B:$B,"Unknown")</f>
        <v>Redwood City</v>
      </c>
      <c r="C2028" s="82">
        <f>_xlfn.XLOOKUP(A2028,'TAZs by City - CCAG Model'!$A:$A,'TAZs by City - CCAG Model'!$C:$C,999)</f>
        <v>2</v>
      </c>
      <c r="D2028" s="82" t="str">
        <f t="shared" si="248"/>
        <v>YES</v>
      </c>
      <c r="E2028" s="27">
        <v>7248.78</v>
      </c>
      <c r="F2028" s="27">
        <v>5050.12</v>
      </c>
      <c r="G2028" s="27">
        <v>231.24</v>
      </c>
      <c r="H2028" s="27">
        <v>271.45999999999998</v>
      </c>
      <c r="I2028" s="27">
        <v>2879.8</v>
      </c>
      <c r="J2028" s="27">
        <v>15956.68</v>
      </c>
      <c r="K2028" s="47">
        <f t="shared" si="249"/>
        <v>0.45427870960625893</v>
      </c>
      <c r="L2028" s="47">
        <f t="shared" si="250"/>
        <v>0.31648939503706286</v>
      </c>
      <c r="M2028" s="84">
        <f t="shared" si="251"/>
        <v>0.77076810464332179</v>
      </c>
      <c r="N2028" s="47">
        <f t="shared" si="252"/>
        <v>1.4491736376238667E-2</v>
      </c>
      <c r="O2028" s="47">
        <f t="shared" si="253"/>
        <v>1.7012310831576491E-2</v>
      </c>
      <c r="P2028" s="47">
        <f t="shared" si="254"/>
        <v>0.18047613914673979</v>
      </c>
      <c r="Q2028" s="47">
        <f t="shared" si="255"/>
        <v>1</v>
      </c>
    </row>
    <row r="2029" spans="1:17" x14ac:dyDescent="0.35">
      <c r="A2029" s="82">
        <v>2026</v>
      </c>
      <c r="B2029" s="83" t="str">
        <f>_xlfn.XLOOKUP(A2029,'TAZs by City - CCAG Model'!$A:$A,'TAZs by City - CCAG Model'!$B:$B,"Unknown")</f>
        <v>Redwood City</v>
      </c>
      <c r="C2029" s="82">
        <f>_xlfn.XLOOKUP(A2029,'TAZs by City - CCAG Model'!$A:$A,'TAZs by City - CCAG Model'!$C:$C,999)</f>
        <v>2</v>
      </c>
      <c r="D2029" s="82" t="str">
        <f t="shared" si="248"/>
        <v>YES</v>
      </c>
      <c r="E2029" s="27">
        <v>8821.7800000000007</v>
      </c>
      <c r="F2029" s="27">
        <v>6008.66</v>
      </c>
      <c r="G2029" s="27">
        <v>556.36</v>
      </c>
      <c r="H2029" s="27">
        <v>428.32</v>
      </c>
      <c r="I2029" s="27">
        <v>1711.28</v>
      </c>
      <c r="J2029" s="27">
        <v>18123.64</v>
      </c>
      <c r="K2029" s="47">
        <f t="shared" si="249"/>
        <v>0.48675541999289329</v>
      </c>
      <c r="L2029" s="47">
        <f t="shared" si="250"/>
        <v>0.33153715258082811</v>
      </c>
      <c r="M2029" s="84">
        <f t="shared" si="251"/>
        <v>0.81829257257372146</v>
      </c>
      <c r="N2029" s="47">
        <f t="shared" si="252"/>
        <v>3.0698027548549851E-2</v>
      </c>
      <c r="O2029" s="47">
        <f t="shared" si="253"/>
        <v>2.3633221582419425E-2</v>
      </c>
      <c r="P2029" s="47">
        <f t="shared" si="254"/>
        <v>9.442253322180312E-2</v>
      </c>
      <c r="Q2029" s="47">
        <f t="shared" si="255"/>
        <v>1</v>
      </c>
    </row>
    <row r="2030" spans="1:17" x14ac:dyDescent="0.35">
      <c r="A2030" s="82">
        <v>2027</v>
      </c>
      <c r="B2030" s="83" t="str">
        <f>_xlfn.XLOOKUP(A2030,'TAZs by City - CCAG Model'!$A:$A,'TAZs by City - CCAG Model'!$B:$B,"Unknown")</f>
        <v>Unincorporated</v>
      </c>
      <c r="C2030" s="82">
        <f>_xlfn.XLOOKUP(A2030,'TAZs by City - CCAG Model'!$A:$A,'TAZs by City - CCAG Model'!$C:$C,999)</f>
        <v>2</v>
      </c>
      <c r="D2030" s="82" t="str">
        <f t="shared" si="248"/>
        <v>YES</v>
      </c>
      <c r="E2030" s="27">
        <v>12403.82</v>
      </c>
      <c r="F2030" s="27">
        <v>9336.56</v>
      </c>
      <c r="G2030" s="27">
        <v>757.6</v>
      </c>
      <c r="H2030" s="27">
        <v>721.62</v>
      </c>
      <c r="I2030" s="27">
        <v>4621.54</v>
      </c>
      <c r="J2030" s="27">
        <v>28640.959999999999</v>
      </c>
      <c r="K2030" s="47">
        <f t="shared" si="249"/>
        <v>0.43307975710311386</v>
      </c>
      <c r="L2030" s="47">
        <f t="shared" si="250"/>
        <v>0.32598627978950423</v>
      </c>
      <c r="M2030" s="84">
        <f t="shared" si="251"/>
        <v>0.75906603689261809</v>
      </c>
      <c r="N2030" s="47">
        <f t="shared" si="252"/>
        <v>2.6451627319754648E-2</v>
      </c>
      <c r="O2030" s="47">
        <f t="shared" si="253"/>
        <v>2.5195384512250986E-2</v>
      </c>
      <c r="P2030" s="47">
        <f t="shared" si="254"/>
        <v>0.16136121135604395</v>
      </c>
      <c r="Q2030" s="47">
        <f t="shared" si="255"/>
        <v>1</v>
      </c>
    </row>
    <row r="2031" spans="1:17" x14ac:dyDescent="0.35">
      <c r="A2031" s="82">
        <v>2028</v>
      </c>
      <c r="B2031" s="83" t="str">
        <f>_xlfn.XLOOKUP(A2031,'TAZs by City - CCAG Model'!$A:$A,'TAZs by City - CCAG Model'!$B:$B,"Unknown")</f>
        <v>Unincorporated</v>
      </c>
      <c r="C2031" s="82">
        <f>_xlfn.XLOOKUP(A2031,'TAZs by City - CCAG Model'!$A:$A,'TAZs by City - CCAG Model'!$C:$C,999)</f>
        <v>2</v>
      </c>
      <c r="D2031" s="82" t="str">
        <f t="shared" si="248"/>
        <v>YES</v>
      </c>
      <c r="E2031" s="27">
        <v>11691.98</v>
      </c>
      <c r="F2031" s="27">
        <v>7275.88</v>
      </c>
      <c r="G2031" s="27">
        <v>291.83999999999997</v>
      </c>
      <c r="H2031" s="27">
        <v>395.42</v>
      </c>
      <c r="I2031" s="27">
        <v>2756.08</v>
      </c>
      <c r="J2031" s="27">
        <v>22742.32</v>
      </c>
      <c r="K2031" s="47">
        <f t="shared" si="249"/>
        <v>0.51410674020944214</v>
      </c>
      <c r="L2031" s="47">
        <f t="shared" si="250"/>
        <v>0.31992690279619668</v>
      </c>
      <c r="M2031" s="84">
        <f t="shared" si="251"/>
        <v>0.83403364300563887</v>
      </c>
      <c r="N2031" s="47">
        <f t="shared" si="252"/>
        <v>1.2832463882312798E-2</v>
      </c>
      <c r="O2031" s="47">
        <f t="shared" si="253"/>
        <v>1.7386968435937934E-2</v>
      </c>
      <c r="P2031" s="47">
        <f t="shared" si="254"/>
        <v>0.12118728432279556</v>
      </c>
      <c r="Q2031" s="47">
        <f t="shared" si="255"/>
        <v>1</v>
      </c>
    </row>
    <row r="2032" spans="1:17" x14ac:dyDescent="0.35">
      <c r="A2032" s="82">
        <v>2029</v>
      </c>
      <c r="B2032" s="83" t="str">
        <f>_xlfn.XLOOKUP(A2032,'TAZs by City - CCAG Model'!$A:$A,'TAZs by City - CCAG Model'!$B:$B,"Unknown")</f>
        <v>Unincorporated</v>
      </c>
      <c r="C2032" s="82">
        <f>_xlfn.XLOOKUP(A2032,'TAZs by City - CCAG Model'!$A:$A,'TAZs by City - CCAG Model'!$C:$C,999)</f>
        <v>2</v>
      </c>
      <c r="D2032" s="82" t="str">
        <f t="shared" si="248"/>
        <v>YES</v>
      </c>
      <c r="E2032" s="27">
        <v>19323.080000000002</v>
      </c>
      <c r="F2032" s="27">
        <v>12250.26</v>
      </c>
      <c r="G2032" s="27">
        <v>595.74</v>
      </c>
      <c r="H2032" s="27">
        <v>805.78</v>
      </c>
      <c r="I2032" s="27">
        <v>3080.74</v>
      </c>
      <c r="J2032" s="27">
        <v>36682.32</v>
      </c>
      <c r="K2032" s="47">
        <f t="shared" si="249"/>
        <v>0.52676820877196429</v>
      </c>
      <c r="L2032" s="47">
        <f t="shared" si="250"/>
        <v>0.33395543139038097</v>
      </c>
      <c r="M2032" s="84">
        <f t="shared" si="251"/>
        <v>0.86072364016234537</v>
      </c>
      <c r="N2032" s="47">
        <f t="shared" si="252"/>
        <v>1.6240521319262249E-2</v>
      </c>
      <c r="O2032" s="47">
        <f t="shared" si="253"/>
        <v>2.1966440508670117E-2</v>
      </c>
      <c r="P2032" s="47">
        <f t="shared" si="254"/>
        <v>8.3984328145002812E-2</v>
      </c>
      <c r="Q2032" s="47">
        <f t="shared" si="255"/>
        <v>1</v>
      </c>
    </row>
    <row r="2033" spans="1:17" x14ac:dyDescent="0.35">
      <c r="A2033" s="82">
        <v>2030</v>
      </c>
      <c r="B2033" s="83" t="str">
        <f>_xlfn.XLOOKUP(A2033,'TAZs by City - CCAG Model'!$A:$A,'TAZs by City - CCAG Model'!$B:$B,"Unknown")</f>
        <v>Redwood City</v>
      </c>
      <c r="C2033" s="82">
        <f>_xlfn.XLOOKUP(A2033,'TAZs by City - CCAG Model'!$A:$A,'TAZs by City - CCAG Model'!$C:$C,999)</f>
        <v>2</v>
      </c>
      <c r="D2033" s="82" t="str">
        <f t="shared" si="248"/>
        <v>YES</v>
      </c>
      <c r="E2033" s="27">
        <v>12122.04</v>
      </c>
      <c r="F2033" s="27">
        <v>9282.4599999999991</v>
      </c>
      <c r="G2033" s="27">
        <v>227.62</v>
      </c>
      <c r="H2033" s="27">
        <v>566.29999999999995</v>
      </c>
      <c r="I2033" s="27">
        <v>2061.3000000000002</v>
      </c>
      <c r="J2033" s="27">
        <v>24524.14</v>
      </c>
      <c r="K2033" s="47">
        <f t="shared" si="249"/>
        <v>0.49429011577979903</v>
      </c>
      <c r="L2033" s="47">
        <f t="shared" si="250"/>
        <v>0.37850297706667796</v>
      </c>
      <c r="M2033" s="84">
        <f t="shared" si="251"/>
        <v>0.87279309284647699</v>
      </c>
      <c r="N2033" s="47">
        <f t="shared" si="252"/>
        <v>9.281467158481398E-3</v>
      </c>
      <c r="O2033" s="47">
        <f t="shared" si="253"/>
        <v>2.3091533484966242E-2</v>
      </c>
      <c r="P2033" s="47">
        <f t="shared" si="254"/>
        <v>8.4051877048491819E-2</v>
      </c>
      <c r="Q2033" s="47">
        <f t="shared" si="255"/>
        <v>1</v>
      </c>
    </row>
    <row r="2034" spans="1:17" x14ac:dyDescent="0.35">
      <c r="A2034" s="82">
        <v>2031</v>
      </c>
      <c r="B2034" s="83" t="str">
        <f>_xlfn.XLOOKUP(A2034,'TAZs by City - CCAG Model'!$A:$A,'TAZs by City - CCAG Model'!$B:$B,"Unknown")</f>
        <v>Menlo Park</v>
      </c>
      <c r="C2034" s="82">
        <f>_xlfn.XLOOKUP(A2034,'TAZs by City - CCAG Model'!$A:$A,'TAZs by City - CCAG Model'!$C:$C,999)</f>
        <v>2</v>
      </c>
      <c r="D2034" s="82" t="str">
        <f t="shared" si="248"/>
        <v>YES</v>
      </c>
      <c r="E2034" s="27">
        <v>25016.02</v>
      </c>
      <c r="F2034" s="27">
        <v>7021.4</v>
      </c>
      <c r="G2034" s="27">
        <v>801.68</v>
      </c>
      <c r="H2034" s="27">
        <v>247.1</v>
      </c>
      <c r="I2034" s="27">
        <v>579.5</v>
      </c>
      <c r="J2034" s="27">
        <v>34488.720000000001</v>
      </c>
      <c r="K2034" s="47">
        <f t="shared" si="249"/>
        <v>0.72533918336198033</v>
      </c>
      <c r="L2034" s="47">
        <f t="shared" si="250"/>
        <v>0.20358540415532961</v>
      </c>
      <c r="M2034" s="84">
        <f t="shared" si="251"/>
        <v>0.92892458751730989</v>
      </c>
      <c r="N2034" s="47">
        <f t="shared" si="252"/>
        <v>2.3244701456012283E-2</v>
      </c>
      <c r="O2034" s="47">
        <f t="shared" si="253"/>
        <v>7.164661373341776E-3</v>
      </c>
      <c r="P2034" s="47">
        <f t="shared" si="254"/>
        <v>1.6802595167347469E-2</v>
      </c>
      <c r="Q2034" s="47">
        <f t="shared" si="255"/>
        <v>1</v>
      </c>
    </row>
    <row r="2035" spans="1:17" x14ac:dyDescent="0.35">
      <c r="A2035" s="82">
        <v>2032</v>
      </c>
      <c r="B2035" s="83" t="str">
        <f>_xlfn.XLOOKUP(A2035,'TAZs by City - CCAG Model'!$A:$A,'TAZs by City - CCAG Model'!$B:$B,"Unknown")</f>
        <v>Menlo Park</v>
      </c>
      <c r="C2035" s="82">
        <f>_xlfn.XLOOKUP(A2035,'TAZs by City - CCAG Model'!$A:$A,'TAZs by City - CCAG Model'!$C:$C,999)</f>
        <v>2</v>
      </c>
      <c r="D2035" s="82" t="str">
        <f t="shared" si="248"/>
        <v>YES</v>
      </c>
      <c r="E2035" s="27">
        <v>3295.74</v>
      </c>
      <c r="F2035" s="27">
        <v>3696.04</v>
      </c>
      <c r="G2035" s="27">
        <v>234.8</v>
      </c>
      <c r="H2035" s="27">
        <v>154.46</v>
      </c>
      <c r="I2035" s="27">
        <v>1282.8599999999999</v>
      </c>
      <c r="J2035" s="27">
        <v>8920.24</v>
      </c>
      <c r="K2035" s="47">
        <f t="shared" si="249"/>
        <v>0.36946763764203649</v>
      </c>
      <c r="L2035" s="47">
        <f t="shared" si="250"/>
        <v>0.41434311184452438</v>
      </c>
      <c r="M2035" s="84">
        <f t="shared" si="251"/>
        <v>0.78381074948656093</v>
      </c>
      <c r="N2035" s="47">
        <f t="shared" si="252"/>
        <v>2.6322161735558687E-2</v>
      </c>
      <c r="O2035" s="47">
        <f t="shared" si="253"/>
        <v>1.7315677605086861E-2</v>
      </c>
      <c r="P2035" s="47">
        <f t="shared" si="254"/>
        <v>0.14381451620135779</v>
      </c>
      <c r="Q2035" s="47">
        <f t="shared" si="255"/>
        <v>1</v>
      </c>
    </row>
    <row r="2036" spans="1:17" x14ac:dyDescent="0.35">
      <c r="A2036" s="82">
        <v>2033</v>
      </c>
      <c r="B2036" s="83" t="str">
        <f>_xlfn.XLOOKUP(A2036,'TAZs by City - CCAG Model'!$A:$A,'TAZs by City - CCAG Model'!$B:$B,"Unknown")</f>
        <v>East Palo Alto</v>
      </c>
      <c r="C2036" s="82">
        <f>_xlfn.XLOOKUP(A2036,'TAZs by City - CCAG Model'!$A:$A,'TAZs by City - CCAG Model'!$C:$C,999)</f>
        <v>2</v>
      </c>
      <c r="D2036" s="82" t="str">
        <f t="shared" si="248"/>
        <v>YES</v>
      </c>
      <c r="E2036" s="27">
        <v>3025.52</v>
      </c>
      <c r="F2036" s="27">
        <v>2378.2199999999998</v>
      </c>
      <c r="G2036" s="27">
        <v>102.9</v>
      </c>
      <c r="H2036" s="27">
        <v>114.8</v>
      </c>
      <c r="I2036" s="27">
        <v>835.36</v>
      </c>
      <c r="J2036" s="27">
        <v>6604.16</v>
      </c>
      <c r="K2036" s="47">
        <f t="shared" si="249"/>
        <v>0.45812336466711889</v>
      </c>
      <c r="L2036" s="47">
        <f t="shared" si="250"/>
        <v>0.36010938559937977</v>
      </c>
      <c r="M2036" s="84">
        <f t="shared" si="251"/>
        <v>0.81823275026649867</v>
      </c>
      <c r="N2036" s="47">
        <f t="shared" si="252"/>
        <v>1.5581088283748426E-2</v>
      </c>
      <c r="O2036" s="47">
        <f t="shared" si="253"/>
        <v>1.7382982847175113E-2</v>
      </c>
      <c r="P2036" s="47">
        <f t="shared" si="254"/>
        <v>0.12648996995832931</v>
      </c>
      <c r="Q2036" s="47">
        <f t="shared" si="255"/>
        <v>1</v>
      </c>
    </row>
    <row r="2037" spans="1:17" x14ac:dyDescent="0.35">
      <c r="A2037" s="82">
        <v>2034</v>
      </c>
      <c r="B2037" s="83" t="str">
        <f>_xlfn.XLOOKUP(A2037,'TAZs by City - CCAG Model'!$A:$A,'TAZs by City - CCAG Model'!$B:$B,"Unknown")</f>
        <v>East Palo Alto</v>
      </c>
      <c r="C2037" s="82">
        <f>_xlfn.XLOOKUP(A2037,'TAZs by City - CCAG Model'!$A:$A,'TAZs by City - CCAG Model'!$C:$C,999)</f>
        <v>2</v>
      </c>
      <c r="D2037" s="82" t="str">
        <f t="shared" si="248"/>
        <v>YES</v>
      </c>
      <c r="E2037" s="27">
        <v>5904.1</v>
      </c>
      <c r="F2037" s="27">
        <v>5409.34</v>
      </c>
      <c r="G2037" s="27">
        <v>281.10000000000002</v>
      </c>
      <c r="H2037" s="27">
        <v>332.56</v>
      </c>
      <c r="I2037" s="27">
        <v>2325.64</v>
      </c>
      <c r="J2037" s="27">
        <v>14586.24</v>
      </c>
      <c r="K2037" s="47">
        <f t="shared" si="249"/>
        <v>0.40477189460752055</v>
      </c>
      <c r="L2037" s="47">
        <f t="shared" si="250"/>
        <v>0.37085225527620552</v>
      </c>
      <c r="M2037" s="84">
        <f t="shared" si="251"/>
        <v>0.77562414988372608</v>
      </c>
      <c r="N2037" s="47">
        <f t="shared" si="252"/>
        <v>1.9271587468737663E-2</v>
      </c>
      <c r="O2037" s="47">
        <f t="shared" si="253"/>
        <v>2.2799570005704005E-2</v>
      </c>
      <c r="P2037" s="47">
        <f t="shared" si="254"/>
        <v>0.1594406783379404</v>
      </c>
      <c r="Q2037" s="47">
        <f t="shared" si="255"/>
        <v>1</v>
      </c>
    </row>
    <row r="2038" spans="1:17" x14ac:dyDescent="0.35">
      <c r="A2038" s="82">
        <v>2035</v>
      </c>
      <c r="B2038" s="83" t="str">
        <f>_xlfn.XLOOKUP(A2038,'TAZs by City - CCAG Model'!$A:$A,'TAZs by City - CCAG Model'!$B:$B,"Unknown")</f>
        <v>East Palo Alto</v>
      </c>
      <c r="C2038" s="82">
        <f>_xlfn.XLOOKUP(A2038,'TAZs by City - CCAG Model'!$A:$A,'TAZs by City - CCAG Model'!$C:$C,999)</f>
        <v>2</v>
      </c>
      <c r="D2038" s="82" t="str">
        <f t="shared" si="248"/>
        <v>YES</v>
      </c>
      <c r="E2038" s="27">
        <v>15796.12</v>
      </c>
      <c r="F2038" s="27">
        <v>11952.7</v>
      </c>
      <c r="G2038" s="27">
        <v>1177.82</v>
      </c>
      <c r="H2038" s="27">
        <v>1065.3</v>
      </c>
      <c r="I2038" s="27">
        <v>2802.62</v>
      </c>
      <c r="J2038" s="27">
        <v>34019.14</v>
      </c>
      <c r="K2038" s="47">
        <f t="shared" si="249"/>
        <v>0.46433037401886118</v>
      </c>
      <c r="L2038" s="47">
        <f t="shared" si="250"/>
        <v>0.35135220937389955</v>
      </c>
      <c r="M2038" s="84">
        <f t="shared" si="251"/>
        <v>0.81568258339276067</v>
      </c>
      <c r="N2038" s="47">
        <f t="shared" si="252"/>
        <v>3.4622274401998401E-2</v>
      </c>
      <c r="O2038" s="47">
        <f t="shared" si="253"/>
        <v>3.1314724593273079E-2</v>
      </c>
      <c r="P2038" s="47">
        <f t="shared" si="254"/>
        <v>8.238362286642166E-2</v>
      </c>
      <c r="Q2038" s="47">
        <f t="shared" si="255"/>
        <v>1</v>
      </c>
    </row>
    <row r="2039" spans="1:17" x14ac:dyDescent="0.35">
      <c r="A2039" s="82">
        <v>2036</v>
      </c>
      <c r="B2039" s="83" t="str">
        <f>_xlfn.XLOOKUP(A2039,'TAZs by City - CCAG Model'!$A:$A,'TAZs by City - CCAG Model'!$B:$B,"Unknown")</f>
        <v>Menlo Park</v>
      </c>
      <c r="C2039" s="82">
        <f>_xlfn.XLOOKUP(A2039,'TAZs by City - CCAG Model'!$A:$A,'TAZs by City - CCAG Model'!$C:$C,999)</f>
        <v>2</v>
      </c>
      <c r="D2039" s="82" t="str">
        <f t="shared" si="248"/>
        <v>YES</v>
      </c>
      <c r="E2039" s="27">
        <v>8232.48</v>
      </c>
      <c r="F2039" s="27">
        <v>4942.3999999999996</v>
      </c>
      <c r="G2039" s="27">
        <v>579.14</v>
      </c>
      <c r="H2039" s="27">
        <v>362.68</v>
      </c>
      <c r="I2039" s="27">
        <v>2484.9</v>
      </c>
      <c r="J2039" s="27">
        <v>17225.060000000001</v>
      </c>
      <c r="K2039" s="47">
        <f t="shared" si="249"/>
        <v>0.47793621618734561</v>
      </c>
      <c r="L2039" s="47">
        <f t="shared" si="250"/>
        <v>0.28693078572730657</v>
      </c>
      <c r="M2039" s="84">
        <f t="shared" si="251"/>
        <v>0.76486700191465218</v>
      </c>
      <c r="N2039" s="47">
        <f t="shared" si="252"/>
        <v>3.3621943842285597E-2</v>
      </c>
      <c r="O2039" s="47">
        <f t="shared" si="253"/>
        <v>2.1055369328176504E-2</v>
      </c>
      <c r="P2039" s="47">
        <f t="shared" si="254"/>
        <v>0.14426074568100197</v>
      </c>
      <c r="Q2039" s="47">
        <f t="shared" si="255"/>
        <v>1</v>
      </c>
    </row>
    <row r="2040" spans="1:17" x14ac:dyDescent="0.35">
      <c r="A2040" s="82">
        <v>2037</v>
      </c>
      <c r="B2040" s="83" t="str">
        <f>_xlfn.XLOOKUP(A2040,'TAZs by City - CCAG Model'!$A:$A,'TAZs by City - CCAG Model'!$B:$B,"Unknown")</f>
        <v>Unincorporated</v>
      </c>
      <c r="C2040" s="82">
        <f>_xlfn.XLOOKUP(A2040,'TAZs by City - CCAG Model'!$A:$A,'TAZs by City - CCAG Model'!$C:$C,999)</f>
        <v>2</v>
      </c>
      <c r="D2040" s="82" t="str">
        <f t="shared" si="248"/>
        <v>YES</v>
      </c>
      <c r="E2040" s="27">
        <v>1994.54</v>
      </c>
      <c r="F2040" s="27">
        <v>1204.8</v>
      </c>
      <c r="G2040" s="27">
        <v>47.3</v>
      </c>
      <c r="H2040" s="27">
        <v>45.26</v>
      </c>
      <c r="I2040" s="27">
        <v>460.06</v>
      </c>
      <c r="J2040" s="27">
        <v>3841.16</v>
      </c>
      <c r="K2040" s="47">
        <f t="shared" si="249"/>
        <v>0.51925460017286451</v>
      </c>
      <c r="L2040" s="47">
        <f t="shared" si="250"/>
        <v>0.31365524997656957</v>
      </c>
      <c r="M2040" s="84">
        <f t="shared" si="251"/>
        <v>0.83290985014943408</v>
      </c>
      <c r="N2040" s="47">
        <f t="shared" si="252"/>
        <v>1.2313988482645867E-2</v>
      </c>
      <c r="O2040" s="47">
        <f t="shared" si="253"/>
        <v>1.1782898915952472E-2</v>
      </c>
      <c r="P2040" s="47">
        <f t="shared" si="254"/>
        <v>0.11977111081027607</v>
      </c>
      <c r="Q2040" s="47">
        <f t="shared" si="255"/>
        <v>1</v>
      </c>
    </row>
    <row r="2041" spans="1:17" x14ac:dyDescent="0.35">
      <c r="A2041" s="82">
        <v>2038</v>
      </c>
      <c r="B2041" s="83" t="str">
        <f>_xlfn.XLOOKUP(A2041,'TAZs by City - CCAG Model'!$A:$A,'TAZs by City - CCAG Model'!$B:$B,"Unknown")</f>
        <v>Menlo Park</v>
      </c>
      <c r="C2041" s="82">
        <f>_xlfn.XLOOKUP(A2041,'TAZs by City - CCAG Model'!$A:$A,'TAZs by City - CCAG Model'!$C:$C,999)</f>
        <v>2</v>
      </c>
      <c r="D2041" s="82" t="str">
        <f t="shared" si="248"/>
        <v>YES</v>
      </c>
      <c r="E2041" s="27">
        <v>3334.34</v>
      </c>
      <c r="F2041" s="27">
        <v>2505.44</v>
      </c>
      <c r="G2041" s="27">
        <v>53.4</v>
      </c>
      <c r="H2041" s="27">
        <v>116.46</v>
      </c>
      <c r="I2041" s="27">
        <v>305.42</v>
      </c>
      <c r="J2041" s="27">
        <v>6400.34</v>
      </c>
      <c r="K2041" s="47">
        <f t="shared" si="249"/>
        <v>0.52096294884334271</v>
      </c>
      <c r="L2041" s="47">
        <f t="shared" si="250"/>
        <v>0.39145420399541275</v>
      </c>
      <c r="M2041" s="84">
        <f t="shared" si="251"/>
        <v>0.91241715283875557</v>
      </c>
      <c r="N2041" s="47">
        <f t="shared" si="252"/>
        <v>8.3433067618282775E-3</v>
      </c>
      <c r="O2041" s="47">
        <f t="shared" si="253"/>
        <v>1.819590834236931E-2</v>
      </c>
      <c r="P2041" s="47">
        <f t="shared" si="254"/>
        <v>4.7719339910067278E-2</v>
      </c>
      <c r="Q2041" s="47">
        <f t="shared" si="255"/>
        <v>1</v>
      </c>
    </row>
    <row r="2042" spans="1:17" x14ac:dyDescent="0.35">
      <c r="A2042" s="82">
        <v>2039</v>
      </c>
      <c r="B2042" s="83" t="str">
        <f>_xlfn.XLOOKUP(A2042,'TAZs by City - CCAG Model'!$A:$A,'TAZs by City - CCAG Model'!$B:$B,"Unknown")</f>
        <v>Atherton</v>
      </c>
      <c r="C2042" s="82">
        <f>_xlfn.XLOOKUP(A2042,'TAZs by City - CCAG Model'!$A:$A,'TAZs by City - CCAG Model'!$C:$C,999)</f>
        <v>2</v>
      </c>
      <c r="D2042" s="82" t="str">
        <f t="shared" si="248"/>
        <v>YES</v>
      </c>
      <c r="E2042" s="27">
        <v>5211</v>
      </c>
      <c r="F2042" s="27">
        <v>3771.22</v>
      </c>
      <c r="G2042" s="27">
        <v>229.62</v>
      </c>
      <c r="H2042" s="27">
        <v>179.6</v>
      </c>
      <c r="I2042" s="27">
        <v>661.64</v>
      </c>
      <c r="J2042" s="27">
        <v>10317.64</v>
      </c>
      <c r="K2042" s="47">
        <f t="shared" si="249"/>
        <v>0.50505735807801011</v>
      </c>
      <c r="L2042" s="47">
        <f t="shared" si="250"/>
        <v>0.36551188062386358</v>
      </c>
      <c r="M2042" s="84">
        <f t="shared" si="251"/>
        <v>0.87056923870187364</v>
      </c>
      <c r="N2042" s="47">
        <f t="shared" si="252"/>
        <v>2.225508934213638E-2</v>
      </c>
      <c r="O2042" s="47">
        <f t="shared" si="253"/>
        <v>1.7407081464365884E-2</v>
      </c>
      <c r="P2042" s="47">
        <f t="shared" si="254"/>
        <v>6.412706781783431E-2</v>
      </c>
      <c r="Q2042" s="47">
        <f t="shared" si="255"/>
        <v>1</v>
      </c>
    </row>
    <row r="2043" spans="1:17" x14ac:dyDescent="0.35">
      <c r="A2043" s="82">
        <v>2040</v>
      </c>
      <c r="B2043" s="83" t="str">
        <f>_xlfn.XLOOKUP(A2043,'TAZs by City - CCAG Model'!$A:$A,'TAZs by City - CCAG Model'!$B:$B,"Unknown")</f>
        <v>Menlo Park</v>
      </c>
      <c r="C2043" s="82">
        <f>_xlfn.XLOOKUP(A2043,'TAZs by City - CCAG Model'!$A:$A,'TAZs by City - CCAG Model'!$C:$C,999)</f>
        <v>2</v>
      </c>
      <c r="D2043" s="82" t="str">
        <f t="shared" si="248"/>
        <v>YES</v>
      </c>
      <c r="E2043" s="27">
        <v>13103.9</v>
      </c>
      <c r="F2043" s="27">
        <v>5450.44</v>
      </c>
      <c r="G2043" s="27">
        <v>891.64</v>
      </c>
      <c r="H2043" s="27">
        <v>329.76</v>
      </c>
      <c r="I2043" s="27">
        <v>4399.42</v>
      </c>
      <c r="J2043" s="27">
        <v>25103.74</v>
      </c>
      <c r="K2043" s="47">
        <f t="shared" si="249"/>
        <v>0.52198995050139929</v>
      </c>
      <c r="L2043" s="47">
        <f t="shared" si="250"/>
        <v>0.2171166527377992</v>
      </c>
      <c r="M2043" s="84">
        <f t="shared" si="251"/>
        <v>0.73910660323919863</v>
      </c>
      <c r="N2043" s="47">
        <f t="shared" si="252"/>
        <v>3.5518213620759291E-2</v>
      </c>
      <c r="O2043" s="47">
        <f t="shared" si="253"/>
        <v>1.3135891305438949E-2</v>
      </c>
      <c r="P2043" s="47">
        <f t="shared" si="254"/>
        <v>0.17524958432488544</v>
      </c>
      <c r="Q2043" s="47">
        <f t="shared" si="255"/>
        <v>1</v>
      </c>
    </row>
    <row r="2044" spans="1:17" x14ac:dyDescent="0.35">
      <c r="A2044" s="82">
        <v>2041</v>
      </c>
      <c r="B2044" s="83" t="str">
        <f>_xlfn.XLOOKUP(A2044,'TAZs by City - CCAG Model'!$A:$A,'TAZs by City - CCAG Model'!$B:$B,"Unknown")</f>
        <v>Menlo Park</v>
      </c>
      <c r="C2044" s="82">
        <f>_xlfn.XLOOKUP(A2044,'TAZs by City - CCAG Model'!$A:$A,'TAZs by City - CCAG Model'!$C:$C,999)</f>
        <v>2</v>
      </c>
      <c r="D2044" s="82" t="str">
        <f t="shared" si="248"/>
        <v>YES</v>
      </c>
      <c r="E2044" s="27">
        <v>23017.86</v>
      </c>
      <c r="F2044" s="27">
        <v>9989.32</v>
      </c>
      <c r="G2044" s="27">
        <v>1292</v>
      </c>
      <c r="H2044" s="27">
        <v>838.22</v>
      </c>
      <c r="I2044" s="27">
        <v>3677</v>
      </c>
      <c r="J2044" s="27">
        <v>40140.58</v>
      </c>
      <c r="K2044" s="47">
        <f t="shared" si="249"/>
        <v>0.57343117613148586</v>
      </c>
      <c r="L2044" s="47">
        <f t="shared" si="250"/>
        <v>0.24885838719819195</v>
      </c>
      <c r="M2044" s="84">
        <f t="shared" si="251"/>
        <v>0.82228956332967784</v>
      </c>
      <c r="N2044" s="47">
        <f t="shared" si="252"/>
        <v>3.2186879213005892E-2</v>
      </c>
      <c r="O2044" s="47">
        <f t="shared" si="253"/>
        <v>2.0882109825019968E-2</v>
      </c>
      <c r="P2044" s="47">
        <f t="shared" si="254"/>
        <v>9.1603061041967998E-2</v>
      </c>
      <c r="Q2044" s="47">
        <f t="shared" si="255"/>
        <v>1</v>
      </c>
    </row>
    <row r="2045" spans="1:17" x14ac:dyDescent="0.35">
      <c r="A2045" s="82">
        <v>2042</v>
      </c>
      <c r="B2045" s="83" t="str">
        <f>_xlfn.XLOOKUP(A2045,'TAZs by City - CCAG Model'!$A:$A,'TAZs by City - CCAG Model'!$B:$B,"Unknown")</f>
        <v>Atherton</v>
      </c>
      <c r="C2045" s="82">
        <f>_xlfn.XLOOKUP(A2045,'TAZs by City - CCAG Model'!$A:$A,'TAZs by City - CCAG Model'!$C:$C,999)</f>
        <v>2</v>
      </c>
      <c r="D2045" s="82" t="str">
        <f t="shared" si="248"/>
        <v>YES</v>
      </c>
      <c r="E2045" s="27">
        <v>1478.84</v>
      </c>
      <c r="F2045" s="27">
        <v>1061.54</v>
      </c>
      <c r="G2045" s="27">
        <v>13.04</v>
      </c>
      <c r="H2045" s="27">
        <v>35.22</v>
      </c>
      <c r="I2045" s="27">
        <v>125.54</v>
      </c>
      <c r="J2045" s="27">
        <v>2749.7</v>
      </c>
      <c r="K2045" s="47">
        <f t="shared" si="249"/>
        <v>0.53781867112775938</v>
      </c>
      <c r="L2045" s="47">
        <f t="shared" si="250"/>
        <v>0.38605666072662476</v>
      </c>
      <c r="M2045" s="84">
        <f t="shared" si="251"/>
        <v>0.9238753318543842</v>
      </c>
      <c r="N2045" s="47">
        <f t="shared" si="252"/>
        <v>4.7423355275120925E-3</v>
      </c>
      <c r="O2045" s="47">
        <f t="shared" si="253"/>
        <v>1.2808670036731281E-2</v>
      </c>
      <c r="P2045" s="47">
        <f t="shared" si="254"/>
        <v>4.5655889733425471E-2</v>
      </c>
      <c r="Q2045" s="47">
        <f t="shared" si="255"/>
        <v>1</v>
      </c>
    </row>
    <row r="2046" spans="1:17" x14ac:dyDescent="0.35">
      <c r="A2046" s="82">
        <v>2043</v>
      </c>
      <c r="B2046" s="83" t="str">
        <f>_xlfn.XLOOKUP(A2046,'TAZs by City - CCAG Model'!$A:$A,'TAZs by City - CCAG Model'!$B:$B,"Unknown")</f>
        <v>Menlo Park</v>
      </c>
      <c r="C2046" s="82">
        <f>_xlfn.XLOOKUP(A2046,'TAZs by City - CCAG Model'!$A:$A,'TAZs by City - CCAG Model'!$C:$C,999)</f>
        <v>2</v>
      </c>
      <c r="D2046" s="82" t="str">
        <f t="shared" si="248"/>
        <v>YES</v>
      </c>
      <c r="E2046" s="27">
        <v>5202.96</v>
      </c>
      <c r="F2046" s="27">
        <v>3844.22</v>
      </c>
      <c r="G2046" s="27">
        <v>134.22</v>
      </c>
      <c r="H2046" s="27">
        <v>179.92</v>
      </c>
      <c r="I2046" s="27">
        <v>1310.18</v>
      </c>
      <c r="J2046" s="27">
        <v>10851.34</v>
      </c>
      <c r="K2046" s="47">
        <f t="shared" si="249"/>
        <v>0.47947626744715399</v>
      </c>
      <c r="L2046" s="47">
        <f t="shared" si="250"/>
        <v>0.35426223858067296</v>
      </c>
      <c r="M2046" s="84">
        <f t="shared" si="251"/>
        <v>0.83373850602782695</v>
      </c>
      <c r="N2046" s="47">
        <f t="shared" si="252"/>
        <v>1.2368979314997041E-2</v>
      </c>
      <c r="O2046" s="47">
        <f t="shared" si="253"/>
        <v>1.6580440756625448E-2</v>
      </c>
      <c r="P2046" s="47">
        <f t="shared" si="254"/>
        <v>0.12073900550531087</v>
      </c>
      <c r="Q2046" s="47">
        <f t="shared" si="255"/>
        <v>1</v>
      </c>
    </row>
    <row r="2047" spans="1:17" x14ac:dyDescent="0.35">
      <c r="A2047" s="82">
        <v>2044</v>
      </c>
      <c r="B2047" s="83" t="str">
        <f>_xlfn.XLOOKUP(A2047,'TAZs by City - CCAG Model'!$A:$A,'TAZs by City - CCAG Model'!$B:$B,"Unknown")</f>
        <v>Menlo Park</v>
      </c>
      <c r="C2047" s="82">
        <f>_xlfn.XLOOKUP(A2047,'TAZs by City - CCAG Model'!$A:$A,'TAZs by City - CCAG Model'!$C:$C,999)</f>
        <v>2</v>
      </c>
      <c r="D2047" s="82" t="str">
        <f t="shared" si="248"/>
        <v>YES</v>
      </c>
      <c r="E2047" s="27">
        <v>7581.98</v>
      </c>
      <c r="F2047" s="27">
        <v>5895.06</v>
      </c>
      <c r="G2047" s="27">
        <v>161.84</v>
      </c>
      <c r="H2047" s="27">
        <v>254.4</v>
      </c>
      <c r="I2047" s="27">
        <v>1521.78</v>
      </c>
      <c r="J2047" s="27">
        <v>15616.8</v>
      </c>
      <c r="K2047" s="47">
        <f t="shared" si="249"/>
        <v>0.48550151119307411</v>
      </c>
      <c r="L2047" s="47">
        <f t="shared" si="250"/>
        <v>0.37748194252343636</v>
      </c>
      <c r="M2047" s="84">
        <f t="shared" si="251"/>
        <v>0.86298345371651053</v>
      </c>
      <c r="N2047" s="47">
        <f t="shared" si="252"/>
        <v>1.036319860662876E-2</v>
      </c>
      <c r="O2047" s="47">
        <f t="shared" si="253"/>
        <v>1.629014907023206E-2</v>
      </c>
      <c r="P2047" s="47">
        <f t="shared" si="254"/>
        <v>9.7445059167050874E-2</v>
      </c>
      <c r="Q2047" s="47">
        <f t="shared" si="255"/>
        <v>1</v>
      </c>
    </row>
    <row r="2048" spans="1:17" x14ac:dyDescent="0.35">
      <c r="A2048" s="82">
        <v>2045</v>
      </c>
      <c r="B2048" s="83" t="str">
        <f>_xlfn.XLOOKUP(A2048,'TAZs by City - CCAG Model'!$A:$A,'TAZs by City - CCAG Model'!$B:$B,"Unknown")</f>
        <v>Unincorporated</v>
      </c>
      <c r="C2048" s="82">
        <f>_xlfn.XLOOKUP(A2048,'TAZs by City - CCAG Model'!$A:$A,'TAZs by City - CCAG Model'!$C:$C,999)</f>
        <v>2</v>
      </c>
      <c r="D2048" s="82" t="str">
        <f t="shared" si="248"/>
        <v>YES</v>
      </c>
      <c r="E2048" s="27">
        <v>12003.52</v>
      </c>
      <c r="F2048" s="27">
        <v>8122.98</v>
      </c>
      <c r="G2048" s="27">
        <v>216.42</v>
      </c>
      <c r="H2048" s="27">
        <v>431.66</v>
      </c>
      <c r="I2048" s="27">
        <v>1640.74</v>
      </c>
      <c r="J2048" s="27">
        <v>22669.52</v>
      </c>
      <c r="K2048" s="47">
        <f t="shared" si="249"/>
        <v>0.52950040406678223</v>
      </c>
      <c r="L2048" s="47">
        <f t="shared" si="250"/>
        <v>0.35832165833242163</v>
      </c>
      <c r="M2048" s="84">
        <f t="shared" si="251"/>
        <v>0.8878220623992038</v>
      </c>
      <c r="N2048" s="47">
        <f t="shared" si="252"/>
        <v>9.5467394104506841E-3</v>
      </c>
      <c r="O2048" s="47">
        <f t="shared" si="253"/>
        <v>1.9041426549834317E-2</v>
      </c>
      <c r="P2048" s="47">
        <f t="shared" si="254"/>
        <v>7.2376477314032239E-2</v>
      </c>
      <c r="Q2048" s="47">
        <f t="shared" si="255"/>
        <v>1</v>
      </c>
    </row>
    <row r="2049" spans="1:17" x14ac:dyDescent="0.35">
      <c r="A2049" s="82">
        <v>2046</v>
      </c>
      <c r="B2049" s="83" t="str">
        <f>_xlfn.XLOOKUP(A2049,'TAZs by City - CCAG Model'!$A:$A,'TAZs by City - CCAG Model'!$B:$B,"Unknown")</f>
        <v>Unincorporated</v>
      </c>
      <c r="C2049" s="82">
        <f>_xlfn.XLOOKUP(A2049,'TAZs by City - CCAG Model'!$A:$A,'TAZs by City - CCAG Model'!$C:$C,999)</f>
        <v>2</v>
      </c>
      <c r="D2049" s="82" t="str">
        <f t="shared" si="248"/>
        <v>YES</v>
      </c>
      <c r="E2049" s="27">
        <v>3935.48</v>
      </c>
      <c r="F2049" s="27">
        <v>1845.66</v>
      </c>
      <c r="G2049" s="27">
        <v>182.5</v>
      </c>
      <c r="H2049" s="27">
        <v>66.48</v>
      </c>
      <c r="I2049" s="27">
        <v>286.68</v>
      </c>
      <c r="J2049" s="27">
        <v>6532.8</v>
      </c>
      <c r="K2049" s="47">
        <f t="shared" si="249"/>
        <v>0.60241856478079847</v>
      </c>
      <c r="L2049" s="47">
        <f t="shared" si="250"/>
        <v>0.28252204261572372</v>
      </c>
      <c r="M2049" s="84">
        <f t="shared" si="251"/>
        <v>0.88494060739652214</v>
      </c>
      <c r="N2049" s="47">
        <f t="shared" si="252"/>
        <v>2.7935953955424933E-2</v>
      </c>
      <c r="O2049" s="47">
        <f t="shared" si="253"/>
        <v>1.017634092578986E-2</v>
      </c>
      <c r="P2049" s="47">
        <f t="shared" si="254"/>
        <v>4.3883174136664219E-2</v>
      </c>
      <c r="Q2049" s="47">
        <f t="shared" si="255"/>
        <v>1</v>
      </c>
    </row>
    <row r="2050" spans="1:17" x14ac:dyDescent="0.35">
      <c r="A2050" s="82">
        <v>2047</v>
      </c>
      <c r="B2050" s="83" t="str">
        <f>_xlfn.XLOOKUP(A2050,'TAZs by City - CCAG Model'!$A:$A,'TAZs by City - CCAG Model'!$B:$B,"Unknown")</f>
        <v>Unincorporated</v>
      </c>
      <c r="C2050" s="82">
        <f>_xlfn.XLOOKUP(A2050,'TAZs by City - CCAG Model'!$A:$A,'TAZs by City - CCAG Model'!$C:$C,999)</f>
        <v>4</v>
      </c>
      <c r="D2050" s="82" t="str">
        <f t="shared" si="248"/>
        <v>NO</v>
      </c>
      <c r="E2050" s="27">
        <v>65765.78</v>
      </c>
      <c r="F2050" s="27">
        <v>24483.16</v>
      </c>
      <c r="G2050" s="27">
        <v>1348.82</v>
      </c>
      <c r="H2050" s="27">
        <v>491.38</v>
      </c>
      <c r="I2050" s="27">
        <v>10597.22</v>
      </c>
      <c r="J2050" s="27">
        <v>104046.56</v>
      </c>
      <c r="K2050" s="47">
        <f t="shared" si="249"/>
        <v>0.63208029174631053</v>
      </c>
      <c r="L2050" s="47">
        <f t="shared" si="250"/>
        <v>0.23530965367812257</v>
      </c>
      <c r="M2050" s="84">
        <f t="shared" si="251"/>
        <v>0.86738994542443315</v>
      </c>
      <c r="N2050" s="47">
        <f t="shared" si="252"/>
        <v>1.2963619364253848E-2</v>
      </c>
      <c r="O2050" s="47">
        <f t="shared" si="253"/>
        <v>4.7226933788104093E-3</v>
      </c>
      <c r="P2050" s="47">
        <f t="shared" si="254"/>
        <v>0.1018507483572739</v>
      </c>
      <c r="Q2050" s="47">
        <f t="shared" si="255"/>
        <v>1</v>
      </c>
    </row>
    <row r="2051" spans="1:17" x14ac:dyDescent="0.35">
      <c r="A2051" s="82">
        <v>2048</v>
      </c>
      <c r="B2051" s="83" t="str">
        <f>_xlfn.XLOOKUP(A2051,'TAZs by City - CCAG Model'!$A:$A,'TAZs by City - CCAG Model'!$B:$B,"Unknown")</f>
        <v>Livermore</v>
      </c>
      <c r="C2051" s="82">
        <f>_xlfn.XLOOKUP(A2051,'TAZs by City - CCAG Model'!$A:$A,'TAZs by City - CCAG Model'!$C:$C,999)</f>
        <v>4</v>
      </c>
      <c r="D2051" s="82" t="str">
        <f t="shared" si="248"/>
        <v>NO</v>
      </c>
      <c r="E2051" s="27">
        <v>15572.18</v>
      </c>
      <c r="F2051" s="27">
        <v>8579.48</v>
      </c>
      <c r="G2051" s="27">
        <v>587.1</v>
      </c>
      <c r="H2051" s="27">
        <v>243.92</v>
      </c>
      <c r="I2051" s="27">
        <v>2233.8000000000002</v>
      </c>
      <c r="J2051" s="27">
        <v>27841.8</v>
      </c>
      <c r="K2051" s="47">
        <f t="shared" si="249"/>
        <v>0.5593093837323736</v>
      </c>
      <c r="L2051" s="47">
        <f t="shared" si="250"/>
        <v>0.30815105345200383</v>
      </c>
      <c r="M2051" s="84">
        <f t="shared" si="251"/>
        <v>0.86746043718437749</v>
      </c>
      <c r="N2051" s="47">
        <f t="shared" si="252"/>
        <v>2.1086998685429823E-2</v>
      </c>
      <c r="O2051" s="47">
        <f t="shared" si="253"/>
        <v>8.7609278135752713E-3</v>
      </c>
      <c r="P2051" s="47">
        <f t="shared" si="254"/>
        <v>8.0231881559381948E-2</v>
      </c>
      <c r="Q2051" s="47">
        <f t="shared" si="255"/>
        <v>1</v>
      </c>
    </row>
    <row r="2052" spans="1:17" x14ac:dyDescent="0.35">
      <c r="A2052" s="82">
        <v>2049</v>
      </c>
      <c r="B2052" s="83" t="str">
        <f>_xlfn.XLOOKUP(A2052,'TAZs by City - CCAG Model'!$A:$A,'TAZs by City - CCAG Model'!$B:$B,"Unknown")</f>
        <v>Livermore</v>
      </c>
      <c r="C2052" s="82">
        <f>_xlfn.XLOOKUP(A2052,'TAZs by City - CCAG Model'!$A:$A,'TAZs by City - CCAG Model'!$C:$C,999)</f>
        <v>4</v>
      </c>
      <c r="D2052" s="82" t="str">
        <f t="shared" si="248"/>
        <v>NO</v>
      </c>
      <c r="E2052" s="27">
        <v>15831.98</v>
      </c>
      <c r="F2052" s="27">
        <v>9223.52</v>
      </c>
      <c r="G2052" s="27">
        <v>728.7</v>
      </c>
      <c r="H2052" s="27">
        <v>312.77999999999997</v>
      </c>
      <c r="I2052" s="27">
        <v>2716.98</v>
      </c>
      <c r="J2052" s="27">
        <v>29581.22</v>
      </c>
      <c r="K2052" s="47">
        <f t="shared" si="249"/>
        <v>0.53520375427382638</v>
      </c>
      <c r="L2052" s="47">
        <f t="shared" si="250"/>
        <v>0.31180323191538417</v>
      </c>
      <c r="M2052" s="84">
        <f t="shared" si="251"/>
        <v>0.84700698618921055</v>
      </c>
      <c r="N2052" s="47">
        <f t="shared" si="252"/>
        <v>2.4633872436633782E-2</v>
      </c>
      <c r="O2052" s="47">
        <f t="shared" si="253"/>
        <v>1.0573600412694268E-2</v>
      </c>
      <c r="P2052" s="47">
        <f t="shared" si="254"/>
        <v>9.1848138785350975E-2</v>
      </c>
      <c r="Q2052" s="47">
        <f t="shared" si="255"/>
        <v>1</v>
      </c>
    </row>
    <row r="2053" spans="1:17" x14ac:dyDescent="0.35">
      <c r="A2053" s="82">
        <v>2050</v>
      </c>
      <c r="B2053" s="83" t="str">
        <f>_xlfn.XLOOKUP(A2053,'TAZs by City - CCAG Model'!$A:$A,'TAZs by City - CCAG Model'!$B:$B,"Unknown")</f>
        <v>Livermore</v>
      </c>
      <c r="C2053" s="82">
        <f>_xlfn.XLOOKUP(A2053,'TAZs by City - CCAG Model'!$A:$A,'TAZs by City - CCAG Model'!$C:$C,999)</f>
        <v>4</v>
      </c>
      <c r="D2053" s="82" t="str">
        <f t="shared" ref="D2053:D2116" si="256">IF(C2053=2,"YES","NO")</f>
        <v>NO</v>
      </c>
      <c r="E2053" s="27">
        <v>26847.8</v>
      </c>
      <c r="F2053" s="27">
        <v>14808.64</v>
      </c>
      <c r="G2053" s="27">
        <v>742.48</v>
      </c>
      <c r="H2053" s="27">
        <v>467.24</v>
      </c>
      <c r="I2053" s="27">
        <v>6166.18</v>
      </c>
      <c r="J2053" s="27">
        <v>49807.9</v>
      </c>
      <c r="K2053" s="47">
        <f t="shared" ref="K2053:K2116" si="257">IFERROR(E2053/$J2053,0)</f>
        <v>0.53902694150927866</v>
      </c>
      <c r="L2053" s="47">
        <f t="shared" ref="L2053:L2116" si="258">IFERROR(F2053/$J2053,0)</f>
        <v>0.29731508455485978</v>
      </c>
      <c r="M2053" s="84">
        <f t="shared" ref="M2053:M2116" si="259">IFERROR((E2053+F2053)/J2053,0)</f>
        <v>0.83634202606413843</v>
      </c>
      <c r="N2053" s="47">
        <f t="shared" ref="N2053:N2116" si="260">IFERROR(G2053/$J2053,0)</f>
        <v>1.4906872203003942E-2</v>
      </c>
      <c r="O2053" s="47">
        <f t="shared" ref="O2053:O2116" si="261">IFERROR(H2053/$J2053,0)</f>
        <v>9.3808411918591232E-3</v>
      </c>
      <c r="P2053" s="47">
        <f t="shared" ref="P2053:P2116" si="262">IFERROR(I2053/$J2053,0)</f>
        <v>0.12379923666727567</v>
      </c>
      <c r="Q2053" s="47">
        <f t="shared" ref="Q2053:Q2116" si="263">IFERROR(J2053/$J2053,0)</f>
        <v>1</v>
      </c>
    </row>
    <row r="2054" spans="1:17" x14ac:dyDescent="0.35">
      <c r="A2054" s="82">
        <v>2051</v>
      </c>
      <c r="B2054" s="83" t="str">
        <f>_xlfn.XLOOKUP(A2054,'TAZs by City - CCAG Model'!$A:$A,'TAZs by City - CCAG Model'!$B:$B,"Unknown")</f>
        <v>Livermore</v>
      </c>
      <c r="C2054" s="82">
        <f>_xlfn.XLOOKUP(A2054,'TAZs by City - CCAG Model'!$A:$A,'TAZs by City - CCAG Model'!$C:$C,999)</f>
        <v>4</v>
      </c>
      <c r="D2054" s="82" t="str">
        <f t="shared" si="256"/>
        <v>NO</v>
      </c>
      <c r="E2054" s="27">
        <v>14504.14</v>
      </c>
      <c r="F2054" s="27">
        <v>9320.76</v>
      </c>
      <c r="G2054" s="27">
        <v>546.66</v>
      </c>
      <c r="H2054" s="27">
        <v>251.44</v>
      </c>
      <c r="I2054" s="27">
        <v>1704.64</v>
      </c>
      <c r="J2054" s="27">
        <v>26904.1</v>
      </c>
      <c r="K2054" s="47">
        <f t="shared" si="257"/>
        <v>0.53910519214543506</v>
      </c>
      <c r="L2054" s="47">
        <f t="shared" si="258"/>
        <v>0.34644385056552723</v>
      </c>
      <c r="M2054" s="84">
        <f t="shared" si="259"/>
        <v>0.88554904271096235</v>
      </c>
      <c r="N2054" s="47">
        <f t="shared" si="260"/>
        <v>2.0318836162517982E-2</v>
      </c>
      <c r="O2054" s="47">
        <f t="shared" si="261"/>
        <v>9.3457874450362591E-3</v>
      </c>
      <c r="P2054" s="47">
        <f t="shared" si="262"/>
        <v>6.3359859649644482E-2</v>
      </c>
      <c r="Q2054" s="47">
        <f t="shared" si="263"/>
        <v>1</v>
      </c>
    </row>
    <row r="2055" spans="1:17" x14ac:dyDescent="0.35">
      <c r="A2055" s="82">
        <v>2052</v>
      </c>
      <c r="B2055" s="83" t="str">
        <f>_xlfn.XLOOKUP(A2055,'TAZs by City - CCAG Model'!$A:$A,'TAZs by City - CCAG Model'!$B:$B,"Unknown")</f>
        <v>Unincorporated</v>
      </c>
      <c r="C2055" s="82">
        <f>_xlfn.XLOOKUP(A2055,'TAZs by City - CCAG Model'!$A:$A,'TAZs by City - CCAG Model'!$C:$C,999)</f>
        <v>4</v>
      </c>
      <c r="D2055" s="82" t="str">
        <f t="shared" si="256"/>
        <v>NO</v>
      </c>
      <c r="E2055" s="27">
        <v>14283.64</v>
      </c>
      <c r="F2055" s="27">
        <v>6998</v>
      </c>
      <c r="G2055" s="27">
        <v>737.78</v>
      </c>
      <c r="H2055" s="27">
        <v>161.80000000000001</v>
      </c>
      <c r="I2055" s="27">
        <v>820.66</v>
      </c>
      <c r="J2055" s="27">
        <v>23777.48</v>
      </c>
      <c r="K2055" s="47">
        <f t="shared" si="257"/>
        <v>0.6007213548281819</v>
      </c>
      <c r="L2055" s="47">
        <f t="shared" si="258"/>
        <v>0.29431209699261657</v>
      </c>
      <c r="M2055" s="84">
        <f t="shared" si="259"/>
        <v>0.89503345182079852</v>
      </c>
      <c r="N2055" s="47">
        <f t="shared" si="260"/>
        <v>3.1028519422579684E-2</v>
      </c>
      <c r="O2055" s="47">
        <f t="shared" si="261"/>
        <v>6.8047581156623835E-3</v>
      </c>
      <c r="P2055" s="47">
        <f t="shared" si="262"/>
        <v>3.4514170551294757E-2</v>
      </c>
      <c r="Q2055" s="47">
        <f t="shared" si="263"/>
        <v>1</v>
      </c>
    </row>
    <row r="2056" spans="1:17" x14ac:dyDescent="0.35">
      <c r="A2056" s="82">
        <v>2053</v>
      </c>
      <c r="B2056" s="83" t="str">
        <f>_xlfn.XLOOKUP(A2056,'TAZs by City - CCAG Model'!$A:$A,'TAZs by City - CCAG Model'!$B:$B,"Unknown")</f>
        <v>Livermore</v>
      </c>
      <c r="C2056" s="82">
        <f>_xlfn.XLOOKUP(A2056,'TAZs by City - CCAG Model'!$A:$A,'TAZs by City - CCAG Model'!$C:$C,999)</f>
        <v>4</v>
      </c>
      <c r="D2056" s="82" t="str">
        <f t="shared" si="256"/>
        <v>NO</v>
      </c>
      <c r="E2056" s="27">
        <v>23369.279999999999</v>
      </c>
      <c r="F2056" s="27">
        <v>12373.62</v>
      </c>
      <c r="G2056" s="27">
        <v>573.14</v>
      </c>
      <c r="H2056" s="27">
        <v>355.54</v>
      </c>
      <c r="I2056" s="27">
        <v>5654.9</v>
      </c>
      <c r="J2056" s="27">
        <v>42939.06</v>
      </c>
      <c r="K2056" s="47">
        <f t="shared" si="257"/>
        <v>0.54424293405584567</v>
      </c>
      <c r="L2056" s="47">
        <f t="shared" si="258"/>
        <v>0.2881669976007859</v>
      </c>
      <c r="M2056" s="84">
        <f t="shared" si="259"/>
        <v>0.83240993165663157</v>
      </c>
      <c r="N2056" s="47">
        <f t="shared" si="260"/>
        <v>1.3347753770110478E-2</v>
      </c>
      <c r="O2056" s="47">
        <f t="shared" si="261"/>
        <v>8.2801067373156293E-3</v>
      </c>
      <c r="P2056" s="47">
        <f t="shared" si="262"/>
        <v>0.13169594304113783</v>
      </c>
      <c r="Q2056" s="47">
        <f t="shared" si="263"/>
        <v>1</v>
      </c>
    </row>
    <row r="2057" spans="1:17" x14ac:dyDescent="0.35">
      <c r="A2057" s="82">
        <v>2054</v>
      </c>
      <c r="B2057" s="83" t="str">
        <f>_xlfn.XLOOKUP(A2057,'TAZs by City - CCAG Model'!$A:$A,'TAZs by City - CCAG Model'!$B:$B,"Unknown")</f>
        <v>Livermore</v>
      </c>
      <c r="C2057" s="82">
        <f>_xlfn.XLOOKUP(A2057,'TAZs by City - CCAG Model'!$A:$A,'TAZs by City - CCAG Model'!$C:$C,999)</f>
        <v>4</v>
      </c>
      <c r="D2057" s="82" t="str">
        <f t="shared" si="256"/>
        <v>NO</v>
      </c>
      <c r="E2057" s="27">
        <v>18609.46</v>
      </c>
      <c r="F2057" s="27">
        <v>12428.66</v>
      </c>
      <c r="G2057" s="27">
        <v>657.14</v>
      </c>
      <c r="H2057" s="27">
        <v>412.24</v>
      </c>
      <c r="I2057" s="27">
        <v>2989.66</v>
      </c>
      <c r="J2057" s="27">
        <v>35787.08</v>
      </c>
      <c r="K2057" s="47">
        <f t="shared" si="257"/>
        <v>0.52000498503929349</v>
      </c>
      <c r="L2057" s="47">
        <f t="shared" si="258"/>
        <v>0.34729461023363739</v>
      </c>
      <c r="M2057" s="84">
        <f t="shared" si="259"/>
        <v>0.86729959527293088</v>
      </c>
      <c r="N2057" s="47">
        <f t="shared" si="260"/>
        <v>1.8362492832608861E-2</v>
      </c>
      <c r="O2057" s="47">
        <f t="shared" si="261"/>
        <v>1.1519241022178954E-2</v>
      </c>
      <c r="P2057" s="47">
        <f t="shared" si="262"/>
        <v>8.3540205012535243E-2</v>
      </c>
      <c r="Q2057" s="47">
        <f t="shared" si="263"/>
        <v>1</v>
      </c>
    </row>
    <row r="2058" spans="1:17" x14ac:dyDescent="0.35">
      <c r="A2058" s="82">
        <v>2055</v>
      </c>
      <c r="B2058" s="83" t="str">
        <f>_xlfn.XLOOKUP(A2058,'TAZs by City - CCAG Model'!$A:$A,'TAZs by City - CCAG Model'!$B:$B,"Unknown")</f>
        <v>Livermore</v>
      </c>
      <c r="C2058" s="82">
        <f>_xlfn.XLOOKUP(A2058,'TAZs by City - CCAG Model'!$A:$A,'TAZs by City - CCAG Model'!$C:$C,999)</f>
        <v>4</v>
      </c>
      <c r="D2058" s="82" t="str">
        <f t="shared" si="256"/>
        <v>NO</v>
      </c>
      <c r="E2058" s="27">
        <v>21306.959999999999</v>
      </c>
      <c r="F2058" s="27">
        <v>11573.24</v>
      </c>
      <c r="G2058" s="27">
        <v>824.78</v>
      </c>
      <c r="H2058" s="27">
        <v>305.72000000000003</v>
      </c>
      <c r="I2058" s="27">
        <v>2808.08</v>
      </c>
      <c r="J2058" s="27">
        <v>37683.06</v>
      </c>
      <c r="K2058" s="47">
        <f t="shared" si="257"/>
        <v>0.56542541927327561</v>
      </c>
      <c r="L2058" s="47">
        <f t="shared" si="258"/>
        <v>0.30712049393016388</v>
      </c>
      <c r="M2058" s="84">
        <f t="shared" si="259"/>
        <v>0.87254591320343944</v>
      </c>
      <c r="N2058" s="47">
        <f t="shared" si="260"/>
        <v>2.188728834654086E-2</v>
      </c>
      <c r="O2058" s="47">
        <f t="shared" si="261"/>
        <v>8.1129292578681258E-3</v>
      </c>
      <c r="P2058" s="47">
        <f t="shared" si="262"/>
        <v>7.4518364485262084E-2</v>
      </c>
      <c r="Q2058" s="47">
        <f t="shared" si="263"/>
        <v>1</v>
      </c>
    </row>
    <row r="2059" spans="1:17" x14ac:dyDescent="0.35">
      <c r="A2059" s="82">
        <v>2056</v>
      </c>
      <c r="B2059" s="83" t="str">
        <f>_xlfn.XLOOKUP(A2059,'TAZs by City - CCAG Model'!$A:$A,'TAZs by City - CCAG Model'!$B:$B,"Unknown")</f>
        <v>Livermore</v>
      </c>
      <c r="C2059" s="82">
        <f>_xlfn.XLOOKUP(A2059,'TAZs by City - CCAG Model'!$A:$A,'TAZs by City - CCAG Model'!$C:$C,999)</f>
        <v>4</v>
      </c>
      <c r="D2059" s="82" t="str">
        <f t="shared" si="256"/>
        <v>NO</v>
      </c>
      <c r="E2059" s="27">
        <v>31351.96</v>
      </c>
      <c r="F2059" s="27">
        <v>16459.5</v>
      </c>
      <c r="G2059" s="27">
        <v>1111.24</v>
      </c>
      <c r="H2059" s="27">
        <v>487.48</v>
      </c>
      <c r="I2059" s="27">
        <v>4926.3999999999996</v>
      </c>
      <c r="J2059" s="27">
        <v>55481.440000000002</v>
      </c>
      <c r="K2059" s="47">
        <f t="shared" si="257"/>
        <v>0.56508915413875338</v>
      </c>
      <c r="L2059" s="47">
        <f t="shared" si="258"/>
        <v>0.29666677721414586</v>
      </c>
      <c r="M2059" s="84">
        <f t="shared" si="259"/>
        <v>0.86175593135289918</v>
      </c>
      <c r="N2059" s="47">
        <f t="shared" si="260"/>
        <v>2.0029040342139641E-2</v>
      </c>
      <c r="O2059" s="47">
        <f t="shared" si="261"/>
        <v>8.7863617094293151E-3</v>
      </c>
      <c r="P2059" s="47">
        <f t="shared" si="262"/>
        <v>8.8793657843055249E-2</v>
      </c>
      <c r="Q2059" s="47">
        <f t="shared" si="263"/>
        <v>1</v>
      </c>
    </row>
    <row r="2060" spans="1:17" x14ac:dyDescent="0.35">
      <c r="A2060" s="82">
        <v>2057</v>
      </c>
      <c r="B2060" s="83" t="str">
        <f>_xlfn.XLOOKUP(A2060,'TAZs by City - CCAG Model'!$A:$A,'TAZs by City - CCAG Model'!$B:$B,"Unknown")</f>
        <v>Livermore</v>
      </c>
      <c r="C2060" s="82">
        <f>_xlfn.XLOOKUP(A2060,'TAZs by City - CCAG Model'!$A:$A,'TAZs by City - CCAG Model'!$C:$C,999)</f>
        <v>4</v>
      </c>
      <c r="D2060" s="82" t="str">
        <f t="shared" si="256"/>
        <v>NO</v>
      </c>
      <c r="E2060" s="27">
        <v>8208.98</v>
      </c>
      <c r="F2060" s="27">
        <v>5955.68</v>
      </c>
      <c r="G2060" s="27">
        <v>248.44</v>
      </c>
      <c r="H2060" s="27">
        <v>136.86000000000001</v>
      </c>
      <c r="I2060" s="27">
        <v>917.5</v>
      </c>
      <c r="J2060" s="27">
        <v>15744.86</v>
      </c>
      <c r="K2060" s="47">
        <f t="shared" si="257"/>
        <v>0.52137522975752082</v>
      </c>
      <c r="L2060" s="47">
        <f t="shared" si="258"/>
        <v>0.37826185815561397</v>
      </c>
      <c r="M2060" s="84">
        <f t="shared" si="259"/>
        <v>0.89963708791313479</v>
      </c>
      <c r="N2060" s="47">
        <f t="shared" si="260"/>
        <v>1.5779117756524987E-2</v>
      </c>
      <c r="O2060" s="47">
        <f t="shared" si="261"/>
        <v>8.69236055449207E-3</v>
      </c>
      <c r="P2060" s="47">
        <f t="shared" si="262"/>
        <v>5.8272985596569293E-2</v>
      </c>
      <c r="Q2060" s="47">
        <f t="shared" si="263"/>
        <v>1</v>
      </c>
    </row>
    <row r="2061" spans="1:17" x14ac:dyDescent="0.35">
      <c r="A2061" s="82">
        <v>2058</v>
      </c>
      <c r="B2061" s="83" t="str">
        <f>_xlfn.XLOOKUP(A2061,'TAZs by City - CCAG Model'!$A:$A,'TAZs by City - CCAG Model'!$B:$B,"Unknown")</f>
        <v>Livermore</v>
      </c>
      <c r="C2061" s="82">
        <f>_xlfn.XLOOKUP(A2061,'TAZs by City - CCAG Model'!$A:$A,'TAZs by City - CCAG Model'!$C:$C,999)</f>
        <v>4</v>
      </c>
      <c r="D2061" s="82" t="str">
        <f t="shared" si="256"/>
        <v>NO</v>
      </c>
      <c r="E2061" s="27">
        <v>17451.02</v>
      </c>
      <c r="F2061" s="27">
        <v>11906.74</v>
      </c>
      <c r="G2061" s="27">
        <v>511.94</v>
      </c>
      <c r="H2061" s="27">
        <v>312</v>
      </c>
      <c r="I2061" s="27">
        <v>2592.6</v>
      </c>
      <c r="J2061" s="27">
        <v>33320.26</v>
      </c>
      <c r="K2061" s="47">
        <f t="shared" si="257"/>
        <v>0.52373600926283281</v>
      </c>
      <c r="L2061" s="47">
        <f t="shared" si="258"/>
        <v>0.35734234966954037</v>
      </c>
      <c r="M2061" s="84">
        <f t="shared" si="259"/>
        <v>0.8810783589323733</v>
      </c>
      <c r="N2061" s="47">
        <f t="shared" si="260"/>
        <v>1.5364225849378126E-2</v>
      </c>
      <c r="O2061" s="47">
        <f t="shared" si="261"/>
        <v>9.3636724323279581E-3</v>
      </c>
      <c r="P2061" s="47">
        <f t="shared" si="262"/>
        <v>7.7808516500171357E-2</v>
      </c>
      <c r="Q2061" s="47">
        <f t="shared" si="263"/>
        <v>1</v>
      </c>
    </row>
    <row r="2062" spans="1:17" x14ac:dyDescent="0.35">
      <c r="A2062" s="82">
        <v>2059</v>
      </c>
      <c r="B2062" s="83" t="str">
        <f>_xlfn.XLOOKUP(A2062,'TAZs by City - CCAG Model'!$A:$A,'TAZs by City - CCAG Model'!$B:$B,"Unknown")</f>
        <v>Livermore</v>
      </c>
      <c r="C2062" s="82">
        <f>_xlfn.XLOOKUP(A2062,'TAZs by City - CCAG Model'!$A:$A,'TAZs by City - CCAG Model'!$C:$C,999)</f>
        <v>4</v>
      </c>
      <c r="D2062" s="82" t="str">
        <f t="shared" si="256"/>
        <v>NO</v>
      </c>
      <c r="E2062" s="27">
        <v>6983.22</v>
      </c>
      <c r="F2062" s="27">
        <v>4801.1400000000003</v>
      </c>
      <c r="G2062" s="27">
        <v>282.66000000000003</v>
      </c>
      <c r="H2062" s="27">
        <v>155.74</v>
      </c>
      <c r="I2062" s="27">
        <v>1122.24</v>
      </c>
      <c r="J2062" s="27">
        <v>13658.7</v>
      </c>
      <c r="K2062" s="47">
        <f t="shared" si="257"/>
        <v>0.51126534736102258</v>
      </c>
      <c r="L2062" s="47">
        <f t="shared" si="258"/>
        <v>0.3515078301741747</v>
      </c>
      <c r="M2062" s="84">
        <f t="shared" si="259"/>
        <v>0.86277317753519733</v>
      </c>
      <c r="N2062" s="47">
        <f t="shared" si="260"/>
        <v>2.0694502405060513E-2</v>
      </c>
      <c r="O2062" s="47">
        <f t="shared" si="261"/>
        <v>1.1402256437289053E-2</v>
      </c>
      <c r="P2062" s="47">
        <f t="shared" si="262"/>
        <v>8.2163016978189715E-2</v>
      </c>
      <c r="Q2062" s="47">
        <f t="shared" si="263"/>
        <v>1</v>
      </c>
    </row>
    <row r="2063" spans="1:17" x14ac:dyDescent="0.35">
      <c r="A2063" s="82">
        <v>2060</v>
      </c>
      <c r="B2063" s="83" t="str">
        <f>_xlfn.XLOOKUP(A2063,'TAZs by City - CCAG Model'!$A:$A,'TAZs by City - CCAG Model'!$B:$B,"Unknown")</f>
        <v>Livermore</v>
      </c>
      <c r="C2063" s="82">
        <f>_xlfn.XLOOKUP(A2063,'TAZs by City - CCAG Model'!$A:$A,'TAZs by City - CCAG Model'!$C:$C,999)</f>
        <v>4</v>
      </c>
      <c r="D2063" s="82" t="str">
        <f t="shared" si="256"/>
        <v>NO</v>
      </c>
      <c r="E2063" s="27">
        <v>32038.46</v>
      </c>
      <c r="F2063" s="27">
        <v>14990.62</v>
      </c>
      <c r="G2063" s="27">
        <v>755.02</v>
      </c>
      <c r="H2063" s="27">
        <v>401.74</v>
      </c>
      <c r="I2063" s="27">
        <v>2714.26</v>
      </c>
      <c r="J2063" s="27">
        <v>51677.32</v>
      </c>
      <c r="K2063" s="47">
        <f t="shared" si="257"/>
        <v>0.61997139170529736</v>
      </c>
      <c r="L2063" s="47">
        <f t="shared" si="258"/>
        <v>0.29008121938211967</v>
      </c>
      <c r="M2063" s="84">
        <f t="shared" si="259"/>
        <v>0.91005261108741708</v>
      </c>
      <c r="N2063" s="47">
        <f t="shared" si="260"/>
        <v>1.4610277777562767E-2</v>
      </c>
      <c r="O2063" s="47">
        <f t="shared" si="261"/>
        <v>7.774009952528498E-3</v>
      </c>
      <c r="P2063" s="47">
        <f t="shared" si="262"/>
        <v>5.2523234564021512E-2</v>
      </c>
      <c r="Q2063" s="47">
        <f t="shared" si="263"/>
        <v>1</v>
      </c>
    </row>
    <row r="2064" spans="1:17" x14ac:dyDescent="0.35">
      <c r="A2064" s="82">
        <v>2061</v>
      </c>
      <c r="B2064" s="83" t="str">
        <f>_xlfn.XLOOKUP(A2064,'TAZs by City - CCAG Model'!$A:$A,'TAZs by City - CCAG Model'!$B:$B,"Unknown")</f>
        <v>Dublin</v>
      </c>
      <c r="C2064" s="82">
        <f>_xlfn.XLOOKUP(A2064,'TAZs by City - CCAG Model'!$A:$A,'TAZs by City - CCAG Model'!$C:$C,999)</f>
        <v>4</v>
      </c>
      <c r="D2064" s="82" t="str">
        <f t="shared" si="256"/>
        <v>NO</v>
      </c>
      <c r="E2064" s="27">
        <v>28924.82</v>
      </c>
      <c r="F2064" s="27">
        <v>17934.099999999999</v>
      </c>
      <c r="G2064" s="27">
        <v>931.38</v>
      </c>
      <c r="H2064" s="27">
        <v>329.86</v>
      </c>
      <c r="I2064" s="27">
        <v>1682.3</v>
      </c>
      <c r="J2064" s="27">
        <v>50763.62</v>
      </c>
      <c r="K2064" s="47">
        <f t="shared" si="257"/>
        <v>0.56979427393081894</v>
      </c>
      <c r="L2064" s="47">
        <f t="shared" si="258"/>
        <v>0.35328646774993583</v>
      </c>
      <c r="M2064" s="84">
        <f t="shared" si="259"/>
        <v>0.92308074168075471</v>
      </c>
      <c r="N2064" s="47">
        <f t="shared" si="260"/>
        <v>1.8347391301093183E-2</v>
      </c>
      <c r="O2064" s="47">
        <f t="shared" si="261"/>
        <v>6.4979605473368526E-3</v>
      </c>
      <c r="P2064" s="47">
        <f t="shared" si="262"/>
        <v>3.3139874579472463E-2</v>
      </c>
      <c r="Q2064" s="47">
        <f t="shared" si="263"/>
        <v>1</v>
      </c>
    </row>
    <row r="2065" spans="1:17" x14ac:dyDescent="0.35">
      <c r="A2065" s="82">
        <v>2062</v>
      </c>
      <c r="B2065" s="83" t="str">
        <f>_xlfn.XLOOKUP(A2065,'TAZs by City - CCAG Model'!$A:$A,'TAZs by City - CCAG Model'!$B:$B,"Unknown")</f>
        <v>Dublin</v>
      </c>
      <c r="C2065" s="82">
        <f>_xlfn.XLOOKUP(A2065,'TAZs by City - CCAG Model'!$A:$A,'TAZs by City - CCAG Model'!$C:$C,999)</f>
        <v>4</v>
      </c>
      <c r="D2065" s="82" t="str">
        <f t="shared" si="256"/>
        <v>NO</v>
      </c>
      <c r="E2065" s="27">
        <v>34364.06</v>
      </c>
      <c r="F2065" s="27">
        <v>16130.14</v>
      </c>
      <c r="G2065" s="27">
        <v>1956.2</v>
      </c>
      <c r="H2065" s="27">
        <v>374.78</v>
      </c>
      <c r="I2065" s="27">
        <v>1988.6</v>
      </c>
      <c r="J2065" s="27">
        <v>56797.68</v>
      </c>
      <c r="K2065" s="47">
        <f t="shared" si="257"/>
        <v>0.60502576865815638</v>
      </c>
      <c r="L2065" s="47">
        <f t="shared" si="258"/>
        <v>0.28399293773971046</v>
      </c>
      <c r="M2065" s="84">
        <f t="shared" si="259"/>
        <v>0.88901870639786695</v>
      </c>
      <c r="N2065" s="47">
        <f t="shared" si="260"/>
        <v>3.4441547612508117E-2</v>
      </c>
      <c r="O2065" s="47">
        <f t="shared" si="261"/>
        <v>6.5985089531825939E-3</v>
      </c>
      <c r="P2065" s="47">
        <f t="shared" si="262"/>
        <v>3.501199344761969E-2</v>
      </c>
      <c r="Q2065" s="47">
        <f t="shared" si="263"/>
        <v>1</v>
      </c>
    </row>
    <row r="2066" spans="1:17" x14ac:dyDescent="0.35">
      <c r="A2066" s="82">
        <v>2063</v>
      </c>
      <c r="B2066" s="83" t="str">
        <f>_xlfn.XLOOKUP(A2066,'TAZs by City - CCAG Model'!$A:$A,'TAZs by City - CCAG Model'!$B:$B,"Unknown")</f>
        <v>Dublin</v>
      </c>
      <c r="C2066" s="82">
        <f>_xlfn.XLOOKUP(A2066,'TAZs by City - CCAG Model'!$A:$A,'TAZs by City - CCAG Model'!$C:$C,999)</f>
        <v>4</v>
      </c>
      <c r="D2066" s="82" t="str">
        <f t="shared" si="256"/>
        <v>NO</v>
      </c>
      <c r="E2066" s="27">
        <v>10157.6</v>
      </c>
      <c r="F2066" s="27">
        <v>5549.74</v>
      </c>
      <c r="G2066" s="27">
        <v>451.68</v>
      </c>
      <c r="H2066" s="27">
        <v>151.1</v>
      </c>
      <c r="I2066" s="27">
        <v>1237.06</v>
      </c>
      <c r="J2066" s="27">
        <v>18030.12</v>
      </c>
      <c r="K2066" s="47">
        <f t="shared" si="257"/>
        <v>0.56336840797509946</v>
      </c>
      <c r="L2066" s="47">
        <f t="shared" si="258"/>
        <v>0.30780383047922033</v>
      </c>
      <c r="M2066" s="84">
        <f t="shared" si="259"/>
        <v>0.87117223845431979</v>
      </c>
      <c r="N2066" s="47">
        <f t="shared" si="260"/>
        <v>2.5051413967294728E-2</v>
      </c>
      <c r="O2066" s="47">
        <f t="shared" si="261"/>
        <v>8.380421206292581E-3</v>
      </c>
      <c r="P2066" s="47">
        <f t="shared" si="262"/>
        <v>6.8610746905733294E-2</v>
      </c>
      <c r="Q2066" s="47">
        <f t="shared" si="263"/>
        <v>1</v>
      </c>
    </row>
    <row r="2067" spans="1:17" x14ac:dyDescent="0.35">
      <c r="A2067" s="82">
        <v>2064</v>
      </c>
      <c r="B2067" s="83" t="str">
        <f>_xlfn.XLOOKUP(A2067,'TAZs by City - CCAG Model'!$A:$A,'TAZs by City - CCAG Model'!$B:$B,"Unknown")</f>
        <v>Dublin</v>
      </c>
      <c r="C2067" s="82">
        <f>_xlfn.XLOOKUP(A2067,'TAZs by City - CCAG Model'!$A:$A,'TAZs by City - CCAG Model'!$C:$C,999)</f>
        <v>4</v>
      </c>
      <c r="D2067" s="82" t="str">
        <f t="shared" si="256"/>
        <v>NO</v>
      </c>
      <c r="E2067" s="27">
        <v>36182.620000000003</v>
      </c>
      <c r="F2067" s="27">
        <v>16904.900000000001</v>
      </c>
      <c r="G2067" s="27">
        <v>1104.4000000000001</v>
      </c>
      <c r="H2067" s="27">
        <v>436.42</v>
      </c>
      <c r="I2067" s="27">
        <v>4742.88</v>
      </c>
      <c r="J2067" s="27">
        <v>60499.08</v>
      </c>
      <c r="K2067" s="47">
        <f t="shared" si="257"/>
        <v>0.5980689293126441</v>
      </c>
      <c r="L2067" s="47">
        <f t="shared" si="258"/>
        <v>0.2794240838042496</v>
      </c>
      <c r="M2067" s="84">
        <f t="shared" si="259"/>
        <v>0.87749301311689376</v>
      </c>
      <c r="N2067" s="47">
        <f t="shared" si="260"/>
        <v>1.8254823048548838E-2</v>
      </c>
      <c r="O2067" s="47">
        <f t="shared" si="261"/>
        <v>7.2136634143858056E-3</v>
      </c>
      <c r="P2067" s="47">
        <f t="shared" si="262"/>
        <v>7.839590287984545E-2</v>
      </c>
      <c r="Q2067" s="47">
        <f t="shared" si="263"/>
        <v>1</v>
      </c>
    </row>
    <row r="2068" spans="1:17" x14ac:dyDescent="0.35">
      <c r="A2068" s="82">
        <v>2065</v>
      </c>
      <c r="B2068" s="83" t="str">
        <f>_xlfn.XLOOKUP(A2068,'TAZs by City - CCAG Model'!$A:$A,'TAZs by City - CCAG Model'!$B:$B,"Unknown")</f>
        <v>Dublin</v>
      </c>
      <c r="C2068" s="82">
        <f>_xlfn.XLOOKUP(A2068,'TAZs by City - CCAG Model'!$A:$A,'TAZs by City - CCAG Model'!$C:$C,999)</f>
        <v>4</v>
      </c>
      <c r="D2068" s="82" t="str">
        <f t="shared" si="256"/>
        <v>NO</v>
      </c>
      <c r="E2068" s="27">
        <v>28845.08</v>
      </c>
      <c r="F2068" s="27">
        <v>14164.38</v>
      </c>
      <c r="G2068" s="27">
        <v>527.9</v>
      </c>
      <c r="H2068" s="27">
        <v>361.28</v>
      </c>
      <c r="I2068" s="27">
        <v>3075.88</v>
      </c>
      <c r="J2068" s="27">
        <v>47525.72</v>
      </c>
      <c r="K2068" s="47">
        <f t="shared" si="257"/>
        <v>0.60693620212381849</v>
      </c>
      <c r="L2068" s="47">
        <f t="shared" si="258"/>
        <v>0.29803609498183298</v>
      </c>
      <c r="M2068" s="84">
        <f t="shared" si="259"/>
        <v>0.90497229710565141</v>
      </c>
      <c r="N2068" s="47">
        <f t="shared" si="260"/>
        <v>1.110766969969103E-2</v>
      </c>
      <c r="O2068" s="47">
        <f t="shared" si="261"/>
        <v>7.6017785737912012E-3</v>
      </c>
      <c r="P2068" s="47">
        <f t="shared" si="262"/>
        <v>6.4720324068735832E-2</v>
      </c>
      <c r="Q2068" s="47">
        <f t="shared" si="263"/>
        <v>1</v>
      </c>
    </row>
    <row r="2069" spans="1:17" x14ac:dyDescent="0.35">
      <c r="A2069" s="82">
        <v>2066</v>
      </c>
      <c r="B2069" s="83" t="str">
        <f>_xlfn.XLOOKUP(A2069,'TAZs by City - CCAG Model'!$A:$A,'TAZs by City - CCAG Model'!$B:$B,"Unknown")</f>
        <v>Dublin</v>
      </c>
      <c r="C2069" s="82">
        <f>_xlfn.XLOOKUP(A2069,'TAZs by City - CCAG Model'!$A:$A,'TAZs by City - CCAG Model'!$C:$C,999)</f>
        <v>4</v>
      </c>
      <c r="D2069" s="82" t="str">
        <f t="shared" si="256"/>
        <v>NO</v>
      </c>
      <c r="E2069" s="27">
        <v>22866.22</v>
      </c>
      <c r="F2069" s="27">
        <v>12101.98</v>
      </c>
      <c r="G2069" s="27">
        <v>1257.8599999999999</v>
      </c>
      <c r="H2069" s="27">
        <v>274.92</v>
      </c>
      <c r="I2069" s="27">
        <v>1605.42</v>
      </c>
      <c r="J2069" s="27">
        <v>39397.08</v>
      </c>
      <c r="K2069" s="47">
        <f t="shared" si="257"/>
        <v>0.58040392841296873</v>
      </c>
      <c r="L2069" s="47">
        <f t="shared" si="258"/>
        <v>0.30717961838796171</v>
      </c>
      <c r="M2069" s="84">
        <f t="shared" si="259"/>
        <v>0.88758354680093032</v>
      </c>
      <c r="N2069" s="47">
        <f t="shared" si="260"/>
        <v>3.1927746929467864E-2</v>
      </c>
      <c r="O2069" s="47">
        <f t="shared" si="261"/>
        <v>6.9781821393869797E-3</v>
      </c>
      <c r="P2069" s="47">
        <f t="shared" si="262"/>
        <v>4.0749720537664215E-2</v>
      </c>
      <c r="Q2069" s="47">
        <f t="shared" si="263"/>
        <v>1</v>
      </c>
    </row>
    <row r="2070" spans="1:17" x14ac:dyDescent="0.35">
      <c r="A2070" s="82">
        <v>2067</v>
      </c>
      <c r="B2070" s="83" t="str">
        <f>_xlfn.XLOOKUP(A2070,'TAZs by City - CCAG Model'!$A:$A,'TAZs by City - CCAG Model'!$B:$B,"Unknown")</f>
        <v>Unincorporated</v>
      </c>
      <c r="C2070" s="82">
        <f>_xlfn.XLOOKUP(A2070,'TAZs by City - CCAG Model'!$A:$A,'TAZs by City - CCAG Model'!$C:$C,999)</f>
        <v>4</v>
      </c>
      <c r="D2070" s="82" t="str">
        <f t="shared" si="256"/>
        <v>NO</v>
      </c>
      <c r="E2070" s="27">
        <v>9186.8799999999992</v>
      </c>
      <c r="F2070" s="27">
        <v>5283.62</v>
      </c>
      <c r="G2070" s="27">
        <v>394.52</v>
      </c>
      <c r="H2070" s="27">
        <v>90.68</v>
      </c>
      <c r="I2070" s="27">
        <v>229.02</v>
      </c>
      <c r="J2070" s="27">
        <v>15609.6</v>
      </c>
      <c r="K2070" s="47">
        <f t="shared" si="257"/>
        <v>0.58854038540385401</v>
      </c>
      <c r="L2070" s="47">
        <f t="shared" si="258"/>
        <v>0.33848529110291103</v>
      </c>
      <c r="M2070" s="84">
        <f t="shared" si="259"/>
        <v>0.92702567650676504</v>
      </c>
      <c r="N2070" s="47">
        <f t="shared" si="260"/>
        <v>2.5274190241902417E-2</v>
      </c>
      <c r="O2070" s="47">
        <f t="shared" si="261"/>
        <v>5.8092455924559248E-3</v>
      </c>
      <c r="P2070" s="47">
        <f t="shared" si="262"/>
        <v>1.4671740467404675E-2</v>
      </c>
      <c r="Q2070" s="47">
        <f t="shared" si="263"/>
        <v>1</v>
      </c>
    </row>
    <row r="2071" spans="1:17" x14ac:dyDescent="0.35">
      <c r="A2071" s="82">
        <v>2068</v>
      </c>
      <c r="B2071" s="83" t="str">
        <f>_xlfn.XLOOKUP(A2071,'TAZs by City - CCAG Model'!$A:$A,'TAZs by City - CCAG Model'!$B:$B,"Unknown")</f>
        <v>Pleasanton</v>
      </c>
      <c r="C2071" s="82">
        <f>_xlfn.XLOOKUP(A2071,'TAZs by City - CCAG Model'!$A:$A,'TAZs by City - CCAG Model'!$C:$C,999)</f>
        <v>4</v>
      </c>
      <c r="D2071" s="82" t="str">
        <f t="shared" si="256"/>
        <v>NO</v>
      </c>
      <c r="E2071" s="27">
        <v>53123.3</v>
      </c>
      <c r="F2071" s="27">
        <v>27433.32</v>
      </c>
      <c r="G2071" s="27">
        <v>2402.02</v>
      </c>
      <c r="H2071" s="27">
        <v>605</v>
      </c>
      <c r="I2071" s="27">
        <v>3587.98</v>
      </c>
      <c r="J2071" s="27">
        <v>89571.04</v>
      </c>
      <c r="K2071" s="47">
        <f t="shared" si="257"/>
        <v>0.59308566697450438</v>
      </c>
      <c r="L2071" s="47">
        <f t="shared" si="258"/>
        <v>0.3062744387025092</v>
      </c>
      <c r="M2071" s="84">
        <f t="shared" si="259"/>
        <v>0.89936010567701352</v>
      </c>
      <c r="N2071" s="47">
        <f t="shared" si="260"/>
        <v>2.681692654232886E-2</v>
      </c>
      <c r="O2071" s="47">
        <f t="shared" si="261"/>
        <v>6.7544152663628785E-3</v>
      </c>
      <c r="P2071" s="47">
        <f t="shared" si="262"/>
        <v>4.0057366756040796E-2</v>
      </c>
      <c r="Q2071" s="47">
        <f t="shared" si="263"/>
        <v>1</v>
      </c>
    </row>
    <row r="2072" spans="1:17" x14ac:dyDescent="0.35">
      <c r="A2072" s="82">
        <v>2069</v>
      </c>
      <c r="B2072" s="83" t="str">
        <f>_xlfn.XLOOKUP(A2072,'TAZs by City - CCAG Model'!$A:$A,'TAZs by City - CCAG Model'!$B:$B,"Unknown")</f>
        <v>Pleasanton</v>
      </c>
      <c r="C2072" s="82">
        <f>_xlfn.XLOOKUP(A2072,'TAZs by City - CCAG Model'!$A:$A,'TAZs by City - CCAG Model'!$C:$C,999)</f>
        <v>4</v>
      </c>
      <c r="D2072" s="82" t="str">
        <f t="shared" si="256"/>
        <v>NO</v>
      </c>
      <c r="E2072" s="27">
        <v>34373.980000000003</v>
      </c>
      <c r="F2072" s="27">
        <v>13736.5</v>
      </c>
      <c r="G2072" s="27">
        <v>1403.74</v>
      </c>
      <c r="H2072" s="27">
        <v>394.2</v>
      </c>
      <c r="I2072" s="27">
        <v>2794.9</v>
      </c>
      <c r="J2072" s="27">
        <v>54126.74</v>
      </c>
      <c r="K2072" s="47">
        <f t="shared" si="257"/>
        <v>0.63506466489576141</v>
      </c>
      <c r="L2072" s="47">
        <f t="shared" si="258"/>
        <v>0.25378398920755252</v>
      </c>
      <c r="M2072" s="84">
        <f t="shared" si="259"/>
        <v>0.88884865410331393</v>
      </c>
      <c r="N2072" s="47">
        <f t="shared" si="260"/>
        <v>2.5934316384101465E-2</v>
      </c>
      <c r="O2072" s="47">
        <f t="shared" si="261"/>
        <v>7.2829067481248637E-3</v>
      </c>
      <c r="P2072" s="47">
        <f t="shared" si="262"/>
        <v>5.1636215297651403E-2</v>
      </c>
      <c r="Q2072" s="47">
        <f t="shared" si="263"/>
        <v>1</v>
      </c>
    </row>
    <row r="2073" spans="1:17" x14ac:dyDescent="0.35">
      <c r="A2073" s="82">
        <v>2070</v>
      </c>
      <c r="B2073" s="83" t="str">
        <f>_xlfn.XLOOKUP(A2073,'TAZs by City - CCAG Model'!$A:$A,'TAZs by City - CCAG Model'!$B:$B,"Unknown")</f>
        <v>Pleasanton</v>
      </c>
      <c r="C2073" s="82">
        <f>_xlfn.XLOOKUP(A2073,'TAZs by City - CCAG Model'!$A:$A,'TAZs by City - CCAG Model'!$C:$C,999)</f>
        <v>4</v>
      </c>
      <c r="D2073" s="82" t="str">
        <f t="shared" si="256"/>
        <v>NO</v>
      </c>
      <c r="E2073" s="27">
        <v>11427.6</v>
      </c>
      <c r="F2073" s="27">
        <v>8096.12</v>
      </c>
      <c r="G2073" s="27">
        <v>726.72</v>
      </c>
      <c r="H2073" s="27">
        <v>217.18</v>
      </c>
      <c r="I2073" s="27">
        <v>1421.26</v>
      </c>
      <c r="J2073" s="27">
        <v>22648.240000000002</v>
      </c>
      <c r="K2073" s="47">
        <f t="shared" si="257"/>
        <v>0.50456900845275388</v>
      </c>
      <c r="L2073" s="47">
        <f t="shared" si="258"/>
        <v>0.35747236871386029</v>
      </c>
      <c r="M2073" s="84">
        <f t="shared" si="259"/>
        <v>0.86204137716661422</v>
      </c>
      <c r="N2073" s="47">
        <f t="shared" si="260"/>
        <v>3.208726152672349E-2</v>
      </c>
      <c r="O2073" s="47">
        <f t="shared" si="261"/>
        <v>9.5892660974980833E-3</v>
      </c>
      <c r="P2073" s="47">
        <f t="shared" si="262"/>
        <v>6.2753662094714641E-2</v>
      </c>
      <c r="Q2073" s="47">
        <f t="shared" si="263"/>
        <v>1</v>
      </c>
    </row>
    <row r="2074" spans="1:17" x14ac:dyDescent="0.35">
      <c r="A2074" s="82">
        <v>2071</v>
      </c>
      <c r="B2074" s="83" t="str">
        <f>_xlfn.XLOOKUP(A2074,'TAZs by City - CCAG Model'!$A:$A,'TAZs by City - CCAG Model'!$B:$B,"Unknown")</f>
        <v>Pleasanton</v>
      </c>
      <c r="C2074" s="82">
        <f>_xlfn.XLOOKUP(A2074,'TAZs by City - CCAG Model'!$A:$A,'TAZs by City - CCAG Model'!$C:$C,999)</f>
        <v>4</v>
      </c>
      <c r="D2074" s="82" t="str">
        <f t="shared" si="256"/>
        <v>NO</v>
      </c>
      <c r="E2074" s="27">
        <v>37724.42</v>
      </c>
      <c r="F2074" s="27">
        <v>16805.36</v>
      </c>
      <c r="G2074" s="27">
        <v>1362.62</v>
      </c>
      <c r="H2074" s="27">
        <v>471.54</v>
      </c>
      <c r="I2074" s="27">
        <v>4373.5600000000004</v>
      </c>
      <c r="J2074" s="27">
        <v>62121.14</v>
      </c>
      <c r="K2074" s="47">
        <f t="shared" si="257"/>
        <v>0.60727185624732571</v>
      </c>
      <c r="L2074" s="47">
        <f t="shared" si="258"/>
        <v>0.27052562139072145</v>
      </c>
      <c r="M2074" s="84">
        <f t="shared" si="259"/>
        <v>0.87779747763804716</v>
      </c>
      <c r="N2074" s="47">
        <f t="shared" si="260"/>
        <v>2.1934884002450694E-2</v>
      </c>
      <c r="O2074" s="47">
        <f t="shared" si="261"/>
        <v>7.5906527150016887E-3</v>
      </c>
      <c r="P2074" s="47">
        <f t="shared" si="262"/>
        <v>7.0403730517501775E-2</v>
      </c>
      <c r="Q2074" s="47">
        <f t="shared" si="263"/>
        <v>1</v>
      </c>
    </row>
    <row r="2075" spans="1:17" x14ac:dyDescent="0.35">
      <c r="A2075" s="82">
        <v>2072</v>
      </c>
      <c r="B2075" s="83" t="str">
        <f>_xlfn.XLOOKUP(A2075,'TAZs by City - CCAG Model'!$A:$A,'TAZs by City - CCAG Model'!$B:$B,"Unknown")</f>
        <v>Pleasanton</v>
      </c>
      <c r="C2075" s="82">
        <f>_xlfn.XLOOKUP(A2075,'TAZs by City - CCAG Model'!$A:$A,'TAZs by City - CCAG Model'!$C:$C,999)</f>
        <v>4</v>
      </c>
      <c r="D2075" s="82" t="str">
        <f t="shared" si="256"/>
        <v>NO</v>
      </c>
      <c r="E2075" s="27">
        <v>13805.92</v>
      </c>
      <c r="F2075" s="27">
        <v>8450.7999999999993</v>
      </c>
      <c r="G2075" s="27">
        <v>592.48</v>
      </c>
      <c r="H2075" s="27">
        <v>256.89999999999998</v>
      </c>
      <c r="I2075" s="27">
        <v>2119.46</v>
      </c>
      <c r="J2075" s="27">
        <v>25855.56</v>
      </c>
      <c r="K2075" s="47">
        <f t="shared" si="257"/>
        <v>0.53396329454863867</v>
      </c>
      <c r="L2075" s="47">
        <f t="shared" si="258"/>
        <v>0.32684652740068282</v>
      </c>
      <c r="M2075" s="84">
        <f t="shared" si="259"/>
        <v>0.86080982194932154</v>
      </c>
      <c r="N2075" s="47">
        <f t="shared" si="260"/>
        <v>2.2914993912334522E-2</v>
      </c>
      <c r="O2075" s="47">
        <f t="shared" si="261"/>
        <v>9.935967350929548E-3</v>
      </c>
      <c r="P2075" s="47">
        <f t="shared" si="262"/>
        <v>8.1973084319194783E-2</v>
      </c>
      <c r="Q2075" s="47">
        <f t="shared" si="263"/>
        <v>1</v>
      </c>
    </row>
    <row r="2076" spans="1:17" x14ac:dyDescent="0.35">
      <c r="A2076" s="82">
        <v>2073</v>
      </c>
      <c r="B2076" s="83" t="str">
        <f>_xlfn.XLOOKUP(A2076,'TAZs by City - CCAG Model'!$A:$A,'TAZs by City - CCAG Model'!$B:$B,"Unknown")</f>
        <v>Pleasanton</v>
      </c>
      <c r="C2076" s="82">
        <f>_xlfn.XLOOKUP(A2076,'TAZs by City - CCAG Model'!$A:$A,'TAZs by City - CCAG Model'!$C:$C,999)</f>
        <v>4</v>
      </c>
      <c r="D2076" s="82" t="str">
        <f t="shared" si="256"/>
        <v>NO</v>
      </c>
      <c r="E2076" s="27">
        <v>12534.5</v>
      </c>
      <c r="F2076" s="27">
        <v>7955.72</v>
      </c>
      <c r="G2076" s="27">
        <v>616.74</v>
      </c>
      <c r="H2076" s="27">
        <v>209.36</v>
      </c>
      <c r="I2076" s="27">
        <v>1618.96</v>
      </c>
      <c r="J2076" s="27">
        <v>23588.98</v>
      </c>
      <c r="K2076" s="47">
        <f t="shared" si="257"/>
        <v>0.531371004596214</v>
      </c>
      <c r="L2076" s="47">
        <f t="shared" si="258"/>
        <v>0.33726426492370593</v>
      </c>
      <c r="M2076" s="84">
        <f t="shared" si="259"/>
        <v>0.86863526951991998</v>
      </c>
      <c r="N2076" s="47">
        <f t="shared" si="260"/>
        <v>2.6145259354156052E-2</v>
      </c>
      <c r="O2076" s="47">
        <f t="shared" si="261"/>
        <v>8.8753307688590188E-3</v>
      </c>
      <c r="P2076" s="47">
        <f t="shared" si="262"/>
        <v>6.8632047676499788E-2</v>
      </c>
      <c r="Q2076" s="47">
        <f t="shared" si="263"/>
        <v>1</v>
      </c>
    </row>
    <row r="2077" spans="1:17" x14ac:dyDescent="0.35">
      <c r="A2077" s="82">
        <v>2074</v>
      </c>
      <c r="B2077" s="83" t="str">
        <f>_xlfn.XLOOKUP(A2077,'TAZs by City - CCAG Model'!$A:$A,'TAZs by City - CCAG Model'!$B:$B,"Unknown")</f>
        <v>Pleasanton</v>
      </c>
      <c r="C2077" s="82">
        <f>_xlfn.XLOOKUP(A2077,'TAZs by City - CCAG Model'!$A:$A,'TAZs by City - CCAG Model'!$C:$C,999)</f>
        <v>4</v>
      </c>
      <c r="D2077" s="82" t="str">
        <f t="shared" si="256"/>
        <v>NO</v>
      </c>
      <c r="E2077" s="27">
        <v>76392.94</v>
      </c>
      <c r="F2077" s="27">
        <v>32028</v>
      </c>
      <c r="G2077" s="27">
        <v>3438.1</v>
      </c>
      <c r="H2077" s="27">
        <v>907.6</v>
      </c>
      <c r="I2077" s="27">
        <v>7590.14</v>
      </c>
      <c r="J2077" s="27">
        <v>123809.28</v>
      </c>
      <c r="K2077" s="47">
        <f t="shared" si="257"/>
        <v>0.61702111505696511</v>
      </c>
      <c r="L2077" s="47">
        <f t="shared" si="258"/>
        <v>0.25868820172445878</v>
      </c>
      <c r="M2077" s="84">
        <f t="shared" si="259"/>
        <v>0.87570931678142383</v>
      </c>
      <c r="N2077" s="47">
        <f t="shared" si="260"/>
        <v>2.7769323914976326E-2</v>
      </c>
      <c r="O2077" s="47">
        <f t="shared" si="261"/>
        <v>7.3306298203171848E-3</v>
      </c>
      <c r="P2077" s="47">
        <f t="shared" si="262"/>
        <v>6.1305097646961522E-2</v>
      </c>
      <c r="Q2077" s="47">
        <f t="shared" si="263"/>
        <v>1</v>
      </c>
    </row>
    <row r="2078" spans="1:17" x14ac:dyDescent="0.35">
      <c r="A2078" s="82">
        <v>2075</v>
      </c>
      <c r="B2078" s="83" t="str">
        <f>_xlfn.XLOOKUP(A2078,'TAZs by City - CCAG Model'!$A:$A,'TAZs by City - CCAG Model'!$B:$B,"Unknown")</f>
        <v>Pleasanton</v>
      </c>
      <c r="C2078" s="82">
        <f>_xlfn.XLOOKUP(A2078,'TAZs by City - CCAG Model'!$A:$A,'TAZs by City - CCAG Model'!$C:$C,999)</f>
        <v>4</v>
      </c>
      <c r="D2078" s="82" t="str">
        <f t="shared" si="256"/>
        <v>NO</v>
      </c>
      <c r="E2078" s="27">
        <v>27653.86</v>
      </c>
      <c r="F2078" s="27">
        <v>15391.14</v>
      </c>
      <c r="G2078" s="27">
        <v>1315.58</v>
      </c>
      <c r="H2078" s="27">
        <v>438.2</v>
      </c>
      <c r="I2078" s="27">
        <v>3226.98</v>
      </c>
      <c r="J2078" s="27">
        <v>49364.7</v>
      </c>
      <c r="K2078" s="47">
        <f t="shared" si="257"/>
        <v>0.56019503815479488</v>
      </c>
      <c r="L2078" s="47">
        <f t="shared" si="258"/>
        <v>0.31178433171881931</v>
      </c>
      <c r="M2078" s="84">
        <f t="shared" si="259"/>
        <v>0.87197936987361424</v>
      </c>
      <c r="N2078" s="47">
        <f t="shared" si="260"/>
        <v>2.6650217665659875E-2</v>
      </c>
      <c r="O2078" s="47">
        <f t="shared" si="261"/>
        <v>8.8767884743551576E-3</v>
      </c>
      <c r="P2078" s="47">
        <f t="shared" si="262"/>
        <v>6.5370193680909641E-2</v>
      </c>
      <c r="Q2078" s="47">
        <f t="shared" si="263"/>
        <v>1</v>
      </c>
    </row>
    <row r="2079" spans="1:17" x14ac:dyDescent="0.35">
      <c r="A2079" s="82">
        <v>2076</v>
      </c>
      <c r="B2079" s="83" t="str">
        <f>_xlfn.XLOOKUP(A2079,'TAZs by City - CCAG Model'!$A:$A,'TAZs by City - CCAG Model'!$B:$B,"Unknown")</f>
        <v>Pleasanton</v>
      </c>
      <c r="C2079" s="82">
        <f>_xlfn.XLOOKUP(A2079,'TAZs by City - CCAG Model'!$A:$A,'TAZs by City - CCAG Model'!$C:$C,999)</f>
        <v>4</v>
      </c>
      <c r="D2079" s="82" t="str">
        <f t="shared" si="256"/>
        <v>NO</v>
      </c>
      <c r="E2079" s="27">
        <v>12976.56</v>
      </c>
      <c r="F2079" s="27">
        <v>7357.82</v>
      </c>
      <c r="G2079" s="27">
        <v>321.60000000000002</v>
      </c>
      <c r="H2079" s="27">
        <v>212.36</v>
      </c>
      <c r="I2079" s="27">
        <v>1498.52</v>
      </c>
      <c r="J2079" s="27">
        <v>22722.38</v>
      </c>
      <c r="K2079" s="47">
        <f t="shared" si="257"/>
        <v>0.5710915845963318</v>
      </c>
      <c r="L2079" s="47">
        <f t="shared" si="258"/>
        <v>0.32381379063284743</v>
      </c>
      <c r="M2079" s="84">
        <f t="shared" si="259"/>
        <v>0.89490537522917923</v>
      </c>
      <c r="N2079" s="47">
        <f t="shared" si="260"/>
        <v>1.415344695406027E-2</v>
      </c>
      <c r="O2079" s="47">
        <f t="shared" si="261"/>
        <v>9.3458519750131818E-3</v>
      </c>
      <c r="P2079" s="47">
        <f t="shared" si="262"/>
        <v>6.5949077517407945E-2</v>
      </c>
      <c r="Q2079" s="47">
        <f t="shared" si="263"/>
        <v>1</v>
      </c>
    </row>
    <row r="2080" spans="1:17" x14ac:dyDescent="0.35">
      <c r="A2080" s="82">
        <v>2077</v>
      </c>
      <c r="B2080" s="83" t="str">
        <f>_xlfn.XLOOKUP(A2080,'TAZs by City - CCAG Model'!$A:$A,'TAZs by City - CCAG Model'!$B:$B,"Unknown")</f>
        <v>Unincorporated</v>
      </c>
      <c r="C2080" s="82">
        <f>_xlfn.XLOOKUP(A2080,'TAZs by City - CCAG Model'!$A:$A,'TAZs by City - CCAG Model'!$C:$C,999)</f>
        <v>4</v>
      </c>
      <c r="D2080" s="82" t="str">
        <f t="shared" si="256"/>
        <v>NO</v>
      </c>
      <c r="E2080" s="27">
        <v>9901.1</v>
      </c>
      <c r="F2080" s="27">
        <v>6657.14</v>
      </c>
      <c r="G2080" s="27">
        <v>295.72000000000003</v>
      </c>
      <c r="H2080" s="27">
        <v>181.34</v>
      </c>
      <c r="I2080" s="27">
        <v>1257.54</v>
      </c>
      <c r="J2080" s="27">
        <v>18619.7</v>
      </c>
      <c r="K2080" s="47">
        <f t="shared" si="257"/>
        <v>0.53175400248124294</v>
      </c>
      <c r="L2080" s="47">
        <f t="shared" si="258"/>
        <v>0.35753207624182987</v>
      </c>
      <c r="M2080" s="84">
        <f t="shared" si="259"/>
        <v>0.88928607872307297</v>
      </c>
      <c r="N2080" s="47">
        <f t="shared" si="260"/>
        <v>1.5882103363641736E-2</v>
      </c>
      <c r="O2080" s="47">
        <f t="shared" si="261"/>
        <v>9.739147247270364E-3</v>
      </c>
      <c r="P2080" s="47">
        <f t="shared" si="262"/>
        <v>6.7538145082896073E-2</v>
      </c>
      <c r="Q2080" s="47">
        <f t="shared" si="263"/>
        <v>1</v>
      </c>
    </row>
    <row r="2081" spans="1:17" x14ac:dyDescent="0.35">
      <c r="A2081" s="82">
        <v>2078</v>
      </c>
      <c r="B2081" s="83" t="str">
        <f>_xlfn.XLOOKUP(A2081,'TAZs by City - CCAG Model'!$A:$A,'TAZs by City - CCAG Model'!$B:$B,"Unknown")</f>
        <v>Unincorporated</v>
      </c>
      <c r="C2081" s="82">
        <f>_xlfn.XLOOKUP(A2081,'TAZs by City - CCAG Model'!$A:$A,'TAZs by City - CCAG Model'!$C:$C,999)</f>
        <v>4</v>
      </c>
      <c r="D2081" s="82" t="str">
        <f t="shared" si="256"/>
        <v>NO</v>
      </c>
      <c r="E2081" s="27">
        <v>21913.32</v>
      </c>
      <c r="F2081" s="27">
        <v>13788.38</v>
      </c>
      <c r="G2081" s="27">
        <v>1090.3599999999999</v>
      </c>
      <c r="H2081" s="27">
        <v>195.16</v>
      </c>
      <c r="I2081" s="27">
        <v>1453.88</v>
      </c>
      <c r="J2081" s="27">
        <v>39556.26</v>
      </c>
      <c r="K2081" s="47">
        <f t="shared" si="257"/>
        <v>0.55397856116832078</v>
      </c>
      <c r="L2081" s="47">
        <f t="shared" si="258"/>
        <v>0.34857643265566557</v>
      </c>
      <c r="M2081" s="84">
        <f t="shared" si="259"/>
        <v>0.9025549938239863</v>
      </c>
      <c r="N2081" s="47">
        <f t="shared" si="260"/>
        <v>2.7564789997841045E-2</v>
      </c>
      <c r="O2081" s="47">
        <f t="shared" si="261"/>
        <v>4.9337323599349383E-3</v>
      </c>
      <c r="P2081" s="47">
        <f t="shared" si="262"/>
        <v>3.6754738693698545E-2</v>
      </c>
      <c r="Q2081" s="47">
        <f t="shared" si="263"/>
        <v>1</v>
      </c>
    </row>
    <row r="2082" spans="1:17" x14ac:dyDescent="0.35">
      <c r="A2082" s="82">
        <v>2079</v>
      </c>
      <c r="B2082" s="83" t="str">
        <f>_xlfn.XLOOKUP(A2082,'TAZs by City - CCAG Model'!$A:$A,'TAZs by City - CCAG Model'!$B:$B,"Unknown")</f>
        <v>Fremont</v>
      </c>
      <c r="C2082" s="82">
        <f>_xlfn.XLOOKUP(A2082,'TAZs by City - CCAG Model'!$A:$A,'TAZs by City - CCAG Model'!$C:$C,999)</f>
        <v>4</v>
      </c>
      <c r="D2082" s="82" t="str">
        <f t="shared" si="256"/>
        <v>NO</v>
      </c>
      <c r="E2082" s="27">
        <v>7066.8</v>
      </c>
      <c r="F2082" s="27">
        <v>5350.48</v>
      </c>
      <c r="G2082" s="27">
        <v>154.38</v>
      </c>
      <c r="H2082" s="27">
        <v>72.8</v>
      </c>
      <c r="I2082" s="27">
        <v>371.7</v>
      </c>
      <c r="J2082" s="27">
        <v>13206.04</v>
      </c>
      <c r="K2082" s="47">
        <f t="shared" si="257"/>
        <v>0.53511877898295024</v>
      </c>
      <c r="L2082" s="47">
        <f t="shared" si="258"/>
        <v>0.40515400528848916</v>
      </c>
      <c r="M2082" s="84">
        <f t="shared" si="259"/>
        <v>0.94027278427143923</v>
      </c>
      <c r="N2082" s="47">
        <f t="shared" si="260"/>
        <v>1.1690105436603249E-2</v>
      </c>
      <c r="O2082" s="47">
        <f t="shared" si="261"/>
        <v>5.5126290697286992E-3</v>
      </c>
      <c r="P2082" s="47">
        <f t="shared" si="262"/>
        <v>2.81462118848648E-2</v>
      </c>
      <c r="Q2082" s="47">
        <f t="shared" si="263"/>
        <v>1</v>
      </c>
    </row>
    <row r="2083" spans="1:17" x14ac:dyDescent="0.35">
      <c r="A2083" s="82">
        <v>2080</v>
      </c>
      <c r="B2083" s="83" t="str">
        <f>_xlfn.XLOOKUP(A2083,'TAZs by City - CCAG Model'!$A:$A,'TAZs by City - CCAG Model'!$B:$B,"Unknown")</f>
        <v>Fremont</v>
      </c>
      <c r="C2083" s="82">
        <f>_xlfn.XLOOKUP(A2083,'TAZs by City - CCAG Model'!$A:$A,'TAZs by City - CCAG Model'!$C:$C,999)</f>
        <v>4</v>
      </c>
      <c r="D2083" s="82" t="str">
        <f t="shared" si="256"/>
        <v>NO</v>
      </c>
      <c r="E2083" s="27">
        <v>7907.22</v>
      </c>
      <c r="F2083" s="27">
        <v>6306.08</v>
      </c>
      <c r="G2083" s="27">
        <v>251.68</v>
      </c>
      <c r="H2083" s="27">
        <v>102.44</v>
      </c>
      <c r="I2083" s="27">
        <v>598.14</v>
      </c>
      <c r="J2083" s="27">
        <v>15459.5</v>
      </c>
      <c r="K2083" s="47">
        <f t="shared" si="257"/>
        <v>0.51147967269316608</v>
      </c>
      <c r="L2083" s="47">
        <f t="shared" si="258"/>
        <v>0.40790969953750122</v>
      </c>
      <c r="M2083" s="84">
        <f t="shared" si="259"/>
        <v>0.91938937223066719</v>
      </c>
      <c r="N2083" s="47">
        <f t="shared" si="260"/>
        <v>1.6279957307804262E-2</v>
      </c>
      <c r="O2083" s="47">
        <f t="shared" si="261"/>
        <v>6.6263462595814874E-3</v>
      </c>
      <c r="P2083" s="47">
        <f t="shared" si="262"/>
        <v>3.8690772664057696E-2</v>
      </c>
      <c r="Q2083" s="47">
        <f t="shared" si="263"/>
        <v>1</v>
      </c>
    </row>
    <row r="2084" spans="1:17" x14ac:dyDescent="0.35">
      <c r="A2084" s="82">
        <v>2081</v>
      </c>
      <c r="B2084" s="83" t="str">
        <f>_xlfn.XLOOKUP(A2084,'TAZs by City - CCAG Model'!$A:$A,'TAZs by City - CCAG Model'!$B:$B,"Unknown")</f>
        <v>Fremont</v>
      </c>
      <c r="C2084" s="82">
        <f>_xlfn.XLOOKUP(A2084,'TAZs by City - CCAG Model'!$A:$A,'TAZs by City - CCAG Model'!$C:$C,999)</f>
        <v>4</v>
      </c>
      <c r="D2084" s="82" t="str">
        <f t="shared" si="256"/>
        <v>NO</v>
      </c>
      <c r="E2084" s="27">
        <v>15045.56</v>
      </c>
      <c r="F2084" s="27">
        <v>10084.68</v>
      </c>
      <c r="G2084" s="27">
        <v>431.9</v>
      </c>
      <c r="H2084" s="27">
        <v>231.6</v>
      </c>
      <c r="I2084" s="27">
        <v>1084.6199999999999</v>
      </c>
      <c r="J2084" s="27">
        <v>27351.74</v>
      </c>
      <c r="K2084" s="47">
        <f t="shared" si="257"/>
        <v>0.55007688724739257</v>
      </c>
      <c r="L2084" s="47">
        <f t="shared" si="258"/>
        <v>0.3687034170403784</v>
      </c>
      <c r="M2084" s="84">
        <f t="shared" si="259"/>
        <v>0.91878030428777091</v>
      </c>
      <c r="N2084" s="47">
        <f t="shared" si="260"/>
        <v>1.5790585900567932E-2</v>
      </c>
      <c r="O2084" s="47">
        <f t="shared" si="261"/>
        <v>8.467468614428186E-3</v>
      </c>
      <c r="P2084" s="47">
        <f t="shared" si="262"/>
        <v>3.9654515581092821E-2</v>
      </c>
      <c r="Q2084" s="47">
        <f t="shared" si="263"/>
        <v>1</v>
      </c>
    </row>
    <row r="2085" spans="1:17" x14ac:dyDescent="0.35">
      <c r="A2085" s="82">
        <v>2082</v>
      </c>
      <c r="B2085" s="83" t="str">
        <f>_xlfn.XLOOKUP(A2085,'TAZs by City - CCAG Model'!$A:$A,'TAZs by City - CCAG Model'!$B:$B,"Unknown")</f>
        <v>Fremont</v>
      </c>
      <c r="C2085" s="82">
        <f>_xlfn.XLOOKUP(A2085,'TAZs by City - CCAG Model'!$A:$A,'TAZs by City - CCAG Model'!$C:$C,999)</f>
        <v>4</v>
      </c>
      <c r="D2085" s="82" t="str">
        <f t="shared" si="256"/>
        <v>NO</v>
      </c>
      <c r="E2085" s="27">
        <v>23589.72</v>
      </c>
      <c r="F2085" s="27">
        <v>6580.42</v>
      </c>
      <c r="G2085" s="27">
        <v>409.1</v>
      </c>
      <c r="H2085" s="27">
        <v>210.16</v>
      </c>
      <c r="I2085" s="27">
        <v>627.58000000000004</v>
      </c>
      <c r="J2085" s="27">
        <v>31845.8</v>
      </c>
      <c r="K2085" s="47">
        <f t="shared" si="257"/>
        <v>0.74074823053589489</v>
      </c>
      <c r="L2085" s="47">
        <f t="shared" si="258"/>
        <v>0.20663384182529565</v>
      </c>
      <c r="M2085" s="84">
        <f t="shared" si="259"/>
        <v>0.94738207236119054</v>
      </c>
      <c r="N2085" s="47">
        <f t="shared" si="260"/>
        <v>1.284627800212273E-2</v>
      </c>
      <c r="O2085" s="47">
        <f t="shared" si="261"/>
        <v>6.5993003786998603E-3</v>
      </c>
      <c r="P2085" s="47">
        <f t="shared" si="262"/>
        <v>1.970683732234706E-2</v>
      </c>
      <c r="Q2085" s="47">
        <f t="shared" si="263"/>
        <v>1</v>
      </c>
    </row>
    <row r="2086" spans="1:17" x14ac:dyDescent="0.35">
      <c r="A2086" s="82">
        <v>2083</v>
      </c>
      <c r="B2086" s="83" t="str">
        <f>_xlfn.XLOOKUP(A2086,'TAZs by City - CCAG Model'!$A:$A,'TAZs by City - CCAG Model'!$B:$B,"Unknown")</f>
        <v>Fremont</v>
      </c>
      <c r="C2086" s="82">
        <f>_xlfn.XLOOKUP(A2086,'TAZs by City - CCAG Model'!$A:$A,'TAZs by City - CCAG Model'!$C:$C,999)</f>
        <v>4</v>
      </c>
      <c r="D2086" s="82" t="str">
        <f t="shared" si="256"/>
        <v>NO</v>
      </c>
      <c r="E2086" s="27">
        <v>57069.42</v>
      </c>
      <c r="F2086" s="27">
        <v>15928.96</v>
      </c>
      <c r="G2086" s="27">
        <v>11.42</v>
      </c>
      <c r="H2086" s="27">
        <v>475.16</v>
      </c>
      <c r="I2086" s="27">
        <v>1330.38</v>
      </c>
      <c r="J2086" s="27">
        <v>74828.399999999994</v>
      </c>
      <c r="K2086" s="47">
        <f t="shared" si="257"/>
        <v>0.76267059031063078</v>
      </c>
      <c r="L2086" s="47">
        <f t="shared" si="258"/>
        <v>0.21287318718561402</v>
      </c>
      <c r="M2086" s="84">
        <f t="shared" si="259"/>
        <v>0.97554377749624488</v>
      </c>
      <c r="N2086" s="47">
        <f t="shared" si="260"/>
        <v>1.5261585173543735E-4</v>
      </c>
      <c r="O2086" s="47">
        <f t="shared" si="261"/>
        <v>6.3499954562706148E-3</v>
      </c>
      <c r="P2086" s="47">
        <f t="shared" si="262"/>
        <v>1.7779078531680488E-2</v>
      </c>
      <c r="Q2086" s="47">
        <f t="shared" si="263"/>
        <v>1</v>
      </c>
    </row>
    <row r="2087" spans="1:17" x14ac:dyDescent="0.35">
      <c r="A2087" s="82">
        <v>2084</v>
      </c>
      <c r="B2087" s="83" t="str">
        <f>_xlfn.XLOOKUP(A2087,'TAZs by City - CCAG Model'!$A:$A,'TAZs by City - CCAG Model'!$B:$B,"Unknown")</f>
        <v>Fremont</v>
      </c>
      <c r="C2087" s="82">
        <f>_xlfn.XLOOKUP(A2087,'TAZs by City - CCAG Model'!$A:$A,'TAZs by City - CCAG Model'!$C:$C,999)</f>
        <v>4</v>
      </c>
      <c r="D2087" s="82" t="str">
        <f t="shared" si="256"/>
        <v>NO</v>
      </c>
      <c r="E2087" s="27">
        <v>36692.699999999997</v>
      </c>
      <c r="F2087" s="27">
        <v>11073.48</v>
      </c>
      <c r="G2087" s="27">
        <v>438.9</v>
      </c>
      <c r="H2087" s="27">
        <v>361.88</v>
      </c>
      <c r="I2087" s="27">
        <v>966.66</v>
      </c>
      <c r="J2087" s="27">
        <v>49993.26</v>
      </c>
      <c r="K2087" s="47">
        <f t="shared" si="257"/>
        <v>0.73395293685588814</v>
      </c>
      <c r="L2087" s="47">
        <f t="shared" si="258"/>
        <v>0.22149945812695548</v>
      </c>
      <c r="M2087" s="84">
        <f t="shared" si="259"/>
        <v>0.95545239498284351</v>
      </c>
      <c r="N2087" s="47">
        <f t="shared" si="260"/>
        <v>8.7791834339268921E-3</v>
      </c>
      <c r="O2087" s="47">
        <f t="shared" si="261"/>
        <v>7.2385757600124494E-3</v>
      </c>
      <c r="P2087" s="47">
        <f t="shared" si="262"/>
        <v>1.9335806466711711E-2</v>
      </c>
      <c r="Q2087" s="47">
        <f t="shared" si="263"/>
        <v>1</v>
      </c>
    </row>
    <row r="2088" spans="1:17" x14ac:dyDescent="0.35">
      <c r="A2088" s="82">
        <v>2085</v>
      </c>
      <c r="B2088" s="83" t="str">
        <f>_xlfn.XLOOKUP(A2088,'TAZs by City - CCAG Model'!$A:$A,'TAZs by City - CCAG Model'!$B:$B,"Unknown")</f>
        <v>Fremont</v>
      </c>
      <c r="C2088" s="82">
        <f>_xlfn.XLOOKUP(A2088,'TAZs by City - CCAG Model'!$A:$A,'TAZs by City - CCAG Model'!$C:$C,999)</f>
        <v>4</v>
      </c>
      <c r="D2088" s="82" t="str">
        <f t="shared" si="256"/>
        <v>NO</v>
      </c>
      <c r="E2088" s="27">
        <v>9243.4599999999991</v>
      </c>
      <c r="F2088" s="27">
        <v>6851.3</v>
      </c>
      <c r="G2088" s="27">
        <v>231.98</v>
      </c>
      <c r="H2088" s="27">
        <v>118.72</v>
      </c>
      <c r="I2088" s="27">
        <v>907.12</v>
      </c>
      <c r="J2088" s="27">
        <v>17626.02</v>
      </c>
      <c r="K2088" s="47">
        <f t="shared" si="257"/>
        <v>0.5244212817187317</v>
      </c>
      <c r="L2088" s="47">
        <f t="shared" si="258"/>
        <v>0.38870374593924212</v>
      </c>
      <c r="M2088" s="84">
        <f t="shared" si="259"/>
        <v>0.91312502765797376</v>
      </c>
      <c r="N2088" s="47">
        <f t="shared" si="260"/>
        <v>1.3161224144758715E-2</v>
      </c>
      <c r="O2088" s="47">
        <f t="shared" si="261"/>
        <v>6.7354967258632407E-3</v>
      </c>
      <c r="P2088" s="47">
        <f t="shared" si="262"/>
        <v>5.146482302868146E-2</v>
      </c>
      <c r="Q2088" s="47">
        <f t="shared" si="263"/>
        <v>1</v>
      </c>
    </row>
    <row r="2089" spans="1:17" x14ac:dyDescent="0.35">
      <c r="A2089" s="82">
        <v>2086</v>
      </c>
      <c r="B2089" s="83" t="str">
        <f>_xlfn.XLOOKUP(A2089,'TAZs by City - CCAG Model'!$A:$A,'TAZs by City - CCAG Model'!$B:$B,"Unknown")</f>
        <v>Fremont</v>
      </c>
      <c r="C2089" s="82">
        <f>_xlfn.XLOOKUP(A2089,'TAZs by City - CCAG Model'!$A:$A,'TAZs by City - CCAG Model'!$C:$C,999)</f>
        <v>4</v>
      </c>
      <c r="D2089" s="82" t="str">
        <f t="shared" si="256"/>
        <v>NO</v>
      </c>
      <c r="E2089" s="27">
        <v>15057.96</v>
      </c>
      <c r="F2089" s="27">
        <v>7931.04</v>
      </c>
      <c r="G2089" s="27">
        <v>764.08</v>
      </c>
      <c r="H2089" s="27">
        <v>199</v>
      </c>
      <c r="I2089" s="27">
        <v>929.7</v>
      </c>
      <c r="J2089" s="27">
        <v>25686.62</v>
      </c>
      <c r="K2089" s="47">
        <f t="shared" si="257"/>
        <v>0.58621803880775281</v>
      </c>
      <c r="L2089" s="47">
        <f t="shared" si="258"/>
        <v>0.30876152642893462</v>
      </c>
      <c r="M2089" s="84">
        <f t="shared" si="259"/>
        <v>0.89497956523668742</v>
      </c>
      <c r="N2089" s="47">
        <f t="shared" si="260"/>
        <v>2.974622585610719E-2</v>
      </c>
      <c r="O2089" s="47">
        <f t="shared" si="261"/>
        <v>7.7472240411545004E-3</v>
      </c>
      <c r="P2089" s="47">
        <f t="shared" si="262"/>
        <v>3.6193940658599696E-2</v>
      </c>
      <c r="Q2089" s="47">
        <f t="shared" si="263"/>
        <v>1</v>
      </c>
    </row>
    <row r="2090" spans="1:17" x14ac:dyDescent="0.35">
      <c r="A2090" s="82">
        <v>2087</v>
      </c>
      <c r="B2090" s="83" t="str">
        <f>_xlfn.XLOOKUP(A2090,'TAZs by City - CCAG Model'!$A:$A,'TAZs by City - CCAG Model'!$B:$B,"Unknown")</f>
        <v>Fremont</v>
      </c>
      <c r="C2090" s="82">
        <f>_xlfn.XLOOKUP(A2090,'TAZs by City - CCAG Model'!$A:$A,'TAZs by City - CCAG Model'!$C:$C,999)</f>
        <v>4</v>
      </c>
      <c r="D2090" s="82" t="str">
        <f t="shared" si="256"/>
        <v>NO</v>
      </c>
      <c r="E2090" s="27">
        <v>20237.64</v>
      </c>
      <c r="F2090" s="27">
        <v>15121.82</v>
      </c>
      <c r="G2090" s="27">
        <v>516.05999999999995</v>
      </c>
      <c r="H2090" s="27">
        <v>287.2</v>
      </c>
      <c r="I2090" s="27">
        <v>2795.8</v>
      </c>
      <c r="J2090" s="27">
        <v>39512.28</v>
      </c>
      <c r="K2090" s="47">
        <f t="shared" si="257"/>
        <v>0.5121860849335953</v>
      </c>
      <c r="L2090" s="47">
        <f t="shared" si="258"/>
        <v>0.38271190627318902</v>
      </c>
      <c r="M2090" s="84">
        <f t="shared" si="259"/>
        <v>0.89489799120678437</v>
      </c>
      <c r="N2090" s="47">
        <f t="shared" si="260"/>
        <v>1.306074972135245E-2</v>
      </c>
      <c r="O2090" s="47">
        <f t="shared" si="261"/>
        <v>7.2686263612223847E-3</v>
      </c>
      <c r="P2090" s="47">
        <f t="shared" si="262"/>
        <v>7.0757749236439918E-2</v>
      </c>
      <c r="Q2090" s="47">
        <f t="shared" si="263"/>
        <v>1</v>
      </c>
    </row>
    <row r="2091" spans="1:17" x14ac:dyDescent="0.35">
      <c r="A2091" s="82">
        <v>2088</v>
      </c>
      <c r="B2091" s="83" t="str">
        <f>_xlfn.XLOOKUP(A2091,'TAZs by City - CCAG Model'!$A:$A,'TAZs by City - CCAG Model'!$B:$B,"Unknown")</f>
        <v>Fremont</v>
      </c>
      <c r="C2091" s="82">
        <f>_xlfn.XLOOKUP(A2091,'TAZs by City - CCAG Model'!$A:$A,'TAZs by City - CCAG Model'!$C:$C,999)</f>
        <v>4</v>
      </c>
      <c r="D2091" s="82" t="str">
        <f t="shared" si="256"/>
        <v>NO</v>
      </c>
      <c r="E2091" s="27">
        <v>20264.96</v>
      </c>
      <c r="F2091" s="27">
        <v>13366.98</v>
      </c>
      <c r="G2091" s="27">
        <v>375.7</v>
      </c>
      <c r="H2091" s="27">
        <v>401.38</v>
      </c>
      <c r="I2091" s="27">
        <v>3352.94</v>
      </c>
      <c r="J2091" s="27">
        <v>38172.6</v>
      </c>
      <c r="K2091" s="47">
        <f t="shared" si="257"/>
        <v>0.53087712128594855</v>
      </c>
      <c r="L2091" s="47">
        <f t="shared" si="258"/>
        <v>0.3501721129815627</v>
      </c>
      <c r="M2091" s="84">
        <f t="shared" si="259"/>
        <v>0.88104923426751136</v>
      </c>
      <c r="N2091" s="47">
        <f t="shared" si="260"/>
        <v>9.8421380780979034E-3</v>
      </c>
      <c r="O2091" s="47">
        <f t="shared" si="261"/>
        <v>1.0514871923840661E-2</v>
      </c>
      <c r="P2091" s="47">
        <f t="shared" si="262"/>
        <v>8.7836301430869262E-2</v>
      </c>
      <c r="Q2091" s="47">
        <f t="shared" si="263"/>
        <v>1</v>
      </c>
    </row>
    <row r="2092" spans="1:17" x14ac:dyDescent="0.35">
      <c r="A2092" s="82">
        <v>2089</v>
      </c>
      <c r="B2092" s="83" t="str">
        <f>_xlfn.XLOOKUP(A2092,'TAZs by City - CCAG Model'!$A:$A,'TAZs by City - CCAG Model'!$B:$B,"Unknown")</f>
        <v>Fremont</v>
      </c>
      <c r="C2092" s="82">
        <f>_xlfn.XLOOKUP(A2092,'TAZs by City - CCAG Model'!$A:$A,'TAZs by City - CCAG Model'!$C:$C,999)</f>
        <v>4</v>
      </c>
      <c r="D2092" s="82" t="str">
        <f t="shared" si="256"/>
        <v>NO</v>
      </c>
      <c r="E2092" s="27">
        <v>5608.68</v>
      </c>
      <c r="F2092" s="27">
        <v>4041.84</v>
      </c>
      <c r="G2092" s="27">
        <v>77.2</v>
      </c>
      <c r="H2092" s="27">
        <v>94.62</v>
      </c>
      <c r="I2092" s="27">
        <v>584.62</v>
      </c>
      <c r="J2092" s="27">
        <v>10512.42</v>
      </c>
      <c r="K2092" s="47">
        <f t="shared" si="257"/>
        <v>0.53352891151609239</v>
      </c>
      <c r="L2092" s="47">
        <f t="shared" si="258"/>
        <v>0.38448235515704282</v>
      </c>
      <c r="M2092" s="84">
        <f t="shared" si="259"/>
        <v>0.91801126667313526</v>
      </c>
      <c r="N2092" s="47">
        <f t="shared" si="260"/>
        <v>7.343694410991951E-3</v>
      </c>
      <c r="O2092" s="47">
        <f t="shared" si="261"/>
        <v>9.0007819322287363E-3</v>
      </c>
      <c r="P2092" s="47">
        <f t="shared" si="262"/>
        <v>5.5612313815467801E-2</v>
      </c>
      <c r="Q2092" s="47">
        <f t="shared" si="263"/>
        <v>1</v>
      </c>
    </row>
    <row r="2093" spans="1:17" x14ac:dyDescent="0.35">
      <c r="A2093" s="82">
        <v>2090</v>
      </c>
      <c r="B2093" s="83" t="str">
        <f>_xlfn.XLOOKUP(A2093,'TAZs by City - CCAG Model'!$A:$A,'TAZs by City - CCAG Model'!$B:$B,"Unknown")</f>
        <v>Fremont</v>
      </c>
      <c r="C2093" s="82">
        <f>_xlfn.XLOOKUP(A2093,'TAZs by City - CCAG Model'!$A:$A,'TAZs by City - CCAG Model'!$C:$C,999)</f>
        <v>4</v>
      </c>
      <c r="D2093" s="82" t="str">
        <f t="shared" si="256"/>
        <v>NO</v>
      </c>
      <c r="E2093" s="27">
        <v>10661.62</v>
      </c>
      <c r="F2093" s="27">
        <v>7807.44</v>
      </c>
      <c r="G2093" s="27">
        <v>324.14</v>
      </c>
      <c r="H2093" s="27">
        <v>203.38</v>
      </c>
      <c r="I2093" s="27">
        <v>1383.26</v>
      </c>
      <c r="J2093" s="27">
        <v>20744.84</v>
      </c>
      <c r="K2093" s="47">
        <f t="shared" si="257"/>
        <v>0.51394081612584142</v>
      </c>
      <c r="L2093" s="47">
        <f t="shared" si="258"/>
        <v>0.3763557588296656</v>
      </c>
      <c r="M2093" s="84">
        <f t="shared" si="259"/>
        <v>0.89029657495550707</v>
      </c>
      <c r="N2093" s="47">
        <f t="shared" si="260"/>
        <v>1.5625090383921975E-2</v>
      </c>
      <c r="O2093" s="47">
        <f t="shared" si="261"/>
        <v>9.8038837609738128E-3</v>
      </c>
      <c r="P2093" s="47">
        <f t="shared" si="262"/>
        <v>6.6679714087937048E-2</v>
      </c>
      <c r="Q2093" s="47">
        <f t="shared" si="263"/>
        <v>1</v>
      </c>
    </row>
    <row r="2094" spans="1:17" x14ac:dyDescent="0.35">
      <c r="A2094" s="82">
        <v>2091</v>
      </c>
      <c r="B2094" s="83" t="str">
        <f>_xlfn.XLOOKUP(A2094,'TAZs by City - CCAG Model'!$A:$A,'TAZs by City - CCAG Model'!$B:$B,"Unknown")</f>
        <v>Fremont</v>
      </c>
      <c r="C2094" s="82">
        <f>_xlfn.XLOOKUP(A2094,'TAZs by City - CCAG Model'!$A:$A,'TAZs by City - CCAG Model'!$C:$C,999)</f>
        <v>4</v>
      </c>
      <c r="D2094" s="82" t="str">
        <f t="shared" si="256"/>
        <v>NO</v>
      </c>
      <c r="E2094" s="27">
        <v>14012.14</v>
      </c>
      <c r="F2094" s="27">
        <v>9909.9599999999991</v>
      </c>
      <c r="G2094" s="27">
        <v>339.1</v>
      </c>
      <c r="H2094" s="27">
        <v>264.76</v>
      </c>
      <c r="I2094" s="27">
        <v>1483.06</v>
      </c>
      <c r="J2094" s="27">
        <v>26390.9</v>
      </c>
      <c r="K2094" s="47">
        <f t="shared" si="257"/>
        <v>0.53094589422869243</v>
      </c>
      <c r="L2094" s="47">
        <f t="shared" si="258"/>
        <v>0.3755067087518803</v>
      </c>
      <c r="M2094" s="84">
        <f t="shared" si="259"/>
        <v>0.90645260298057273</v>
      </c>
      <c r="N2094" s="47">
        <f t="shared" si="260"/>
        <v>1.2849126024500869E-2</v>
      </c>
      <c r="O2094" s="47">
        <f t="shared" si="261"/>
        <v>1.0032245963570776E-2</v>
      </c>
      <c r="P2094" s="47">
        <f t="shared" si="262"/>
        <v>5.6195885703026416E-2</v>
      </c>
      <c r="Q2094" s="47">
        <f t="shared" si="263"/>
        <v>1</v>
      </c>
    </row>
    <row r="2095" spans="1:17" x14ac:dyDescent="0.35">
      <c r="A2095" s="82">
        <v>2092</v>
      </c>
      <c r="B2095" s="83" t="str">
        <f>_xlfn.XLOOKUP(A2095,'TAZs by City - CCAG Model'!$A:$A,'TAZs by City - CCAG Model'!$B:$B,"Unknown")</f>
        <v>Fremont</v>
      </c>
      <c r="C2095" s="82">
        <f>_xlfn.XLOOKUP(A2095,'TAZs by City - CCAG Model'!$A:$A,'TAZs by City - CCAG Model'!$C:$C,999)</f>
        <v>4</v>
      </c>
      <c r="D2095" s="82" t="str">
        <f t="shared" si="256"/>
        <v>NO</v>
      </c>
      <c r="E2095" s="27">
        <v>12256.26</v>
      </c>
      <c r="F2095" s="27">
        <v>8315.3799999999992</v>
      </c>
      <c r="G2095" s="27">
        <v>386.88</v>
      </c>
      <c r="H2095" s="27">
        <v>251.44</v>
      </c>
      <c r="I2095" s="27">
        <v>1794.8</v>
      </c>
      <c r="J2095" s="27">
        <v>23432.22</v>
      </c>
      <c r="K2095" s="47">
        <f t="shared" si="257"/>
        <v>0.52305159306288518</v>
      </c>
      <c r="L2095" s="47">
        <f t="shared" si="258"/>
        <v>0.35486949166574905</v>
      </c>
      <c r="M2095" s="84">
        <f t="shared" si="259"/>
        <v>0.87792108472863428</v>
      </c>
      <c r="N2095" s="47">
        <f t="shared" si="260"/>
        <v>1.6510599507857129E-2</v>
      </c>
      <c r="O2095" s="47">
        <f t="shared" si="261"/>
        <v>1.07305240391222E-2</v>
      </c>
      <c r="P2095" s="47">
        <f t="shared" si="262"/>
        <v>7.6595388742509235E-2</v>
      </c>
      <c r="Q2095" s="47">
        <f t="shared" si="263"/>
        <v>1</v>
      </c>
    </row>
    <row r="2096" spans="1:17" x14ac:dyDescent="0.35">
      <c r="A2096" s="82">
        <v>2093</v>
      </c>
      <c r="B2096" s="83" t="str">
        <f>_xlfn.XLOOKUP(A2096,'TAZs by City - CCAG Model'!$A:$A,'TAZs by City - CCAG Model'!$B:$B,"Unknown")</f>
        <v>Fremont</v>
      </c>
      <c r="C2096" s="82">
        <f>_xlfn.XLOOKUP(A2096,'TAZs by City - CCAG Model'!$A:$A,'TAZs by City - CCAG Model'!$C:$C,999)</f>
        <v>4</v>
      </c>
      <c r="D2096" s="82" t="str">
        <f t="shared" si="256"/>
        <v>NO</v>
      </c>
      <c r="E2096" s="27">
        <v>24800.16</v>
      </c>
      <c r="F2096" s="27">
        <v>15204.22</v>
      </c>
      <c r="G2096" s="27">
        <v>597.82000000000005</v>
      </c>
      <c r="H2096" s="27">
        <v>558.86</v>
      </c>
      <c r="I2096" s="27">
        <v>5069.6000000000004</v>
      </c>
      <c r="J2096" s="27">
        <v>46869.66</v>
      </c>
      <c r="K2096" s="47">
        <f t="shared" si="257"/>
        <v>0.52913035853044377</v>
      </c>
      <c r="L2096" s="47">
        <f t="shared" si="258"/>
        <v>0.32439364825774281</v>
      </c>
      <c r="M2096" s="84">
        <f t="shared" si="259"/>
        <v>0.85352400678818652</v>
      </c>
      <c r="N2096" s="47">
        <f t="shared" si="260"/>
        <v>1.2754946376824582E-2</v>
      </c>
      <c r="O2096" s="47">
        <f t="shared" si="261"/>
        <v>1.1923705015141992E-2</v>
      </c>
      <c r="P2096" s="47">
        <f t="shared" si="262"/>
        <v>0.10816378868547372</v>
      </c>
      <c r="Q2096" s="47">
        <f t="shared" si="263"/>
        <v>1</v>
      </c>
    </row>
    <row r="2097" spans="1:17" x14ac:dyDescent="0.35">
      <c r="A2097" s="82">
        <v>2094</v>
      </c>
      <c r="B2097" s="83" t="str">
        <f>_xlfn.XLOOKUP(A2097,'TAZs by City - CCAG Model'!$A:$A,'TAZs by City - CCAG Model'!$B:$B,"Unknown")</f>
        <v>Fremont</v>
      </c>
      <c r="C2097" s="82">
        <f>_xlfn.XLOOKUP(A2097,'TAZs by City - CCAG Model'!$A:$A,'TAZs by City - CCAG Model'!$C:$C,999)</f>
        <v>4</v>
      </c>
      <c r="D2097" s="82" t="str">
        <f t="shared" si="256"/>
        <v>NO</v>
      </c>
      <c r="E2097" s="27">
        <v>8826.36</v>
      </c>
      <c r="F2097" s="27">
        <v>5161.84</v>
      </c>
      <c r="G2097" s="27">
        <v>352.24</v>
      </c>
      <c r="H2097" s="27">
        <v>184.34</v>
      </c>
      <c r="I2097" s="27">
        <v>1282.82</v>
      </c>
      <c r="J2097" s="27">
        <v>16206.88</v>
      </c>
      <c r="K2097" s="47">
        <f t="shared" si="257"/>
        <v>0.54460574768246583</v>
      </c>
      <c r="L2097" s="47">
        <f t="shared" si="258"/>
        <v>0.31849683591166222</v>
      </c>
      <c r="M2097" s="84">
        <f t="shared" si="259"/>
        <v>0.86310258359412806</v>
      </c>
      <c r="N2097" s="47">
        <f t="shared" si="260"/>
        <v>2.1733979643213254E-2</v>
      </c>
      <c r="O2097" s="47">
        <f t="shared" si="261"/>
        <v>1.1374181828951656E-2</v>
      </c>
      <c r="P2097" s="47">
        <f t="shared" si="262"/>
        <v>7.9152804241161778E-2</v>
      </c>
      <c r="Q2097" s="47">
        <f t="shared" si="263"/>
        <v>1</v>
      </c>
    </row>
    <row r="2098" spans="1:17" x14ac:dyDescent="0.35">
      <c r="A2098" s="82">
        <v>2095</v>
      </c>
      <c r="B2098" s="83" t="str">
        <f>_xlfn.XLOOKUP(A2098,'TAZs by City - CCAG Model'!$A:$A,'TAZs by City - CCAG Model'!$B:$B,"Unknown")</f>
        <v>Fremont</v>
      </c>
      <c r="C2098" s="82">
        <f>_xlfn.XLOOKUP(A2098,'TAZs by City - CCAG Model'!$A:$A,'TAZs by City - CCAG Model'!$C:$C,999)</f>
        <v>4</v>
      </c>
      <c r="D2098" s="82" t="str">
        <f t="shared" si="256"/>
        <v>NO</v>
      </c>
      <c r="E2098" s="27">
        <v>26324.98</v>
      </c>
      <c r="F2098" s="27">
        <v>14655.32</v>
      </c>
      <c r="G2098" s="27">
        <v>1409.6</v>
      </c>
      <c r="H2098" s="27">
        <v>593.91999999999996</v>
      </c>
      <c r="I2098" s="27">
        <v>5762.28</v>
      </c>
      <c r="J2098" s="27">
        <v>50189.22</v>
      </c>
      <c r="K2098" s="47">
        <f t="shared" si="257"/>
        <v>0.52451462684616335</v>
      </c>
      <c r="L2098" s="47">
        <f t="shared" si="258"/>
        <v>0.2920013500907167</v>
      </c>
      <c r="M2098" s="84">
        <f t="shared" si="259"/>
        <v>0.81651597693688016</v>
      </c>
      <c r="N2098" s="47">
        <f t="shared" si="260"/>
        <v>2.8085712429880359E-2</v>
      </c>
      <c r="O2098" s="47">
        <f t="shared" si="261"/>
        <v>1.1833616860353677E-2</v>
      </c>
      <c r="P2098" s="47">
        <f t="shared" si="262"/>
        <v>0.11481110883970701</v>
      </c>
      <c r="Q2098" s="47">
        <f t="shared" si="263"/>
        <v>1</v>
      </c>
    </row>
    <row r="2099" spans="1:17" x14ac:dyDescent="0.35">
      <c r="A2099" s="82">
        <v>2096</v>
      </c>
      <c r="B2099" s="83" t="str">
        <f>_xlfn.XLOOKUP(A2099,'TAZs by City - CCAG Model'!$A:$A,'TAZs by City - CCAG Model'!$B:$B,"Unknown")</f>
        <v>Fremont</v>
      </c>
      <c r="C2099" s="82">
        <f>_xlfn.XLOOKUP(A2099,'TAZs by City - CCAG Model'!$A:$A,'TAZs by City - CCAG Model'!$C:$C,999)</f>
        <v>4</v>
      </c>
      <c r="D2099" s="82" t="str">
        <f t="shared" si="256"/>
        <v>NO</v>
      </c>
      <c r="E2099" s="27">
        <v>15738.44</v>
      </c>
      <c r="F2099" s="27">
        <v>9999.9</v>
      </c>
      <c r="G2099" s="27">
        <v>252.84</v>
      </c>
      <c r="H2099" s="27">
        <v>334.88</v>
      </c>
      <c r="I2099" s="27">
        <v>1994.9</v>
      </c>
      <c r="J2099" s="27">
        <v>28597.8</v>
      </c>
      <c r="K2099" s="47">
        <f t="shared" si="257"/>
        <v>0.55033743854422368</v>
      </c>
      <c r="L2099" s="47">
        <f t="shared" si="258"/>
        <v>0.3496737511277091</v>
      </c>
      <c r="M2099" s="84">
        <f t="shared" si="259"/>
        <v>0.90001118967193283</v>
      </c>
      <c r="N2099" s="47">
        <f t="shared" si="260"/>
        <v>8.8412395359083566E-3</v>
      </c>
      <c r="O2099" s="47">
        <f t="shared" si="261"/>
        <v>1.1709991677681501E-2</v>
      </c>
      <c r="P2099" s="47">
        <f t="shared" si="262"/>
        <v>6.975711418360854E-2</v>
      </c>
      <c r="Q2099" s="47">
        <f t="shared" si="263"/>
        <v>1</v>
      </c>
    </row>
    <row r="2100" spans="1:17" x14ac:dyDescent="0.35">
      <c r="A2100" s="82">
        <v>2097</v>
      </c>
      <c r="B2100" s="83" t="str">
        <f>_xlfn.XLOOKUP(A2100,'TAZs by City - CCAG Model'!$A:$A,'TAZs by City - CCAG Model'!$B:$B,"Unknown")</f>
        <v>Fremont</v>
      </c>
      <c r="C2100" s="82">
        <f>_xlfn.XLOOKUP(A2100,'TAZs by City - CCAG Model'!$A:$A,'TAZs by City - CCAG Model'!$C:$C,999)</f>
        <v>4</v>
      </c>
      <c r="D2100" s="82" t="str">
        <f t="shared" si="256"/>
        <v>NO</v>
      </c>
      <c r="E2100" s="27">
        <v>8635.58</v>
      </c>
      <c r="F2100" s="27">
        <v>4767.12</v>
      </c>
      <c r="G2100" s="27">
        <v>98.78</v>
      </c>
      <c r="H2100" s="27">
        <v>169.22</v>
      </c>
      <c r="I2100" s="27">
        <v>2303.62</v>
      </c>
      <c r="J2100" s="27">
        <v>16103.32</v>
      </c>
      <c r="K2100" s="47">
        <f t="shared" si="257"/>
        <v>0.53626084558960518</v>
      </c>
      <c r="L2100" s="47">
        <f t="shared" si="258"/>
        <v>0.29603336454842855</v>
      </c>
      <c r="M2100" s="84">
        <f t="shared" si="259"/>
        <v>0.83229421013803373</v>
      </c>
      <c r="N2100" s="47">
        <f t="shared" si="260"/>
        <v>6.1341387987073476E-3</v>
      </c>
      <c r="O2100" s="47">
        <f t="shared" si="261"/>
        <v>1.0508392058283633E-2</v>
      </c>
      <c r="P2100" s="47">
        <f t="shared" si="262"/>
        <v>0.14305248855515509</v>
      </c>
      <c r="Q2100" s="47">
        <f t="shared" si="263"/>
        <v>1</v>
      </c>
    </row>
    <row r="2101" spans="1:17" x14ac:dyDescent="0.35">
      <c r="A2101" s="82">
        <v>2098</v>
      </c>
      <c r="B2101" s="83" t="str">
        <f>_xlfn.XLOOKUP(A2101,'TAZs by City - CCAG Model'!$A:$A,'TAZs by City - CCAG Model'!$B:$B,"Unknown")</f>
        <v>Fremont</v>
      </c>
      <c r="C2101" s="82">
        <f>_xlfn.XLOOKUP(A2101,'TAZs by City - CCAG Model'!$A:$A,'TAZs by City - CCAG Model'!$C:$C,999)</f>
        <v>4</v>
      </c>
      <c r="D2101" s="82" t="str">
        <f t="shared" si="256"/>
        <v>NO</v>
      </c>
      <c r="E2101" s="27">
        <v>7137.76</v>
      </c>
      <c r="F2101" s="27">
        <v>4715.2</v>
      </c>
      <c r="G2101" s="27">
        <v>87.56</v>
      </c>
      <c r="H2101" s="27">
        <v>139.5</v>
      </c>
      <c r="I2101" s="27">
        <v>843.02</v>
      </c>
      <c r="J2101" s="27">
        <v>13039.78</v>
      </c>
      <c r="K2101" s="47">
        <f t="shared" si="257"/>
        <v>0.54738346812599603</v>
      </c>
      <c r="L2101" s="47">
        <f t="shared" si="258"/>
        <v>0.36160119265815832</v>
      </c>
      <c r="M2101" s="84">
        <f t="shared" si="259"/>
        <v>0.90898466078415419</v>
      </c>
      <c r="N2101" s="47">
        <f t="shared" si="260"/>
        <v>6.7148372135112707E-3</v>
      </c>
      <c r="O2101" s="47">
        <f t="shared" si="261"/>
        <v>1.0698033249027208E-2</v>
      </c>
      <c r="P2101" s="47">
        <f t="shared" si="262"/>
        <v>6.4649863724694737E-2</v>
      </c>
      <c r="Q2101" s="47">
        <f t="shared" si="263"/>
        <v>1</v>
      </c>
    </row>
    <row r="2102" spans="1:17" x14ac:dyDescent="0.35">
      <c r="A2102" s="82">
        <v>2099</v>
      </c>
      <c r="B2102" s="83" t="str">
        <f>_xlfn.XLOOKUP(A2102,'TAZs by City - CCAG Model'!$A:$A,'TAZs by City - CCAG Model'!$B:$B,"Unknown")</f>
        <v>Newark</v>
      </c>
      <c r="C2102" s="82">
        <f>_xlfn.XLOOKUP(A2102,'TAZs by City - CCAG Model'!$A:$A,'TAZs by City - CCAG Model'!$C:$C,999)</f>
        <v>4</v>
      </c>
      <c r="D2102" s="82" t="str">
        <f t="shared" si="256"/>
        <v>NO</v>
      </c>
      <c r="E2102" s="27">
        <v>45891.46</v>
      </c>
      <c r="F2102" s="27">
        <v>24945.48</v>
      </c>
      <c r="G2102" s="27">
        <v>1000.8</v>
      </c>
      <c r="H2102" s="27">
        <v>826.84</v>
      </c>
      <c r="I2102" s="27">
        <v>6022.42</v>
      </c>
      <c r="J2102" s="27">
        <v>79716.44</v>
      </c>
      <c r="K2102" s="47">
        <f t="shared" si="257"/>
        <v>0.57568376109118768</v>
      </c>
      <c r="L2102" s="47">
        <f t="shared" si="258"/>
        <v>0.31292767213387851</v>
      </c>
      <c r="M2102" s="84">
        <f t="shared" si="259"/>
        <v>0.88861143322506631</v>
      </c>
      <c r="N2102" s="47">
        <f t="shared" si="260"/>
        <v>1.2554499423205551E-2</v>
      </c>
      <c r="O2102" s="47">
        <f t="shared" si="261"/>
        <v>1.0372264491490087E-2</v>
      </c>
      <c r="P2102" s="47">
        <f t="shared" si="262"/>
        <v>7.5548029992307739E-2</v>
      </c>
      <c r="Q2102" s="47">
        <f t="shared" si="263"/>
        <v>1</v>
      </c>
    </row>
    <row r="2103" spans="1:17" x14ac:dyDescent="0.35">
      <c r="A2103" s="82">
        <v>2100</v>
      </c>
      <c r="B2103" s="83" t="str">
        <f>_xlfn.XLOOKUP(A2103,'TAZs by City - CCAG Model'!$A:$A,'TAZs by City - CCAG Model'!$B:$B,"Unknown")</f>
        <v>Newark</v>
      </c>
      <c r="C2103" s="82">
        <f>_xlfn.XLOOKUP(A2103,'TAZs by City - CCAG Model'!$A:$A,'TAZs by City - CCAG Model'!$C:$C,999)</f>
        <v>4</v>
      </c>
      <c r="D2103" s="82" t="str">
        <f t="shared" si="256"/>
        <v>NO</v>
      </c>
      <c r="E2103" s="27">
        <v>33436.78</v>
      </c>
      <c r="F2103" s="27">
        <v>19792.439999999999</v>
      </c>
      <c r="G2103" s="27">
        <v>515.44000000000005</v>
      </c>
      <c r="H2103" s="27">
        <v>578.24</v>
      </c>
      <c r="I2103" s="27">
        <v>3742.8</v>
      </c>
      <c r="J2103" s="27">
        <v>58591.64</v>
      </c>
      <c r="K2103" s="47">
        <f t="shared" si="257"/>
        <v>0.57067492905131179</v>
      </c>
      <c r="L2103" s="47">
        <f t="shared" si="258"/>
        <v>0.33780314051629207</v>
      </c>
      <c r="M2103" s="84">
        <f t="shared" si="259"/>
        <v>0.90847806956760391</v>
      </c>
      <c r="N2103" s="47">
        <f t="shared" si="260"/>
        <v>8.7971594582435322E-3</v>
      </c>
      <c r="O2103" s="47">
        <f t="shared" si="261"/>
        <v>9.8689847220524984E-3</v>
      </c>
      <c r="P2103" s="47">
        <f t="shared" si="262"/>
        <v>6.3879420340512749E-2</v>
      </c>
      <c r="Q2103" s="47">
        <f t="shared" si="263"/>
        <v>1</v>
      </c>
    </row>
    <row r="2104" spans="1:17" x14ac:dyDescent="0.35">
      <c r="A2104" s="82">
        <v>2101</v>
      </c>
      <c r="B2104" s="83" t="str">
        <f>_xlfn.XLOOKUP(A2104,'TAZs by City - CCAG Model'!$A:$A,'TAZs by City - CCAG Model'!$B:$B,"Unknown")</f>
        <v>Fremont</v>
      </c>
      <c r="C2104" s="82">
        <f>_xlfn.XLOOKUP(A2104,'TAZs by City - CCAG Model'!$A:$A,'TAZs by City - CCAG Model'!$C:$C,999)</f>
        <v>4</v>
      </c>
      <c r="D2104" s="82" t="str">
        <f t="shared" si="256"/>
        <v>NO</v>
      </c>
      <c r="E2104" s="27">
        <v>28734.2</v>
      </c>
      <c r="F2104" s="27">
        <v>20534.28</v>
      </c>
      <c r="G2104" s="27">
        <v>1155.4000000000001</v>
      </c>
      <c r="H2104" s="27">
        <v>574.58000000000004</v>
      </c>
      <c r="I2104" s="27">
        <v>3195.46</v>
      </c>
      <c r="J2104" s="27">
        <v>55382.42</v>
      </c>
      <c r="K2104" s="47">
        <f t="shared" si="257"/>
        <v>0.51883251038867573</v>
      </c>
      <c r="L2104" s="47">
        <f t="shared" si="258"/>
        <v>0.37077253034446672</v>
      </c>
      <c r="M2104" s="84">
        <f t="shared" si="259"/>
        <v>0.88960504073314239</v>
      </c>
      <c r="N2104" s="47">
        <f t="shared" si="260"/>
        <v>2.0862215843944706E-2</v>
      </c>
      <c r="O2104" s="47">
        <f t="shared" si="261"/>
        <v>1.0374772355559761E-2</v>
      </c>
      <c r="P2104" s="47">
        <f t="shared" si="262"/>
        <v>5.7698092643838968E-2</v>
      </c>
      <c r="Q2104" s="47">
        <f t="shared" si="263"/>
        <v>1</v>
      </c>
    </row>
    <row r="2105" spans="1:17" x14ac:dyDescent="0.35">
      <c r="A2105" s="82">
        <v>2102</v>
      </c>
      <c r="B2105" s="83" t="str">
        <f>_xlfn.XLOOKUP(A2105,'TAZs by City - CCAG Model'!$A:$A,'TAZs by City - CCAG Model'!$B:$B,"Unknown")</f>
        <v>Newark</v>
      </c>
      <c r="C2105" s="82">
        <f>_xlfn.XLOOKUP(A2105,'TAZs by City - CCAG Model'!$A:$A,'TAZs by City - CCAG Model'!$C:$C,999)</f>
        <v>4</v>
      </c>
      <c r="D2105" s="82" t="str">
        <f t="shared" si="256"/>
        <v>NO</v>
      </c>
      <c r="E2105" s="27">
        <v>15462.32</v>
      </c>
      <c r="F2105" s="27">
        <v>10225.98</v>
      </c>
      <c r="G2105" s="27">
        <v>639.62</v>
      </c>
      <c r="H2105" s="27">
        <v>313.14</v>
      </c>
      <c r="I2105" s="27">
        <v>2064.1799999999998</v>
      </c>
      <c r="J2105" s="27">
        <v>29384.720000000001</v>
      </c>
      <c r="K2105" s="47">
        <f t="shared" si="257"/>
        <v>0.52620273393791051</v>
      </c>
      <c r="L2105" s="47">
        <f t="shared" si="258"/>
        <v>0.3480033160091367</v>
      </c>
      <c r="M2105" s="84">
        <f t="shared" si="259"/>
        <v>0.8742060499470472</v>
      </c>
      <c r="N2105" s="47">
        <f t="shared" si="260"/>
        <v>2.1767095279451362E-2</v>
      </c>
      <c r="O2105" s="47">
        <f t="shared" si="261"/>
        <v>1.065655891905725E-2</v>
      </c>
      <c r="P2105" s="47">
        <f t="shared" si="262"/>
        <v>7.0246713257774776E-2</v>
      </c>
      <c r="Q2105" s="47">
        <f t="shared" si="263"/>
        <v>1</v>
      </c>
    </row>
    <row r="2106" spans="1:17" x14ac:dyDescent="0.35">
      <c r="A2106" s="82">
        <v>2103</v>
      </c>
      <c r="B2106" s="83" t="str">
        <f>_xlfn.XLOOKUP(A2106,'TAZs by City - CCAG Model'!$A:$A,'TAZs by City - CCAG Model'!$B:$B,"Unknown")</f>
        <v>Newark</v>
      </c>
      <c r="C2106" s="82">
        <f>_xlfn.XLOOKUP(A2106,'TAZs by City - CCAG Model'!$A:$A,'TAZs by City - CCAG Model'!$C:$C,999)</f>
        <v>4</v>
      </c>
      <c r="D2106" s="82" t="str">
        <f t="shared" si="256"/>
        <v>NO</v>
      </c>
      <c r="E2106" s="27">
        <v>19867.68</v>
      </c>
      <c r="F2106" s="27">
        <v>12272.52</v>
      </c>
      <c r="G2106" s="27">
        <v>676.36</v>
      </c>
      <c r="H2106" s="27">
        <v>398.44</v>
      </c>
      <c r="I2106" s="27">
        <v>5108.8</v>
      </c>
      <c r="J2106" s="27">
        <v>39035.120000000003</v>
      </c>
      <c r="K2106" s="47">
        <f t="shared" si="257"/>
        <v>0.50896935887477734</v>
      </c>
      <c r="L2106" s="47">
        <f t="shared" si="258"/>
        <v>0.3143968815774103</v>
      </c>
      <c r="M2106" s="84">
        <f t="shared" si="259"/>
        <v>0.82336624045218765</v>
      </c>
      <c r="N2106" s="47">
        <f t="shared" si="260"/>
        <v>1.7326960952086225E-2</v>
      </c>
      <c r="O2106" s="47">
        <f t="shared" si="261"/>
        <v>1.0207218525266477E-2</v>
      </c>
      <c r="P2106" s="47">
        <f t="shared" si="262"/>
        <v>0.13087701536462548</v>
      </c>
      <c r="Q2106" s="47">
        <f t="shared" si="263"/>
        <v>1</v>
      </c>
    </row>
    <row r="2107" spans="1:17" x14ac:dyDescent="0.35">
      <c r="A2107" s="82">
        <v>2104</v>
      </c>
      <c r="B2107" s="83" t="str">
        <f>_xlfn.XLOOKUP(A2107,'TAZs by City - CCAG Model'!$A:$A,'TAZs by City - CCAG Model'!$B:$B,"Unknown")</f>
        <v>Newark</v>
      </c>
      <c r="C2107" s="82">
        <f>_xlfn.XLOOKUP(A2107,'TAZs by City - CCAG Model'!$A:$A,'TAZs by City - CCAG Model'!$C:$C,999)</f>
        <v>4</v>
      </c>
      <c r="D2107" s="82" t="str">
        <f t="shared" si="256"/>
        <v>NO</v>
      </c>
      <c r="E2107" s="27">
        <v>9645.6</v>
      </c>
      <c r="F2107" s="27">
        <v>7184.54</v>
      </c>
      <c r="G2107" s="27">
        <v>587.79999999999995</v>
      </c>
      <c r="H2107" s="27">
        <v>226.64</v>
      </c>
      <c r="I2107" s="27">
        <v>989.14</v>
      </c>
      <c r="J2107" s="27">
        <v>19259.04</v>
      </c>
      <c r="K2107" s="47">
        <f t="shared" si="257"/>
        <v>0.50083493258230938</v>
      </c>
      <c r="L2107" s="47">
        <f t="shared" si="258"/>
        <v>0.37304767008116707</v>
      </c>
      <c r="M2107" s="84">
        <f t="shared" si="259"/>
        <v>0.87388260266347639</v>
      </c>
      <c r="N2107" s="47">
        <f t="shared" si="260"/>
        <v>3.0520732082180625E-2</v>
      </c>
      <c r="O2107" s="47">
        <f t="shared" si="261"/>
        <v>1.1767980127773761E-2</v>
      </c>
      <c r="P2107" s="47">
        <f t="shared" si="262"/>
        <v>5.1359777018999908E-2</v>
      </c>
      <c r="Q2107" s="47">
        <f t="shared" si="263"/>
        <v>1</v>
      </c>
    </row>
    <row r="2108" spans="1:17" x14ac:dyDescent="0.35">
      <c r="A2108" s="82">
        <v>2105</v>
      </c>
      <c r="B2108" s="83" t="str">
        <f>_xlfn.XLOOKUP(A2108,'TAZs by City - CCAG Model'!$A:$A,'TAZs by City - CCAG Model'!$B:$B,"Unknown")</f>
        <v>Newark</v>
      </c>
      <c r="C2108" s="82">
        <f>_xlfn.XLOOKUP(A2108,'TAZs by City - CCAG Model'!$A:$A,'TAZs by City - CCAG Model'!$C:$C,999)</f>
        <v>4</v>
      </c>
      <c r="D2108" s="82" t="str">
        <f t="shared" si="256"/>
        <v>NO</v>
      </c>
      <c r="E2108" s="27">
        <v>16987.52</v>
      </c>
      <c r="F2108" s="27">
        <v>10306.68</v>
      </c>
      <c r="G2108" s="27">
        <v>691.88</v>
      </c>
      <c r="H2108" s="27">
        <v>386.1</v>
      </c>
      <c r="I2108" s="27">
        <v>4903.62</v>
      </c>
      <c r="J2108" s="27">
        <v>34004.660000000003</v>
      </c>
      <c r="K2108" s="47">
        <f t="shared" si="257"/>
        <v>0.49956447145773547</v>
      </c>
      <c r="L2108" s="47">
        <f t="shared" si="258"/>
        <v>0.30309610506324719</v>
      </c>
      <c r="M2108" s="84">
        <f t="shared" si="259"/>
        <v>0.80266057652098266</v>
      </c>
      <c r="N2108" s="47">
        <f t="shared" si="260"/>
        <v>2.0346623080483673E-2</v>
      </c>
      <c r="O2108" s="47">
        <f t="shared" si="261"/>
        <v>1.1354326142358135E-2</v>
      </c>
      <c r="P2108" s="47">
        <f t="shared" si="262"/>
        <v>0.14420435316806576</v>
      </c>
      <c r="Q2108" s="47">
        <f t="shared" si="263"/>
        <v>1</v>
      </c>
    </row>
    <row r="2109" spans="1:17" x14ac:dyDescent="0.35">
      <c r="A2109" s="82">
        <v>2106</v>
      </c>
      <c r="B2109" s="83" t="str">
        <f>_xlfn.XLOOKUP(A2109,'TAZs by City - CCAG Model'!$A:$A,'TAZs by City - CCAG Model'!$B:$B,"Unknown")</f>
        <v>Fremont</v>
      </c>
      <c r="C2109" s="82">
        <f>_xlfn.XLOOKUP(A2109,'TAZs by City - CCAG Model'!$A:$A,'TAZs by City - CCAG Model'!$C:$C,999)</f>
        <v>4</v>
      </c>
      <c r="D2109" s="82" t="str">
        <f t="shared" si="256"/>
        <v>NO</v>
      </c>
      <c r="E2109" s="27">
        <v>19368.62</v>
      </c>
      <c r="F2109" s="27">
        <v>10883.84</v>
      </c>
      <c r="G2109" s="27">
        <v>285.27999999999997</v>
      </c>
      <c r="H2109" s="27">
        <v>437.54</v>
      </c>
      <c r="I2109" s="27">
        <v>6354.56</v>
      </c>
      <c r="J2109" s="27">
        <v>37636.06</v>
      </c>
      <c r="K2109" s="47">
        <f t="shared" si="257"/>
        <v>0.51462932092254077</v>
      </c>
      <c r="L2109" s="47">
        <f t="shared" si="258"/>
        <v>0.28918648763977955</v>
      </c>
      <c r="M2109" s="84">
        <f t="shared" si="259"/>
        <v>0.80381580856232027</v>
      </c>
      <c r="N2109" s="47">
        <f t="shared" si="260"/>
        <v>7.5799645340133897E-3</v>
      </c>
      <c r="O2109" s="47">
        <f t="shared" si="261"/>
        <v>1.1625552727889159E-2</v>
      </c>
      <c r="P2109" s="47">
        <f t="shared" si="262"/>
        <v>0.16884232834148954</v>
      </c>
      <c r="Q2109" s="47">
        <f t="shared" si="263"/>
        <v>1</v>
      </c>
    </row>
    <row r="2110" spans="1:17" x14ac:dyDescent="0.35">
      <c r="A2110" s="82">
        <v>2107</v>
      </c>
      <c r="B2110" s="83" t="str">
        <f>_xlfn.XLOOKUP(A2110,'TAZs by City - CCAG Model'!$A:$A,'TAZs by City - CCAG Model'!$B:$B,"Unknown")</f>
        <v>Fremont</v>
      </c>
      <c r="C2110" s="82">
        <f>_xlfn.XLOOKUP(A2110,'TAZs by City - CCAG Model'!$A:$A,'TAZs by City - CCAG Model'!$C:$C,999)</f>
        <v>4</v>
      </c>
      <c r="D2110" s="82" t="str">
        <f t="shared" si="256"/>
        <v>NO</v>
      </c>
      <c r="E2110" s="27">
        <v>17181.96</v>
      </c>
      <c r="F2110" s="27">
        <v>12262.76</v>
      </c>
      <c r="G2110" s="27">
        <v>305.08</v>
      </c>
      <c r="H2110" s="27">
        <v>372.88</v>
      </c>
      <c r="I2110" s="27">
        <v>2744.14</v>
      </c>
      <c r="J2110" s="27">
        <v>33199.620000000003</v>
      </c>
      <c r="K2110" s="47">
        <f t="shared" si="257"/>
        <v>0.5175348392541842</v>
      </c>
      <c r="L2110" s="47">
        <f t="shared" si="258"/>
        <v>0.36936446862946021</v>
      </c>
      <c r="M2110" s="84">
        <f t="shared" si="259"/>
        <v>0.88689930788364446</v>
      </c>
      <c r="N2110" s="47">
        <f t="shared" si="260"/>
        <v>9.1892618048037885E-3</v>
      </c>
      <c r="O2110" s="47">
        <f t="shared" si="261"/>
        <v>1.1231453853989893E-2</v>
      </c>
      <c r="P2110" s="47">
        <f t="shared" si="262"/>
        <v>8.2655765337073125E-2</v>
      </c>
      <c r="Q2110" s="47">
        <f t="shared" si="263"/>
        <v>1</v>
      </c>
    </row>
    <row r="2111" spans="1:17" x14ac:dyDescent="0.35">
      <c r="A2111" s="82">
        <v>2108</v>
      </c>
      <c r="B2111" s="83" t="str">
        <f>_xlfn.XLOOKUP(A2111,'TAZs by City - CCAG Model'!$A:$A,'TAZs by City - CCAG Model'!$B:$B,"Unknown")</f>
        <v>Fremont</v>
      </c>
      <c r="C2111" s="82">
        <f>_xlfn.XLOOKUP(A2111,'TAZs by City - CCAG Model'!$A:$A,'TAZs by City - CCAG Model'!$C:$C,999)</f>
        <v>4</v>
      </c>
      <c r="D2111" s="82" t="str">
        <f t="shared" si="256"/>
        <v>NO</v>
      </c>
      <c r="E2111" s="27">
        <v>16208.9</v>
      </c>
      <c r="F2111" s="27">
        <v>10598.62</v>
      </c>
      <c r="G2111" s="27">
        <v>359.28</v>
      </c>
      <c r="H2111" s="27">
        <v>384.6</v>
      </c>
      <c r="I2111" s="27">
        <v>2945.52</v>
      </c>
      <c r="J2111" s="27">
        <v>30901.22</v>
      </c>
      <c r="K2111" s="47">
        <f t="shared" si="257"/>
        <v>0.52453916058977601</v>
      </c>
      <c r="L2111" s="47">
        <f t="shared" si="258"/>
        <v>0.34298386924529195</v>
      </c>
      <c r="M2111" s="84">
        <f t="shared" si="259"/>
        <v>0.86752302983506802</v>
      </c>
      <c r="N2111" s="47">
        <f t="shared" si="260"/>
        <v>1.1626725417313619E-2</v>
      </c>
      <c r="O2111" s="47">
        <f t="shared" si="261"/>
        <v>1.244611054191388E-2</v>
      </c>
      <c r="P2111" s="47">
        <f t="shared" si="262"/>
        <v>9.5320508381222482E-2</v>
      </c>
      <c r="Q2111" s="47">
        <f t="shared" si="263"/>
        <v>1</v>
      </c>
    </row>
    <row r="2112" spans="1:17" x14ac:dyDescent="0.35">
      <c r="A2112" s="82">
        <v>2109</v>
      </c>
      <c r="B2112" s="83" t="str">
        <f>_xlfn.XLOOKUP(A2112,'TAZs by City - CCAG Model'!$A:$A,'TAZs by City - CCAG Model'!$B:$B,"Unknown")</f>
        <v>Fremont</v>
      </c>
      <c r="C2112" s="82">
        <f>_xlfn.XLOOKUP(A2112,'TAZs by City - CCAG Model'!$A:$A,'TAZs by City - CCAG Model'!$C:$C,999)</f>
        <v>4</v>
      </c>
      <c r="D2112" s="82" t="str">
        <f t="shared" si="256"/>
        <v>NO</v>
      </c>
      <c r="E2112" s="27">
        <v>38546.04</v>
      </c>
      <c r="F2112" s="27">
        <v>16261.6</v>
      </c>
      <c r="G2112" s="27">
        <v>1998.3</v>
      </c>
      <c r="H2112" s="27">
        <v>700.62</v>
      </c>
      <c r="I2112" s="27">
        <v>5925.48</v>
      </c>
      <c r="J2112" s="27">
        <v>65448.36</v>
      </c>
      <c r="K2112" s="47">
        <f t="shared" si="257"/>
        <v>0.58895348943808523</v>
      </c>
      <c r="L2112" s="47">
        <f t="shared" si="258"/>
        <v>0.24846459101496202</v>
      </c>
      <c r="M2112" s="84">
        <f t="shared" si="259"/>
        <v>0.83741808045304722</v>
      </c>
      <c r="N2112" s="47">
        <f t="shared" si="260"/>
        <v>3.053246865162091E-2</v>
      </c>
      <c r="O2112" s="47">
        <f t="shared" si="261"/>
        <v>1.0704928282389352E-2</v>
      </c>
      <c r="P2112" s="47">
        <f t="shared" si="262"/>
        <v>9.0536722386932222E-2</v>
      </c>
      <c r="Q2112" s="47">
        <f t="shared" si="263"/>
        <v>1</v>
      </c>
    </row>
    <row r="2113" spans="1:17" x14ac:dyDescent="0.35">
      <c r="A2113" s="82">
        <v>2110</v>
      </c>
      <c r="B2113" s="83" t="str">
        <f>_xlfn.XLOOKUP(A2113,'TAZs by City - CCAG Model'!$A:$A,'TAZs by City - CCAG Model'!$B:$B,"Unknown")</f>
        <v>Fremont</v>
      </c>
      <c r="C2113" s="82">
        <f>_xlfn.XLOOKUP(A2113,'TAZs by City - CCAG Model'!$A:$A,'TAZs by City - CCAG Model'!$C:$C,999)</f>
        <v>4</v>
      </c>
      <c r="D2113" s="82" t="str">
        <f t="shared" si="256"/>
        <v>NO</v>
      </c>
      <c r="E2113" s="27">
        <v>51842.44</v>
      </c>
      <c r="F2113" s="27">
        <v>26026.06</v>
      </c>
      <c r="G2113" s="27">
        <v>2261.56</v>
      </c>
      <c r="H2113" s="27">
        <v>941.64</v>
      </c>
      <c r="I2113" s="27">
        <v>11146.16</v>
      </c>
      <c r="J2113" s="27">
        <v>94503.9</v>
      </c>
      <c r="K2113" s="47">
        <f t="shared" si="257"/>
        <v>0.54857460909020694</v>
      </c>
      <c r="L2113" s="47">
        <f t="shared" si="258"/>
        <v>0.27539667675090662</v>
      </c>
      <c r="M2113" s="84">
        <f t="shared" si="259"/>
        <v>0.82397128584111345</v>
      </c>
      <c r="N2113" s="47">
        <f t="shared" si="260"/>
        <v>2.3930864228883676E-2</v>
      </c>
      <c r="O2113" s="47">
        <f t="shared" si="261"/>
        <v>9.9640332303746193E-3</v>
      </c>
      <c r="P2113" s="47">
        <f t="shared" si="262"/>
        <v>0.11794391554210991</v>
      </c>
      <c r="Q2113" s="47">
        <f t="shared" si="263"/>
        <v>1</v>
      </c>
    </row>
    <row r="2114" spans="1:17" x14ac:dyDescent="0.35">
      <c r="A2114" s="82">
        <v>2111</v>
      </c>
      <c r="B2114" s="83" t="str">
        <f>_xlfn.XLOOKUP(A2114,'TAZs by City - CCAG Model'!$A:$A,'TAZs by City - CCAG Model'!$B:$B,"Unknown")</f>
        <v>Fremont</v>
      </c>
      <c r="C2114" s="82">
        <f>_xlfn.XLOOKUP(A2114,'TAZs by City - CCAG Model'!$A:$A,'TAZs by City - CCAG Model'!$C:$C,999)</f>
        <v>4</v>
      </c>
      <c r="D2114" s="82" t="str">
        <f t="shared" si="256"/>
        <v>NO</v>
      </c>
      <c r="E2114" s="27">
        <v>10861.98</v>
      </c>
      <c r="F2114" s="27">
        <v>8144.92</v>
      </c>
      <c r="G2114" s="27">
        <v>224.48</v>
      </c>
      <c r="H2114" s="27">
        <v>218.52</v>
      </c>
      <c r="I2114" s="27">
        <v>1476.02</v>
      </c>
      <c r="J2114" s="27">
        <v>21193.62</v>
      </c>
      <c r="K2114" s="47">
        <f t="shared" si="257"/>
        <v>0.51251178420675658</v>
      </c>
      <c r="L2114" s="47">
        <f t="shared" si="258"/>
        <v>0.38430999517779407</v>
      </c>
      <c r="M2114" s="84">
        <f t="shared" si="259"/>
        <v>0.89682177938455077</v>
      </c>
      <c r="N2114" s="47">
        <f t="shared" si="260"/>
        <v>1.0591866797649481E-2</v>
      </c>
      <c r="O2114" s="47">
        <f t="shared" si="261"/>
        <v>1.031065009186727E-2</v>
      </c>
      <c r="P2114" s="47">
        <f t="shared" si="262"/>
        <v>6.9644543971251735E-2</v>
      </c>
      <c r="Q2114" s="47">
        <f t="shared" si="263"/>
        <v>1</v>
      </c>
    </row>
    <row r="2115" spans="1:17" x14ac:dyDescent="0.35">
      <c r="A2115" s="82">
        <v>2112</v>
      </c>
      <c r="B2115" s="83" t="str">
        <f>_xlfn.XLOOKUP(A2115,'TAZs by City - CCAG Model'!$A:$A,'TAZs by City - CCAG Model'!$B:$B,"Unknown")</f>
        <v>Fremont</v>
      </c>
      <c r="C2115" s="82">
        <f>_xlfn.XLOOKUP(A2115,'TAZs by City - CCAG Model'!$A:$A,'TAZs by City - CCAG Model'!$C:$C,999)</f>
        <v>4</v>
      </c>
      <c r="D2115" s="82" t="str">
        <f t="shared" si="256"/>
        <v>NO</v>
      </c>
      <c r="E2115" s="27">
        <v>7299.54</v>
      </c>
      <c r="F2115" s="27">
        <v>5060.68</v>
      </c>
      <c r="G2115" s="27">
        <v>173.7</v>
      </c>
      <c r="H2115" s="27">
        <v>124.98</v>
      </c>
      <c r="I2115" s="27">
        <v>833.76</v>
      </c>
      <c r="J2115" s="27">
        <v>13707.18</v>
      </c>
      <c r="K2115" s="47">
        <f t="shared" si="257"/>
        <v>0.53253404420165196</v>
      </c>
      <c r="L2115" s="47">
        <f t="shared" si="258"/>
        <v>0.36919920800631495</v>
      </c>
      <c r="M2115" s="84">
        <f t="shared" si="259"/>
        <v>0.90173325220796696</v>
      </c>
      <c r="N2115" s="47">
        <f t="shared" si="260"/>
        <v>1.2672190778847289E-2</v>
      </c>
      <c r="O2115" s="47">
        <f t="shared" si="261"/>
        <v>9.1178491856092943E-3</v>
      </c>
      <c r="P2115" s="47">
        <f t="shared" si="262"/>
        <v>6.0826515738466994E-2</v>
      </c>
      <c r="Q2115" s="47">
        <f t="shared" si="263"/>
        <v>1</v>
      </c>
    </row>
    <row r="2116" spans="1:17" x14ac:dyDescent="0.35">
      <c r="A2116" s="82">
        <v>2113</v>
      </c>
      <c r="B2116" s="83" t="str">
        <f>_xlfn.XLOOKUP(A2116,'TAZs by City - CCAG Model'!$A:$A,'TAZs by City - CCAG Model'!$B:$B,"Unknown")</f>
        <v>Fremont</v>
      </c>
      <c r="C2116" s="82">
        <f>_xlfn.XLOOKUP(A2116,'TAZs by City - CCAG Model'!$A:$A,'TAZs by City - CCAG Model'!$C:$C,999)</f>
        <v>4</v>
      </c>
      <c r="D2116" s="82" t="str">
        <f t="shared" si="256"/>
        <v>NO</v>
      </c>
      <c r="E2116" s="27">
        <v>9418.68</v>
      </c>
      <c r="F2116" s="27">
        <v>5932.54</v>
      </c>
      <c r="G2116" s="27">
        <v>294.54000000000002</v>
      </c>
      <c r="H2116" s="27">
        <v>139.96</v>
      </c>
      <c r="I2116" s="27">
        <v>822.16</v>
      </c>
      <c r="J2116" s="27">
        <v>16944.16</v>
      </c>
      <c r="K2116" s="47">
        <f t="shared" si="257"/>
        <v>0.55586585584649817</v>
      </c>
      <c r="L2116" s="47">
        <f t="shared" si="258"/>
        <v>0.35012299222859083</v>
      </c>
      <c r="M2116" s="84">
        <f t="shared" si="259"/>
        <v>0.90598884807508906</v>
      </c>
      <c r="N2116" s="47">
        <f t="shared" si="260"/>
        <v>1.7382980330686207E-2</v>
      </c>
      <c r="O2116" s="47">
        <f t="shared" si="261"/>
        <v>8.2600730871285454E-3</v>
      </c>
      <c r="P2116" s="47">
        <f t="shared" si="262"/>
        <v>4.8521732561543324E-2</v>
      </c>
      <c r="Q2116" s="47">
        <f t="shared" si="263"/>
        <v>1</v>
      </c>
    </row>
    <row r="2117" spans="1:17" x14ac:dyDescent="0.35">
      <c r="A2117" s="82">
        <v>2114</v>
      </c>
      <c r="B2117" s="83" t="str">
        <f>_xlfn.XLOOKUP(A2117,'TAZs by City - CCAG Model'!$A:$A,'TAZs by City - CCAG Model'!$B:$B,"Unknown")</f>
        <v>Fremont</v>
      </c>
      <c r="C2117" s="82">
        <f>_xlfn.XLOOKUP(A2117,'TAZs by City - CCAG Model'!$A:$A,'TAZs by City - CCAG Model'!$C:$C,999)</f>
        <v>4</v>
      </c>
      <c r="D2117" s="82" t="str">
        <f t="shared" ref="D2117:D2180" si="264">IF(C2117=2,"YES","NO")</f>
        <v>NO</v>
      </c>
      <c r="E2117" s="27">
        <v>14808.1</v>
      </c>
      <c r="F2117" s="27">
        <v>9588.4</v>
      </c>
      <c r="G2117" s="27">
        <v>677.92</v>
      </c>
      <c r="H2117" s="27">
        <v>283.36</v>
      </c>
      <c r="I2117" s="27">
        <v>1644.9</v>
      </c>
      <c r="J2117" s="27">
        <v>27725.72</v>
      </c>
      <c r="K2117" s="47">
        <f t="shared" ref="K2117:K2180" si="265">IFERROR(E2117/$J2117,0)</f>
        <v>0.53409253213261909</v>
      </c>
      <c r="L2117" s="47">
        <f t="shared" ref="L2117:L2180" si="266">IFERROR(F2117/$J2117,0)</f>
        <v>0.34583051404977039</v>
      </c>
      <c r="M2117" s="84">
        <f t="shared" ref="M2117:M2180" si="267">IFERROR((E2117+F2117)/J2117,0)</f>
        <v>0.87992304618238948</v>
      </c>
      <c r="N2117" s="47">
        <f t="shared" ref="N2117:N2180" si="268">IFERROR(G2117/$J2117,0)</f>
        <v>2.4450943023301107E-2</v>
      </c>
      <c r="O2117" s="47">
        <f t="shared" ref="O2117:O2180" si="269">IFERROR(H2117/$J2117,0)</f>
        <v>1.0220113309951914E-2</v>
      </c>
      <c r="P2117" s="47">
        <f t="shared" ref="P2117:P2180" si="270">IFERROR(I2117/$J2117,0)</f>
        <v>5.9327584639821795E-2</v>
      </c>
      <c r="Q2117" s="47">
        <f t="shared" ref="Q2117:Q2180" si="271">IFERROR(J2117/$J2117,0)</f>
        <v>1</v>
      </c>
    </row>
    <row r="2118" spans="1:17" x14ac:dyDescent="0.35">
      <c r="A2118" s="82">
        <v>2115</v>
      </c>
      <c r="B2118" s="83" t="str">
        <f>_xlfn.XLOOKUP(A2118,'TAZs by City - CCAG Model'!$A:$A,'TAZs by City - CCAG Model'!$B:$B,"Unknown")</f>
        <v>Fremont</v>
      </c>
      <c r="C2118" s="82">
        <f>_xlfn.XLOOKUP(A2118,'TAZs by City - CCAG Model'!$A:$A,'TAZs by City - CCAG Model'!$C:$C,999)</f>
        <v>4</v>
      </c>
      <c r="D2118" s="82" t="str">
        <f t="shared" si="264"/>
        <v>NO</v>
      </c>
      <c r="E2118" s="27">
        <v>6354.18</v>
      </c>
      <c r="F2118" s="27">
        <v>4359.84</v>
      </c>
      <c r="G2118" s="27">
        <v>130.6</v>
      </c>
      <c r="H2118" s="27">
        <v>114.06</v>
      </c>
      <c r="I2118" s="27">
        <v>763.26</v>
      </c>
      <c r="J2118" s="27">
        <v>11878.9</v>
      </c>
      <c r="K2118" s="47">
        <f t="shared" si="265"/>
        <v>0.53491316536042899</v>
      </c>
      <c r="L2118" s="47">
        <f t="shared" si="266"/>
        <v>0.36702388268274</v>
      </c>
      <c r="M2118" s="84">
        <f t="shared" si="267"/>
        <v>0.9019370480431691</v>
      </c>
      <c r="N2118" s="47">
        <f t="shared" si="268"/>
        <v>1.0994283982523634E-2</v>
      </c>
      <c r="O2118" s="47">
        <f t="shared" si="269"/>
        <v>9.6018991657476713E-3</v>
      </c>
      <c r="P2118" s="47">
        <f t="shared" si="270"/>
        <v>6.4253424138598692E-2</v>
      </c>
      <c r="Q2118" s="47">
        <f t="shared" si="271"/>
        <v>1</v>
      </c>
    </row>
    <row r="2119" spans="1:17" x14ac:dyDescent="0.35">
      <c r="A2119" s="82">
        <v>2116</v>
      </c>
      <c r="B2119" s="83" t="str">
        <f>_xlfn.XLOOKUP(A2119,'TAZs by City - CCAG Model'!$A:$A,'TAZs by City - CCAG Model'!$B:$B,"Unknown")</f>
        <v>Fremont</v>
      </c>
      <c r="C2119" s="82">
        <f>_xlfn.XLOOKUP(A2119,'TAZs by City - CCAG Model'!$A:$A,'TAZs by City - CCAG Model'!$C:$C,999)</f>
        <v>4</v>
      </c>
      <c r="D2119" s="82" t="str">
        <f t="shared" si="264"/>
        <v>NO</v>
      </c>
      <c r="E2119" s="27">
        <v>11726.78</v>
      </c>
      <c r="F2119" s="27">
        <v>8379.44</v>
      </c>
      <c r="G2119" s="27">
        <v>263.44</v>
      </c>
      <c r="H2119" s="27">
        <v>274.72000000000003</v>
      </c>
      <c r="I2119" s="27">
        <v>3482.42</v>
      </c>
      <c r="J2119" s="27">
        <v>24422.14</v>
      </c>
      <c r="K2119" s="47">
        <f t="shared" si="265"/>
        <v>0.48017004242871431</v>
      </c>
      <c r="L2119" s="47">
        <f t="shared" si="266"/>
        <v>0.34310834349487801</v>
      </c>
      <c r="M2119" s="84">
        <f t="shared" si="267"/>
        <v>0.82327838592359237</v>
      </c>
      <c r="N2119" s="47">
        <f t="shared" si="268"/>
        <v>1.0786933495590477E-2</v>
      </c>
      <c r="O2119" s="47">
        <f t="shared" si="269"/>
        <v>1.1248809481888156E-2</v>
      </c>
      <c r="P2119" s="47">
        <f t="shared" si="270"/>
        <v>0.14259274576265635</v>
      </c>
      <c r="Q2119" s="47">
        <f t="shared" si="271"/>
        <v>1</v>
      </c>
    </row>
    <row r="2120" spans="1:17" x14ac:dyDescent="0.35">
      <c r="A2120" s="82">
        <v>2117</v>
      </c>
      <c r="B2120" s="83" t="str">
        <f>_xlfn.XLOOKUP(A2120,'TAZs by City - CCAG Model'!$A:$A,'TAZs by City - CCAG Model'!$B:$B,"Unknown")</f>
        <v>Fremont</v>
      </c>
      <c r="C2120" s="82">
        <f>_xlfn.XLOOKUP(A2120,'TAZs by City - CCAG Model'!$A:$A,'TAZs by City - CCAG Model'!$C:$C,999)</f>
        <v>4</v>
      </c>
      <c r="D2120" s="82" t="str">
        <f t="shared" si="264"/>
        <v>NO</v>
      </c>
      <c r="E2120" s="27">
        <v>13503.38</v>
      </c>
      <c r="F2120" s="27">
        <v>9609.02</v>
      </c>
      <c r="G2120" s="27">
        <v>277.52</v>
      </c>
      <c r="H2120" s="27">
        <v>274.32</v>
      </c>
      <c r="I2120" s="27">
        <v>2274.64</v>
      </c>
      <c r="J2120" s="27">
        <v>26244.54</v>
      </c>
      <c r="K2120" s="47">
        <f t="shared" si="265"/>
        <v>0.51452149666178182</v>
      </c>
      <c r="L2120" s="47">
        <f t="shared" si="266"/>
        <v>0.36613406064651927</v>
      </c>
      <c r="M2120" s="84">
        <f t="shared" si="267"/>
        <v>0.88065555730830114</v>
      </c>
      <c r="N2120" s="47">
        <f t="shared" si="268"/>
        <v>1.057438994929993E-2</v>
      </c>
      <c r="O2120" s="47">
        <f t="shared" si="269"/>
        <v>1.0452459825929508E-2</v>
      </c>
      <c r="P2120" s="47">
        <f t="shared" si="270"/>
        <v>8.6670979944780888E-2</v>
      </c>
      <c r="Q2120" s="47">
        <f t="shared" si="271"/>
        <v>1</v>
      </c>
    </row>
    <row r="2121" spans="1:17" x14ac:dyDescent="0.35">
      <c r="A2121" s="82">
        <v>2118</v>
      </c>
      <c r="B2121" s="83" t="str">
        <f>_xlfn.XLOOKUP(A2121,'TAZs by City - CCAG Model'!$A:$A,'TAZs by City - CCAG Model'!$B:$B,"Unknown")</f>
        <v>Fremont</v>
      </c>
      <c r="C2121" s="82">
        <f>_xlfn.XLOOKUP(A2121,'TAZs by City - CCAG Model'!$A:$A,'TAZs by City - CCAG Model'!$C:$C,999)</f>
        <v>4</v>
      </c>
      <c r="D2121" s="82" t="str">
        <f t="shared" si="264"/>
        <v>NO</v>
      </c>
      <c r="E2121" s="27">
        <v>8649.32</v>
      </c>
      <c r="F2121" s="27">
        <v>6462.76</v>
      </c>
      <c r="G2121" s="27">
        <v>282.92</v>
      </c>
      <c r="H2121" s="27">
        <v>159.72</v>
      </c>
      <c r="I2121" s="27">
        <v>698.22</v>
      </c>
      <c r="J2121" s="27">
        <v>16571.54</v>
      </c>
      <c r="K2121" s="47">
        <f t="shared" si="265"/>
        <v>0.52193821455338485</v>
      </c>
      <c r="L2121" s="47">
        <f t="shared" si="266"/>
        <v>0.38999151557429185</v>
      </c>
      <c r="M2121" s="84">
        <f t="shared" si="267"/>
        <v>0.91192973012767664</v>
      </c>
      <c r="N2121" s="47">
        <f t="shared" si="268"/>
        <v>1.7072643821877748E-2</v>
      </c>
      <c r="O2121" s="47">
        <f t="shared" si="269"/>
        <v>9.6382110534084329E-3</v>
      </c>
      <c r="P2121" s="47">
        <f t="shared" si="270"/>
        <v>4.2133682204550695E-2</v>
      </c>
      <c r="Q2121" s="47">
        <f t="shared" si="271"/>
        <v>1</v>
      </c>
    </row>
    <row r="2122" spans="1:17" x14ac:dyDescent="0.35">
      <c r="A2122" s="82">
        <v>2119</v>
      </c>
      <c r="B2122" s="83" t="str">
        <f>_xlfn.XLOOKUP(A2122,'TAZs by City - CCAG Model'!$A:$A,'TAZs by City - CCAG Model'!$B:$B,"Unknown")</f>
        <v>Fremont</v>
      </c>
      <c r="C2122" s="82">
        <f>_xlfn.XLOOKUP(A2122,'TAZs by City - CCAG Model'!$A:$A,'TAZs by City - CCAG Model'!$C:$C,999)</f>
        <v>4</v>
      </c>
      <c r="D2122" s="82" t="str">
        <f t="shared" si="264"/>
        <v>NO</v>
      </c>
      <c r="E2122" s="27">
        <v>14465.76</v>
      </c>
      <c r="F2122" s="27">
        <v>10417.379999999999</v>
      </c>
      <c r="G2122" s="27">
        <v>350.88</v>
      </c>
      <c r="H2122" s="27">
        <v>280.42</v>
      </c>
      <c r="I2122" s="27">
        <v>1274.56</v>
      </c>
      <c r="J2122" s="27">
        <v>27166.46</v>
      </c>
      <c r="K2122" s="47">
        <f t="shared" si="265"/>
        <v>0.53248601400403295</v>
      </c>
      <c r="L2122" s="47">
        <f t="shared" si="266"/>
        <v>0.38346475764600907</v>
      </c>
      <c r="M2122" s="84">
        <f t="shared" si="267"/>
        <v>0.91595077165004202</v>
      </c>
      <c r="N2122" s="47">
        <f t="shared" si="268"/>
        <v>1.2915926476986696E-2</v>
      </c>
      <c r="O2122" s="47">
        <f t="shared" si="269"/>
        <v>1.0322287114331422E-2</v>
      </c>
      <c r="P2122" s="47">
        <f t="shared" si="270"/>
        <v>4.6916675930540823E-2</v>
      </c>
      <c r="Q2122" s="47">
        <f t="shared" si="271"/>
        <v>1</v>
      </c>
    </row>
    <row r="2123" spans="1:17" x14ac:dyDescent="0.35">
      <c r="A2123" s="82">
        <v>2120</v>
      </c>
      <c r="B2123" s="83" t="str">
        <f>_xlfn.XLOOKUP(A2123,'TAZs by City - CCAG Model'!$A:$A,'TAZs by City - CCAG Model'!$B:$B,"Unknown")</f>
        <v>Fremont</v>
      </c>
      <c r="C2123" s="82">
        <f>_xlfn.XLOOKUP(A2123,'TAZs by City - CCAG Model'!$A:$A,'TAZs by City - CCAG Model'!$C:$C,999)</f>
        <v>4</v>
      </c>
      <c r="D2123" s="82" t="str">
        <f t="shared" si="264"/>
        <v>NO</v>
      </c>
      <c r="E2123" s="27">
        <v>10427.82</v>
      </c>
      <c r="F2123" s="27">
        <v>8328.94</v>
      </c>
      <c r="G2123" s="27">
        <v>440.48</v>
      </c>
      <c r="H2123" s="27">
        <v>241.42</v>
      </c>
      <c r="I2123" s="27">
        <v>1058.54</v>
      </c>
      <c r="J2123" s="27">
        <v>20974.959999999999</v>
      </c>
      <c r="K2123" s="47">
        <f t="shared" si="265"/>
        <v>0.49715565607753248</v>
      </c>
      <c r="L2123" s="47">
        <f t="shared" si="266"/>
        <v>0.39708967263823153</v>
      </c>
      <c r="M2123" s="84">
        <f t="shared" si="267"/>
        <v>0.89424532871576412</v>
      </c>
      <c r="N2123" s="47">
        <f t="shared" si="268"/>
        <v>2.1000278427229423E-2</v>
      </c>
      <c r="O2123" s="47">
        <f t="shared" si="269"/>
        <v>1.1509914679217505E-2</v>
      </c>
      <c r="P2123" s="47">
        <f t="shared" si="270"/>
        <v>5.0466842368233358E-2</v>
      </c>
      <c r="Q2123" s="47">
        <f t="shared" si="271"/>
        <v>1</v>
      </c>
    </row>
    <row r="2124" spans="1:17" x14ac:dyDescent="0.35">
      <c r="A2124" s="82">
        <v>2121</v>
      </c>
      <c r="B2124" s="83" t="str">
        <f>_xlfn.XLOOKUP(A2124,'TAZs by City - CCAG Model'!$A:$A,'TAZs by City - CCAG Model'!$B:$B,"Unknown")</f>
        <v>Fremont</v>
      </c>
      <c r="C2124" s="82">
        <f>_xlfn.XLOOKUP(A2124,'TAZs by City - CCAG Model'!$A:$A,'TAZs by City - CCAG Model'!$C:$C,999)</f>
        <v>4</v>
      </c>
      <c r="D2124" s="82" t="str">
        <f t="shared" si="264"/>
        <v>NO</v>
      </c>
      <c r="E2124" s="27">
        <v>8426.08</v>
      </c>
      <c r="F2124" s="27">
        <v>6872.92</v>
      </c>
      <c r="G2124" s="27">
        <v>249.56</v>
      </c>
      <c r="H2124" s="27">
        <v>195.64</v>
      </c>
      <c r="I2124" s="27">
        <v>730.44</v>
      </c>
      <c r="J2124" s="27">
        <v>16748.439999999999</v>
      </c>
      <c r="K2124" s="47">
        <f t="shared" si="265"/>
        <v>0.50309640778484443</v>
      </c>
      <c r="L2124" s="47">
        <f t="shared" si="266"/>
        <v>0.41036180086025925</v>
      </c>
      <c r="M2124" s="84">
        <f t="shared" si="267"/>
        <v>0.91345820864510374</v>
      </c>
      <c r="N2124" s="47">
        <f t="shared" si="268"/>
        <v>1.4900492224947519E-2</v>
      </c>
      <c r="O2124" s="47">
        <f t="shared" si="269"/>
        <v>1.1681087910277017E-2</v>
      </c>
      <c r="P2124" s="47">
        <f t="shared" si="270"/>
        <v>4.3612420022402093E-2</v>
      </c>
      <c r="Q2124" s="47">
        <f t="shared" si="271"/>
        <v>1</v>
      </c>
    </row>
    <row r="2125" spans="1:17" x14ac:dyDescent="0.35">
      <c r="A2125" s="82">
        <v>2122</v>
      </c>
      <c r="B2125" s="83" t="str">
        <f>_xlfn.XLOOKUP(A2125,'TAZs by City - CCAG Model'!$A:$A,'TAZs by City - CCAG Model'!$B:$B,"Unknown")</f>
        <v>Union City</v>
      </c>
      <c r="C2125" s="82">
        <f>_xlfn.XLOOKUP(A2125,'TAZs by City - CCAG Model'!$A:$A,'TAZs by City - CCAG Model'!$C:$C,999)</f>
        <v>4</v>
      </c>
      <c r="D2125" s="82" t="str">
        <f t="shared" si="264"/>
        <v>NO</v>
      </c>
      <c r="E2125" s="27">
        <v>10208.18</v>
      </c>
      <c r="F2125" s="27">
        <v>8122.6</v>
      </c>
      <c r="G2125" s="27">
        <v>549.78</v>
      </c>
      <c r="H2125" s="27">
        <v>203.28</v>
      </c>
      <c r="I2125" s="27">
        <v>1310.3</v>
      </c>
      <c r="J2125" s="27">
        <v>20977.4</v>
      </c>
      <c r="K2125" s="47">
        <f t="shared" si="265"/>
        <v>0.48662751341920352</v>
      </c>
      <c r="L2125" s="47">
        <f t="shared" si="266"/>
        <v>0.38720718487515132</v>
      </c>
      <c r="M2125" s="84">
        <f t="shared" si="267"/>
        <v>0.87383469829435478</v>
      </c>
      <c r="N2125" s="47">
        <f t="shared" si="268"/>
        <v>2.6208205020641258E-2</v>
      </c>
      <c r="O2125" s="47">
        <f t="shared" si="269"/>
        <v>9.6904287471278605E-3</v>
      </c>
      <c r="P2125" s="47">
        <f t="shared" si="270"/>
        <v>6.2462459599378371E-2</v>
      </c>
      <c r="Q2125" s="47">
        <f t="shared" si="271"/>
        <v>1</v>
      </c>
    </row>
    <row r="2126" spans="1:17" x14ac:dyDescent="0.35">
      <c r="A2126" s="82">
        <v>2123</v>
      </c>
      <c r="B2126" s="83" t="str">
        <f>_xlfn.XLOOKUP(A2126,'TAZs by City - CCAG Model'!$A:$A,'TAZs by City - CCAG Model'!$B:$B,"Unknown")</f>
        <v>Union City</v>
      </c>
      <c r="C2126" s="82">
        <f>_xlfn.XLOOKUP(A2126,'TAZs by City - CCAG Model'!$A:$A,'TAZs by City - CCAG Model'!$C:$C,999)</f>
        <v>4</v>
      </c>
      <c r="D2126" s="82" t="str">
        <f t="shared" si="264"/>
        <v>NO</v>
      </c>
      <c r="E2126" s="27">
        <v>6578.02</v>
      </c>
      <c r="F2126" s="27">
        <v>5196.3999999999996</v>
      </c>
      <c r="G2126" s="27">
        <v>405.24</v>
      </c>
      <c r="H2126" s="27">
        <v>173.76</v>
      </c>
      <c r="I2126" s="27">
        <v>923.38</v>
      </c>
      <c r="J2126" s="27">
        <v>13719.7</v>
      </c>
      <c r="K2126" s="47">
        <f t="shared" si="265"/>
        <v>0.4794580056415228</v>
      </c>
      <c r="L2126" s="47">
        <f t="shared" si="266"/>
        <v>0.37875463749207339</v>
      </c>
      <c r="M2126" s="84">
        <f t="shared" si="267"/>
        <v>0.85821264313359613</v>
      </c>
      <c r="N2126" s="47">
        <f t="shared" si="268"/>
        <v>2.9537089003403863E-2</v>
      </c>
      <c r="O2126" s="47">
        <f t="shared" si="269"/>
        <v>1.2664999963556052E-2</v>
      </c>
      <c r="P2126" s="47">
        <f t="shared" si="270"/>
        <v>6.7303220915909234E-2</v>
      </c>
      <c r="Q2126" s="47">
        <f t="shared" si="271"/>
        <v>1</v>
      </c>
    </row>
    <row r="2127" spans="1:17" x14ac:dyDescent="0.35">
      <c r="A2127" s="82">
        <v>2124</v>
      </c>
      <c r="B2127" s="83" t="str">
        <f>_xlfn.XLOOKUP(A2127,'TAZs by City - CCAG Model'!$A:$A,'TAZs by City - CCAG Model'!$B:$B,"Unknown")</f>
        <v>Union City</v>
      </c>
      <c r="C2127" s="82">
        <f>_xlfn.XLOOKUP(A2127,'TAZs by City - CCAG Model'!$A:$A,'TAZs by City - CCAG Model'!$C:$C,999)</f>
        <v>4</v>
      </c>
      <c r="D2127" s="82" t="str">
        <f t="shared" si="264"/>
        <v>NO</v>
      </c>
      <c r="E2127" s="27">
        <v>6446.34</v>
      </c>
      <c r="F2127" s="27">
        <v>4870.9799999999996</v>
      </c>
      <c r="G2127" s="27">
        <v>357.06</v>
      </c>
      <c r="H2127" s="27">
        <v>147.04</v>
      </c>
      <c r="I2127" s="27">
        <v>880.52</v>
      </c>
      <c r="J2127" s="27">
        <v>13097.32</v>
      </c>
      <c r="K2127" s="47">
        <f t="shared" si="265"/>
        <v>0.49218771473858774</v>
      </c>
      <c r="L2127" s="47">
        <f t="shared" si="266"/>
        <v>0.37190661906405276</v>
      </c>
      <c r="M2127" s="84">
        <f t="shared" si="267"/>
        <v>0.86409433380264056</v>
      </c>
      <c r="N2127" s="47">
        <f t="shared" si="268"/>
        <v>2.7262065827207398E-2</v>
      </c>
      <c r="O2127" s="47">
        <f t="shared" si="269"/>
        <v>1.1226724245876256E-2</v>
      </c>
      <c r="P2127" s="47">
        <f t="shared" si="270"/>
        <v>6.7229020898931999E-2</v>
      </c>
      <c r="Q2127" s="47">
        <f t="shared" si="271"/>
        <v>1</v>
      </c>
    </row>
    <row r="2128" spans="1:17" x14ac:dyDescent="0.35">
      <c r="A2128" s="82">
        <v>2125</v>
      </c>
      <c r="B2128" s="83" t="str">
        <f>_xlfn.XLOOKUP(A2128,'TAZs by City - CCAG Model'!$A:$A,'TAZs by City - CCAG Model'!$B:$B,"Unknown")</f>
        <v>Union City</v>
      </c>
      <c r="C2128" s="82">
        <f>_xlfn.XLOOKUP(A2128,'TAZs by City - CCAG Model'!$A:$A,'TAZs by City - CCAG Model'!$C:$C,999)</f>
        <v>4</v>
      </c>
      <c r="D2128" s="82" t="str">
        <f t="shared" si="264"/>
        <v>NO</v>
      </c>
      <c r="E2128" s="27">
        <v>8576.2999999999993</v>
      </c>
      <c r="F2128" s="27">
        <v>6341.54</v>
      </c>
      <c r="G2128" s="27">
        <v>472.58</v>
      </c>
      <c r="H2128" s="27">
        <v>215.6</v>
      </c>
      <c r="I2128" s="27">
        <v>1314.48</v>
      </c>
      <c r="J2128" s="27">
        <v>17433.900000000001</v>
      </c>
      <c r="K2128" s="47">
        <f t="shared" si="265"/>
        <v>0.49193238460700123</v>
      </c>
      <c r="L2128" s="47">
        <f t="shared" si="266"/>
        <v>0.36374764109006014</v>
      </c>
      <c r="M2128" s="84">
        <f t="shared" si="267"/>
        <v>0.85568002569706136</v>
      </c>
      <c r="N2128" s="47">
        <f t="shared" si="268"/>
        <v>2.7106958282426763E-2</v>
      </c>
      <c r="O2128" s="47">
        <f t="shared" si="269"/>
        <v>1.2366710833491071E-2</v>
      </c>
      <c r="P2128" s="47">
        <f t="shared" si="270"/>
        <v>7.5397931615989539E-2</v>
      </c>
      <c r="Q2128" s="47">
        <f t="shared" si="271"/>
        <v>1</v>
      </c>
    </row>
    <row r="2129" spans="1:17" x14ac:dyDescent="0.35">
      <c r="A2129" s="82">
        <v>2126</v>
      </c>
      <c r="B2129" s="83" t="str">
        <f>_xlfn.XLOOKUP(A2129,'TAZs by City - CCAG Model'!$A:$A,'TAZs by City - CCAG Model'!$B:$B,"Unknown")</f>
        <v>Union City</v>
      </c>
      <c r="C2129" s="82">
        <f>_xlfn.XLOOKUP(A2129,'TAZs by City - CCAG Model'!$A:$A,'TAZs by City - CCAG Model'!$C:$C,999)</f>
        <v>4</v>
      </c>
      <c r="D2129" s="82" t="str">
        <f t="shared" si="264"/>
        <v>NO</v>
      </c>
      <c r="E2129" s="27">
        <v>5105.6400000000003</v>
      </c>
      <c r="F2129" s="27">
        <v>4573.78</v>
      </c>
      <c r="G2129" s="27">
        <v>318.12</v>
      </c>
      <c r="H2129" s="27">
        <v>118.46</v>
      </c>
      <c r="I2129" s="27">
        <v>1004.36</v>
      </c>
      <c r="J2129" s="27">
        <v>11467.22</v>
      </c>
      <c r="K2129" s="47">
        <f t="shared" si="265"/>
        <v>0.44523781701231863</v>
      </c>
      <c r="L2129" s="47">
        <f t="shared" si="266"/>
        <v>0.39885691562558317</v>
      </c>
      <c r="M2129" s="84">
        <f t="shared" si="267"/>
        <v>0.8440947326379018</v>
      </c>
      <c r="N2129" s="47">
        <f t="shared" si="268"/>
        <v>2.7741684558245158E-2</v>
      </c>
      <c r="O2129" s="47">
        <f t="shared" si="269"/>
        <v>1.033031545570766E-2</v>
      </c>
      <c r="P2129" s="47">
        <f t="shared" si="270"/>
        <v>8.7585308383374527E-2</v>
      </c>
      <c r="Q2129" s="47">
        <f t="shared" si="271"/>
        <v>1</v>
      </c>
    </row>
    <row r="2130" spans="1:17" x14ac:dyDescent="0.35">
      <c r="A2130" s="82">
        <v>2127</v>
      </c>
      <c r="B2130" s="83" t="str">
        <f>_xlfn.XLOOKUP(A2130,'TAZs by City - CCAG Model'!$A:$A,'TAZs by City - CCAG Model'!$B:$B,"Unknown")</f>
        <v>Union City</v>
      </c>
      <c r="C2130" s="82">
        <f>_xlfn.XLOOKUP(A2130,'TAZs by City - CCAG Model'!$A:$A,'TAZs by City - CCAG Model'!$C:$C,999)</f>
        <v>4</v>
      </c>
      <c r="D2130" s="82" t="str">
        <f t="shared" si="264"/>
        <v>NO</v>
      </c>
      <c r="E2130" s="27">
        <v>7219.78</v>
      </c>
      <c r="F2130" s="27">
        <v>4646.9799999999996</v>
      </c>
      <c r="G2130" s="27">
        <v>388.74</v>
      </c>
      <c r="H2130" s="27">
        <v>176.42</v>
      </c>
      <c r="I2130" s="27">
        <v>1092.1600000000001</v>
      </c>
      <c r="J2130" s="27">
        <v>13952.06</v>
      </c>
      <c r="K2130" s="47">
        <f t="shared" si="265"/>
        <v>0.51747053840078094</v>
      </c>
      <c r="L2130" s="47">
        <f t="shared" si="266"/>
        <v>0.33306766169296864</v>
      </c>
      <c r="M2130" s="84">
        <f t="shared" si="267"/>
        <v>0.85053820009374947</v>
      </c>
      <c r="N2130" s="47">
        <f t="shared" si="268"/>
        <v>2.7862552196593192E-2</v>
      </c>
      <c r="O2130" s="47">
        <f t="shared" si="269"/>
        <v>1.2644727731962161E-2</v>
      </c>
      <c r="P2130" s="47">
        <f t="shared" si="270"/>
        <v>7.8279479876089991E-2</v>
      </c>
      <c r="Q2130" s="47">
        <f t="shared" si="271"/>
        <v>1</v>
      </c>
    </row>
    <row r="2131" spans="1:17" x14ac:dyDescent="0.35">
      <c r="A2131" s="82">
        <v>2128</v>
      </c>
      <c r="B2131" s="83" t="str">
        <f>_xlfn.XLOOKUP(A2131,'TAZs by City - CCAG Model'!$A:$A,'TAZs by City - CCAG Model'!$B:$B,"Unknown")</f>
        <v>Union City</v>
      </c>
      <c r="C2131" s="82">
        <f>_xlfn.XLOOKUP(A2131,'TAZs by City - CCAG Model'!$A:$A,'TAZs by City - CCAG Model'!$C:$C,999)</f>
        <v>4</v>
      </c>
      <c r="D2131" s="82" t="str">
        <f t="shared" si="264"/>
        <v>NO</v>
      </c>
      <c r="E2131" s="27">
        <v>24482.26</v>
      </c>
      <c r="F2131" s="27">
        <v>13864.2</v>
      </c>
      <c r="G2131" s="27">
        <v>877.98</v>
      </c>
      <c r="H2131" s="27">
        <v>467.6</v>
      </c>
      <c r="I2131" s="27">
        <v>2074.6</v>
      </c>
      <c r="J2131" s="27">
        <v>42672.42</v>
      </c>
      <c r="K2131" s="47">
        <f t="shared" si="265"/>
        <v>0.57372560543789175</v>
      </c>
      <c r="L2131" s="47">
        <f t="shared" si="266"/>
        <v>0.32489837698447854</v>
      </c>
      <c r="M2131" s="84">
        <f t="shared" si="267"/>
        <v>0.89862398242237029</v>
      </c>
      <c r="N2131" s="47">
        <f t="shared" si="268"/>
        <v>2.0574881855774763E-2</v>
      </c>
      <c r="O2131" s="47">
        <f t="shared" si="269"/>
        <v>1.0957897396023005E-2</v>
      </c>
      <c r="P2131" s="47">
        <f t="shared" si="270"/>
        <v>4.8616881817342444E-2</v>
      </c>
      <c r="Q2131" s="47">
        <f t="shared" si="271"/>
        <v>1</v>
      </c>
    </row>
    <row r="2132" spans="1:17" x14ac:dyDescent="0.35">
      <c r="A2132" s="82">
        <v>2129</v>
      </c>
      <c r="B2132" s="83" t="str">
        <f>_xlfn.XLOOKUP(A2132,'TAZs by City - CCAG Model'!$A:$A,'TAZs by City - CCAG Model'!$B:$B,"Unknown")</f>
        <v>Union City</v>
      </c>
      <c r="C2132" s="82">
        <f>_xlfn.XLOOKUP(A2132,'TAZs by City - CCAG Model'!$A:$A,'TAZs by City - CCAG Model'!$C:$C,999)</f>
        <v>4</v>
      </c>
      <c r="D2132" s="82" t="str">
        <f t="shared" si="264"/>
        <v>NO</v>
      </c>
      <c r="E2132" s="27">
        <v>28950.28</v>
      </c>
      <c r="F2132" s="27">
        <v>15088.52</v>
      </c>
      <c r="G2132" s="27">
        <v>1184.74</v>
      </c>
      <c r="H2132" s="27">
        <v>570.94000000000005</v>
      </c>
      <c r="I2132" s="27">
        <v>1962.76</v>
      </c>
      <c r="J2132" s="27">
        <v>48965.46</v>
      </c>
      <c r="K2132" s="47">
        <f t="shared" si="265"/>
        <v>0.59123880384254535</v>
      </c>
      <c r="L2132" s="47">
        <f t="shared" si="266"/>
        <v>0.30814619121315312</v>
      </c>
      <c r="M2132" s="84">
        <f t="shared" si="267"/>
        <v>0.89938499505569847</v>
      </c>
      <c r="N2132" s="47">
        <f t="shared" si="268"/>
        <v>2.4195422650987043E-2</v>
      </c>
      <c r="O2132" s="47">
        <f t="shared" si="269"/>
        <v>1.1660055884290683E-2</v>
      </c>
      <c r="P2132" s="47">
        <f t="shared" si="270"/>
        <v>4.008458207070862E-2</v>
      </c>
      <c r="Q2132" s="47">
        <f t="shared" si="271"/>
        <v>1</v>
      </c>
    </row>
    <row r="2133" spans="1:17" x14ac:dyDescent="0.35">
      <c r="A2133" s="82">
        <v>2130</v>
      </c>
      <c r="B2133" s="83" t="str">
        <f>_xlfn.XLOOKUP(A2133,'TAZs by City - CCAG Model'!$A:$A,'TAZs by City - CCAG Model'!$B:$B,"Unknown")</f>
        <v>Union City</v>
      </c>
      <c r="C2133" s="82">
        <f>_xlfn.XLOOKUP(A2133,'TAZs by City - CCAG Model'!$A:$A,'TAZs by City - CCAG Model'!$C:$C,999)</f>
        <v>4</v>
      </c>
      <c r="D2133" s="82" t="str">
        <f t="shared" si="264"/>
        <v>NO</v>
      </c>
      <c r="E2133" s="27">
        <v>9683.44</v>
      </c>
      <c r="F2133" s="27">
        <v>5677.98</v>
      </c>
      <c r="G2133" s="27">
        <v>499.18</v>
      </c>
      <c r="H2133" s="27">
        <v>215.64</v>
      </c>
      <c r="I2133" s="27">
        <v>706.02</v>
      </c>
      <c r="J2133" s="27">
        <v>17323.900000000001</v>
      </c>
      <c r="K2133" s="47">
        <f t="shared" si="265"/>
        <v>0.5589642055195424</v>
      </c>
      <c r="L2133" s="47">
        <f t="shared" si="266"/>
        <v>0.32775414312019807</v>
      </c>
      <c r="M2133" s="84">
        <f t="shared" si="267"/>
        <v>0.88671834863974042</v>
      </c>
      <c r="N2133" s="47">
        <f t="shared" si="268"/>
        <v>2.8814527906533747E-2</v>
      </c>
      <c r="O2133" s="47">
        <f t="shared" si="269"/>
        <v>1.244754356697972E-2</v>
      </c>
      <c r="P2133" s="47">
        <f t="shared" si="270"/>
        <v>4.07541027135922E-2</v>
      </c>
      <c r="Q2133" s="47">
        <f t="shared" si="271"/>
        <v>1</v>
      </c>
    </row>
    <row r="2134" spans="1:17" x14ac:dyDescent="0.35">
      <c r="A2134" s="82">
        <v>2131</v>
      </c>
      <c r="B2134" s="83" t="str">
        <f>_xlfn.XLOOKUP(A2134,'TAZs by City - CCAG Model'!$A:$A,'TAZs by City - CCAG Model'!$B:$B,"Unknown")</f>
        <v>Fremont</v>
      </c>
      <c r="C2134" s="82">
        <f>_xlfn.XLOOKUP(A2134,'TAZs by City - CCAG Model'!$A:$A,'TAZs by City - CCAG Model'!$C:$C,999)</f>
        <v>4</v>
      </c>
      <c r="D2134" s="82" t="str">
        <f t="shared" si="264"/>
        <v>NO</v>
      </c>
      <c r="E2134" s="27">
        <v>10675.28</v>
      </c>
      <c r="F2134" s="27">
        <v>7801.92</v>
      </c>
      <c r="G2134" s="27">
        <v>281.52</v>
      </c>
      <c r="H2134" s="27">
        <v>203.02</v>
      </c>
      <c r="I2134" s="27">
        <v>844.12</v>
      </c>
      <c r="J2134" s="27">
        <v>20113.98</v>
      </c>
      <c r="K2134" s="47">
        <f t="shared" si="265"/>
        <v>0.53073931663450002</v>
      </c>
      <c r="L2134" s="47">
        <f t="shared" si="266"/>
        <v>0.38788544087246779</v>
      </c>
      <c r="M2134" s="84">
        <f t="shared" si="267"/>
        <v>0.91862475750696782</v>
      </c>
      <c r="N2134" s="47">
        <f t="shared" si="268"/>
        <v>1.3996235454146817E-2</v>
      </c>
      <c r="O2134" s="47">
        <f t="shared" si="269"/>
        <v>1.0093477273021054E-2</v>
      </c>
      <c r="P2134" s="47">
        <f t="shared" si="270"/>
        <v>4.196683102996026E-2</v>
      </c>
      <c r="Q2134" s="47">
        <f t="shared" si="271"/>
        <v>1</v>
      </c>
    </row>
    <row r="2135" spans="1:17" x14ac:dyDescent="0.35">
      <c r="A2135" s="82">
        <v>2132</v>
      </c>
      <c r="B2135" s="83" t="str">
        <f>_xlfn.XLOOKUP(A2135,'TAZs by City - CCAG Model'!$A:$A,'TAZs by City - CCAG Model'!$B:$B,"Unknown")</f>
        <v>Union City</v>
      </c>
      <c r="C2135" s="82">
        <f>_xlfn.XLOOKUP(A2135,'TAZs by City - CCAG Model'!$A:$A,'TAZs by City - CCAG Model'!$C:$C,999)</f>
        <v>4</v>
      </c>
      <c r="D2135" s="82" t="str">
        <f t="shared" si="264"/>
        <v>NO</v>
      </c>
      <c r="E2135" s="27">
        <v>15529.08</v>
      </c>
      <c r="F2135" s="27">
        <v>9954.64</v>
      </c>
      <c r="G2135" s="27">
        <v>973.34</v>
      </c>
      <c r="H2135" s="27">
        <v>412.76</v>
      </c>
      <c r="I2135" s="27">
        <v>1831.7</v>
      </c>
      <c r="J2135" s="27">
        <v>29712.78</v>
      </c>
      <c r="K2135" s="47">
        <f t="shared" si="265"/>
        <v>0.52263975299517584</v>
      </c>
      <c r="L2135" s="47">
        <f t="shared" si="266"/>
        <v>0.33502890002214536</v>
      </c>
      <c r="M2135" s="84">
        <f t="shared" si="267"/>
        <v>0.8576686530173212</v>
      </c>
      <c r="N2135" s="47">
        <f t="shared" si="268"/>
        <v>3.2758294578965688E-2</v>
      </c>
      <c r="O2135" s="47">
        <f t="shared" si="269"/>
        <v>1.3891665471894585E-2</v>
      </c>
      <c r="P2135" s="47">
        <f t="shared" si="270"/>
        <v>6.1646873836780004E-2</v>
      </c>
      <c r="Q2135" s="47">
        <f t="shared" si="271"/>
        <v>1</v>
      </c>
    </row>
    <row r="2136" spans="1:17" x14ac:dyDescent="0.35">
      <c r="A2136" s="82">
        <v>2133</v>
      </c>
      <c r="B2136" s="83" t="str">
        <f>_xlfn.XLOOKUP(A2136,'TAZs by City - CCAG Model'!$A:$A,'TAZs by City - CCAG Model'!$B:$B,"Unknown")</f>
        <v>Union City</v>
      </c>
      <c r="C2136" s="82">
        <f>_xlfn.XLOOKUP(A2136,'TAZs by City - CCAG Model'!$A:$A,'TAZs by City - CCAG Model'!$C:$C,999)</f>
        <v>4</v>
      </c>
      <c r="D2136" s="82" t="str">
        <f t="shared" si="264"/>
        <v>NO</v>
      </c>
      <c r="E2136" s="27">
        <v>27538.52</v>
      </c>
      <c r="F2136" s="27">
        <v>16982.939999999999</v>
      </c>
      <c r="G2136" s="27">
        <v>1963.92</v>
      </c>
      <c r="H2136" s="27">
        <v>565.05999999999995</v>
      </c>
      <c r="I2136" s="27">
        <v>3557.44</v>
      </c>
      <c r="J2136" s="27">
        <v>52609.84</v>
      </c>
      <c r="K2136" s="47">
        <f t="shared" si="265"/>
        <v>0.52344808499702722</v>
      </c>
      <c r="L2136" s="47">
        <f t="shared" si="266"/>
        <v>0.32280919310912176</v>
      </c>
      <c r="M2136" s="84">
        <f t="shared" si="267"/>
        <v>0.84625727810614904</v>
      </c>
      <c r="N2136" s="47">
        <f t="shared" si="268"/>
        <v>3.7329898741376141E-2</v>
      </c>
      <c r="O2136" s="47">
        <f t="shared" si="269"/>
        <v>1.0740576287629842E-2</v>
      </c>
      <c r="P2136" s="47">
        <f t="shared" si="270"/>
        <v>6.7619289471323243E-2</v>
      </c>
      <c r="Q2136" s="47">
        <f t="shared" si="271"/>
        <v>1</v>
      </c>
    </row>
    <row r="2137" spans="1:17" x14ac:dyDescent="0.35">
      <c r="A2137" s="82">
        <v>2134</v>
      </c>
      <c r="B2137" s="83" t="str">
        <f>_xlfn.XLOOKUP(A2137,'TAZs by City - CCAG Model'!$A:$A,'TAZs by City - CCAG Model'!$B:$B,"Unknown")</f>
        <v>Union City</v>
      </c>
      <c r="C2137" s="82">
        <f>_xlfn.XLOOKUP(A2137,'TAZs by City - CCAG Model'!$A:$A,'TAZs by City - CCAG Model'!$C:$C,999)</f>
        <v>4</v>
      </c>
      <c r="D2137" s="82" t="str">
        <f t="shared" si="264"/>
        <v>NO</v>
      </c>
      <c r="E2137" s="27">
        <v>9543.52</v>
      </c>
      <c r="F2137" s="27">
        <v>7982.82</v>
      </c>
      <c r="G2137" s="27">
        <v>715.98</v>
      </c>
      <c r="H2137" s="27">
        <v>275.44</v>
      </c>
      <c r="I2137" s="27">
        <v>1377.4</v>
      </c>
      <c r="J2137" s="27">
        <v>20652.060000000001</v>
      </c>
      <c r="K2137" s="47">
        <f t="shared" si="265"/>
        <v>0.46210983311107945</v>
      </c>
      <c r="L2137" s="47">
        <f t="shared" si="266"/>
        <v>0.38653867943440023</v>
      </c>
      <c r="M2137" s="84">
        <f t="shared" si="267"/>
        <v>0.84864851254547968</v>
      </c>
      <c r="N2137" s="47">
        <f t="shared" si="268"/>
        <v>3.466869648838905E-2</v>
      </c>
      <c r="O2137" s="47">
        <f t="shared" si="269"/>
        <v>1.3337168301854633E-2</v>
      </c>
      <c r="P2137" s="47">
        <f t="shared" si="270"/>
        <v>6.6695525773215844E-2</v>
      </c>
      <c r="Q2137" s="47">
        <f t="shared" si="271"/>
        <v>1</v>
      </c>
    </row>
    <row r="2138" spans="1:17" x14ac:dyDescent="0.35">
      <c r="A2138" s="82">
        <v>2135</v>
      </c>
      <c r="B2138" s="83" t="str">
        <f>_xlfn.XLOOKUP(A2138,'TAZs by City - CCAG Model'!$A:$A,'TAZs by City - CCAG Model'!$B:$B,"Unknown")</f>
        <v>Union City</v>
      </c>
      <c r="C2138" s="82">
        <f>_xlfn.XLOOKUP(A2138,'TAZs by City - CCAG Model'!$A:$A,'TAZs by City - CCAG Model'!$C:$C,999)</f>
        <v>4</v>
      </c>
      <c r="D2138" s="82" t="str">
        <f t="shared" si="264"/>
        <v>NO</v>
      </c>
      <c r="E2138" s="27">
        <v>5623.92</v>
      </c>
      <c r="F2138" s="27">
        <v>3322.58</v>
      </c>
      <c r="G2138" s="27">
        <v>201.02</v>
      </c>
      <c r="H2138" s="27">
        <v>94.66</v>
      </c>
      <c r="I2138" s="27">
        <v>322.88</v>
      </c>
      <c r="J2138" s="27">
        <v>9804.06</v>
      </c>
      <c r="K2138" s="47">
        <f t="shared" si="265"/>
        <v>0.57363174031982667</v>
      </c>
      <c r="L2138" s="47">
        <f t="shared" si="266"/>
        <v>0.33889837475494849</v>
      </c>
      <c r="M2138" s="84">
        <f t="shared" si="267"/>
        <v>0.91253011507477522</v>
      </c>
      <c r="N2138" s="47">
        <f t="shared" si="268"/>
        <v>2.0503750487043126E-2</v>
      </c>
      <c r="O2138" s="47">
        <f t="shared" si="269"/>
        <v>9.6551836688065964E-3</v>
      </c>
      <c r="P2138" s="47">
        <f t="shared" si="270"/>
        <v>3.2933294981874854E-2</v>
      </c>
      <c r="Q2138" s="47">
        <f t="shared" si="271"/>
        <v>1</v>
      </c>
    </row>
    <row r="2139" spans="1:17" x14ac:dyDescent="0.35">
      <c r="A2139" s="82">
        <v>2136</v>
      </c>
      <c r="B2139" s="83" t="str">
        <f>_xlfn.XLOOKUP(A2139,'TAZs by City - CCAG Model'!$A:$A,'TAZs by City - CCAG Model'!$B:$B,"Unknown")</f>
        <v>Hayward</v>
      </c>
      <c r="C2139" s="82">
        <f>_xlfn.XLOOKUP(A2139,'TAZs by City - CCAG Model'!$A:$A,'TAZs by City - CCAG Model'!$C:$C,999)</f>
        <v>4</v>
      </c>
      <c r="D2139" s="82" t="str">
        <f t="shared" si="264"/>
        <v>NO</v>
      </c>
      <c r="E2139" s="27">
        <v>7967.7</v>
      </c>
      <c r="F2139" s="27">
        <v>5086.84</v>
      </c>
      <c r="G2139" s="27">
        <v>356.28</v>
      </c>
      <c r="H2139" s="27">
        <v>163.19999999999999</v>
      </c>
      <c r="I2139" s="27">
        <v>629.64</v>
      </c>
      <c r="J2139" s="27">
        <v>14602.8</v>
      </c>
      <c r="K2139" s="47">
        <f t="shared" si="265"/>
        <v>0.5456282356808283</v>
      </c>
      <c r="L2139" s="47">
        <f t="shared" si="266"/>
        <v>0.3483468923768045</v>
      </c>
      <c r="M2139" s="84">
        <f t="shared" si="267"/>
        <v>0.89397512805763291</v>
      </c>
      <c r="N2139" s="47">
        <f t="shared" si="268"/>
        <v>2.4398060645903524E-2</v>
      </c>
      <c r="O2139" s="47">
        <f t="shared" si="269"/>
        <v>1.1175938861040348E-2</v>
      </c>
      <c r="P2139" s="47">
        <f t="shared" si="270"/>
        <v>4.3117758238146113E-2</v>
      </c>
      <c r="Q2139" s="47">
        <f t="shared" si="271"/>
        <v>1</v>
      </c>
    </row>
    <row r="2140" spans="1:17" x14ac:dyDescent="0.35">
      <c r="A2140" s="82">
        <v>2137</v>
      </c>
      <c r="B2140" s="83" t="str">
        <f>_xlfn.XLOOKUP(A2140,'TAZs by City - CCAG Model'!$A:$A,'TAZs by City - CCAG Model'!$B:$B,"Unknown")</f>
        <v>Hayward</v>
      </c>
      <c r="C2140" s="82">
        <f>_xlfn.XLOOKUP(A2140,'TAZs by City - CCAG Model'!$A:$A,'TAZs by City - CCAG Model'!$C:$C,999)</f>
        <v>4</v>
      </c>
      <c r="D2140" s="82" t="str">
        <f t="shared" si="264"/>
        <v>NO</v>
      </c>
      <c r="E2140" s="27">
        <v>14694.12</v>
      </c>
      <c r="F2140" s="27">
        <v>10904.22</v>
      </c>
      <c r="G2140" s="27">
        <v>704.9</v>
      </c>
      <c r="H2140" s="27">
        <v>373.92</v>
      </c>
      <c r="I2140" s="27">
        <v>1724.1</v>
      </c>
      <c r="J2140" s="27">
        <v>29146.080000000002</v>
      </c>
      <c r="K2140" s="47">
        <f t="shared" si="265"/>
        <v>0.5041542464715667</v>
      </c>
      <c r="L2140" s="47">
        <f t="shared" si="266"/>
        <v>0.37412303815813308</v>
      </c>
      <c r="M2140" s="84">
        <f t="shared" si="267"/>
        <v>0.87827728462969967</v>
      </c>
      <c r="N2140" s="47">
        <f t="shared" si="268"/>
        <v>2.4185070513770633E-2</v>
      </c>
      <c r="O2140" s="47">
        <f t="shared" si="269"/>
        <v>1.2829169480081027E-2</v>
      </c>
      <c r="P2140" s="47">
        <f t="shared" si="270"/>
        <v>5.9153752408557164E-2</v>
      </c>
      <c r="Q2140" s="47">
        <f t="shared" si="271"/>
        <v>1</v>
      </c>
    </row>
    <row r="2141" spans="1:17" x14ac:dyDescent="0.35">
      <c r="A2141" s="82">
        <v>2138</v>
      </c>
      <c r="B2141" s="83" t="str">
        <f>_xlfn.XLOOKUP(A2141,'TAZs by City - CCAG Model'!$A:$A,'TAZs by City - CCAG Model'!$B:$B,"Unknown")</f>
        <v>Hayward</v>
      </c>
      <c r="C2141" s="82">
        <f>_xlfn.XLOOKUP(A2141,'TAZs by City - CCAG Model'!$A:$A,'TAZs by City - CCAG Model'!$C:$C,999)</f>
        <v>4</v>
      </c>
      <c r="D2141" s="82" t="str">
        <f t="shared" si="264"/>
        <v>NO</v>
      </c>
      <c r="E2141" s="27">
        <v>34129.56</v>
      </c>
      <c r="F2141" s="27">
        <v>17090.98</v>
      </c>
      <c r="G2141" s="27">
        <v>1917.98</v>
      </c>
      <c r="H2141" s="27">
        <v>707.38</v>
      </c>
      <c r="I2141" s="27">
        <v>3340.66</v>
      </c>
      <c r="J2141" s="27">
        <v>59129.18</v>
      </c>
      <c r="K2141" s="47">
        <f t="shared" si="265"/>
        <v>0.57720333682963298</v>
      </c>
      <c r="L2141" s="47">
        <f t="shared" si="266"/>
        <v>0.28904476605290313</v>
      </c>
      <c r="M2141" s="84">
        <f t="shared" si="267"/>
        <v>0.86624810288253606</v>
      </c>
      <c r="N2141" s="47">
        <f t="shared" si="268"/>
        <v>3.2437114805245061E-2</v>
      </c>
      <c r="O2141" s="47">
        <f t="shared" si="269"/>
        <v>1.1963297985867554E-2</v>
      </c>
      <c r="P2141" s="47">
        <f t="shared" si="270"/>
        <v>5.6497654795821618E-2</v>
      </c>
      <c r="Q2141" s="47">
        <f t="shared" si="271"/>
        <v>1</v>
      </c>
    </row>
    <row r="2142" spans="1:17" x14ac:dyDescent="0.35">
      <c r="A2142" s="82">
        <v>2139</v>
      </c>
      <c r="B2142" s="83" t="str">
        <f>_xlfn.XLOOKUP(A2142,'TAZs by City - CCAG Model'!$A:$A,'TAZs by City - CCAG Model'!$B:$B,"Unknown")</f>
        <v>Hayward</v>
      </c>
      <c r="C2142" s="82">
        <f>_xlfn.XLOOKUP(A2142,'TAZs by City - CCAG Model'!$A:$A,'TAZs by City - CCAG Model'!$C:$C,999)</f>
        <v>4</v>
      </c>
      <c r="D2142" s="82" t="str">
        <f t="shared" si="264"/>
        <v>NO</v>
      </c>
      <c r="E2142" s="27">
        <v>7367.44</v>
      </c>
      <c r="F2142" s="27">
        <v>5996.12</v>
      </c>
      <c r="G2142" s="27">
        <v>499.1</v>
      </c>
      <c r="H2142" s="27">
        <v>203.8</v>
      </c>
      <c r="I2142" s="27">
        <v>819.9</v>
      </c>
      <c r="J2142" s="27">
        <v>15419.64</v>
      </c>
      <c r="K2142" s="47">
        <f t="shared" si="265"/>
        <v>0.47779584996796293</v>
      </c>
      <c r="L2142" s="47">
        <f t="shared" si="266"/>
        <v>0.38886251559699192</v>
      </c>
      <c r="M2142" s="84">
        <f t="shared" si="267"/>
        <v>0.86665836556495479</v>
      </c>
      <c r="N2142" s="47">
        <f t="shared" si="268"/>
        <v>3.2367811440474618E-2</v>
      </c>
      <c r="O2142" s="47">
        <f t="shared" si="269"/>
        <v>1.3216910381824739E-2</v>
      </c>
      <c r="P2142" s="47">
        <f t="shared" si="270"/>
        <v>5.317244760578068E-2</v>
      </c>
      <c r="Q2142" s="47">
        <f t="shared" si="271"/>
        <v>1</v>
      </c>
    </row>
    <row r="2143" spans="1:17" x14ac:dyDescent="0.35">
      <c r="A2143" s="82">
        <v>2140</v>
      </c>
      <c r="B2143" s="83" t="str">
        <f>_xlfn.XLOOKUP(A2143,'TAZs by City - CCAG Model'!$A:$A,'TAZs by City - CCAG Model'!$B:$B,"Unknown")</f>
        <v>Hayward</v>
      </c>
      <c r="C2143" s="82">
        <f>_xlfn.XLOOKUP(A2143,'TAZs by City - CCAG Model'!$A:$A,'TAZs by City - CCAG Model'!$C:$C,999)</f>
        <v>4</v>
      </c>
      <c r="D2143" s="82" t="str">
        <f t="shared" si="264"/>
        <v>NO</v>
      </c>
      <c r="E2143" s="27">
        <v>10022.780000000001</v>
      </c>
      <c r="F2143" s="27">
        <v>6291.72</v>
      </c>
      <c r="G2143" s="27">
        <v>505.46</v>
      </c>
      <c r="H2143" s="27">
        <v>237.92</v>
      </c>
      <c r="I2143" s="27">
        <v>892.68</v>
      </c>
      <c r="J2143" s="27">
        <v>18494.04</v>
      </c>
      <c r="K2143" s="47">
        <f t="shared" si="265"/>
        <v>0.54194648654377298</v>
      </c>
      <c r="L2143" s="47">
        <f t="shared" si="266"/>
        <v>0.34020257336958287</v>
      </c>
      <c r="M2143" s="84">
        <f t="shared" si="267"/>
        <v>0.88214905991335579</v>
      </c>
      <c r="N2143" s="47">
        <f t="shared" si="268"/>
        <v>2.7330967165638227E-2</v>
      </c>
      <c r="O2143" s="47">
        <f t="shared" si="269"/>
        <v>1.2864685055293488E-2</v>
      </c>
      <c r="P2143" s="47">
        <f t="shared" si="270"/>
        <v>4.8268523264792328E-2</v>
      </c>
      <c r="Q2143" s="47">
        <f t="shared" si="271"/>
        <v>1</v>
      </c>
    </row>
    <row r="2144" spans="1:17" x14ac:dyDescent="0.35">
      <c r="A2144" s="82">
        <v>2141</v>
      </c>
      <c r="B2144" s="83" t="str">
        <f>_xlfn.XLOOKUP(A2144,'TAZs by City - CCAG Model'!$A:$A,'TAZs by City - CCAG Model'!$B:$B,"Unknown")</f>
        <v>Hayward</v>
      </c>
      <c r="C2144" s="82">
        <f>_xlfn.XLOOKUP(A2144,'TAZs by City - CCAG Model'!$A:$A,'TAZs by City - CCAG Model'!$C:$C,999)</f>
        <v>4</v>
      </c>
      <c r="D2144" s="82" t="str">
        <f t="shared" si="264"/>
        <v>NO</v>
      </c>
      <c r="E2144" s="27">
        <v>8210.76</v>
      </c>
      <c r="F2144" s="27">
        <v>4914.62</v>
      </c>
      <c r="G2144" s="27">
        <v>427.18</v>
      </c>
      <c r="H2144" s="27">
        <v>213.76</v>
      </c>
      <c r="I2144" s="27">
        <v>593.46</v>
      </c>
      <c r="J2144" s="27">
        <v>14821.7</v>
      </c>
      <c r="K2144" s="47">
        <f t="shared" si="265"/>
        <v>0.55396884298022497</v>
      </c>
      <c r="L2144" s="47">
        <f t="shared" si="266"/>
        <v>0.33158274691836964</v>
      </c>
      <c r="M2144" s="84">
        <f t="shared" si="267"/>
        <v>0.88555158989859462</v>
      </c>
      <c r="N2144" s="47">
        <f t="shared" si="268"/>
        <v>2.882125532158929E-2</v>
      </c>
      <c r="O2144" s="47">
        <f t="shared" si="269"/>
        <v>1.4422097330265757E-2</v>
      </c>
      <c r="P2144" s="47">
        <f t="shared" si="270"/>
        <v>4.0039941437217057E-2</v>
      </c>
      <c r="Q2144" s="47">
        <f t="shared" si="271"/>
        <v>1</v>
      </c>
    </row>
    <row r="2145" spans="1:17" x14ac:dyDescent="0.35">
      <c r="A2145" s="82">
        <v>2142</v>
      </c>
      <c r="B2145" s="83" t="str">
        <f>_xlfn.XLOOKUP(A2145,'TAZs by City - CCAG Model'!$A:$A,'TAZs by City - CCAG Model'!$B:$B,"Unknown")</f>
        <v>Hayward</v>
      </c>
      <c r="C2145" s="82">
        <f>_xlfn.XLOOKUP(A2145,'TAZs by City - CCAG Model'!$A:$A,'TAZs by City - CCAG Model'!$C:$C,999)</f>
        <v>4</v>
      </c>
      <c r="D2145" s="82" t="str">
        <f t="shared" si="264"/>
        <v>NO</v>
      </c>
      <c r="E2145" s="27">
        <v>91465.08</v>
      </c>
      <c r="F2145" s="27">
        <v>36161.199999999997</v>
      </c>
      <c r="G2145" s="27">
        <v>2280.1799999999998</v>
      </c>
      <c r="H2145" s="27">
        <v>1316.72</v>
      </c>
      <c r="I2145" s="27">
        <v>8796.2000000000007</v>
      </c>
      <c r="J2145" s="27">
        <v>142312.54</v>
      </c>
      <c r="K2145" s="47">
        <f t="shared" si="265"/>
        <v>0.6427056955065239</v>
      </c>
      <c r="L2145" s="47">
        <f t="shared" si="266"/>
        <v>0.25409707394724312</v>
      </c>
      <c r="M2145" s="84">
        <f t="shared" si="267"/>
        <v>0.89680276945376702</v>
      </c>
      <c r="N2145" s="47">
        <f t="shared" si="268"/>
        <v>1.6022340687616141E-2</v>
      </c>
      <c r="O2145" s="47">
        <f t="shared" si="269"/>
        <v>9.2523118482742278E-3</v>
      </c>
      <c r="P2145" s="47">
        <f t="shared" si="270"/>
        <v>6.1809029618893743E-2</v>
      </c>
      <c r="Q2145" s="47">
        <f t="shared" si="271"/>
        <v>1</v>
      </c>
    </row>
    <row r="2146" spans="1:17" x14ac:dyDescent="0.35">
      <c r="A2146" s="82">
        <v>2143</v>
      </c>
      <c r="B2146" s="83" t="str">
        <f>_xlfn.XLOOKUP(A2146,'TAZs by City - CCAG Model'!$A:$A,'TAZs by City - CCAG Model'!$B:$B,"Unknown")</f>
        <v>Hayward</v>
      </c>
      <c r="C2146" s="82">
        <f>_xlfn.XLOOKUP(A2146,'TAZs by City - CCAG Model'!$A:$A,'TAZs by City - CCAG Model'!$C:$C,999)</f>
        <v>4</v>
      </c>
      <c r="D2146" s="82" t="str">
        <f t="shared" si="264"/>
        <v>NO</v>
      </c>
      <c r="E2146" s="27">
        <v>26552.14</v>
      </c>
      <c r="F2146" s="27">
        <v>12197.8</v>
      </c>
      <c r="G2146" s="27">
        <v>2819.64</v>
      </c>
      <c r="H2146" s="27">
        <v>586.14</v>
      </c>
      <c r="I2146" s="27">
        <v>2358.8000000000002</v>
      </c>
      <c r="J2146" s="27">
        <v>47362.82</v>
      </c>
      <c r="K2146" s="47">
        <f t="shared" si="265"/>
        <v>0.56061146696923869</v>
      </c>
      <c r="L2146" s="47">
        <f t="shared" si="266"/>
        <v>0.25753956373374726</v>
      </c>
      <c r="M2146" s="84">
        <f t="shared" si="267"/>
        <v>0.81815103070298612</v>
      </c>
      <c r="N2146" s="47">
        <f t="shared" si="268"/>
        <v>5.9532772752973744E-2</v>
      </c>
      <c r="O2146" s="47">
        <f t="shared" si="269"/>
        <v>1.2375530004336735E-2</v>
      </c>
      <c r="P2146" s="47">
        <f t="shared" si="270"/>
        <v>4.9802777790680541E-2</v>
      </c>
      <c r="Q2146" s="47">
        <f t="shared" si="271"/>
        <v>1</v>
      </c>
    </row>
    <row r="2147" spans="1:17" x14ac:dyDescent="0.35">
      <c r="A2147" s="82">
        <v>2144</v>
      </c>
      <c r="B2147" s="83" t="str">
        <f>_xlfn.XLOOKUP(A2147,'TAZs by City - CCAG Model'!$A:$A,'TAZs by City - CCAG Model'!$B:$B,"Unknown")</f>
        <v>Hayward</v>
      </c>
      <c r="C2147" s="82">
        <f>_xlfn.XLOOKUP(A2147,'TAZs by City - CCAG Model'!$A:$A,'TAZs by City - CCAG Model'!$C:$C,999)</f>
        <v>4</v>
      </c>
      <c r="D2147" s="82" t="str">
        <f t="shared" si="264"/>
        <v>NO</v>
      </c>
      <c r="E2147" s="27">
        <v>20899.560000000001</v>
      </c>
      <c r="F2147" s="27">
        <v>10798.1</v>
      </c>
      <c r="G2147" s="27">
        <v>1098.68</v>
      </c>
      <c r="H2147" s="27">
        <v>368.14</v>
      </c>
      <c r="I2147" s="27">
        <v>1834.66</v>
      </c>
      <c r="J2147" s="27">
        <v>36130.22</v>
      </c>
      <c r="K2147" s="47">
        <f t="shared" si="265"/>
        <v>0.57845094771080829</v>
      </c>
      <c r="L2147" s="47">
        <f t="shared" si="266"/>
        <v>0.29886615691794849</v>
      </c>
      <c r="M2147" s="84">
        <f t="shared" si="267"/>
        <v>0.87731710462875678</v>
      </c>
      <c r="N2147" s="47">
        <f t="shared" si="268"/>
        <v>3.0408893164780067E-2</v>
      </c>
      <c r="O2147" s="47">
        <f t="shared" si="269"/>
        <v>1.0189254313978713E-2</v>
      </c>
      <c r="P2147" s="47">
        <f t="shared" si="270"/>
        <v>5.0779098494279862E-2</v>
      </c>
      <c r="Q2147" s="47">
        <f t="shared" si="271"/>
        <v>1</v>
      </c>
    </row>
    <row r="2148" spans="1:17" x14ac:dyDescent="0.35">
      <c r="A2148" s="82">
        <v>2145</v>
      </c>
      <c r="B2148" s="83" t="str">
        <f>_xlfn.XLOOKUP(A2148,'TAZs by City - CCAG Model'!$A:$A,'TAZs by City - CCAG Model'!$B:$B,"Unknown")</f>
        <v>Hayward</v>
      </c>
      <c r="C2148" s="82">
        <f>_xlfn.XLOOKUP(A2148,'TAZs by City - CCAG Model'!$A:$A,'TAZs by City - CCAG Model'!$C:$C,999)</f>
        <v>4</v>
      </c>
      <c r="D2148" s="82" t="str">
        <f t="shared" si="264"/>
        <v>NO</v>
      </c>
      <c r="E2148" s="27">
        <v>8510.34</v>
      </c>
      <c r="F2148" s="27">
        <v>5505.44</v>
      </c>
      <c r="G2148" s="27">
        <v>473.92</v>
      </c>
      <c r="H2148" s="27">
        <v>189.04</v>
      </c>
      <c r="I2148" s="27">
        <v>650.76</v>
      </c>
      <c r="J2148" s="27">
        <v>15839.9</v>
      </c>
      <c r="K2148" s="47">
        <f t="shared" si="265"/>
        <v>0.53727233126471763</v>
      </c>
      <c r="L2148" s="47">
        <f t="shared" si="266"/>
        <v>0.34756785080713892</v>
      </c>
      <c r="M2148" s="84">
        <f t="shared" si="267"/>
        <v>0.88484018207185644</v>
      </c>
      <c r="N2148" s="47">
        <f t="shared" si="268"/>
        <v>2.9919380804171745E-2</v>
      </c>
      <c r="O2148" s="47">
        <f t="shared" si="269"/>
        <v>1.1934418777896324E-2</v>
      </c>
      <c r="P2148" s="47">
        <f t="shared" si="270"/>
        <v>4.1083592699448862E-2</v>
      </c>
      <c r="Q2148" s="47">
        <f t="shared" si="271"/>
        <v>1</v>
      </c>
    </row>
    <row r="2149" spans="1:17" x14ac:dyDescent="0.35">
      <c r="A2149" s="82">
        <v>2146</v>
      </c>
      <c r="B2149" s="83" t="str">
        <f>_xlfn.XLOOKUP(A2149,'TAZs by City - CCAG Model'!$A:$A,'TAZs by City - CCAG Model'!$B:$B,"Unknown")</f>
        <v>Hayward</v>
      </c>
      <c r="C2149" s="82">
        <f>_xlfn.XLOOKUP(A2149,'TAZs by City - CCAG Model'!$A:$A,'TAZs by City - CCAG Model'!$C:$C,999)</f>
        <v>4</v>
      </c>
      <c r="D2149" s="82" t="str">
        <f t="shared" si="264"/>
        <v>NO</v>
      </c>
      <c r="E2149" s="27">
        <v>5473.44</v>
      </c>
      <c r="F2149" s="27">
        <v>4506.54</v>
      </c>
      <c r="G2149" s="27">
        <v>343.32</v>
      </c>
      <c r="H2149" s="27">
        <v>140.97999999999999</v>
      </c>
      <c r="I2149" s="27">
        <v>575.48</v>
      </c>
      <c r="J2149" s="27">
        <v>11413.48</v>
      </c>
      <c r="K2149" s="47">
        <f t="shared" si="265"/>
        <v>0.47955925800018923</v>
      </c>
      <c r="L2149" s="47">
        <f t="shared" si="266"/>
        <v>0.39484364102797748</v>
      </c>
      <c r="M2149" s="84">
        <f t="shared" si="267"/>
        <v>0.8744028990281667</v>
      </c>
      <c r="N2149" s="47">
        <f t="shared" si="268"/>
        <v>3.0080220931740363E-2</v>
      </c>
      <c r="O2149" s="47">
        <f t="shared" si="269"/>
        <v>1.2352060896413714E-2</v>
      </c>
      <c r="P2149" s="47">
        <f t="shared" si="270"/>
        <v>5.0421081037510036E-2</v>
      </c>
      <c r="Q2149" s="47">
        <f t="shared" si="271"/>
        <v>1</v>
      </c>
    </row>
    <row r="2150" spans="1:17" x14ac:dyDescent="0.35">
      <c r="A2150" s="82">
        <v>2147</v>
      </c>
      <c r="B2150" s="83" t="str">
        <f>_xlfn.XLOOKUP(A2150,'TAZs by City - CCAG Model'!$A:$A,'TAZs by City - CCAG Model'!$B:$B,"Unknown")</f>
        <v>Hayward</v>
      </c>
      <c r="C2150" s="82">
        <f>_xlfn.XLOOKUP(A2150,'TAZs by City - CCAG Model'!$A:$A,'TAZs by City - CCAG Model'!$C:$C,999)</f>
        <v>4</v>
      </c>
      <c r="D2150" s="82" t="str">
        <f t="shared" si="264"/>
        <v>NO</v>
      </c>
      <c r="E2150" s="27">
        <v>5956.76</v>
      </c>
      <c r="F2150" s="27">
        <v>5519.66</v>
      </c>
      <c r="G2150" s="27">
        <v>550.12</v>
      </c>
      <c r="H2150" s="27">
        <v>207.16</v>
      </c>
      <c r="I2150" s="27">
        <v>1006.38</v>
      </c>
      <c r="J2150" s="27">
        <v>13824.64</v>
      </c>
      <c r="K2150" s="47">
        <f t="shared" si="265"/>
        <v>0.43087993611406883</v>
      </c>
      <c r="L2150" s="47">
        <f t="shared" si="266"/>
        <v>0.39926247627424655</v>
      </c>
      <c r="M2150" s="84">
        <f t="shared" si="267"/>
        <v>0.83014241238831543</v>
      </c>
      <c r="N2150" s="47">
        <f t="shared" si="268"/>
        <v>3.9792717929725475E-2</v>
      </c>
      <c r="O2150" s="47">
        <f t="shared" si="269"/>
        <v>1.4984838664876626E-2</v>
      </c>
      <c r="P2150" s="47">
        <f t="shared" si="270"/>
        <v>7.2796108976436277E-2</v>
      </c>
      <c r="Q2150" s="47">
        <f t="shared" si="271"/>
        <v>1</v>
      </c>
    </row>
    <row r="2151" spans="1:17" x14ac:dyDescent="0.35">
      <c r="A2151" s="82">
        <v>2148</v>
      </c>
      <c r="B2151" s="83" t="str">
        <f>_xlfn.XLOOKUP(A2151,'TAZs by City - CCAG Model'!$A:$A,'TAZs by City - CCAG Model'!$B:$B,"Unknown")</f>
        <v>Hayward</v>
      </c>
      <c r="C2151" s="82">
        <f>_xlfn.XLOOKUP(A2151,'TAZs by City - CCAG Model'!$A:$A,'TAZs by City - CCAG Model'!$C:$C,999)</f>
        <v>4</v>
      </c>
      <c r="D2151" s="82" t="str">
        <f t="shared" si="264"/>
        <v>NO</v>
      </c>
      <c r="E2151" s="27">
        <v>7459.38</v>
      </c>
      <c r="F2151" s="27">
        <v>4679.0600000000004</v>
      </c>
      <c r="G2151" s="27">
        <v>403</v>
      </c>
      <c r="H2151" s="27">
        <v>180.62</v>
      </c>
      <c r="I2151" s="27">
        <v>664.7</v>
      </c>
      <c r="J2151" s="27">
        <v>13830.92</v>
      </c>
      <c r="K2151" s="47">
        <f t="shared" si="265"/>
        <v>0.53932637886706014</v>
      </c>
      <c r="L2151" s="47">
        <f t="shared" si="266"/>
        <v>0.33830432104299646</v>
      </c>
      <c r="M2151" s="84">
        <f t="shared" si="267"/>
        <v>0.8776306999100566</v>
      </c>
      <c r="N2151" s="47">
        <f t="shared" si="268"/>
        <v>2.9137613405326616E-2</v>
      </c>
      <c r="O2151" s="47">
        <f t="shared" si="269"/>
        <v>1.3059145740124302E-2</v>
      </c>
      <c r="P2151" s="47">
        <f t="shared" si="270"/>
        <v>4.8058986676229785E-2</v>
      </c>
      <c r="Q2151" s="47">
        <f t="shared" si="271"/>
        <v>1</v>
      </c>
    </row>
    <row r="2152" spans="1:17" x14ac:dyDescent="0.35">
      <c r="A2152" s="82">
        <v>2149</v>
      </c>
      <c r="B2152" s="83" t="str">
        <f>_xlfn.XLOOKUP(A2152,'TAZs by City - CCAG Model'!$A:$A,'TAZs by City - CCAG Model'!$B:$B,"Unknown")</f>
        <v>Hayward</v>
      </c>
      <c r="C2152" s="82">
        <f>_xlfn.XLOOKUP(A2152,'TAZs by City - CCAG Model'!$A:$A,'TAZs by City - CCAG Model'!$C:$C,999)</f>
        <v>4</v>
      </c>
      <c r="D2152" s="82" t="str">
        <f t="shared" si="264"/>
        <v>NO</v>
      </c>
      <c r="E2152" s="27">
        <v>11468.74</v>
      </c>
      <c r="F2152" s="27">
        <v>10439.26</v>
      </c>
      <c r="G2152" s="27">
        <v>1261.3599999999999</v>
      </c>
      <c r="H2152" s="27">
        <v>441.72</v>
      </c>
      <c r="I2152" s="27">
        <v>1914.3</v>
      </c>
      <c r="J2152" s="27">
        <v>26825.32</v>
      </c>
      <c r="K2152" s="47">
        <f t="shared" si="265"/>
        <v>0.42753413565989146</v>
      </c>
      <c r="L2152" s="47">
        <f t="shared" si="266"/>
        <v>0.38915696066253824</v>
      </c>
      <c r="M2152" s="84">
        <f t="shared" si="267"/>
        <v>0.81669109632242975</v>
      </c>
      <c r="N2152" s="47">
        <f t="shared" si="268"/>
        <v>4.7021247090435453E-2</v>
      </c>
      <c r="O2152" s="47">
        <f t="shared" si="269"/>
        <v>1.6466532365690328E-2</v>
      </c>
      <c r="P2152" s="47">
        <f t="shared" si="270"/>
        <v>7.1361683663046696E-2</v>
      </c>
      <c r="Q2152" s="47">
        <f t="shared" si="271"/>
        <v>1</v>
      </c>
    </row>
    <row r="2153" spans="1:17" x14ac:dyDescent="0.35">
      <c r="A2153" s="82">
        <v>2150</v>
      </c>
      <c r="B2153" s="83" t="str">
        <f>_xlfn.XLOOKUP(A2153,'TAZs by City - CCAG Model'!$A:$A,'TAZs by City - CCAG Model'!$B:$B,"Unknown")</f>
        <v>Hayward</v>
      </c>
      <c r="C2153" s="82">
        <f>_xlfn.XLOOKUP(A2153,'TAZs by City - CCAG Model'!$A:$A,'TAZs by City - CCAG Model'!$C:$C,999)</f>
        <v>4</v>
      </c>
      <c r="D2153" s="82" t="str">
        <f t="shared" si="264"/>
        <v>NO</v>
      </c>
      <c r="E2153" s="27">
        <v>8131.68</v>
      </c>
      <c r="F2153" s="27">
        <v>6569.32</v>
      </c>
      <c r="G2153" s="27">
        <v>201.1</v>
      </c>
      <c r="H2153" s="27">
        <v>253.26</v>
      </c>
      <c r="I2153" s="27">
        <v>1041.24</v>
      </c>
      <c r="J2153" s="27">
        <v>16425.419999999998</v>
      </c>
      <c r="K2153" s="47">
        <f t="shared" si="265"/>
        <v>0.49506679281260396</v>
      </c>
      <c r="L2153" s="47">
        <f t="shared" si="266"/>
        <v>0.39994837270523376</v>
      </c>
      <c r="M2153" s="84">
        <f t="shared" si="267"/>
        <v>0.89501516551783766</v>
      </c>
      <c r="N2153" s="47">
        <f t="shared" si="268"/>
        <v>1.2243218133843763E-2</v>
      </c>
      <c r="O2153" s="47">
        <f t="shared" si="269"/>
        <v>1.5418783811920793E-2</v>
      </c>
      <c r="P2153" s="47">
        <f t="shared" si="270"/>
        <v>6.3391986323637392E-2</v>
      </c>
      <c r="Q2153" s="47">
        <f t="shared" si="271"/>
        <v>1</v>
      </c>
    </row>
    <row r="2154" spans="1:17" x14ac:dyDescent="0.35">
      <c r="A2154" s="82">
        <v>2151</v>
      </c>
      <c r="B2154" s="83" t="str">
        <f>_xlfn.XLOOKUP(A2154,'TAZs by City - CCAG Model'!$A:$A,'TAZs by City - CCAG Model'!$B:$B,"Unknown")</f>
        <v>Hayward</v>
      </c>
      <c r="C2154" s="82">
        <f>_xlfn.XLOOKUP(A2154,'TAZs by City - CCAG Model'!$A:$A,'TAZs by City - CCAG Model'!$C:$C,999)</f>
        <v>4</v>
      </c>
      <c r="D2154" s="82" t="str">
        <f t="shared" si="264"/>
        <v>NO</v>
      </c>
      <c r="E2154" s="27">
        <v>6961.82</v>
      </c>
      <c r="F2154" s="27">
        <v>5231.8</v>
      </c>
      <c r="G2154" s="27">
        <v>552.79999999999995</v>
      </c>
      <c r="H2154" s="27">
        <v>239.68</v>
      </c>
      <c r="I2154" s="27">
        <v>1402.44</v>
      </c>
      <c r="J2154" s="27">
        <v>14990.56</v>
      </c>
      <c r="K2154" s="47">
        <f t="shared" si="265"/>
        <v>0.46441360429496964</v>
      </c>
      <c r="L2154" s="47">
        <f t="shared" si="266"/>
        <v>0.34900630796981569</v>
      </c>
      <c r="M2154" s="84">
        <f t="shared" si="267"/>
        <v>0.81341991226478527</v>
      </c>
      <c r="N2154" s="47">
        <f t="shared" si="268"/>
        <v>3.6876540969783649E-2</v>
      </c>
      <c r="O2154" s="47">
        <f t="shared" si="269"/>
        <v>1.59887289067253E-2</v>
      </c>
      <c r="P2154" s="47">
        <f t="shared" si="270"/>
        <v>9.3554877202719586E-2</v>
      </c>
      <c r="Q2154" s="47">
        <f t="shared" si="271"/>
        <v>1</v>
      </c>
    </row>
    <row r="2155" spans="1:17" x14ac:dyDescent="0.35">
      <c r="A2155" s="82">
        <v>2152</v>
      </c>
      <c r="B2155" s="83" t="str">
        <f>_xlfn.XLOOKUP(A2155,'TAZs by City - CCAG Model'!$A:$A,'TAZs by City - CCAG Model'!$B:$B,"Unknown")</f>
        <v>Unincorporated</v>
      </c>
      <c r="C2155" s="82">
        <f>_xlfn.XLOOKUP(A2155,'TAZs by City - CCAG Model'!$A:$A,'TAZs by City - CCAG Model'!$C:$C,999)</f>
        <v>4</v>
      </c>
      <c r="D2155" s="82" t="str">
        <f t="shared" si="264"/>
        <v>NO</v>
      </c>
      <c r="E2155" s="27">
        <v>26474.12</v>
      </c>
      <c r="F2155" s="27">
        <v>18011.48</v>
      </c>
      <c r="G2155" s="27">
        <v>1340.48</v>
      </c>
      <c r="H2155" s="27">
        <v>546.78</v>
      </c>
      <c r="I2155" s="27">
        <v>2252.06</v>
      </c>
      <c r="J2155" s="27">
        <v>50006.92</v>
      </c>
      <c r="K2155" s="47">
        <f t="shared" si="265"/>
        <v>0.52940912977643895</v>
      </c>
      <c r="L2155" s="47">
        <f t="shared" si="266"/>
        <v>0.36017975112244466</v>
      </c>
      <c r="M2155" s="84">
        <f t="shared" si="267"/>
        <v>0.88958888089888355</v>
      </c>
      <c r="N2155" s="47">
        <f t="shared" si="268"/>
        <v>2.6805890064815031E-2</v>
      </c>
      <c r="O2155" s="47">
        <f t="shared" si="269"/>
        <v>1.093408672239762E-2</v>
      </c>
      <c r="P2155" s="47">
        <f t="shared" si="270"/>
        <v>4.5034967160544982E-2</v>
      </c>
      <c r="Q2155" s="47">
        <f t="shared" si="271"/>
        <v>1</v>
      </c>
    </row>
    <row r="2156" spans="1:17" x14ac:dyDescent="0.35">
      <c r="A2156" s="82">
        <v>2153</v>
      </c>
      <c r="B2156" s="83" t="str">
        <f>_xlfn.XLOOKUP(A2156,'TAZs by City - CCAG Model'!$A:$A,'TAZs by City - CCAG Model'!$B:$B,"Unknown")</f>
        <v>Hayward</v>
      </c>
      <c r="C2156" s="82">
        <f>_xlfn.XLOOKUP(A2156,'TAZs by City - CCAG Model'!$A:$A,'TAZs by City - CCAG Model'!$C:$C,999)</f>
        <v>4</v>
      </c>
      <c r="D2156" s="82" t="str">
        <f t="shared" si="264"/>
        <v>NO</v>
      </c>
      <c r="E2156" s="27">
        <v>25567.08</v>
      </c>
      <c r="F2156" s="27">
        <v>11289.82</v>
      </c>
      <c r="G2156" s="27">
        <v>1976.68</v>
      </c>
      <c r="H2156" s="27">
        <v>482.1</v>
      </c>
      <c r="I2156" s="27">
        <v>1468.42</v>
      </c>
      <c r="J2156" s="27">
        <v>42797.38</v>
      </c>
      <c r="K2156" s="47">
        <f t="shared" si="265"/>
        <v>0.59739825194906804</v>
      </c>
      <c r="L2156" s="47">
        <f t="shared" si="266"/>
        <v>0.26379698944187707</v>
      </c>
      <c r="M2156" s="84">
        <f t="shared" si="267"/>
        <v>0.86119524139094505</v>
      </c>
      <c r="N2156" s="47">
        <f t="shared" si="268"/>
        <v>4.6186939480874767E-2</v>
      </c>
      <c r="O2156" s="47">
        <f t="shared" si="269"/>
        <v>1.1264708260178545E-2</v>
      </c>
      <c r="P2156" s="47">
        <f t="shared" si="270"/>
        <v>3.4310978849639864E-2</v>
      </c>
      <c r="Q2156" s="47">
        <f t="shared" si="271"/>
        <v>1</v>
      </c>
    </row>
    <row r="2157" spans="1:17" x14ac:dyDescent="0.35">
      <c r="A2157" s="82">
        <v>2154</v>
      </c>
      <c r="B2157" s="83" t="str">
        <f>_xlfn.XLOOKUP(A2157,'TAZs by City - CCAG Model'!$A:$A,'TAZs by City - CCAG Model'!$B:$B,"Unknown")</f>
        <v>Unincorporated</v>
      </c>
      <c r="C2157" s="82">
        <f>_xlfn.XLOOKUP(A2157,'TAZs by City - CCAG Model'!$A:$A,'TAZs by City - CCAG Model'!$C:$C,999)</f>
        <v>4</v>
      </c>
      <c r="D2157" s="82" t="str">
        <f t="shared" si="264"/>
        <v>NO</v>
      </c>
      <c r="E2157" s="27">
        <v>5517.96</v>
      </c>
      <c r="F2157" s="27">
        <v>3618.06</v>
      </c>
      <c r="G2157" s="27">
        <v>295.52</v>
      </c>
      <c r="H2157" s="27">
        <v>79.8</v>
      </c>
      <c r="I2157" s="27">
        <v>273.12</v>
      </c>
      <c r="J2157" s="27">
        <v>10107.299999999999</v>
      </c>
      <c r="K2157" s="47">
        <f t="shared" si="265"/>
        <v>0.54593808435487223</v>
      </c>
      <c r="L2157" s="47">
        <f t="shared" si="266"/>
        <v>0.35796503517259803</v>
      </c>
      <c r="M2157" s="84">
        <f t="shared" si="267"/>
        <v>0.90390311952747038</v>
      </c>
      <c r="N2157" s="47">
        <f t="shared" si="268"/>
        <v>2.9238273327199152E-2</v>
      </c>
      <c r="O2157" s="47">
        <f t="shared" si="269"/>
        <v>7.8952836068979845E-3</v>
      </c>
      <c r="P2157" s="47">
        <f t="shared" si="270"/>
        <v>2.7022053367368144E-2</v>
      </c>
      <c r="Q2157" s="47">
        <f t="shared" si="271"/>
        <v>1</v>
      </c>
    </row>
    <row r="2158" spans="1:17" x14ac:dyDescent="0.35">
      <c r="A2158" s="82">
        <v>2155</v>
      </c>
      <c r="B2158" s="83" t="str">
        <f>_xlfn.XLOOKUP(A2158,'TAZs by City - CCAG Model'!$A:$A,'TAZs by City - CCAG Model'!$B:$B,"Unknown")</f>
        <v>Hayward</v>
      </c>
      <c r="C2158" s="82">
        <f>_xlfn.XLOOKUP(A2158,'TAZs by City - CCAG Model'!$A:$A,'TAZs by City - CCAG Model'!$C:$C,999)</f>
        <v>4</v>
      </c>
      <c r="D2158" s="82" t="str">
        <f t="shared" si="264"/>
        <v>NO</v>
      </c>
      <c r="E2158" s="27">
        <v>15847.86</v>
      </c>
      <c r="F2158" s="27">
        <v>10233.06</v>
      </c>
      <c r="G2158" s="27">
        <v>1082.1400000000001</v>
      </c>
      <c r="H2158" s="27">
        <v>393.88</v>
      </c>
      <c r="I2158" s="27">
        <v>2015.72</v>
      </c>
      <c r="J2158" s="27">
        <v>30694.34</v>
      </c>
      <c r="K2158" s="47">
        <f t="shared" si="265"/>
        <v>0.51631212790371128</v>
      </c>
      <c r="L2158" s="47">
        <f t="shared" si="266"/>
        <v>0.33338589459815715</v>
      </c>
      <c r="M2158" s="84">
        <f t="shared" si="267"/>
        <v>0.84969802250186832</v>
      </c>
      <c r="N2158" s="47">
        <f t="shared" si="268"/>
        <v>3.5255359782943696E-2</v>
      </c>
      <c r="O2158" s="47">
        <f t="shared" si="269"/>
        <v>1.2832333257532171E-2</v>
      </c>
      <c r="P2158" s="47">
        <f t="shared" si="270"/>
        <v>6.5670739295909275E-2</v>
      </c>
      <c r="Q2158" s="47">
        <f t="shared" si="271"/>
        <v>1</v>
      </c>
    </row>
    <row r="2159" spans="1:17" x14ac:dyDescent="0.35">
      <c r="A2159" s="82">
        <v>2156</v>
      </c>
      <c r="B2159" s="83" t="str">
        <f>_xlfn.XLOOKUP(A2159,'TAZs by City - CCAG Model'!$A:$A,'TAZs by City - CCAG Model'!$B:$B,"Unknown")</f>
        <v>Hayward</v>
      </c>
      <c r="C2159" s="82">
        <f>_xlfn.XLOOKUP(A2159,'TAZs by City - CCAG Model'!$A:$A,'TAZs by City - CCAG Model'!$C:$C,999)</f>
        <v>4</v>
      </c>
      <c r="D2159" s="82" t="str">
        <f t="shared" si="264"/>
        <v>NO</v>
      </c>
      <c r="E2159" s="27">
        <v>16779.400000000001</v>
      </c>
      <c r="F2159" s="27">
        <v>9398.18</v>
      </c>
      <c r="G2159" s="27">
        <v>824.34</v>
      </c>
      <c r="H2159" s="27">
        <v>366.2</v>
      </c>
      <c r="I2159" s="27">
        <v>1793.06</v>
      </c>
      <c r="J2159" s="27">
        <v>30024.58</v>
      </c>
      <c r="K2159" s="47">
        <f t="shared" si="265"/>
        <v>0.55885544443918955</v>
      </c>
      <c r="L2159" s="47">
        <f t="shared" si="266"/>
        <v>0.31301620205844677</v>
      </c>
      <c r="M2159" s="84">
        <f t="shared" si="267"/>
        <v>0.87187164649763627</v>
      </c>
      <c r="N2159" s="47">
        <f t="shared" si="268"/>
        <v>2.745550478974227E-2</v>
      </c>
      <c r="O2159" s="47">
        <f t="shared" si="269"/>
        <v>1.2196673525491445E-2</v>
      </c>
      <c r="P2159" s="47">
        <f t="shared" si="270"/>
        <v>5.9719736296061421E-2</v>
      </c>
      <c r="Q2159" s="47">
        <f t="shared" si="271"/>
        <v>1</v>
      </c>
    </row>
    <row r="2160" spans="1:17" x14ac:dyDescent="0.35">
      <c r="A2160" s="82">
        <v>2157</v>
      </c>
      <c r="B2160" s="83" t="str">
        <f>_xlfn.XLOOKUP(A2160,'TAZs by City - CCAG Model'!$A:$A,'TAZs by City - CCAG Model'!$B:$B,"Unknown")</f>
        <v>Hayward</v>
      </c>
      <c r="C2160" s="82">
        <f>_xlfn.XLOOKUP(A2160,'TAZs by City - CCAG Model'!$A:$A,'TAZs by City - CCAG Model'!$C:$C,999)</f>
        <v>4</v>
      </c>
      <c r="D2160" s="82" t="str">
        <f t="shared" si="264"/>
        <v>NO</v>
      </c>
      <c r="E2160" s="27">
        <v>9851.86</v>
      </c>
      <c r="F2160" s="27">
        <v>7968.86</v>
      </c>
      <c r="G2160" s="27">
        <v>862.58</v>
      </c>
      <c r="H2160" s="27">
        <v>290.88</v>
      </c>
      <c r="I2160" s="27">
        <v>1527.26</v>
      </c>
      <c r="J2160" s="27">
        <v>21401.48</v>
      </c>
      <c r="K2160" s="47">
        <f t="shared" si="265"/>
        <v>0.46033545343593063</v>
      </c>
      <c r="L2160" s="47">
        <f t="shared" si="266"/>
        <v>0.37235088414446105</v>
      </c>
      <c r="M2160" s="84">
        <f t="shared" si="267"/>
        <v>0.83268633758039168</v>
      </c>
      <c r="N2160" s="47">
        <f t="shared" si="268"/>
        <v>4.0304689208409891E-2</v>
      </c>
      <c r="O2160" s="47">
        <f t="shared" si="269"/>
        <v>1.3591583385821915E-2</v>
      </c>
      <c r="P2160" s="47">
        <f t="shared" si="270"/>
        <v>7.1362354379229845E-2</v>
      </c>
      <c r="Q2160" s="47">
        <f t="shared" si="271"/>
        <v>1</v>
      </c>
    </row>
    <row r="2161" spans="1:17" x14ac:dyDescent="0.35">
      <c r="A2161" s="82">
        <v>2158</v>
      </c>
      <c r="B2161" s="83" t="str">
        <f>_xlfn.XLOOKUP(A2161,'TAZs by City - CCAG Model'!$A:$A,'TAZs by City - CCAG Model'!$B:$B,"Unknown")</f>
        <v>Hayward</v>
      </c>
      <c r="C2161" s="82">
        <f>_xlfn.XLOOKUP(A2161,'TAZs by City - CCAG Model'!$A:$A,'TAZs by City - CCAG Model'!$C:$C,999)</f>
        <v>4</v>
      </c>
      <c r="D2161" s="82" t="str">
        <f t="shared" si="264"/>
        <v>NO</v>
      </c>
      <c r="E2161" s="27">
        <v>9961.9599999999991</v>
      </c>
      <c r="F2161" s="27">
        <v>6341.78</v>
      </c>
      <c r="G2161" s="27">
        <v>783.72</v>
      </c>
      <c r="H2161" s="27">
        <v>269.95999999999998</v>
      </c>
      <c r="I2161" s="27">
        <v>1389.14</v>
      </c>
      <c r="J2161" s="27">
        <v>19569.439999999999</v>
      </c>
      <c r="K2161" s="47">
        <f t="shared" si="265"/>
        <v>0.50905697863607746</v>
      </c>
      <c r="L2161" s="47">
        <f t="shared" si="266"/>
        <v>0.32406548168981841</v>
      </c>
      <c r="M2161" s="84">
        <f t="shared" si="267"/>
        <v>0.83312246032589587</v>
      </c>
      <c r="N2161" s="47">
        <f t="shared" si="268"/>
        <v>4.0048156717821262E-2</v>
      </c>
      <c r="O2161" s="47">
        <f t="shared" si="269"/>
        <v>1.3794978292684921E-2</v>
      </c>
      <c r="P2161" s="47">
        <f t="shared" si="270"/>
        <v>7.0985168712032642E-2</v>
      </c>
      <c r="Q2161" s="47">
        <f t="shared" si="271"/>
        <v>1</v>
      </c>
    </row>
    <row r="2162" spans="1:17" x14ac:dyDescent="0.35">
      <c r="A2162" s="82">
        <v>2159</v>
      </c>
      <c r="B2162" s="83" t="str">
        <f>_xlfn.XLOOKUP(A2162,'TAZs by City - CCAG Model'!$A:$A,'TAZs by City - CCAG Model'!$B:$B,"Unknown")</f>
        <v>Hayward</v>
      </c>
      <c r="C2162" s="82">
        <f>_xlfn.XLOOKUP(A2162,'TAZs by City - CCAG Model'!$A:$A,'TAZs by City - CCAG Model'!$C:$C,999)</f>
        <v>4</v>
      </c>
      <c r="D2162" s="82" t="str">
        <f t="shared" si="264"/>
        <v>NO</v>
      </c>
      <c r="E2162" s="27">
        <v>16495.98</v>
      </c>
      <c r="F2162" s="27">
        <v>8284</v>
      </c>
      <c r="G2162" s="27">
        <v>952.62</v>
      </c>
      <c r="H2162" s="27">
        <v>341.64</v>
      </c>
      <c r="I2162" s="27">
        <v>1790.58</v>
      </c>
      <c r="J2162" s="27">
        <v>28850.68</v>
      </c>
      <c r="K2162" s="47">
        <f t="shared" si="265"/>
        <v>0.57177092533000951</v>
      </c>
      <c r="L2162" s="47">
        <f t="shared" si="266"/>
        <v>0.28713361348848621</v>
      </c>
      <c r="M2162" s="84">
        <f t="shared" si="267"/>
        <v>0.85890453881849571</v>
      </c>
      <c r="N2162" s="47">
        <f t="shared" si="268"/>
        <v>3.3018979102052363E-2</v>
      </c>
      <c r="O2162" s="47">
        <f t="shared" si="269"/>
        <v>1.1841661964293388E-2</v>
      </c>
      <c r="P2162" s="47">
        <f t="shared" si="270"/>
        <v>6.2063701791430913E-2</v>
      </c>
      <c r="Q2162" s="47">
        <f t="shared" si="271"/>
        <v>1</v>
      </c>
    </row>
    <row r="2163" spans="1:17" x14ac:dyDescent="0.35">
      <c r="A2163" s="82">
        <v>2160</v>
      </c>
      <c r="B2163" s="83" t="str">
        <f>_xlfn.XLOOKUP(A2163,'TAZs by City - CCAG Model'!$A:$A,'TAZs by City - CCAG Model'!$B:$B,"Unknown")</f>
        <v>Hayward</v>
      </c>
      <c r="C2163" s="82">
        <f>_xlfn.XLOOKUP(A2163,'TAZs by City - CCAG Model'!$A:$A,'TAZs by City - CCAG Model'!$C:$C,999)</f>
        <v>4</v>
      </c>
      <c r="D2163" s="82" t="str">
        <f t="shared" si="264"/>
        <v>NO</v>
      </c>
      <c r="E2163" s="27">
        <v>16810.02</v>
      </c>
      <c r="F2163" s="27">
        <v>10868</v>
      </c>
      <c r="G2163" s="27">
        <v>1366.04</v>
      </c>
      <c r="H2163" s="27">
        <v>458.86</v>
      </c>
      <c r="I2163" s="27">
        <v>2164.52</v>
      </c>
      <c r="J2163" s="27">
        <v>33072.080000000002</v>
      </c>
      <c r="K2163" s="47">
        <f t="shared" si="265"/>
        <v>0.50828432925900036</v>
      </c>
      <c r="L2163" s="47">
        <f t="shared" si="266"/>
        <v>0.32861555729183045</v>
      </c>
      <c r="M2163" s="84">
        <f t="shared" si="267"/>
        <v>0.83689988655083081</v>
      </c>
      <c r="N2163" s="47">
        <f t="shared" si="268"/>
        <v>4.1304931531370263E-2</v>
      </c>
      <c r="O2163" s="47">
        <f t="shared" si="269"/>
        <v>1.3874543119150654E-2</v>
      </c>
      <c r="P2163" s="47">
        <f t="shared" si="270"/>
        <v>6.5448559630963632E-2</v>
      </c>
      <c r="Q2163" s="47">
        <f t="shared" si="271"/>
        <v>1</v>
      </c>
    </row>
    <row r="2164" spans="1:17" x14ac:dyDescent="0.35">
      <c r="A2164" s="82">
        <v>2161</v>
      </c>
      <c r="B2164" s="83" t="str">
        <f>_xlfn.XLOOKUP(A2164,'TAZs by City - CCAG Model'!$A:$A,'TAZs by City - CCAG Model'!$B:$B,"Unknown")</f>
        <v>Hayward</v>
      </c>
      <c r="C2164" s="82">
        <f>_xlfn.XLOOKUP(A2164,'TAZs by City - CCAG Model'!$A:$A,'TAZs by City - CCAG Model'!$C:$C,999)</f>
        <v>4</v>
      </c>
      <c r="D2164" s="82" t="str">
        <f t="shared" si="264"/>
        <v>NO</v>
      </c>
      <c r="E2164" s="27">
        <v>8137.18</v>
      </c>
      <c r="F2164" s="27">
        <v>5096.5200000000004</v>
      </c>
      <c r="G2164" s="27">
        <v>551.17999999999995</v>
      </c>
      <c r="H2164" s="27">
        <v>228.24</v>
      </c>
      <c r="I2164" s="27">
        <v>661.2</v>
      </c>
      <c r="J2164" s="27">
        <v>15264.64</v>
      </c>
      <c r="K2164" s="47">
        <f t="shared" si="265"/>
        <v>0.53307382290050731</v>
      </c>
      <c r="L2164" s="47">
        <f t="shared" si="266"/>
        <v>0.33387751037692343</v>
      </c>
      <c r="M2164" s="84">
        <f t="shared" si="267"/>
        <v>0.86695133327743079</v>
      </c>
      <c r="N2164" s="47">
        <f t="shared" si="268"/>
        <v>3.610828686428242E-2</v>
      </c>
      <c r="O2164" s="47">
        <f t="shared" si="269"/>
        <v>1.495220326191774E-2</v>
      </c>
      <c r="P2164" s="47">
        <f t="shared" si="270"/>
        <v>4.3315793887048766E-2</v>
      </c>
      <c r="Q2164" s="47">
        <f t="shared" si="271"/>
        <v>1</v>
      </c>
    </row>
    <row r="2165" spans="1:17" x14ac:dyDescent="0.35">
      <c r="A2165" s="82">
        <v>2162</v>
      </c>
      <c r="B2165" s="83" t="str">
        <f>_xlfn.XLOOKUP(A2165,'TAZs by City - CCAG Model'!$A:$A,'TAZs by City - CCAG Model'!$B:$B,"Unknown")</f>
        <v>Hayward</v>
      </c>
      <c r="C2165" s="82">
        <f>_xlfn.XLOOKUP(A2165,'TAZs by City - CCAG Model'!$A:$A,'TAZs by City - CCAG Model'!$C:$C,999)</f>
        <v>4</v>
      </c>
      <c r="D2165" s="82" t="str">
        <f t="shared" si="264"/>
        <v>NO</v>
      </c>
      <c r="E2165" s="27">
        <v>11250.16</v>
      </c>
      <c r="F2165" s="27">
        <v>9172.56</v>
      </c>
      <c r="G2165" s="27">
        <v>971.96</v>
      </c>
      <c r="H2165" s="27">
        <v>370.46</v>
      </c>
      <c r="I2165" s="27">
        <v>1559.68</v>
      </c>
      <c r="J2165" s="27">
        <v>24333.3</v>
      </c>
      <c r="K2165" s="47">
        <f t="shared" si="265"/>
        <v>0.46233597580270658</v>
      </c>
      <c r="L2165" s="47">
        <f t="shared" si="266"/>
        <v>0.37695503692470811</v>
      </c>
      <c r="M2165" s="84">
        <f t="shared" si="267"/>
        <v>0.8392910127274148</v>
      </c>
      <c r="N2165" s="47">
        <f t="shared" si="268"/>
        <v>3.9943616361118303E-2</v>
      </c>
      <c r="O2165" s="47">
        <f t="shared" si="269"/>
        <v>1.5224404416992353E-2</v>
      </c>
      <c r="P2165" s="47">
        <f t="shared" si="270"/>
        <v>6.4096526159624884E-2</v>
      </c>
      <c r="Q2165" s="47">
        <f t="shared" si="271"/>
        <v>1</v>
      </c>
    </row>
    <row r="2166" spans="1:17" x14ac:dyDescent="0.35">
      <c r="A2166" s="82">
        <v>2163</v>
      </c>
      <c r="B2166" s="83" t="str">
        <f>_xlfn.XLOOKUP(A2166,'TAZs by City - CCAG Model'!$A:$A,'TAZs by City - CCAG Model'!$B:$B,"Unknown")</f>
        <v>Unincorporated</v>
      </c>
      <c r="C2166" s="82">
        <f>_xlfn.XLOOKUP(A2166,'TAZs by City - CCAG Model'!$A:$A,'TAZs by City - CCAG Model'!$C:$C,999)</f>
        <v>4</v>
      </c>
      <c r="D2166" s="82" t="str">
        <f t="shared" si="264"/>
        <v>NO</v>
      </c>
      <c r="E2166" s="27">
        <v>8281.76</v>
      </c>
      <c r="F2166" s="27">
        <v>5513.42</v>
      </c>
      <c r="G2166" s="27">
        <v>661.26</v>
      </c>
      <c r="H2166" s="27">
        <v>244.74</v>
      </c>
      <c r="I2166" s="27">
        <v>931.72</v>
      </c>
      <c r="J2166" s="27">
        <v>16334.68</v>
      </c>
      <c r="K2166" s="47">
        <f t="shared" si="265"/>
        <v>0.50700472858972445</v>
      </c>
      <c r="L2166" s="47">
        <f t="shared" si="266"/>
        <v>0.33752849765039783</v>
      </c>
      <c r="M2166" s="84">
        <f t="shared" si="267"/>
        <v>0.84453322624012228</v>
      </c>
      <c r="N2166" s="47">
        <f t="shared" si="268"/>
        <v>4.0481968425460431E-2</v>
      </c>
      <c r="O2166" s="47">
        <f t="shared" si="269"/>
        <v>1.4982846312263234E-2</v>
      </c>
      <c r="P2166" s="47">
        <f t="shared" si="270"/>
        <v>5.7039378794074939E-2</v>
      </c>
      <c r="Q2166" s="47">
        <f t="shared" si="271"/>
        <v>1</v>
      </c>
    </row>
    <row r="2167" spans="1:17" x14ac:dyDescent="0.35">
      <c r="A2167" s="82">
        <v>2164</v>
      </c>
      <c r="B2167" s="83" t="str">
        <f>_xlfn.XLOOKUP(A2167,'TAZs by City - CCAG Model'!$A:$A,'TAZs by City - CCAG Model'!$B:$B,"Unknown")</f>
        <v>Unincorporated</v>
      </c>
      <c r="C2167" s="82">
        <f>_xlfn.XLOOKUP(A2167,'TAZs by City - CCAG Model'!$A:$A,'TAZs by City - CCAG Model'!$C:$C,999)</f>
        <v>4</v>
      </c>
      <c r="D2167" s="82" t="str">
        <f t="shared" si="264"/>
        <v>NO</v>
      </c>
      <c r="E2167" s="27">
        <v>11799.12</v>
      </c>
      <c r="F2167" s="27">
        <v>7931.14</v>
      </c>
      <c r="G2167" s="27">
        <v>893.64</v>
      </c>
      <c r="H2167" s="27">
        <v>308.3</v>
      </c>
      <c r="I2167" s="27">
        <v>1519.44</v>
      </c>
      <c r="J2167" s="27">
        <v>23382.3</v>
      </c>
      <c r="K2167" s="47">
        <f t="shared" si="265"/>
        <v>0.50461759536059336</v>
      </c>
      <c r="L2167" s="47">
        <f t="shared" si="266"/>
        <v>0.33919417679184682</v>
      </c>
      <c r="M2167" s="84">
        <f t="shared" si="267"/>
        <v>0.84381177215244019</v>
      </c>
      <c r="N2167" s="47">
        <f t="shared" si="268"/>
        <v>3.8218652570534126E-2</v>
      </c>
      <c r="O2167" s="47">
        <f t="shared" si="269"/>
        <v>1.3185187085958183E-2</v>
      </c>
      <c r="P2167" s="47">
        <f t="shared" si="270"/>
        <v>6.4982486752800203E-2</v>
      </c>
      <c r="Q2167" s="47">
        <f t="shared" si="271"/>
        <v>1</v>
      </c>
    </row>
    <row r="2168" spans="1:17" x14ac:dyDescent="0.35">
      <c r="A2168" s="82">
        <v>2165</v>
      </c>
      <c r="B2168" s="83" t="str">
        <f>_xlfn.XLOOKUP(A2168,'TAZs by City - CCAG Model'!$A:$A,'TAZs by City - CCAG Model'!$B:$B,"Unknown")</f>
        <v>Unincorporated</v>
      </c>
      <c r="C2168" s="82">
        <f>_xlfn.XLOOKUP(A2168,'TAZs by City - CCAG Model'!$A:$A,'TAZs by City - CCAG Model'!$C:$C,999)</f>
        <v>4</v>
      </c>
      <c r="D2168" s="82" t="str">
        <f t="shared" si="264"/>
        <v>NO</v>
      </c>
      <c r="E2168" s="27">
        <v>7839.06</v>
      </c>
      <c r="F2168" s="27">
        <v>5982.56</v>
      </c>
      <c r="G2168" s="27">
        <v>492.26</v>
      </c>
      <c r="H2168" s="27">
        <v>201.82</v>
      </c>
      <c r="I2168" s="27">
        <v>687.12</v>
      </c>
      <c r="J2168" s="27">
        <v>15720.58</v>
      </c>
      <c r="K2168" s="47">
        <f t="shared" si="265"/>
        <v>0.49864954092024599</v>
      </c>
      <c r="L2168" s="47">
        <f t="shared" si="266"/>
        <v>0.38055593368692509</v>
      </c>
      <c r="M2168" s="84">
        <f t="shared" si="267"/>
        <v>0.87920547460717102</v>
      </c>
      <c r="N2168" s="47">
        <f t="shared" si="268"/>
        <v>3.1313094046148425E-2</v>
      </c>
      <c r="O2168" s="47">
        <f t="shared" si="269"/>
        <v>1.2837948727082589E-2</v>
      </c>
      <c r="P2168" s="47">
        <f t="shared" si="270"/>
        <v>4.3708311016514657E-2</v>
      </c>
      <c r="Q2168" s="47">
        <f t="shared" si="271"/>
        <v>1</v>
      </c>
    </row>
    <row r="2169" spans="1:17" x14ac:dyDescent="0.35">
      <c r="A2169" s="82">
        <v>2166</v>
      </c>
      <c r="B2169" s="83" t="str">
        <f>_xlfn.XLOOKUP(A2169,'TAZs by City - CCAG Model'!$A:$A,'TAZs by City - CCAG Model'!$B:$B,"Unknown")</f>
        <v>Unincorporated</v>
      </c>
      <c r="C2169" s="82">
        <f>_xlfn.XLOOKUP(A2169,'TAZs by City - CCAG Model'!$A:$A,'TAZs by City - CCAG Model'!$C:$C,999)</f>
        <v>4</v>
      </c>
      <c r="D2169" s="82" t="str">
        <f t="shared" si="264"/>
        <v>NO</v>
      </c>
      <c r="E2169" s="27">
        <v>12257.5</v>
      </c>
      <c r="F2169" s="27">
        <v>7729.68</v>
      </c>
      <c r="G2169" s="27">
        <v>633.70000000000005</v>
      </c>
      <c r="H2169" s="27">
        <v>309.82</v>
      </c>
      <c r="I2169" s="27">
        <v>1207</v>
      </c>
      <c r="J2169" s="27">
        <v>22803.16</v>
      </c>
      <c r="K2169" s="47">
        <f t="shared" si="265"/>
        <v>0.53753514863729412</v>
      </c>
      <c r="L2169" s="47">
        <f t="shared" si="266"/>
        <v>0.33897407201458046</v>
      </c>
      <c r="M2169" s="84">
        <f t="shared" si="267"/>
        <v>0.87650922065187453</v>
      </c>
      <c r="N2169" s="47">
        <f t="shared" si="268"/>
        <v>2.7790008051515668E-2</v>
      </c>
      <c r="O2169" s="47">
        <f t="shared" si="269"/>
        <v>1.3586713420420678E-2</v>
      </c>
      <c r="P2169" s="47">
        <f t="shared" si="270"/>
        <v>5.2931260404259758E-2</v>
      </c>
      <c r="Q2169" s="47">
        <f t="shared" si="271"/>
        <v>1</v>
      </c>
    </row>
    <row r="2170" spans="1:17" x14ac:dyDescent="0.35">
      <c r="A2170" s="82">
        <v>2167</v>
      </c>
      <c r="B2170" s="83" t="str">
        <f>_xlfn.XLOOKUP(A2170,'TAZs by City - CCAG Model'!$A:$A,'TAZs by City - CCAG Model'!$B:$B,"Unknown")</f>
        <v>Unincorporated</v>
      </c>
      <c r="C2170" s="82">
        <f>_xlfn.XLOOKUP(A2170,'TAZs by City - CCAG Model'!$A:$A,'TAZs by City - CCAG Model'!$C:$C,999)</f>
        <v>4</v>
      </c>
      <c r="D2170" s="82" t="str">
        <f t="shared" si="264"/>
        <v>NO</v>
      </c>
      <c r="E2170" s="27">
        <v>11951.14</v>
      </c>
      <c r="F2170" s="27">
        <v>8081.2</v>
      </c>
      <c r="G2170" s="27">
        <v>957.28</v>
      </c>
      <c r="H2170" s="27">
        <v>313.56</v>
      </c>
      <c r="I2170" s="27">
        <v>3800.8</v>
      </c>
      <c r="J2170" s="27">
        <v>26102.16</v>
      </c>
      <c r="K2170" s="47">
        <f t="shared" si="265"/>
        <v>0.45786019241319492</v>
      </c>
      <c r="L2170" s="47">
        <f t="shared" si="266"/>
        <v>0.30959889909494082</v>
      </c>
      <c r="M2170" s="84">
        <f t="shared" si="267"/>
        <v>0.76745909150813574</v>
      </c>
      <c r="N2170" s="47">
        <f t="shared" si="268"/>
        <v>3.6674359516607052E-2</v>
      </c>
      <c r="O2170" s="47">
        <f t="shared" si="269"/>
        <v>1.2012798940777315E-2</v>
      </c>
      <c r="P2170" s="47">
        <f t="shared" si="270"/>
        <v>0.14561247038559261</v>
      </c>
      <c r="Q2170" s="47">
        <f t="shared" si="271"/>
        <v>1</v>
      </c>
    </row>
    <row r="2171" spans="1:17" x14ac:dyDescent="0.35">
      <c r="A2171" s="82">
        <v>2168</v>
      </c>
      <c r="B2171" s="83" t="str">
        <f>_xlfn.XLOOKUP(A2171,'TAZs by City - CCAG Model'!$A:$A,'TAZs by City - CCAG Model'!$B:$B,"Unknown")</f>
        <v>Unincorporated</v>
      </c>
      <c r="C2171" s="82">
        <f>_xlfn.XLOOKUP(A2171,'TAZs by City - CCAG Model'!$A:$A,'TAZs by City - CCAG Model'!$C:$C,999)</f>
        <v>4</v>
      </c>
      <c r="D2171" s="82" t="str">
        <f t="shared" si="264"/>
        <v>NO</v>
      </c>
      <c r="E2171" s="27">
        <v>8409.94</v>
      </c>
      <c r="F2171" s="27">
        <v>6088.5</v>
      </c>
      <c r="G2171" s="27">
        <v>591.5</v>
      </c>
      <c r="H2171" s="27">
        <v>240.12</v>
      </c>
      <c r="I2171" s="27">
        <v>927.7</v>
      </c>
      <c r="J2171" s="27">
        <v>16885.88</v>
      </c>
      <c r="K2171" s="47">
        <f t="shared" si="265"/>
        <v>0.49804570445839957</v>
      </c>
      <c r="L2171" s="47">
        <f t="shared" si="266"/>
        <v>0.36056752742528075</v>
      </c>
      <c r="M2171" s="84">
        <f t="shared" si="267"/>
        <v>0.85861323188368033</v>
      </c>
      <c r="N2171" s="47">
        <f t="shared" si="268"/>
        <v>3.5029267056262386E-2</v>
      </c>
      <c r="O2171" s="47">
        <f t="shared" si="269"/>
        <v>1.4220165013609003E-2</v>
      </c>
      <c r="P2171" s="47">
        <f t="shared" si="270"/>
        <v>5.4939393149779581E-2</v>
      </c>
      <c r="Q2171" s="47">
        <f t="shared" si="271"/>
        <v>1</v>
      </c>
    </row>
    <row r="2172" spans="1:17" x14ac:dyDescent="0.35">
      <c r="A2172" s="82">
        <v>2169</v>
      </c>
      <c r="B2172" s="83" t="str">
        <f>_xlfn.XLOOKUP(A2172,'TAZs by City - CCAG Model'!$A:$A,'TAZs by City - CCAG Model'!$B:$B,"Unknown")</f>
        <v>Unincorporated</v>
      </c>
      <c r="C2172" s="82">
        <f>_xlfn.XLOOKUP(A2172,'TAZs by City - CCAG Model'!$A:$A,'TAZs by City - CCAG Model'!$C:$C,999)</f>
        <v>4</v>
      </c>
      <c r="D2172" s="82" t="str">
        <f t="shared" si="264"/>
        <v>NO</v>
      </c>
      <c r="E2172" s="27">
        <v>17994.080000000002</v>
      </c>
      <c r="F2172" s="27">
        <v>12850.1</v>
      </c>
      <c r="G2172" s="27">
        <v>1629.88</v>
      </c>
      <c r="H2172" s="27">
        <v>526.54</v>
      </c>
      <c r="I2172" s="27">
        <v>2636.18</v>
      </c>
      <c r="J2172" s="27">
        <v>37303.74</v>
      </c>
      <c r="K2172" s="47">
        <f t="shared" si="265"/>
        <v>0.48236664741926688</v>
      </c>
      <c r="L2172" s="47">
        <f t="shared" si="266"/>
        <v>0.34447216284479787</v>
      </c>
      <c r="M2172" s="84">
        <f t="shared" si="267"/>
        <v>0.82683881026406469</v>
      </c>
      <c r="N2172" s="47">
        <f t="shared" si="268"/>
        <v>4.3692133818217696E-2</v>
      </c>
      <c r="O2172" s="47">
        <f t="shared" si="269"/>
        <v>1.411493860937268E-2</v>
      </c>
      <c r="P2172" s="47">
        <f t="shared" si="270"/>
        <v>7.0667981280161191E-2</v>
      </c>
      <c r="Q2172" s="47">
        <f t="shared" si="271"/>
        <v>1</v>
      </c>
    </row>
    <row r="2173" spans="1:17" x14ac:dyDescent="0.35">
      <c r="A2173" s="82">
        <v>2170</v>
      </c>
      <c r="B2173" s="83" t="str">
        <f>_xlfn.XLOOKUP(A2173,'TAZs by City - CCAG Model'!$A:$A,'TAZs by City - CCAG Model'!$B:$B,"Unknown")</f>
        <v>Unincorporated</v>
      </c>
      <c r="C2173" s="82">
        <f>_xlfn.XLOOKUP(A2173,'TAZs by City - CCAG Model'!$A:$A,'TAZs by City - CCAG Model'!$C:$C,999)</f>
        <v>4</v>
      </c>
      <c r="D2173" s="82" t="str">
        <f t="shared" si="264"/>
        <v>NO</v>
      </c>
      <c r="E2173" s="27">
        <v>10381.879999999999</v>
      </c>
      <c r="F2173" s="27">
        <v>5922.34</v>
      </c>
      <c r="G2173" s="27">
        <v>754.62</v>
      </c>
      <c r="H2173" s="27">
        <v>250.74</v>
      </c>
      <c r="I2173" s="27">
        <v>1556.32</v>
      </c>
      <c r="J2173" s="27">
        <v>19661.64</v>
      </c>
      <c r="K2173" s="47">
        <f t="shared" si="265"/>
        <v>0.5280271635529894</v>
      </c>
      <c r="L2173" s="47">
        <f t="shared" si="266"/>
        <v>0.3012129201836673</v>
      </c>
      <c r="M2173" s="84">
        <f t="shared" si="267"/>
        <v>0.8292400837366567</v>
      </c>
      <c r="N2173" s="47">
        <f t="shared" si="268"/>
        <v>3.8380318223708708E-2</v>
      </c>
      <c r="O2173" s="47">
        <f t="shared" si="269"/>
        <v>1.2752751042130769E-2</v>
      </c>
      <c r="P2173" s="47">
        <f t="shared" si="270"/>
        <v>7.9155146773107435E-2</v>
      </c>
      <c r="Q2173" s="47">
        <f t="shared" si="271"/>
        <v>1</v>
      </c>
    </row>
    <row r="2174" spans="1:17" x14ac:dyDescent="0.35">
      <c r="A2174" s="82">
        <v>2171</v>
      </c>
      <c r="B2174" s="83" t="str">
        <f>_xlfn.XLOOKUP(A2174,'TAZs by City - CCAG Model'!$A:$A,'TAZs by City - CCAG Model'!$B:$B,"Unknown")</f>
        <v>Hayward</v>
      </c>
      <c r="C2174" s="82">
        <f>_xlfn.XLOOKUP(A2174,'TAZs by City - CCAG Model'!$A:$A,'TAZs by City - CCAG Model'!$C:$C,999)</f>
        <v>4</v>
      </c>
      <c r="D2174" s="82" t="str">
        <f t="shared" si="264"/>
        <v>NO</v>
      </c>
      <c r="E2174" s="27">
        <v>36188.92</v>
      </c>
      <c r="F2174" s="27">
        <v>16098.08</v>
      </c>
      <c r="G2174" s="27">
        <v>3150.32</v>
      </c>
      <c r="H2174" s="27">
        <v>654.62</v>
      </c>
      <c r="I2174" s="27">
        <v>4421.46</v>
      </c>
      <c r="J2174" s="27">
        <v>63691.14</v>
      </c>
      <c r="K2174" s="47">
        <f t="shared" si="265"/>
        <v>0.56819394345901175</v>
      </c>
      <c r="L2174" s="47">
        <f t="shared" si="266"/>
        <v>0.25275226664179662</v>
      </c>
      <c r="M2174" s="84">
        <f t="shared" si="267"/>
        <v>0.82094621010080837</v>
      </c>
      <c r="N2174" s="47">
        <f t="shared" si="268"/>
        <v>4.9462452705352739E-2</v>
      </c>
      <c r="O2174" s="47">
        <f t="shared" si="269"/>
        <v>1.0278038672254885E-2</v>
      </c>
      <c r="P2174" s="47">
        <f t="shared" si="270"/>
        <v>6.9420330677076911E-2</v>
      </c>
      <c r="Q2174" s="47">
        <f t="shared" si="271"/>
        <v>1</v>
      </c>
    </row>
    <row r="2175" spans="1:17" x14ac:dyDescent="0.35">
      <c r="A2175" s="82">
        <v>2172</v>
      </c>
      <c r="B2175" s="83" t="str">
        <f>_xlfn.XLOOKUP(A2175,'TAZs by City - CCAG Model'!$A:$A,'TAZs by City - CCAG Model'!$B:$B,"Unknown")</f>
        <v>Unincorporated</v>
      </c>
      <c r="C2175" s="82">
        <f>_xlfn.XLOOKUP(A2175,'TAZs by City - CCAG Model'!$A:$A,'TAZs by City - CCAG Model'!$C:$C,999)</f>
        <v>4</v>
      </c>
      <c r="D2175" s="82" t="str">
        <f t="shared" si="264"/>
        <v>NO</v>
      </c>
      <c r="E2175" s="27">
        <v>15607.1</v>
      </c>
      <c r="F2175" s="27">
        <v>8325.1</v>
      </c>
      <c r="G2175" s="27">
        <v>869.36</v>
      </c>
      <c r="H2175" s="27">
        <v>319.5</v>
      </c>
      <c r="I2175" s="27">
        <v>1750.14</v>
      </c>
      <c r="J2175" s="27">
        <v>27779.52</v>
      </c>
      <c r="K2175" s="47">
        <f t="shared" si="265"/>
        <v>0.56182036262685608</v>
      </c>
      <c r="L2175" s="47">
        <f t="shared" si="266"/>
        <v>0.29968480376910761</v>
      </c>
      <c r="M2175" s="84">
        <f t="shared" si="267"/>
        <v>0.86150516639596364</v>
      </c>
      <c r="N2175" s="47">
        <f t="shared" si="268"/>
        <v>3.1294997177777006E-2</v>
      </c>
      <c r="O2175" s="47">
        <f t="shared" si="269"/>
        <v>1.1501278639803712E-2</v>
      </c>
      <c r="P2175" s="47">
        <f t="shared" si="270"/>
        <v>6.3001088571724789E-2</v>
      </c>
      <c r="Q2175" s="47">
        <f t="shared" si="271"/>
        <v>1</v>
      </c>
    </row>
    <row r="2176" spans="1:17" x14ac:dyDescent="0.35">
      <c r="A2176" s="82">
        <v>2173</v>
      </c>
      <c r="B2176" s="83" t="str">
        <f>_xlfn.XLOOKUP(A2176,'TAZs by City - CCAG Model'!$A:$A,'TAZs by City - CCAG Model'!$B:$B,"Unknown")</f>
        <v>Hayward</v>
      </c>
      <c r="C2176" s="82">
        <f>_xlfn.XLOOKUP(A2176,'TAZs by City - CCAG Model'!$A:$A,'TAZs by City - CCAG Model'!$C:$C,999)</f>
        <v>4</v>
      </c>
      <c r="D2176" s="82" t="str">
        <f t="shared" si="264"/>
        <v>NO</v>
      </c>
      <c r="E2176" s="27">
        <v>8983.9</v>
      </c>
      <c r="F2176" s="27">
        <v>5833.24</v>
      </c>
      <c r="G2176" s="27">
        <v>504.48</v>
      </c>
      <c r="H2176" s="27">
        <v>203.86</v>
      </c>
      <c r="I2176" s="27">
        <v>1072.44</v>
      </c>
      <c r="J2176" s="27">
        <v>17139.439999999999</v>
      </c>
      <c r="K2176" s="47">
        <f t="shared" si="265"/>
        <v>0.52416531695317936</v>
      </c>
      <c r="L2176" s="47">
        <f t="shared" si="266"/>
        <v>0.34034017447477866</v>
      </c>
      <c r="M2176" s="84">
        <f t="shared" si="267"/>
        <v>0.86450549142795796</v>
      </c>
      <c r="N2176" s="47">
        <f t="shared" si="268"/>
        <v>2.9433867150852073E-2</v>
      </c>
      <c r="O2176" s="47">
        <f t="shared" si="269"/>
        <v>1.1894204244712782E-2</v>
      </c>
      <c r="P2176" s="47">
        <f t="shared" si="270"/>
        <v>6.2571472580201001E-2</v>
      </c>
      <c r="Q2176" s="47">
        <f t="shared" si="271"/>
        <v>1</v>
      </c>
    </row>
    <row r="2177" spans="1:17" x14ac:dyDescent="0.35">
      <c r="A2177" s="82">
        <v>2174</v>
      </c>
      <c r="B2177" s="83" t="str">
        <f>_xlfn.XLOOKUP(A2177,'TAZs by City - CCAG Model'!$A:$A,'TAZs by City - CCAG Model'!$B:$B,"Unknown")</f>
        <v>Unincorporated</v>
      </c>
      <c r="C2177" s="82">
        <f>_xlfn.XLOOKUP(A2177,'TAZs by City - CCAG Model'!$A:$A,'TAZs by City - CCAG Model'!$C:$C,999)</f>
        <v>4</v>
      </c>
      <c r="D2177" s="82" t="str">
        <f t="shared" si="264"/>
        <v>NO</v>
      </c>
      <c r="E2177" s="27">
        <v>8395.92</v>
      </c>
      <c r="F2177" s="27">
        <v>4899.6000000000004</v>
      </c>
      <c r="G2177" s="27">
        <v>387.78</v>
      </c>
      <c r="H2177" s="27">
        <v>178.1</v>
      </c>
      <c r="I2177" s="27">
        <v>872.26</v>
      </c>
      <c r="J2177" s="27">
        <v>15156.62</v>
      </c>
      <c r="K2177" s="47">
        <f t="shared" si="265"/>
        <v>0.55394408515882831</v>
      </c>
      <c r="L2177" s="47">
        <f t="shared" si="266"/>
        <v>0.32326468566210675</v>
      </c>
      <c r="M2177" s="84">
        <f t="shared" si="267"/>
        <v>0.87720877082093496</v>
      </c>
      <c r="N2177" s="47">
        <f t="shared" si="268"/>
        <v>2.5584859948985985E-2</v>
      </c>
      <c r="O2177" s="47">
        <f t="shared" si="269"/>
        <v>1.1750640974043025E-2</v>
      </c>
      <c r="P2177" s="47">
        <f t="shared" si="270"/>
        <v>5.7549770331379944E-2</v>
      </c>
      <c r="Q2177" s="47">
        <f t="shared" si="271"/>
        <v>1</v>
      </c>
    </row>
    <row r="2178" spans="1:17" x14ac:dyDescent="0.35">
      <c r="A2178" s="82">
        <v>2175</v>
      </c>
      <c r="B2178" s="83" t="str">
        <f>_xlfn.XLOOKUP(A2178,'TAZs by City - CCAG Model'!$A:$A,'TAZs by City - CCAG Model'!$B:$B,"Unknown")</f>
        <v>Unincorporated</v>
      </c>
      <c r="C2178" s="82">
        <f>_xlfn.XLOOKUP(A2178,'TAZs by City - CCAG Model'!$A:$A,'TAZs by City - CCAG Model'!$C:$C,999)</f>
        <v>4</v>
      </c>
      <c r="D2178" s="82" t="str">
        <f t="shared" si="264"/>
        <v>NO</v>
      </c>
      <c r="E2178" s="27">
        <v>7924.12</v>
      </c>
      <c r="F2178" s="27">
        <v>5370.08</v>
      </c>
      <c r="G2178" s="27">
        <v>430.34</v>
      </c>
      <c r="H2178" s="27">
        <v>157.54</v>
      </c>
      <c r="I2178" s="27">
        <v>783.06</v>
      </c>
      <c r="J2178" s="27">
        <v>15129.28</v>
      </c>
      <c r="K2178" s="47">
        <f t="shared" si="265"/>
        <v>0.52376054908098735</v>
      </c>
      <c r="L2178" s="47">
        <f t="shared" si="266"/>
        <v>0.35494617060428518</v>
      </c>
      <c r="M2178" s="84">
        <f t="shared" si="267"/>
        <v>0.87870671968527259</v>
      </c>
      <c r="N2178" s="47">
        <f t="shared" si="268"/>
        <v>2.844418240656528E-2</v>
      </c>
      <c r="O2178" s="47">
        <f t="shared" si="269"/>
        <v>1.0412921170075508E-2</v>
      </c>
      <c r="P2178" s="47">
        <f t="shared" si="270"/>
        <v>5.1757915776560415E-2</v>
      </c>
      <c r="Q2178" s="47">
        <f t="shared" si="271"/>
        <v>1</v>
      </c>
    </row>
    <row r="2179" spans="1:17" x14ac:dyDescent="0.35">
      <c r="A2179" s="82">
        <v>2176</v>
      </c>
      <c r="B2179" s="83" t="str">
        <f>_xlfn.XLOOKUP(A2179,'TAZs by City - CCAG Model'!$A:$A,'TAZs by City - CCAG Model'!$B:$B,"Unknown")</f>
        <v>Unincorporated</v>
      </c>
      <c r="C2179" s="82">
        <f>_xlfn.XLOOKUP(A2179,'TAZs by City - CCAG Model'!$A:$A,'TAZs by City - CCAG Model'!$C:$C,999)</f>
        <v>4</v>
      </c>
      <c r="D2179" s="82" t="str">
        <f t="shared" si="264"/>
        <v>NO</v>
      </c>
      <c r="E2179" s="27">
        <v>20649.98</v>
      </c>
      <c r="F2179" s="27">
        <v>12892.34</v>
      </c>
      <c r="G2179" s="27">
        <v>564.12</v>
      </c>
      <c r="H2179" s="27">
        <v>159.02000000000001</v>
      </c>
      <c r="I2179" s="27">
        <v>1855.7</v>
      </c>
      <c r="J2179" s="27">
        <v>36702.58</v>
      </c>
      <c r="K2179" s="47">
        <f t="shared" si="265"/>
        <v>0.56263020201849567</v>
      </c>
      <c r="L2179" s="47">
        <f t="shared" si="266"/>
        <v>0.3512652244065676</v>
      </c>
      <c r="M2179" s="84">
        <f t="shared" si="267"/>
        <v>0.91389542642506327</v>
      </c>
      <c r="N2179" s="47">
        <f t="shared" si="268"/>
        <v>1.537003665682358E-2</v>
      </c>
      <c r="O2179" s="47">
        <f t="shared" si="269"/>
        <v>4.3326654420479437E-3</v>
      </c>
      <c r="P2179" s="47">
        <f t="shared" si="270"/>
        <v>5.056047830969921E-2</v>
      </c>
      <c r="Q2179" s="47">
        <f t="shared" si="271"/>
        <v>1</v>
      </c>
    </row>
    <row r="2180" spans="1:17" x14ac:dyDescent="0.35">
      <c r="A2180" s="82">
        <v>2177</v>
      </c>
      <c r="B2180" s="83" t="str">
        <f>_xlfn.XLOOKUP(A2180,'TAZs by City - CCAG Model'!$A:$A,'TAZs by City - CCAG Model'!$B:$B,"Unknown")</f>
        <v>Unincorporated</v>
      </c>
      <c r="C2180" s="82">
        <f>_xlfn.XLOOKUP(A2180,'TAZs by City - CCAG Model'!$A:$A,'TAZs by City - CCAG Model'!$C:$C,999)</f>
        <v>4</v>
      </c>
      <c r="D2180" s="82" t="str">
        <f t="shared" si="264"/>
        <v>NO</v>
      </c>
      <c r="E2180" s="27">
        <v>15264.44</v>
      </c>
      <c r="F2180" s="27">
        <v>9482.5400000000009</v>
      </c>
      <c r="G2180" s="27">
        <v>764.34</v>
      </c>
      <c r="H2180" s="27">
        <v>268.72000000000003</v>
      </c>
      <c r="I2180" s="27">
        <v>1607.92</v>
      </c>
      <c r="J2180" s="27">
        <v>28183.62</v>
      </c>
      <c r="K2180" s="47">
        <f t="shared" si="265"/>
        <v>0.54160679146255875</v>
      </c>
      <c r="L2180" s="47">
        <f t="shared" si="266"/>
        <v>0.33645571434755367</v>
      </c>
      <c r="M2180" s="84">
        <f t="shared" si="267"/>
        <v>0.87806250581011258</v>
      </c>
      <c r="N2180" s="47">
        <f t="shared" si="268"/>
        <v>2.7120008004649511E-2</v>
      </c>
      <c r="O2180" s="47">
        <f t="shared" si="269"/>
        <v>9.5346162061509497E-3</v>
      </c>
      <c r="P2180" s="47">
        <f t="shared" si="270"/>
        <v>5.7051578186194683E-2</v>
      </c>
      <c r="Q2180" s="47">
        <f t="shared" si="271"/>
        <v>1</v>
      </c>
    </row>
    <row r="2181" spans="1:17" x14ac:dyDescent="0.35">
      <c r="A2181" s="82">
        <v>2178</v>
      </c>
      <c r="B2181" s="83" t="str">
        <f>_xlfn.XLOOKUP(A2181,'TAZs by City - CCAG Model'!$A:$A,'TAZs by City - CCAG Model'!$B:$B,"Unknown")</f>
        <v>Unincorporated</v>
      </c>
      <c r="C2181" s="82">
        <f>_xlfn.XLOOKUP(A2181,'TAZs by City - CCAG Model'!$A:$A,'TAZs by City - CCAG Model'!$C:$C,999)</f>
        <v>4</v>
      </c>
      <c r="D2181" s="82" t="str">
        <f t="shared" ref="D2181:D2244" si="272">IF(C2181=2,"YES","NO")</f>
        <v>NO</v>
      </c>
      <c r="E2181" s="27">
        <v>12423.54</v>
      </c>
      <c r="F2181" s="27">
        <v>7636.74</v>
      </c>
      <c r="G2181" s="27">
        <v>855.92</v>
      </c>
      <c r="H2181" s="27">
        <v>257.82</v>
      </c>
      <c r="I2181" s="27">
        <v>1564.9</v>
      </c>
      <c r="J2181" s="27">
        <v>23630.26</v>
      </c>
      <c r="K2181" s="47">
        <f t="shared" ref="K2181:K2244" si="273">IFERROR(E2181/$J2181,0)</f>
        <v>0.52574707176307001</v>
      </c>
      <c r="L2181" s="47">
        <f t="shared" ref="L2181:L2244" si="274">IFERROR(F2181/$J2181,0)</f>
        <v>0.32317630021844873</v>
      </c>
      <c r="M2181" s="84">
        <f t="shared" ref="M2181:M2244" si="275">IFERROR((E2181+F2181)/J2181,0)</f>
        <v>0.84892337198151857</v>
      </c>
      <c r="N2181" s="47">
        <f t="shared" ref="N2181:N2244" si="276">IFERROR(G2181/$J2181,0)</f>
        <v>3.6221353467968613E-2</v>
      </c>
      <c r="O2181" s="47">
        <f t="shared" ref="O2181:O2244" si="277">IFERROR(H2181/$J2181,0)</f>
        <v>1.0910586679960357E-2</v>
      </c>
      <c r="P2181" s="47">
        <f t="shared" ref="P2181:P2244" si="278">IFERROR(I2181/$J2181,0)</f>
        <v>6.6224408872352661E-2</v>
      </c>
      <c r="Q2181" s="47">
        <f t="shared" ref="Q2181:Q2244" si="279">IFERROR(J2181/$J2181,0)</f>
        <v>1</v>
      </c>
    </row>
    <row r="2182" spans="1:17" x14ac:dyDescent="0.35">
      <c r="A2182" s="82">
        <v>2179</v>
      </c>
      <c r="B2182" s="83" t="str">
        <f>_xlfn.XLOOKUP(A2182,'TAZs by City - CCAG Model'!$A:$A,'TAZs by City - CCAG Model'!$B:$B,"Unknown")</f>
        <v>Unincorporated</v>
      </c>
      <c r="C2182" s="82">
        <f>_xlfn.XLOOKUP(A2182,'TAZs by City - CCAG Model'!$A:$A,'TAZs by City - CCAG Model'!$C:$C,999)</f>
        <v>4</v>
      </c>
      <c r="D2182" s="82" t="str">
        <f t="shared" si="272"/>
        <v>NO</v>
      </c>
      <c r="E2182" s="27">
        <v>12560.02</v>
      </c>
      <c r="F2182" s="27">
        <v>6799.08</v>
      </c>
      <c r="G2182" s="27">
        <v>940.18</v>
      </c>
      <c r="H2182" s="27">
        <v>238.28</v>
      </c>
      <c r="I2182" s="27">
        <v>1466.18</v>
      </c>
      <c r="J2182" s="27">
        <v>22983.1</v>
      </c>
      <c r="K2182" s="47">
        <f t="shared" si="273"/>
        <v>0.54648937697699618</v>
      </c>
      <c r="L2182" s="47">
        <f t="shared" si="274"/>
        <v>0.29582954431734626</v>
      </c>
      <c r="M2182" s="84">
        <f t="shared" si="275"/>
        <v>0.84231892129434238</v>
      </c>
      <c r="N2182" s="47">
        <f t="shared" si="276"/>
        <v>4.0907449386723291E-2</v>
      </c>
      <c r="O2182" s="47">
        <f t="shared" si="277"/>
        <v>1.0367617945359852E-2</v>
      </c>
      <c r="P2182" s="47">
        <f t="shared" si="278"/>
        <v>6.3793831119387731E-2</v>
      </c>
      <c r="Q2182" s="47">
        <f t="shared" si="279"/>
        <v>1</v>
      </c>
    </row>
    <row r="2183" spans="1:17" x14ac:dyDescent="0.35">
      <c r="A2183" s="82">
        <v>2180</v>
      </c>
      <c r="B2183" s="83" t="str">
        <f>_xlfn.XLOOKUP(A2183,'TAZs by City - CCAG Model'!$A:$A,'TAZs by City - CCAG Model'!$B:$B,"Unknown")</f>
        <v>Unincorporated</v>
      </c>
      <c r="C2183" s="82">
        <f>_xlfn.XLOOKUP(A2183,'TAZs by City - CCAG Model'!$A:$A,'TAZs by City - CCAG Model'!$C:$C,999)</f>
        <v>4</v>
      </c>
      <c r="D2183" s="82" t="str">
        <f t="shared" si="272"/>
        <v>NO</v>
      </c>
      <c r="E2183" s="27">
        <v>19412.52</v>
      </c>
      <c r="F2183" s="27">
        <v>10366.26</v>
      </c>
      <c r="G2183" s="27">
        <v>1069.2</v>
      </c>
      <c r="H2183" s="27">
        <v>389.02</v>
      </c>
      <c r="I2183" s="27">
        <v>3748.26</v>
      </c>
      <c r="J2183" s="27">
        <v>36090.800000000003</v>
      </c>
      <c r="K2183" s="47">
        <f t="shared" si="273"/>
        <v>0.53788001374311456</v>
      </c>
      <c r="L2183" s="47">
        <f t="shared" si="274"/>
        <v>0.28722721580014848</v>
      </c>
      <c r="M2183" s="84">
        <f t="shared" si="275"/>
        <v>0.82510722954326299</v>
      </c>
      <c r="N2183" s="47">
        <f t="shared" si="276"/>
        <v>2.9625278464317777E-2</v>
      </c>
      <c r="O2183" s="47">
        <f t="shared" si="277"/>
        <v>1.0778924268788721E-2</v>
      </c>
      <c r="P2183" s="47">
        <f t="shared" si="278"/>
        <v>0.10385638445254747</v>
      </c>
      <c r="Q2183" s="47">
        <f t="shared" si="279"/>
        <v>1</v>
      </c>
    </row>
    <row r="2184" spans="1:17" x14ac:dyDescent="0.35">
      <c r="A2184" s="82">
        <v>2181</v>
      </c>
      <c r="B2184" s="83" t="str">
        <f>_xlfn.XLOOKUP(A2184,'TAZs by City - CCAG Model'!$A:$A,'TAZs by City - CCAG Model'!$B:$B,"Unknown")</f>
        <v>Unincorporated</v>
      </c>
      <c r="C2184" s="82">
        <f>_xlfn.XLOOKUP(A2184,'TAZs by City - CCAG Model'!$A:$A,'TAZs by City - CCAG Model'!$C:$C,999)</f>
        <v>4</v>
      </c>
      <c r="D2184" s="82" t="str">
        <f t="shared" si="272"/>
        <v>NO</v>
      </c>
      <c r="E2184" s="27">
        <v>8454.74</v>
      </c>
      <c r="F2184" s="27">
        <v>5550.62</v>
      </c>
      <c r="G2184" s="27">
        <v>458.76</v>
      </c>
      <c r="H2184" s="27">
        <v>185.68</v>
      </c>
      <c r="I2184" s="27">
        <v>1126.3399999999999</v>
      </c>
      <c r="J2184" s="27">
        <v>16268.52</v>
      </c>
      <c r="K2184" s="47">
        <f t="shared" si="273"/>
        <v>0.51969939490500672</v>
      </c>
      <c r="L2184" s="47">
        <f t="shared" si="274"/>
        <v>0.34118776631187103</v>
      </c>
      <c r="M2184" s="84">
        <f t="shared" si="275"/>
        <v>0.86088716121687781</v>
      </c>
      <c r="N2184" s="47">
        <f t="shared" si="276"/>
        <v>2.8199246151463069E-2</v>
      </c>
      <c r="O2184" s="47">
        <f t="shared" si="277"/>
        <v>1.1413453713060561E-2</v>
      </c>
      <c r="P2184" s="47">
        <f t="shared" si="278"/>
        <v>6.9234324941666481E-2</v>
      </c>
      <c r="Q2184" s="47">
        <f t="shared" si="279"/>
        <v>1</v>
      </c>
    </row>
    <row r="2185" spans="1:17" x14ac:dyDescent="0.35">
      <c r="A2185" s="82">
        <v>2182</v>
      </c>
      <c r="B2185" s="83" t="str">
        <f>_xlfn.XLOOKUP(A2185,'TAZs by City - CCAG Model'!$A:$A,'TAZs by City - CCAG Model'!$B:$B,"Unknown")</f>
        <v>Unincorporated</v>
      </c>
      <c r="C2185" s="82">
        <f>_xlfn.XLOOKUP(A2185,'TAZs by City - CCAG Model'!$A:$A,'TAZs by City - CCAG Model'!$C:$C,999)</f>
        <v>4</v>
      </c>
      <c r="D2185" s="82" t="str">
        <f t="shared" si="272"/>
        <v>NO</v>
      </c>
      <c r="E2185" s="27">
        <v>7739.64</v>
      </c>
      <c r="F2185" s="27">
        <v>5335.24</v>
      </c>
      <c r="G2185" s="27">
        <v>412.1</v>
      </c>
      <c r="H2185" s="27">
        <v>164.84</v>
      </c>
      <c r="I2185" s="27">
        <v>1176.44</v>
      </c>
      <c r="J2185" s="27">
        <v>15272.84</v>
      </c>
      <c r="K2185" s="47">
        <f t="shared" si="273"/>
        <v>0.50675840249750537</v>
      </c>
      <c r="L2185" s="47">
        <f t="shared" si="274"/>
        <v>0.34932861209833926</v>
      </c>
      <c r="M2185" s="84">
        <f t="shared" si="275"/>
        <v>0.85608701459584469</v>
      </c>
      <c r="N2185" s="47">
        <f t="shared" si="276"/>
        <v>2.6982538938403074E-2</v>
      </c>
      <c r="O2185" s="47">
        <f t="shared" si="277"/>
        <v>1.079301557536123E-2</v>
      </c>
      <c r="P2185" s="47">
        <f t="shared" si="278"/>
        <v>7.7028240982030843E-2</v>
      </c>
      <c r="Q2185" s="47">
        <f t="shared" si="279"/>
        <v>1</v>
      </c>
    </row>
    <row r="2186" spans="1:17" x14ac:dyDescent="0.35">
      <c r="A2186" s="82">
        <v>2183</v>
      </c>
      <c r="B2186" s="83" t="str">
        <f>_xlfn.XLOOKUP(A2186,'TAZs by City - CCAG Model'!$A:$A,'TAZs by City - CCAG Model'!$B:$B,"Unknown")</f>
        <v>Unincorporated</v>
      </c>
      <c r="C2186" s="82">
        <f>_xlfn.XLOOKUP(A2186,'TAZs by City - CCAG Model'!$A:$A,'TAZs by City - CCAG Model'!$C:$C,999)</f>
        <v>4</v>
      </c>
      <c r="D2186" s="82" t="str">
        <f t="shared" si="272"/>
        <v>NO</v>
      </c>
      <c r="E2186" s="27">
        <v>4291.92</v>
      </c>
      <c r="F2186" s="27">
        <v>2961.62</v>
      </c>
      <c r="G2186" s="27">
        <v>232.08</v>
      </c>
      <c r="H2186" s="27">
        <v>94.32</v>
      </c>
      <c r="I2186" s="27">
        <v>525.64</v>
      </c>
      <c r="J2186" s="27">
        <v>8368.8799999999992</v>
      </c>
      <c r="K2186" s="47">
        <f t="shared" si="273"/>
        <v>0.51284281767691742</v>
      </c>
      <c r="L2186" s="47">
        <f t="shared" si="274"/>
        <v>0.353884868704056</v>
      </c>
      <c r="M2186" s="84">
        <f t="shared" si="275"/>
        <v>0.86672768638097342</v>
      </c>
      <c r="N2186" s="47">
        <f t="shared" si="276"/>
        <v>2.773130932693503E-2</v>
      </c>
      <c r="O2186" s="47">
        <f t="shared" si="277"/>
        <v>1.127032530039862E-2</v>
      </c>
      <c r="P2186" s="47">
        <f t="shared" si="278"/>
        <v>6.2808882431101901E-2</v>
      </c>
      <c r="Q2186" s="47">
        <f t="shared" si="279"/>
        <v>1</v>
      </c>
    </row>
    <row r="2187" spans="1:17" x14ac:dyDescent="0.35">
      <c r="A2187" s="82">
        <v>2184</v>
      </c>
      <c r="B2187" s="83" t="str">
        <f>_xlfn.XLOOKUP(A2187,'TAZs by City - CCAG Model'!$A:$A,'TAZs by City - CCAG Model'!$B:$B,"Unknown")</f>
        <v>Unincorporated</v>
      </c>
      <c r="C2187" s="82">
        <f>_xlfn.XLOOKUP(A2187,'TAZs by City - CCAG Model'!$A:$A,'TAZs by City - CCAG Model'!$C:$C,999)</f>
        <v>4</v>
      </c>
      <c r="D2187" s="82" t="str">
        <f t="shared" si="272"/>
        <v>NO</v>
      </c>
      <c r="E2187" s="27">
        <v>11211.78</v>
      </c>
      <c r="F2187" s="27">
        <v>7887.8</v>
      </c>
      <c r="G2187" s="27">
        <v>725.76</v>
      </c>
      <c r="H2187" s="27">
        <v>251.72</v>
      </c>
      <c r="I2187" s="27">
        <v>1522.1</v>
      </c>
      <c r="J2187" s="27">
        <v>22357.84</v>
      </c>
      <c r="K2187" s="47">
        <f t="shared" si="273"/>
        <v>0.5014697305285305</v>
      </c>
      <c r="L2187" s="47">
        <f t="shared" si="274"/>
        <v>0.35279794470306614</v>
      </c>
      <c r="M2187" s="84">
        <f t="shared" si="275"/>
        <v>0.85426767523159663</v>
      </c>
      <c r="N2187" s="47">
        <f t="shared" si="276"/>
        <v>3.2461096420763363E-2</v>
      </c>
      <c r="O2187" s="47">
        <f t="shared" si="277"/>
        <v>1.1258690463837293E-2</v>
      </c>
      <c r="P2187" s="47">
        <f t="shared" si="278"/>
        <v>6.8079027312119594E-2</v>
      </c>
      <c r="Q2187" s="47">
        <f t="shared" si="279"/>
        <v>1</v>
      </c>
    </row>
    <row r="2188" spans="1:17" x14ac:dyDescent="0.35">
      <c r="A2188" s="82">
        <v>2185</v>
      </c>
      <c r="B2188" s="83" t="str">
        <f>_xlfn.XLOOKUP(A2188,'TAZs by City - CCAG Model'!$A:$A,'TAZs by City - CCAG Model'!$B:$B,"Unknown")</f>
        <v>Unincorporated</v>
      </c>
      <c r="C2188" s="82">
        <f>_xlfn.XLOOKUP(A2188,'TAZs by City - CCAG Model'!$A:$A,'TAZs by City - CCAG Model'!$C:$C,999)</f>
        <v>4</v>
      </c>
      <c r="D2188" s="82" t="str">
        <f t="shared" si="272"/>
        <v>NO</v>
      </c>
      <c r="E2188" s="27">
        <v>20032.66</v>
      </c>
      <c r="F2188" s="27">
        <v>10590.84</v>
      </c>
      <c r="G2188" s="27">
        <v>978.32</v>
      </c>
      <c r="H2188" s="27">
        <v>364.44</v>
      </c>
      <c r="I2188" s="27">
        <v>1827.72</v>
      </c>
      <c r="J2188" s="27">
        <v>34806.720000000001</v>
      </c>
      <c r="K2188" s="47">
        <f t="shared" si="273"/>
        <v>0.57554001066460725</v>
      </c>
      <c r="L2188" s="47">
        <f t="shared" si="274"/>
        <v>0.30427572606669057</v>
      </c>
      <c r="M2188" s="84">
        <f t="shared" si="275"/>
        <v>0.87981573673129787</v>
      </c>
      <c r="N2188" s="47">
        <f t="shared" si="276"/>
        <v>2.810721607781486E-2</v>
      </c>
      <c r="O2188" s="47">
        <f t="shared" si="277"/>
        <v>1.0470391924318062E-2</v>
      </c>
      <c r="P2188" s="47">
        <f t="shared" si="278"/>
        <v>5.2510549686957002E-2</v>
      </c>
      <c r="Q2188" s="47">
        <f t="shared" si="279"/>
        <v>1</v>
      </c>
    </row>
    <row r="2189" spans="1:17" x14ac:dyDescent="0.35">
      <c r="A2189" s="82">
        <v>2186</v>
      </c>
      <c r="B2189" s="83" t="str">
        <f>_xlfn.XLOOKUP(A2189,'TAZs by City - CCAG Model'!$A:$A,'TAZs by City - CCAG Model'!$B:$B,"Unknown")</f>
        <v>Unincorporated</v>
      </c>
      <c r="C2189" s="82">
        <f>_xlfn.XLOOKUP(A2189,'TAZs by City - CCAG Model'!$A:$A,'TAZs by City - CCAG Model'!$C:$C,999)</f>
        <v>4</v>
      </c>
      <c r="D2189" s="82" t="str">
        <f t="shared" si="272"/>
        <v>NO</v>
      </c>
      <c r="E2189" s="27">
        <v>11955.38</v>
      </c>
      <c r="F2189" s="27">
        <v>8905.2199999999993</v>
      </c>
      <c r="G2189" s="27">
        <v>1857.08</v>
      </c>
      <c r="H2189" s="27">
        <v>387.8</v>
      </c>
      <c r="I2189" s="27">
        <v>2172.12</v>
      </c>
      <c r="J2189" s="27">
        <v>27170.959999999999</v>
      </c>
      <c r="K2189" s="47">
        <f t="shared" si="273"/>
        <v>0.44000580031033132</v>
      </c>
      <c r="L2189" s="47">
        <f t="shared" si="274"/>
        <v>0.32774771299946709</v>
      </c>
      <c r="M2189" s="84">
        <f t="shared" si="275"/>
        <v>0.76775351330979835</v>
      </c>
      <c r="N2189" s="47">
        <f t="shared" si="276"/>
        <v>6.8347971510760011E-2</v>
      </c>
      <c r="O2189" s="47">
        <f t="shared" si="277"/>
        <v>1.4272591031012524E-2</v>
      </c>
      <c r="P2189" s="47">
        <f t="shared" si="278"/>
        <v>7.994270353347839E-2</v>
      </c>
      <c r="Q2189" s="47">
        <f t="shared" si="279"/>
        <v>1</v>
      </c>
    </row>
    <row r="2190" spans="1:17" x14ac:dyDescent="0.35">
      <c r="A2190" s="82">
        <v>2187</v>
      </c>
      <c r="B2190" s="83" t="str">
        <f>_xlfn.XLOOKUP(A2190,'TAZs by City - CCAG Model'!$A:$A,'TAZs by City - CCAG Model'!$B:$B,"Unknown")</f>
        <v>Unincorporated</v>
      </c>
      <c r="C2190" s="82">
        <f>_xlfn.XLOOKUP(A2190,'TAZs by City - CCAG Model'!$A:$A,'TAZs by City - CCAG Model'!$C:$C,999)</f>
        <v>4</v>
      </c>
      <c r="D2190" s="82" t="str">
        <f t="shared" si="272"/>
        <v>NO</v>
      </c>
      <c r="E2190" s="27">
        <v>9456.92</v>
      </c>
      <c r="F2190" s="27">
        <v>6838.58</v>
      </c>
      <c r="G2190" s="27">
        <v>902.8</v>
      </c>
      <c r="H2190" s="27">
        <v>273.74</v>
      </c>
      <c r="I2190" s="27">
        <v>1454.96</v>
      </c>
      <c r="J2190" s="27">
        <v>19866.82</v>
      </c>
      <c r="K2190" s="47">
        <f t="shared" si="273"/>
        <v>0.47601578913988246</v>
      </c>
      <c r="L2190" s="47">
        <f t="shared" si="274"/>
        <v>0.34422116876279141</v>
      </c>
      <c r="M2190" s="84">
        <f t="shared" si="275"/>
        <v>0.82023695790267392</v>
      </c>
      <c r="N2190" s="47">
        <f t="shared" si="276"/>
        <v>4.5442602288640055E-2</v>
      </c>
      <c r="O2190" s="47">
        <f t="shared" si="277"/>
        <v>1.3778752714324688E-2</v>
      </c>
      <c r="P2190" s="47">
        <f t="shared" si="278"/>
        <v>7.323567636894078E-2</v>
      </c>
      <c r="Q2190" s="47">
        <f t="shared" si="279"/>
        <v>1</v>
      </c>
    </row>
    <row r="2191" spans="1:17" x14ac:dyDescent="0.35">
      <c r="A2191" s="82">
        <v>2188</v>
      </c>
      <c r="B2191" s="83" t="str">
        <f>_xlfn.XLOOKUP(A2191,'TAZs by City - CCAG Model'!$A:$A,'TAZs by City - CCAG Model'!$B:$B,"Unknown")</f>
        <v>Unincorporated</v>
      </c>
      <c r="C2191" s="82">
        <f>_xlfn.XLOOKUP(A2191,'TAZs by City - CCAG Model'!$A:$A,'TAZs by City - CCAG Model'!$C:$C,999)</f>
        <v>4</v>
      </c>
      <c r="D2191" s="82" t="str">
        <f t="shared" si="272"/>
        <v>NO</v>
      </c>
      <c r="E2191" s="27">
        <v>16636.88</v>
      </c>
      <c r="F2191" s="27">
        <v>10893.28</v>
      </c>
      <c r="G2191" s="27">
        <v>2225.34</v>
      </c>
      <c r="H2191" s="27">
        <v>423.78</v>
      </c>
      <c r="I2191" s="27">
        <v>2203.16</v>
      </c>
      <c r="J2191" s="27">
        <v>34646.699999999997</v>
      </c>
      <c r="K2191" s="47">
        <f t="shared" si="273"/>
        <v>0.48018656899502699</v>
      </c>
      <c r="L2191" s="47">
        <f t="shared" si="274"/>
        <v>0.31441031902028194</v>
      </c>
      <c r="M2191" s="84">
        <f t="shared" si="275"/>
        <v>0.79459688801530903</v>
      </c>
      <c r="N2191" s="47">
        <f t="shared" si="276"/>
        <v>6.422949371801645E-2</v>
      </c>
      <c r="O2191" s="47">
        <f t="shared" si="277"/>
        <v>1.2231467932010841E-2</v>
      </c>
      <c r="P2191" s="47">
        <f t="shared" si="278"/>
        <v>6.3589317308719154E-2</v>
      </c>
      <c r="Q2191" s="47">
        <f t="shared" si="279"/>
        <v>1</v>
      </c>
    </row>
    <row r="2192" spans="1:17" x14ac:dyDescent="0.35">
      <c r="A2192" s="82">
        <v>2189</v>
      </c>
      <c r="B2192" s="83" t="str">
        <f>_xlfn.XLOOKUP(A2192,'TAZs by City - CCAG Model'!$A:$A,'TAZs by City - CCAG Model'!$B:$B,"Unknown")</f>
        <v>Unincorporated</v>
      </c>
      <c r="C2192" s="82">
        <f>_xlfn.XLOOKUP(A2192,'TAZs by City - CCAG Model'!$A:$A,'TAZs by City - CCAG Model'!$C:$C,999)</f>
        <v>4</v>
      </c>
      <c r="D2192" s="82" t="str">
        <f t="shared" si="272"/>
        <v>NO</v>
      </c>
      <c r="E2192" s="27">
        <v>9070.6200000000008</v>
      </c>
      <c r="F2192" s="27">
        <v>5841.88</v>
      </c>
      <c r="G2192" s="27">
        <v>777.62</v>
      </c>
      <c r="H2192" s="27">
        <v>253.42</v>
      </c>
      <c r="I2192" s="27">
        <v>2179.6799999999998</v>
      </c>
      <c r="J2192" s="27">
        <v>18945.580000000002</v>
      </c>
      <c r="K2192" s="47">
        <f t="shared" si="273"/>
        <v>0.47877235745751778</v>
      </c>
      <c r="L2192" s="47">
        <f t="shared" si="274"/>
        <v>0.30835054931018208</v>
      </c>
      <c r="M2192" s="84">
        <f t="shared" si="275"/>
        <v>0.7871229067676998</v>
      </c>
      <c r="N2192" s="47">
        <f t="shared" si="276"/>
        <v>4.1044929740868312E-2</v>
      </c>
      <c r="O2192" s="47">
        <f t="shared" si="277"/>
        <v>1.3376207009761642E-2</v>
      </c>
      <c r="P2192" s="47">
        <f t="shared" si="278"/>
        <v>0.11504952606359899</v>
      </c>
      <c r="Q2192" s="47">
        <f t="shared" si="279"/>
        <v>1</v>
      </c>
    </row>
    <row r="2193" spans="1:17" x14ac:dyDescent="0.35">
      <c r="A2193" s="82">
        <v>2190</v>
      </c>
      <c r="B2193" s="83" t="str">
        <f>_xlfn.XLOOKUP(A2193,'TAZs by City - CCAG Model'!$A:$A,'TAZs by City - CCAG Model'!$B:$B,"Unknown")</f>
        <v>San Leandro</v>
      </c>
      <c r="C2193" s="82">
        <f>_xlfn.XLOOKUP(A2193,'TAZs by City - CCAG Model'!$A:$A,'TAZs by City - CCAG Model'!$C:$C,999)</f>
        <v>4</v>
      </c>
      <c r="D2193" s="82" t="str">
        <f t="shared" si="272"/>
        <v>NO</v>
      </c>
      <c r="E2193" s="27">
        <v>14511.44</v>
      </c>
      <c r="F2193" s="27">
        <v>9053</v>
      </c>
      <c r="G2193" s="27">
        <v>859.74</v>
      </c>
      <c r="H2193" s="27">
        <v>349.12</v>
      </c>
      <c r="I2193" s="27">
        <v>2001.48</v>
      </c>
      <c r="J2193" s="27">
        <v>27668.66</v>
      </c>
      <c r="K2193" s="47">
        <f t="shared" si="273"/>
        <v>0.52447209225166669</v>
      </c>
      <c r="L2193" s="47">
        <f t="shared" si="274"/>
        <v>0.32719329378437556</v>
      </c>
      <c r="M2193" s="84">
        <f t="shared" si="275"/>
        <v>0.85166538603604236</v>
      </c>
      <c r="N2193" s="47">
        <f t="shared" si="276"/>
        <v>3.1072701027082629E-2</v>
      </c>
      <c r="O2193" s="47">
        <f t="shared" si="277"/>
        <v>1.2617886084833888E-2</v>
      </c>
      <c r="P2193" s="47">
        <f t="shared" si="278"/>
        <v>7.2337438820672922E-2</v>
      </c>
      <c r="Q2193" s="47">
        <f t="shared" si="279"/>
        <v>1</v>
      </c>
    </row>
    <row r="2194" spans="1:17" x14ac:dyDescent="0.35">
      <c r="A2194" s="82">
        <v>2191</v>
      </c>
      <c r="B2194" s="83" t="str">
        <f>_xlfn.XLOOKUP(A2194,'TAZs by City - CCAG Model'!$A:$A,'TAZs by City - CCAG Model'!$B:$B,"Unknown")</f>
        <v>San Leandro</v>
      </c>
      <c r="C2194" s="82">
        <f>_xlfn.XLOOKUP(A2194,'TAZs by City - CCAG Model'!$A:$A,'TAZs by City - CCAG Model'!$C:$C,999)</f>
        <v>4</v>
      </c>
      <c r="D2194" s="82" t="str">
        <f t="shared" si="272"/>
        <v>NO</v>
      </c>
      <c r="E2194" s="27">
        <v>7750.02</v>
      </c>
      <c r="F2194" s="27">
        <v>5745.44</v>
      </c>
      <c r="G2194" s="27">
        <v>673.34</v>
      </c>
      <c r="H2194" s="27">
        <v>188.84</v>
      </c>
      <c r="I2194" s="27">
        <v>823.26</v>
      </c>
      <c r="J2194" s="27">
        <v>15883.92</v>
      </c>
      <c r="K2194" s="47">
        <f t="shared" si="273"/>
        <v>0.48791608116888024</v>
      </c>
      <c r="L2194" s="47">
        <f t="shared" si="274"/>
        <v>0.36171423678789616</v>
      </c>
      <c r="M2194" s="84">
        <f t="shared" si="275"/>
        <v>0.84963031795677635</v>
      </c>
      <c r="N2194" s="47">
        <f t="shared" si="276"/>
        <v>4.2391298873325982E-2</v>
      </c>
      <c r="O2194" s="47">
        <f t="shared" si="277"/>
        <v>1.1888752902306232E-2</v>
      </c>
      <c r="P2194" s="47">
        <f t="shared" si="278"/>
        <v>5.18297750177538E-2</v>
      </c>
      <c r="Q2194" s="47">
        <f t="shared" si="279"/>
        <v>1</v>
      </c>
    </row>
    <row r="2195" spans="1:17" x14ac:dyDescent="0.35">
      <c r="A2195" s="82">
        <v>2192</v>
      </c>
      <c r="B2195" s="83" t="str">
        <f>_xlfn.XLOOKUP(A2195,'TAZs by City - CCAG Model'!$A:$A,'TAZs by City - CCAG Model'!$B:$B,"Unknown")</f>
        <v>San Leandro</v>
      </c>
      <c r="C2195" s="82">
        <f>_xlfn.XLOOKUP(A2195,'TAZs by City - CCAG Model'!$A:$A,'TAZs by City - CCAG Model'!$C:$C,999)</f>
        <v>4</v>
      </c>
      <c r="D2195" s="82" t="str">
        <f t="shared" si="272"/>
        <v>NO</v>
      </c>
      <c r="E2195" s="27">
        <v>18911.12</v>
      </c>
      <c r="F2195" s="27">
        <v>9773.32</v>
      </c>
      <c r="G2195" s="27">
        <v>1243.6199999999999</v>
      </c>
      <c r="H2195" s="27">
        <v>360.48</v>
      </c>
      <c r="I2195" s="27">
        <v>1593.52</v>
      </c>
      <c r="J2195" s="27">
        <v>33154.32</v>
      </c>
      <c r="K2195" s="47">
        <f t="shared" si="273"/>
        <v>0.57039685929314787</v>
      </c>
      <c r="L2195" s="47">
        <f t="shared" si="274"/>
        <v>0.29478270101754461</v>
      </c>
      <c r="M2195" s="84">
        <f t="shared" si="275"/>
        <v>0.86517956031069254</v>
      </c>
      <c r="N2195" s="47">
        <f t="shared" si="276"/>
        <v>3.7510043939975243E-2</v>
      </c>
      <c r="O2195" s="47">
        <f t="shared" si="277"/>
        <v>1.0872791238064904E-2</v>
      </c>
      <c r="P2195" s="47">
        <f t="shared" si="278"/>
        <v>4.8063721409457347E-2</v>
      </c>
      <c r="Q2195" s="47">
        <f t="shared" si="279"/>
        <v>1</v>
      </c>
    </row>
    <row r="2196" spans="1:17" x14ac:dyDescent="0.35">
      <c r="A2196" s="82">
        <v>2193</v>
      </c>
      <c r="B2196" s="83" t="str">
        <f>_xlfn.XLOOKUP(A2196,'TAZs by City - CCAG Model'!$A:$A,'TAZs by City - CCAG Model'!$B:$B,"Unknown")</f>
        <v>San Leandro</v>
      </c>
      <c r="C2196" s="82">
        <f>_xlfn.XLOOKUP(A2196,'TAZs by City - CCAG Model'!$A:$A,'TAZs by City - CCAG Model'!$C:$C,999)</f>
        <v>4</v>
      </c>
      <c r="D2196" s="82" t="str">
        <f t="shared" si="272"/>
        <v>NO</v>
      </c>
      <c r="E2196" s="27">
        <v>17446.86</v>
      </c>
      <c r="F2196" s="27">
        <v>10031.219999999999</v>
      </c>
      <c r="G2196" s="27">
        <v>1162.52</v>
      </c>
      <c r="H2196" s="27">
        <v>375.54</v>
      </c>
      <c r="I2196" s="27">
        <v>2313.2199999999998</v>
      </c>
      <c r="J2196" s="27">
        <v>32522.46</v>
      </c>
      <c r="K2196" s="47">
        <f t="shared" si="273"/>
        <v>0.53645572936364594</v>
      </c>
      <c r="L2196" s="47">
        <f t="shared" si="274"/>
        <v>0.30843976747146434</v>
      </c>
      <c r="M2196" s="84">
        <f t="shared" si="275"/>
        <v>0.84489549683511034</v>
      </c>
      <c r="N2196" s="47">
        <f t="shared" si="276"/>
        <v>3.5745143510054284E-2</v>
      </c>
      <c r="O2196" s="47">
        <f t="shared" si="277"/>
        <v>1.1547096990818038E-2</v>
      </c>
      <c r="P2196" s="47">
        <f t="shared" si="278"/>
        <v>7.1126845878202324E-2</v>
      </c>
      <c r="Q2196" s="47">
        <f t="shared" si="279"/>
        <v>1</v>
      </c>
    </row>
    <row r="2197" spans="1:17" x14ac:dyDescent="0.35">
      <c r="A2197" s="82">
        <v>2194</v>
      </c>
      <c r="B2197" s="83" t="str">
        <f>_xlfn.XLOOKUP(A2197,'TAZs by City - CCAG Model'!$A:$A,'TAZs by City - CCAG Model'!$B:$B,"Unknown")</f>
        <v>San Leandro</v>
      </c>
      <c r="C2197" s="82">
        <f>_xlfn.XLOOKUP(A2197,'TAZs by City - CCAG Model'!$A:$A,'TAZs by City - CCAG Model'!$C:$C,999)</f>
        <v>4</v>
      </c>
      <c r="D2197" s="82" t="str">
        <f t="shared" si="272"/>
        <v>NO</v>
      </c>
      <c r="E2197" s="27">
        <v>25585.96</v>
      </c>
      <c r="F2197" s="27">
        <v>13361.1</v>
      </c>
      <c r="G2197" s="27">
        <v>1970.18</v>
      </c>
      <c r="H2197" s="27">
        <v>513.52</v>
      </c>
      <c r="I2197" s="27">
        <v>3435.24</v>
      </c>
      <c r="J2197" s="27">
        <v>46868.08</v>
      </c>
      <c r="K2197" s="47">
        <f t="shared" si="273"/>
        <v>0.54591440485720766</v>
      </c>
      <c r="L2197" s="47">
        <f t="shared" si="274"/>
        <v>0.28507888524556585</v>
      </c>
      <c r="M2197" s="84">
        <f t="shared" si="275"/>
        <v>0.83099329010277345</v>
      </c>
      <c r="N2197" s="47">
        <f t="shared" si="276"/>
        <v>4.2036712406396851E-2</v>
      </c>
      <c r="O2197" s="47">
        <f t="shared" si="277"/>
        <v>1.0956710836031686E-2</v>
      </c>
      <c r="P2197" s="47">
        <f t="shared" si="278"/>
        <v>7.3295940435366663E-2</v>
      </c>
      <c r="Q2197" s="47">
        <f t="shared" si="279"/>
        <v>1</v>
      </c>
    </row>
    <row r="2198" spans="1:17" x14ac:dyDescent="0.35">
      <c r="A2198" s="82">
        <v>2195</v>
      </c>
      <c r="B2198" s="83" t="str">
        <f>_xlfn.XLOOKUP(A2198,'TAZs by City - CCAG Model'!$A:$A,'TAZs by City - CCAG Model'!$B:$B,"Unknown")</f>
        <v>San Leandro</v>
      </c>
      <c r="C2198" s="82">
        <f>_xlfn.XLOOKUP(A2198,'TAZs by City - CCAG Model'!$A:$A,'TAZs by City - CCAG Model'!$C:$C,999)</f>
        <v>4</v>
      </c>
      <c r="D2198" s="82" t="str">
        <f t="shared" si="272"/>
        <v>NO</v>
      </c>
      <c r="E2198" s="27">
        <v>14865.04</v>
      </c>
      <c r="F2198" s="27">
        <v>8304.2000000000007</v>
      </c>
      <c r="G2198" s="27">
        <v>1455.4</v>
      </c>
      <c r="H2198" s="27">
        <v>317.12</v>
      </c>
      <c r="I2198" s="27">
        <v>1885.74</v>
      </c>
      <c r="J2198" s="27">
        <v>28322.16</v>
      </c>
      <c r="K2198" s="47">
        <f t="shared" si="273"/>
        <v>0.52485544887819291</v>
      </c>
      <c r="L2198" s="47">
        <f t="shared" si="274"/>
        <v>0.29320503803382231</v>
      </c>
      <c r="M2198" s="84">
        <f t="shared" si="275"/>
        <v>0.81806048691201527</v>
      </c>
      <c r="N2198" s="47">
        <f t="shared" si="276"/>
        <v>5.1387323565716743E-2</v>
      </c>
      <c r="O2198" s="47">
        <f t="shared" si="277"/>
        <v>1.1196886113206055E-2</v>
      </c>
      <c r="P2198" s="47">
        <f t="shared" si="278"/>
        <v>6.6581786134955814E-2</v>
      </c>
      <c r="Q2198" s="47">
        <f t="shared" si="279"/>
        <v>1</v>
      </c>
    </row>
    <row r="2199" spans="1:17" x14ac:dyDescent="0.35">
      <c r="A2199" s="82">
        <v>2196</v>
      </c>
      <c r="B2199" s="83" t="str">
        <f>_xlfn.XLOOKUP(A2199,'TAZs by City - CCAG Model'!$A:$A,'TAZs by City - CCAG Model'!$B:$B,"Unknown")</f>
        <v>San Leandro</v>
      </c>
      <c r="C2199" s="82">
        <f>_xlfn.XLOOKUP(A2199,'TAZs by City - CCAG Model'!$A:$A,'TAZs by City - CCAG Model'!$C:$C,999)</f>
        <v>4</v>
      </c>
      <c r="D2199" s="82" t="str">
        <f t="shared" si="272"/>
        <v>NO</v>
      </c>
      <c r="E2199" s="27">
        <v>21566.58</v>
      </c>
      <c r="F2199" s="27">
        <v>12095.64</v>
      </c>
      <c r="G2199" s="27">
        <v>2097.2199999999998</v>
      </c>
      <c r="H2199" s="27">
        <v>531.55999999999995</v>
      </c>
      <c r="I2199" s="27">
        <v>2492.36</v>
      </c>
      <c r="J2199" s="27">
        <v>40913.1</v>
      </c>
      <c r="K2199" s="47">
        <f t="shared" si="273"/>
        <v>0.52713140778870349</v>
      </c>
      <c r="L2199" s="47">
        <f t="shared" si="274"/>
        <v>0.29564222706174792</v>
      </c>
      <c r="M2199" s="84">
        <f t="shared" si="275"/>
        <v>0.82277363485045141</v>
      </c>
      <c r="N2199" s="47">
        <f t="shared" si="276"/>
        <v>5.1260354263059991E-2</v>
      </c>
      <c r="O2199" s="47">
        <f t="shared" si="277"/>
        <v>1.2992415632156936E-2</v>
      </c>
      <c r="P2199" s="47">
        <f t="shared" si="278"/>
        <v>6.0918385553771291E-2</v>
      </c>
      <c r="Q2199" s="47">
        <f t="shared" si="279"/>
        <v>1</v>
      </c>
    </row>
    <row r="2200" spans="1:17" x14ac:dyDescent="0.35">
      <c r="A2200" s="82">
        <v>2197</v>
      </c>
      <c r="B2200" s="83" t="str">
        <f>_xlfn.XLOOKUP(A2200,'TAZs by City - CCAG Model'!$A:$A,'TAZs by City - CCAG Model'!$B:$B,"Unknown")</f>
        <v>San Leandro</v>
      </c>
      <c r="C2200" s="82">
        <f>_xlfn.XLOOKUP(A2200,'TAZs by City - CCAG Model'!$A:$A,'TAZs by City - CCAG Model'!$C:$C,999)</f>
        <v>4</v>
      </c>
      <c r="D2200" s="82" t="str">
        <f t="shared" si="272"/>
        <v>NO</v>
      </c>
      <c r="E2200" s="27">
        <v>8446.2199999999993</v>
      </c>
      <c r="F2200" s="27">
        <v>5926.22</v>
      </c>
      <c r="G2200" s="27">
        <v>818.54</v>
      </c>
      <c r="H2200" s="27">
        <v>247.02</v>
      </c>
      <c r="I2200" s="27">
        <v>920.6</v>
      </c>
      <c r="J2200" s="27">
        <v>17213.240000000002</v>
      </c>
      <c r="K2200" s="47">
        <f t="shared" si="273"/>
        <v>0.49068159161203811</v>
      </c>
      <c r="L2200" s="47">
        <f t="shared" si="274"/>
        <v>0.34428265683857306</v>
      </c>
      <c r="M2200" s="84">
        <f t="shared" si="275"/>
        <v>0.83496424845061112</v>
      </c>
      <c r="N2200" s="47">
        <f t="shared" si="276"/>
        <v>4.7552930186298449E-2</v>
      </c>
      <c r="O2200" s="47">
        <f t="shared" si="277"/>
        <v>1.4350581296722755E-2</v>
      </c>
      <c r="P2200" s="47">
        <f t="shared" si="278"/>
        <v>5.3482087044623788E-2</v>
      </c>
      <c r="Q2200" s="47">
        <f t="shared" si="279"/>
        <v>1</v>
      </c>
    </row>
    <row r="2201" spans="1:17" x14ac:dyDescent="0.35">
      <c r="A2201" s="82">
        <v>2198</v>
      </c>
      <c r="B2201" s="83" t="str">
        <f>_xlfn.XLOOKUP(A2201,'TAZs by City - CCAG Model'!$A:$A,'TAZs by City - CCAG Model'!$B:$B,"Unknown")</f>
        <v>Unincorporated</v>
      </c>
      <c r="C2201" s="82">
        <f>_xlfn.XLOOKUP(A2201,'TAZs by City - CCAG Model'!$A:$A,'TAZs by City - CCAG Model'!$C:$C,999)</f>
        <v>4</v>
      </c>
      <c r="D2201" s="82" t="str">
        <f t="shared" si="272"/>
        <v>NO</v>
      </c>
      <c r="E2201" s="27">
        <v>9592.2800000000007</v>
      </c>
      <c r="F2201" s="27">
        <v>5964.82</v>
      </c>
      <c r="G2201" s="27">
        <v>556.66</v>
      </c>
      <c r="H2201" s="27">
        <v>210.12</v>
      </c>
      <c r="I2201" s="27">
        <v>544.72</v>
      </c>
      <c r="J2201" s="27">
        <v>17458.38</v>
      </c>
      <c r="K2201" s="47">
        <f t="shared" si="273"/>
        <v>0.54943700389154093</v>
      </c>
      <c r="L2201" s="47">
        <f t="shared" si="274"/>
        <v>0.34165942086264589</v>
      </c>
      <c r="M2201" s="84">
        <f t="shared" si="275"/>
        <v>0.89109642475418682</v>
      </c>
      <c r="N2201" s="47">
        <f t="shared" si="276"/>
        <v>3.1884974436345179E-2</v>
      </c>
      <c r="O2201" s="47">
        <f t="shared" si="277"/>
        <v>1.2035480955277638E-2</v>
      </c>
      <c r="P2201" s="47">
        <f t="shared" si="278"/>
        <v>3.1201062183318268E-2</v>
      </c>
      <c r="Q2201" s="47">
        <f t="shared" si="279"/>
        <v>1</v>
      </c>
    </row>
    <row r="2202" spans="1:17" x14ac:dyDescent="0.35">
      <c r="A2202" s="82">
        <v>2199</v>
      </c>
      <c r="B2202" s="83" t="str">
        <f>_xlfn.XLOOKUP(A2202,'TAZs by City - CCAG Model'!$A:$A,'TAZs by City - CCAG Model'!$B:$B,"Unknown")</f>
        <v>San Leandro</v>
      </c>
      <c r="C2202" s="82">
        <f>_xlfn.XLOOKUP(A2202,'TAZs by City - CCAG Model'!$A:$A,'TAZs by City - CCAG Model'!$C:$C,999)</f>
        <v>4</v>
      </c>
      <c r="D2202" s="82" t="str">
        <f t="shared" si="272"/>
        <v>NO</v>
      </c>
      <c r="E2202" s="27">
        <v>5498.08</v>
      </c>
      <c r="F2202" s="27">
        <v>3380.44</v>
      </c>
      <c r="G2202" s="27">
        <v>460.24</v>
      </c>
      <c r="H2202" s="27">
        <v>125.82</v>
      </c>
      <c r="I2202" s="27">
        <v>916.4</v>
      </c>
      <c r="J2202" s="27">
        <v>10877.68</v>
      </c>
      <c r="K2202" s="47">
        <f t="shared" si="273"/>
        <v>0.50544601422362123</v>
      </c>
      <c r="L2202" s="47">
        <f t="shared" si="274"/>
        <v>0.3107684726890293</v>
      </c>
      <c r="M2202" s="84">
        <f t="shared" si="275"/>
        <v>0.81621448691265053</v>
      </c>
      <c r="N2202" s="47">
        <f t="shared" si="276"/>
        <v>4.2310492678585873E-2</v>
      </c>
      <c r="O2202" s="47">
        <f t="shared" si="277"/>
        <v>1.1566804686293401E-2</v>
      </c>
      <c r="P2202" s="47">
        <f t="shared" si="278"/>
        <v>8.4245905376881827E-2</v>
      </c>
      <c r="Q2202" s="47">
        <f t="shared" si="279"/>
        <v>1</v>
      </c>
    </row>
    <row r="2203" spans="1:17" x14ac:dyDescent="0.35">
      <c r="A2203" s="82">
        <v>2200</v>
      </c>
      <c r="B2203" s="83" t="str">
        <f>_xlfn.XLOOKUP(A2203,'TAZs by City - CCAG Model'!$A:$A,'TAZs by City - CCAG Model'!$B:$B,"Unknown")</f>
        <v>San Leandro</v>
      </c>
      <c r="C2203" s="82">
        <f>_xlfn.XLOOKUP(A2203,'TAZs by City - CCAG Model'!$A:$A,'TAZs by City - CCAG Model'!$C:$C,999)</f>
        <v>4</v>
      </c>
      <c r="D2203" s="82" t="str">
        <f t="shared" si="272"/>
        <v>NO</v>
      </c>
      <c r="E2203" s="27">
        <v>8282.3799999999992</v>
      </c>
      <c r="F2203" s="27">
        <v>4991.4799999999996</v>
      </c>
      <c r="G2203" s="27">
        <v>821.64</v>
      </c>
      <c r="H2203" s="27">
        <v>208.48</v>
      </c>
      <c r="I2203" s="27">
        <v>2572.1799999999998</v>
      </c>
      <c r="J2203" s="27">
        <v>17737.66</v>
      </c>
      <c r="K2203" s="47">
        <f t="shared" si="273"/>
        <v>0.46693757801198127</v>
      </c>
      <c r="L2203" s="47">
        <f t="shared" si="274"/>
        <v>0.28140577731222716</v>
      </c>
      <c r="M2203" s="84">
        <f t="shared" si="275"/>
        <v>0.74834335532420848</v>
      </c>
      <c r="N2203" s="47">
        <f t="shared" si="276"/>
        <v>4.6321780888798181E-2</v>
      </c>
      <c r="O2203" s="47">
        <f t="shared" si="277"/>
        <v>1.1753523294504461E-2</v>
      </c>
      <c r="P2203" s="47">
        <f t="shared" si="278"/>
        <v>0.14501236352483923</v>
      </c>
      <c r="Q2203" s="47">
        <f t="shared" si="279"/>
        <v>1</v>
      </c>
    </row>
    <row r="2204" spans="1:17" x14ac:dyDescent="0.35">
      <c r="A2204" s="82">
        <v>2201</v>
      </c>
      <c r="B2204" s="83" t="str">
        <f>_xlfn.XLOOKUP(A2204,'TAZs by City - CCAG Model'!$A:$A,'TAZs by City - CCAG Model'!$B:$B,"Unknown")</f>
        <v>San Leandro</v>
      </c>
      <c r="C2204" s="82">
        <f>_xlfn.XLOOKUP(A2204,'TAZs by City - CCAG Model'!$A:$A,'TAZs by City - CCAG Model'!$C:$C,999)</f>
        <v>4</v>
      </c>
      <c r="D2204" s="82" t="str">
        <f t="shared" si="272"/>
        <v>NO</v>
      </c>
      <c r="E2204" s="27">
        <v>11310.98</v>
      </c>
      <c r="F2204" s="27">
        <v>6350.14</v>
      </c>
      <c r="G2204" s="27">
        <v>988.52</v>
      </c>
      <c r="H2204" s="27">
        <v>256.54000000000002</v>
      </c>
      <c r="I2204" s="27">
        <v>2888.22</v>
      </c>
      <c r="J2204" s="27">
        <v>22821.119999999999</v>
      </c>
      <c r="K2204" s="47">
        <f t="shared" si="273"/>
        <v>0.49563649812103877</v>
      </c>
      <c r="L2204" s="47">
        <f t="shared" si="274"/>
        <v>0.27825715828145159</v>
      </c>
      <c r="M2204" s="84">
        <f t="shared" si="275"/>
        <v>0.7738936564024903</v>
      </c>
      <c r="N2204" s="47">
        <f t="shared" si="276"/>
        <v>4.3316016041281061E-2</v>
      </c>
      <c r="O2204" s="47">
        <f t="shared" si="277"/>
        <v>1.1241341353973864E-2</v>
      </c>
      <c r="P2204" s="47">
        <f t="shared" si="278"/>
        <v>0.12655908211341074</v>
      </c>
      <c r="Q2204" s="47">
        <f t="shared" si="279"/>
        <v>1</v>
      </c>
    </row>
    <row r="2205" spans="1:17" x14ac:dyDescent="0.35">
      <c r="A2205" s="82">
        <v>2202</v>
      </c>
      <c r="B2205" s="83" t="str">
        <f>_xlfn.XLOOKUP(A2205,'TAZs by City - CCAG Model'!$A:$A,'TAZs by City - CCAG Model'!$B:$B,"Unknown")</f>
        <v>San Leandro</v>
      </c>
      <c r="C2205" s="82">
        <f>_xlfn.XLOOKUP(A2205,'TAZs by City - CCAG Model'!$A:$A,'TAZs by City - CCAG Model'!$C:$C,999)</f>
        <v>4</v>
      </c>
      <c r="D2205" s="82" t="str">
        <f t="shared" si="272"/>
        <v>NO</v>
      </c>
      <c r="E2205" s="27">
        <v>20994.22</v>
      </c>
      <c r="F2205" s="27">
        <v>10276.56</v>
      </c>
      <c r="G2205" s="27">
        <v>2136.6999999999998</v>
      </c>
      <c r="H2205" s="27">
        <v>455.7</v>
      </c>
      <c r="I2205" s="27">
        <v>3393.18</v>
      </c>
      <c r="J2205" s="27">
        <v>39429.74</v>
      </c>
      <c r="K2205" s="47">
        <f t="shared" si="273"/>
        <v>0.5324463209749799</v>
      </c>
      <c r="L2205" s="47">
        <f t="shared" si="274"/>
        <v>0.26062966684538119</v>
      </c>
      <c r="M2205" s="84">
        <f t="shared" si="275"/>
        <v>0.79307598782036104</v>
      </c>
      <c r="N2205" s="47">
        <f t="shared" si="276"/>
        <v>5.4190060598928627E-2</v>
      </c>
      <c r="O2205" s="47">
        <f t="shared" si="277"/>
        <v>1.1557266165082498E-2</v>
      </c>
      <c r="P2205" s="47">
        <f t="shared" si="278"/>
        <v>8.6056362532443781E-2</v>
      </c>
      <c r="Q2205" s="47">
        <f t="shared" si="279"/>
        <v>1</v>
      </c>
    </row>
    <row r="2206" spans="1:17" x14ac:dyDescent="0.35">
      <c r="A2206" s="82">
        <v>2203</v>
      </c>
      <c r="B2206" s="83" t="str">
        <f>_xlfn.XLOOKUP(A2206,'TAZs by City - CCAG Model'!$A:$A,'TAZs by City - CCAG Model'!$B:$B,"Unknown")</f>
        <v>San Leandro</v>
      </c>
      <c r="C2206" s="82">
        <f>_xlfn.XLOOKUP(A2206,'TAZs by City - CCAG Model'!$A:$A,'TAZs by City - CCAG Model'!$C:$C,999)</f>
        <v>4</v>
      </c>
      <c r="D2206" s="82" t="str">
        <f t="shared" si="272"/>
        <v>NO</v>
      </c>
      <c r="E2206" s="27">
        <v>30235.52</v>
      </c>
      <c r="F2206" s="27">
        <v>15075.92</v>
      </c>
      <c r="G2206" s="27">
        <v>4214.42</v>
      </c>
      <c r="H2206" s="27">
        <v>669.1</v>
      </c>
      <c r="I2206" s="27">
        <v>4792.1000000000004</v>
      </c>
      <c r="J2206" s="27">
        <v>59234.42</v>
      </c>
      <c r="K2206" s="47">
        <f t="shared" si="273"/>
        <v>0.5104383566176558</v>
      </c>
      <c r="L2206" s="47">
        <f t="shared" si="274"/>
        <v>0.25451283223504173</v>
      </c>
      <c r="M2206" s="84">
        <f t="shared" si="275"/>
        <v>0.76495118885269753</v>
      </c>
      <c r="N2206" s="47">
        <f t="shared" si="276"/>
        <v>7.1148160140674974E-2</v>
      </c>
      <c r="O2206" s="47">
        <f t="shared" si="277"/>
        <v>1.1295797274625126E-2</v>
      </c>
      <c r="P2206" s="47">
        <f t="shared" si="278"/>
        <v>8.0900597996907894E-2</v>
      </c>
      <c r="Q2206" s="47">
        <f t="shared" si="279"/>
        <v>1</v>
      </c>
    </row>
    <row r="2207" spans="1:17" x14ac:dyDescent="0.35">
      <c r="A2207" s="82">
        <v>2204</v>
      </c>
      <c r="B2207" s="83" t="str">
        <f>_xlfn.XLOOKUP(A2207,'TAZs by City - CCAG Model'!$A:$A,'TAZs by City - CCAG Model'!$B:$B,"Unknown")</f>
        <v>San Leandro</v>
      </c>
      <c r="C2207" s="82">
        <f>_xlfn.XLOOKUP(A2207,'TAZs by City - CCAG Model'!$A:$A,'TAZs by City - CCAG Model'!$C:$C,999)</f>
        <v>4</v>
      </c>
      <c r="D2207" s="82" t="str">
        <f t="shared" si="272"/>
        <v>NO</v>
      </c>
      <c r="E2207" s="27">
        <v>17564.240000000002</v>
      </c>
      <c r="F2207" s="27">
        <v>12150.6</v>
      </c>
      <c r="G2207" s="27">
        <v>2661.02</v>
      </c>
      <c r="H2207" s="27">
        <v>463.48</v>
      </c>
      <c r="I2207" s="27">
        <v>2310.4</v>
      </c>
      <c r="J2207" s="27">
        <v>37844.76</v>
      </c>
      <c r="K2207" s="47">
        <f t="shared" si="273"/>
        <v>0.46411286529495765</v>
      </c>
      <c r="L2207" s="47">
        <f t="shared" si="274"/>
        <v>0.32106426358629303</v>
      </c>
      <c r="M2207" s="84">
        <f t="shared" si="275"/>
        <v>0.78517712888125069</v>
      </c>
      <c r="N2207" s="47">
        <f t="shared" si="276"/>
        <v>7.031409368166161E-2</v>
      </c>
      <c r="O2207" s="47">
        <f t="shared" si="277"/>
        <v>1.2246873807628849E-2</v>
      </c>
      <c r="P2207" s="47">
        <f t="shared" si="278"/>
        <v>6.1049402876382358E-2</v>
      </c>
      <c r="Q2207" s="47">
        <f t="shared" si="279"/>
        <v>1</v>
      </c>
    </row>
    <row r="2208" spans="1:17" x14ac:dyDescent="0.35">
      <c r="A2208" s="82">
        <v>2205</v>
      </c>
      <c r="B2208" s="83" t="str">
        <f>_xlfn.XLOOKUP(A2208,'TAZs by City - CCAG Model'!$A:$A,'TAZs by City - CCAG Model'!$B:$B,"Unknown")</f>
        <v>San Leandro</v>
      </c>
      <c r="C2208" s="82">
        <f>_xlfn.XLOOKUP(A2208,'TAZs by City - CCAG Model'!$A:$A,'TAZs by City - CCAG Model'!$C:$C,999)</f>
        <v>4</v>
      </c>
      <c r="D2208" s="82" t="str">
        <f t="shared" si="272"/>
        <v>NO</v>
      </c>
      <c r="E2208" s="27">
        <v>35492.620000000003</v>
      </c>
      <c r="F2208" s="27">
        <v>15266.64</v>
      </c>
      <c r="G2208" s="27">
        <v>2088.02</v>
      </c>
      <c r="H2208" s="27">
        <v>629.78</v>
      </c>
      <c r="I2208" s="27">
        <v>2167.8200000000002</v>
      </c>
      <c r="J2208" s="27">
        <v>57751.02</v>
      </c>
      <c r="K2208" s="47">
        <f t="shared" si="273"/>
        <v>0.61457996759191447</v>
      </c>
      <c r="L2208" s="47">
        <f t="shared" si="274"/>
        <v>0.26435273351016136</v>
      </c>
      <c r="M2208" s="84">
        <f t="shared" si="275"/>
        <v>0.87893270110207589</v>
      </c>
      <c r="N2208" s="47">
        <f t="shared" si="276"/>
        <v>3.6155551884624722E-2</v>
      </c>
      <c r="O2208" s="47">
        <f t="shared" si="277"/>
        <v>1.0905088775921187E-2</v>
      </c>
      <c r="P2208" s="47">
        <f t="shared" si="278"/>
        <v>3.7537345660734654E-2</v>
      </c>
      <c r="Q2208" s="47">
        <f t="shared" si="279"/>
        <v>1</v>
      </c>
    </row>
    <row r="2209" spans="1:17" x14ac:dyDescent="0.35">
      <c r="A2209" s="82">
        <v>2206</v>
      </c>
      <c r="B2209" s="83" t="str">
        <f>_xlfn.XLOOKUP(A2209,'TAZs by City - CCAG Model'!$A:$A,'TAZs by City - CCAG Model'!$B:$B,"Unknown")</f>
        <v>Oakland</v>
      </c>
      <c r="C2209" s="82">
        <f>_xlfn.XLOOKUP(A2209,'TAZs by City - CCAG Model'!$A:$A,'TAZs by City - CCAG Model'!$C:$C,999)</f>
        <v>4</v>
      </c>
      <c r="D2209" s="82" t="str">
        <f t="shared" si="272"/>
        <v>NO</v>
      </c>
      <c r="E2209" s="27">
        <v>9765.7800000000007</v>
      </c>
      <c r="F2209" s="27">
        <v>2757.1</v>
      </c>
      <c r="G2209" s="27">
        <v>382.76</v>
      </c>
      <c r="H2209" s="27">
        <v>113.84</v>
      </c>
      <c r="I2209" s="27">
        <v>212.96</v>
      </c>
      <c r="J2209" s="27">
        <v>13643.4</v>
      </c>
      <c r="K2209" s="47">
        <f t="shared" si="273"/>
        <v>0.71578785346761076</v>
      </c>
      <c r="L2209" s="47">
        <f t="shared" si="274"/>
        <v>0.20208305847516014</v>
      </c>
      <c r="M2209" s="84">
        <f t="shared" si="275"/>
        <v>0.91787091194277093</v>
      </c>
      <c r="N2209" s="47">
        <f t="shared" si="276"/>
        <v>2.8054590497969715E-2</v>
      </c>
      <c r="O2209" s="47">
        <f t="shared" si="277"/>
        <v>8.3439611826963966E-3</v>
      </c>
      <c r="P2209" s="47">
        <f t="shared" si="278"/>
        <v>1.5609012416259877E-2</v>
      </c>
      <c r="Q2209" s="47">
        <f t="shared" si="279"/>
        <v>1</v>
      </c>
    </row>
    <row r="2210" spans="1:17" x14ac:dyDescent="0.35">
      <c r="A2210" s="82">
        <v>2207</v>
      </c>
      <c r="B2210" s="83" t="str">
        <f>_xlfn.XLOOKUP(A2210,'TAZs by City - CCAG Model'!$A:$A,'TAZs by City - CCAG Model'!$B:$B,"Unknown")</f>
        <v>Oakland</v>
      </c>
      <c r="C2210" s="82">
        <f>_xlfn.XLOOKUP(A2210,'TAZs by City - CCAG Model'!$A:$A,'TAZs by City - CCAG Model'!$C:$C,999)</f>
        <v>4</v>
      </c>
      <c r="D2210" s="82" t="str">
        <f t="shared" si="272"/>
        <v>NO</v>
      </c>
      <c r="E2210" s="27">
        <v>49825.5</v>
      </c>
      <c r="F2210" s="27">
        <v>17278.64</v>
      </c>
      <c r="G2210" s="27">
        <v>3537.84</v>
      </c>
      <c r="H2210" s="27">
        <v>786.86</v>
      </c>
      <c r="I2210" s="27">
        <v>2706.08</v>
      </c>
      <c r="J2210" s="27">
        <v>77690.02</v>
      </c>
      <c r="K2210" s="47">
        <f t="shared" si="273"/>
        <v>0.64133720135482009</v>
      </c>
      <c r="L2210" s="47">
        <f t="shared" si="274"/>
        <v>0.22240488546662748</v>
      </c>
      <c r="M2210" s="84">
        <f t="shared" si="275"/>
        <v>0.8637420868214476</v>
      </c>
      <c r="N2210" s="47">
        <f t="shared" si="276"/>
        <v>4.5537895343571798E-2</v>
      </c>
      <c r="O2210" s="47">
        <f t="shared" si="277"/>
        <v>1.0128199220440412E-2</v>
      </c>
      <c r="P2210" s="47">
        <f t="shared" si="278"/>
        <v>3.4831758313358649E-2</v>
      </c>
      <c r="Q2210" s="47">
        <f t="shared" si="279"/>
        <v>1</v>
      </c>
    </row>
    <row r="2211" spans="1:17" x14ac:dyDescent="0.35">
      <c r="A2211" s="82">
        <v>2208</v>
      </c>
      <c r="B2211" s="83" t="str">
        <f>_xlfn.XLOOKUP(A2211,'TAZs by City - CCAG Model'!$A:$A,'TAZs by City - CCAG Model'!$B:$B,"Unknown")</f>
        <v>Oakland</v>
      </c>
      <c r="C2211" s="82">
        <f>_xlfn.XLOOKUP(A2211,'TAZs by City - CCAG Model'!$A:$A,'TAZs by City - CCAG Model'!$C:$C,999)</f>
        <v>4</v>
      </c>
      <c r="D2211" s="82" t="str">
        <f t="shared" si="272"/>
        <v>NO</v>
      </c>
      <c r="E2211" s="27">
        <v>2854.42</v>
      </c>
      <c r="F2211" s="27">
        <v>2700.82</v>
      </c>
      <c r="G2211" s="27">
        <v>424.2</v>
      </c>
      <c r="H2211" s="27">
        <v>93.54</v>
      </c>
      <c r="I2211" s="27">
        <v>412.24</v>
      </c>
      <c r="J2211" s="27">
        <v>6940.76</v>
      </c>
      <c r="K2211" s="47">
        <f t="shared" si="273"/>
        <v>0.41125467528051685</v>
      </c>
      <c r="L2211" s="47">
        <f t="shared" si="274"/>
        <v>0.38912453391271273</v>
      </c>
      <c r="M2211" s="84">
        <f t="shared" si="275"/>
        <v>0.80037920919322947</v>
      </c>
      <c r="N2211" s="47">
        <f t="shared" si="276"/>
        <v>6.1117226355615228E-2</v>
      </c>
      <c r="O2211" s="47">
        <f t="shared" si="277"/>
        <v>1.3476910309533827E-2</v>
      </c>
      <c r="P2211" s="47">
        <f t="shared" si="278"/>
        <v>5.9394072118903407E-2</v>
      </c>
      <c r="Q2211" s="47">
        <f t="shared" si="279"/>
        <v>1</v>
      </c>
    </row>
    <row r="2212" spans="1:17" x14ac:dyDescent="0.35">
      <c r="A2212" s="82">
        <v>2209</v>
      </c>
      <c r="B2212" s="83" t="str">
        <f>_xlfn.XLOOKUP(A2212,'TAZs by City - CCAG Model'!$A:$A,'TAZs by City - CCAG Model'!$B:$B,"Unknown")</f>
        <v>Oakland</v>
      </c>
      <c r="C2212" s="82">
        <f>_xlfn.XLOOKUP(A2212,'TAZs by City - CCAG Model'!$A:$A,'TAZs by City - CCAG Model'!$C:$C,999)</f>
        <v>4</v>
      </c>
      <c r="D2212" s="82" t="str">
        <f t="shared" si="272"/>
        <v>NO</v>
      </c>
      <c r="E2212" s="27">
        <v>4249.82</v>
      </c>
      <c r="F2212" s="27">
        <v>4126.8</v>
      </c>
      <c r="G2212" s="27">
        <v>470.24</v>
      </c>
      <c r="H2212" s="27">
        <v>153.38</v>
      </c>
      <c r="I2212" s="27">
        <v>672</v>
      </c>
      <c r="J2212" s="27">
        <v>10174.120000000001</v>
      </c>
      <c r="K2212" s="47">
        <f t="shared" si="273"/>
        <v>0.41770885344383585</v>
      </c>
      <c r="L2212" s="47">
        <f t="shared" si="274"/>
        <v>0.40561739000522895</v>
      </c>
      <c r="M2212" s="84">
        <f t="shared" si="275"/>
        <v>0.82332624344906469</v>
      </c>
      <c r="N2212" s="47">
        <f t="shared" si="276"/>
        <v>4.6219230754109442E-2</v>
      </c>
      <c r="O2212" s="47">
        <f t="shared" si="277"/>
        <v>1.5075505301687024E-2</v>
      </c>
      <c r="P2212" s="47">
        <f t="shared" si="278"/>
        <v>6.6049938471337069E-2</v>
      </c>
      <c r="Q2212" s="47">
        <f t="shared" si="279"/>
        <v>1</v>
      </c>
    </row>
    <row r="2213" spans="1:17" x14ac:dyDescent="0.35">
      <c r="A2213" s="82">
        <v>2210</v>
      </c>
      <c r="B2213" s="83" t="str">
        <f>_xlfn.XLOOKUP(A2213,'TAZs by City - CCAG Model'!$A:$A,'TAZs by City - CCAG Model'!$B:$B,"Unknown")</f>
        <v>Oakland</v>
      </c>
      <c r="C2213" s="82">
        <f>_xlfn.XLOOKUP(A2213,'TAZs by City - CCAG Model'!$A:$A,'TAZs by City - CCAG Model'!$C:$C,999)</f>
        <v>4</v>
      </c>
      <c r="D2213" s="82" t="str">
        <f t="shared" si="272"/>
        <v>NO</v>
      </c>
      <c r="E2213" s="27">
        <v>7802.74</v>
      </c>
      <c r="F2213" s="27">
        <v>6720.46</v>
      </c>
      <c r="G2213" s="27">
        <v>1231.6400000000001</v>
      </c>
      <c r="H2213" s="27">
        <v>266.2</v>
      </c>
      <c r="I2213" s="27">
        <v>1385.76</v>
      </c>
      <c r="J2213" s="27">
        <v>18674.88</v>
      </c>
      <c r="K2213" s="47">
        <f t="shared" si="273"/>
        <v>0.41782008773282608</v>
      </c>
      <c r="L2213" s="47">
        <f t="shared" si="274"/>
        <v>0.3598663016844017</v>
      </c>
      <c r="M2213" s="84">
        <f t="shared" si="275"/>
        <v>0.7776863894172279</v>
      </c>
      <c r="N2213" s="47">
        <f t="shared" si="276"/>
        <v>6.5951695539676836E-2</v>
      </c>
      <c r="O2213" s="47">
        <f t="shared" si="277"/>
        <v>1.4254442331088605E-2</v>
      </c>
      <c r="P2213" s="47">
        <f t="shared" si="278"/>
        <v>7.420449288027553E-2</v>
      </c>
      <c r="Q2213" s="47">
        <f t="shared" si="279"/>
        <v>1</v>
      </c>
    </row>
    <row r="2214" spans="1:17" x14ac:dyDescent="0.35">
      <c r="A2214" s="82">
        <v>2211</v>
      </c>
      <c r="B2214" s="83" t="str">
        <f>_xlfn.XLOOKUP(A2214,'TAZs by City - CCAG Model'!$A:$A,'TAZs by City - CCAG Model'!$B:$B,"Unknown")</f>
        <v>Oakland</v>
      </c>
      <c r="C2214" s="82">
        <f>_xlfn.XLOOKUP(A2214,'TAZs by City - CCAG Model'!$A:$A,'TAZs by City - CCAG Model'!$C:$C,999)</f>
        <v>4</v>
      </c>
      <c r="D2214" s="82" t="str">
        <f t="shared" si="272"/>
        <v>NO</v>
      </c>
      <c r="E2214" s="27">
        <v>7778.24</v>
      </c>
      <c r="F2214" s="27">
        <v>5300.76</v>
      </c>
      <c r="G2214" s="27">
        <v>1076.94</v>
      </c>
      <c r="H2214" s="27">
        <v>214.22</v>
      </c>
      <c r="I2214" s="27">
        <v>1206.46</v>
      </c>
      <c r="J2214" s="27">
        <v>16690.12</v>
      </c>
      <c r="K2214" s="47">
        <f t="shared" si="273"/>
        <v>0.46603859049545482</v>
      </c>
      <c r="L2214" s="47">
        <f t="shared" si="274"/>
        <v>0.31759867514433693</v>
      </c>
      <c r="M2214" s="84">
        <f t="shared" si="275"/>
        <v>0.78363726563979175</v>
      </c>
      <c r="N2214" s="47">
        <f t="shared" si="276"/>
        <v>6.4525599576276266E-2</v>
      </c>
      <c r="O2214" s="47">
        <f t="shared" si="277"/>
        <v>1.2835138393253015E-2</v>
      </c>
      <c r="P2214" s="47">
        <f t="shared" si="278"/>
        <v>7.2285879310634085E-2</v>
      </c>
      <c r="Q2214" s="47">
        <f t="shared" si="279"/>
        <v>1</v>
      </c>
    </row>
    <row r="2215" spans="1:17" x14ac:dyDescent="0.35">
      <c r="A2215" s="82">
        <v>2212</v>
      </c>
      <c r="B2215" s="83" t="str">
        <f>_xlfn.XLOOKUP(A2215,'TAZs by City - CCAG Model'!$A:$A,'TAZs by City - CCAG Model'!$B:$B,"Unknown")</f>
        <v>Oakland</v>
      </c>
      <c r="C2215" s="82">
        <f>_xlfn.XLOOKUP(A2215,'TAZs by City - CCAG Model'!$A:$A,'TAZs by City - CCAG Model'!$C:$C,999)</f>
        <v>4</v>
      </c>
      <c r="D2215" s="82" t="str">
        <f t="shared" si="272"/>
        <v>NO</v>
      </c>
      <c r="E2215" s="27">
        <v>4671.12</v>
      </c>
      <c r="F2215" s="27">
        <v>4316.84</v>
      </c>
      <c r="G2215" s="27">
        <v>793.36</v>
      </c>
      <c r="H2215" s="27">
        <v>174.1</v>
      </c>
      <c r="I2215" s="27">
        <v>1130.9000000000001</v>
      </c>
      <c r="J2215" s="27">
        <v>11917.54</v>
      </c>
      <c r="K2215" s="47">
        <f t="shared" si="273"/>
        <v>0.39195337292763438</v>
      </c>
      <c r="L2215" s="47">
        <f t="shared" si="274"/>
        <v>0.36222576135679008</v>
      </c>
      <c r="M2215" s="84">
        <f t="shared" si="275"/>
        <v>0.75417913428442429</v>
      </c>
      <c r="N2215" s="47">
        <f t="shared" si="276"/>
        <v>6.6570785581588146E-2</v>
      </c>
      <c r="O2215" s="47">
        <f t="shared" si="277"/>
        <v>1.4608719584746514E-2</v>
      </c>
      <c r="P2215" s="47">
        <f t="shared" si="278"/>
        <v>9.4893744850027772E-2</v>
      </c>
      <c r="Q2215" s="47">
        <f t="shared" si="279"/>
        <v>1</v>
      </c>
    </row>
    <row r="2216" spans="1:17" x14ac:dyDescent="0.35">
      <c r="A2216" s="82">
        <v>2213</v>
      </c>
      <c r="B2216" s="83" t="str">
        <f>_xlfn.XLOOKUP(A2216,'TAZs by City - CCAG Model'!$A:$A,'TAZs by City - CCAG Model'!$B:$B,"Unknown")</f>
        <v>Oakland</v>
      </c>
      <c r="C2216" s="82">
        <f>_xlfn.XLOOKUP(A2216,'TAZs by City - CCAG Model'!$A:$A,'TAZs by City - CCAG Model'!$C:$C,999)</f>
        <v>4</v>
      </c>
      <c r="D2216" s="82" t="str">
        <f t="shared" si="272"/>
        <v>NO</v>
      </c>
      <c r="E2216" s="27">
        <v>5027.1000000000004</v>
      </c>
      <c r="F2216" s="27">
        <v>4018.84</v>
      </c>
      <c r="G2216" s="27">
        <v>599.24</v>
      </c>
      <c r="H2216" s="27">
        <v>159.54</v>
      </c>
      <c r="I2216" s="27">
        <v>610.48</v>
      </c>
      <c r="J2216" s="27">
        <v>11049.4</v>
      </c>
      <c r="K2216" s="47">
        <f t="shared" si="273"/>
        <v>0.45496588050029868</v>
      </c>
      <c r="L2216" s="47">
        <f t="shared" si="274"/>
        <v>0.36371567686933232</v>
      </c>
      <c r="M2216" s="84">
        <f t="shared" si="275"/>
        <v>0.818681557369631</v>
      </c>
      <c r="N2216" s="47">
        <f t="shared" si="276"/>
        <v>5.4232809021304326E-2</v>
      </c>
      <c r="O2216" s="47">
        <f t="shared" si="277"/>
        <v>1.4438793056636558E-2</v>
      </c>
      <c r="P2216" s="47">
        <f t="shared" si="278"/>
        <v>5.5250058826723625E-2</v>
      </c>
      <c r="Q2216" s="47">
        <f t="shared" si="279"/>
        <v>1</v>
      </c>
    </row>
    <row r="2217" spans="1:17" x14ac:dyDescent="0.35">
      <c r="A2217" s="82">
        <v>2214</v>
      </c>
      <c r="B2217" s="83" t="str">
        <f>_xlfn.XLOOKUP(A2217,'TAZs by City - CCAG Model'!$A:$A,'TAZs by City - CCAG Model'!$B:$B,"Unknown")</f>
        <v>Oakland</v>
      </c>
      <c r="C2217" s="82">
        <f>_xlfn.XLOOKUP(A2217,'TAZs by City - CCAG Model'!$A:$A,'TAZs by City - CCAG Model'!$C:$C,999)</f>
        <v>4</v>
      </c>
      <c r="D2217" s="82" t="str">
        <f t="shared" si="272"/>
        <v>NO</v>
      </c>
      <c r="E2217" s="27">
        <v>6480.74</v>
      </c>
      <c r="F2217" s="27">
        <v>4001.76</v>
      </c>
      <c r="G2217" s="27">
        <v>552.66</v>
      </c>
      <c r="H2217" s="27">
        <v>161.82</v>
      </c>
      <c r="I2217" s="27">
        <v>686.26</v>
      </c>
      <c r="J2217" s="27">
        <v>12474.06</v>
      </c>
      <c r="K2217" s="47">
        <f t="shared" si="273"/>
        <v>0.51953734389605311</v>
      </c>
      <c r="L2217" s="47">
        <f t="shared" si="274"/>
        <v>0.32080653772709128</v>
      </c>
      <c r="M2217" s="84">
        <f t="shared" si="275"/>
        <v>0.84034388162314433</v>
      </c>
      <c r="N2217" s="47">
        <f t="shared" si="276"/>
        <v>4.4304741198936029E-2</v>
      </c>
      <c r="O2217" s="47">
        <f t="shared" si="277"/>
        <v>1.2972520574696611E-2</v>
      </c>
      <c r="P2217" s="47">
        <f t="shared" si="278"/>
        <v>5.5014967059642171E-2</v>
      </c>
      <c r="Q2217" s="47">
        <f t="shared" si="279"/>
        <v>1</v>
      </c>
    </row>
    <row r="2218" spans="1:17" x14ac:dyDescent="0.35">
      <c r="A2218" s="82">
        <v>2215</v>
      </c>
      <c r="B2218" s="83" t="str">
        <f>_xlfn.XLOOKUP(A2218,'TAZs by City - CCAG Model'!$A:$A,'TAZs by City - CCAG Model'!$B:$B,"Unknown")</f>
        <v>Oakland</v>
      </c>
      <c r="C2218" s="82">
        <f>_xlfn.XLOOKUP(A2218,'TAZs by City - CCAG Model'!$A:$A,'TAZs by City - CCAG Model'!$C:$C,999)</f>
        <v>4</v>
      </c>
      <c r="D2218" s="82" t="str">
        <f t="shared" si="272"/>
        <v>NO</v>
      </c>
      <c r="E2218" s="27">
        <v>8216.14</v>
      </c>
      <c r="F2218" s="27">
        <v>4627.0600000000004</v>
      </c>
      <c r="G2218" s="27">
        <v>528.76</v>
      </c>
      <c r="H2218" s="27">
        <v>115.52</v>
      </c>
      <c r="I2218" s="27">
        <v>159.63999999999999</v>
      </c>
      <c r="J2218" s="27">
        <v>14208.86</v>
      </c>
      <c r="K2218" s="47">
        <f t="shared" si="273"/>
        <v>0.57824061888145839</v>
      </c>
      <c r="L2218" s="47">
        <f t="shared" si="274"/>
        <v>0.32564611094767631</v>
      </c>
      <c r="M2218" s="84">
        <f t="shared" si="275"/>
        <v>0.90388672982913476</v>
      </c>
      <c r="N2218" s="47">
        <f t="shared" si="276"/>
        <v>3.7213400652832102E-2</v>
      </c>
      <c r="O2218" s="47">
        <f t="shared" si="277"/>
        <v>8.1301385192056215E-3</v>
      </c>
      <c r="P2218" s="47">
        <f t="shared" si="278"/>
        <v>1.1235243362240178E-2</v>
      </c>
      <c r="Q2218" s="47">
        <f t="shared" si="279"/>
        <v>1</v>
      </c>
    </row>
    <row r="2219" spans="1:17" x14ac:dyDescent="0.35">
      <c r="A2219" s="82">
        <v>2216</v>
      </c>
      <c r="B2219" s="83" t="str">
        <f>_xlfn.XLOOKUP(A2219,'TAZs by City - CCAG Model'!$A:$A,'TAZs by City - CCAG Model'!$B:$B,"Unknown")</f>
        <v>Oakland</v>
      </c>
      <c r="C2219" s="82">
        <f>_xlfn.XLOOKUP(A2219,'TAZs by City - CCAG Model'!$A:$A,'TAZs by City - CCAG Model'!$C:$C,999)</f>
        <v>4</v>
      </c>
      <c r="D2219" s="82" t="str">
        <f t="shared" si="272"/>
        <v>NO</v>
      </c>
      <c r="E2219" s="27">
        <v>7817.84</v>
      </c>
      <c r="F2219" s="27">
        <v>4654.9399999999996</v>
      </c>
      <c r="G2219" s="27">
        <v>585.82000000000005</v>
      </c>
      <c r="H2219" s="27">
        <v>133.46</v>
      </c>
      <c r="I2219" s="27">
        <v>220.16</v>
      </c>
      <c r="J2219" s="27">
        <v>14032.02</v>
      </c>
      <c r="K2219" s="47">
        <f t="shared" si="273"/>
        <v>0.55714287750445057</v>
      </c>
      <c r="L2219" s="47">
        <f t="shared" si="274"/>
        <v>0.33173698441136767</v>
      </c>
      <c r="M2219" s="84">
        <f t="shared" si="275"/>
        <v>0.88887986191581814</v>
      </c>
      <c r="N2219" s="47">
        <f t="shared" si="276"/>
        <v>4.174880024401334E-2</v>
      </c>
      <c r="O2219" s="47">
        <f t="shared" si="277"/>
        <v>9.5111038895326541E-3</v>
      </c>
      <c r="P2219" s="47">
        <f t="shared" si="278"/>
        <v>1.5689829404462081E-2</v>
      </c>
      <c r="Q2219" s="47">
        <f t="shared" si="279"/>
        <v>1</v>
      </c>
    </row>
    <row r="2220" spans="1:17" x14ac:dyDescent="0.35">
      <c r="A2220" s="82">
        <v>2217</v>
      </c>
      <c r="B2220" s="83" t="str">
        <f>_xlfn.XLOOKUP(A2220,'TAZs by City - CCAG Model'!$A:$A,'TAZs by City - CCAG Model'!$B:$B,"Unknown")</f>
        <v>Oakland</v>
      </c>
      <c r="C2220" s="82">
        <f>_xlfn.XLOOKUP(A2220,'TAZs by City - CCAG Model'!$A:$A,'TAZs by City - CCAG Model'!$C:$C,999)</f>
        <v>4</v>
      </c>
      <c r="D2220" s="82" t="str">
        <f t="shared" si="272"/>
        <v>NO</v>
      </c>
      <c r="E2220" s="27">
        <v>18195.46</v>
      </c>
      <c r="F2220" s="27">
        <v>10755.56</v>
      </c>
      <c r="G2220" s="27">
        <v>1961.06</v>
      </c>
      <c r="H2220" s="27">
        <v>402.34</v>
      </c>
      <c r="I2220" s="27">
        <v>1004.32</v>
      </c>
      <c r="J2220" s="27">
        <v>34312.620000000003</v>
      </c>
      <c r="K2220" s="47">
        <f t="shared" si="273"/>
        <v>0.53028477568894472</v>
      </c>
      <c r="L2220" s="47">
        <f t="shared" si="274"/>
        <v>0.31345784728767428</v>
      </c>
      <c r="M2220" s="84">
        <f t="shared" si="275"/>
        <v>0.84374262297661895</v>
      </c>
      <c r="N2220" s="47">
        <f t="shared" si="276"/>
        <v>5.7152732726326344E-2</v>
      </c>
      <c r="O2220" s="47">
        <f t="shared" si="277"/>
        <v>1.172571491188956E-2</v>
      </c>
      <c r="P2220" s="47">
        <f t="shared" si="278"/>
        <v>2.9269697271732675E-2</v>
      </c>
      <c r="Q2220" s="47">
        <f t="shared" si="279"/>
        <v>1</v>
      </c>
    </row>
    <row r="2221" spans="1:17" x14ac:dyDescent="0.35">
      <c r="A2221" s="82">
        <v>2218</v>
      </c>
      <c r="B2221" s="83" t="str">
        <f>_xlfn.XLOOKUP(A2221,'TAZs by City - CCAG Model'!$A:$A,'TAZs by City - CCAG Model'!$B:$B,"Unknown")</f>
        <v>Oakland</v>
      </c>
      <c r="C2221" s="82">
        <f>_xlfn.XLOOKUP(A2221,'TAZs by City - CCAG Model'!$A:$A,'TAZs by City - CCAG Model'!$C:$C,999)</f>
        <v>4</v>
      </c>
      <c r="D2221" s="82" t="str">
        <f t="shared" si="272"/>
        <v>NO</v>
      </c>
      <c r="E2221" s="27">
        <v>8581.84</v>
      </c>
      <c r="F2221" s="27">
        <v>5767.46</v>
      </c>
      <c r="G2221" s="27">
        <v>844.82</v>
      </c>
      <c r="H2221" s="27">
        <v>206.28</v>
      </c>
      <c r="I2221" s="27">
        <v>813.06</v>
      </c>
      <c r="J2221" s="27">
        <v>17094.14</v>
      </c>
      <c r="K2221" s="47">
        <f t="shared" si="273"/>
        <v>0.50203403037532157</v>
      </c>
      <c r="L2221" s="47">
        <f t="shared" si="274"/>
        <v>0.33739398413725408</v>
      </c>
      <c r="M2221" s="84">
        <f t="shared" si="275"/>
        <v>0.83942801451257565</v>
      </c>
      <c r="N2221" s="47">
        <f t="shared" si="276"/>
        <v>4.9421614658590608E-2</v>
      </c>
      <c r="O2221" s="47">
        <f t="shared" si="277"/>
        <v>1.2067293236161632E-2</v>
      </c>
      <c r="P2221" s="47">
        <f t="shared" si="278"/>
        <v>4.7563668017226952E-2</v>
      </c>
      <c r="Q2221" s="47">
        <f t="shared" si="279"/>
        <v>1</v>
      </c>
    </row>
    <row r="2222" spans="1:17" x14ac:dyDescent="0.35">
      <c r="A2222" s="82">
        <v>2219</v>
      </c>
      <c r="B2222" s="83" t="str">
        <f>_xlfn.XLOOKUP(A2222,'TAZs by City - CCAG Model'!$A:$A,'TAZs by City - CCAG Model'!$B:$B,"Unknown")</f>
        <v>Oakland</v>
      </c>
      <c r="C2222" s="82">
        <f>_xlfn.XLOOKUP(A2222,'TAZs by City - CCAG Model'!$A:$A,'TAZs by City - CCAG Model'!$C:$C,999)</f>
        <v>4</v>
      </c>
      <c r="D2222" s="82" t="str">
        <f t="shared" si="272"/>
        <v>NO</v>
      </c>
      <c r="E2222" s="27">
        <v>5628.8</v>
      </c>
      <c r="F2222" s="27">
        <v>4154.32</v>
      </c>
      <c r="G2222" s="27">
        <v>493.4</v>
      </c>
      <c r="H2222" s="27">
        <v>165.38</v>
      </c>
      <c r="I2222" s="27">
        <v>696.94</v>
      </c>
      <c r="J2222" s="27">
        <v>11667.34</v>
      </c>
      <c r="K2222" s="47">
        <f t="shared" si="273"/>
        <v>0.48244072770657237</v>
      </c>
      <c r="L2222" s="47">
        <f t="shared" si="274"/>
        <v>0.356064021447905</v>
      </c>
      <c r="M2222" s="84">
        <f t="shared" si="275"/>
        <v>0.83850474915447726</v>
      </c>
      <c r="N2222" s="47">
        <f t="shared" si="276"/>
        <v>4.2288987892698762E-2</v>
      </c>
      <c r="O2222" s="47">
        <f t="shared" si="277"/>
        <v>1.4174610493908637E-2</v>
      </c>
      <c r="P2222" s="47">
        <f t="shared" si="278"/>
        <v>5.9734266765175272E-2</v>
      </c>
      <c r="Q2222" s="47">
        <f t="shared" si="279"/>
        <v>1</v>
      </c>
    </row>
    <row r="2223" spans="1:17" x14ac:dyDescent="0.35">
      <c r="A2223" s="82">
        <v>2220</v>
      </c>
      <c r="B2223" s="83" t="str">
        <f>_xlfn.XLOOKUP(A2223,'TAZs by City - CCAG Model'!$A:$A,'TAZs by City - CCAG Model'!$B:$B,"Unknown")</f>
        <v>Oakland</v>
      </c>
      <c r="C2223" s="82">
        <f>_xlfn.XLOOKUP(A2223,'TAZs by City - CCAG Model'!$A:$A,'TAZs by City - CCAG Model'!$C:$C,999)</f>
        <v>4</v>
      </c>
      <c r="D2223" s="82" t="str">
        <f t="shared" si="272"/>
        <v>NO</v>
      </c>
      <c r="E2223" s="27">
        <v>6358.9</v>
      </c>
      <c r="F2223" s="27">
        <v>6418.46</v>
      </c>
      <c r="G2223" s="27">
        <v>1050.8</v>
      </c>
      <c r="H2223" s="27">
        <v>287.86</v>
      </c>
      <c r="I2223" s="27">
        <v>1733.42</v>
      </c>
      <c r="J2223" s="27">
        <v>16933.68</v>
      </c>
      <c r="K2223" s="47">
        <f t="shared" si="273"/>
        <v>0.37551790278309261</v>
      </c>
      <c r="L2223" s="47">
        <f t="shared" si="274"/>
        <v>0.37903515361102841</v>
      </c>
      <c r="M2223" s="84">
        <f t="shared" si="275"/>
        <v>0.75455305639412107</v>
      </c>
      <c r="N2223" s="47">
        <f t="shared" si="276"/>
        <v>6.2053847716503435E-2</v>
      </c>
      <c r="O2223" s="47">
        <f t="shared" si="277"/>
        <v>1.6999258282901296E-2</v>
      </c>
      <c r="P2223" s="47">
        <f t="shared" si="278"/>
        <v>0.10236522716857765</v>
      </c>
      <c r="Q2223" s="47">
        <f t="shared" si="279"/>
        <v>1</v>
      </c>
    </row>
    <row r="2224" spans="1:17" x14ac:dyDescent="0.35">
      <c r="A2224" s="82">
        <v>2221</v>
      </c>
      <c r="B2224" s="83" t="str">
        <f>_xlfn.XLOOKUP(A2224,'TAZs by City - CCAG Model'!$A:$A,'TAZs by City - CCAG Model'!$B:$B,"Unknown")</f>
        <v>Oakland</v>
      </c>
      <c r="C2224" s="82">
        <f>_xlfn.XLOOKUP(A2224,'TAZs by City - CCAG Model'!$A:$A,'TAZs by City - CCAG Model'!$C:$C,999)</f>
        <v>4</v>
      </c>
      <c r="D2224" s="82" t="str">
        <f t="shared" si="272"/>
        <v>NO</v>
      </c>
      <c r="E2224" s="27">
        <v>5575.72</v>
      </c>
      <c r="F2224" s="27">
        <v>4487.54</v>
      </c>
      <c r="G2224" s="27">
        <v>686.38</v>
      </c>
      <c r="H2224" s="27">
        <v>193.58</v>
      </c>
      <c r="I2224" s="27">
        <v>1100.46</v>
      </c>
      <c r="J2224" s="27">
        <v>12766.12</v>
      </c>
      <c r="K2224" s="47">
        <f t="shared" si="273"/>
        <v>0.43675917193321073</v>
      </c>
      <c r="L2224" s="47">
        <f t="shared" si="274"/>
        <v>0.35151949065181903</v>
      </c>
      <c r="M2224" s="84">
        <f t="shared" si="275"/>
        <v>0.78827866258502977</v>
      </c>
      <c r="N2224" s="47">
        <f t="shared" si="276"/>
        <v>5.3765748716133009E-2</v>
      </c>
      <c r="O2224" s="47">
        <f t="shared" si="277"/>
        <v>1.5163573583829699E-2</v>
      </c>
      <c r="P2224" s="47">
        <f t="shared" si="278"/>
        <v>8.6201602366263202E-2</v>
      </c>
      <c r="Q2224" s="47">
        <f t="shared" si="279"/>
        <v>1</v>
      </c>
    </row>
    <row r="2225" spans="1:17" x14ac:dyDescent="0.35">
      <c r="A2225" s="82">
        <v>2222</v>
      </c>
      <c r="B2225" s="83" t="str">
        <f>_xlfn.XLOOKUP(A2225,'TAZs by City - CCAG Model'!$A:$A,'TAZs by City - CCAG Model'!$B:$B,"Unknown")</f>
        <v>Oakland</v>
      </c>
      <c r="C2225" s="82">
        <f>_xlfn.XLOOKUP(A2225,'TAZs by City - CCAG Model'!$A:$A,'TAZs by City - CCAG Model'!$C:$C,999)</f>
        <v>4</v>
      </c>
      <c r="D2225" s="82" t="str">
        <f t="shared" si="272"/>
        <v>NO</v>
      </c>
      <c r="E2225" s="27">
        <v>7293.5</v>
      </c>
      <c r="F2225" s="27">
        <v>6499.7</v>
      </c>
      <c r="G2225" s="27">
        <v>1326.36</v>
      </c>
      <c r="H2225" s="27">
        <v>255.94</v>
      </c>
      <c r="I2225" s="27">
        <v>1634.82</v>
      </c>
      <c r="J2225" s="27">
        <v>18371.66</v>
      </c>
      <c r="K2225" s="47">
        <f t="shared" si="273"/>
        <v>0.39699733175989543</v>
      </c>
      <c r="L2225" s="47">
        <f t="shared" si="274"/>
        <v>0.35378947792415055</v>
      </c>
      <c r="M2225" s="84">
        <f t="shared" si="275"/>
        <v>0.75078680968404599</v>
      </c>
      <c r="N2225" s="47">
        <f t="shared" si="276"/>
        <v>7.2195980112847724E-2</v>
      </c>
      <c r="O2225" s="47">
        <f t="shared" si="277"/>
        <v>1.3931239746435543E-2</v>
      </c>
      <c r="P2225" s="47">
        <f t="shared" si="278"/>
        <v>8.8985970783260732E-2</v>
      </c>
      <c r="Q2225" s="47">
        <f t="shared" si="279"/>
        <v>1</v>
      </c>
    </row>
    <row r="2226" spans="1:17" x14ac:dyDescent="0.35">
      <c r="A2226" s="82">
        <v>2223</v>
      </c>
      <c r="B2226" s="83" t="str">
        <f>_xlfn.XLOOKUP(A2226,'TAZs by City - CCAG Model'!$A:$A,'TAZs by City - CCAG Model'!$B:$B,"Unknown")</f>
        <v>Oakland</v>
      </c>
      <c r="C2226" s="82">
        <f>_xlfn.XLOOKUP(A2226,'TAZs by City - CCAG Model'!$A:$A,'TAZs by City - CCAG Model'!$C:$C,999)</f>
        <v>4</v>
      </c>
      <c r="D2226" s="82" t="str">
        <f t="shared" si="272"/>
        <v>NO</v>
      </c>
      <c r="E2226" s="27">
        <v>6007.2</v>
      </c>
      <c r="F2226" s="27">
        <v>5755.6</v>
      </c>
      <c r="G2226" s="27">
        <v>1215.6600000000001</v>
      </c>
      <c r="H2226" s="27">
        <v>237.7</v>
      </c>
      <c r="I2226" s="27">
        <v>2648.12</v>
      </c>
      <c r="J2226" s="27">
        <v>17117.580000000002</v>
      </c>
      <c r="K2226" s="47">
        <f t="shared" si="273"/>
        <v>0.35093745728076042</v>
      </c>
      <c r="L2226" s="47">
        <f t="shared" si="274"/>
        <v>0.33623911791269562</v>
      </c>
      <c r="M2226" s="84">
        <f t="shared" si="275"/>
        <v>0.68717657519345599</v>
      </c>
      <c r="N2226" s="47">
        <f t="shared" si="276"/>
        <v>7.1018216360022854E-2</v>
      </c>
      <c r="O2226" s="47">
        <f t="shared" si="277"/>
        <v>1.3886308695504853E-2</v>
      </c>
      <c r="P2226" s="47">
        <f t="shared" si="278"/>
        <v>0.15470177443306821</v>
      </c>
      <c r="Q2226" s="47">
        <f t="shared" si="279"/>
        <v>1</v>
      </c>
    </row>
    <row r="2227" spans="1:17" x14ac:dyDescent="0.35">
      <c r="A2227" s="82">
        <v>2224</v>
      </c>
      <c r="B2227" s="83" t="str">
        <f>_xlfn.XLOOKUP(A2227,'TAZs by City - CCAG Model'!$A:$A,'TAZs by City - CCAG Model'!$B:$B,"Unknown")</f>
        <v>Oakland</v>
      </c>
      <c r="C2227" s="82">
        <f>_xlfn.XLOOKUP(A2227,'TAZs by City - CCAG Model'!$A:$A,'TAZs by City - CCAG Model'!$C:$C,999)</f>
        <v>4</v>
      </c>
      <c r="D2227" s="82" t="str">
        <f t="shared" si="272"/>
        <v>NO</v>
      </c>
      <c r="E2227" s="27">
        <v>7714.84</v>
      </c>
      <c r="F2227" s="27">
        <v>6072.42</v>
      </c>
      <c r="G2227" s="27">
        <v>984.86</v>
      </c>
      <c r="H2227" s="27">
        <v>231.2</v>
      </c>
      <c r="I2227" s="27">
        <v>1534.7</v>
      </c>
      <c r="J2227" s="27">
        <v>17558.48</v>
      </c>
      <c r="K2227" s="47">
        <f t="shared" si="273"/>
        <v>0.43937971851777602</v>
      </c>
      <c r="L2227" s="47">
        <f t="shared" si="274"/>
        <v>0.3458397310017724</v>
      </c>
      <c r="M2227" s="84">
        <f t="shared" si="275"/>
        <v>0.78521944951954847</v>
      </c>
      <c r="N2227" s="47">
        <f t="shared" si="276"/>
        <v>5.6090276607086723E-2</v>
      </c>
      <c r="O2227" s="47">
        <f t="shared" si="277"/>
        <v>1.3167426793207612E-2</v>
      </c>
      <c r="P2227" s="47">
        <f t="shared" si="278"/>
        <v>8.7405060119099154E-2</v>
      </c>
      <c r="Q2227" s="47">
        <f t="shared" si="279"/>
        <v>1</v>
      </c>
    </row>
    <row r="2228" spans="1:17" x14ac:dyDescent="0.35">
      <c r="A2228" s="82">
        <v>2225</v>
      </c>
      <c r="B2228" s="83" t="str">
        <f>_xlfn.XLOOKUP(A2228,'TAZs by City - CCAG Model'!$A:$A,'TAZs by City - CCAG Model'!$B:$B,"Unknown")</f>
        <v>Oakland</v>
      </c>
      <c r="C2228" s="82">
        <f>_xlfn.XLOOKUP(A2228,'TAZs by City - CCAG Model'!$A:$A,'TAZs by City - CCAG Model'!$C:$C,999)</f>
        <v>4</v>
      </c>
      <c r="D2228" s="82" t="str">
        <f t="shared" si="272"/>
        <v>NO</v>
      </c>
      <c r="E2228" s="27">
        <v>5136.54</v>
      </c>
      <c r="F2228" s="27">
        <v>3981.86</v>
      </c>
      <c r="G2228" s="27">
        <v>1092.28</v>
      </c>
      <c r="H2228" s="27">
        <v>188.78</v>
      </c>
      <c r="I2228" s="27">
        <v>1211.44</v>
      </c>
      <c r="J2228" s="27">
        <v>12745.88</v>
      </c>
      <c r="K2228" s="47">
        <f t="shared" si="273"/>
        <v>0.40299610540817898</v>
      </c>
      <c r="L2228" s="47">
        <f t="shared" si="274"/>
        <v>0.31240369437025928</v>
      </c>
      <c r="M2228" s="84">
        <f t="shared" si="275"/>
        <v>0.71539979977843826</v>
      </c>
      <c r="N2228" s="47">
        <f t="shared" si="276"/>
        <v>8.5696711407921622E-2</v>
      </c>
      <c r="O2228" s="47">
        <f t="shared" si="277"/>
        <v>1.4811060515241004E-2</v>
      </c>
      <c r="P2228" s="47">
        <f t="shared" si="278"/>
        <v>9.5045614739821815E-2</v>
      </c>
      <c r="Q2228" s="47">
        <f t="shared" si="279"/>
        <v>1</v>
      </c>
    </row>
    <row r="2229" spans="1:17" x14ac:dyDescent="0.35">
      <c r="A2229" s="82">
        <v>2226</v>
      </c>
      <c r="B2229" s="83" t="str">
        <f>_xlfn.XLOOKUP(A2229,'TAZs by City - CCAG Model'!$A:$A,'TAZs by City - CCAG Model'!$B:$B,"Unknown")</f>
        <v>Oakland</v>
      </c>
      <c r="C2229" s="82">
        <f>_xlfn.XLOOKUP(A2229,'TAZs by City - CCAG Model'!$A:$A,'TAZs by City - CCAG Model'!$C:$C,999)</f>
        <v>4</v>
      </c>
      <c r="D2229" s="82" t="str">
        <f t="shared" si="272"/>
        <v>NO</v>
      </c>
      <c r="E2229" s="27">
        <v>5856.46</v>
      </c>
      <c r="F2229" s="27">
        <v>5014.18</v>
      </c>
      <c r="G2229" s="27">
        <v>1373.72</v>
      </c>
      <c r="H2229" s="27">
        <v>222.32</v>
      </c>
      <c r="I2229" s="27">
        <v>1004.96</v>
      </c>
      <c r="J2229" s="27">
        <v>14882.18</v>
      </c>
      <c r="K2229" s="47">
        <f t="shared" si="273"/>
        <v>0.39352164803812345</v>
      </c>
      <c r="L2229" s="47">
        <f t="shared" si="274"/>
        <v>0.33692510102686568</v>
      </c>
      <c r="M2229" s="84">
        <f t="shared" si="275"/>
        <v>0.73044674906498908</v>
      </c>
      <c r="N2229" s="47">
        <f t="shared" si="276"/>
        <v>9.2306369093775237E-2</v>
      </c>
      <c r="O2229" s="47">
        <f t="shared" si="277"/>
        <v>1.4938671619346089E-2</v>
      </c>
      <c r="P2229" s="47">
        <f t="shared" si="278"/>
        <v>6.7527741231459368E-2</v>
      </c>
      <c r="Q2229" s="47">
        <f t="shared" si="279"/>
        <v>1</v>
      </c>
    </row>
    <row r="2230" spans="1:17" x14ac:dyDescent="0.35">
      <c r="A2230" s="82">
        <v>2227</v>
      </c>
      <c r="B2230" s="83" t="str">
        <f>_xlfn.XLOOKUP(A2230,'TAZs by City - CCAG Model'!$A:$A,'TAZs by City - CCAG Model'!$B:$B,"Unknown")</f>
        <v>Oakland</v>
      </c>
      <c r="C2230" s="82">
        <f>_xlfn.XLOOKUP(A2230,'TAZs by City - CCAG Model'!$A:$A,'TAZs by City - CCAG Model'!$C:$C,999)</f>
        <v>4</v>
      </c>
      <c r="D2230" s="82" t="str">
        <f t="shared" si="272"/>
        <v>NO</v>
      </c>
      <c r="E2230" s="27">
        <v>10084.82</v>
      </c>
      <c r="F2230" s="27">
        <v>8821.98</v>
      </c>
      <c r="G2230" s="27">
        <v>2099.52</v>
      </c>
      <c r="H2230" s="27">
        <v>409.68</v>
      </c>
      <c r="I2230" s="27">
        <v>3696.02</v>
      </c>
      <c r="J2230" s="27">
        <v>27250.38</v>
      </c>
      <c r="K2230" s="47">
        <f t="shared" si="273"/>
        <v>0.37007997686637761</v>
      </c>
      <c r="L2230" s="47">
        <f t="shared" si="274"/>
        <v>0.32373787081134281</v>
      </c>
      <c r="M2230" s="84">
        <f t="shared" si="275"/>
        <v>0.69381784767772037</v>
      </c>
      <c r="N2230" s="47">
        <f t="shared" si="276"/>
        <v>7.7045531108190041E-2</v>
      </c>
      <c r="O2230" s="47">
        <f t="shared" si="277"/>
        <v>1.5033918793059032E-2</v>
      </c>
      <c r="P2230" s="47">
        <f t="shared" si="278"/>
        <v>0.13563187008768318</v>
      </c>
      <c r="Q2230" s="47">
        <f t="shared" si="279"/>
        <v>1</v>
      </c>
    </row>
    <row r="2231" spans="1:17" x14ac:dyDescent="0.35">
      <c r="A2231" s="82">
        <v>2228</v>
      </c>
      <c r="B2231" s="83" t="str">
        <f>_xlfn.XLOOKUP(A2231,'TAZs by City - CCAG Model'!$A:$A,'TAZs by City - CCAG Model'!$B:$B,"Unknown")</f>
        <v>Oakland</v>
      </c>
      <c r="C2231" s="82">
        <f>_xlfn.XLOOKUP(A2231,'TAZs by City - CCAG Model'!$A:$A,'TAZs by City - CCAG Model'!$C:$C,999)</f>
        <v>4</v>
      </c>
      <c r="D2231" s="82" t="str">
        <f t="shared" si="272"/>
        <v>NO</v>
      </c>
      <c r="E2231" s="27">
        <v>13093.76</v>
      </c>
      <c r="F2231" s="27">
        <v>6200.06</v>
      </c>
      <c r="G2231" s="27">
        <v>912.98</v>
      </c>
      <c r="H2231" s="27">
        <v>320.42</v>
      </c>
      <c r="I2231" s="27">
        <v>1515.24</v>
      </c>
      <c r="J2231" s="27">
        <v>22987.48</v>
      </c>
      <c r="K2231" s="47">
        <f t="shared" si="273"/>
        <v>0.56960397572939703</v>
      </c>
      <c r="L2231" s="47">
        <f t="shared" si="274"/>
        <v>0.2697146446674451</v>
      </c>
      <c r="M2231" s="84">
        <f t="shared" si="275"/>
        <v>0.83931862039684213</v>
      </c>
      <c r="N2231" s="47">
        <f t="shared" si="276"/>
        <v>3.971640214586375E-2</v>
      </c>
      <c r="O2231" s="47">
        <f t="shared" si="277"/>
        <v>1.393889195335896E-2</v>
      </c>
      <c r="P2231" s="47">
        <f t="shared" si="278"/>
        <v>6.591588116661766E-2</v>
      </c>
      <c r="Q2231" s="47">
        <f t="shared" si="279"/>
        <v>1</v>
      </c>
    </row>
    <row r="2232" spans="1:17" x14ac:dyDescent="0.35">
      <c r="A2232" s="82">
        <v>2229</v>
      </c>
      <c r="B2232" s="83" t="str">
        <f>_xlfn.XLOOKUP(A2232,'TAZs by City - CCAG Model'!$A:$A,'TAZs by City - CCAG Model'!$B:$B,"Unknown")</f>
        <v>Oakland</v>
      </c>
      <c r="C2232" s="82">
        <f>_xlfn.XLOOKUP(A2232,'TAZs by City - CCAG Model'!$A:$A,'TAZs by City - CCAG Model'!$C:$C,999)</f>
        <v>4</v>
      </c>
      <c r="D2232" s="82" t="str">
        <f t="shared" si="272"/>
        <v>NO</v>
      </c>
      <c r="E2232" s="27">
        <v>5928.48</v>
      </c>
      <c r="F2232" s="27">
        <v>4891.3999999999996</v>
      </c>
      <c r="G2232" s="27">
        <v>1091.44</v>
      </c>
      <c r="H2232" s="27">
        <v>249.66</v>
      </c>
      <c r="I2232" s="27">
        <v>1197.1199999999999</v>
      </c>
      <c r="J2232" s="27">
        <v>14484.3</v>
      </c>
      <c r="K2232" s="47">
        <f t="shared" si="273"/>
        <v>0.40930386694558935</v>
      </c>
      <c r="L2232" s="47">
        <f t="shared" si="274"/>
        <v>0.33770358249967203</v>
      </c>
      <c r="M2232" s="84">
        <f t="shared" si="275"/>
        <v>0.74700744944526143</v>
      </c>
      <c r="N2232" s="47">
        <f t="shared" si="276"/>
        <v>7.5353313587815787E-2</v>
      </c>
      <c r="O2232" s="47">
        <f t="shared" si="277"/>
        <v>1.7236594105341646E-2</v>
      </c>
      <c r="P2232" s="47">
        <f t="shared" si="278"/>
        <v>8.2649489447194552E-2</v>
      </c>
      <c r="Q2232" s="47">
        <f t="shared" si="279"/>
        <v>1</v>
      </c>
    </row>
    <row r="2233" spans="1:17" x14ac:dyDescent="0.35">
      <c r="A2233" s="82">
        <v>2230</v>
      </c>
      <c r="B2233" s="83" t="str">
        <f>_xlfn.XLOOKUP(A2233,'TAZs by City - CCAG Model'!$A:$A,'TAZs by City - CCAG Model'!$B:$B,"Unknown")</f>
        <v>Oakland</v>
      </c>
      <c r="C2233" s="82">
        <f>_xlfn.XLOOKUP(A2233,'TAZs by City - CCAG Model'!$A:$A,'TAZs by City - CCAG Model'!$C:$C,999)</f>
        <v>4</v>
      </c>
      <c r="D2233" s="82" t="str">
        <f t="shared" si="272"/>
        <v>NO</v>
      </c>
      <c r="E2233" s="27">
        <v>5314.78</v>
      </c>
      <c r="F2233" s="27">
        <v>4817.84</v>
      </c>
      <c r="G2233" s="27">
        <v>732.6</v>
      </c>
      <c r="H2233" s="27">
        <v>220.84</v>
      </c>
      <c r="I2233" s="27">
        <v>1168.3800000000001</v>
      </c>
      <c r="J2233" s="27">
        <v>13022.26</v>
      </c>
      <c r="K2233" s="47">
        <f t="shared" si="273"/>
        <v>0.40813038596987</v>
      </c>
      <c r="L2233" s="47">
        <f t="shared" si="274"/>
        <v>0.36996957517358736</v>
      </c>
      <c r="M2233" s="84">
        <f t="shared" si="275"/>
        <v>0.77809996114345736</v>
      </c>
      <c r="N2233" s="47">
        <f t="shared" si="276"/>
        <v>5.6257515976489487E-2</v>
      </c>
      <c r="O2233" s="47">
        <f t="shared" si="277"/>
        <v>1.6958653874212311E-2</v>
      </c>
      <c r="P2233" s="47">
        <f t="shared" si="278"/>
        <v>8.9721753366927101E-2</v>
      </c>
      <c r="Q2233" s="47">
        <f t="shared" si="279"/>
        <v>1</v>
      </c>
    </row>
    <row r="2234" spans="1:17" x14ac:dyDescent="0.35">
      <c r="A2234" s="82">
        <v>2231</v>
      </c>
      <c r="B2234" s="83" t="str">
        <f>_xlfn.XLOOKUP(A2234,'TAZs by City - CCAG Model'!$A:$A,'TAZs by City - CCAG Model'!$B:$B,"Unknown")</f>
        <v>Oakland</v>
      </c>
      <c r="C2234" s="82">
        <f>_xlfn.XLOOKUP(A2234,'TAZs by City - CCAG Model'!$A:$A,'TAZs by City - CCAG Model'!$C:$C,999)</f>
        <v>4</v>
      </c>
      <c r="D2234" s="82" t="str">
        <f t="shared" si="272"/>
        <v>NO</v>
      </c>
      <c r="E2234" s="27">
        <v>11343.24</v>
      </c>
      <c r="F2234" s="27">
        <v>9115.48</v>
      </c>
      <c r="G2234" s="27">
        <v>1835.62</v>
      </c>
      <c r="H2234" s="27">
        <v>413.28</v>
      </c>
      <c r="I2234" s="27">
        <v>4180.76</v>
      </c>
      <c r="J2234" s="27">
        <v>28761.26</v>
      </c>
      <c r="K2234" s="47">
        <f t="shared" si="273"/>
        <v>0.39439301337980326</v>
      </c>
      <c r="L2234" s="47">
        <f t="shared" si="274"/>
        <v>0.31693604522194091</v>
      </c>
      <c r="M2234" s="84">
        <f t="shared" si="275"/>
        <v>0.71132905860174422</v>
      </c>
      <c r="N2234" s="47">
        <f t="shared" si="276"/>
        <v>6.3822655891988045E-2</v>
      </c>
      <c r="O2234" s="47">
        <f t="shared" si="277"/>
        <v>1.4369328742899302E-2</v>
      </c>
      <c r="P2234" s="47">
        <f t="shared" si="278"/>
        <v>0.1453608082538804</v>
      </c>
      <c r="Q2234" s="47">
        <f t="shared" si="279"/>
        <v>1</v>
      </c>
    </row>
    <row r="2235" spans="1:17" x14ac:dyDescent="0.35">
      <c r="A2235" s="82">
        <v>2232</v>
      </c>
      <c r="B2235" s="83" t="str">
        <f>_xlfn.XLOOKUP(A2235,'TAZs by City - CCAG Model'!$A:$A,'TAZs by City - CCAG Model'!$B:$B,"Unknown")</f>
        <v>Oakland</v>
      </c>
      <c r="C2235" s="82">
        <f>_xlfn.XLOOKUP(A2235,'TAZs by City - CCAG Model'!$A:$A,'TAZs by City - CCAG Model'!$C:$C,999)</f>
        <v>4</v>
      </c>
      <c r="D2235" s="82" t="str">
        <f t="shared" si="272"/>
        <v>NO</v>
      </c>
      <c r="E2235" s="27">
        <v>18794.5</v>
      </c>
      <c r="F2235" s="27">
        <v>12064.08</v>
      </c>
      <c r="G2235" s="27">
        <v>1636.16</v>
      </c>
      <c r="H2235" s="27">
        <v>502.58</v>
      </c>
      <c r="I2235" s="27">
        <v>2584.9</v>
      </c>
      <c r="J2235" s="27">
        <v>37250.160000000003</v>
      </c>
      <c r="K2235" s="47">
        <f t="shared" si="273"/>
        <v>0.5045481683837062</v>
      </c>
      <c r="L2235" s="47">
        <f t="shared" si="274"/>
        <v>0.32386652835853585</v>
      </c>
      <c r="M2235" s="84">
        <f t="shared" si="275"/>
        <v>0.82841469674224211</v>
      </c>
      <c r="N2235" s="47">
        <f t="shared" si="276"/>
        <v>4.3923569724264269E-2</v>
      </c>
      <c r="O2235" s="47">
        <f t="shared" si="277"/>
        <v>1.3492022584600976E-2</v>
      </c>
      <c r="P2235" s="47">
        <f t="shared" si="278"/>
        <v>6.9392990526752102E-2</v>
      </c>
      <c r="Q2235" s="47">
        <f t="shared" si="279"/>
        <v>1</v>
      </c>
    </row>
    <row r="2236" spans="1:17" x14ac:dyDescent="0.35">
      <c r="A2236" s="82">
        <v>2233</v>
      </c>
      <c r="B2236" s="83" t="str">
        <f>_xlfn.XLOOKUP(A2236,'TAZs by City - CCAG Model'!$A:$A,'TAZs by City - CCAG Model'!$B:$B,"Unknown")</f>
        <v>Oakland</v>
      </c>
      <c r="C2236" s="82">
        <f>_xlfn.XLOOKUP(A2236,'TAZs by City - CCAG Model'!$A:$A,'TAZs by City - CCAG Model'!$C:$C,999)</f>
        <v>4</v>
      </c>
      <c r="D2236" s="82" t="str">
        <f t="shared" si="272"/>
        <v>NO</v>
      </c>
      <c r="E2236" s="27">
        <v>7219.28</v>
      </c>
      <c r="F2236" s="27">
        <v>5287.84</v>
      </c>
      <c r="G2236" s="27">
        <v>1050.1400000000001</v>
      </c>
      <c r="H2236" s="27">
        <v>230.3</v>
      </c>
      <c r="I2236" s="27">
        <v>633.16</v>
      </c>
      <c r="J2236" s="27">
        <v>15503.78</v>
      </c>
      <c r="K2236" s="47">
        <f t="shared" si="273"/>
        <v>0.46564644235147812</v>
      </c>
      <c r="L2236" s="47">
        <f t="shared" si="274"/>
        <v>0.3410677912096276</v>
      </c>
      <c r="M2236" s="84">
        <f t="shared" si="275"/>
        <v>0.80671423356110561</v>
      </c>
      <c r="N2236" s="47">
        <f t="shared" si="276"/>
        <v>6.7734449276241018E-2</v>
      </c>
      <c r="O2236" s="47">
        <f t="shared" si="277"/>
        <v>1.4854441948995665E-2</v>
      </c>
      <c r="P2236" s="47">
        <f t="shared" si="278"/>
        <v>4.0839072793860592E-2</v>
      </c>
      <c r="Q2236" s="47">
        <f t="shared" si="279"/>
        <v>1</v>
      </c>
    </row>
    <row r="2237" spans="1:17" x14ac:dyDescent="0.35">
      <c r="A2237" s="82">
        <v>2234</v>
      </c>
      <c r="B2237" s="83" t="str">
        <f>_xlfn.XLOOKUP(A2237,'TAZs by City - CCAG Model'!$A:$A,'TAZs by City - CCAG Model'!$B:$B,"Unknown")</f>
        <v>Oakland</v>
      </c>
      <c r="C2237" s="82">
        <f>_xlfn.XLOOKUP(A2237,'TAZs by City - CCAG Model'!$A:$A,'TAZs by City - CCAG Model'!$C:$C,999)</f>
        <v>4</v>
      </c>
      <c r="D2237" s="82" t="str">
        <f t="shared" si="272"/>
        <v>NO</v>
      </c>
      <c r="E2237" s="27">
        <v>7414.62</v>
      </c>
      <c r="F2237" s="27">
        <v>3860.24</v>
      </c>
      <c r="G2237" s="27">
        <v>871.78</v>
      </c>
      <c r="H2237" s="27">
        <v>198.4</v>
      </c>
      <c r="I2237" s="27">
        <v>785.28</v>
      </c>
      <c r="J2237" s="27">
        <v>14042.76</v>
      </c>
      <c r="K2237" s="47">
        <f t="shared" si="273"/>
        <v>0.52800304213701577</v>
      </c>
      <c r="L2237" s="47">
        <f t="shared" si="274"/>
        <v>0.27489183038092224</v>
      </c>
      <c r="M2237" s="84">
        <f t="shared" si="275"/>
        <v>0.80289487251793812</v>
      </c>
      <c r="N2237" s="47">
        <f t="shared" si="276"/>
        <v>6.2080388755486812E-2</v>
      </c>
      <c r="O2237" s="47">
        <f t="shared" si="277"/>
        <v>1.4128276777499581E-2</v>
      </c>
      <c r="P2237" s="47">
        <f t="shared" si="278"/>
        <v>5.5920630987070917E-2</v>
      </c>
      <c r="Q2237" s="47">
        <f t="shared" si="279"/>
        <v>1</v>
      </c>
    </row>
    <row r="2238" spans="1:17" x14ac:dyDescent="0.35">
      <c r="A2238" s="82">
        <v>2235</v>
      </c>
      <c r="B2238" s="83" t="str">
        <f>_xlfn.XLOOKUP(A2238,'TAZs by City - CCAG Model'!$A:$A,'TAZs by City - CCAG Model'!$B:$B,"Unknown")</f>
        <v>Oakland</v>
      </c>
      <c r="C2238" s="82">
        <f>_xlfn.XLOOKUP(A2238,'TAZs by City - CCAG Model'!$A:$A,'TAZs by City - CCAG Model'!$C:$C,999)</f>
        <v>4</v>
      </c>
      <c r="D2238" s="82" t="str">
        <f t="shared" si="272"/>
        <v>NO</v>
      </c>
      <c r="E2238" s="27">
        <v>8003.28</v>
      </c>
      <c r="F2238" s="27">
        <v>5233.32</v>
      </c>
      <c r="G2238" s="27">
        <v>855.32</v>
      </c>
      <c r="H2238" s="27">
        <v>212.4</v>
      </c>
      <c r="I2238" s="27">
        <v>1346.46</v>
      </c>
      <c r="J2238" s="27">
        <v>16539.28</v>
      </c>
      <c r="K2238" s="47">
        <f t="shared" si="273"/>
        <v>0.48389530862286634</v>
      </c>
      <c r="L2238" s="47">
        <f t="shared" si="274"/>
        <v>0.3164176433315114</v>
      </c>
      <c r="M2238" s="84">
        <f t="shared" si="275"/>
        <v>0.80031295195437768</v>
      </c>
      <c r="N2238" s="47">
        <f t="shared" si="276"/>
        <v>5.1714463991177372E-2</v>
      </c>
      <c r="O2238" s="47">
        <f t="shared" si="277"/>
        <v>1.284215516032137E-2</v>
      </c>
      <c r="P2238" s="47">
        <f t="shared" si="278"/>
        <v>8.1409831625076798E-2</v>
      </c>
      <c r="Q2238" s="47">
        <f t="shared" si="279"/>
        <v>1</v>
      </c>
    </row>
    <row r="2239" spans="1:17" x14ac:dyDescent="0.35">
      <c r="A2239" s="82">
        <v>2236</v>
      </c>
      <c r="B2239" s="83" t="str">
        <f>_xlfn.XLOOKUP(A2239,'TAZs by City - CCAG Model'!$A:$A,'TAZs by City - CCAG Model'!$B:$B,"Unknown")</f>
        <v>Oakland</v>
      </c>
      <c r="C2239" s="82">
        <f>_xlfn.XLOOKUP(A2239,'TAZs by City - CCAG Model'!$A:$A,'TAZs by City - CCAG Model'!$C:$C,999)</f>
        <v>4</v>
      </c>
      <c r="D2239" s="82" t="str">
        <f t="shared" si="272"/>
        <v>NO</v>
      </c>
      <c r="E2239" s="27">
        <v>9471.7199999999993</v>
      </c>
      <c r="F2239" s="27">
        <v>7896.58</v>
      </c>
      <c r="G2239" s="27">
        <v>1023.3</v>
      </c>
      <c r="H2239" s="27">
        <v>374.82</v>
      </c>
      <c r="I2239" s="27">
        <v>2191.48</v>
      </c>
      <c r="J2239" s="27">
        <v>22014.02</v>
      </c>
      <c r="K2239" s="47">
        <f t="shared" si="273"/>
        <v>0.43025853524254087</v>
      </c>
      <c r="L2239" s="47">
        <f t="shared" si="274"/>
        <v>0.35870686044620653</v>
      </c>
      <c r="M2239" s="84">
        <f t="shared" si="275"/>
        <v>0.78896539568874735</v>
      </c>
      <c r="N2239" s="47">
        <f t="shared" si="276"/>
        <v>4.6484013369661695E-2</v>
      </c>
      <c r="O2239" s="47">
        <f t="shared" si="277"/>
        <v>1.7026422252728032E-2</v>
      </c>
      <c r="P2239" s="47">
        <f t="shared" si="278"/>
        <v>9.9549287226958091E-2</v>
      </c>
      <c r="Q2239" s="47">
        <f t="shared" si="279"/>
        <v>1</v>
      </c>
    </row>
    <row r="2240" spans="1:17" x14ac:dyDescent="0.35">
      <c r="A2240" s="82">
        <v>2237</v>
      </c>
      <c r="B2240" s="83" t="str">
        <f>_xlfn.XLOOKUP(A2240,'TAZs by City - CCAG Model'!$A:$A,'TAZs by City - CCAG Model'!$B:$B,"Unknown")</f>
        <v>Oakland</v>
      </c>
      <c r="C2240" s="82">
        <f>_xlfn.XLOOKUP(A2240,'TAZs by City - CCAG Model'!$A:$A,'TAZs by City - CCAG Model'!$C:$C,999)</f>
        <v>4</v>
      </c>
      <c r="D2240" s="82" t="str">
        <f t="shared" si="272"/>
        <v>NO</v>
      </c>
      <c r="E2240" s="27">
        <v>11487.78</v>
      </c>
      <c r="F2240" s="27">
        <v>9645.64</v>
      </c>
      <c r="G2240" s="27">
        <v>1946.02</v>
      </c>
      <c r="H2240" s="27">
        <v>471.22</v>
      </c>
      <c r="I2240" s="27">
        <v>1898.22</v>
      </c>
      <c r="J2240" s="27">
        <v>27427.439999999999</v>
      </c>
      <c r="K2240" s="47">
        <f t="shared" si="273"/>
        <v>0.41884258975682753</v>
      </c>
      <c r="L2240" s="47">
        <f t="shared" si="274"/>
        <v>0.35167846507001749</v>
      </c>
      <c r="M2240" s="84">
        <f t="shared" si="275"/>
        <v>0.77052105482684496</v>
      </c>
      <c r="N2240" s="47">
        <f t="shared" si="276"/>
        <v>7.0951572585702491E-2</v>
      </c>
      <c r="O2240" s="47">
        <f t="shared" si="277"/>
        <v>1.7180604533270333E-2</v>
      </c>
      <c r="P2240" s="47">
        <f t="shared" si="278"/>
        <v>6.920879236268497E-2</v>
      </c>
      <c r="Q2240" s="47">
        <f t="shared" si="279"/>
        <v>1</v>
      </c>
    </row>
    <row r="2241" spans="1:17" x14ac:dyDescent="0.35">
      <c r="A2241" s="82">
        <v>2238</v>
      </c>
      <c r="B2241" s="83" t="str">
        <f>_xlfn.XLOOKUP(A2241,'TAZs by City - CCAG Model'!$A:$A,'TAZs by City - CCAG Model'!$B:$B,"Unknown")</f>
        <v>Oakland</v>
      </c>
      <c r="C2241" s="82">
        <f>_xlfn.XLOOKUP(A2241,'TAZs by City - CCAG Model'!$A:$A,'TAZs by City - CCAG Model'!$C:$C,999)</f>
        <v>4</v>
      </c>
      <c r="D2241" s="82" t="str">
        <f t="shared" si="272"/>
        <v>NO</v>
      </c>
      <c r="E2241" s="27">
        <v>9956.92</v>
      </c>
      <c r="F2241" s="27">
        <v>7316.2</v>
      </c>
      <c r="G2241" s="27">
        <v>1880.64</v>
      </c>
      <c r="H2241" s="27">
        <v>338.42</v>
      </c>
      <c r="I2241" s="27">
        <v>1108.18</v>
      </c>
      <c r="J2241" s="27">
        <v>22514.2</v>
      </c>
      <c r="K2241" s="47">
        <f t="shared" si="273"/>
        <v>0.44225066846701194</v>
      </c>
      <c r="L2241" s="47">
        <f t="shared" si="274"/>
        <v>0.32495935898233114</v>
      </c>
      <c r="M2241" s="84">
        <f t="shared" si="275"/>
        <v>0.76721002744934297</v>
      </c>
      <c r="N2241" s="47">
        <f t="shared" si="276"/>
        <v>8.3531282479501825E-2</v>
      </c>
      <c r="O2241" s="47">
        <f t="shared" si="277"/>
        <v>1.5031402403816259E-2</v>
      </c>
      <c r="P2241" s="47">
        <f t="shared" si="278"/>
        <v>4.9221380284442708E-2</v>
      </c>
      <c r="Q2241" s="47">
        <f t="shared" si="279"/>
        <v>1</v>
      </c>
    </row>
    <row r="2242" spans="1:17" x14ac:dyDescent="0.35">
      <c r="A2242" s="82">
        <v>2239</v>
      </c>
      <c r="B2242" s="83" t="str">
        <f>_xlfn.XLOOKUP(A2242,'TAZs by City - CCAG Model'!$A:$A,'TAZs by City - CCAG Model'!$B:$B,"Unknown")</f>
        <v>Oakland</v>
      </c>
      <c r="C2242" s="82">
        <f>_xlfn.XLOOKUP(A2242,'TAZs by City - CCAG Model'!$A:$A,'TAZs by City - CCAG Model'!$C:$C,999)</f>
        <v>4</v>
      </c>
      <c r="D2242" s="82" t="str">
        <f t="shared" si="272"/>
        <v>NO</v>
      </c>
      <c r="E2242" s="27">
        <v>6058.76</v>
      </c>
      <c r="F2242" s="27">
        <v>3748.18</v>
      </c>
      <c r="G2242" s="27">
        <v>673.86</v>
      </c>
      <c r="H2242" s="27">
        <v>143.63999999999999</v>
      </c>
      <c r="I2242" s="27">
        <v>335.74</v>
      </c>
      <c r="J2242" s="27">
        <v>11669.38</v>
      </c>
      <c r="K2242" s="47">
        <f t="shared" si="273"/>
        <v>0.51920153427174376</v>
      </c>
      <c r="L2242" s="47">
        <f t="shared" si="274"/>
        <v>0.32119786998109584</v>
      </c>
      <c r="M2242" s="84">
        <f t="shared" si="275"/>
        <v>0.84039940425283954</v>
      </c>
      <c r="N2242" s="47">
        <f t="shared" si="276"/>
        <v>5.7745998502062669E-2</v>
      </c>
      <c r="O2242" s="47">
        <f t="shared" si="277"/>
        <v>1.230913724636613E-2</v>
      </c>
      <c r="P2242" s="47">
        <f t="shared" si="278"/>
        <v>2.8771022967801204E-2</v>
      </c>
      <c r="Q2242" s="47">
        <f t="shared" si="279"/>
        <v>1</v>
      </c>
    </row>
    <row r="2243" spans="1:17" x14ac:dyDescent="0.35">
      <c r="A2243" s="82">
        <v>2240</v>
      </c>
      <c r="B2243" s="83" t="str">
        <f>_xlfn.XLOOKUP(A2243,'TAZs by City - CCAG Model'!$A:$A,'TAZs by City - CCAG Model'!$B:$B,"Unknown")</f>
        <v>Oakland</v>
      </c>
      <c r="C2243" s="82">
        <f>_xlfn.XLOOKUP(A2243,'TAZs by City - CCAG Model'!$A:$A,'TAZs by City - CCAG Model'!$C:$C,999)</f>
        <v>4</v>
      </c>
      <c r="D2243" s="82" t="str">
        <f t="shared" si="272"/>
        <v>NO</v>
      </c>
      <c r="E2243" s="27">
        <v>8609.82</v>
      </c>
      <c r="F2243" s="27">
        <v>5344.4</v>
      </c>
      <c r="G2243" s="27">
        <v>1050.18</v>
      </c>
      <c r="H2243" s="27">
        <v>222.94</v>
      </c>
      <c r="I2243" s="27">
        <v>716.52</v>
      </c>
      <c r="J2243" s="27">
        <v>17030.2</v>
      </c>
      <c r="K2243" s="47">
        <f t="shared" si="273"/>
        <v>0.50556188418221748</v>
      </c>
      <c r="L2243" s="47">
        <f t="shared" si="274"/>
        <v>0.31381898039952549</v>
      </c>
      <c r="M2243" s="84">
        <f t="shared" si="275"/>
        <v>0.81938086458174297</v>
      </c>
      <c r="N2243" s="47">
        <f t="shared" si="276"/>
        <v>6.1665746732275609E-2</v>
      </c>
      <c r="O2243" s="47">
        <f t="shared" si="277"/>
        <v>1.309086211553593E-2</v>
      </c>
      <c r="P2243" s="47">
        <f t="shared" si="278"/>
        <v>4.2073492971309787E-2</v>
      </c>
      <c r="Q2243" s="47">
        <f t="shared" si="279"/>
        <v>1</v>
      </c>
    </row>
    <row r="2244" spans="1:17" x14ac:dyDescent="0.35">
      <c r="A2244" s="82">
        <v>2241</v>
      </c>
      <c r="B2244" s="83" t="str">
        <f>_xlfn.XLOOKUP(A2244,'TAZs by City - CCAG Model'!$A:$A,'TAZs by City - CCAG Model'!$B:$B,"Unknown")</f>
        <v>Oakland</v>
      </c>
      <c r="C2244" s="82">
        <f>_xlfn.XLOOKUP(A2244,'TAZs by City - CCAG Model'!$A:$A,'TAZs by City - CCAG Model'!$C:$C,999)</f>
        <v>4</v>
      </c>
      <c r="D2244" s="82" t="str">
        <f t="shared" si="272"/>
        <v>NO</v>
      </c>
      <c r="E2244" s="27">
        <v>6840.98</v>
      </c>
      <c r="F2244" s="27">
        <v>4548.76</v>
      </c>
      <c r="G2244" s="27">
        <v>861.78</v>
      </c>
      <c r="H2244" s="27">
        <v>175.24</v>
      </c>
      <c r="I2244" s="27">
        <v>511.84</v>
      </c>
      <c r="J2244" s="27">
        <v>13833.56</v>
      </c>
      <c r="K2244" s="47">
        <f t="shared" si="273"/>
        <v>0.49452057171111413</v>
      </c>
      <c r="L2244" s="47">
        <f t="shared" si="274"/>
        <v>0.32882063619198532</v>
      </c>
      <c r="M2244" s="84">
        <f t="shared" si="275"/>
        <v>0.82334120790309939</v>
      </c>
      <c r="N2244" s="47">
        <f t="shared" si="276"/>
        <v>6.2296328638470504E-2</v>
      </c>
      <c r="O2244" s="47">
        <f t="shared" si="277"/>
        <v>1.26677442393715E-2</v>
      </c>
      <c r="P2244" s="47">
        <f t="shared" si="278"/>
        <v>3.6999875664687903E-2</v>
      </c>
      <c r="Q2244" s="47">
        <f t="shared" si="279"/>
        <v>1</v>
      </c>
    </row>
    <row r="2245" spans="1:17" x14ac:dyDescent="0.35">
      <c r="A2245" s="82">
        <v>2242</v>
      </c>
      <c r="B2245" s="83" t="str">
        <f>_xlfn.XLOOKUP(A2245,'TAZs by City - CCAG Model'!$A:$A,'TAZs by City - CCAG Model'!$B:$B,"Unknown")</f>
        <v>Oakland</v>
      </c>
      <c r="C2245" s="82">
        <f>_xlfn.XLOOKUP(A2245,'TAZs by City - CCAG Model'!$A:$A,'TAZs by City - CCAG Model'!$C:$C,999)</f>
        <v>4</v>
      </c>
      <c r="D2245" s="82" t="str">
        <f t="shared" ref="D2245:D2308" si="280">IF(C2245=2,"YES","NO")</f>
        <v>NO</v>
      </c>
      <c r="E2245" s="27">
        <v>13175.28</v>
      </c>
      <c r="F2245" s="27">
        <v>7346.66</v>
      </c>
      <c r="G2245" s="27">
        <v>907.48</v>
      </c>
      <c r="H2245" s="27">
        <v>317.82</v>
      </c>
      <c r="I2245" s="27">
        <v>825.88</v>
      </c>
      <c r="J2245" s="27">
        <v>23514.82</v>
      </c>
      <c r="K2245" s="47">
        <f t="shared" ref="K2245:K2308" si="281">IFERROR(E2245/$J2245,0)</f>
        <v>0.56029686810275392</v>
      </c>
      <c r="L2245" s="47">
        <f t="shared" ref="L2245:L2308" si="282">IFERROR(F2245/$J2245,0)</f>
        <v>0.31242680148093838</v>
      </c>
      <c r="M2245" s="84">
        <f t="shared" ref="M2245:M2308" si="283">IFERROR((E2245+F2245)/J2245,0)</f>
        <v>0.87272366958369241</v>
      </c>
      <c r="N2245" s="47">
        <f t="shared" ref="N2245:N2308" si="284">IFERROR(G2245/$J2245,0)</f>
        <v>3.8591832725064452E-2</v>
      </c>
      <c r="O2245" s="47">
        <f t="shared" ref="O2245:O2308" si="285">IFERROR(H2245/$J2245,0)</f>
        <v>1.3515731781064027E-2</v>
      </c>
      <c r="P2245" s="47">
        <f t="shared" ref="P2245:P2308" si="286">IFERROR(I2245/$J2245,0)</f>
        <v>3.5121680710292487E-2</v>
      </c>
      <c r="Q2245" s="47">
        <f t="shared" ref="Q2245:Q2308" si="287">IFERROR(J2245/$J2245,0)</f>
        <v>1</v>
      </c>
    </row>
    <row r="2246" spans="1:17" x14ac:dyDescent="0.35">
      <c r="A2246" s="82">
        <v>2243</v>
      </c>
      <c r="B2246" s="83" t="str">
        <f>_xlfn.XLOOKUP(A2246,'TAZs by City - CCAG Model'!$A:$A,'TAZs by City - CCAG Model'!$B:$B,"Unknown")</f>
        <v>Oakland</v>
      </c>
      <c r="C2246" s="82">
        <f>_xlfn.XLOOKUP(A2246,'TAZs by City - CCAG Model'!$A:$A,'TAZs by City - CCAG Model'!$C:$C,999)</f>
        <v>4</v>
      </c>
      <c r="D2246" s="82" t="str">
        <f t="shared" si="280"/>
        <v>NO</v>
      </c>
      <c r="E2246" s="27">
        <v>7650.3</v>
      </c>
      <c r="F2246" s="27">
        <v>4142.6400000000003</v>
      </c>
      <c r="G2246" s="27">
        <v>626.38</v>
      </c>
      <c r="H2246" s="27">
        <v>159.76</v>
      </c>
      <c r="I2246" s="27">
        <v>248.54</v>
      </c>
      <c r="J2246" s="27">
        <v>13490.84</v>
      </c>
      <c r="K2246" s="47">
        <f t="shared" si="281"/>
        <v>0.56707365886779471</v>
      </c>
      <c r="L2246" s="47">
        <f t="shared" si="282"/>
        <v>0.30707057529405141</v>
      </c>
      <c r="M2246" s="84">
        <f t="shared" si="283"/>
        <v>0.87414423416184617</v>
      </c>
      <c r="N2246" s="47">
        <f t="shared" si="284"/>
        <v>4.6430022148361408E-2</v>
      </c>
      <c r="O2246" s="47">
        <f t="shared" si="285"/>
        <v>1.1842109164440465E-2</v>
      </c>
      <c r="P2246" s="47">
        <f t="shared" si="286"/>
        <v>1.8422870629256592E-2</v>
      </c>
      <c r="Q2246" s="47">
        <f t="shared" si="287"/>
        <v>1</v>
      </c>
    </row>
    <row r="2247" spans="1:17" x14ac:dyDescent="0.35">
      <c r="A2247" s="82">
        <v>2244</v>
      </c>
      <c r="B2247" s="83" t="str">
        <f>_xlfn.XLOOKUP(A2247,'TAZs by City - CCAG Model'!$A:$A,'TAZs by City - CCAG Model'!$B:$B,"Unknown")</f>
        <v>Oakland</v>
      </c>
      <c r="C2247" s="82">
        <f>_xlfn.XLOOKUP(A2247,'TAZs by City - CCAG Model'!$A:$A,'TAZs by City - CCAG Model'!$C:$C,999)</f>
        <v>4</v>
      </c>
      <c r="D2247" s="82" t="str">
        <f t="shared" si="280"/>
        <v>NO</v>
      </c>
      <c r="E2247" s="27">
        <v>11096.52</v>
      </c>
      <c r="F2247" s="27">
        <v>6688.12</v>
      </c>
      <c r="G2247" s="27">
        <v>630.24</v>
      </c>
      <c r="H2247" s="27">
        <v>201.3</v>
      </c>
      <c r="I2247" s="27">
        <v>545.34</v>
      </c>
      <c r="J2247" s="27">
        <v>19823.16</v>
      </c>
      <c r="K2247" s="47">
        <f t="shared" si="281"/>
        <v>0.55977553528297208</v>
      </c>
      <c r="L2247" s="47">
        <f t="shared" si="282"/>
        <v>0.33738919526452898</v>
      </c>
      <c r="M2247" s="84">
        <f t="shared" si="283"/>
        <v>0.89716473054750101</v>
      </c>
      <c r="N2247" s="47">
        <f t="shared" si="284"/>
        <v>3.1793114720357403E-2</v>
      </c>
      <c r="O2247" s="47">
        <f t="shared" si="285"/>
        <v>1.0154788641165183E-2</v>
      </c>
      <c r="P2247" s="47">
        <f t="shared" si="286"/>
        <v>2.7510245591520224E-2</v>
      </c>
      <c r="Q2247" s="47">
        <f t="shared" si="287"/>
        <v>1</v>
      </c>
    </row>
    <row r="2248" spans="1:17" x14ac:dyDescent="0.35">
      <c r="A2248" s="82">
        <v>2245</v>
      </c>
      <c r="B2248" s="83" t="str">
        <f>_xlfn.XLOOKUP(A2248,'TAZs by City - CCAG Model'!$A:$A,'TAZs by City - CCAG Model'!$B:$B,"Unknown")</f>
        <v>Oakland</v>
      </c>
      <c r="C2248" s="82">
        <f>_xlfn.XLOOKUP(A2248,'TAZs by City - CCAG Model'!$A:$A,'TAZs by City - CCAG Model'!$C:$C,999)</f>
        <v>4</v>
      </c>
      <c r="D2248" s="82" t="str">
        <f t="shared" si="280"/>
        <v>NO</v>
      </c>
      <c r="E2248" s="27">
        <v>22296.62</v>
      </c>
      <c r="F2248" s="27">
        <v>12183.2</v>
      </c>
      <c r="G2248" s="27">
        <v>1510.8</v>
      </c>
      <c r="H2248" s="27">
        <v>371.68</v>
      </c>
      <c r="I2248" s="27">
        <v>1222.52</v>
      </c>
      <c r="J2248" s="27">
        <v>39123.980000000003</v>
      </c>
      <c r="K2248" s="47">
        <f t="shared" si="281"/>
        <v>0.56989651870796365</v>
      </c>
      <c r="L2248" s="47">
        <f t="shared" si="282"/>
        <v>0.31139981157336244</v>
      </c>
      <c r="M2248" s="84">
        <f t="shared" si="283"/>
        <v>0.88129633028132615</v>
      </c>
      <c r="N2248" s="47">
        <f t="shared" si="284"/>
        <v>3.8615703208109191E-2</v>
      </c>
      <c r="O2248" s="47">
        <f t="shared" si="285"/>
        <v>9.5000559759002012E-3</v>
      </c>
      <c r="P2248" s="47">
        <f t="shared" si="286"/>
        <v>3.1247332198820262E-2</v>
      </c>
      <c r="Q2248" s="47">
        <f t="shared" si="287"/>
        <v>1</v>
      </c>
    </row>
    <row r="2249" spans="1:17" x14ac:dyDescent="0.35">
      <c r="A2249" s="82">
        <v>2246</v>
      </c>
      <c r="B2249" s="83" t="str">
        <f>_xlfn.XLOOKUP(A2249,'TAZs by City - CCAG Model'!$A:$A,'TAZs by City - CCAG Model'!$B:$B,"Unknown")</f>
        <v>Oakland</v>
      </c>
      <c r="C2249" s="82">
        <f>_xlfn.XLOOKUP(A2249,'TAZs by City - CCAG Model'!$A:$A,'TAZs by City - CCAG Model'!$C:$C,999)</f>
        <v>4</v>
      </c>
      <c r="D2249" s="82" t="str">
        <f t="shared" si="280"/>
        <v>NO</v>
      </c>
      <c r="E2249" s="27">
        <v>12056.76</v>
      </c>
      <c r="F2249" s="27">
        <v>7517.34</v>
      </c>
      <c r="G2249" s="27">
        <v>1344.98</v>
      </c>
      <c r="H2249" s="27">
        <v>248.94</v>
      </c>
      <c r="I2249" s="27">
        <v>821.1</v>
      </c>
      <c r="J2249" s="27">
        <v>23369.26</v>
      </c>
      <c r="K2249" s="47">
        <f t="shared" si="281"/>
        <v>0.51592391029925644</v>
      </c>
      <c r="L2249" s="47">
        <f t="shared" si="282"/>
        <v>0.32167642449953487</v>
      </c>
      <c r="M2249" s="84">
        <f t="shared" si="283"/>
        <v>0.83760033479879126</v>
      </c>
      <c r="N2249" s="47">
        <f t="shared" si="284"/>
        <v>5.7553384232106625E-2</v>
      </c>
      <c r="O2249" s="47">
        <f t="shared" si="285"/>
        <v>1.0652455405091989E-2</v>
      </c>
      <c r="P2249" s="47">
        <f t="shared" si="286"/>
        <v>3.5135900751671216E-2</v>
      </c>
      <c r="Q2249" s="47">
        <f t="shared" si="287"/>
        <v>1</v>
      </c>
    </row>
    <row r="2250" spans="1:17" x14ac:dyDescent="0.35">
      <c r="A2250" s="82">
        <v>2247</v>
      </c>
      <c r="B2250" s="83" t="str">
        <f>_xlfn.XLOOKUP(A2250,'TAZs by City - CCAG Model'!$A:$A,'TAZs by City - CCAG Model'!$B:$B,"Unknown")</f>
        <v>Oakland</v>
      </c>
      <c r="C2250" s="82">
        <f>_xlfn.XLOOKUP(A2250,'TAZs by City - CCAG Model'!$A:$A,'TAZs by City - CCAG Model'!$C:$C,999)</f>
        <v>4</v>
      </c>
      <c r="D2250" s="82" t="str">
        <f t="shared" si="280"/>
        <v>NO</v>
      </c>
      <c r="E2250" s="27">
        <v>7250</v>
      </c>
      <c r="F2250" s="27">
        <v>4501.5</v>
      </c>
      <c r="G2250" s="27">
        <v>810.7</v>
      </c>
      <c r="H2250" s="27">
        <v>178.64</v>
      </c>
      <c r="I2250" s="27">
        <v>494.96</v>
      </c>
      <c r="J2250" s="27">
        <v>14082.06</v>
      </c>
      <c r="K2250" s="47">
        <f t="shared" si="281"/>
        <v>0.51483944820573124</v>
      </c>
      <c r="L2250" s="47">
        <f t="shared" si="282"/>
        <v>0.31966203808249649</v>
      </c>
      <c r="M2250" s="84">
        <f t="shared" si="283"/>
        <v>0.83450148628822773</v>
      </c>
      <c r="N2250" s="47">
        <f t="shared" si="284"/>
        <v>5.756970216005329E-2</v>
      </c>
      <c r="O2250" s="47">
        <f t="shared" si="285"/>
        <v>1.2685644003789218E-2</v>
      </c>
      <c r="P2250" s="47">
        <f t="shared" si="286"/>
        <v>3.5148266659849485E-2</v>
      </c>
      <c r="Q2250" s="47">
        <f t="shared" si="287"/>
        <v>1</v>
      </c>
    </row>
    <row r="2251" spans="1:17" x14ac:dyDescent="0.35">
      <c r="A2251" s="82">
        <v>2248</v>
      </c>
      <c r="B2251" s="83" t="str">
        <f>_xlfn.XLOOKUP(A2251,'TAZs by City - CCAG Model'!$A:$A,'TAZs by City - CCAG Model'!$B:$B,"Unknown")</f>
        <v>Oakland</v>
      </c>
      <c r="C2251" s="82">
        <f>_xlfn.XLOOKUP(A2251,'TAZs by City - CCAG Model'!$A:$A,'TAZs by City - CCAG Model'!$C:$C,999)</f>
        <v>4</v>
      </c>
      <c r="D2251" s="82" t="str">
        <f t="shared" si="280"/>
        <v>NO</v>
      </c>
      <c r="E2251" s="27">
        <v>10933.86</v>
      </c>
      <c r="F2251" s="27">
        <v>6522.46</v>
      </c>
      <c r="G2251" s="27">
        <v>1088.6400000000001</v>
      </c>
      <c r="H2251" s="27">
        <v>286.44</v>
      </c>
      <c r="I2251" s="27">
        <v>765.32</v>
      </c>
      <c r="J2251" s="27">
        <v>20719.099999999999</v>
      </c>
      <c r="K2251" s="47">
        <f t="shared" si="281"/>
        <v>0.52771886809755253</v>
      </c>
      <c r="L2251" s="47">
        <f t="shared" si="282"/>
        <v>0.31480421446877521</v>
      </c>
      <c r="M2251" s="84">
        <f t="shared" si="283"/>
        <v>0.84252308256632769</v>
      </c>
      <c r="N2251" s="47">
        <f t="shared" si="284"/>
        <v>5.2542822806009921E-2</v>
      </c>
      <c r="O2251" s="47">
        <f t="shared" si="285"/>
        <v>1.3824924827815881E-2</v>
      </c>
      <c r="P2251" s="47">
        <f t="shared" si="286"/>
        <v>3.6937897881664752E-2</v>
      </c>
      <c r="Q2251" s="47">
        <f t="shared" si="287"/>
        <v>1</v>
      </c>
    </row>
    <row r="2252" spans="1:17" x14ac:dyDescent="0.35">
      <c r="A2252" s="82">
        <v>2249</v>
      </c>
      <c r="B2252" s="83" t="str">
        <f>_xlfn.XLOOKUP(A2252,'TAZs by City - CCAG Model'!$A:$A,'TAZs by City - CCAG Model'!$B:$B,"Unknown")</f>
        <v>Piedmont</v>
      </c>
      <c r="C2252" s="82">
        <f>_xlfn.XLOOKUP(A2252,'TAZs by City - CCAG Model'!$A:$A,'TAZs by City - CCAG Model'!$C:$C,999)</f>
        <v>4</v>
      </c>
      <c r="D2252" s="82" t="str">
        <f t="shared" si="280"/>
        <v>NO</v>
      </c>
      <c r="E2252" s="27">
        <v>11032.44</v>
      </c>
      <c r="F2252" s="27">
        <v>6996.86</v>
      </c>
      <c r="G2252" s="27">
        <v>1141.96</v>
      </c>
      <c r="H2252" s="27">
        <v>319.06</v>
      </c>
      <c r="I2252" s="27">
        <v>1670.2</v>
      </c>
      <c r="J2252" s="27">
        <v>22337.98</v>
      </c>
      <c r="K2252" s="47">
        <f t="shared" si="281"/>
        <v>0.49388709274518111</v>
      </c>
      <c r="L2252" s="47">
        <f t="shared" si="282"/>
        <v>0.31322706887552054</v>
      </c>
      <c r="M2252" s="84">
        <f t="shared" si="283"/>
        <v>0.8071141616207016</v>
      </c>
      <c r="N2252" s="47">
        <f t="shared" si="284"/>
        <v>5.1121900905990607E-2</v>
      </c>
      <c r="O2252" s="47">
        <f t="shared" si="285"/>
        <v>1.4283296878231605E-2</v>
      </c>
      <c r="P2252" s="47">
        <f t="shared" si="286"/>
        <v>7.4769518103248375E-2</v>
      </c>
      <c r="Q2252" s="47">
        <f t="shared" si="287"/>
        <v>1</v>
      </c>
    </row>
    <row r="2253" spans="1:17" x14ac:dyDescent="0.35">
      <c r="A2253" s="82">
        <v>2250</v>
      </c>
      <c r="B2253" s="83" t="str">
        <f>_xlfn.XLOOKUP(A2253,'TAZs by City - CCAG Model'!$A:$A,'TAZs by City - CCAG Model'!$B:$B,"Unknown")</f>
        <v>Piedmont</v>
      </c>
      <c r="C2253" s="82">
        <f>_xlfn.XLOOKUP(A2253,'TAZs by City - CCAG Model'!$A:$A,'TAZs by City - CCAG Model'!$C:$C,999)</f>
        <v>4</v>
      </c>
      <c r="D2253" s="82" t="str">
        <f t="shared" si="280"/>
        <v>NO</v>
      </c>
      <c r="E2253" s="27">
        <v>14498.92</v>
      </c>
      <c r="F2253" s="27">
        <v>9498.2999999999993</v>
      </c>
      <c r="G2253" s="27">
        <v>838.34</v>
      </c>
      <c r="H2253" s="27">
        <v>317.02</v>
      </c>
      <c r="I2253" s="27">
        <v>1139.82</v>
      </c>
      <c r="J2253" s="27">
        <v>27161.94</v>
      </c>
      <c r="K2253" s="47">
        <f t="shared" si="281"/>
        <v>0.53379545054587418</v>
      </c>
      <c r="L2253" s="47">
        <f t="shared" si="282"/>
        <v>0.34969151687986938</v>
      </c>
      <c r="M2253" s="84">
        <f t="shared" si="283"/>
        <v>0.88348696742574362</v>
      </c>
      <c r="N2253" s="47">
        <f t="shared" si="284"/>
        <v>3.0864511150529014E-2</v>
      </c>
      <c r="O2253" s="47">
        <f t="shared" si="285"/>
        <v>1.1671478546819557E-2</v>
      </c>
      <c r="P2253" s="47">
        <f t="shared" si="286"/>
        <v>4.1963865614900848E-2</v>
      </c>
      <c r="Q2253" s="47">
        <f t="shared" si="287"/>
        <v>1</v>
      </c>
    </row>
    <row r="2254" spans="1:17" x14ac:dyDescent="0.35">
      <c r="A2254" s="82">
        <v>2251</v>
      </c>
      <c r="B2254" s="83" t="str">
        <f>_xlfn.XLOOKUP(A2254,'TAZs by City - CCAG Model'!$A:$A,'TAZs by City - CCAG Model'!$B:$B,"Unknown")</f>
        <v>Oakland</v>
      </c>
      <c r="C2254" s="82">
        <f>_xlfn.XLOOKUP(A2254,'TAZs by City - CCAG Model'!$A:$A,'TAZs by City - CCAG Model'!$C:$C,999)</f>
        <v>4</v>
      </c>
      <c r="D2254" s="82" t="str">
        <f t="shared" si="280"/>
        <v>NO</v>
      </c>
      <c r="E2254" s="27">
        <v>4727</v>
      </c>
      <c r="F2254" s="27">
        <v>2910.66</v>
      </c>
      <c r="G2254" s="27">
        <v>292.04000000000002</v>
      </c>
      <c r="H2254" s="27">
        <v>94.88</v>
      </c>
      <c r="I2254" s="27">
        <v>159.47999999999999</v>
      </c>
      <c r="J2254" s="27">
        <v>8502.08</v>
      </c>
      <c r="K2254" s="47">
        <f t="shared" si="281"/>
        <v>0.55598159509202449</v>
      </c>
      <c r="L2254" s="47">
        <f t="shared" si="282"/>
        <v>0.34234681395611427</v>
      </c>
      <c r="M2254" s="84">
        <f t="shared" si="283"/>
        <v>0.89832840904813882</v>
      </c>
      <c r="N2254" s="47">
        <f t="shared" si="284"/>
        <v>3.4349241597350297E-2</v>
      </c>
      <c r="O2254" s="47">
        <f t="shared" si="285"/>
        <v>1.115962211599985E-2</v>
      </c>
      <c r="P2254" s="47">
        <f t="shared" si="286"/>
        <v>1.8757762806277993E-2</v>
      </c>
      <c r="Q2254" s="47">
        <f t="shared" si="287"/>
        <v>1</v>
      </c>
    </row>
    <row r="2255" spans="1:17" x14ac:dyDescent="0.35">
      <c r="A2255" s="82">
        <v>2252</v>
      </c>
      <c r="B2255" s="83" t="str">
        <f>_xlfn.XLOOKUP(A2255,'TAZs by City - CCAG Model'!$A:$A,'TAZs by City - CCAG Model'!$B:$B,"Unknown")</f>
        <v>Oakland</v>
      </c>
      <c r="C2255" s="82">
        <f>_xlfn.XLOOKUP(A2255,'TAZs by City - CCAG Model'!$A:$A,'TAZs by City - CCAG Model'!$C:$C,999)</f>
        <v>4</v>
      </c>
      <c r="D2255" s="82" t="str">
        <f t="shared" si="280"/>
        <v>NO</v>
      </c>
      <c r="E2255" s="27">
        <v>5020.66</v>
      </c>
      <c r="F2255" s="27">
        <v>3057.08</v>
      </c>
      <c r="G2255" s="27">
        <v>376.66</v>
      </c>
      <c r="H2255" s="27">
        <v>98.62</v>
      </c>
      <c r="I2255" s="27">
        <v>249.88</v>
      </c>
      <c r="J2255" s="27">
        <v>9213.7999999999993</v>
      </c>
      <c r="K2255" s="47">
        <f t="shared" si="281"/>
        <v>0.54490655321365777</v>
      </c>
      <c r="L2255" s="47">
        <f t="shared" si="282"/>
        <v>0.33179361392693568</v>
      </c>
      <c r="M2255" s="84">
        <f t="shared" si="283"/>
        <v>0.87670016714059351</v>
      </c>
      <c r="N2255" s="47">
        <f t="shared" si="284"/>
        <v>4.087998437126919E-2</v>
      </c>
      <c r="O2255" s="47">
        <f t="shared" si="285"/>
        <v>1.0703509952462612E-2</v>
      </c>
      <c r="P2255" s="47">
        <f t="shared" si="286"/>
        <v>2.7120189281295448E-2</v>
      </c>
      <c r="Q2255" s="47">
        <f t="shared" si="287"/>
        <v>1</v>
      </c>
    </row>
    <row r="2256" spans="1:17" x14ac:dyDescent="0.35">
      <c r="A2256" s="82">
        <v>2253</v>
      </c>
      <c r="B2256" s="83" t="str">
        <f>_xlfn.XLOOKUP(A2256,'TAZs by City - CCAG Model'!$A:$A,'TAZs by City - CCAG Model'!$B:$B,"Unknown")</f>
        <v>Oakland</v>
      </c>
      <c r="C2256" s="82">
        <f>_xlfn.XLOOKUP(A2256,'TAZs by City - CCAG Model'!$A:$A,'TAZs by City - CCAG Model'!$C:$C,999)</f>
        <v>4</v>
      </c>
      <c r="D2256" s="82" t="str">
        <f t="shared" si="280"/>
        <v>NO</v>
      </c>
      <c r="E2256" s="27">
        <v>6892.58</v>
      </c>
      <c r="F2256" s="27">
        <v>4050.66</v>
      </c>
      <c r="G2256" s="27">
        <v>903.76</v>
      </c>
      <c r="H2256" s="27">
        <v>172.46</v>
      </c>
      <c r="I2256" s="27">
        <v>402.56</v>
      </c>
      <c r="J2256" s="27">
        <v>13363.06</v>
      </c>
      <c r="K2256" s="47">
        <f t="shared" si="281"/>
        <v>0.515793538306346</v>
      </c>
      <c r="L2256" s="47">
        <f t="shared" si="282"/>
        <v>0.30312368574263682</v>
      </c>
      <c r="M2256" s="84">
        <f t="shared" si="283"/>
        <v>0.81891722404898282</v>
      </c>
      <c r="N2256" s="47">
        <f t="shared" si="284"/>
        <v>6.7631216203474356E-2</v>
      </c>
      <c r="O2256" s="47">
        <f t="shared" si="285"/>
        <v>1.2905726682361675E-2</v>
      </c>
      <c r="P2256" s="47">
        <f t="shared" si="286"/>
        <v>3.0124836676629456E-2</v>
      </c>
      <c r="Q2256" s="47">
        <f t="shared" si="287"/>
        <v>1</v>
      </c>
    </row>
    <row r="2257" spans="1:17" x14ac:dyDescent="0.35">
      <c r="A2257" s="82">
        <v>2254</v>
      </c>
      <c r="B2257" s="83" t="str">
        <f>_xlfn.XLOOKUP(A2257,'TAZs by City - CCAG Model'!$A:$A,'TAZs by City - CCAG Model'!$B:$B,"Unknown")</f>
        <v>Oakland</v>
      </c>
      <c r="C2257" s="82">
        <f>_xlfn.XLOOKUP(A2257,'TAZs by City - CCAG Model'!$A:$A,'TAZs by City - CCAG Model'!$C:$C,999)</f>
        <v>4</v>
      </c>
      <c r="D2257" s="82" t="str">
        <f t="shared" si="280"/>
        <v>NO</v>
      </c>
      <c r="E2257" s="27">
        <v>10424.34</v>
      </c>
      <c r="F2257" s="27">
        <v>6113.4</v>
      </c>
      <c r="G2257" s="27">
        <v>759.84</v>
      </c>
      <c r="H2257" s="27">
        <v>295.27999999999997</v>
      </c>
      <c r="I2257" s="27">
        <v>802.8</v>
      </c>
      <c r="J2257" s="27">
        <v>19190.48</v>
      </c>
      <c r="K2257" s="47">
        <f t="shared" si="281"/>
        <v>0.54320371350794772</v>
      </c>
      <c r="L2257" s="47">
        <f t="shared" si="282"/>
        <v>0.31856420475152264</v>
      </c>
      <c r="M2257" s="84">
        <f t="shared" si="283"/>
        <v>0.86176791825947019</v>
      </c>
      <c r="N2257" s="47">
        <f t="shared" si="284"/>
        <v>3.9594632338534524E-2</v>
      </c>
      <c r="O2257" s="47">
        <f t="shared" si="285"/>
        <v>1.5386795952993358E-2</v>
      </c>
      <c r="P2257" s="47">
        <f t="shared" si="286"/>
        <v>4.1833242315981671E-2</v>
      </c>
      <c r="Q2257" s="47">
        <f t="shared" si="287"/>
        <v>1</v>
      </c>
    </row>
    <row r="2258" spans="1:17" x14ac:dyDescent="0.35">
      <c r="A2258" s="82">
        <v>2255</v>
      </c>
      <c r="B2258" s="83" t="str">
        <f>_xlfn.XLOOKUP(A2258,'TAZs by City - CCAG Model'!$A:$A,'TAZs by City - CCAG Model'!$B:$B,"Unknown")</f>
        <v>Oakland</v>
      </c>
      <c r="C2258" s="82">
        <f>_xlfn.XLOOKUP(A2258,'TAZs by City - CCAG Model'!$A:$A,'TAZs by City - CCAG Model'!$C:$C,999)</f>
        <v>4</v>
      </c>
      <c r="D2258" s="82" t="str">
        <f t="shared" si="280"/>
        <v>NO</v>
      </c>
      <c r="E2258" s="27">
        <v>12800.88</v>
      </c>
      <c r="F2258" s="27">
        <v>9177.42</v>
      </c>
      <c r="G2258" s="27">
        <v>1981.16</v>
      </c>
      <c r="H2258" s="27">
        <v>436.8</v>
      </c>
      <c r="I2258" s="27">
        <v>1989.84</v>
      </c>
      <c r="J2258" s="27">
        <v>28403.040000000001</v>
      </c>
      <c r="K2258" s="47">
        <f t="shared" si="281"/>
        <v>0.45068696871884134</v>
      </c>
      <c r="L2258" s="47">
        <f t="shared" si="282"/>
        <v>0.32311400469808865</v>
      </c>
      <c r="M2258" s="84">
        <f t="shared" si="283"/>
        <v>0.77380097341692999</v>
      </c>
      <c r="N2258" s="47">
        <f t="shared" si="284"/>
        <v>6.9751688551647997E-2</v>
      </c>
      <c r="O2258" s="47">
        <f t="shared" si="285"/>
        <v>1.5378635526338025E-2</v>
      </c>
      <c r="P2258" s="47">
        <f t="shared" si="286"/>
        <v>7.0057289642235468E-2</v>
      </c>
      <c r="Q2258" s="47">
        <f t="shared" si="287"/>
        <v>1</v>
      </c>
    </row>
    <row r="2259" spans="1:17" x14ac:dyDescent="0.35">
      <c r="A2259" s="82">
        <v>2256</v>
      </c>
      <c r="B2259" s="83" t="str">
        <f>_xlfn.XLOOKUP(A2259,'TAZs by City - CCAG Model'!$A:$A,'TAZs by City - CCAG Model'!$B:$B,"Unknown")</f>
        <v>Oakland</v>
      </c>
      <c r="C2259" s="82">
        <f>_xlfn.XLOOKUP(A2259,'TAZs by City - CCAG Model'!$A:$A,'TAZs by City - CCAG Model'!$C:$C,999)</f>
        <v>4</v>
      </c>
      <c r="D2259" s="82" t="str">
        <f t="shared" si="280"/>
        <v>NO</v>
      </c>
      <c r="E2259" s="27">
        <v>9942.26</v>
      </c>
      <c r="F2259" s="27">
        <v>7426.64</v>
      </c>
      <c r="G2259" s="27">
        <v>1643.48</v>
      </c>
      <c r="H2259" s="27">
        <v>380.98</v>
      </c>
      <c r="I2259" s="27">
        <v>1704.64</v>
      </c>
      <c r="J2259" s="27">
        <v>22776.799999999999</v>
      </c>
      <c r="K2259" s="47">
        <f t="shared" si="281"/>
        <v>0.43650820132766677</v>
      </c>
      <c r="L2259" s="47">
        <f t="shared" si="282"/>
        <v>0.32606160654701277</v>
      </c>
      <c r="M2259" s="84">
        <f t="shared" si="283"/>
        <v>0.76256980787467954</v>
      </c>
      <c r="N2259" s="47">
        <f t="shared" si="284"/>
        <v>7.2155877910856661E-2</v>
      </c>
      <c r="O2259" s="47">
        <f t="shared" si="285"/>
        <v>1.6726669242386992E-2</v>
      </c>
      <c r="P2259" s="47">
        <f t="shared" si="286"/>
        <v>7.4841066348213983E-2</v>
      </c>
      <c r="Q2259" s="47">
        <f t="shared" si="287"/>
        <v>1</v>
      </c>
    </row>
    <row r="2260" spans="1:17" x14ac:dyDescent="0.35">
      <c r="A2260" s="82">
        <v>2257</v>
      </c>
      <c r="B2260" s="83" t="str">
        <f>_xlfn.XLOOKUP(A2260,'TAZs by City - CCAG Model'!$A:$A,'TAZs by City - CCAG Model'!$B:$B,"Unknown")</f>
        <v>Oakland</v>
      </c>
      <c r="C2260" s="82">
        <f>_xlfn.XLOOKUP(A2260,'TAZs by City - CCAG Model'!$A:$A,'TAZs by City - CCAG Model'!$C:$C,999)</f>
        <v>4</v>
      </c>
      <c r="D2260" s="82" t="str">
        <f t="shared" si="280"/>
        <v>NO</v>
      </c>
      <c r="E2260" s="27">
        <v>11825.16</v>
      </c>
      <c r="F2260" s="27">
        <v>8554.2999999999993</v>
      </c>
      <c r="G2260" s="27">
        <v>3399.64</v>
      </c>
      <c r="H2260" s="27">
        <v>513.98</v>
      </c>
      <c r="I2260" s="27">
        <v>2682.1</v>
      </c>
      <c r="J2260" s="27">
        <v>30411.84</v>
      </c>
      <c r="K2260" s="47">
        <f t="shared" si="281"/>
        <v>0.3888340856718962</v>
      </c>
      <c r="L2260" s="47">
        <f t="shared" si="282"/>
        <v>0.28128189547228971</v>
      </c>
      <c r="M2260" s="84">
        <f t="shared" si="283"/>
        <v>0.67011598114418591</v>
      </c>
      <c r="N2260" s="47">
        <f t="shared" si="284"/>
        <v>0.11178672517019686</v>
      </c>
      <c r="O2260" s="47">
        <f t="shared" si="285"/>
        <v>1.6900654481938615E-2</v>
      </c>
      <c r="P2260" s="47">
        <f t="shared" si="286"/>
        <v>8.8192624977640285E-2</v>
      </c>
      <c r="Q2260" s="47">
        <f t="shared" si="287"/>
        <v>1</v>
      </c>
    </row>
    <row r="2261" spans="1:17" x14ac:dyDescent="0.35">
      <c r="A2261" s="82">
        <v>2258</v>
      </c>
      <c r="B2261" s="83" t="str">
        <f>_xlfn.XLOOKUP(A2261,'TAZs by City - CCAG Model'!$A:$A,'TAZs by City - CCAG Model'!$B:$B,"Unknown")</f>
        <v>Oakland</v>
      </c>
      <c r="C2261" s="82">
        <f>_xlfn.XLOOKUP(A2261,'TAZs by City - CCAG Model'!$A:$A,'TAZs by City - CCAG Model'!$C:$C,999)</f>
        <v>4</v>
      </c>
      <c r="D2261" s="82" t="str">
        <f t="shared" si="280"/>
        <v>NO</v>
      </c>
      <c r="E2261" s="27">
        <v>14722.58</v>
      </c>
      <c r="F2261" s="27">
        <v>8223.68</v>
      </c>
      <c r="G2261" s="27">
        <v>2311.46</v>
      </c>
      <c r="H2261" s="27">
        <v>415.9</v>
      </c>
      <c r="I2261" s="27">
        <v>2722.98</v>
      </c>
      <c r="J2261" s="27">
        <v>30743.599999999999</v>
      </c>
      <c r="K2261" s="47">
        <f t="shared" si="281"/>
        <v>0.47888275933852903</v>
      </c>
      <c r="L2261" s="47">
        <f t="shared" si="282"/>
        <v>0.26749242118684868</v>
      </c>
      <c r="M2261" s="84">
        <f t="shared" si="283"/>
        <v>0.74637518052537777</v>
      </c>
      <c r="N2261" s="47">
        <f t="shared" si="284"/>
        <v>7.5185079170949409E-2</v>
      </c>
      <c r="O2261" s="47">
        <f t="shared" si="285"/>
        <v>1.3528018839693465E-2</v>
      </c>
      <c r="P2261" s="47">
        <f t="shared" si="286"/>
        <v>8.8570629334235429E-2</v>
      </c>
      <c r="Q2261" s="47">
        <f t="shared" si="287"/>
        <v>1</v>
      </c>
    </row>
    <row r="2262" spans="1:17" x14ac:dyDescent="0.35">
      <c r="A2262" s="82">
        <v>2259</v>
      </c>
      <c r="B2262" s="83" t="str">
        <f>_xlfn.XLOOKUP(A2262,'TAZs by City - CCAG Model'!$A:$A,'TAZs by City - CCAG Model'!$B:$B,"Unknown")</f>
        <v>Oakland</v>
      </c>
      <c r="C2262" s="82">
        <f>_xlfn.XLOOKUP(A2262,'TAZs by City - CCAG Model'!$A:$A,'TAZs by City - CCAG Model'!$C:$C,999)</f>
        <v>4</v>
      </c>
      <c r="D2262" s="82" t="str">
        <f t="shared" si="280"/>
        <v>NO</v>
      </c>
      <c r="E2262" s="27">
        <v>8557.68</v>
      </c>
      <c r="F2262" s="27">
        <v>6019.3</v>
      </c>
      <c r="G2262" s="27">
        <v>2248.2800000000002</v>
      </c>
      <c r="H2262" s="27">
        <v>401.82</v>
      </c>
      <c r="I2262" s="27">
        <v>1389.48</v>
      </c>
      <c r="J2262" s="27">
        <v>20897.5</v>
      </c>
      <c r="K2262" s="47">
        <f t="shared" si="281"/>
        <v>0.4095073573393947</v>
      </c>
      <c r="L2262" s="47">
        <f t="shared" si="282"/>
        <v>0.28803923914343821</v>
      </c>
      <c r="M2262" s="84">
        <f t="shared" si="283"/>
        <v>0.6975465964828329</v>
      </c>
      <c r="N2262" s="47">
        <f t="shared" si="284"/>
        <v>0.10758607488934084</v>
      </c>
      <c r="O2262" s="47">
        <f t="shared" si="285"/>
        <v>1.9228137337002033E-2</v>
      </c>
      <c r="P2262" s="47">
        <f t="shared" si="286"/>
        <v>6.6490250029907882E-2</v>
      </c>
      <c r="Q2262" s="47">
        <f t="shared" si="287"/>
        <v>1</v>
      </c>
    </row>
    <row r="2263" spans="1:17" x14ac:dyDescent="0.35">
      <c r="A2263" s="82">
        <v>2260</v>
      </c>
      <c r="B2263" s="83" t="str">
        <f>_xlfn.XLOOKUP(A2263,'TAZs by City - CCAG Model'!$A:$A,'TAZs by City - CCAG Model'!$B:$B,"Unknown")</f>
        <v>Oakland</v>
      </c>
      <c r="C2263" s="82">
        <f>_xlfn.XLOOKUP(A2263,'TAZs by City - CCAG Model'!$A:$A,'TAZs by City - CCAG Model'!$C:$C,999)</f>
        <v>4</v>
      </c>
      <c r="D2263" s="82" t="str">
        <f t="shared" si="280"/>
        <v>NO</v>
      </c>
      <c r="E2263" s="27">
        <v>7222.96</v>
      </c>
      <c r="F2263" s="27">
        <v>5646.18</v>
      </c>
      <c r="G2263" s="27">
        <v>2077.6</v>
      </c>
      <c r="H2263" s="27">
        <v>360.18</v>
      </c>
      <c r="I2263" s="27">
        <v>1213.96</v>
      </c>
      <c r="J2263" s="27">
        <v>18634.12</v>
      </c>
      <c r="K2263" s="47">
        <f t="shared" si="281"/>
        <v>0.38762012909651761</v>
      </c>
      <c r="L2263" s="47">
        <f t="shared" si="282"/>
        <v>0.30300223461048875</v>
      </c>
      <c r="M2263" s="84">
        <f t="shared" si="283"/>
        <v>0.69062236370700625</v>
      </c>
      <c r="N2263" s="47">
        <f t="shared" si="284"/>
        <v>0.11149439844757895</v>
      </c>
      <c r="O2263" s="47">
        <f t="shared" si="285"/>
        <v>1.9329058737412877E-2</v>
      </c>
      <c r="P2263" s="47">
        <f t="shared" si="286"/>
        <v>6.514716015567143E-2</v>
      </c>
      <c r="Q2263" s="47">
        <f t="shared" si="287"/>
        <v>1</v>
      </c>
    </row>
    <row r="2264" spans="1:17" x14ac:dyDescent="0.35">
      <c r="A2264" s="82">
        <v>2261</v>
      </c>
      <c r="B2264" s="83" t="str">
        <f>_xlfn.XLOOKUP(A2264,'TAZs by City - CCAG Model'!$A:$A,'TAZs by City - CCAG Model'!$B:$B,"Unknown")</f>
        <v>Oakland</v>
      </c>
      <c r="C2264" s="82">
        <f>_xlfn.XLOOKUP(A2264,'TAZs by City - CCAG Model'!$A:$A,'TAZs by City - CCAG Model'!$C:$C,999)</f>
        <v>4</v>
      </c>
      <c r="D2264" s="82" t="str">
        <f t="shared" si="280"/>
        <v>NO</v>
      </c>
      <c r="E2264" s="27">
        <v>5588.92</v>
      </c>
      <c r="F2264" s="27">
        <v>4732.4399999999996</v>
      </c>
      <c r="G2264" s="27">
        <v>1325.18</v>
      </c>
      <c r="H2264" s="27">
        <v>251.02</v>
      </c>
      <c r="I2264" s="27">
        <v>1022.34</v>
      </c>
      <c r="J2264" s="27">
        <v>14278.9</v>
      </c>
      <c r="K2264" s="47">
        <f t="shared" si="281"/>
        <v>0.39141110309617688</v>
      </c>
      <c r="L2264" s="47">
        <f t="shared" si="282"/>
        <v>0.33142889158128425</v>
      </c>
      <c r="M2264" s="84">
        <f t="shared" si="283"/>
        <v>0.72283999467746118</v>
      </c>
      <c r="N2264" s="47">
        <f t="shared" si="284"/>
        <v>9.2806868876454077E-2</v>
      </c>
      <c r="O2264" s="47">
        <f t="shared" si="285"/>
        <v>1.7579785557711031E-2</v>
      </c>
      <c r="P2264" s="47">
        <f t="shared" si="286"/>
        <v>7.159795222321047E-2</v>
      </c>
      <c r="Q2264" s="47">
        <f t="shared" si="287"/>
        <v>1</v>
      </c>
    </row>
    <row r="2265" spans="1:17" x14ac:dyDescent="0.35">
      <c r="A2265" s="82">
        <v>2262</v>
      </c>
      <c r="B2265" s="83" t="str">
        <f>_xlfn.XLOOKUP(A2265,'TAZs by City - CCAG Model'!$A:$A,'TAZs by City - CCAG Model'!$B:$B,"Unknown")</f>
        <v>Oakland</v>
      </c>
      <c r="C2265" s="82">
        <f>_xlfn.XLOOKUP(A2265,'TAZs by City - CCAG Model'!$A:$A,'TAZs by City - CCAG Model'!$C:$C,999)</f>
        <v>4</v>
      </c>
      <c r="D2265" s="82" t="str">
        <f t="shared" si="280"/>
        <v>NO</v>
      </c>
      <c r="E2265" s="27">
        <v>3497.56</v>
      </c>
      <c r="F2265" s="27">
        <v>2306.3200000000002</v>
      </c>
      <c r="G2265" s="27">
        <v>487.4</v>
      </c>
      <c r="H2265" s="27">
        <v>108.26</v>
      </c>
      <c r="I2265" s="27">
        <v>476.9</v>
      </c>
      <c r="J2265" s="27">
        <v>7400.76</v>
      </c>
      <c r="K2265" s="47">
        <f t="shared" si="281"/>
        <v>0.47259470648960372</v>
      </c>
      <c r="L2265" s="47">
        <f t="shared" si="282"/>
        <v>0.31163285932796092</v>
      </c>
      <c r="M2265" s="84">
        <f t="shared" si="283"/>
        <v>0.7842275658175647</v>
      </c>
      <c r="N2265" s="47">
        <f t="shared" si="284"/>
        <v>6.5858101059891136E-2</v>
      </c>
      <c r="O2265" s="47">
        <f t="shared" si="285"/>
        <v>1.4628227371242954E-2</v>
      </c>
      <c r="P2265" s="47">
        <f t="shared" si="286"/>
        <v>6.4439327852815115E-2</v>
      </c>
      <c r="Q2265" s="47">
        <f t="shared" si="287"/>
        <v>1</v>
      </c>
    </row>
    <row r="2266" spans="1:17" x14ac:dyDescent="0.35">
      <c r="A2266" s="82">
        <v>2263</v>
      </c>
      <c r="B2266" s="83" t="str">
        <f>_xlfn.XLOOKUP(A2266,'TAZs by City - CCAG Model'!$A:$A,'TAZs by City - CCAG Model'!$B:$B,"Unknown")</f>
        <v>Oakland</v>
      </c>
      <c r="C2266" s="82">
        <f>_xlfn.XLOOKUP(A2266,'TAZs by City - CCAG Model'!$A:$A,'TAZs by City - CCAG Model'!$C:$C,999)</f>
        <v>4</v>
      </c>
      <c r="D2266" s="82" t="str">
        <f t="shared" si="280"/>
        <v>NO</v>
      </c>
      <c r="E2266" s="27">
        <v>9211.7000000000007</v>
      </c>
      <c r="F2266" s="27">
        <v>5207.76</v>
      </c>
      <c r="G2266" s="27">
        <v>1280.8800000000001</v>
      </c>
      <c r="H2266" s="27">
        <v>324.95999999999998</v>
      </c>
      <c r="I2266" s="27">
        <v>918.58</v>
      </c>
      <c r="J2266" s="27">
        <v>18261.919999999998</v>
      </c>
      <c r="K2266" s="47">
        <f t="shared" si="281"/>
        <v>0.50442122186495186</v>
      </c>
      <c r="L2266" s="47">
        <f t="shared" si="282"/>
        <v>0.28517045305203398</v>
      </c>
      <c r="M2266" s="84">
        <f t="shared" si="283"/>
        <v>0.7895916749169859</v>
      </c>
      <c r="N2266" s="47">
        <f t="shared" si="284"/>
        <v>7.013939388629456E-2</v>
      </c>
      <c r="O2266" s="47">
        <f t="shared" si="285"/>
        <v>1.7794404969466517E-2</v>
      </c>
      <c r="P2266" s="47">
        <f t="shared" si="286"/>
        <v>5.0300297011486202E-2</v>
      </c>
      <c r="Q2266" s="47">
        <f t="shared" si="287"/>
        <v>1</v>
      </c>
    </row>
    <row r="2267" spans="1:17" x14ac:dyDescent="0.35">
      <c r="A2267" s="82">
        <v>2264</v>
      </c>
      <c r="B2267" s="83" t="str">
        <f>_xlfn.XLOOKUP(A2267,'TAZs by City - CCAG Model'!$A:$A,'TAZs by City - CCAG Model'!$B:$B,"Unknown")</f>
        <v>Oakland</v>
      </c>
      <c r="C2267" s="82">
        <f>_xlfn.XLOOKUP(A2267,'TAZs by City - CCAG Model'!$A:$A,'TAZs by City - CCAG Model'!$C:$C,999)</f>
        <v>4</v>
      </c>
      <c r="D2267" s="82" t="str">
        <f t="shared" si="280"/>
        <v>NO</v>
      </c>
      <c r="E2267" s="27">
        <v>5109.08</v>
      </c>
      <c r="F2267" s="27">
        <v>4553.5</v>
      </c>
      <c r="G2267" s="27">
        <v>1099.8399999999999</v>
      </c>
      <c r="H2267" s="27">
        <v>214.7</v>
      </c>
      <c r="I2267" s="27">
        <v>985.82</v>
      </c>
      <c r="J2267" s="27">
        <v>13090.72</v>
      </c>
      <c r="K2267" s="47">
        <f t="shared" si="281"/>
        <v>0.39028258185951575</v>
      </c>
      <c r="L2267" s="47">
        <f t="shared" si="282"/>
        <v>0.34784182993754353</v>
      </c>
      <c r="M2267" s="84">
        <f t="shared" si="283"/>
        <v>0.73812441179705934</v>
      </c>
      <c r="N2267" s="47">
        <f t="shared" si="284"/>
        <v>8.401676913110967E-2</v>
      </c>
      <c r="O2267" s="47">
        <f t="shared" si="285"/>
        <v>1.6400931346786121E-2</v>
      </c>
      <c r="P2267" s="47">
        <f t="shared" si="286"/>
        <v>7.5306782209076356E-2</v>
      </c>
      <c r="Q2267" s="47">
        <f t="shared" si="287"/>
        <v>1</v>
      </c>
    </row>
    <row r="2268" spans="1:17" x14ac:dyDescent="0.35">
      <c r="A2268" s="82">
        <v>2265</v>
      </c>
      <c r="B2268" s="83" t="str">
        <f>_xlfn.XLOOKUP(A2268,'TAZs by City - CCAG Model'!$A:$A,'TAZs by City - CCAG Model'!$B:$B,"Unknown")</f>
        <v>Oakland</v>
      </c>
      <c r="C2268" s="82">
        <f>_xlfn.XLOOKUP(A2268,'TAZs by City - CCAG Model'!$A:$A,'TAZs by City - CCAG Model'!$C:$C,999)</f>
        <v>4</v>
      </c>
      <c r="D2268" s="82" t="str">
        <f t="shared" si="280"/>
        <v>NO</v>
      </c>
      <c r="E2268" s="27">
        <v>9287.94</v>
      </c>
      <c r="F2268" s="27">
        <v>8046.96</v>
      </c>
      <c r="G2268" s="27">
        <v>1847.16</v>
      </c>
      <c r="H2268" s="27">
        <v>447.96</v>
      </c>
      <c r="I2268" s="27">
        <v>2073.2199999999998</v>
      </c>
      <c r="J2268" s="27">
        <v>23585.78</v>
      </c>
      <c r="K2268" s="47">
        <f t="shared" si="281"/>
        <v>0.39379405726670907</v>
      </c>
      <c r="L2268" s="47">
        <f t="shared" si="282"/>
        <v>0.3411784558322854</v>
      </c>
      <c r="M2268" s="84">
        <f t="shared" si="283"/>
        <v>0.73497251309899447</v>
      </c>
      <c r="N2268" s="47">
        <f t="shared" si="284"/>
        <v>7.8316680644015174E-2</v>
      </c>
      <c r="O2268" s="47">
        <f t="shared" si="285"/>
        <v>1.8992799898922146E-2</v>
      </c>
      <c r="P2268" s="47">
        <f t="shared" si="286"/>
        <v>8.7901269324143605E-2</v>
      </c>
      <c r="Q2268" s="47">
        <f t="shared" si="287"/>
        <v>1</v>
      </c>
    </row>
    <row r="2269" spans="1:17" x14ac:dyDescent="0.35">
      <c r="A2269" s="82">
        <v>2266</v>
      </c>
      <c r="B2269" s="83" t="str">
        <f>_xlfn.XLOOKUP(A2269,'TAZs by City - CCAG Model'!$A:$A,'TAZs by City - CCAG Model'!$B:$B,"Unknown")</f>
        <v>Oakland</v>
      </c>
      <c r="C2269" s="82">
        <f>_xlfn.XLOOKUP(A2269,'TAZs by City - CCAG Model'!$A:$A,'TAZs by City - CCAG Model'!$C:$C,999)</f>
        <v>4</v>
      </c>
      <c r="D2269" s="82" t="str">
        <f t="shared" si="280"/>
        <v>NO</v>
      </c>
      <c r="E2269" s="27">
        <v>10783.86</v>
      </c>
      <c r="F2269" s="27">
        <v>7532.52</v>
      </c>
      <c r="G2269" s="27">
        <v>2854.66</v>
      </c>
      <c r="H2269" s="27">
        <v>513.88</v>
      </c>
      <c r="I2269" s="27">
        <v>2325.7800000000002</v>
      </c>
      <c r="J2269" s="27">
        <v>26898.26</v>
      </c>
      <c r="K2269" s="47">
        <f t="shared" si="281"/>
        <v>0.40091292150495983</v>
      </c>
      <c r="L2269" s="47">
        <f t="shared" si="282"/>
        <v>0.28003744480126225</v>
      </c>
      <c r="M2269" s="84">
        <f t="shared" si="283"/>
        <v>0.68095036630622208</v>
      </c>
      <c r="N2269" s="47">
        <f t="shared" si="284"/>
        <v>0.10612805437972568</v>
      </c>
      <c r="O2269" s="47">
        <f t="shared" si="285"/>
        <v>1.9104581485939985E-2</v>
      </c>
      <c r="P2269" s="47">
        <f t="shared" si="286"/>
        <v>8.6465816004455326E-2</v>
      </c>
      <c r="Q2269" s="47">
        <f t="shared" si="287"/>
        <v>1</v>
      </c>
    </row>
    <row r="2270" spans="1:17" x14ac:dyDescent="0.35">
      <c r="A2270" s="82">
        <v>2267</v>
      </c>
      <c r="B2270" s="83" t="str">
        <f>_xlfn.XLOOKUP(A2270,'TAZs by City - CCAG Model'!$A:$A,'TAZs by City - CCAG Model'!$B:$B,"Unknown")</f>
        <v>Oakland</v>
      </c>
      <c r="C2270" s="82">
        <f>_xlfn.XLOOKUP(A2270,'TAZs by City - CCAG Model'!$A:$A,'TAZs by City - CCAG Model'!$C:$C,999)</f>
        <v>4</v>
      </c>
      <c r="D2270" s="82" t="str">
        <f t="shared" si="280"/>
        <v>NO</v>
      </c>
      <c r="E2270" s="27">
        <v>5899.94</v>
      </c>
      <c r="F2270" s="27">
        <v>3997.78</v>
      </c>
      <c r="G2270" s="27">
        <v>1241.78</v>
      </c>
      <c r="H2270" s="27">
        <v>226.72</v>
      </c>
      <c r="I2270" s="27">
        <v>978.44</v>
      </c>
      <c r="J2270" s="27">
        <v>13619.46</v>
      </c>
      <c r="K2270" s="47">
        <f t="shared" si="281"/>
        <v>0.43319926046994522</v>
      </c>
      <c r="L2270" s="47">
        <f t="shared" si="282"/>
        <v>0.29353439857380548</v>
      </c>
      <c r="M2270" s="84">
        <f t="shared" si="283"/>
        <v>0.72673365904375065</v>
      </c>
      <c r="N2270" s="47">
        <f t="shared" si="284"/>
        <v>9.117688953893914E-2</v>
      </c>
      <c r="O2270" s="47">
        <f t="shared" si="285"/>
        <v>1.6646768667773908E-2</v>
      </c>
      <c r="P2270" s="47">
        <f t="shared" si="286"/>
        <v>7.1841321168387012E-2</v>
      </c>
      <c r="Q2270" s="47">
        <f t="shared" si="287"/>
        <v>1</v>
      </c>
    </row>
    <row r="2271" spans="1:17" x14ac:dyDescent="0.35">
      <c r="A2271" s="82">
        <v>2268</v>
      </c>
      <c r="B2271" s="83" t="str">
        <f>_xlfn.XLOOKUP(A2271,'TAZs by City - CCAG Model'!$A:$A,'TAZs by City - CCAG Model'!$B:$B,"Unknown")</f>
        <v>Oakland</v>
      </c>
      <c r="C2271" s="82">
        <f>_xlfn.XLOOKUP(A2271,'TAZs by City - CCAG Model'!$A:$A,'TAZs by City - CCAG Model'!$C:$C,999)</f>
        <v>4</v>
      </c>
      <c r="D2271" s="82" t="str">
        <f t="shared" si="280"/>
        <v>NO</v>
      </c>
      <c r="E2271" s="27">
        <v>5534.74</v>
      </c>
      <c r="F2271" s="27">
        <v>3664.44</v>
      </c>
      <c r="G2271" s="27">
        <v>965.14</v>
      </c>
      <c r="H2271" s="27">
        <v>213.2</v>
      </c>
      <c r="I2271" s="27">
        <v>761.76</v>
      </c>
      <c r="J2271" s="27">
        <v>12140.4</v>
      </c>
      <c r="K2271" s="47">
        <f t="shared" si="281"/>
        <v>0.45589436921353499</v>
      </c>
      <c r="L2271" s="47">
        <f t="shared" si="282"/>
        <v>0.30183848967085103</v>
      </c>
      <c r="M2271" s="84">
        <f t="shared" si="283"/>
        <v>0.75773285888438602</v>
      </c>
      <c r="N2271" s="47">
        <f t="shared" si="284"/>
        <v>7.9498204342525788E-2</v>
      </c>
      <c r="O2271" s="47">
        <f t="shared" si="285"/>
        <v>1.7561200619419459E-2</v>
      </c>
      <c r="P2271" s="47">
        <f t="shared" si="286"/>
        <v>6.274587328259365E-2</v>
      </c>
      <c r="Q2271" s="47">
        <f t="shared" si="287"/>
        <v>1</v>
      </c>
    </row>
    <row r="2272" spans="1:17" x14ac:dyDescent="0.35">
      <c r="A2272" s="82">
        <v>2269</v>
      </c>
      <c r="B2272" s="83" t="str">
        <f>_xlfn.XLOOKUP(A2272,'TAZs by City - CCAG Model'!$A:$A,'TAZs by City - CCAG Model'!$B:$B,"Unknown")</f>
        <v>Oakland</v>
      </c>
      <c r="C2272" s="82">
        <f>_xlfn.XLOOKUP(A2272,'TAZs by City - CCAG Model'!$A:$A,'TAZs by City - CCAG Model'!$C:$C,999)</f>
        <v>4</v>
      </c>
      <c r="D2272" s="82" t="str">
        <f t="shared" si="280"/>
        <v>NO</v>
      </c>
      <c r="E2272" s="27">
        <v>9400.26</v>
      </c>
      <c r="F2272" s="27">
        <v>5343.68</v>
      </c>
      <c r="G2272" s="27">
        <v>773.2</v>
      </c>
      <c r="H2272" s="27">
        <v>228.64</v>
      </c>
      <c r="I2272" s="27">
        <v>766.12</v>
      </c>
      <c r="J2272" s="27">
        <v>17322.439999999999</v>
      </c>
      <c r="K2272" s="47">
        <f t="shared" si="281"/>
        <v>0.54266373559383096</v>
      </c>
      <c r="L2272" s="47">
        <f t="shared" si="282"/>
        <v>0.30848310053318129</v>
      </c>
      <c r="M2272" s="84">
        <f t="shared" si="283"/>
        <v>0.85114683612701225</v>
      </c>
      <c r="N2272" s="47">
        <f t="shared" si="284"/>
        <v>4.4635744156135054E-2</v>
      </c>
      <c r="O2272" s="47">
        <f t="shared" si="285"/>
        <v>1.3199064335047488E-2</v>
      </c>
      <c r="P2272" s="47">
        <f t="shared" si="286"/>
        <v>4.422702575387763E-2</v>
      </c>
      <c r="Q2272" s="47">
        <f t="shared" si="287"/>
        <v>1</v>
      </c>
    </row>
    <row r="2273" spans="1:17" x14ac:dyDescent="0.35">
      <c r="A2273" s="82">
        <v>2270</v>
      </c>
      <c r="B2273" s="83" t="str">
        <f>_xlfn.XLOOKUP(A2273,'TAZs by City - CCAG Model'!$A:$A,'TAZs by City - CCAG Model'!$B:$B,"Unknown")</f>
        <v>Oakland</v>
      </c>
      <c r="C2273" s="82">
        <f>_xlfn.XLOOKUP(A2273,'TAZs by City - CCAG Model'!$A:$A,'TAZs by City - CCAG Model'!$C:$C,999)</f>
        <v>4</v>
      </c>
      <c r="D2273" s="82" t="str">
        <f t="shared" si="280"/>
        <v>NO</v>
      </c>
      <c r="E2273" s="27">
        <v>8076.5</v>
      </c>
      <c r="F2273" s="27">
        <v>5686.12</v>
      </c>
      <c r="G2273" s="27">
        <v>719.26</v>
      </c>
      <c r="H2273" s="27">
        <v>218.72</v>
      </c>
      <c r="I2273" s="27">
        <v>856.98</v>
      </c>
      <c r="J2273" s="27">
        <v>16311.9</v>
      </c>
      <c r="K2273" s="47">
        <f t="shared" si="281"/>
        <v>0.49512932276436222</v>
      </c>
      <c r="L2273" s="47">
        <f t="shared" si="282"/>
        <v>0.34858722772944906</v>
      </c>
      <c r="M2273" s="84">
        <f t="shared" si="283"/>
        <v>0.84371655049381122</v>
      </c>
      <c r="N2273" s="47">
        <f t="shared" si="284"/>
        <v>4.4094188905032521E-2</v>
      </c>
      <c r="O2273" s="47">
        <f t="shared" si="285"/>
        <v>1.3408615795830038E-2</v>
      </c>
      <c r="P2273" s="47">
        <f t="shared" si="286"/>
        <v>5.25371048130506E-2</v>
      </c>
      <c r="Q2273" s="47">
        <f t="shared" si="287"/>
        <v>1</v>
      </c>
    </row>
    <row r="2274" spans="1:17" x14ac:dyDescent="0.35">
      <c r="A2274" s="82">
        <v>2271</v>
      </c>
      <c r="B2274" s="83" t="str">
        <f>_xlfn.XLOOKUP(A2274,'TAZs by City - CCAG Model'!$A:$A,'TAZs by City - CCAG Model'!$B:$B,"Unknown")</f>
        <v>Oakland</v>
      </c>
      <c r="C2274" s="82">
        <f>_xlfn.XLOOKUP(A2274,'TAZs by City - CCAG Model'!$A:$A,'TAZs by City - CCAG Model'!$C:$C,999)</f>
        <v>4</v>
      </c>
      <c r="D2274" s="82" t="str">
        <f t="shared" si="280"/>
        <v>NO</v>
      </c>
      <c r="E2274" s="27">
        <v>11483.74</v>
      </c>
      <c r="F2274" s="27">
        <v>5613.3</v>
      </c>
      <c r="G2274" s="27">
        <v>1471.24</v>
      </c>
      <c r="H2274" s="27">
        <v>324.64</v>
      </c>
      <c r="I2274" s="27">
        <v>1121.5</v>
      </c>
      <c r="J2274" s="27">
        <v>21521.82</v>
      </c>
      <c r="K2274" s="47">
        <f t="shared" si="281"/>
        <v>0.53358591420242341</v>
      </c>
      <c r="L2274" s="47">
        <f t="shared" si="282"/>
        <v>0.26081901995277351</v>
      </c>
      <c r="M2274" s="84">
        <f t="shared" si="283"/>
        <v>0.79440493415519697</v>
      </c>
      <c r="N2274" s="47">
        <f t="shared" si="284"/>
        <v>6.8360389595303744E-2</v>
      </c>
      <c r="O2274" s="47">
        <f t="shared" si="285"/>
        <v>1.5084226148160332E-2</v>
      </c>
      <c r="P2274" s="47">
        <f t="shared" si="286"/>
        <v>5.2109905203184488E-2</v>
      </c>
      <c r="Q2274" s="47">
        <f t="shared" si="287"/>
        <v>1</v>
      </c>
    </row>
    <row r="2275" spans="1:17" x14ac:dyDescent="0.35">
      <c r="A2275" s="82">
        <v>2272</v>
      </c>
      <c r="B2275" s="83" t="str">
        <f>_xlfn.XLOOKUP(A2275,'TAZs by City - CCAG Model'!$A:$A,'TAZs by City - CCAG Model'!$B:$B,"Unknown")</f>
        <v>Oakland</v>
      </c>
      <c r="C2275" s="82">
        <f>_xlfn.XLOOKUP(A2275,'TAZs by City - CCAG Model'!$A:$A,'TAZs by City - CCAG Model'!$C:$C,999)</f>
        <v>4</v>
      </c>
      <c r="D2275" s="82" t="str">
        <f t="shared" si="280"/>
        <v>NO</v>
      </c>
      <c r="E2275" s="27">
        <v>11039.52</v>
      </c>
      <c r="F2275" s="27">
        <v>5303.46</v>
      </c>
      <c r="G2275" s="27">
        <v>1870.64</v>
      </c>
      <c r="H2275" s="27">
        <v>374.88</v>
      </c>
      <c r="I2275" s="27">
        <v>1319.54</v>
      </c>
      <c r="J2275" s="27">
        <v>21816.959999999999</v>
      </c>
      <c r="K2275" s="47">
        <f t="shared" si="281"/>
        <v>0.50600633635483594</v>
      </c>
      <c r="L2275" s="47">
        <f t="shared" si="282"/>
        <v>0.24308886297632668</v>
      </c>
      <c r="M2275" s="84">
        <f t="shared" si="283"/>
        <v>0.74909519933116253</v>
      </c>
      <c r="N2275" s="47">
        <f t="shared" si="284"/>
        <v>8.574246824488839E-2</v>
      </c>
      <c r="O2275" s="47">
        <f t="shared" si="285"/>
        <v>1.718296224588577E-2</v>
      </c>
      <c r="P2275" s="47">
        <f t="shared" si="286"/>
        <v>6.0482303675672505E-2</v>
      </c>
      <c r="Q2275" s="47">
        <f t="shared" si="287"/>
        <v>1</v>
      </c>
    </row>
    <row r="2276" spans="1:17" x14ac:dyDescent="0.35">
      <c r="A2276" s="82">
        <v>2273</v>
      </c>
      <c r="B2276" s="83" t="str">
        <f>_xlfn.XLOOKUP(A2276,'TAZs by City - CCAG Model'!$A:$A,'TAZs by City - CCAG Model'!$B:$B,"Unknown")</f>
        <v>Oakland</v>
      </c>
      <c r="C2276" s="82">
        <f>_xlfn.XLOOKUP(A2276,'TAZs by City - CCAG Model'!$A:$A,'TAZs by City - CCAG Model'!$C:$C,999)</f>
        <v>4</v>
      </c>
      <c r="D2276" s="82" t="str">
        <f t="shared" si="280"/>
        <v>NO</v>
      </c>
      <c r="E2276" s="27">
        <v>9730.84</v>
      </c>
      <c r="F2276" s="27">
        <v>4980.32</v>
      </c>
      <c r="G2276" s="27">
        <v>2624.62</v>
      </c>
      <c r="H2276" s="27">
        <v>404.74</v>
      </c>
      <c r="I2276" s="27">
        <v>1802.26</v>
      </c>
      <c r="J2276" s="27">
        <v>22203.02</v>
      </c>
      <c r="K2276" s="47">
        <f t="shared" si="281"/>
        <v>0.43826650608791057</v>
      </c>
      <c r="L2276" s="47">
        <f t="shared" si="282"/>
        <v>0.22430822473699522</v>
      </c>
      <c r="M2276" s="84">
        <f t="shared" si="283"/>
        <v>0.66257473082490581</v>
      </c>
      <c r="N2276" s="47">
        <f t="shared" si="284"/>
        <v>0.11821004530014385</v>
      </c>
      <c r="O2276" s="47">
        <f t="shared" si="285"/>
        <v>1.8229051723594358E-2</v>
      </c>
      <c r="P2276" s="47">
        <f t="shared" si="286"/>
        <v>8.117184058745161E-2</v>
      </c>
      <c r="Q2276" s="47">
        <f t="shared" si="287"/>
        <v>1</v>
      </c>
    </row>
    <row r="2277" spans="1:17" x14ac:dyDescent="0.35">
      <c r="A2277" s="82">
        <v>2274</v>
      </c>
      <c r="B2277" s="83" t="str">
        <f>_xlfn.XLOOKUP(A2277,'TAZs by City - CCAG Model'!$A:$A,'TAZs by City - CCAG Model'!$B:$B,"Unknown")</f>
        <v>Oakland</v>
      </c>
      <c r="C2277" s="82">
        <f>_xlfn.XLOOKUP(A2277,'TAZs by City - CCAG Model'!$A:$A,'TAZs by City - CCAG Model'!$C:$C,999)</f>
        <v>4</v>
      </c>
      <c r="D2277" s="82" t="str">
        <f t="shared" si="280"/>
        <v>NO</v>
      </c>
      <c r="E2277" s="27">
        <v>13497.54</v>
      </c>
      <c r="F2277" s="27">
        <v>6019.98</v>
      </c>
      <c r="G2277" s="27">
        <v>3660.92</v>
      </c>
      <c r="H2277" s="27">
        <v>512.64</v>
      </c>
      <c r="I2277" s="27">
        <v>2557.1999999999998</v>
      </c>
      <c r="J2277" s="27">
        <v>29946.46</v>
      </c>
      <c r="K2277" s="47">
        <f t="shared" si="281"/>
        <v>0.4507223892239684</v>
      </c>
      <c r="L2277" s="47">
        <f t="shared" si="282"/>
        <v>0.20102476219225912</v>
      </c>
      <c r="M2277" s="84">
        <f t="shared" si="283"/>
        <v>0.65174715141622752</v>
      </c>
      <c r="N2277" s="47">
        <f t="shared" si="284"/>
        <v>0.12224884009662579</v>
      </c>
      <c r="O2277" s="47">
        <f t="shared" si="285"/>
        <v>1.7118550907185691E-2</v>
      </c>
      <c r="P2277" s="47">
        <f t="shared" si="286"/>
        <v>8.539239696444921E-2</v>
      </c>
      <c r="Q2277" s="47">
        <f t="shared" si="287"/>
        <v>1</v>
      </c>
    </row>
    <row r="2278" spans="1:17" x14ac:dyDescent="0.35">
      <c r="A2278" s="82">
        <v>2275</v>
      </c>
      <c r="B2278" s="83" t="str">
        <f>_xlfn.XLOOKUP(A2278,'TAZs by City - CCAG Model'!$A:$A,'TAZs by City - CCAG Model'!$B:$B,"Unknown")</f>
        <v>Oakland</v>
      </c>
      <c r="C2278" s="82">
        <f>_xlfn.XLOOKUP(A2278,'TAZs by City - CCAG Model'!$A:$A,'TAZs by City - CCAG Model'!$C:$C,999)</f>
        <v>4</v>
      </c>
      <c r="D2278" s="82" t="str">
        <f t="shared" si="280"/>
        <v>NO</v>
      </c>
      <c r="E2278" s="27">
        <v>10913.58</v>
      </c>
      <c r="F2278" s="27">
        <v>6552.46</v>
      </c>
      <c r="G2278" s="27">
        <v>1894.14</v>
      </c>
      <c r="H2278" s="27">
        <v>398.54</v>
      </c>
      <c r="I2278" s="27">
        <v>1717.38</v>
      </c>
      <c r="J2278" s="27">
        <v>23409.48</v>
      </c>
      <c r="K2278" s="47">
        <f t="shared" si="281"/>
        <v>0.46620343553124632</v>
      </c>
      <c r="L2278" s="47">
        <f t="shared" si="282"/>
        <v>0.27990626019885961</v>
      </c>
      <c r="M2278" s="84">
        <f t="shared" si="283"/>
        <v>0.74610969573010599</v>
      </c>
      <c r="N2278" s="47">
        <f t="shared" si="284"/>
        <v>8.0913373556354098E-2</v>
      </c>
      <c r="O2278" s="47">
        <f t="shared" si="285"/>
        <v>1.7024726734639131E-2</v>
      </c>
      <c r="P2278" s="47">
        <f t="shared" si="286"/>
        <v>7.3362586439339961E-2</v>
      </c>
      <c r="Q2278" s="47">
        <f t="shared" si="287"/>
        <v>1</v>
      </c>
    </row>
    <row r="2279" spans="1:17" x14ac:dyDescent="0.35">
      <c r="A2279" s="82">
        <v>2276</v>
      </c>
      <c r="B2279" s="83" t="str">
        <f>_xlfn.XLOOKUP(A2279,'TAZs by City - CCAG Model'!$A:$A,'TAZs by City - CCAG Model'!$B:$B,"Unknown")</f>
        <v>Oakland</v>
      </c>
      <c r="C2279" s="82">
        <f>_xlfn.XLOOKUP(A2279,'TAZs by City - CCAG Model'!$A:$A,'TAZs by City - CCAG Model'!$C:$C,999)</f>
        <v>4</v>
      </c>
      <c r="D2279" s="82" t="str">
        <f t="shared" si="280"/>
        <v>NO</v>
      </c>
      <c r="E2279" s="27">
        <v>12297.66</v>
      </c>
      <c r="F2279" s="27">
        <v>6546.34</v>
      </c>
      <c r="G2279" s="27">
        <v>2515.9</v>
      </c>
      <c r="H2279" s="27">
        <v>469.38</v>
      </c>
      <c r="I2279" s="27">
        <v>2356.54</v>
      </c>
      <c r="J2279" s="27">
        <v>26736.26</v>
      </c>
      <c r="K2279" s="47">
        <f t="shared" si="281"/>
        <v>0.45996186452405835</v>
      </c>
      <c r="L2279" s="47">
        <f t="shared" si="282"/>
        <v>0.24484875595913566</v>
      </c>
      <c r="M2279" s="84">
        <f t="shared" si="283"/>
        <v>0.70481062048319398</v>
      </c>
      <c r="N2279" s="47">
        <f t="shared" si="284"/>
        <v>9.4100670774446393E-2</v>
      </c>
      <c r="O2279" s="47">
        <f t="shared" si="285"/>
        <v>1.7555933402802038E-2</v>
      </c>
      <c r="P2279" s="47">
        <f t="shared" si="286"/>
        <v>8.8140226045078859E-2</v>
      </c>
      <c r="Q2279" s="47">
        <f t="shared" si="287"/>
        <v>1</v>
      </c>
    </row>
    <row r="2280" spans="1:17" x14ac:dyDescent="0.35">
      <c r="A2280" s="82">
        <v>2277</v>
      </c>
      <c r="B2280" s="83" t="str">
        <f>_xlfn.XLOOKUP(A2280,'TAZs by City - CCAG Model'!$A:$A,'TAZs by City - CCAG Model'!$B:$B,"Unknown")</f>
        <v>Oakland</v>
      </c>
      <c r="C2280" s="82">
        <f>_xlfn.XLOOKUP(A2280,'TAZs by City - CCAG Model'!$A:$A,'TAZs by City - CCAG Model'!$C:$C,999)</f>
        <v>4</v>
      </c>
      <c r="D2280" s="82" t="str">
        <f t="shared" si="280"/>
        <v>NO</v>
      </c>
      <c r="E2280" s="27">
        <v>24315.68</v>
      </c>
      <c r="F2280" s="27">
        <v>9321.0400000000009</v>
      </c>
      <c r="G2280" s="27">
        <v>6375.76</v>
      </c>
      <c r="H2280" s="27">
        <v>800.46</v>
      </c>
      <c r="I2280" s="27">
        <v>6271.82</v>
      </c>
      <c r="J2280" s="27">
        <v>53488.38</v>
      </c>
      <c r="K2280" s="47">
        <f t="shared" si="281"/>
        <v>0.45459742845081497</v>
      </c>
      <c r="L2280" s="47">
        <f t="shared" si="282"/>
        <v>0.17426289597852845</v>
      </c>
      <c r="M2280" s="84">
        <f t="shared" si="283"/>
        <v>0.62886032442934336</v>
      </c>
      <c r="N2280" s="47">
        <f t="shared" si="284"/>
        <v>0.11919897368362999</v>
      </c>
      <c r="O2280" s="47">
        <f t="shared" si="285"/>
        <v>1.4965119526895375E-2</v>
      </c>
      <c r="P2280" s="47">
        <f t="shared" si="286"/>
        <v>0.11725574788393292</v>
      </c>
      <c r="Q2280" s="47">
        <f t="shared" si="287"/>
        <v>1</v>
      </c>
    </row>
    <row r="2281" spans="1:17" x14ac:dyDescent="0.35">
      <c r="A2281" s="82">
        <v>2278</v>
      </c>
      <c r="B2281" s="83" t="str">
        <f>_xlfn.XLOOKUP(A2281,'TAZs by City - CCAG Model'!$A:$A,'TAZs by City - CCAG Model'!$B:$B,"Unknown")</f>
        <v>Oakland</v>
      </c>
      <c r="C2281" s="82">
        <f>_xlfn.XLOOKUP(A2281,'TAZs by City - CCAG Model'!$A:$A,'TAZs by City - CCAG Model'!$C:$C,999)</f>
        <v>4</v>
      </c>
      <c r="D2281" s="82" t="str">
        <f t="shared" si="280"/>
        <v>NO</v>
      </c>
      <c r="E2281" s="27">
        <v>26747.24</v>
      </c>
      <c r="F2281" s="27">
        <v>10784.4</v>
      </c>
      <c r="G2281" s="27">
        <v>6913.78</v>
      </c>
      <c r="H2281" s="27">
        <v>1007.06</v>
      </c>
      <c r="I2281" s="27">
        <v>6097.4</v>
      </c>
      <c r="J2281" s="27">
        <v>58498.64</v>
      </c>
      <c r="K2281" s="47">
        <f t="shared" si="281"/>
        <v>0.45722840736126519</v>
      </c>
      <c r="L2281" s="47">
        <f t="shared" si="282"/>
        <v>0.18435300376213873</v>
      </c>
      <c r="M2281" s="84">
        <f t="shared" si="283"/>
        <v>0.64158141112340394</v>
      </c>
      <c r="N2281" s="47">
        <f t="shared" si="284"/>
        <v>0.11818702109997771</v>
      </c>
      <c r="O2281" s="47">
        <f t="shared" si="285"/>
        <v>1.7215101069016303E-2</v>
      </c>
      <c r="P2281" s="47">
        <f t="shared" si="286"/>
        <v>0.10423148298832245</v>
      </c>
      <c r="Q2281" s="47">
        <f t="shared" si="287"/>
        <v>1</v>
      </c>
    </row>
    <row r="2282" spans="1:17" x14ac:dyDescent="0.35">
      <c r="A2282" s="82">
        <v>2279</v>
      </c>
      <c r="B2282" s="83" t="str">
        <f>_xlfn.XLOOKUP(A2282,'TAZs by City - CCAG Model'!$A:$A,'TAZs by City - CCAG Model'!$B:$B,"Unknown")</f>
        <v>Oakland</v>
      </c>
      <c r="C2282" s="82">
        <f>_xlfn.XLOOKUP(A2282,'TAZs by City - CCAG Model'!$A:$A,'TAZs by City - CCAG Model'!$C:$C,999)</f>
        <v>4</v>
      </c>
      <c r="D2282" s="82" t="str">
        <f t="shared" si="280"/>
        <v>NO</v>
      </c>
      <c r="E2282" s="27">
        <v>19166.82</v>
      </c>
      <c r="F2282" s="27">
        <v>8629.08</v>
      </c>
      <c r="G2282" s="27">
        <v>2376.1</v>
      </c>
      <c r="H2282" s="27">
        <v>523.36</v>
      </c>
      <c r="I2282" s="27">
        <v>2587.46</v>
      </c>
      <c r="J2282" s="27">
        <v>35690.980000000003</v>
      </c>
      <c r="K2282" s="47">
        <f t="shared" si="281"/>
        <v>0.53702139868392518</v>
      </c>
      <c r="L2282" s="47">
        <f t="shared" si="282"/>
        <v>0.24177201074333066</v>
      </c>
      <c r="M2282" s="84">
        <f t="shared" si="283"/>
        <v>0.77879340942725583</v>
      </c>
      <c r="N2282" s="47">
        <f t="shared" si="284"/>
        <v>6.6574243688461335E-2</v>
      </c>
      <c r="O2282" s="47">
        <f t="shared" si="285"/>
        <v>1.4663648910733186E-2</v>
      </c>
      <c r="P2282" s="47">
        <f t="shared" si="286"/>
        <v>7.2496188112514695E-2</v>
      </c>
      <c r="Q2282" s="47">
        <f t="shared" si="287"/>
        <v>1</v>
      </c>
    </row>
    <row r="2283" spans="1:17" x14ac:dyDescent="0.35">
      <c r="A2283" s="82">
        <v>2280</v>
      </c>
      <c r="B2283" s="83" t="str">
        <f>_xlfn.XLOOKUP(A2283,'TAZs by City - CCAG Model'!$A:$A,'TAZs by City - CCAG Model'!$B:$B,"Unknown")</f>
        <v>Alameda</v>
      </c>
      <c r="C2283" s="82">
        <f>_xlfn.XLOOKUP(A2283,'TAZs by City - CCAG Model'!$A:$A,'TAZs by City - CCAG Model'!$C:$C,999)</f>
        <v>4</v>
      </c>
      <c r="D2283" s="82" t="str">
        <f t="shared" si="280"/>
        <v>NO</v>
      </c>
      <c r="E2283" s="27">
        <v>11887.16</v>
      </c>
      <c r="F2283" s="27">
        <v>6277.34</v>
      </c>
      <c r="G2283" s="27">
        <v>1601.76</v>
      </c>
      <c r="H2283" s="27">
        <v>335.32</v>
      </c>
      <c r="I2283" s="27">
        <v>1718.78</v>
      </c>
      <c r="J2283" s="27">
        <v>23455.98</v>
      </c>
      <c r="K2283" s="47">
        <f t="shared" si="281"/>
        <v>0.5067859027847057</v>
      </c>
      <c r="L2283" s="47">
        <f t="shared" si="282"/>
        <v>0.26762215861370958</v>
      </c>
      <c r="M2283" s="84">
        <f t="shared" si="283"/>
        <v>0.77440806139841523</v>
      </c>
      <c r="N2283" s="47">
        <f t="shared" si="284"/>
        <v>6.8287916343721305E-2</v>
      </c>
      <c r="O2283" s="47">
        <f t="shared" si="285"/>
        <v>1.4295714781475769E-2</v>
      </c>
      <c r="P2283" s="47">
        <f t="shared" si="286"/>
        <v>7.3276836013673269E-2</v>
      </c>
      <c r="Q2283" s="47">
        <f t="shared" si="287"/>
        <v>1</v>
      </c>
    </row>
    <row r="2284" spans="1:17" x14ac:dyDescent="0.35">
      <c r="A2284" s="82">
        <v>2281</v>
      </c>
      <c r="B2284" s="83" t="str">
        <f>_xlfn.XLOOKUP(A2284,'TAZs by City - CCAG Model'!$A:$A,'TAZs by City - CCAG Model'!$B:$B,"Unknown")</f>
        <v>Alameda</v>
      </c>
      <c r="C2284" s="82">
        <f>_xlfn.XLOOKUP(A2284,'TAZs by City - CCAG Model'!$A:$A,'TAZs by City - CCAG Model'!$C:$C,999)</f>
        <v>4</v>
      </c>
      <c r="D2284" s="82" t="str">
        <f t="shared" si="280"/>
        <v>NO</v>
      </c>
      <c r="E2284" s="27">
        <v>9733.26</v>
      </c>
      <c r="F2284" s="27">
        <v>5792.18</v>
      </c>
      <c r="G2284" s="27">
        <v>971.1</v>
      </c>
      <c r="H2284" s="27">
        <v>229.98</v>
      </c>
      <c r="I2284" s="27">
        <v>1269.02</v>
      </c>
      <c r="J2284" s="27">
        <v>19002.939999999999</v>
      </c>
      <c r="K2284" s="47">
        <f t="shared" si="281"/>
        <v>0.51219758626823009</v>
      </c>
      <c r="L2284" s="47">
        <f t="shared" si="282"/>
        <v>0.30480441447481288</v>
      </c>
      <c r="M2284" s="84">
        <f t="shared" si="283"/>
        <v>0.81700200074304297</v>
      </c>
      <c r="N2284" s="47">
        <f t="shared" si="284"/>
        <v>5.1102618857924095E-2</v>
      </c>
      <c r="O2284" s="47">
        <f t="shared" si="285"/>
        <v>1.2102337848774979E-2</v>
      </c>
      <c r="P2284" s="47">
        <f t="shared" si="286"/>
        <v>6.6780192959615722E-2</v>
      </c>
      <c r="Q2284" s="47">
        <f t="shared" si="287"/>
        <v>1</v>
      </c>
    </row>
    <row r="2285" spans="1:17" x14ac:dyDescent="0.35">
      <c r="A2285" s="82">
        <v>2282</v>
      </c>
      <c r="B2285" s="83" t="str">
        <f>_xlfn.XLOOKUP(A2285,'TAZs by City - CCAG Model'!$A:$A,'TAZs by City - CCAG Model'!$B:$B,"Unknown")</f>
        <v>Alameda</v>
      </c>
      <c r="C2285" s="82">
        <f>_xlfn.XLOOKUP(A2285,'TAZs by City - CCAG Model'!$A:$A,'TAZs by City - CCAG Model'!$C:$C,999)</f>
        <v>4</v>
      </c>
      <c r="D2285" s="82" t="str">
        <f t="shared" si="280"/>
        <v>NO</v>
      </c>
      <c r="E2285" s="27">
        <v>14492.1</v>
      </c>
      <c r="F2285" s="27">
        <v>7915.06</v>
      </c>
      <c r="G2285" s="27">
        <v>1674.96</v>
      </c>
      <c r="H2285" s="27">
        <v>366.14</v>
      </c>
      <c r="I2285" s="27">
        <v>1987.24</v>
      </c>
      <c r="J2285" s="27">
        <v>28142.78</v>
      </c>
      <c r="K2285" s="47">
        <f t="shared" si="281"/>
        <v>0.51494912727171949</v>
      </c>
      <c r="L2285" s="47">
        <f t="shared" si="282"/>
        <v>0.28124655773168111</v>
      </c>
      <c r="M2285" s="84">
        <f t="shared" si="283"/>
        <v>0.79619568500340054</v>
      </c>
      <c r="N2285" s="47">
        <f t="shared" si="284"/>
        <v>5.9516508319362907E-2</v>
      </c>
      <c r="O2285" s="47">
        <f t="shared" si="285"/>
        <v>1.301008642358715E-2</v>
      </c>
      <c r="P2285" s="47">
        <f t="shared" si="286"/>
        <v>7.0612782390367973E-2</v>
      </c>
      <c r="Q2285" s="47">
        <f t="shared" si="287"/>
        <v>1</v>
      </c>
    </row>
    <row r="2286" spans="1:17" x14ac:dyDescent="0.35">
      <c r="A2286" s="82">
        <v>2283</v>
      </c>
      <c r="B2286" s="83" t="str">
        <f>_xlfn.XLOOKUP(A2286,'TAZs by City - CCAG Model'!$A:$A,'TAZs by City - CCAG Model'!$B:$B,"Unknown")</f>
        <v>Alameda</v>
      </c>
      <c r="C2286" s="82">
        <f>_xlfn.XLOOKUP(A2286,'TAZs by City - CCAG Model'!$A:$A,'TAZs by City - CCAG Model'!$C:$C,999)</f>
        <v>4</v>
      </c>
      <c r="D2286" s="82" t="str">
        <f t="shared" si="280"/>
        <v>NO</v>
      </c>
      <c r="E2286" s="27">
        <v>12670.1</v>
      </c>
      <c r="F2286" s="27">
        <v>8051.74</v>
      </c>
      <c r="G2286" s="27">
        <v>1567</v>
      </c>
      <c r="H2286" s="27">
        <v>339.78</v>
      </c>
      <c r="I2286" s="27">
        <v>2420.92</v>
      </c>
      <c r="J2286" s="27">
        <v>26652</v>
      </c>
      <c r="K2286" s="47">
        <f t="shared" si="281"/>
        <v>0.47539021461803993</v>
      </c>
      <c r="L2286" s="47">
        <f t="shared" si="282"/>
        <v>0.30210640852468856</v>
      </c>
      <c r="M2286" s="84">
        <f t="shared" si="283"/>
        <v>0.77749662314272849</v>
      </c>
      <c r="N2286" s="47">
        <f t="shared" si="284"/>
        <v>5.8794837160438242E-2</v>
      </c>
      <c r="O2286" s="47">
        <f t="shared" si="285"/>
        <v>1.274876181900045E-2</v>
      </c>
      <c r="P2286" s="47">
        <f t="shared" si="286"/>
        <v>9.0834458952423841E-2</v>
      </c>
      <c r="Q2286" s="47">
        <f t="shared" si="287"/>
        <v>1</v>
      </c>
    </row>
    <row r="2287" spans="1:17" x14ac:dyDescent="0.35">
      <c r="A2287" s="82">
        <v>2284</v>
      </c>
      <c r="B2287" s="83" t="str">
        <f>_xlfn.XLOOKUP(A2287,'TAZs by City - CCAG Model'!$A:$A,'TAZs by City - CCAG Model'!$B:$B,"Unknown")</f>
        <v>Alameda</v>
      </c>
      <c r="C2287" s="82">
        <f>_xlfn.XLOOKUP(A2287,'TAZs by City - CCAG Model'!$A:$A,'TAZs by City - CCAG Model'!$C:$C,999)</f>
        <v>4</v>
      </c>
      <c r="D2287" s="82" t="str">
        <f t="shared" si="280"/>
        <v>NO</v>
      </c>
      <c r="E2287" s="27">
        <v>23355.72</v>
      </c>
      <c r="F2287" s="27">
        <v>12511.98</v>
      </c>
      <c r="G2287" s="27">
        <v>1438.28</v>
      </c>
      <c r="H2287" s="27">
        <v>466.62</v>
      </c>
      <c r="I2287" s="27">
        <v>4008.74</v>
      </c>
      <c r="J2287" s="27">
        <v>43248.14</v>
      </c>
      <c r="K2287" s="47">
        <f t="shared" si="281"/>
        <v>0.54003987223496785</v>
      </c>
      <c r="L2287" s="47">
        <f t="shared" si="282"/>
        <v>0.28930677712382541</v>
      </c>
      <c r="M2287" s="84">
        <f t="shared" si="283"/>
        <v>0.82934664935879321</v>
      </c>
      <c r="N2287" s="47">
        <f t="shared" si="284"/>
        <v>3.3256459121710207E-2</v>
      </c>
      <c r="O2287" s="47">
        <f t="shared" si="285"/>
        <v>1.0789365739197108E-2</v>
      </c>
      <c r="P2287" s="47">
        <f t="shared" si="286"/>
        <v>9.2691616333095472E-2</v>
      </c>
      <c r="Q2287" s="47">
        <f t="shared" si="287"/>
        <v>1</v>
      </c>
    </row>
    <row r="2288" spans="1:17" x14ac:dyDescent="0.35">
      <c r="A2288" s="82">
        <v>2285</v>
      </c>
      <c r="B2288" s="83" t="str">
        <f>_xlfn.XLOOKUP(A2288,'TAZs by City - CCAG Model'!$A:$A,'TAZs by City - CCAG Model'!$B:$B,"Unknown")</f>
        <v>Alameda</v>
      </c>
      <c r="C2288" s="82">
        <f>_xlfn.XLOOKUP(A2288,'TAZs by City - CCAG Model'!$A:$A,'TAZs by City - CCAG Model'!$C:$C,999)</f>
        <v>4</v>
      </c>
      <c r="D2288" s="82" t="str">
        <f t="shared" si="280"/>
        <v>NO</v>
      </c>
      <c r="E2288" s="27">
        <v>14367.74</v>
      </c>
      <c r="F2288" s="27">
        <v>9834.18</v>
      </c>
      <c r="G2288" s="27">
        <v>803.9</v>
      </c>
      <c r="H2288" s="27">
        <v>316.8</v>
      </c>
      <c r="I2288" s="27">
        <v>2409.1</v>
      </c>
      <c r="J2288" s="27">
        <v>28567.54</v>
      </c>
      <c r="K2288" s="47">
        <f t="shared" si="281"/>
        <v>0.50293935004554113</v>
      </c>
      <c r="L2288" s="47">
        <f t="shared" si="282"/>
        <v>0.34424315149291818</v>
      </c>
      <c r="M2288" s="84">
        <f t="shared" si="283"/>
        <v>0.84718250153845931</v>
      </c>
      <c r="N2288" s="47">
        <f t="shared" si="284"/>
        <v>2.8140329898899238E-2</v>
      </c>
      <c r="O2288" s="47">
        <f t="shared" si="285"/>
        <v>1.1089509282213309E-2</v>
      </c>
      <c r="P2288" s="47">
        <f t="shared" si="286"/>
        <v>8.4329977309911874E-2</v>
      </c>
      <c r="Q2288" s="47">
        <f t="shared" si="287"/>
        <v>1</v>
      </c>
    </row>
    <row r="2289" spans="1:17" x14ac:dyDescent="0.35">
      <c r="A2289" s="82">
        <v>2286</v>
      </c>
      <c r="B2289" s="83" t="str">
        <f>_xlfn.XLOOKUP(A2289,'TAZs by City - CCAG Model'!$A:$A,'TAZs by City - CCAG Model'!$B:$B,"Unknown")</f>
        <v>Alameda</v>
      </c>
      <c r="C2289" s="82">
        <f>_xlfn.XLOOKUP(A2289,'TAZs by City - CCAG Model'!$A:$A,'TAZs by City - CCAG Model'!$C:$C,999)</f>
        <v>4</v>
      </c>
      <c r="D2289" s="82" t="str">
        <f t="shared" si="280"/>
        <v>NO</v>
      </c>
      <c r="E2289" s="27">
        <v>12371.3</v>
      </c>
      <c r="F2289" s="27">
        <v>6168.64</v>
      </c>
      <c r="G2289" s="27">
        <v>1437.98</v>
      </c>
      <c r="H2289" s="27">
        <v>334.14</v>
      </c>
      <c r="I2289" s="27">
        <v>1910.06</v>
      </c>
      <c r="J2289" s="27">
        <v>23695.18</v>
      </c>
      <c r="K2289" s="47">
        <f t="shared" si="281"/>
        <v>0.52210196335288439</v>
      </c>
      <c r="L2289" s="47">
        <f t="shared" si="282"/>
        <v>0.26033311416077026</v>
      </c>
      <c r="M2289" s="84">
        <f t="shared" si="283"/>
        <v>0.7824350775136546</v>
      </c>
      <c r="N2289" s="47">
        <f t="shared" si="284"/>
        <v>6.0686603773425649E-2</v>
      </c>
      <c r="O2289" s="47">
        <f t="shared" si="285"/>
        <v>1.4101602097979419E-2</v>
      </c>
      <c r="P2289" s="47">
        <f t="shared" si="286"/>
        <v>8.0609642973803103E-2</v>
      </c>
      <c r="Q2289" s="47">
        <f t="shared" si="287"/>
        <v>1</v>
      </c>
    </row>
    <row r="2290" spans="1:17" x14ac:dyDescent="0.35">
      <c r="A2290" s="82">
        <v>2287</v>
      </c>
      <c r="B2290" s="83" t="str">
        <f>_xlfn.XLOOKUP(A2290,'TAZs by City - CCAG Model'!$A:$A,'TAZs by City - CCAG Model'!$B:$B,"Unknown")</f>
        <v>Alameda</v>
      </c>
      <c r="C2290" s="82">
        <f>_xlfn.XLOOKUP(A2290,'TAZs by City - CCAG Model'!$A:$A,'TAZs by City - CCAG Model'!$C:$C,999)</f>
        <v>4</v>
      </c>
      <c r="D2290" s="82" t="str">
        <f t="shared" si="280"/>
        <v>NO</v>
      </c>
      <c r="E2290" s="27">
        <v>12698.48</v>
      </c>
      <c r="F2290" s="27">
        <v>6814.02</v>
      </c>
      <c r="G2290" s="27">
        <v>1679.3</v>
      </c>
      <c r="H2290" s="27">
        <v>377.2</v>
      </c>
      <c r="I2290" s="27">
        <v>2205.96</v>
      </c>
      <c r="J2290" s="27">
        <v>25491.18</v>
      </c>
      <c r="K2290" s="47">
        <f t="shared" si="281"/>
        <v>0.49815190979782026</v>
      </c>
      <c r="L2290" s="47">
        <f t="shared" si="282"/>
        <v>0.26730892802922424</v>
      </c>
      <c r="M2290" s="84">
        <f t="shared" si="283"/>
        <v>0.76546083782704444</v>
      </c>
      <c r="N2290" s="47">
        <f t="shared" si="284"/>
        <v>6.5877687890478195E-2</v>
      </c>
      <c r="O2290" s="47">
        <f t="shared" si="285"/>
        <v>1.4797274979031962E-2</v>
      </c>
      <c r="P2290" s="47">
        <f t="shared" si="286"/>
        <v>8.6538167319049175E-2</v>
      </c>
      <c r="Q2290" s="47">
        <f t="shared" si="287"/>
        <v>1</v>
      </c>
    </row>
    <row r="2291" spans="1:17" x14ac:dyDescent="0.35">
      <c r="A2291" s="82">
        <v>2288</v>
      </c>
      <c r="B2291" s="83" t="str">
        <f>_xlfn.XLOOKUP(A2291,'TAZs by City - CCAG Model'!$A:$A,'TAZs by City - CCAG Model'!$B:$B,"Unknown")</f>
        <v>Alameda</v>
      </c>
      <c r="C2291" s="82">
        <f>_xlfn.XLOOKUP(A2291,'TAZs by City - CCAG Model'!$A:$A,'TAZs by City - CCAG Model'!$C:$C,999)</f>
        <v>4</v>
      </c>
      <c r="D2291" s="82" t="str">
        <f t="shared" si="280"/>
        <v>NO</v>
      </c>
      <c r="E2291" s="27">
        <v>11211.4</v>
      </c>
      <c r="F2291" s="27">
        <v>6284.12</v>
      </c>
      <c r="G2291" s="27">
        <v>1650.66</v>
      </c>
      <c r="H2291" s="27">
        <v>336.74</v>
      </c>
      <c r="I2291" s="27">
        <v>2042.18</v>
      </c>
      <c r="J2291" s="27">
        <v>23211.54</v>
      </c>
      <c r="K2291" s="47">
        <f t="shared" si="281"/>
        <v>0.48300974429098625</v>
      </c>
      <c r="L2291" s="47">
        <f t="shared" si="282"/>
        <v>0.27073257526213251</v>
      </c>
      <c r="M2291" s="84">
        <f t="shared" si="283"/>
        <v>0.75374231955311888</v>
      </c>
      <c r="N2291" s="47">
        <f t="shared" si="284"/>
        <v>7.1113764963462139E-2</v>
      </c>
      <c r="O2291" s="47">
        <f t="shared" si="285"/>
        <v>1.4507438972166432E-2</v>
      </c>
      <c r="P2291" s="47">
        <f t="shared" si="286"/>
        <v>8.7981236919222078E-2</v>
      </c>
      <c r="Q2291" s="47">
        <f t="shared" si="287"/>
        <v>1</v>
      </c>
    </row>
    <row r="2292" spans="1:17" x14ac:dyDescent="0.35">
      <c r="A2292" s="82">
        <v>2289</v>
      </c>
      <c r="B2292" s="83" t="str">
        <f>_xlfn.XLOOKUP(A2292,'TAZs by City - CCAG Model'!$A:$A,'TAZs by City - CCAG Model'!$B:$B,"Unknown")</f>
        <v>Alameda</v>
      </c>
      <c r="C2292" s="82">
        <f>_xlfn.XLOOKUP(A2292,'TAZs by City - CCAG Model'!$A:$A,'TAZs by City - CCAG Model'!$C:$C,999)</f>
        <v>4</v>
      </c>
      <c r="D2292" s="82" t="str">
        <f t="shared" si="280"/>
        <v>NO</v>
      </c>
      <c r="E2292" s="27">
        <v>7387.74</v>
      </c>
      <c r="F2292" s="27">
        <v>4113.84</v>
      </c>
      <c r="G2292" s="27">
        <v>781.92</v>
      </c>
      <c r="H2292" s="27">
        <v>206</v>
      </c>
      <c r="I2292" s="27">
        <v>1120.96</v>
      </c>
      <c r="J2292" s="27">
        <v>14429.5</v>
      </c>
      <c r="K2292" s="47">
        <f t="shared" si="281"/>
        <v>0.51198863439481612</v>
      </c>
      <c r="L2292" s="47">
        <f t="shared" si="282"/>
        <v>0.28509927578918187</v>
      </c>
      <c r="M2292" s="84">
        <f t="shared" si="283"/>
        <v>0.79708791018399805</v>
      </c>
      <c r="N2292" s="47">
        <f t="shared" si="284"/>
        <v>5.4188987837416401E-2</v>
      </c>
      <c r="O2292" s="47">
        <f t="shared" si="285"/>
        <v>1.4276308950414082E-2</v>
      </c>
      <c r="P2292" s="47">
        <f t="shared" si="286"/>
        <v>7.7685297480855189E-2</v>
      </c>
      <c r="Q2292" s="47">
        <f t="shared" si="287"/>
        <v>1</v>
      </c>
    </row>
    <row r="2293" spans="1:17" x14ac:dyDescent="0.35">
      <c r="A2293" s="82">
        <v>2290</v>
      </c>
      <c r="B2293" s="83" t="str">
        <f>_xlfn.XLOOKUP(A2293,'TAZs by City - CCAG Model'!$A:$A,'TAZs by City - CCAG Model'!$B:$B,"Unknown")</f>
        <v>Alameda</v>
      </c>
      <c r="C2293" s="82">
        <f>_xlfn.XLOOKUP(A2293,'TAZs by City - CCAG Model'!$A:$A,'TAZs by City - CCAG Model'!$C:$C,999)</f>
        <v>4</v>
      </c>
      <c r="D2293" s="82" t="str">
        <f t="shared" si="280"/>
        <v>NO</v>
      </c>
      <c r="E2293" s="27">
        <v>8271.48</v>
      </c>
      <c r="F2293" s="27">
        <v>4397.04</v>
      </c>
      <c r="G2293" s="27">
        <v>796.02</v>
      </c>
      <c r="H2293" s="27">
        <v>217.46</v>
      </c>
      <c r="I2293" s="27">
        <v>1044.46</v>
      </c>
      <c r="J2293" s="27">
        <v>15559.36</v>
      </c>
      <c r="K2293" s="47">
        <f t="shared" si="281"/>
        <v>0.53160798387594344</v>
      </c>
      <c r="L2293" s="47">
        <f t="shared" si="282"/>
        <v>0.28259774180943176</v>
      </c>
      <c r="M2293" s="84">
        <f t="shared" si="283"/>
        <v>0.81420572568537519</v>
      </c>
      <c r="N2293" s="47">
        <f t="shared" si="284"/>
        <v>5.1160201962034427E-2</v>
      </c>
      <c r="O2293" s="47">
        <f t="shared" si="285"/>
        <v>1.3976153260802501E-2</v>
      </c>
      <c r="P2293" s="47">
        <f t="shared" si="286"/>
        <v>6.7127439689036048E-2</v>
      </c>
      <c r="Q2293" s="47">
        <f t="shared" si="287"/>
        <v>1</v>
      </c>
    </row>
    <row r="2294" spans="1:17" x14ac:dyDescent="0.35">
      <c r="A2294" s="82">
        <v>2291</v>
      </c>
      <c r="B2294" s="83" t="str">
        <f>_xlfn.XLOOKUP(A2294,'TAZs by City - CCAG Model'!$A:$A,'TAZs by City - CCAG Model'!$B:$B,"Unknown")</f>
        <v>Alameda</v>
      </c>
      <c r="C2294" s="82">
        <f>_xlfn.XLOOKUP(A2294,'TAZs by City - CCAG Model'!$A:$A,'TAZs by City - CCAG Model'!$C:$C,999)</f>
        <v>4</v>
      </c>
      <c r="D2294" s="82" t="str">
        <f t="shared" si="280"/>
        <v>NO</v>
      </c>
      <c r="E2294" s="27">
        <v>9170.42</v>
      </c>
      <c r="F2294" s="27">
        <v>5656.94</v>
      </c>
      <c r="G2294" s="27">
        <v>1188.52</v>
      </c>
      <c r="H2294" s="27">
        <v>299.48</v>
      </c>
      <c r="I2294" s="27">
        <v>3067.3</v>
      </c>
      <c r="J2294" s="27">
        <v>20608.86</v>
      </c>
      <c r="K2294" s="47">
        <f t="shared" si="281"/>
        <v>0.44497463712209212</v>
      </c>
      <c r="L2294" s="47">
        <f t="shared" si="282"/>
        <v>0.27449068022200157</v>
      </c>
      <c r="M2294" s="84">
        <f t="shared" si="283"/>
        <v>0.7194653173440938</v>
      </c>
      <c r="N2294" s="47">
        <f t="shared" si="284"/>
        <v>5.7670341785038083E-2</v>
      </c>
      <c r="O2294" s="47">
        <f t="shared" si="285"/>
        <v>1.4531614072782289E-2</v>
      </c>
      <c r="P2294" s="47">
        <f t="shared" si="286"/>
        <v>0.14883404516309975</v>
      </c>
      <c r="Q2294" s="47">
        <f t="shared" si="287"/>
        <v>1</v>
      </c>
    </row>
    <row r="2295" spans="1:17" x14ac:dyDescent="0.35">
      <c r="A2295" s="82">
        <v>2292</v>
      </c>
      <c r="B2295" s="83" t="str">
        <f>_xlfn.XLOOKUP(A2295,'TAZs by City - CCAG Model'!$A:$A,'TAZs by City - CCAG Model'!$B:$B,"Unknown")</f>
        <v>Alameda</v>
      </c>
      <c r="C2295" s="82">
        <f>_xlfn.XLOOKUP(A2295,'TAZs by City - CCAG Model'!$A:$A,'TAZs by City - CCAG Model'!$C:$C,999)</f>
        <v>4</v>
      </c>
      <c r="D2295" s="82" t="str">
        <f t="shared" si="280"/>
        <v>NO</v>
      </c>
      <c r="E2295" s="27">
        <v>21045.14</v>
      </c>
      <c r="F2295" s="27">
        <v>9453.94</v>
      </c>
      <c r="G2295" s="27">
        <v>2069.64</v>
      </c>
      <c r="H2295" s="27">
        <v>496.3</v>
      </c>
      <c r="I2295" s="27">
        <v>2721.14</v>
      </c>
      <c r="J2295" s="27">
        <v>37883.519999999997</v>
      </c>
      <c r="K2295" s="47">
        <f t="shared" si="281"/>
        <v>0.55552229571064149</v>
      </c>
      <c r="L2295" s="47">
        <f t="shared" si="282"/>
        <v>0.24955283986282165</v>
      </c>
      <c r="M2295" s="84">
        <f t="shared" si="283"/>
        <v>0.80507513557346322</v>
      </c>
      <c r="N2295" s="47">
        <f t="shared" si="284"/>
        <v>5.4631670974608484E-2</v>
      </c>
      <c r="O2295" s="47">
        <f t="shared" si="285"/>
        <v>1.3100683357829475E-2</v>
      </c>
      <c r="P2295" s="47">
        <f t="shared" si="286"/>
        <v>7.1829122531380407E-2</v>
      </c>
      <c r="Q2295" s="47">
        <f t="shared" si="287"/>
        <v>1</v>
      </c>
    </row>
    <row r="2296" spans="1:17" x14ac:dyDescent="0.35">
      <c r="A2296" s="82">
        <v>2293</v>
      </c>
      <c r="B2296" s="83" t="str">
        <f>_xlfn.XLOOKUP(A2296,'TAZs by City - CCAG Model'!$A:$A,'TAZs by City - CCAG Model'!$B:$B,"Unknown")</f>
        <v>Alameda</v>
      </c>
      <c r="C2296" s="82">
        <f>_xlfn.XLOOKUP(A2296,'TAZs by City - CCAG Model'!$A:$A,'TAZs by City - CCAG Model'!$C:$C,999)</f>
        <v>4</v>
      </c>
      <c r="D2296" s="82" t="str">
        <f t="shared" si="280"/>
        <v>NO</v>
      </c>
      <c r="E2296" s="27">
        <v>14958.28</v>
      </c>
      <c r="F2296" s="27">
        <v>8041.5</v>
      </c>
      <c r="G2296" s="27">
        <v>2336.02</v>
      </c>
      <c r="H2296" s="27">
        <v>419.72</v>
      </c>
      <c r="I2296" s="27">
        <v>1689.82</v>
      </c>
      <c r="J2296" s="27">
        <v>29817.62</v>
      </c>
      <c r="K2296" s="47">
        <f t="shared" si="281"/>
        <v>0.50165908613765964</v>
      </c>
      <c r="L2296" s="47">
        <f t="shared" si="282"/>
        <v>0.26968953256497336</v>
      </c>
      <c r="M2296" s="84">
        <f t="shared" si="283"/>
        <v>0.77134861870263283</v>
      </c>
      <c r="N2296" s="47">
        <f t="shared" si="284"/>
        <v>7.8343610254607843E-2</v>
      </c>
      <c r="O2296" s="47">
        <f t="shared" si="285"/>
        <v>1.4076240826732651E-2</v>
      </c>
      <c r="P2296" s="47">
        <f t="shared" si="286"/>
        <v>5.6671860463712392E-2</v>
      </c>
      <c r="Q2296" s="47">
        <f t="shared" si="287"/>
        <v>1</v>
      </c>
    </row>
    <row r="2297" spans="1:17" x14ac:dyDescent="0.35">
      <c r="A2297" s="82">
        <v>2294</v>
      </c>
      <c r="B2297" s="83" t="str">
        <f>_xlfn.XLOOKUP(A2297,'TAZs by City - CCAG Model'!$A:$A,'TAZs by City - CCAG Model'!$B:$B,"Unknown")</f>
        <v>Alameda</v>
      </c>
      <c r="C2297" s="82">
        <f>_xlfn.XLOOKUP(A2297,'TAZs by City - CCAG Model'!$A:$A,'TAZs by City - CCAG Model'!$C:$C,999)</f>
        <v>4</v>
      </c>
      <c r="D2297" s="82" t="str">
        <f t="shared" si="280"/>
        <v>NO</v>
      </c>
      <c r="E2297" s="27">
        <v>8714.9</v>
      </c>
      <c r="F2297" s="27">
        <v>6135.04</v>
      </c>
      <c r="G2297" s="27">
        <v>1660.44</v>
      </c>
      <c r="H2297" s="27">
        <v>348.96</v>
      </c>
      <c r="I2297" s="27">
        <v>1912.18</v>
      </c>
      <c r="J2297" s="27">
        <v>20467.919999999998</v>
      </c>
      <c r="K2297" s="47">
        <f t="shared" si="281"/>
        <v>0.42578337222345997</v>
      </c>
      <c r="L2297" s="47">
        <f t="shared" si="282"/>
        <v>0.29973929935235238</v>
      </c>
      <c r="M2297" s="84">
        <f t="shared" si="283"/>
        <v>0.72552267157581229</v>
      </c>
      <c r="N2297" s="47">
        <f t="shared" si="284"/>
        <v>8.1124022372571325E-2</v>
      </c>
      <c r="O2297" s="47">
        <f t="shared" si="285"/>
        <v>1.7049118816176729E-2</v>
      </c>
      <c r="P2297" s="47">
        <f t="shared" si="286"/>
        <v>9.3423269193938618E-2</v>
      </c>
      <c r="Q2297" s="47">
        <f t="shared" si="287"/>
        <v>1</v>
      </c>
    </row>
    <row r="2298" spans="1:17" x14ac:dyDescent="0.35">
      <c r="A2298" s="82">
        <v>2295</v>
      </c>
      <c r="B2298" s="83" t="str">
        <f>_xlfn.XLOOKUP(A2298,'TAZs by City - CCAG Model'!$A:$A,'TAZs by City - CCAG Model'!$B:$B,"Unknown")</f>
        <v>Alameda</v>
      </c>
      <c r="C2298" s="82">
        <f>_xlfn.XLOOKUP(A2298,'TAZs by City - CCAG Model'!$A:$A,'TAZs by City - CCAG Model'!$C:$C,999)</f>
        <v>4</v>
      </c>
      <c r="D2298" s="82" t="str">
        <f t="shared" si="280"/>
        <v>NO</v>
      </c>
      <c r="E2298" s="27">
        <v>13323.66</v>
      </c>
      <c r="F2298" s="27">
        <v>7232.86</v>
      </c>
      <c r="G2298" s="27">
        <v>1387.14</v>
      </c>
      <c r="H2298" s="27">
        <v>374.4</v>
      </c>
      <c r="I2298" s="27">
        <v>1995.26</v>
      </c>
      <c r="J2298" s="27">
        <v>25735.360000000001</v>
      </c>
      <c r="K2298" s="47">
        <f t="shared" si="281"/>
        <v>0.5177180346418313</v>
      </c>
      <c r="L2298" s="47">
        <f t="shared" si="282"/>
        <v>0.28104755480397398</v>
      </c>
      <c r="M2298" s="84">
        <f t="shared" si="283"/>
        <v>0.79876558944580534</v>
      </c>
      <c r="N2298" s="47">
        <f t="shared" si="284"/>
        <v>5.3900159158449701E-2</v>
      </c>
      <c r="O2298" s="47">
        <f t="shared" si="285"/>
        <v>1.4548077042637055E-2</v>
      </c>
      <c r="P2298" s="47">
        <f t="shared" si="286"/>
        <v>7.7529904380587641E-2</v>
      </c>
      <c r="Q2298" s="47">
        <f t="shared" si="287"/>
        <v>1</v>
      </c>
    </row>
    <row r="2299" spans="1:17" x14ac:dyDescent="0.35">
      <c r="A2299" s="82">
        <v>2296</v>
      </c>
      <c r="B2299" s="83" t="str">
        <f>_xlfn.XLOOKUP(A2299,'TAZs by City - CCAG Model'!$A:$A,'TAZs by City - CCAG Model'!$B:$B,"Unknown")</f>
        <v>Alameda</v>
      </c>
      <c r="C2299" s="82">
        <f>_xlfn.XLOOKUP(A2299,'TAZs by City - CCAG Model'!$A:$A,'TAZs by City - CCAG Model'!$C:$C,999)</f>
        <v>4</v>
      </c>
      <c r="D2299" s="82" t="str">
        <f t="shared" si="280"/>
        <v>NO</v>
      </c>
      <c r="E2299" s="27">
        <v>7281.98</v>
      </c>
      <c r="F2299" s="27">
        <v>3561.82</v>
      </c>
      <c r="G2299" s="27">
        <v>447.92</v>
      </c>
      <c r="H2299" s="27">
        <v>142.28</v>
      </c>
      <c r="I2299" s="27">
        <v>547.64</v>
      </c>
      <c r="J2299" s="27">
        <v>12465.44</v>
      </c>
      <c r="K2299" s="47">
        <f t="shared" si="281"/>
        <v>0.58417352295626945</v>
      </c>
      <c r="L2299" s="47">
        <f t="shared" si="282"/>
        <v>0.28573560179183405</v>
      </c>
      <c r="M2299" s="84">
        <f t="shared" si="283"/>
        <v>0.86990912474810345</v>
      </c>
      <c r="N2299" s="47">
        <f t="shared" si="284"/>
        <v>3.5932947413007482E-2</v>
      </c>
      <c r="O2299" s="47">
        <f t="shared" si="285"/>
        <v>1.1413957309168388E-2</v>
      </c>
      <c r="P2299" s="47">
        <f t="shared" si="286"/>
        <v>4.393266503228125E-2</v>
      </c>
      <c r="Q2299" s="47">
        <f t="shared" si="287"/>
        <v>1</v>
      </c>
    </row>
    <row r="2300" spans="1:17" x14ac:dyDescent="0.35">
      <c r="A2300" s="82">
        <v>2297</v>
      </c>
      <c r="B2300" s="83" t="str">
        <f>_xlfn.XLOOKUP(A2300,'TAZs by City - CCAG Model'!$A:$A,'TAZs by City - CCAG Model'!$B:$B,"Unknown")</f>
        <v>Oakland</v>
      </c>
      <c r="C2300" s="82">
        <f>_xlfn.XLOOKUP(A2300,'TAZs by City - CCAG Model'!$A:$A,'TAZs by City - CCAG Model'!$C:$C,999)</f>
        <v>4</v>
      </c>
      <c r="D2300" s="82" t="str">
        <f t="shared" si="280"/>
        <v>NO</v>
      </c>
      <c r="E2300" s="27">
        <v>19465.3</v>
      </c>
      <c r="F2300" s="27">
        <v>2528.9</v>
      </c>
      <c r="G2300" s="27">
        <v>831.96</v>
      </c>
      <c r="H2300" s="27">
        <v>108.3</v>
      </c>
      <c r="I2300" s="27">
        <v>199.44</v>
      </c>
      <c r="J2300" s="27">
        <v>23976.52</v>
      </c>
      <c r="K2300" s="47">
        <f t="shared" si="281"/>
        <v>0.81184842504249988</v>
      </c>
      <c r="L2300" s="47">
        <f t="shared" si="282"/>
        <v>0.10547402208493976</v>
      </c>
      <c r="M2300" s="84">
        <f t="shared" si="283"/>
        <v>0.91732244712743971</v>
      </c>
      <c r="N2300" s="47">
        <f t="shared" si="284"/>
        <v>3.4698947136615324E-2</v>
      </c>
      <c r="O2300" s="47">
        <f t="shared" si="285"/>
        <v>4.5169190524730028E-3</v>
      </c>
      <c r="P2300" s="47">
        <f t="shared" si="286"/>
        <v>8.3181379115901729E-3</v>
      </c>
      <c r="Q2300" s="47">
        <f t="shared" si="287"/>
        <v>1</v>
      </c>
    </row>
    <row r="2301" spans="1:17" x14ac:dyDescent="0.35">
      <c r="A2301" s="82">
        <v>2298</v>
      </c>
      <c r="B2301" s="83" t="str">
        <f>_xlfn.XLOOKUP(A2301,'TAZs by City - CCAG Model'!$A:$A,'TAZs by City - CCAG Model'!$B:$B,"Unknown")</f>
        <v>Oakland</v>
      </c>
      <c r="C2301" s="82">
        <f>_xlfn.XLOOKUP(A2301,'TAZs by City - CCAG Model'!$A:$A,'TAZs by City - CCAG Model'!$C:$C,999)</f>
        <v>4</v>
      </c>
      <c r="D2301" s="82" t="str">
        <f t="shared" si="280"/>
        <v>NO</v>
      </c>
      <c r="E2301" s="27">
        <v>5538.66</v>
      </c>
      <c r="F2301" s="27">
        <v>1598.06</v>
      </c>
      <c r="G2301" s="27">
        <v>576.05999999999995</v>
      </c>
      <c r="H2301" s="27">
        <v>90.4</v>
      </c>
      <c r="I2301" s="27">
        <v>410.12</v>
      </c>
      <c r="J2301" s="27">
        <v>8821.8799999999992</v>
      </c>
      <c r="K2301" s="47">
        <f t="shared" si="281"/>
        <v>0.62783216275895848</v>
      </c>
      <c r="L2301" s="47">
        <f t="shared" si="282"/>
        <v>0.18114732914072737</v>
      </c>
      <c r="M2301" s="84">
        <f t="shared" si="283"/>
        <v>0.80897949189968577</v>
      </c>
      <c r="N2301" s="47">
        <f t="shared" si="284"/>
        <v>6.5299006560959799E-2</v>
      </c>
      <c r="O2301" s="47">
        <f t="shared" si="285"/>
        <v>1.0247248885725039E-2</v>
      </c>
      <c r="P2301" s="47">
        <f t="shared" si="286"/>
        <v>4.6488957002362316E-2</v>
      </c>
      <c r="Q2301" s="47">
        <f t="shared" si="287"/>
        <v>1</v>
      </c>
    </row>
    <row r="2302" spans="1:17" x14ac:dyDescent="0.35">
      <c r="A2302" s="82">
        <v>2299</v>
      </c>
      <c r="B2302" s="83" t="str">
        <f>_xlfn.XLOOKUP(A2302,'TAZs by City - CCAG Model'!$A:$A,'TAZs by City - CCAG Model'!$B:$B,"Unknown")</f>
        <v>Oakland</v>
      </c>
      <c r="C2302" s="82">
        <f>_xlfn.XLOOKUP(A2302,'TAZs by City - CCAG Model'!$A:$A,'TAZs by City - CCAG Model'!$C:$C,999)</f>
        <v>4</v>
      </c>
      <c r="D2302" s="82" t="str">
        <f t="shared" si="280"/>
        <v>NO</v>
      </c>
      <c r="E2302" s="27">
        <v>20550.38</v>
      </c>
      <c r="F2302" s="27">
        <v>7021.96</v>
      </c>
      <c r="G2302" s="27">
        <v>5327.54</v>
      </c>
      <c r="H2302" s="27">
        <v>401.52</v>
      </c>
      <c r="I2302" s="27">
        <v>3090.16</v>
      </c>
      <c r="J2302" s="27">
        <v>41754.339999999997</v>
      </c>
      <c r="K2302" s="47">
        <f t="shared" si="281"/>
        <v>0.49217350819100486</v>
      </c>
      <c r="L2302" s="47">
        <f t="shared" si="282"/>
        <v>0.16817317672845508</v>
      </c>
      <c r="M2302" s="84">
        <f t="shared" si="283"/>
        <v>0.66034668491945991</v>
      </c>
      <c r="N2302" s="47">
        <f t="shared" si="284"/>
        <v>0.1275924849967692</v>
      </c>
      <c r="O2302" s="47">
        <f t="shared" si="285"/>
        <v>9.6162458800689941E-3</v>
      </c>
      <c r="P2302" s="47">
        <f t="shared" si="286"/>
        <v>7.4008115084563661E-2</v>
      </c>
      <c r="Q2302" s="47">
        <f t="shared" si="287"/>
        <v>1</v>
      </c>
    </row>
    <row r="2303" spans="1:17" x14ac:dyDescent="0.35">
      <c r="A2303" s="82">
        <v>2300</v>
      </c>
      <c r="B2303" s="83" t="str">
        <f>_xlfn.XLOOKUP(A2303,'TAZs by City - CCAG Model'!$A:$A,'TAZs by City - CCAG Model'!$B:$B,"Unknown")</f>
        <v>Oakland</v>
      </c>
      <c r="C2303" s="82">
        <f>_xlfn.XLOOKUP(A2303,'TAZs by City - CCAG Model'!$A:$A,'TAZs by City - CCAG Model'!$C:$C,999)</f>
        <v>4</v>
      </c>
      <c r="D2303" s="82" t="str">
        <f t="shared" si="280"/>
        <v>NO</v>
      </c>
      <c r="E2303" s="27">
        <v>25943.14</v>
      </c>
      <c r="F2303" s="27">
        <v>11503.42</v>
      </c>
      <c r="G2303" s="27">
        <v>17127.400000000001</v>
      </c>
      <c r="H2303" s="27">
        <v>843.28</v>
      </c>
      <c r="I2303" s="27">
        <v>8945.18</v>
      </c>
      <c r="J2303" s="27">
        <v>81512.820000000007</v>
      </c>
      <c r="K2303" s="47">
        <f t="shared" si="281"/>
        <v>0.3182706720243515</v>
      </c>
      <c r="L2303" s="47">
        <f t="shared" si="282"/>
        <v>0.1411240587676883</v>
      </c>
      <c r="M2303" s="84">
        <f t="shared" si="283"/>
        <v>0.45939473079203974</v>
      </c>
      <c r="N2303" s="47">
        <f t="shared" si="284"/>
        <v>0.21011909537665363</v>
      </c>
      <c r="O2303" s="47">
        <f t="shared" si="285"/>
        <v>1.0345366532528256E-2</v>
      </c>
      <c r="P2303" s="47">
        <f t="shared" si="286"/>
        <v>0.10973954771777003</v>
      </c>
      <c r="Q2303" s="47">
        <f t="shared" si="287"/>
        <v>1</v>
      </c>
    </row>
    <row r="2304" spans="1:17" x14ac:dyDescent="0.35">
      <c r="A2304" s="82">
        <v>2301</v>
      </c>
      <c r="B2304" s="83" t="str">
        <f>_xlfn.XLOOKUP(A2304,'TAZs by City - CCAG Model'!$A:$A,'TAZs by City - CCAG Model'!$B:$B,"Unknown")</f>
        <v>Oakland</v>
      </c>
      <c r="C2304" s="82">
        <f>_xlfn.XLOOKUP(A2304,'TAZs by City - CCAG Model'!$A:$A,'TAZs by City - CCAG Model'!$C:$C,999)</f>
        <v>4</v>
      </c>
      <c r="D2304" s="82" t="str">
        <f t="shared" si="280"/>
        <v>NO</v>
      </c>
      <c r="E2304" s="27">
        <v>39319.86</v>
      </c>
      <c r="F2304" s="27">
        <v>15582.86</v>
      </c>
      <c r="G2304" s="27">
        <v>26917.26</v>
      </c>
      <c r="H2304" s="27">
        <v>1107.3</v>
      </c>
      <c r="I2304" s="27">
        <v>11668.8</v>
      </c>
      <c r="J2304" s="27">
        <v>121524.66</v>
      </c>
      <c r="K2304" s="47">
        <f t="shared" si="281"/>
        <v>0.32355457731788756</v>
      </c>
      <c r="L2304" s="47">
        <f t="shared" si="282"/>
        <v>0.12822796624158422</v>
      </c>
      <c r="M2304" s="84">
        <f t="shared" si="283"/>
        <v>0.45178254355947178</v>
      </c>
      <c r="N2304" s="47">
        <f t="shared" si="284"/>
        <v>0.22149627902682467</v>
      </c>
      <c r="O2304" s="47">
        <f t="shared" si="285"/>
        <v>9.1117309030117836E-3</v>
      </c>
      <c r="P2304" s="47">
        <f t="shared" si="286"/>
        <v>9.6020017665550336E-2</v>
      </c>
      <c r="Q2304" s="47">
        <f t="shared" si="287"/>
        <v>1</v>
      </c>
    </row>
    <row r="2305" spans="1:17" x14ac:dyDescent="0.35">
      <c r="A2305" s="82">
        <v>2302</v>
      </c>
      <c r="B2305" s="83" t="str">
        <f>_xlfn.XLOOKUP(A2305,'TAZs by City - CCAG Model'!$A:$A,'TAZs by City - CCAG Model'!$B:$B,"Unknown")</f>
        <v>Oakland</v>
      </c>
      <c r="C2305" s="82">
        <f>_xlfn.XLOOKUP(A2305,'TAZs by City - CCAG Model'!$A:$A,'TAZs by City - CCAG Model'!$C:$C,999)</f>
        <v>4</v>
      </c>
      <c r="D2305" s="82" t="str">
        <f t="shared" si="280"/>
        <v>NO</v>
      </c>
      <c r="E2305" s="27">
        <v>29636.02</v>
      </c>
      <c r="F2305" s="27">
        <v>12209.2</v>
      </c>
      <c r="G2305" s="27">
        <v>17073.259999999998</v>
      </c>
      <c r="H2305" s="27">
        <v>1041.68</v>
      </c>
      <c r="I2305" s="27">
        <v>8320.68</v>
      </c>
      <c r="J2305" s="27">
        <v>85375</v>
      </c>
      <c r="K2305" s="47">
        <f t="shared" si="281"/>
        <v>0.34712761346998539</v>
      </c>
      <c r="L2305" s="47">
        <f t="shared" si="282"/>
        <v>0.14300673499267935</v>
      </c>
      <c r="M2305" s="84">
        <f t="shared" si="283"/>
        <v>0.49013434846266474</v>
      </c>
      <c r="N2305" s="47">
        <f t="shared" si="284"/>
        <v>0.19997961932650071</v>
      </c>
      <c r="O2305" s="47">
        <f t="shared" si="285"/>
        <v>1.2201229868228405E-2</v>
      </c>
      <c r="P2305" s="47">
        <f t="shared" si="286"/>
        <v>9.7460380673499269E-2</v>
      </c>
      <c r="Q2305" s="47">
        <f t="shared" si="287"/>
        <v>1</v>
      </c>
    </row>
    <row r="2306" spans="1:17" x14ac:dyDescent="0.35">
      <c r="A2306" s="82">
        <v>2303</v>
      </c>
      <c r="B2306" s="83" t="str">
        <f>_xlfn.XLOOKUP(A2306,'TAZs by City - CCAG Model'!$A:$A,'TAZs by City - CCAG Model'!$B:$B,"Unknown")</f>
        <v>Oakland</v>
      </c>
      <c r="C2306" s="82">
        <f>_xlfn.XLOOKUP(A2306,'TAZs by City - CCAG Model'!$A:$A,'TAZs by City - CCAG Model'!$C:$C,999)</f>
        <v>4</v>
      </c>
      <c r="D2306" s="82" t="str">
        <f t="shared" si="280"/>
        <v>NO</v>
      </c>
      <c r="E2306" s="27">
        <v>47038.78</v>
      </c>
      <c r="F2306" s="27">
        <v>18511.3</v>
      </c>
      <c r="G2306" s="27">
        <v>31254.9</v>
      </c>
      <c r="H2306" s="27">
        <v>1335.54</v>
      </c>
      <c r="I2306" s="27">
        <v>15734.64</v>
      </c>
      <c r="J2306" s="27">
        <v>145137.92000000001</v>
      </c>
      <c r="K2306" s="47">
        <f t="shared" si="281"/>
        <v>0.32409710708269757</v>
      </c>
      <c r="L2306" s="47">
        <f t="shared" si="282"/>
        <v>0.12754282271648923</v>
      </c>
      <c r="M2306" s="84">
        <f t="shared" si="283"/>
        <v>0.45163992979918682</v>
      </c>
      <c r="N2306" s="47">
        <f t="shared" si="284"/>
        <v>0.2153462031149406</v>
      </c>
      <c r="O2306" s="47">
        <f t="shared" si="285"/>
        <v>9.2018681265378464E-3</v>
      </c>
      <c r="P2306" s="47">
        <f t="shared" si="286"/>
        <v>0.10841164045895103</v>
      </c>
      <c r="Q2306" s="47">
        <f t="shared" si="287"/>
        <v>1</v>
      </c>
    </row>
    <row r="2307" spans="1:17" x14ac:dyDescent="0.35">
      <c r="A2307" s="82">
        <v>2304</v>
      </c>
      <c r="B2307" s="83" t="str">
        <f>_xlfn.XLOOKUP(A2307,'TAZs by City - CCAG Model'!$A:$A,'TAZs by City - CCAG Model'!$B:$B,"Unknown")</f>
        <v>Oakland</v>
      </c>
      <c r="C2307" s="82">
        <f>_xlfn.XLOOKUP(A2307,'TAZs by City - CCAG Model'!$A:$A,'TAZs by City - CCAG Model'!$C:$C,999)</f>
        <v>4</v>
      </c>
      <c r="D2307" s="82" t="str">
        <f t="shared" si="280"/>
        <v>NO</v>
      </c>
      <c r="E2307" s="27">
        <v>20959.52</v>
      </c>
      <c r="F2307" s="27">
        <v>10199.86</v>
      </c>
      <c r="G2307" s="27">
        <v>5824.1</v>
      </c>
      <c r="H2307" s="27">
        <v>714.28</v>
      </c>
      <c r="I2307" s="27">
        <v>3957.1</v>
      </c>
      <c r="J2307" s="27">
        <v>47514.34</v>
      </c>
      <c r="K2307" s="47">
        <f t="shared" si="281"/>
        <v>0.44111988086123055</v>
      </c>
      <c r="L2307" s="47">
        <f t="shared" si="282"/>
        <v>0.21466908726923287</v>
      </c>
      <c r="M2307" s="84">
        <f t="shared" si="283"/>
        <v>0.65578896813046339</v>
      </c>
      <c r="N2307" s="47">
        <f t="shared" si="284"/>
        <v>0.12257562664239892</v>
      </c>
      <c r="O2307" s="47">
        <f t="shared" si="285"/>
        <v>1.5032935320158083E-2</v>
      </c>
      <c r="P2307" s="47">
        <f t="shared" si="286"/>
        <v>8.328222595536422E-2</v>
      </c>
      <c r="Q2307" s="47">
        <f t="shared" si="287"/>
        <v>1</v>
      </c>
    </row>
    <row r="2308" spans="1:17" x14ac:dyDescent="0.35">
      <c r="A2308" s="82">
        <v>2305</v>
      </c>
      <c r="B2308" s="83" t="str">
        <f>_xlfn.XLOOKUP(A2308,'TAZs by City - CCAG Model'!$A:$A,'TAZs by City - CCAG Model'!$B:$B,"Unknown")</f>
        <v>Oakland</v>
      </c>
      <c r="C2308" s="82">
        <f>_xlfn.XLOOKUP(A2308,'TAZs by City - CCAG Model'!$A:$A,'TAZs by City - CCAG Model'!$C:$C,999)</f>
        <v>4</v>
      </c>
      <c r="D2308" s="82" t="str">
        <f t="shared" si="280"/>
        <v>NO</v>
      </c>
      <c r="E2308" s="27">
        <v>14400.02</v>
      </c>
      <c r="F2308" s="27">
        <v>6188.78</v>
      </c>
      <c r="G2308" s="27">
        <v>2653.1</v>
      </c>
      <c r="H2308" s="27">
        <v>415.16</v>
      </c>
      <c r="I2308" s="27">
        <v>1961</v>
      </c>
      <c r="J2308" s="27">
        <v>28308.38</v>
      </c>
      <c r="K2308" s="47">
        <f t="shared" si="281"/>
        <v>0.50868400099193245</v>
      </c>
      <c r="L2308" s="47">
        <f t="shared" si="282"/>
        <v>0.2186200693928794</v>
      </c>
      <c r="M2308" s="84">
        <f t="shared" si="283"/>
        <v>0.72730407038481182</v>
      </c>
      <c r="N2308" s="47">
        <f t="shared" si="284"/>
        <v>9.3721364486417089E-2</v>
      </c>
      <c r="O2308" s="47">
        <f t="shared" si="285"/>
        <v>1.4665621981900766E-2</v>
      </c>
      <c r="P2308" s="47">
        <f t="shared" si="286"/>
        <v>6.927277364511851E-2</v>
      </c>
      <c r="Q2308" s="47">
        <f t="shared" si="287"/>
        <v>1</v>
      </c>
    </row>
    <row r="2309" spans="1:17" x14ac:dyDescent="0.35">
      <c r="A2309" s="82">
        <v>2306</v>
      </c>
      <c r="B2309" s="83" t="str">
        <f>_xlfn.XLOOKUP(A2309,'TAZs by City - CCAG Model'!$A:$A,'TAZs by City - CCAG Model'!$B:$B,"Unknown")</f>
        <v>Oakland</v>
      </c>
      <c r="C2309" s="82">
        <f>_xlfn.XLOOKUP(A2309,'TAZs by City - CCAG Model'!$A:$A,'TAZs by City - CCAG Model'!$C:$C,999)</f>
        <v>4</v>
      </c>
      <c r="D2309" s="82" t="str">
        <f t="shared" ref="D2309:D2372" si="288">IF(C2309=2,"YES","NO")</f>
        <v>NO</v>
      </c>
      <c r="E2309" s="27">
        <v>18313.22</v>
      </c>
      <c r="F2309" s="27">
        <v>8369.36</v>
      </c>
      <c r="G2309" s="27">
        <v>3671.6</v>
      </c>
      <c r="H2309" s="27">
        <v>600.88</v>
      </c>
      <c r="I2309" s="27">
        <v>2766.08</v>
      </c>
      <c r="J2309" s="27">
        <v>37427.4</v>
      </c>
      <c r="K2309" s="47">
        <f t="shared" ref="K2309:K2372" si="289">IFERROR(E2309/$J2309,0)</f>
        <v>0.48929981778055648</v>
      </c>
      <c r="L2309" s="47">
        <f t="shared" ref="L2309:L2372" si="290">IFERROR(F2309/$J2309,0)</f>
        <v>0.22361585362595318</v>
      </c>
      <c r="M2309" s="84">
        <f t="shared" ref="M2309:M2372" si="291">IFERROR((E2309+F2309)/J2309,0)</f>
        <v>0.71291567140650969</v>
      </c>
      <c r="N2309" s="47">
        <f t="shared" ref="N2309:N2372" si="292">IFERROR(G2309/$J2309,0)</f>
        <v>9.8099253488086263E-2</v>
      </c>
      <c r="O2309" s="47">
        <f t="shared" ref="O2309:O2372" si="293">IFERROR(H2309/$J2309,0)</f>
        <v>1.6054548272121494E-2</v>
      </c>
      <c r="P2309" s="47">
        <f t="shared" ref="P2309:P2372" si="294">IFERROR(I2309/$J2309,0)</f>
        <v>7.3905213827302987E-2</v>
      </c>
      <c r="Q2309" s="47">
        <f t="shared" ref="Q2309:Q2372" si="295">IFERROR(J2309/$J2309,0)</f>
        <v>1</v>
      </c>
    </row>
    <row r="2310" spans="1:17" x14ac:dyDescent="0.35">
      <c r="A2310" s="82">
        <v>2307</v>
      </c>
      <c r="B2310" s="83" t="str">
        <f>_xlfn.XLOOKUP(A2310,'TAZs by City - CCAG Model'!$A:$A,'TAZs by City - CCAG Model'!$B:$B,"Unknown")</f>
        <v>Oakland</v>
      </c>
      <c r="C2310" s="82">
        <f>_xlfn.XLOOKUP(A2310,'TAZs by City - CCAG Model'!$A:$A,'TAZs by City - CCAG Model'!$C:$C,999)</f>
        <v>4</v>
      </c>
      <c r="D2310" s="82" t="str">
        <f t="shared" si="288"/>
        <v>NO</v>
      </c>
      <c r="E2310" s="27">
        <v>9025.2000000000007</v>
      </c>
      <c r="F2310" s="27">
        <v>4683.88</v>
      </c>
      <c r="G2310" s="27">
        <v>1789.3</v>
      </c>
      <c r="H2310" s="27">
        <v>318.95999999999998</v>
      </c>
      <c r="I2310" s="27">
        <v>1499.66</v>
      </c>
      <c r="J2310" s="27">
        <v>19141.02</v>
      </c>
      <c r="K2310" s="47">
        <f t="shared" si="289"/>
        <v>0.47151092261540922</v>
      </c>
      <c r="L2310" s="47">
        <f t="shared" si="290"/>
        <v>0.2447037827660177</v>
      </c>
      <c r="M2310" s="84">
        <f t="shared" si="291"/>
        <v>0.71621470538142695</v>
      </c>
      <c r="N2310" s="47">
        <f t="shared" si="292"/>
        <v>9.3479866799156985E-2</v>
      </c>
      <c r="O2310" s="47">
        <f t="shared" si="293"/>
        <v>1.6663688768937077E-2</v>
      </c>
      <c r="P2310" s="47">
        <f t="shared" si="294"/>
        <v>7.8347966827264165E-2</v>
      </c>
      <c r="Q2310" s="47">
        <f t="shared" si="295"/>
        <v>1</v>
      </c>
    </row>
    <row r="2311" spans="1:17" x14ac:dyDescent="0.35">
      <c r="A2311" s="82">
        <v>2308</v>
      </c>
      <c r="B2311" s="83" t="str">
        <f>_xlfn.XLOOKUP(A2311,'TAZs by City - CCAG Model'!$A:$A,'TAZs by City - CCAG Model'!$B:$B,"Unknown")</f>
        <v>Oakland</v>
      </c>
      <c r="C2311" s="82">
        <f>_xlfn.XLOOKUP(A2311,'TAZs by City - CCAG Model'!$A:$A,'TAZs by City - CCAG Model'!$C:$C,999)</f>
        <v>4</v>
      </c>
      <c r="D2311" s="82" t="str">
        <f t="shared" si="288"/>
        <v>NO</v>
      </c>
      <c r="E2311" s="27">
        <v>9999.52</v>
      </c>
      <c r="F2311" s="27">
        <v>5182.3599999999997</v>
      </c>
      <c r="G2311" s="27">
        <v>3613.66</v>
      </c>
      <c r="H2311" s="27">
        <v>433.8</v>
      </c>
      <c r="I2311" s="27">
        <v>1594.34</v>
      </c>
      <c r="J2311" s="27">
        <v>24474.44</v>
      </c>
      <c r="K2311" s="47">
        <f t="shared" si="289"/>
        <v>0.40856992029235401</v>
      </c>
      <c r="L2311" s="47">
        <f t="shared" si="290"/>
        <v>0.21174580501126888</v>
      </c>
      <c r="M2311" s="84">
        <f t="shared" si="291"/>
        <v>0.620315725303623</v>
      </c>
      <c r="N2311" s="47">
        <f t="shared" si="292"/>
        <v>0.14765036503388843</v>
      </c>
      <c r="O2311" s="47">
        <f t="shared" si="293"/>
        <v>1.7724613923750656E-2</v>
      </c>
      <c r="P2311" s="47">
        <f t="shared" si="294"/>
        <v>6.5143063538941032E-2</v>
      </c>
      <c r="Q2311" s="47">
        <f t="shared" si="295"/>
        <v>1</v>
      </c>
    </row>
    <row r="2312" spans="1:17" x14ac:dyDescent="0.35">
      <c r="A2312" s="82">
        <v>2309</v>
      </c>
      <c r="B2312" s="83" t="str">
        <f>_xlfn.XLOOKUP(A2312,'TAZs by City - CCAG Model'!$A:$A,'TAZs by City - CCAG Model'!$B:$B,"Unknown")</f>
        <v>Oakland</v>
      </c>
      <c r="C2312" s="82">
        <f>_xlfn.XLOOKUP(A2312,'TAZs by City - CCAG Model'!$A:$A,'TAZs by City - CCAG Model'!$C:$C,999)</f>
        <v>4</v>
      </c>
      <c r="D2312" s="82" t="str">
        <f t="shared" si="288"/>
        <v>NO</v>
      </c>
      <c r="E2312" s="27">
        <v>13334.38</v>
      </c>
      <c r="F2312" s="27">
        <v>7415.1</v>
      </c>
      <c r="G2312" s="27">
        <v>4003.18</v>
      </c>
      <c r="H2312" s="27">
        <v>600.14</v>
      </c>
      <c r="I2312" s="27">
        <v>2065.84</v>
      </c>
      <c r="J2312" s="27">
        <v>31452.04</v>
      </c>
      <c r="K2312" s="47">
        <f t="shared" si="289"/>
        <v>0.42395914541632274</v>
      </c>
      <c r="L2312" s="47">
        <f t="shared" si="290"/>
        <v>0.23575895236048283</v>
      </c>
      <c r="M2312" s="84">
        <f t="shared" si="291"/>
        <v>0.65971809777680557</v>
      </c>
      <c r="N2312" s="47">
        <f t="shared" si="292"/>
        <v>0.12727886649005915</v>
      </c>
      <c r="O2312" s="47">
        <f t="shared" si="293"/>
        <v>1.9081115247214488E-2</v>
      </c>
      <c r="P2312" s="47">
        <f t="shared" si="294"/>
        <v>6.5682226017771822E-2</v>
      </c>
      <c r="Q2312" s="47">
        <f t="shared" si="295"/>
        <v>1</v>
      </c>
    </row>
    <row r="2313" spans="1:17" x14ac:dyDescent="0.35">
      <c r="A2313" s="82">
        <v>2310</v>
      </c>
      <c r="B2313" s="83" t="str">
        <f>_xlfn.XLOOKUP(A2313,'TAZs by City - CCAG Model'!$A:$A,'TAZs by City - CCAG Model'!$B:$B,"Unknown")</f>
        <v>Oakland</v>
      </c>
      <c r="C2313" s="82">
        <f>_xlfn.XLOOKUP(A2313,'TAZs by City - CCAG Model'!$A:$A,'TAZs by City - CCAG Model'!$C:$C,999)</f>
        <v>4</v>
      </c>
      <c r="D2313" s="82" t="str">
        <f t="shared" si="288"/>
        <v>NO</v>
      </c>
      <c r="E2313" s="27">
        <v>7130.66</v>
      </c>
      <c r="F2313" s="27">
        <v>5184.7</v>
      </c>
      <c r="G2313" s="27">
        <v>2048.8200000000002</v>
      </c>
      <c r="H2313" s="27">
        <v>403.5</v>
      </c>
      <c r="I2313" s="27">
        <v>1678.2</v>
      </c>
      <c r="J2313" s="27">
        <v>18532.5</v>
      </c>
      <c r="K2313" s="47">
        <f t="shared" si="289"/>
        <v>0.38476514231755027</v>
      </c>
      <c r="L2313" s="47">
        <f t="shared" si="290"/>
        <v>0.27976257925266423</v>
      </c>
      <c r="M2313" s="84">
        <f t="shared" si="291"/>
        <v>0.66452772157021456</v>
      </c>
      <c r="N2313" s="47">
        <f t="shared" si="292"/>
        <v>0.11055281262646703</v>
      </c>
      <c r="O2313" s="47">
        <f t="shared" si="293"/>
        <v>2.1772561715904491E-2</v>
      </c>
      <c r="P2313" s="47">
        <f t="shared" si="294"/>
        <v>9.0554431404289759E-2</v>
      </c>
      <c r="Q2313" s="47">
        <f t="shared" si="295"/>
        <v>1</v>
      </c>
    </row>
    <row r="2314" spans="1:17" x14ac:dyDescent="0.35">
      <c r="A2314" s="82">
        <v>2311</v>
      </c>
      <c r="B2314" s="83" t="str">
        <f>_xlfn.XLOOKUP(A2314,'TAZs by City - CCAG Model'!$A:$A,'TAZs by City - CCAG Model'!$B:$B,"Unknown")</f>
        <v>Oakland</v>
      </c>
      <c r="C2314" s="82">
        <f>_xlfn.XLOOKUP(A2314,'TAZs by City - CCAG Model'!$A:$A,'TAZs by City - CCAG Model'!$C:$C,999)</f>
        <v>4</v>
      </c>
      <c r="D2314" s="82" t="str">
        <f t="shared" si="288"/>
        <v>NO</v>
      </c>
      <c r="E2314" s="27">
        <v>20194.18</v>
      </c>
      <c r="F2314" s="27">
        <v>8132.06</v>
      </c>
      <c r="G2314" s="27">
        <v>3605.06</v>
      </c>
      <c r="H2314" s="27">
        <v>575.55999999999995</v>
      </c>
      <c r="I2314" s="27">
        <v>3228.94</v>
      </c>
      <c r="J2314" s="27">
        <v>39376.9</v>
      </c>
      <c r="K2314" s="47">
        <f t="shared" si="289"/>
        <v>0.51284331676693695</v>
      </c>
      <c r="L2314" s="47">
        <f t="shared" si="290"/>
        <v>0.20651854259730959</v>
      </c>
      <c r="M2314" s="84">
        <f t="shared" si="291"/>
        <v>0.71936185936424657</v>
      </c>
      <c r="N2314" s="47">
        <f t="shared" si="292"/>
        <v>9.1552661585853637E-2</v>
      </c>
      <c r="O2314" s="47">
        <f t="shared" si="293"/>
        <v>1.4616691512028624E-2</v>
      </c>
      <c r="P2314" s="47">
        <f t="shared" si="294"/>
        <v>8.2000868529518572E-2</v>
      </c>
      <c r="Q2314" s="47">
        <f t="shared" si="295"/>
        <v>1</v>
      </c>
    </row>
    <row r="2315" spans="1:17" x14ac:dyDescent="0.35">
      <c r="A2315" s="82">
        <v>2312</v>
      </c>
      <c r="B2315" s="83" t="str">
        <f>_xlfn.XLOOKUP(A2315,'TAZs by City - CCAG Model'!$A:$A,'TAZs by City - CCAG Model'!$B:$B,"Unknown")</f>
        <v>Oakland</v>
      </c>
      <c r="C2315" s="82">
        <f>_xlfn.XLOOKUP(A2315,'TAZs by City - CCAG Model'!$A:$A,'TAZs by City - CCAG Model'!$C:$C,999)</f>
        <v>4</v>
      </c>
      <c r="D2315" s="82" t="str">
        <f t="shared" si="288"/>
        <v>NO</v>
      </c>
      <c r="E2315" s="27">
        <v>3986.66</v>
      </c>
      <c r="F2315" s="27">
        <v>2423.58</v>
      </c>
      <c r="G2315" s="27">
        <v>1127.74</v>
      </c>
      <c r="H2315" s="27">
        <v>174.14</v>
      </c>
      <c r="I2315" s="27">
        <v>1152.58</v>
      </c>
      <c r="J2315" s="27">
        <v>10030.26</v>
      </c>
      <c r="K2315" s="47">
        <f t="shared" si="289"/>
        <v>0.39746327612644139</v>
      </c>
      <c r="L2315" s="47">
        <f t="shared" si="290"/>
        <v>0.24162683719066105</v>
      </c>
      <c r="M2315" s="84">
        <f t="shared" si="291"/>
        <v>0.63909011331710242</v>
      </c>
      <c r="N2315" s="47">
        <f t="shared" si="292"/>
        <v>0.11243377539565275</v>
      </c>
      <c r="O2315" s="47">
        <f t="shared" si="293"/>
        <v>1.7361464209302648E-2</v>
      </c>
      <c r="P2315" s="47">
        <f t="shared" si="294"/>
        <v>0.11491028148821665</v>
      </c>
      <c r="Q2315" s="47">
        <f t="shared" si="295"/>
        <v>1</v>
      </c>
    </row>
    <row r="2316" spans="1:17" x14ac:dyDescent="0.35">
      <c r="A2316" s="82">
        <v>2313</v>
      </c>
      <c r="B2316" s="83" t="str">
        <f>_xlfn.XLOOKUP(A2316,'TAZs by City - CCAG Model'!$A:$A,'TAZs by City - CCAG Model'!$B:$B,"Unknown")</f>
        <v>Oakland</v>
      </c>
      <c r="C2316" s="82">
        <f>_xlfn.XLOOKUP(A2316,'TAZs by City - CCAG Model'!$A:$A,'TAZs by City - CCAG Model'!$C:$C,999)</f>
        <v>4</v>
      </c>
      <c r="D2316" s="82" t="str">
        <f t="shared" si="288"/>
        <v>NO</v>
      </c>
      <c r="E2316" s="27">
        <v>3601.16</v>
      </c>
      <c r="F2316" s="27">
        <v>1803.14</v>
      </c>
      <c r="G2316" s="27">
        <v>1061</v>
      </c>
      <c r="H2316" s="27">
        <v>147.91999999999999</v>
      </c>
      <c r="I2316" s="27">
        <v>774.28</v>
      </c>
      <c r="J2316" s="27">
        <v>8487.36</v>
      </c>
      <c r="K2316" s="47">
        <f t="shared" si="289"/>
        <v>0.42429683670776303</v>
      </c>
      <c r="L2316" s="47">
        <f t="shared" si="290"/>
        <v>0.21245004335859444</v>
      </c>
      <c r="M2316" s="84">
        <f t="shared" si="291"/>
        <v>0.63674688006635749</v>
      </c>
      <c r="N2316" s="47">
        <f t="shared" si="292"/>
        <v>0.12500942578139726</v>
      </c>
      <c r="O2316" s="47">
        <f t="shared" si="293"/>
        <v>1.7428269803566713E-2</v>
      </c>
      <c r="P2316" s="47">
        <f t="shared" si="294"/>
        <v>9.1227425253553512E-2</v>
      </c>
      <c r="Q2316" s="47">
        <f t="shared" si="295"/>
        <v>1</v>
      </c>
    </row>
    <row r="2317" spans="1:17" x14ac:dyDescent="0.35">
      <c r="A2317" s="82">
        <v>2314</v>
      </c>
      <c r="B2317" s="83" t="str">
        <f>_xlfn.XLOOKUP(A2317,'TAZs by City - CCAG Model'!$A:$A,'TAZs by City - CCAG Model'!$B:$B,"Unknown")</f>
        <v>Oakland</v>
      </c>
      <c r="C2317" s="82">
        <f>_xlfn.XLOOKUP(A2317,'TAZs by City - CCAG Model'!$A:$A,'TAZs by City - CCAG Model'!$C:$C,999)</f>
        <v>4</v>
      </c>
      <c r="D2317" s="82" t="str">
        <f t="shared" si="288"/>
        <v>NO</v>
      </c>
      <c r="E2317" s="27">
        <v>3231.42</v>
      </c>
      <c r="F2317" s="27">
        <v>2358.2399999999998</v>
      </c>
      <c r="G2317" s="27">
        <v>969.46</v>
      </c>
      <c r="H2317" s="27">
        <v>155.69999999999999</v>
      </c>
      <c r="I2317" s="27">
        <v>599.36</v>
      </c>
      <c r="J2317" s="27">
        <v>8323.1</v>
      </c>
      <c r="K2317" s="47">
        <f t="shared" si="289"/>
        <v>0.38824716752171667</v>
      </c>
      <c r="L2317" s="47">
        <f t="shared" si="290"/>
        <v>0.28333673751366673</v>
      </c>
      <c r="M2317" s="84">
        <f t="shared" si="291"/>
        <v>0.67158390503538345</v>
      </c>
      <c r="N2317" s="47">
        <f t="shared" si="292"/>
        <v>0.11647823527291513</v>
      </c>
      <c r="O2317" s="47">
        <f t="shared" si="293"/>
        <v>1.8706972161814706E-2</v>
      </c>
      <c r="P2317" s="47">
        <f t="shared" si="294"/>
        <v>7.2011630281986275E-2</v>
      </c>
      <c r="Q2317" s="47">
        <f t="shared" si="295"/>
        <v>1</v>
      </c>
    </row>
    <row r="2318" spans="1:17" x14ac:dyDescent="0.35">
      <c r="A2318" s="82">
        <v>2315</v>
      </c>
      <c r="B2318" s="83" t="str">
        <f>_xlfn.XLOOKUP(A2318,'TAZs by City - CCAG Model'!$A:$A,'TAZs by City - CCAG Model'!$B:$B,"Unknown")</f>
        <v>Oakland</v>
      </c>
      <c r="C2318" s="82">
        <f>_xlfn.XLOOKUP(A2318,'TAZs by City - CCAG Model'!$A:$A,'TAZs by City - CCAG Model'!$C:$C,999)</f>
        <v>4</v>
      </c>
      <c r="D2318" s="82" t="str">
        <f t="shared" si="288"/>
        <v>NO</v>
      </c>
      <c r="E2318" s="27">
        <v>4598.78</v>
      </c>
      <c r="F2318" s="27">
        <v>3053.62</v>
      </c>
      <c r="G2318" s="27">
        <v>1187.8399999999999</v>
      </c>
      <c r="H2318" s="27">
        <v>194.44</v>
      </c>
      <c r="I2318" s="27">
        <v>981.94</v>
      </c>
      <c r="J2318" s="27">
        <v>11244.36</v>
      </c>
      <c r="K2318" s="47">
        <f t="shared" si="289"/>
        <v>0.40898548249967093</v>
      </c>
      <c r="L2318" s="47">
        <f t="shared" si="290"/>
        <v>0.27156903549868555</v>
      </c>
      <c r="M2318" s="84">
        <f t="shared" si="291"/>
        <v>0.68055451799835642</v>
      </c>
      <c r="N2318" s="47">
        <f t="shared" si="292"/>
        <v>0.10563873799842764</v>
      </c>
      <c r="O2318" s="47">
        <f t="shared" si="293"/>
        <v>1.7292224724217296E-2</v>
      </c>
      <c r="P2318" s="47">
        <f t="shared" si="294"/>
        <v>8.7327335659833014E-2</v>
      </c>
      <c r="Q2318" s="47">
        <f t="shared" si="295"/>
        <v>1</v>
      </c>
    </row>
    <row r="2319" spans="1:17" x14ac:dyDescent="0.35">
      <c r="A2319" s="82">
        <v>2316</v>
      </c>
      <c r="B2319" s="83" t="str">
        <f>_xlfn.XLOOKUP(A2319,'TAZs by City - CCAG Model'!$A:$A,'TAZs by City - CCAG Model'!$B:$B,"Unknown")</f>
        <v>Oakland</v>
      </c>
      <c r="C2319" s="82">
        <f>_xlfn.XLOOKUP(A2319,'TAZs by City - CCAG Model'!$A:$A,'TAZs by City - CCAG Model'!$C:$C,999)</f>
        <v>4</v>
      </c>
      <c r="D2319" s="82" t="str">
        <f t="shared" si="288"/>
        <v>NO</v>
      </c>
      <c r="E2319" s="27">
        <v>2267.66</v>
      </c>
      <c r="F2319" s="27">
        <v>958.9</v>
      </c>
      <c r="G2319" s="27">
        <v>245.56</v>
      </c>
      <c r="H2319" s="27">
        <v>50.5</v>
      </c>
      <c r="I2319" s="27">
        <v>166</v>
      </c>
      <c r="J2319" s="27">
        <v>3966.22</v>
      </c>
      <c r="K2319" s="47">
        <f t="shared" si="289"/>
        <v>0.57174337278315368</v>
      </c>
      <c r="L2319" s="47">
        <f t="shared" si="290"/>
        <v>0.24176671994997756</v>
      </c>
      <c r="M2319" s="84">
        <f t="shared" si="291"/>
        <v>0.81351009273313135</v>
      </c>
      <c r="N2319" s="47">
        <f t="shared" si="292"/>
        <v>6.191285405247314E-2</v>
      </c>
      <c r="O2319" s="47">
        <f t="shared" si="293"/>
        <v>1.2732526183620677E-2</v>
      </c>
      <c r="P2319" s="47">
        <f t="shared" si="294"/>
        <v>4.1853452405564998E-2</v>
      </c>
      <c r="Q2319" s="47">
        <f t="shared" si="295"/>
        <v>1</v>
      </c>
    </row>
    <row r="2320" spans="1:17" x14ac:dyDescent="0.35">
      <c r="A2320" s="82">
        <v>2317</v>
      </c>
      <c r="B2320" s="83" t="str">
        <f>_xlfn.XLOOKUP(A2320,'TAZs by City - CCAG Model'!$A:$A,'TAZs by City - CCAG Model'!$B:$B,"Unknown")</f>
        <v>Oakland</v>
      </c>
      <c r="C2320" s="82">
        <f>_xlfn.XLOOKUP(A2320,'TAZs by City - CCAG Model'!$A:$A,'TAZs by City - CCAG Model'!$C:$C,999)</f>
        <v>4</v>
      </c>
      <c r="D2320" s="82" t="str">
        <f t="shared" si="288"/>
        <v>NO</v>
      </c>
      <c r="E2320" s="27">
        <v>3153.08</v>
      </c>
      <c r="F2320" s="27">
        <v>2579.64</v>
      </c>
      <c r="G2320" s="27">
        <v>1047.78</v>
      </c>
      <c r="H2320" s="27">
        <v>158.5</v>
      </c>
      <c r="I2320" s="27">
        <v>552.78</v>
      </c>
      <c r="J2320" s="27">
        <v>8578.58</v>
      </c>
      <c r="K2320" s="47">
        <f t="shared" si="289"/>
        <v>0.36755267188742191</v>
      </c>
      <c r="L2320" s="47">
        <f t="shared" si="290"/>
        <v>0.30070711003452782</v>
      </c>
      <c r="M2320" s="84">
        <f t="shared" si="291"/>
        <v>0.66825978192194968</v>
      </c>
      <c r="N2320" s="47">
        <f t="shared" si="292"/>
        <v>0.12213909528150346</v>
      </c>
      <c r="O2320" s="47">
        <f t="shared" si="293"/>
        <v>1.8476251314320086E-2</v>
      </c>
      <c r="P2320" s="47">
        <f t="shared" si="294"/>
        <v>6.4437237864541683E-2</v>
      </c>
      <c r="Q2320" s="47">
        <f t="shared" si="295"/>
        <v>1</v>
      </c>
    </row>
    <row r="2321" spans="1:17" x14ac:dyDescent="0.35">
      <c r="A2321" s="82">
        <v>2318</v>
      </c>
      <c r="B2321" s="83" t="str">
        <f>_xlfn.XLOOKUP(A2321,'TAZs by City - CCAG Model'!$A:$A,'TAZs by City - CCAG Model'!$B:$B,"Unknown")</f>
        <v>Oakland</v>
      </c>
      <c r="C2321" s="82">
        <f>_xlfn.XLOOKUP(A2321,'TAZs by City - CCAG Model'!$A:$A,'TAZs by City - CCAG Model'!$C:$C,999)</f>
        <v>4</v>
      </c>
      <c r="D2321" s="82" t="str">
        <f t="shared" si="288"/>
        <v>NO</v>
      </c>
      <c r="E2321" s="27">
        <v>2896.08</v>
      </c>
      <c r="F2321" s="27">
        <v>2084.3000000000002</v>
      </c>
      <c r="G2321" s="27">
        <v>949.6</v>
      </c>
      <c r="H2321" s="27">
        <v>139.36000000000001</v>
      </c>
      <c r="I2321" s="27">
        <v>507.8</v>
      </c>
      <c r="J2321" s="27">
        <v>7566.24</v>
      </c>
      <c r="K2321" s="47">
        <f t="shared" si="289"/>
        <v>0.38276343335659457</v>
      </c>
      <c r="L2321" s="47">
        <f t="shared" si="290"/>
        <v>0.27547368309754916</v>
      </c>
      <c r="M2321" s="84">
        <f t="shared" si="291"/>
        <v>0.65823711645414373</v>
      </c>
      <c r="N2321" s="47">
        <f t="shared" si="292"/>
        <v>0.12550487428366006</v>
      </c>
      <c r="O2321" s="47">
        <f t="shared" si="293"/>
        <v>1.841865973059274E-2</v>
      </c>
      <c r="P2321" s="47">
        <f t="shared" si="294"/>
        <v>6.7113916555647191E-2</v>
      </c>
      <c r="Q2321" s="47">
        <f t="shared" si="295"/>
        <v>1</v>
      </c>
    </row>
    <row r="2322" spans="1:17" x14ac:dyDescent="0.35">
      <c r="A2322" s="82">
        <v>2319</v>
      </c>
      <c r="B2322" s="83" t="str">
        <f>_xlfn.XLOOKUP(A2322,'TAZs by City - CCAG Model'!$A:$A,'TAZs by City - CCAG Model'!$B:$B,"Unknown")</f>
        <v>Oakland</v>
      </c>
      <c r="C2322" s="82">
        <f>_xlfn.XLOOKUP(A2322,'TAZs by City - CCAG Model'!$A:$A,'TAZs by City - CCAG Model'!$C:$C,999)</f>
        <v>4</v>
      </c>
      <c r="D2322" s="82" t="str">
        <f t="shared" si="288"/>
        <v>NO</v>
      </c>
      <c r="E2322" s="27">
        <v>3023.22</v>
      </c>
      <c r="F2322" s="27">
        <v>2314.06</v>
      </c>
      <c r="G2322" s="27">
        <v>884.34</v>
      </c>
      <c r="H2322" s="27">
        <v>132.44</v>
      </c>
      <c r="I2322" s="27">
        <v>405.72</v>
      </c>
      <c r="J2322" s="27">
        <v>7680</v>
      </c>
      <c r="K2322" s="47">
        <f t="shared" si="289"/>
        <v>0.39364843749999995</v>
      </c>
      <c r="L2322" s="47">
        <f t="shared" si="290"/>
        <v>0.30130989583333334</v>
      </c>
      <c r="M2322" s="84">
        <f t="shared" si="291"/>
        <v>0.69495833333333334</v>
      </c>
      <c r="N2322" s="47">
        <f t="shared" si="292"/>
        <v>0.11514843750000001</v>
      </c>
      <c r="O2322" s="47">
        <f t="shared" si="293"/>
        <v>1.7244791666666665E-2</v>
      </c>
      <c r="P2322" s="47">
        <f t="shared" si="294"/>
        <v>5.2828125000000004E-2</v>
      </c>
      <c r="Q2322" s="47">
        <f t="shared" si="295"/>
        <v>1</v>
      </c>
    </row>
    <row r="2323" spans="1:17" x14ac:dyDescent="0.35">
      <c r="A2323" s="82">
        <v>2320</v>
      </c>
      <c r="B2323" s="83" t="str">
        <f>_xlfn.XLOOKUP(A2323,'TAZs by City - CCAG Model'!$A:$A,'TAZs by City - CCAG Model'!$B:$B,"Unknown")</f>
        <v>Oakland</v>
      </c>
      <c r="C2323" s="82">
        <f>_xlfn.XLOOKUP(A2323,'TAZs by City - CCAG Model'!$A:$A,'TAZs by City - CCAG Model'!$C:$C,999)</f>
        <v>4</v>
      </c>
      <c r="D2323" s="82" t="str">
        <f t="shared" si="288"/>
        <v>NO</v>
      </c>
      <c r="E2323" s="27">
        <v>15196.06</v>
      </c>
      <c r="F2323" s="27">
        <v>6777.4</v>
      </c>
      <c r="G2323" s="27">
        <v>779.04</v>
      </c>
      <c r="H2323" s="27">
        <v>292.04000000000002</v>
      </c>
      <c r="I2323" s="27">
        <v>649.44000000000005</v>
      </c>
      <c r="J2323" s="27">
        <v>24506.12</v>
      </c>
      <c r="K2323" s="47">
        <f t="shared" si="289"/>
        <v>0.6200924503756613</v>
      </c>
      <c r="L2323" s="47">
        <f t="shared" si="290"/>
        <v>0.27655948799728391</v>
      </c>
      <c r="M2323" s="84">
        <f t="shared" si="291"/>
        <v>0.89665193837294521</v>
      </c>
      <c r="N2323" s="47">
        <f t="shared" si="292"/>
        <v>3.1789610105557309E-2</v>
      </c>
      <c r="O2323" s="47">
        <f t="shared" si="293"/>
        <v>1.1917023176251484E-2</v>
      </c>
      <c r="P2323" s="47">
        <f t="shared" si="294"/>
        <v>2.6501135226629106E-2</v>
      </c>
      <c r="Q2323" s="47">
        <f t="shared" si="295"/>
        <v>1</v>
      </c>
    </row>
    <row r="2324" spans="1:17" x14ac:dyDescent="0.35">
      <c r="A2324" s="82">
        <v>2321</v>
      </c>
      <c r="B2324" s="83" t="str">
        <f>_xlfn.XLOOKUP(A2324,'TAZs by City - CCAG Model'!$A:$A,'TAZs by City - CCAG Model'!$B:$B,"Unknown")</f>
        <v>Oakland</v>
      </c>
      <c r="C2324" s="82">
        <f>_xlfn.XLOOKUP(A2324,'TAZs by City - CCAG Model'!$A:$A,'TAZs by City - CCAG Model'!$C:$C,999)</f>
        <v>4</v>
      </c>
      <c r="D2324" s="82" t="str">
        <f t="shared" si="288"/>
        <v>NO</v>
      </c>
      <c r="E2324" s="27">
        <v>5530.1</v>
      </c>
      <c r="F2324" s="27">
        <v>3441.12</v>
      </c>
      <c r="G2324" s="27">
        <v>1036.02</v>
      </c>
      <c r="H2324" s="27">
        <v>236.96</v>
      </c>
      <c r="I2324" s="27">
        <v>888.7</v>
      </c>
      <c r="J2324" s="27">
        <v>12205.8</v>
      </c>
      <c r="K2324" s="47">
        <f t="shared" si="289"/>
        <v>0.4530714906028282</v>
      </c>
      <c r="L2324" s="47">
        <f t="shared" si="290"/>
        <v>0.2819249864818365</v>
      </c>
      <c r="M2324" s="84">
        <f t="shared" si="291"/>
        <v>0.73499647708466476</v>
      </c>
      <c r="N2324" s="47">
        <f t="shared" si="292"/>
        <v>8.487931966769896E-2</v>
      </c>
      <c r="O2324" s="47">
        <f t="shared" si="293"/>
        <v>1.9413721345589802E-2</v>
      </c>
      <c r="P2324" s="47">
        <f t="shared" si="294"/>
        <v>7.2809647872322997E-2</v>
      </c>
      <c r="Q2324" s="47">
        <f t="shared" si="295"/>
        <v>1</v>
      </c>
    </row>
    <row r="2325" spans="1:17" x14ac:dyDescent="0.35">
      <c r="A2325" s="82">
        <v>2322</v>
      </c>
      <c r="B2325" s="83" t="str">
        <f>_xlfn.XLOOKUP(A2325,'TAZs by City - CCAG Model'!$A:$A,'TAZs by City - CCAG Model'!$B:$B,"Unknown")</f>
        <v>Oakland</v>
      </c>
      <c r="C2325" s="82">
        <f>_xlfn.XLOOKUP(A2325,'TAZs by City - CCAG Model'!$A:$A,'TAZs by City - CCAG Model'!$C:$C,999)</f>
        <v>4</v>
      </c>
      <c r="D2325" s="82" t="str">
        <f t="shared" si="288"/>
        <v>NO</v>
      </c>
      <c r="E2325" s="27">
        <v>4477.9399999999996</v>
      </c>
      <c r="F2325" s="27">
        <v>2998.56</v>
      </c>
      <c r="G2325" s="27">
        <v>909.48</v>
      </c>
      <c r="H2325" s="27">
        <v>190.68</v>
      </c>
      <c r="I2325" s="27">
        <v>691</v>
      </c>
      <c r="J2325" s="27">
        <v>10213.64</v>
      </c>
      <c r="K2325" s="47">
        <f t="shared" si="289"/>
        <v>0.4384274362519141</v>
      </c>
      <c r="L2325" s="47">
        <f t="shared" si="290"/>
        <v>0.29358387411344045</v>
      </c>
      <c r="M2325" s="84">
        <f t="shared" si="291"/>
        <v>0.73201131036535461</v>
      </c>
      <c r="N2325" s="47">
        <f t="shared" si="292"/>
        <v>8.9045629178236163E-2</v>
      </c>
      <c r="O2325" s="47">
        <f t="shared" si="293"/>
        <v>1.8669152231721504E-2</v>
      </c>
      <c r="P2325" s="47">
        <f t="shared" si="294"/>
        <v>6.7654626558210404E-2</v>
      </c>
      <c r="Q2325" s="47">
        <f t="shared" si="295"/>
        <v>1</v>
      </c>
    </row>
    <row r="2326" spans="1:17" x14ac:dyDescent="0.35">
      <c r="A2326" s="82">
        <v>2323</v>
      </c>
      <c r="B2326" s="83" t="str">
        <f>_xlfn.XLOOKUP(A2326,'TAZs by City - CCAG Model'!$A:$A,'TAZs by City - CCAG Model'!$B:$B,"Unknown")</f>
        <v>Emeryville</v>
      </c>
      <c r="C2326" s="82">
        <f>_xlfn.XLOOKUP(A2326,'TAZs by City - CCAG Model'!$A:$A,'TAZs by City - CCAG Model'!$C:$C,999)</f>
        <v>4</v>
      </c>
      <c r="D2326" s="82" t="str">
        <f t="shared" si="288"/>
        <v>NO</v>
      </c>
      <c r="E2326" s="27">
        <v>72078.94</v>
      </c>
      <c r="F2326" s="27">
        <v>29800.78</v>
      </c>
      <c r="G2326" s="27">
        <v>10509.34</v>
      </c>
      <c r="H2326" s="27">
        <v>2252.7399999999998</v>
      </c>
      <c r="I2326" s="27">
        <v>8411.42</v>
      </c>
      <c r="J2326" s="27">
        <v>133588.1</v>
      </c>
      <c r="K2326" s="47">
        <f t="shared" si="289"/>
        <v>0.53956108365939781</v>
      </c>
      <c r="L2326" s="47">
        <f t="shared" si="290"/>
        <v>0.22307960065305216</v>
      </c>
      <c r="M2326" s="84">
        <f t="shared" si="291"/>
        <v>0.76264068431244991</v>
      </c>
      <c r="N2326" s="47">
        <f t="shared" si="292"/>
        <v>7.8669731809944146E-2</v>
      </c>
      <c r="O2326" s="47">
        <f t="shared" si="293"/>
        <v>1.6863328395268738E-2</v>
      </c>
      <c r="P2326" s="47">
        <f t="shared" si="294"/>
        <v>6.2965338978546739E-2</v>
      </c>
      <c r="Q2326" s="47">
        <f t="shared" si="295"/>
        <v>1</v>
      </c>
    </row>
    <row r="2327" spans="1:17" x14ac:dyDescent="0.35">
      <c r="A2327" s="82">
        <v>2324</v>
      </c>
      <c r="B2327" s="83" t="str">
        <f>_xlfn.XLOOKUP(A2327,'TAZs by City - CCAG Model'!$A:$A,'TAZs by City - CCAG Model'!$B:$B,"Unknown")</f>
        <v>Oakland</v>
      </c>
      <c r="C2327" s="82">
        <f>_xlfn.XLOOKUP(A2327,'TAZs by City - CCAG Model'!$A:$A,'TAZs by City - CCAG Model'!$C:$C,999)</f>
        <v>4</v>
      </c>
      <c r="D2327" s="82" t="str">
        <f t="shared" si="288"/>
        <v>NO</v>
      </c>
      <c r="E2327" s="27">
        <v>4577.76</v>
      </c>
      <c r="F2327" s="27">
        <v>2742.86</v>
      </c>
      <c r="G2327" s="27">
        <v>898.46</v>
      </c>
      <c r="H2327" s="27">
        <v>238.42</v>
      </c>
      <c r="I2327" s="27">
        <v>924.54</v>
      </c>
      <c r="J2327" s="27">
        <v>10316.040000000001</v>
      </c>
      <c r="K2327" s="47">
        <f t="shared" si="289"/>
        <v>0.44375167215326811</v>
      </c>
      <c r="L2327" s="47">
        <f t="shared" si="290"/>
        <v>0.26588303263655433</v>
      </c>
      <c r="M2327" s="84">
        <f t="shared" si="291"/>
        <v>0.70963470478982249</v>
      </c>
      <c r="N2327" s="47">
        <f t="shared" si="292"/>
        <v>8.7093497117110827E-2</v>
      </c>
      <c r="O2327" s="47">
        <f t="shared" si="293"/>
        <v>2.3111581575876013E-2</v>
      </c>
      <c r="P2327" s="47">
        <f t="shared" si="294"/>
        <v>8.9621598985657275E-2</v>
      </c>
      <c r="Q2327" s="47">
        <f t="shared" si="295"/>
        <v>1</v>
      </c>
    </row>
    <row r="2328" spans="1:17" x14ac:dyDescent="0.35">
      <c r="A2328" s="82">
        <v>2325</v>
      </c>
      <c r="B2328" s="83" t="str">
        <f>_xlfn.XLOOKUP(A2328,'TAZs by City - CCAG Model'!$A:$A,'TAZs by City - CCAG Model'!$B:$B,"Unknown")</f>
        <v>Oakland</v>
      </c>
      <c r="C2328" s="82">
        <f>_xlfn.XLOOKUP(A2328,'TAZs by City - CCAG Model'!$A:$A,'TAZs by City - CCAG Model'!$C:$C,999)</f>
        <v>4</v>
      </c>
      <c r="D2328" s="82" t="str">
        <f t="shared" si="288"/>
        <v>NO</v>
      </c>
      <c r="E2328" s="27">
        <v>8644.6</v>
      </c>
      <c r="F2328" s="27">
        <v>4757.9799999999996</v>
      </c>
      <c r="G2328" s="27">
        <v>1237.94</v>
      </c>
      <c r="H2328" s="27">
        <v>423.66</v>
      </c>
      <c r="I2328" s="27">
        <v>1421.88</v>
      </c>
      <c r="J2328" s="27">
        <v>17758.64</v>
      </c>
      <c r="K2328" s="47">
        <f t="shared" si="289"/>
        <v>0.48678277165368522</v>
      </c>
      <c r="L2328" s="47">
        <f t="shared" si="290"/>
        <v>0.26792479604294023</v>
      </c>
      <c r="M2328" s="84">
        <f t="shared" si="291"/>
        <v>0.75470756769662539</v>
      </c>
      <c r="N2328" s="47">
        <f t="shared" si="292"/>
        <v>6.9709166918187432E-2</v>
      </c>
      <c r="O2328" s="47">
        <f t="shared" si="293"/>
        <v>2.3856556583161777E-2</v>
      </c>
      <c r="P2328" s="47">
        <f t="shared" si="294"/>
        <v>8.0066942063130975E-2</v>
      </c>
      <c r="Q2328" s="47">
        <f t="shared" si="295"/>
        <v>1</v>
      </c>
    </row>
    <row r="2329" spans="1:17" x14ac:dyDescent="0.35">
      <c r="A2329" s="82">
        <v>2326</v>
      </c>
      <c r="B2329" s="83" t="str">
        <f>_xlfn.XLOOKUP(A2329,'TAZs by City - CCAG Model'!$A:$A,'TAZs by City - CCAG Model'!$B:$B,"Unknown")</f>
        <v>Berkeley</v>
      </c>
      <c r="C2329" s="82">
        <f>_xlfn.XLOOKUP(A2329,'TAZs by City - CCAG Model'!$A:$A,'TAZs by City - CCAG Model'!$C:$C,999)</f>
        <v>4</v>
      </c>
      <c r="D2329" s="82" t="str">
        <f t="shared" si="288"/>
        <v>NO</v>
      </c>
      <c r="E2329" s="27">
        <v>3352.58</v>
      </c>
      <c r="F2329" s="27">
        <v>2389.84</v>
      </c>
      <c r="G2329" s="27">
        <v>820.4</v>
      </c>
      <c r="H2329" s="27">
        <v>283.68</v>
      </c>
      <c r="I2329" s="27">
        <v>814.74</v>
      </c>
      <c r="J2329" s="27">
        <v>8510.18</v>
      </c>
      <c r="K2329" s="47">
        <f t="shared" si="289"/>
        <v>0.39394936417326071</v>
      </c>
      <c r="L2329" s="47">
        <f t="shared" si="290"/>
        <v>0.280821322228202</v>
      </c>
      <c r="M2329" s="84">
        <f t="shared" si="291"/>
        <v>0.67477068640146265</v>
      </c>
      <c r="N2329" s="47">
        <f t="shared" si="292"/>
        <v>9.6402191257999231E-2</v>
      </c>
      <c r="O2329" s="47">
        <f t="shared" si="293"/>
        <v>3.3334195046403246E-2</v>
      </c>
      <c r="P2329" s="47">
        <f t="shared" si="294"/>
        <v>9.5737105443128107E-2</v>
      </c>
      <c r="Q2329" s="47">
        <f t="shared" si="295"/>
        <v>1</v>
      </c>
    </row>
    <row r="2330" spans="1:17" x14ac:dyDescent="0.35">
      <c r="A2330" s="82">
        <v>2327</v>
      </c>
      <c r="B2330" s="83" t="str">
        <f>_xlfn.XLOOKUP(A2330,'TAZs by City - CCAG Model'!$A:$A,'TAZs by City - CCAG Model'!$B:$B,"Unknown")</f>
        <v>Berkeley</v>
      </c>
      <c r="C2330" s="82">
        <f>_xlfn.XLOOKUP(A2330,'TAZs by City - CCAG Model'!$A:$A,'TAZs by City - CCAG Model'!$C:$C,999)</f>
        <v>4</v>
      </c>
      <c r="D2330" s="82" t="str">
        <f t="shared" si="288"/>
        <v>NO</v>
      </c>
      <c r="E2330" s="27">
        <v>7501.76</v>
      </c>
      <c r="F2330" s="27">
        <v>4439.5</v>
      </c>
      <c r="G2330" s="27">
        <v>1950.56</v>
      </c>
      <c r="H2330" s="27">
        <v>736.64</v>
      </c>
      <c r="I2330" s="27">
        <v>1866.96</v>
      </c>
      <c r="J2330" s="27">
        <v>18479.259999999998</v>
      </c>
      <c r="K2330" s="47">
        <f t="shared" si="289"/>
        <v>0.40595564973922121</v>
      </c>
      <c r="L2330" s="47">
        <f t="shared" si="290"/>
        <v>0.24024230407494673</v>
      </c>
      <c r="M2330" s="84">
        <f t="shared" si="291"/>
        <v>0.646197953814168</v>
      </c>
      <c r="N2330" s="47">
        <f t="shared" si="292"/>
        <v>0.10555401027963242</v>
      </c>
      <c r="O2330" s="47">
        <f t="shared" si="293"/>
        <v>3.9863068109870205E-2</v>
      </c>
      <c r="P2330" s="47">
        <f t="shared" si="294"/>
        <v>0.10103001960035198</v>
      </c>
      <c r="Q2330" s="47">
        <f t="shared" si="295"/>
        <v>1</v>
      </c>
    </row>
    <row r="2331" spans="1:17" x14ac:dyDescent="0.35">
      <c r="A2331" s="82">
        <v>2328</v>
      </c>
      <c r="B2331" s="83" t="str">
        <f>_xlfn.XLOOKUP(A2331,'TAZs by City - CCAG Model'!$A:$A,'TAZs by City - CCAG Model'!$B:$B,"Unknown")</f>
        <v>Oakland</v>
      </c>
      <c r="C2331" s="82">
        <f>_xlfn.XLOOKUP(A2331,'TAZs by City - CCAG Model'!$A:$A,'TAZs by City - CCAG Model'!$C:$C,999)</f>
        <v>4</v>
      </c>
      <c r="D2331" s="82" t="str">
        <f t="shared" si="288"/>
        <v>NO</v>
      </c>
      <c r="E2331" s="27">
        <v>7520.9</v>
      </c>
      <c r="F2331" s="27">
        <v>4570.0200000000004</v>
      </c>
      <c r="G2331" s="27">
        <v>1683.34</v>
      </c>
      <c r="H2331" s="27">
        <v>404.32</v>
      </c>
      <c r="I2331" s="27">
        <v>1320.38</v>
      </c>
      <c r="J2331" s="27">
        <v>17217.599999999999</v>
      </c>
      <c r="K2331" s="47">
        <f t="shared" si="289"/>
        <v>0.43681465477186138</v>
      </c>
      <c r="L2331" s="47">
        <f t="shared" si="290"/>
        <v>0.26542723724560918</v>
      </c>
      <c r="M2331" s="84">
        <f t="shared" si="291"/>
        <v>0.70224189201747056</v>
      </c>
      <c r="N2331" s="47">
        <f t="shared" si="292"/>
        <v>9.7768562401263831E-2</v>
      </c>
      <c r="O2331" s="47">
        <f t="shared" si="293"/>
        <v>2.3482947681442247E-2</v>
      </c>
      <c r="P2331" s="47">
        <f t="shared" si="294"/>
        <v>7.6687807824551632E-2</v>
      </c>
      <c r="Q2331" s="47">
        <f t="shared" si="295"/>
        <v>1</v>
      </c>
    </row>
    <row r="2332" spans="1:17" x14ac:dyDescent="0.35">
      <c r="A2332" s="82">
        <v>2329</v>
      </c>
      <c r="B2332" s="83" t="str">
        <f>_xlfn.XLOOKUP(A2332,'TAZs by City - CCAG Model'!$A:$A,'TAZs by City - CCAG Model'!$B:$B,"Unknown")</f>
        <v>Oakland</v>
      </c>
      <c r="C2332" s="82">
        <f>_xlfn.XLOOKUP(A2332,'TAZs by City - CCAG Model'!$A:$A,'TAZs by City - CCAG Model'!$C:$C,999)</f>
        <v>4</v>
      </c>
      <c r="D2332" s="82" t="str">
        <f t="shared" si="288"/>
        <v>NO</v>
      </c>
      <c r="E2332" s="27">
        <v>3302.36</v>
      </c>
      <c r="F2332" s="27">
        <v>2055.2800000000002</v>
      </c>
      <c r="G2332" s="27">
        <v>489.02</v>
      </c>
      <c r="H2332" s="27">
        <v>144.34</v>
      </c>
      <c r="I2332" s="27">
        <v>292.12</v>
      </c>
      <c r="J2332" s="27">
        <v>6803.7</v>
      </c>
      <c r="K2332" s="47">
        <f t="shared" si="289"/>
        <v>0.48537707423901705</v>
      </c>
      <c r="L2332" s="47">
        <f t="shared" si="290"/>
        <v>0.30208269030086576</v>
      </c>
      <c r="M2332" s="84">
        <f t="shared" si="291"/>
        <v>0.78745976453988276</v>
      </c>
      <c r="N2332" s="47">
        <f t="shared" si="292"/>
        <v>7.1875597101577079E-2</v>
      </c>
      <c r="O2332" s="47">
        <f t="shared" si="293"/>
        <v>2.1214927171979953E-2</v>
      </c>
      <c r="P2332" s="47">
        <f t="shared" si="294"/>
        <v>4.2935461587077624E-2</v>
      </c>
      <c r="Q2332" s="47">
        <f t="shared" si="295"/>
        <v>1</v>
      </c>
    </row>
    <row r="2333" spans="1:17" x14ac:dyDescent="0.35">
      <c r="A2333" s="82">
        <v>2330</v>
      </c>
      <c r="B2333" s="83" t="str">
        <f>_xlfn.XLOOKUP(A2333,'TAZs by City - CCAG Model'!$A:$A,'TAZs by City - CCAG Model'!$B:$B,"Unknown")</f>
        <v>Oakland</v>
      </c>
      <c r="C2333" s="82">
        <f>_xlfn.XLOOKUP(A2333,'TAZs by City - CCAG Model'!$A:$A,'TAZs by City - CCAG Model'!$C:$C,999)</f>
        <v>4</v>
      </c>
      <c r="D2333" s="82" t="str">
        <f t="shared" si="288"/>
        <v>NO</v>
      </c>
      <c r="E2333" s="27">
        <v>15417.7</v>
      </c>
      <c r="F2333" s="27">
        <v>7808.72</v>
      </c>
      <c r="G2333" s="27">
        <v>2350.2199999999998</v>
      </c>
      <c r="H2333" s="27">
        <v>498.86</v>
      </c>
      <c r="I2333" s="27">
        <v>1884.54</v>
      </c>
      <c r="J2333" s="27">
        <v>30341.14</v>
      </c>
      <c r="K2333" s="47">
        <f t="shared" si="289"/>
        <v>0.50814504662646165</v>
      </c>
      <c r="L2333" s="47">
        <f t="shared" si="290"/>
        <v>0.25736409376839503</v>
      </c>
      <c r="M2333" s="84">
        <f t="shared" si="291"/>
        <v>0.76550914039485674</v>
      </c>
      <c r="N2333" s="47">
        <f t="shared" si="292"/>
        <v>7.7459844949794229E-2</v>
      </c>
      <c r="O2333" s="47">
        <f t="shared" si="293"/>
        <v>1.6441702585993805E-2</v>
      </c>
      <c r="P2333" s="47">
        <f t="shared" si="294"/>
        <v>6.2111707074948404E-2</v>
      </c>
      <c r="Q2333" s="47">
        <f t="shared" si="295"/>
        <v>1</v>
      </c>
    </row>
    <row r="2334" spans="1:17" x14ac:dyDescent="0.35">
      <c r="A2334" s="82">
        <v>2331</v>
      </c>
      <c r="B2334" s="83" t="str">
        <f>_xlfn.XLOOKUP(A2334,'TAZs by City - CCAG Model'!$A:$A,'TAZs by City - CCAG Model'!$B:$B,"Unknown")</f>
        <v>Oakland</v>
      </c>
      <c r="C2334" s="82">
        <f>_xlfn.XLOOKUP(A2334,'TAZs by City - CCAG Model'!$A:$A,'TAZs by City - CCAG Model'!$C:$C,999)</f>
        <v>4</v>
      </c>
      <c r="D2334" s="82" t="str">
        <f t="shared" si="288"/>
        <v>NO</v>
      </c>
      <c r="E2334" s="27">
        <v>9623.2199999999993</v>
      </c>
      <c r="F2334" s="27">
        <v>4733.1000000000004</v>
      </c>
      <c r="G2334" s="27">
        <v>1239.56</v>
      </c>
      <c r="H2334" s="27">
        <v>259.64</v>
      </c>
      <c r="I2334" s="27">
        <v>1029.52</v>
      </c>
      <c r="J2334" s="27">
        <v>18158.759999999998</v>
      </c>
      <c r="K2334" s="47">
        <f t="shared" si="289"/>
        <v>0.52994918155204429</v>
      </c>
      <c r="L2334" s="47">
        <f t="shared" si="290"/>
        <v>0.26065105767133884</v>
      </c>
      <c r="M2334" s="84">
        <f t="shared" si="291"/>
        <v>0.79060023922338318</v>
      </c>
      <c r="N2334" s="47">
        <f t="shared" si="292"/>
        <v>6.8262370338062733E-2</v>
      </c>
      <c r="O2334" s="47">
        <f t="shared" si="293"/>
        <v>1.429833314609588E-2</v>
      </c>
      <c r="P2334" s="47">
        <f t="shared" si="294"/>
        <v>5.669550123466581E-2</v>
      </c>
      <c r="Q2334" s="47">
        <f t="shared" si="295"/>
        <v>1</v>
      </c>
    </row>
    <row r="2335" spans="1:17" x14ac:dyDescent="0.35">
      <c r="A2335" s="82">
        <v>2332</v>
      </c>
      <c r="B2335" s="83" t="str">
        <f>_xlfn.XLOOKUP(A2335,'TAZs by City - CCAG Model'!$A:$A,'TAZs by City - CCAG Model'!$B:$B,"Unknown")</f>
        <v>Oakland</v>
      </c>
      <c r="C2335" s="82">
        <f>_xlfn.XLOOKUP(A2335,'TAZs by City - CCAG Model'!$A:$A,'TAZs by City - CCAG Model'!$C:$C,999)</f>
        <v>4</v>
      </c>
      <c r="D2335" s="82" t="str">
        <f t="shared" si="288"/>
        <v>NO</v>
      </c>
      <c r="E2335" s="27">
        <v>9790.3799999999992</v>
      </c>
      <c r="F2335" s="27">
        <v>5120.5600000000004</v>
      </c>
      <c r="G2335" s="27">
        <v>1859.64</v>
      </c>
      <c r="H2335" s="27">
        <v>364.8</v>
      </c>
      <c r="I2335" s="27">
        <v>970.9</v>
      </c>
      <c r="J2335" s="27">
        <v>20000.400000000001</v>
      </c>
      <c r="K2335" s="47">
        <f t="shared" si="289"/>
        <v>0.48950920981580359</v>
      </c>
      <c r="L2335" s="47">
        <f t="shared" si="290"/>
        <v>0.25602287954240915</v>
      </c>
      <c r="M2335" s="84">
        <f t="shared" si="291"/>
        <v>0.74553208935821269</v>
      </c>
      <c r="N2335" s="47">
        <f t="shared" si="292"/>
        <v>9.298014039719206E-2</v>
      </c>
      <c r="O2335" s="47">
        <f t="shared" si="293"/>
        <v>1.8239635207295855E-2</v>
      </c>
      <c r="P2335" s="47">
        <f t="shared" si="294"/>
        <v>4.854402911941761E-2</v>
      </c>
      <c r="Q2335" s="47">
        <f t="shared" si="295"/>
        <v>1</v>
      </c>
    </row>
    <row r="2336" spans="1:17" x14ac:dyDescent="0.35">
      <c r="A2336" s="82">
        <v>2333</v>
      </c>
      <c r="B2336" s="83" t="str">
        <f>_xlfn.XLOOKUP(A2336,'TAZs by City - CCAG Model'!$A:$A,'TAZs by City - CCAG Model'!$B:$B,"Unknown")</f>
        <v>Oakland</v>
      </c>
      <c r="C2336" s="82">
        <f>_xlfn.XLOOKUP(A2336,'TAZs by City - CCAG Model'!$A:$A,'TAZs by City - CCAG Model'!$C:$C,999)</f>
        <v>4</v>
      </c>
      <c r="D2336" s="82" t="str">
        <f t="shared" si="288"/>
        <v>NO</v>
      </c>
      <c r="E2336" s="27">
        <v>7890.22</v>
      </c>
      <c r="F2336" s="27">
        <v>4284.68</v>
      </c>
      <c r="G2336" s="27">
        <v>1452.72</v>
      </c>
      <c r="H2336" s="27">
        <v>438.8</v>
      </c>
      <c r="I2336" s="27">
        <v>1242.8</v>
      </c>
      <c r="J2336" s="27">
        <v>16796.580000000002</v>
      </c>
      <c r="K2336" s="47">
        <f t="shared" si="289"/>
        <v>0.46975158038124426</v>
      </c>
      <c r="L2336" s="47">
        <f t="shared" si="290"/>
        <v>0.25509240571592551</v>
      </c>
      <c r="M2336" s="84">
        <f t="shared" si="291"/>
        <v>0.72484398609716982</v>
      </c>
      <c r="N2336" s="47">
        <f t="shared" si="292"/>
        <v>8.648903526789381E-2</v>
      </c>
      <c r="O2336" s="47">
        <f t="shared" si="293"/>
        <v>2.6124365793512724E-2</v>
      </c>
      <c r="P2336" s="47">
        <f t="shared" si="294"/>
        <v>7.3991252981261649E-2</v>
      </c>
      <c r="Q2336" s="47">
        <f t="shared" si="295"/>
        <v>1</v>
      </c>
    </row>
    <row r="2337" spans="1:17" x14ac:dyDescent="0.35">
      <c r="A2337" s="82">
        <v>2334</v>
      </c>
      <c r="B2337" s="83" t="str">
        <f>_xlfn.XLOOKUP(A2337,'TAZs by City - CCAG Model'!$A:$A,'TAZs by City - CCAG Model'!$B:$B,"Unknown")</f>
        <v>Berkeley</v>
      </c>
      <c r="C2337" s="82">
        <f>_xlfn.XLOOKUP(A2337,'TAZs by City - CCAG Model'!$A:$A,'TAZs by City - CCAG Model'!$C:$C,999)</f>
        <v>4</v>
      </c>
      <c r="D2337" s="82" t="str">
        <f t="shared" si="288"/>
        <v>NO</v>
      </c>
      <c r="E2337" s="27">
        <v>5155.1000000000004</v>
      </c>
      <c r="F2337" s="27">
        <v>2601.42</v>
      </c>
      <c r="G2337" s="27">
        <v>1037.32</v>
      </c>
      <c r="H2337" s="27">
        <v>406.1</v>
      </c>
      <c r="I2337" s="27">
        <v>1065.8599999999999</v>
      </c>
      <c r="J2337" s="27">
        <v>11337.32</v>
      </c>
      <c r="K2337" s="47">
        <f t="shared" si="289"/>
        <v>0.45470181665508252</v>
      </c>
      <c r="L2337" s="47">
        <f t="shared" si="290"/>
        <v>0.22945634418010608</v>
      </c>
      <c r="M2337" s="84">
        <f t="shared" si="291"/>
        <v>0.68415816083518866</v>
      </c>
      <c r="N2337" s="47">
        <f t="shared" si="292"/>
        <v>9.1496050212925104E-2</v>
      </c>
      <c r="O2337" s="47">
        <f t="shared" si="293"/>
        <v>3.5819752816362245E-2</v>
      </c>
      <c r="P2337" s="47">
        <f t="shared" si="294"/>
        <v>9.4013399992238011E-2</v>
      </c>
      <c r="Q2337" s="47">
        <f t="shared" si="295"/>
        <v>1</v>
      </c>
    </row>
    <row r="2338" spans="1:17" x14ac:dyDescent="0.35">
      <c r="A2338" s="82">
        <v>2335</v>
      </c>
      <c r="B2338" s="83" t="str">
        <f>_xlfn.XLOOKUP(A2338,'TAZs by City - CCAG Model'!$A:$A,'TAZs by City - CCAG Model'!$B:$B,"Unknown")</f>
        <v>Berkeley</v>
      </c>
      <c r="C2338" s="82">
        <f>_xlfn.XLOOKUP(A2338,'TAZs by City - CCAG Model'!$A:$A,'TAZs by City - CCAG Model'!$C:$C,999)</f>
        <v>4</v>
      </c>
      <c r="D2338" s="82" t="str">
        <f t="shared" si="288"/>
        <v>NO</v>
      </c>
      <c r="E2338" s="27">
        <v>10701.14</v>
      </c>
      <c r="F2338" s="27">
        <v>4242.84</v>
      </c>
      <c r="G2338" s="27">
        <v>1296.04</v>
      </c>
      <c r="H2338" s="27">
        <v>626.55999999999995</v>
      </c>
      <c r="I2338" s="27">
        <v>1519.58</v>
      </c>
      <c r="J2338" s="27">
        <v>19717.84</v>
      </c>
      <c r="K2338" s="47">
        <f t="shared" si="289"/>
        <v>0.54271360351843811</v>
      </c>
      <c r="L2338" s="47">
        <f t="shared" si="290"/>
        <v>0.21517772737784666</v>
      </c>
      <c r="M2338" s="84">
        <f t="shared" si="291"/>
        <v>0.7578913308962848</v>
      </c>
      <c r="N2338" s="47">
        <f t="shared" si="292"/>
        <v>6.5729309092679516E-2</v>
      </c>
      <c r="O2338" s="47">
        <f t="shared" si="293"/>
        <v>3.1776300040978117E-2</v>
      </c>
      <c r="P2338" s="47">
        <f t="shared" si="294"/>
        <v>7.7066250664372976E-2</v>
      </c>
      <c r="Q2338" s="47">
        <f t="shared" si="295"/>
        <v>1</v>
      </c>
    </row>
    <row r="2339" spans="1:17" x14ac:dyDescent="0.35">
      <c r="A2339" s="82">
        <v>2336</v>
      </c>
      <c r="B2339" s="83" t="str">
        <f>_xlfn.XLOOKUP(A2339,'TAZs by City - CCAG Model'!$A:$A,'TAZs by City - CCAG Model'!$B:$B,"Unknown")</f>
        <v>Berkeley</v>
      </c>
      <c r="C2339" s="82">
        <f>_xlfn.XLOOKUP(A2339,'TAZs by City - CCAG Model'!$A:$A,'TAZs by City - CCAG Model'!$C:$C,999)</f>
        <v>4</v>
      </c>
      <c r="D2339" s="82" t="str">
        <f t="shared" si="288"/>
        <v>NO</v>
      </c>
      <c r="E2339" s="27">
        <v>9315.82</v>
      </c>
      <c r="F2339" s="27">
        <v>5269.3</v>
      </c>
      <c r="G2339" s="27">
        <v>1143.08</v>
      </c>
      <c r="H2339" s="27">
        <v>430.64</v>
      </c>
      <c r="I2339" s="27">
        <v>1281.92</v>
      </c>
      <c r="J2339" s="27">
        <v>18617.36</v>
      </c>
      <c r="K2339" s="47">
        <f t="shared" si="289"/>
        <v>0.50038351302225448</v>
      </c>
      <c r="L2339" s="47">
        <f t="shared" si="290"/>
        <v>0.2830315361576507</v>
      </c>
      <c r="M2339" s="84">
        <f t="shared" si="291"/>
        <v>0.78341504917990512</v>
      </c>
      <c r="N2339" s="47">
        <f t="shared" si="292"/>
        <v>6.1398608610458191E-2</v>
      </c>
      <c r="O2339" s="47">
        <f t="shared" si="293"/>
        <v>2.3131099146173249E-2</v>
      </c>
      <c r="P2339" s="47">
        <f t="shared" si="294"/>
        <v>6.8856164354129695E-2</v>
      </c>
      <c r="Q2339" s="47">
        <f t="shared" si="295"/>
        <v>1</v>
      </c>
    </row>
    <row r="2340" spans="1:17" x14ac:dyDescent="0.35">
      <c r="A2340" s="82">
        <v>2337</v>
      </c>
      <c r="B2340" s="83" t="str">
        <f>_xlfn.XLOOKUP(A2340,'TAZs by City - CCAG Model'!$A:$A,'TAZs by City - CCAG Model'!$B:$B,"Unknown")</f>
        <v>Oakland</v>
      </c>
      <c r="C2340" s="82">
        <f>_xlfn.XLOOKUP(A2340,'TAZs by City - CCAG Model'!$A:$A,'TAZs by City - CCAG Model'!$C:$C,999)</f>
        <v>4</v>
      </c>
      <c r="D2340" s="82" t="str">
        <f t="shared" si="288"/>
        <v>NO</v>
      </c>
      <c r="E2340" s="27">
        <v>8216.9599999999991</v>
      </c>
      <c r="F2340" s="27">
        <v>4777.3999999999996</v>
      </c>
      <c r="G2340" s="27">
        <v>759.32</v>
      </c>
      <c r="H2340" s="27">
        <v>290.58</v>
      </c>
      <c r="I2340" s="27">
        <v>411.94</v>
      </c>
      <c r="J2340" s="27">
        <v>15248.56</v>
      </c>
      <c r="K2340" s="47">
        <f t="shared" si="289"/>
        <v>0.53886793244739173</v>
      </c>
      <c r="L2340" s="47">
        <f t="shared" si="290"/>
        <v>0.31330171504719134</v>
      </c>
      <c r="M2340" s="84">
        <f t="shared" si="291"/>
        <v>0.85216964749458302</v>
      </c>
      <c r="N2340" s="47">
        <f t="shared" si="292"/>
        <v>4.9796177475118969E-2</v>
      </c>
      <c r="O2340" s="47">
        <f t="shared" si="293"/>
        <v>1.9056225637043761E-2</v>
      </c>
      <c r="P2340" s="47">
        <f t="shared" si="294"/>
        <v>2.7015009941922387E-2</v>
      </c>
      <c r="Q2340" s="47">
        <f t="shared" si="295"/>
        <v>1</v>
      </c>
    </row>
    <row r="2341" spans="1:17" x14ac:dyDescent="0.35">
      <c r="A2341" s="82">
        <v>2338</v>
      </c>
      <c r="B2341" s="83" t="str">
        <f>_xlfn.XLOOKUP(A2341,'TAZs by City - CCAG Model'!$A:$A,'TAZs by City - CCAG Model'!$B:$B,"Unknown")</f>
        <v>Berkeley</v>
      </c>
      <c r="C2341" s="82">
        <f>_xlfn.XLOOKUP(A2341,'TAZs by City - CCAG Model'!$A:$A,'TAZs by City - CCAG Model'!$C:$C,999)</f>
        <v>4</v>
      </c>
      <c r="D2341" s="82" t="str">
        <f t="shared" si="288"/>
        <v>NO</v>
      </c>
      <c r="E2341" s="27">
        <v>7565.54</v>
      </c>
      <c r="F2341" s="27">
        <v>5628.2</v>
      </c>
      <c r="G2341" s="27">
        <v>1134.72</v>
      </c>
      <c r="H2341" s="27">
        <v>803.72</v>
      </c>
      <c r="I2341" s="27">
        <v>3881.38</v>
      </c>
      <c r="J2341" s="27">
        <v>20181.939999999999</v>
      </c>
      <c r="K2341" s="47">
        <f t="shared" si="289"/>
        <v>0.37486683638936596</v>
      </c>
      <c r="L2341" s="47">
        <f t="shared" si="290"/>
        <v>0.27887309148674511</v>
      </c>
      <c r="M2341" s="84">
        <f t="shared" si="291"/>
        <v>0.65373992787611102</v>
      </c>
      <c r="N2341" s="47">
        <f t="shared" si="292"/>
        <v>5.6224525491602895E-2</v>
      </c>
      <c r="O2341" s="47">
        <f t="shared" si="293"/>
        <v>3.9823723586533313E-2</v>
      </c>
      <c r="P2341" s="47">
        <f t="shared" si="294"/>
        <v>0.1923194697833806</v>
      </c>
      <c r="Q2341" s="47">
        <f t="shared" si="295"/>
        <v>1</v>
      </c>
    </row>
    <row r="2342" spans="1:17" x14ac:dyDescent="0.35">
      <c r="A2342" s="82">
        <v>2339</v>
      </c>
      <c r="B2342" s="83" t="str">
        <f>_xlfn.XLOOKUP(A2342,'TAZs by City - CCAG Model'!$A:$A,'TAZs by City - CCAG Model'!$B:$B,"Unknown")</f>
        <v>Berkeley</v>
      </c>
      <c r="C2342" s="82">
        <f>_xlfn.XLOOKUP(A2342,'TAZs by City - CCAG Model'!$A:$A,'TAZs by City - CCAG Model'!$C:$C,999)</f>
        <v>4</v>
      </c>
      <c r="D2342" s="82" t="str">
        <f t="shared" si="288"/>
        <v>NO</v>
      </c>
      <c r="E2342" s="27">
        <v>4815.46</v>
      </c>
      <c r="F2342" s="27">
        <v>2840.32</v>
      </c>
      <c r="G2342" s="27">
        <v>1545.1</v>
      </c>
      <c r="H2342" s="27">
        <v>781.88</v>
      </c>
      <c r="I2342" s="27">
        <v>2661.58</v>
      </c>
      <c r="J2342" s="27">
        <v>14224.96</v>
      </c>
      <c r="K2342" s="47">
        <f t="shared" si="289"/>
        <v>0.33852186579083526</v>
      </c>
      <c r="L2342" s="47">
        <f t="shared" si="290"/>
        <v>0.19967156322407939</v>
      </c>
      <c r="M2342" s="84">
        <f t="shared" si="291"/>
        <v>0.53819342901491474</v>
      </c>
      <c r="N2342" s="47">
        <f t="shared" si="292"/>
        <v>0.10861893460508852</v>
      </c>
      <c r="O2342" s="47">
        <f t="shared" si="293"/>
        <v>5.4965356668841253E-2</v>
      </c>
      <c r="P2342" s="47">
        <f t="shared" si="294"/>
        <v>0.18710632578228692</v>
      </c>
      <c r="Q2342" s="47">
        <f t="shared" si="295"/>
        <v>1</v>
      </c>
    </row>
    <row r="2343" spans="1:17" x14ac:dyDescent="0.35">
      <c r="A2343" s="82">
        <v>2340</v>
      </c>
      <c r="B2343" s="83" t="str">
        <f>_xlfn.XLOOKUP(A2343,'TAZs by City - CCAG Model'!$A:$A,'TAZs by City - CCAG Model'!$B:$B,"Unknown")</f>
        <v>Berkeley</v>
      </c>
      <c r="C2343" s="82">
        <f>_xlfn.XLOOKUP(A2343,'TAZs by City - CCAG Model'!$A:$A,'TAZs by City - CCAG Model'!$C:$C,999)</f>
        <v>4</v>
      </c>
      <c r="D2343" s="82" t="str">
        <f t="shared" si="288"/>
        <v>NO</v>
      </c>
      <c r="E2343" s="27">
        <v>13457.08</v>
      </c>
      <c r="F2343" s="27">
        <v>6423.58</v>
      </c>
      <c r="G2343" s="27">
        <v>4742.22</v>
      </c>
      <c r="H2343" s="27">
        <v>2019.74</v>
      </c>
      <c r="I2343" s="27">
        <v>6897.02</v>
      </c>
      <c r="J2343" s="27">
        <v>38322.480000000003</v>
      </c>
      <c r="K2343" s="47">
        <f t="shared" si="289"/>
        <v>0.35115368316455509</v>
      </c>
      <c r="L2343" s="47">
        <f t="shared" si="290"/>
        <v>0.16761911024547471</v>
      </c>
      <c r="M2343" s="84">
        <f t="shared" si="291"/>
        <v>0.5187727934100298</v>
      </c>
      <c r="N2343" s="47">
        <f t="shared" si="292"/>
        <v>0.12374512296698961</v>
      </c>
      <c r="O2343" s="47">
        <f t="shared" si="293"/>
        <v>5.2703791612651367E-2</v>
      </c>
      <c r="P2343" s="47">
        <f t="shared" si="294"/>
        <v>0.17997321676467701</v>
      </c>
      <c r="Q2343" s="47">
        <f t="shared" si="295"/>
        <v>1</v>
      </c>
    </row>
    <row r="2344" spans="1:17" x14ac:dyDescent="0.35">
      <c r="A2344" s="82">
        <v>2341</v>
      </c>
      <c r="B2344" s="83" t="str">
        <f>_xlfn.XLOOKUP(A2344,'TAZs by City - CCAG Model'!$A:$A,'TAZs by City - CCAG Model'!$B:$B,"Unknown")</f>
        <v>Berkeley</v>
      </c>
      <c r="C2344" s="82">
        <f>_xlfn.XLOOKUP(A2344,'TAZs by City - CCAG Model'!$A:$A,'TAZs by City - CCAG Model'!$C:$C,999)</f>
        <v>4</v>
      </c>
      <c r="D2344" s="82" t="str">
        <f t="shared" si="288"/>
        <v>NO</v>
      </c>
      <c r="E2344" s="27">
        <v>9731.32</v>
      </c>
      <c r="F2344" s="27">
        <v>5302.4</v>
      </c>
      <c r="G2344" s="27">
        <v>2364.44</v>
      </c>
      <c r="H2344" s="27">
        <v>1173.3599999999999</v>
      </c>
      <c r="I2344" s="27">
        <v>4373</v>
      </c>
      <c r="J2344" s="27">
        <v>25346.06</v>
      </c>
      <c r="K2344" s="47">
        <f t="shared" si="289"/>
        <v>0.3839381742172156</v>
      </c>
      <c r="L2344" s="47">
        <f t="shared" si="290"/>
        <v>0.20920016760001356</v>
      </c>
      <c r="M2344" s="84">
        <f t="shared" si="291"/>
        <v>0.59313834181722913</v>
      </c>
      <c r="N2344" s="47">
        <f t="shared" si="292"/>
        <v>9.3286293806611353E-2</v>
      </c>
      <c r="O2344" s="47">
        <f t="shared" si="293"/>
        <v>4.6293585669725384E-2</v>
      </c>
      <c r="P2344" s="47">
        <f t="shared" si="294"/>
        <v>0.17253174655153503</v>
      </c>
      <c r="Q2344" s="47">
        <f t="shared" si="295"/>
        <v>1</v>
      </c>
    </row>
    <row r="2345" spans="1:17" x14ac:dyDescent="0.35">
      <c r="A2345" s="82">
        <v>2342</v>
      </c>
      <c r="B2345" s="83" t="str">
        <f>_xlfn.XLOOKUP(A2345,'TAZs by City - CCAG Model'!$A:$A,'TAZs by City - CCAG Model'!$B:$B,"Unknown")</f>
        <v>Berkeley</v>
      </c>
      <c r="C2345" s="82">
        <f>_xlfn.XLOOKUP(A2345,'TAZs by City - CCAG Model'!$A:$A,'TAZs by City - CCAG Model'!$C:$C,999)</f>
        <v>4</v>
      </c>
      <c r="D2345" s="82" t="str">
        <f t="shared" si="288"/>
        <v>NO</v>
      </c>
      <c r="E2345" s="27">
        <v>9153.58</v>
      </c>
      <c r="F2345" s="27">
        <v>4642.76</v>
      </c>
      <c r="G2345" s="27">
        <v>1250.1199999999999</v>
      </c>
      <c r="H2345" s="27">
        <v>656.86</v>
      </c>
      <c r="I2345" s="27">
        <v>1658.34</v>
      </c>
      <c r="J2345" s="27">
        <v>18649.48</v>
      </c>
      <c r="K2345" s="47">
        <f t="shared" si="289"/>
        <v>0.49082226421326491</v>
      </c>
      <c r="L2345" s="47">
        <f t="shared" si="290"/>
        <v>0.24894849615109912</v>
      </c>
      <c r="M2345" s="84">
        <f t="shared" si="291"/>
        <v>0.73977076036436407</v>
      </c>
      <c r="N2345" s="47">
        <f t="shared" si="292"/>
        <v>6.703243200346605E-2</v>
      </c>
      <c r="O2345" s="47">
        <f t="shared" si="293"/>
        <v>3.522135737832905E-2</v>
      </c>
      <c r="P2345" s="47">
        <f t="shared" si="294"/>
        <v>8.892151416554242E-2</v>
      </c>
      <c r="Q2345" s="47">
        <f t="shared" si="295"/>
        <v>1</v>
      </c>
    </row>
    <row r="2346" spans="1:17" x14ac:dyDescent="0.35">
      <c r="A2346" s="82">
        <v>2343</v>
      </c>
      <c r="B2346" s="83" t="str">
        <f>_xlfn.XLOOKUP(A2346,'TAZs by City - CCAG Model'!$A:$A,'TAZs by City - CCAG Model'!$B:$B,"Unknown")</f>
        <v>Berkeley</v>
      </c>
      <c r="C2346" s="82">
        <f>_xlfn.XLOOKUP(A2346,'TAZs by City - CCAG Model'!$A:$A,'TAZs by City - CCAG Model'!$C:$C,999)</f>
        <v>4</v>
      </c>
      <c r="D2346" s="82" t="str">
        <f t="shared" si="288"/>
        <v>NO</v>
      </c>
      <c r="E2346" s="27">
        <v>14964.62</v>
      </c>
      <c r="F2346" s="27">
        <v>6789.52</v>
      </c>
      <c r="G2346" s="27">
        <v>2476.38</v>
      </c>
      <c r="H2346" s="27">
        <v>1079.78</v>
      </c>
      <c r="I2346" s="27">
        <v>3753.94</v>
      </c>
      <c r="J2346" s="27">
        <v>31577.84</v>
      </c>
      <c r="K2346" s="47">
        <f t="shared" si="289"/>
        <v>0.47389625129521212</v>
      </c>
      <c r="L2346" s="47">
        <f t="shared" si="290"/>
        <v>0.21500900631582148</v>
      </c>
      <c r="M2346" s="84">
        <f t="shared" si="291"/>
        <v>0.68890525761103349</v>
      </c>
      <c r="N2346" s="47">
        <f t="shared" si="292"/>
        <v>7.8421449978845925E-2</v>
      </c>
      <c r="O2346" s="47">
        <f t="shared" si="293"/>
        <v>3.4194232411083214E-2</v>
      </c>
      <c r="P2346" s="47">
        <f t="shared" si="294"/>
        <v>0.11887893535466644</v>
      </c>
      <c r="Q2346" s="47">
        <f t="shared" si="295"/>
        <v>1</v>
      </c>
    </row>
    <row r="2347" spans="1:17" x14ac:dyDescent="0.35">
      <c r="A2347" s="82">
        <v>2344</v>
      </c>
      <c r="B2347" s="83" t="str">
        <f>_xlfn.XLOOKUP(A2347,'TAZs by City - CCAG Model'!$A:$A,'TAZs by City - CCAG Model'!$B:$B,"Unknown")</f>
        <v>Berkeley</v>
      </c>
      <c r="C2347" s="82">
        <f>_xlfn.XLOOKUP(A2347,'TAZs by City - CCAG Model'!$A:$A,'TAZs by City - CCAG Model'!$C:$C,999)</f>
        <v>4</v>
      </c>
      <c r="D2347" s="82" t="str">
        <f t="shared" si="288"/>
        <v>NO</v>
      </c>
      <c r="E2347" s="27">
        <v>7941.64</v>
      </c>
      <c r="F2347" s="27">
        <v>4927.26</v>
      </c>
      <c r="G2347" s="27">
        <v>2176.04</v>
      </c>
      <c r="H2347" s="27">
        <v>701.92</v>
      </c>
      <c r="I2347" s="27">
        <v>2022.2</v>
      </c>
      <c r="J2347" s="27">
        <v>19982.82</v>
      </c>
      <c r="K2347" s="47">
        <f t="shared" si="289"/>
        <v>0.39742338668916599</v>
      </c>
      <c r="L2347" s="47">
        <f t="shared" si="290"/>
        <v>0.24657480775986573</v>
      </c>
      <c r="M2347" s="84">
        <f t="shared" si="291"/>
        <v>0.64399819444903184</v>
      </c>
      <c r="N2347" s="47">
        <f t="shared" si="292"/>
        <v>0.10889554126995089</v>
      </c>
      <c r="O2347" s="47">
        <f t="shared" si="293"/>
        <v>3.5126173382935943E-2</v>
      </c>
      <c r="P2347" s="47">
        <f t="shared" si="294"/>
        <v>0.10119692816129056</v>
      </c>
      <c r="Q2347" s="47">
        <f t="shared" si="295"/>
        <v>1</v>
      </c>
    </row>
    <row r="2348" spans="1:17" x14ac:dyDescent="0.35">
      <c r="A2348" s="82">
        <v>2345</v>
      </c>
      <c r="B2348" s="83" t="str">
        <f>_xlfn.XLOOKUP(A2348,'TAZs by City - CCAG Model'!$A:$A,'TAZs by City - CCAG Model'!$B:$B,"Unknown")</f>
        <v>Berkeley</v>
      </c>
      <c r="C2348" s="82">
        <f>_xlfn.XLOOKUP(A2348,'TAZs by City - CCAG Model'!$A:$A,'TAZs by City - CCAG Model'!$C:$C,999)</f>
        <v>4</v>
      </c>
      <c r="D2348" s="82" t="str">
        <f t="shared" si="288"/>
        <v>NO</v>
      </c>
      <c r="E2348" s="27">
        <v>6698.28</v>
      </c>
      <c r="F2348" s="27">
        <v>4244.28</v>
      </c>
      <c r="G2348" s="27">
        <v>1454.6</v>
      </c>
      <c r="H2348" s="27">
        <v>530.54</v>
      </c>
      <c r="I2348" s="27">
        <v>1352.4</v>
      </c>
      <c r="J2348" s="27">
        <v>15767.4</v>
      </c>
      <c r="K2348" s="47">
        <f t="shared" si="289"/>
        <v>0.42481829597777693</v>
      </c>
      <c r="L2348" s="47">
        <f t="shared" si="290"/>
        <v>0.2691807146390654</v>
      </c>
      <c r="M2348" s="84">
        <f t="shared" si="291"/>
        <v>0.69399901061684233</v>
      </c>
      <c r="N2348" s="47">
        <f t="shared" si="292"/>
        <v>9.2253637251544326E-2</v>
      </c>
      <c r="O2348" s="47">
        <f t="shared" si="293"/>
        <v>3.3647906439869604E-2</v>
      </c>
      <c r="P2348" s="47">
        <f t="shared" si="294"/>
        <v>8.5771909128962293E-2</v>
      </c>
      <c r="Q2348" s="47">
        <f t="shared" si="295"/>
        <v>1</v>
      </c>
    </row>
    <row r="2349" spans="1:17" x14ac:dyDescent="0.35">
      <c r="A2349" s="82">
        <v>2346</v>
      </c>
      <c r="B2349" s="83" t="str">
        <f>_xlfn.XLOOKUP(A2349,'TAZs by City - CCAG Model'!$A:$A,'TAZs by City - CCAG Model'!$B:$B,"Unknown")</f>
        <v>Berkeley</v>
      </c>
      <c r="C2349" s="82">
        <f>_xlfn.XLOOKUP(A2349,'TAZs by City - CCAG Model'!$A:$A,'TAZs by City - CCAG Model'!$C:$C,999)</f>
        <v>4</v>
      </c>
      <c r="D2349" s="82" t="str">
        <f t="shared" si="288"/>
        <v>NO</v>
      </c>
      <c r="E2349" s="27">
        <v>44996.76</v>
      </c>
      <c r="F2349" s="27">
        <v>14620.16</v>
      </c>
      <c r="G2349" s="27">
        <v>3774.42</v>
      </c>
      <c r="H2349" s="27">
        <v>2179.9</v>
      </c>
      <c r="I2349" s="27">
        <v>3333.76</v>
      </c>
      <c r="J2349" s="27">
        <v>72702.16</v>
      </c>
      <c r="K2349" s="47">
        <f t="shared" si="289"/>
        <v>0.61891916278691028</v>
      </c>
      <c r="L2349" s="47">
        <f t="shared" si="290"/>
        <v>0.2010966386693325</v>
      </c>
      <c r="M2349" s="84">
        <f t="shared" si="291"/>
        <v>0.82001580145624275</v>
      </c>
      <c r="N2349" s="47">
        <f t="shared" si="292"/>
        <v>5.1916201664434725E-2</v>
      </c>
      <c r="O2349" s="47">
        <f t="shared" si="293"/>
        <v>2.9983978467764918E-2</v>
      </c>
      <c r="P2349" s="47">
        <f t="shared" si="294"/>
        <v>4.5855033743151509E-2</v>
      </c>
      <c r="Q2349" s="47">
        <f t="shared" si="295"/>
        <v>1</v>
      </c>
    </row>
    <row r="2350" spans="1:17" x14ac:dyDescent="0.35">
      <c r="A2350" s="82">
        <v>2347</v>
      </c>
      <c r="B2350" s="83" t="str">
        <f>_xlfn.XLOOKUP(A2350,'TAZs by City - CCAG Model'!$A:$A,'TAZs by City - CCAG Model'!$B:$B,"Unknown")</f>
        <v>Berkeley</v>
      </c>
      <c r="C2350" s="82">
        <f>_xlfn.XLOOKUP(A2350,'TAZs by City - CCAG Model'!$A:$A,'TAZs by City - CCAG Model'!$C:$C,999)</f>
        <v>4</v>
      </c>
      <c r="D2350" s="82" t="str">
        <f t="shared" si="288"/>
        <v>NO</v>
      </c>
      <c r="E2350" s="27">
        <v>7254.74</v>
      </c>
      <c r="F2350" s="27">
        <v>4115.58</v>
      </c>
      <c r="G2350" s="27">
        <v>1192.4000000000001</v>
      </c>
      <c r="H2350" s="27">
        <v>639.74</v>
      </c>
      <c r="I2350" s="27">
        <v>1268.08</v>
      </c>
      <c r="J2350" s="27">
        <v>15700.66</v>
      </c>
      <c r="K2350" s="47">
        <f t="shared" si="289"/>
        <v>0.46206592589101347</v>
      </c>
      <c r="L2350" s="47">
        <f t="shared" si="290"/>
        <v>0.26212783411652757</v>
      </c>
      <c r="M2350" s="84">
        <f t="shared" si="291"/>
        <v>0.7241937600075411</v>
      </c>
      <c r="N2350" s="47">
        <f t="shared" si="292"/>
        <v>7.5945851957815794E-2</v>
      </c>
      <c r="O2350" s="47">
        <f t="shared" si="293"/>
        <v>4.0746057809034779E-2</v>
      </c>
      <c r="P2350" s="47">
        <f t="shared" si="294"/>
        <v>8.0766031491669776E-2</v>
      </c>
      <c r="Q2350" s="47">
        <f t="shared" si="295"/>
        <v>1</v>
      </c>
    </row>
    <row r="2351" spans="1:17" x14ac:dyDescent="0.35">
      <c r="A2351" s="82">
        <v>2348</v>
      </c>
      <c r="B2351" s="83" t="str">
        <f>_xlfn.XLOOKUP(A2351,'TAZs by City - CCAG Model'!$A:$A,'TAZs by City - CCAG Model'!$B:$B,"Unknown")</f>
        <v>Berkeley</v>
      </c>
      <c r="C2351" s="82">
        <f>_xlfn.XLOOKUP(A2351,'TAZs by City - CCAG Model'!$A:$A,'TAZs by City - CCAG Model'!$C:$C,999)</f>
        <v>4</v>
      </c>
      <c r="D2351" s="82" t="str">
        <f t="shared" si="288"/>
        <v>NO</v>
      </c>
      <c r="E2351" s="27">
        <v>10911.8</v>
      </c>
      <c r="F2351" s="27">
        <v>5922.68</v>
      </c>
      <c r="G2351" s="27">
        <v>1851.76</v>
      </c>
      <c r="H2351" s="27">
        <v>753.94</v>
      </c>
      <c r="I2351" s="27">
        <v>1837.42</v>
      </c>
      <c r="J2351" s="27">
        <v>23167.68</v>
      </c>
      <c r="K2351" s="47">
        <f t="shared" si="289"/>
        <v>0.47099234796060713</v>
      </c>
      <c r="L2351" s="47">
        <f t="shared" si="290"/>
        <v>0.25564406966947056</v>
      </c>
      <c r="M2351" s="84">
        <f t="shared" si="291"/>
        <v>0.72663641763007769</v>
      </c>
      <c r="N2351" s="47">
        <f t="shared" si="292"/>
        <v>7.9928590173897432E-2</v>
      </c>
      <c r="O2351" s="47">
        <f t="shared" si="293"/>
        <v>3.2542749209243223E-2</v>
      </c>
      <c r="P2351" s="47">
        <f t="shared" si="294"/>
        <v>7.930962444232656E-2</v>
      </c>
      <c r="Q2351" s="47">
        <f t="shared" si="295"/>
        <v>1</v>
      </c>
    </row>
    <row r="2352" spans="1:17" x14ac:dyDescent="0.35">
      <c r="A2352" s="82">
        <v>2349</v>
      </c>
      <c r="B2352" s="83" t="str">
        <f>_xlfn.XLOOKUP(A2352,'TAZs by City - CCAG Model'!$A:$A,'TAZs by City - CCAG Model'!$B:$B,"Unknown")</f>
        <v>Berkeley</v>
      </c>
      <c r="C2352" s="82">
        <f>_xlfn.XLOOKUP(A2352,'TAZs by City - CCAG Model'!$A:$A,'TAZs by City - CCAG Model'!$C:$C,999)</f>
        <v>4</v>
      </c>
      <c r="D2352" s="82" t="str">
        <f t="shared" si="288"/>
        <v>NO</v>
      </c>
      <c r="E2352" s="27">
        <v>11523.78</v>
      </c>
      <c r="F2352" s="27">
        <v>5585.12</v>
      </c>
      <c r="G2352" s="27">
        <v>2404.58</v>
      </c>
      <c r="H2352" s="27">
        <v>997.3</v>
      </c>
      <c r="I2352" s="27">
        <v>2796.64</v>
      </c>
      <c r="J2352" s="27">
        <v>25747.78</v>
      </c>
      <c r="K2352" s="47">
        <f t="shared" si="289"/>
        <v>0.44756402299538062</v>
      </c>
      <c r="L2352" s="47">
        <f t="shared" si="290"/>
        <v>0.21691656523397357</v>
      </c>
      <c r="M2352" s="84">
        <f t="shared" si="291"/>
        <v>0.66448058822935419</v>
      </c>
      <c r="N2352" s="47">
        <f t="shared" si="292"/>
        <v>9.338979904286894E-2</v>
      </c>
      <c r="O2352" s="47">
        <f t="shared" si="293"/>
        <v>3.8733436436073326E-2</v>
      </c>
      <c r="P2352" s="47">
        <f t="shared" si="294"/>
        <v>0.10861674288035707</v>
      </c>
      <c r="Q2352" s="47">
        <f t="shared" si="295"/>
        <v>1</v>
      </c>
    </row>
    <row r="2353" spans="1:17" x14ac:dyDescent="0.35">
      <c r="A2353" s="82">
        <v>2350</v>
      </c>
      <c r="B2353" s="83" t="str">
        <f>_xlfn.XLOOKUP(A2353,'TAZs by City - CCAG Model'!$A:$A,'TAZs by City - CCAG Model'!$B:$B,"Unknown")</f>
        <v>Berkeley</v>
      </c>
      <c r="C2353" s="82">
        <f>_xlfn.XLOOKUP(A2353,'TAZs by City - CCAG Model'!$A:$A,'TAZs by City - CCAG Model'!$C:$C,999)</f>
        <v>4</v>
      </c>
      <c r="D2353" s="82" t="str">
        <f t="shared" si="288"/>
        <v>NO</v>
      </c>
      <c r="E2353" s="27">
        <v>38438.379999999997</v>
      </c>
      <c r="F2353" s="27">
        <v>17365.12</v>
      </c>
      <c r="G2353" s="27">
        <v>19953.2</v>
      </c>
      <c r="H2353" s="27">
        <v>4042.44</v>
      </c>
      <c r="I2353" s="27">
        <v>18046.599999999999</v>
      </c>
      <c r="J2353" s="27">
        <v>117827.8</v>
      </c>
      <c r="K2353" s="47">
        <f t="shared" si="289"/>
        <v>0.32622505045498595</v>
      </c>
      <c r="L2353" s="47">
        <f t="shared" si="290"/>
        <v>0.14737710455427325</v>
      </c>
      <c r="M2353" s="84">
        <f t="shared" si="291"/>
        <v>0.47360215500925928</v>
      </c>
      <c r="N2353" s="47">
        <f t="shared" si="292"/>
        <v>0.16934203982421805</v>
      </c>
      <c r="O2353" s="47">
        <f t="shared" si="293"/>
        <v>3.4308032569563378E-2</v>
      </c>
      <c r="P2353" s="47">
        <f t="shared" si="294"/>
        <v>0.15316079906439736</v>
      </c>
      <c r="Q2353" s="47">
        <f t="shared" si="295"/>
        <v>1</v>
      </c>
    </row>
    <row r="2354" spans="1:17" x14ac:dyDescent="0.35">
      <c r="A2354" s="82">
        <v>2351</v>
      </c>
      <c r="B2354" s="83" t="str">
        <f>_xlfn.XLOOKUP(A2354,'TAZs by City - CCAG Model'!$A:$A,'TAZs by City - CCAG Model'!$B:$B,"Unknown")</f>
        <v>Berkeley</v>
      </c>
      <c r="C2354" s="82">
        <f>_xlfn.XLOOKUP(A2354,'TAZs by City - CCAG Model'!$A:$A,'TAZs by City - CCAG Model'!$C:$C,999)</f>
        <v>4</v>
      </c>
      <c r="D2354" s="82" t="str">
        <f t="shared" si="288"/>
        <v>NO</v>
      </c>
      <c r="E2354" s="27">
        <v>50125.3</v>
      </c>
      <c r="F2354" s="27">
        <v>16126.14</v>
      </c>
      <c r="G2354" s="27">
        <v>18200.54</v>
      </c>
      <c r="H2354" s="27">
        <v>8328.34</v>
      </c>
      <c r="I2354" s="27">
        <v>20358.28</v>
      </c>
      <c r="J2354" s="27">
        <v>131362.48000000001</v>
      </c>
      <c r="K2354" s="47">
        <f t="shared" si="289"/>
        <v>0.38158003716129596</v>
      </c>
      <c r="L2354" s="47">
        <f t="shared" si="290"/>
        <v>0.12276062388590714</v>
      </c>
      <c r="M2354" s="84">
        <f t="shared" si="291"/>
        <v>0.5043406610472031</v>
      </c>
      <c r="N2354" s="47">
        <f t="shared" si="292"/>
        <v>0.13855204317092673</v>
      </c>
      <c r="O2354" s="47">
        <f t="shared" si="293"/>
        <v>6.3399686120420379E-2</v>
      </c>
      <c r="P2354" s="47">
        <f t="shared" si="294"/>
        <v>0.15497789018599525</v>
      </c>
      <c r="Q2354" s="47">
        <f t="shared" si="295"/>
        <v>1</v>
      </c>
    </row>
    <row r="2355" spans="1:17" x14ac:dyDescent="0.35">
      <c r="A2355" s="82">
        <v>2352</v>
      </c>
      <c r="B2355" s="83" t="str">
        <f>_xlfn.XLOOKUP(A2355,'TAZs by City - CCAG Model'!$A:$A,'TAZs by City - CCAG Model'!$B:$B,"Unknown")</f>
        <v>Berkeley</v>
      </c>
      <c r="C2355" s="82">
        <f>_xlfn.XLOOKUP(A2355,'TAZs by City - CCAG Model'!$A:$A,'TAZs by City - CCAG Model'!$C:$C,999)</f>
        <v>4</v>
      </c>
      <c r="D2355" s="82" t="str">
        <f t="shared" si="288"/>
        <v>NO</v>
      </c>
      <c r="E2355" s="27">
        <v>12279.58</v>
      </c>
      <c r="F2355" s="27">
        <v>5528.84</v>
      </c>
      <c r="G2355" s="27">
        <v>3810.84</v>
      </c>
      <c r="H2355" s="27">
        <v>1409.6</v>
      </c>
      <c r="I2355" s="27">
        <v>4257.58</v>
      </c>
      <c r="J2355" s="27">
        <v>31138.04</v>
      </c>
      <c r="K2355" s="47">
        <f t="shared" si="289"/>
        <v>0.39435943945090957</v>
      </c>
      <c r="L2355" s="47">
        <f t="shared" si="290"/>
        <v>0.17755902426742337</v>
      </c>
      <c r="M2355" s="84">
        <f t="shared" si="291"/>
        <v>0.57191846371833288</v>
      </c>
      <c r="N2355" s="47">
        <f t="shared" si="292"/>
        <v>0.12238535244992942</v>
      </c>
      <c r="O2355" s="47">
        <f t="shared" si="293"/>
        <v>4.5269387540127763E-2</v>
      </c>
      <c r="P2355" s="47">
        <f t="shared" si="294"/>
        <v>0.13673243402603374</v>
      </c>
      <c r="Q2355" s="47">
        <f t="shared" si="295"/>
        <v>1</v>
      </c>
    </row>
    <row r="2356" spans="1:17" x14ac:dyDescent="0.35">
      <c r="A2356" s="82">
        <v>2353</v>
      </c>
      <c r="B2356" s="83" t="str">
        <f>_xlfn.XLOOKUP(A2356,'TAZs by City - CCAG Model'!$A:$A,'TAZs by City - CCAG Model'!$B:$B,"Unknown")</f>
        <v>Berkeley</v>
      </c>
      <c r="C2356" s="82">
        <f>_xlfn.XLOOKUP(A2356,'TAZs by City - CCAG Model'!$A:$A,'TAZs by City - CCAG Model'!$C:$C,999)</f>
        <v>4</v>
      </c>
      <c r="D2356" s="82" t="str">
        <f t="shared" si="288"/>
        <v>NO</v>
      </c>
      <c r="E2356" s="27">
        <v>20862.28</v>
      </c>
      <c r="F2356" s="27">
        <v>9234.24</v>
      </c>
      <c r="G2356" s="27">
        <v>6202.52</v>
      </c>
      <c r="H2356" s="27">
        <v>1825.34</v>
      </c>
      <c r="I2356" s="27">
        <v>7688.62</v>
      </c>
      <c r="J2356" s="27">
        <v>52053.98</v>
      </c>
      <c r="K2356" s="47">
        <f t="shared" si="289"/>
        <v>0.40078165012550426</v>
      </c>
      <c r="L2356" s="47">
        <f t="shared" si="290"/>
        <v>0.1773973863285766</v>
      </c>
      <c r="M2356" s="84">
        <f t="shared" si="291"/>
        <v>0.57817903645408086</v>
      </c>
      <c r="N2356" s="47">
        <f t="shared" si="292"/>
        <v>0.11915553815481544</v>
      </c>
      <c r="O2356" s="47">
        <f t="shared" si="293"/>
        <v>3.5066290800434469E-2</v>
      </c>
      <c r="P2356" s="47">
        <f t="shared" si="294"/>
        <v>0.14770474803271527</v>
      </c>
      <c r="Q2356" s="47">
        <f t="shared" si="295"/>
        <v>1</v>
      </c>
    </row>
    <row r="2357" spans="1:17" x14ac:dyDescent="0.35">
      <c r="A2357" s="82">
        <v>2354</v>
      </c>
      <c r="B2357" s="83" t="str">
        <f>_xlfn.XLOOKUP(A2357,'TAZs by City - CCAG Model'!$A:$A,'TAZs by City - CCAG Model'!$B:$B,"Unknown")</f>
        <v>Berkeley</v>
      </c>
      <c r="C2357" s="82">
        <f>_xlfn.XLOOKUP(A2357,'TAZs by City - CCAG Model'!$A:$A,'TAZs by City - CCAG Model'!$C:$C,999)</f>
        <v>4</v>
      </c>
      <c r="D2357" s="82" t="str">
        <f t="shared" si="288"/>
        <v>NO</v>
      </c>
      <c r="E2357" s="27">
        <v>7725.22</v>
      </c>
      <c r="F2357" s="27">
        <v>4146.84</v>
      </c>
      <c r="G2357" s="27">
        <v>1545.78</v>
      </c>
      <c r="H2357" s="27">
        <v>682.6</v>
      </c>
      <c r="I2357" s="27">
        <v>2267.64</v>
      </c>
      <c r="J2357" s="27">
        <v>17947.12</v>
      </c>
      <c r="K2357" s="47">
        <f t="shared" si="289"/>
        <v>0.43044343604990665</v>
      </c>
      <c r="L2357" s="47">
        <f t="shared" si="290"/>
        <v>0.23105879940625573</v>
      </c>
      <c r="M2357" s="84">
        <f t="shared" si="291"/>
        <v>0.66150223545616249</v>
      </c>
      <c r="N2357" s="47">
        <f t="shared" si="292"/>
        <v>8.6129696575272252E-2</v>
      </c>
      <c r="O2357" s="47">
        <f t="shared" si="293"/>
        <v>3.8033957537476772E-2</v>
      </c>
      <c r="P2357" s="47">
        <f t="shared" si="294"/>
        <v>0.12635119172324027</v>
      </c>
      <c r="Q2357" s="47">
        <f t="shared" si="295"/>
        <v>1</v>
      </c>
    </row>
    <row r="2358" spans="1:17" x14ac:dyDescent="0.35">
      <c r="A2358" s="82">
        <v>2355</v>
      </c>
      <c r="B2358" s="83" t="str">
        <f>_xlfn.XLOOKUP(A2358,'TAZs by City - CCAG Model'!$A:$A,'TAZs by City - CCAG Model'!$B:$B,"Unknown")</f>
        <v>Berkeley</v>
      </c>
      <c r="C2358" s="82">
        <f>_xlfn.XLOOKUP(A2358,'TAZs by City - CCAG Model'!$A:$A,'TAZs by City - CCAG Model'!$C:$C,999)</f>
        <v>4</v>
      </c>
      <c r="D2358" s="82" t="str">
        <f t="shared" si="288"/>
        <v>NO</v>
      </c>
      <c r="E2358" s="27">
        <v>7819.3</v>
      </c>
      <c r="F2358" s="27">
        <v>4197.9799999999996</v>
      </c>
      <c r="G2358" s="27">
        <v>1790.16</v>
      </c>
      <c r="H2358" s="27">
        <v>602.26</v>
      </c>
      <c r="I2358" s="27">
        <v>1676.6</v>
      </c>
      <c r="J2358" s="27">
        <v>17910.46</v>
      </c>
      <c r="K2358" s="47">
        <f t="shared" si="289"/>
        <v>0.43657728500552195</v>
      </c>
      <c r="L2358" s="47">
        <f t="shared" si="290"/>
        <v>0.23438705650217803</v>
      </c>
      <c r="M2358" s="84">
        <f t="shared" si="291"/>
        <v>0.6709643415076999</v>
      </c>
      <c r="N2358" s="47">
        <f t="shared" si="292"/>
        <v>9.9950531700470011E-2</v>
      </c>
      <c r="O2358" s="47">
        <f t="shared" si="293"/>
        <v>3.362616035545709E-2</v>
      </c>
      <c r="P2358" s="47">
        <f t="shared" si="294"/>
        <v>9.3610102699763151E-2</v>
      </c>
      <c r="Q2358" s="47">
        <f t="shared" si="295"/>
        <v>1</v>
      </c>
    </row>
    <row r="2359" spans="1:17" x14ac:dyDescent="0.35">
      <c r="A2359" s="82">
        <v>2356</v>
      </c>
      <c r="B2359" s="83" t="str">
        <f>_xlfn.XLOOKUP(A2359,'TAZs by City - CCAG Model'!$A:$A,'TAZs by City - CCAG Model'!$B:$B,"Unknown")</f>
        <v>Berkeley</v>
      </c>
      <c r="C2359" s="82">
        <f>_xlfn.XLOOKUP(A2359,'TAZs by City - CCAG Model'!$A:$A,'TAZs by City - CCAG Model'!$C:$C,999)</f>
        <v>4</v>
      </c>
      <c r="D2359" s="82" t="str">
        <f t="shared" si="288"/>
        <v>NO</v>
      </c>
      <c r="E2359" s="27">
        <v>7071.16</v>
      </c>
      <c r="F2359" s="27">
        <v>3997.92</v>
      </c>
      <c r="G2359" s="27">
        <v>1076.56</v>
      </c>
      <c r="H2359" s="27">
        <v>547.67999999999995</v>
      </c>
      <c r="I2359" s="27">
        <v>1165.28</v>
      </c>
      <c r="J2359" s="27">
        <v>14971.84</v>
      </c>
      <c r="K2359" s="47">
        <f t="shared" si="289"/>
        <v>0.47229732618034925</v>
      </c>
      <c r="L2359" s="47">
        <f t="shared" si="290"/>
        <v>0.26702930301152028</v>
      </c>
      <c r="M2359" s="84">
        <f t="shared" si="291"/>
        <v>0.73932662919186953</v>
      </c>
      <c r="N2359" s="47">
        <f t="shared" si="292"/>
        <v>7.1905657554448887E-2</v>
      </c>
      <c r="O2359" s="47">
        <f t="shared" si="293"/>
        <v>3.6580674118879171E-2</v>
      </c>
      <c r="P2359" s="47">
        <f t="shared" si="294"/>
        <v>7.7831448906747605E-2</v>
      </c>
      <c r="Q2359" s="47">
        <f t="shared" si="295"/>
        <v>1</v>
      </c>
    </row>
    <row r="2360" spans="1:17" x14ac:dyDescent="0.35">
      <c r="A2360" s="82">
        <v>2357</v>
      </c>
      <c r="B2360" s="83" t="str">
        <f>_xlfn.XLOOKUP(A2360,'TAZs by City - CCAG Model'!$A:$A,'TAZs by City - CCAG Model'!$B:$B,"Unknown")</f>
        <v>Berkeley</v>
      </c>
      <c r="C2360" s="82">
        <f>_xlfn.XLOOKUP(A2360,'TAZs by City - CCAG Model'!$A:$A,'TAZs by City - CCAG Model'!$C:$C,999)</f>
        <v>4</v>
      </c>
      <c r="D2360" s="82" t="str">
        <f t="shared" si="288"/>
        <v>NO</v>
      </c>
      <c r="E2360" s="27">
        <v>9718.98</v>
      </c>
      <c r="F2360" s="27">
        <v>5203.84</v>
      </c>
      <c r="G2360" s="27">
        <v>1535.98</v>
      </c>
      <c r="H2360" s="27">
        <v>642.67999999999995</v>
      </c>
      <c r="I2360" s="27">
        <v>1668.64</v>
      </c>
      <c r="J2360" s="27">
        <v>20340.939999999999</v>
      </c>
      <c r="K2360" s="47">
        <f t="shared" si="289"/>
        <v>0.47780387730360546</v>
      </c>
      <c r="L2360" s="47">
        <f t="shared" si="290"/>
        <v>0.25583085147490731</v>
      </c>
      <c r="M2360" s="84">
        <f t="shared" si="291"/>
        <v>0.73363472877851277</v>
      </c>
      <c r="N2360" s="47">
        <f t="shared" si="292"/>
        <v>7.5511751177674197E-2</v>
      </c>
      <c r="O2360" s="47">
        <f t="shared" si="293"/>
        <v>3.159539332990511E-2</v>
      </c>
      <c r="P2360" s="47">
        <f t="shared" si="294"/>
        <v>8.2033573669653428E-2</v>
      </c>
      <c r="Q2360" s="47">
        <f t="shared" si="295"/>
        <v>1</v>
      </c>
    </row>
    <row r="2361" spans="1:17" x14ac:dyDescent="0.35">
      <c r="A2361" s="82">
        <v>2358</v>
      </c>
      <c r="B2361" s="83" t="str">
        <f>_xlfn.XLOOKUP(A2361,'TAZs by City - CCAG Model'!$A:$A,'TAZs by City - CCAG Model'!$B:$B,"Unknown")</f>
        <v>Berkeley</v>
      </c>
      <c r="C2361" s="82">
        <f>_xlfn.XLOOKUP(A2361,'TAZs by City - CCAG Model'!$A:$A,'TAZs by City - CCAG Model'!$C:$C,999)</f>
        <v>4</v>
      </c>
      <c r="D2361" s="82" t="str">
        <f t="shared" si="288"/>
        <v>NO</v>
      </c>
      <c r="E2361" s="27">
        <v>5330</v>
      </c>
      <c r="F2361" s="27">
        <v>2779.3</v>
      </c>
      <c r="G2361" s="27">
        <v>605.20000000000005</v>
      </c>
      <c r="H2361" s="27">
        <v>425.48</v>
      </c>
      <c r="I2361" s="27">
        <v>2525.02</v>
      </c>
      <c r="J2361" s="27">
        <v>12300.24</v>
      </c>
      <c r="K2361" s="47">
        <f t="shared" si="289"/>
        <v>0.43332487821375842</v>
      </c>
      <c r="L2361" s="47">
        <f t="shared" si="290"/>
        <v>0.22595494071660394</v>
      </c>
      <c r="M2361" s="84">
        <f t="shared" si="291"/>
        <v>0.65927981893036236</v>
      </c>
      <c r="N2361" s="47">
        <f t="shared" si="292"/>
        <v>4.9202291987798616E-2</v>
      </c>
      <c r="O2361" s="47">
        <f t="shared" si="293"/>
        <v>3.4591194968553458E-2</v>
      </c>
      <c r="P2361" s="47">
        <f t="shared" si="294"/>
        <v>0.20528217335596705</v>
      </c>
      <c r="Q2361" s="47">
        <f t="shared" si="295"/>
        <v>1</v>
      </c>
    </row>
    <row r="2362" spans="1:17" x14ac:dyDescent="0.35">
      <c r="A2362" s="82">
        <v>2359</v>
      </c>
      <c r="B2362" s="83" t="str">
        <f>_xlfn.XLOOKUP(A2362,'TAZs by City - CCAG Model'!$A:$A,'TAZs by City - CCAG Model'!$B:$B,"Unknown")</f>
        <v>Berkeley</v>
      </c>
      <c r="C2362" s="82">
        <f>_xlfn.XLOOKUP(A2362,'TAZs by City - CCAG Model'!$A:$A,'TAZs by City - CCAG Model'!$C:$C,999)</f>
        <v>4</v>
      </c>
      <c r="D2362" s="82" t="str">
        <f t="shared" si="288"/>
        <v>NO</v>
      </c>
      <c r="E2362" s="27">
        <v>10541.86</v>
      </c>
      <c r="F2362" s="27">
        <v>5303.54</v>
      </c>
      <c r="G2362" s="27">
        <v>2006.44</v>
      </c>
      <c r="H2362" s="27">
        <v>841.36</v>
      </c>
      <c r="I2362" s="27">
        <v>2778.98</v>
      </c>
      <c r="J2362" s="27">
        <v>23514.92</v>
      </c>
      <c r="K2362" s="47">
        <f t="shared" si="289"/>
        <v>0.44830516114875157</v>
      </c>
      <c r="L2362" s="47">
        <f t="shared" si="290"/>
        <v>0.22553935969163411</v>
      </c>
      <c r="M2362" s="84">
        <f t="shared" si="291"/>
        <v>0.67384452084038571</v>
      </c>
      <c r="N2362" s="47">
        <f t="shared" si="292"/>
        <v>8.5326252438877107E-2</v>
      </c>
      <c r="O2362" s="47">
        <f t="shared" si="293"/>
        <v>3.577983680148604E-2</v>
      </c>
      <c r="P2362" s="47">
        <f t="shared" si="294"/>
        <v>0.11817943671507282</v>
      </c>
      <c r="Q2362" s="47">
        <f t="shared" si="295"/>
        <v>1</v>
      </c>
    </row>
    <row r="2363" spans="1:17" x14ac:dyDescent="0.35">
      <c r="A2363" s="82">
        <v>2360</v>
      </c>
      <c r="B2363" s="83" t="str">
        <f>_xlfn.XLOOKUP(A2363,'TAZs by City - CCAG Model'!$A:$A,'TAZs by City - CCAG Model'!$B:$B,"Unknown")</f>
        <v>Berkeley</v>
      </c>
      <c r="C2363" s="82">
        <f>_xlfn.XLOOKUP(A2363,'TAZs by City - CCAG Model'!$A:$A,'TAZs by City - CCAG Model'!$C:$C,999)</f>
        <v>4</v>
      </c>
      <c r="D2363" s="82" t="str">
        <f t="shared" si="288"/>
        <v>NO</v>
      </c>
      <c r="E2363" s="27">
        <v>7663.38</v>
      </c>
      <c r="F2363" s="27">
        <v>4294.32</v>
      </c>
      <c r="G2363" s="27">
        <v>946.96</v>
      </c>
      <c r="H2363" s="27">
        <v>460.22</v>
      </c>
      <c r="I2363" s="27">
        <v>1186.32</v>
      </c>
      <c r="J2363" s="27">
        <v>15533.12</v>
      </c>
      <c r="K2363" s="47">
        <f t="shared" si="289"/>
        <v>0.49335741950104034</v>
      </c>
      <c r="L2363" s="47">
        <f t="shared" si="290"/>
        <v>0.27646216600399659</v>
      </c>
      <c r="M2363" s="84">
        <f t="shared" si="291"/>
        <v>0.76981958550503704</v>
      </c>
      <c r="N2363" s="47">
        <f t="shared" si="292"/>
        <v>6.096392740157805E-2</v>
      </c>
      <c r="O2363" s="47">
        <f t="shared" si="293"/>
        <v>2.9628303908036505E-2</v>
      </c>
      <c r="P2363" s="47">
        <f t="shared" si="294"/>
        <v>7.6373581096392737E-2</v>
      </c>
      <c r="Q2363" s="47">
        <f t="shared" si="295"/>
        <v>1</v>
      </c>
    </row>
    <row r="2364" spans="1:17" x14ac:dyDescent="0.35">
      <c r="A2364" s="82">
        <v>2361</v>
      </c>
      <c r="B2364" s="83" t="str">
        <f>_xlfn.XLOOKUP(A2364,'TAZs by City - CCAG Model'!$A:$A,'TAZs by City - CCAG Model'!$B:$B,"Unknown")</f>
        <v>Berkeley</v>
      </c>
      <c r="C2364" s="82">
        <f>_xlfn.XLOOKUP(A2364,'TAZs by City - CCAG Model'!$A:$A,'TAZs by City - CCAG Model'!$C:$C,999)</f>
        <v>4</v>
      </c>
      <c r="D2364" s="82" t="str">
        <f t="shared" si="288"/>
        <v>NO</v>
      </c>
      <c r="E2364" s="27">
        <v>8055.98</v>
      </c>
      <c r="F2364" s="27">
        <v>4699.4399999999996</v>
      </c>
      <c r="G2364" s="27">
        <v>800.44</v>
      </c>
      <c r="H2364" s="27">
        <v>331.64</v>
      </c>
      <c r="I2364" s="27">
        <v>1186.06</v>
      </c>
      <c r="J2364" s="27">
        <v>15905.9</v>
      </c>
      <c r="K2364" s="47">
        <f t="shared" si="289"/>
        <v>0.50647747062410797</v>
      </c>
      <c r="L2364" s="47">
        <f t="shared" si="290"/>
        <v>0.29545263078480311</v>
      </c>
      <c r="M2364" s="84">
        <f t="shared" si="291"/>
        <v>0.80193010140891108</v>
      </c>
      <c r="N2364" s="47">
        <f t="shared" si="292"/>
        <v>5.032346487781264E-2</v>
      </c>
      <c r="O2364" s="47">
        <f t="shared" si="293"/>
        <v>2.0850124796459174E-2</v>
      </c>
      <c r="P2364" s="47">
        <f t="shared" si="294"/>
        <v>7.4567298926813325E-2</v>
      </c>
      <c r="Q2364" s="47">
        <f t="shared" si="295"/>
        <v>1</v>
      </c>
    </row>
    <row r="2365" spans="1:17" x14ac:dyDescent="0.35">
      <c r="A2365" s="82">
        <v>2362</v>
      </c>
      <c r="B2365" s="83" t="str">
        <f>_xlfn.XLOOKUP(A2365,'TAZs by City - CCAG Model'!$A:$A,'TAZs by City - CCAG Model'!$B:$B,"Unknown")</f>
        <v>Berkeley</v>
      </c>
      <c r="C2365" s="82">
        <f>_xlfn.XLOOKUP(A2365,'TAZs by City - CCAG Model'!$A:$A,'TAZs by City - CCAG Model'!$C:$C,999)</f>
        <v>4</v>
      </c>
      <c r="D2365" s="82" t="str">
        <f t="shared" si="288"/>
        <v>NO</v>
      </c>
      <c r="E2365" s="27">
        <v>4882.8599999999997</v>
      </c>
      <c r="F2365" s="27">
        <v>2898.5</v>
      </c>
      <c r="G2365" s="27">
        <v>156.96</v>
      </c>
      <c r="H2365" s="27">
        <v>169.44</v>
      </c>
      <c r="I2365" s="27">
        <v>522.67999999999995</v>
      </c>
      <c r="J2365" s="27">
        <v>8810.94</v>
      </c>
      <c r="K2365" s="47">
        <f t="shared" si="289"/>
        <v>0.55418150617300754</v>
      </c>
      <c r="L2365" s="47">
        <f t="shared" si="290"/>
        <v>0.3289660354059839</v>
      </c>
      <c r="M2365" s="84">
        <f t="shared" si="291"/>
        <v>0.88314754157899145</v>
      </c>
      <c r="N2365" s="47">
        <f t="shared" si="292"/>
        <v>1.781421732527971E-2</v>
      </c>
      <c r="O2365" s="47">
        <f t="shared" si="293"/>
        <v>1.9230638274690327E-2</v>
      </c>
      <c r="P2365" s="47">
        <f t="shared" si="294"/>
        <v>5.9321706878040247E-2</v>
      </c>
      <c r="Q2365" s="47">
        <f t="shared" si="295"/>
        <v>1</v>
      </c>
    </row>
    <row r="2366" spans="1:17" x14ac:dyDescent="0.35">
      <c r="A2366" s="82">
        <v>2363</v>
      </c>
      <c r="B2366" s="83" t="str">
        <f>_xlfn.XLOOKUP(A2366,'TAZs by City - CCAG Model'!$A:$A,'TAZs by City - CCAG Model'!$B:$B,"Unknown")</f>
        <v>Berkeley</v>
      </c>
      <c r="C2366" s="82">
        <f>_xlfn.XLOOKUP(A2366,'TAZs by City - CCAG Model'!$A:$A,'TAZs by City - CCAG Model'!$C:$C,999)</f>
        <v>4</v>
      </c>
      <c r="D2366" s="82" t="str">
        <f t="shared" si="288"/>
        <v>NO</v>
      </c>
      <c r="E2366" s="27">
        <v>8490.76</v>
      </c>
      <c r="F2366" s="27">
        <v>4910.3</v>
      </c>
      <c r="G2366" s="27">
        <v>907.74</v>
      </c>
      <c r="H2366" s="27">
        <v>274.94</v>
      </c>
      <c r="I2366" s="27">
        <v>1482.96</v>
      </c>
      <c r="J2366" s="27">
        <v>17008.14</v>
      </c>
      <c r="K2366" s="47">
        <f t="shared" si="289"/>
        <v>0.49921743353476633</v>
      </c>
      <c r="L2366" s="47">
        <f t="shared" si="290"/>
        <v>0.28870293871052333</v>
      </c>
      <c r="M2366" s="84">
        <f t="shared" si="291"/>
        <v>0.78792037224528966</v>
      </c>
      <c r="N2366" s="47">
        <f t="shared" si="292"/>
        <v>5.3370915338185131E-2</v>
      </c>
      <c r="O2366" s="47">
        <f t="shared" si="293"/>
        <v>1.6165200897922994E-2</v>
      </c>
      <c r="P2366" s="47">
        <f t="shared" si="294"/>
        <v>8.7191191982192065E-2</v>
      </c>
      <c r="Q2366" s="47">
        <f t="shared" si="295"/>
        <v>1</v>
      </c>
    </row>
    <row r="2367" spans="1:17" x14ac:dyDescent="0.35">
      <c r="A2367" s="82">
        <v>2364</v>
      </c>
      <c r="B2367" s="83" t="str">
        <f>_xlfn.XLOOKUP(A2367,'TAZs by City - CCAG Model'!$A:$A,'TAZs by City - CCAG Model'!$B:$B,"Unknown")</f>
        <v>Berkeley</v>
      </c>
      <c r="C2367" s="82">
        <f>_xlfn.XLOOKUP(A2367,'TAZs by City - CCAG Model'!$A:$A,'TAZs by City - CCAG Model'!$C:$C,999)</f>
        <v>4</v>
      </c>
      <c r="D2367" s="82" t="str">
        <f t="shared" si="288"/>
        <v>NO</v>
      </c>
      <c r="E2367" s="27">
        <v>5031.28</v>
      </c>
      <c r="F2367" s="27">
        <v>2656.52</v>
      </c>
      <c r="G2367" s="27">
        <v>507.08</v>
      </c>
      <c r="H2367" s="27">
        <v>181.3</v>
      </c>
      <c r="I2367" s="27">
        <v>982.56</v>
      </c>
      <c r="J2367" s="27">
        <v>9895.9599999999991</v>
      </c>
      <c r="K2367" s="47">
        <f t="shared" si="289"/>
        <v>0.50841757646554753</v>
      </c>
      <c r="L2367" s="47">
        <f t="shared" si="290"/>
        <v>0.2684449007473757</v>
      </c>
      <c r="M2367" s="84">
        <f t="shared" si="291"/>
        <v>0.77686247721292323</v>
      </c>
      <c r="N2367" s="47">
        <f t="shared" si="292"/>
        <v>5.1241112534812186E-2</v>
      </c>
      <c r="O2367" s="47">
        <f t="shared" si="293"/>
        <v>1.832060760148586E-2</v>
      </c>
      <c r="P2367" s="47">
        <f t="shared" si="294"/>
        <v>9.9289002784974878E-2</v>
      </c>
      <c r="Q2367" s="47">
        <f t="shared" si="295"/>
        <v>1</v>
      </c>
    </row>
    <row r="2368" spans="1:17" x14ac:dyDescent="0.35">
      <c r="A2368" s="82">
        <v>2365</v>
      </c>
      <c r="B2368" s="83" t="str">
        <f>_xlfn.XLOOKUP(A2368,'TAZs by City - CCAG Model'!$A:$A,'TAZs by City - CCAG Model'!$B:$B,"Unknown")</f>
        <v>Berkeley</v>
      </c>
      <c r="C2368" s="82">
        <f>_xlfn.XLOOKUP(A2368,'TAZs by City - CCAG Model'!$A:$A,'TAZs by City - CCAG Model'!$C:$C,999)</f>
        <v>4</v>
      </c>
      <c r="D2368" s="82" t="str">
        <f t="shared" si="288"/>
        <v>NO</v>
      </c>
      <c r="E2368" s="27">
        <v>15030.02</v>
      </c>
      <c r="F2368" s="27">
        <v>7848.3</v>
      </c>
      <c r="G2368" s="27">
        <v>1260.4000000000001</v>
      </c>
      <c r="H2368" s="27">
        <v>479.86</v>
      </c>
      <c r="I2368" s="27">
        <v>3412.1</v>
      </c>
      <c r="J2368" s="27">
        <v>29324.7</v>
      </c>
      <c r="K2368" s="47">
        <f t="shared" si="289"/>
        <v>0.51253789467581934</v>
      </c>
      <c r="L2368" s="47">
        <f t="shared" si="290"/>
        <v>0.2676344515033402</v>
      </c>
      <c r="M2368" s="84">
        <f t="shared" si="291"/>
        <v>0.78017234617915954</v>
      </c>
      <c r="N2368" s="47">
        <f t="shared" si="292"/>
        <v>4.298083185846744E-2</v>
      </c>
      <c r="O2368" s="47">
        <f t="shared" si="293"/>
        <v>1.6363679764839878E-2</v>
      </c>
      <c r="P2368" s="47">
        <f t="shared" si="294"/>
        <v>0.11635583654734745</v>
      </c>
      <c r="Q2368" s="47">
        <f t="shared" si="295"/>
        <v>1</v>
      </c>
    </row>
    <row r="2369" spans="1:17" x14ac:dyDescent="0.35">
      <c r="A2369" s="82">
        <v>2366</v>
      </c>
      <c r="B2369" s="83" t="str">
        <f>_xlfn.XLOOKUP(A2369,'TAZs by City - CCAG Model'!$A:$A,'TAZs by City - CCAG Model'!$B:$B,"Unknown")</f>
        <v>Albany</v>
      </c>
      <c r="C2369" s="82">
        <f>_xlfn.XLOOKUP(A2369,'TAZs by City - CCAG Model'!$A:$A,'TAZs by City - CCAG Model'!$C:$C,999)</f>
        <v>4</v>
      </c>
      <c r="D2369" s="82" t="str">
        <f t="shared" si="288"/>
        <v>NO</v>
      </c>
      <c r="E2369" s="27">
        <v>7514.58</v>
      </c>
      <c r="F2369" s="27">
        <v>4580.42</v>
      </c>
      <c r="G2369" s="27">
        <v>823.04</v>
      </c>
      <c r="H2369" s="27">
        <v>305.68</v>
      </c>
      <c r="I2369" s="27">
        <v>1302.02</v>
      </c>
      <c r="J2369" s="27">
        <v>15383.34</v>
      </c>
      <c r="K2369" s="47">
        <f t="shared" si="289"/>
        <v>0.48848819567142115</v>
      </c>
      <c r="L2369" s="47">
        <f t="shared" si="290"/>
        <v>0.29775198363944372</v>
      </c>
      <c r="M2369" s="84">
        <f t="shared" si="291"/>
        <v>0.78624017931086487</v>
      </c>
      <c r="N2369" s="47">
        <f t="shared" si="292"/>
        <v>5.3502035318727922E-2</v>
      </c>
      <c r="O2369" s="47">
        <f t="shared" si="293"/>
        <v>1.9870847293240609E-2</v>
      </c>
      <c r="P2369" s="47">
        <f t="shared" si="294"/>
        <v>8.4638316516439216E-2</v>
      </c>
      <c r="Q2369" s="47">
        <f t="shared" si="295"/>
        <v>1</v>
      </c>
    </row>
    <row r="2370" spans="1:17" x14ac:dyDescent="0.35">
      <c r="A2370" s="82">
        <v>2367</v>
      </c>
      <c r="B2370" s="83" t="str">
        <f>_xlfn.XLOOKUP(A2370,'TAZs by City - CCAG Model'!$A:$A,'TAZs by City - CCAG Model'!$B:$B,"Unknown")</f>
        <v>Albany</v>
      </c>
      <c r="C2370" s="82">
        <f>_xlfn.XLOOKUP(A2370,'TAZs by City - CCAG Model'!$A:$A,'TAZs by City - CCAG Model'!$C:$C,999)</f>
        <v>4</v>
      </c>
      <c r="D2370" s="82" t="str">
        <f t="shared" si="288"/>
        <v>NO</v>
      </c>
      <c r="E2370" s="27">
        <v>5643.52</v>
      </c>
      <c r="F2370" s="27">
        <v>3863.12</v>
      </c>
      <c r="G2370" s="27">
        <v>686.68</v>
      </c>
      <c r="H2370" s="27">
        <v>241.14</v>
      </c>
      <c r="I2370" s="27">
        <v>891</v>
      </c>
      <c r="J2370" s="27">
        <v>12045.3</v>
      </c>
      <c r="K2370" s="47">
        <f t="shared" si="289"/>
        <v>0.46852465276912991</v>
      </c>
      <c r="L2370" s="47">
        <f t="shared" si="290"/>
        <v>0.32071596390293311</v>
      </c>
      <c r="M2370" s="84">
        <f t="shared" si="291"/>
        <v>0.78924061667206291</v>
      </c>
      <c r="N2370" s="47">
        <f t="shared" si="292"/>
        <v>5.7008127651449116E-2</v>
      </c>
      <c r="O2370" s="47">
        <f t="shared" si="293"/>
        <v>2.0019426664342109E-2</v>
      </c>
      <c r="P2370" s="47">
        <f t="shared" si="294"/>
        <v>7.3970760379567138E-2</v>
      </c>
      <c r="Q2370" s="47">
        <f t="shared" si="295"/>
        <v>1</v>
      </c>
    </row>
    <row r="2371" spans="1:17" x14ac:dyDescent="0.35">
      <c r="A2371" s="82">
        <v>2368</v>
      </c>
      <c r="B2371" s="83" t="str">
        <f>_xlfn.XLOOKUP(A2371,'TAZs by City - CCAG Model'!$A:$A,'TAZs by City - CCAG Model'!$B:$B,"Unknown")</f>
        <v>Albany</v>
      </c>
      <c r="C2371" s="82">
        <f>_xlfn.XLOOKUP(A2371,'TAZs by City - CCAG Model'!$A:$A,'TAZs by City - CCAG Model'!$C:$C,999)</f>
        <v>4</v>
      </c>
      <c r="D2371" s="82" t="str">
        <f t="shared" si="288"/>
        <v>NO</v>
      </c>
      <c r="E2371" s="27">
        <v>7268.16</v>
      </c>
      <c r="F2371" s="27">
        <v>4275.12</v>
      </c>
      <c r="G2371" s="27">
        <v>1235.8599999999999</v>
      </c>
      <c r="H2371" s="27">
        <v>313.27999999999997</v>
      </c>
      <c r="I2371" s="27">
        <v>986.64</v>
      </c>
      <c r="J2371" s="27">
        <v>15349.9</v>
      </c>
      <c r="K2371" s="47">
        <f t="shared" si="289"/>
        <v>0.47349885015537563</v>
      </c>
      <c r="L2371" s="47">
        <f t="shared" si="290"/>
        <v>0.27851126065967857</v>
      </c>
      <c r="M2371" s="84">
        <f t="shared" si="291"/>
        <v>0.75201011081505409</v>
      </c>
      <c r="N2371" s="47">
        <f t="shared" si="292"/>
        <v>8.051257662916371E-2</v>
      </c>
      <c r="O2371" s="47">
        <f t="shared" si="293"/>
        <v>2.0409253480478697E-2</v>
      </c>
      <c r="P2371" s="47">
        <f t="shared" si="294"/>
        <v>6.4276640238698626E-2</v>
      </c>
      <c r="Q2371" s="47">
        <f t="shared" si="295"/>
        <v>1</v>
      </c>
    </row>
    <row r="2372" spans="1:17" x14ac:dyDescent="0.35">
      <c r="A2372" s="82">
        <v>2369</v>
      </c>
      <c r="B2372" s="83" t="str">
        <f>_xlfn.XLOOKUP(A2372,'TAZs by City - CCAG Model'!$A:$A,'TAZs by City - CCAG Model'!$B:$B,"Unknown")</f>
        <v>Albany</v>
      </c>
      <c r="C2372" s="82">
        <f>_xlfn.XLOOKUP(A2372,'TAZs by City - CCAG Model'!$A:$A,'TAZs by City - CCAG Model'!$C:$C,999)</f>
        <v>4</v>
      </c>
      <c r="D2372" s="82" t="str">
        <f t="shared" si="288"/>
        <v>NO</v>
      </c>
      <c r="E2372" s="27">
        <v>5576.64</v>
      </c>
      <c r="F2372" s="27">
        <v>3279.7</v>
      </c>
      <c r="G2372" s="27">
        <v>747.54</v>
      </c>
      <c r="H2372" s="27">
        <v>264.06</v>
      </c>
      <c r="I2372" s="27">
        <v>1100.06</v>
      </c>
      <c r="J2372" s="27">
        <v>11749.1</v>
      </c>
      <c r="K2372" s="47">
        <f t="shared" si="289"/>
        <v>0.47464401528627725</v>
      </c>
      <c r="L2372" s="47">
        <f t="shared" si="290"/>
        <v>0.27914478555804273</v>
      </c>
      <c r="M2372" s="84">
        <f t="shared" si="291"/>
        <v>0.75378880084431998</v>
      </c>
      <c r="N2372" s="47">
        <f t="shared" si="292"/>
        <v>6.3625298959069196E-2</v>
      </c>
      <c r="O2372" s="47">
        <f t="shared" si="293"/>
        <v>2.2474912972057434E-2</v>
      </c>
      <c r="P2372" s="47">
        <f t="shared" si="294"/>
        <v>9.3629299265475641E-2</v>
      </c>
      <c r="Q2372" s="47">
        <f t="shared" si="295"/>
        <v>1</v>
      </c>
    </row>
    <row r="2373" spans="1:17" x14ac:dyDescent="0.35">
      <c r="A2373" s="82">
        <v>2370</v>
      </c>
      <c r="B2373" s="83" t="str">
        <f>_xlfn.XLOOKUP(A2373,'TAZs by City - CCAG Model'!$A:$A,'TAZs by City - CCAG Model'!$B:$B,"Unknown")</f>
        <v>Albany</v>
      </c>
      <c r="C2373" s="82">
        <f>_xlfn.XLOOKUP(A2373,'TAZs by City - CCAG Model'!$A:$A,'TAZs by City - CCAG Model'!$C:$C,999)</f>
        <v>4</v>
      </c>
      <c r="D2373" s="82" t="str">
        <f t="shared" ref="D2373:D2436" si="296">IF(C2373=2,"YES","NO")</f>
        <v>NO</v>
      </c>
      <c r="E2373" s="27">
        <v>6560.98</v>
      </c>
      <c r="F2373" s="27">
        <v>3932.32</v>
      </c>
      <c r="G2373" s="27">
        <v>1213.92</v>
      </c>
      <c r="H2373" s="27">
        <v>381.66</v>
      </c>
      <c r="I2373" s="27">
        <v>971.58</v>
      </c>
      <c r="J2373" s="27">
        <v>14313.02</v>
      </c>
      <c r="K2373" s="47">
        <f t="shared" ref="K2373:K2436" si="297">IFERROR(E2373/$J2373,0)</f>
        <v>0.45839242871176028</v>
      </c>
      <c r="L2373" s="47">
        <f t="shared" ref="L2373:L2436" si="298">IFERROR(F2373/$J2373,0)</f>
        <v>0.2747372671874978</v>
      </c>
      <c r="M2373" s="84">
        <f t="shared" ref="M2373:M2436" si="299">IFERROR((E2373+F2373)/J2373,0)</f>
        <v>0.73312969589925814</v>
      </c>
      <c r="N2373" s="47">
        <f t="shared" ref="N2373:N2436" si="300">IFERROR(G2373/$J2373,0)</f>
        <v>8.4812289789296738E-2</v>
      </c>
      <c r="O2373" s="47">
        <f t="shared" ref="O2373:O2436" si="301">IFERROR(H2373/$J2373,0)</f>
        <v>2.666523207541106E-2</v>
      </c>
      <c r="P2373" s="47">
        <f t="shared" ref="P2373:P2436" si="302">IFERROR(I2373/$J2373,0)</f>
        <v>6.7880852538457992E-2</v>
      </c>
      <c r="Q2373" s="47">
        <f t="shared" ref="Q2373:Q2436" si="303">IFERROR(J2373/$J2373,0)</f>
        <v>1</v>
      </c>
    </row>
    <row r="2374" spans="1:17" x14ac:dyDescent="0.35">
      <c r="A2374" s="82">
        <v>2371</v>
      </c>
      <c r="B2374" s="83" t="str">
        <f>_xlfn.XLOOKUP(A2374,'TAZs by City - CCAG Model'!$A:$A,'TAZs by City - CCAG Model'!$B:$B,"Unknown")</f>
        <v>Albany</v>
      </c>
      <c r="C2374" s="82">
        <f>_xlfn.XLOOKUP(A2374,'TAZs by City - CCAG Model'!$A:$A,'TAZs by City - CCAG Model'!$C:$C,999)</f>
        <v>4</v>
      </c>
      <c r="D2374" s="82" t="str">
        <f t="shared" si="296"/>
        <v>NO</v>
      </c>
      <c r="E2374" s="27">
        <v>12884.38</v>
      </c>
      <c r="F2374" s="27">
        <v>7115.26</v>
      </c>
      <c r="G2374" s="27">
        <v>1966.28</v>
      </c>
      <c r="H2374" s="27">
        <v>464.78</v>
      </c>
      <c r="I2374" s="27">
        <v>1467.48</v>
      </c>
      <c r="J2374" s="27">
        <v>25900.639999999999</v>
      </c>
      <c r="K2374" s="47">
        <f t="shared" si="297"/>
        <v>0.49745411696390512</v>
      </c>
      <c r="L2374" s="47">
        <f t="shared" si="298"/>
        <v>0.27471367502887961</v>
      </c>
      <c r="M2374" s="84">
        <f t="shared" si="299"/>
        <v>0.77216779199278474</v>
      </c>
      <c r="N2374" s="47">
        <f t="shared" si="300"/>
        <v>7.5916270794852941E-2</v>
      </c>
      <c r="O2374" s="47">
        <f t="shared" si="301"/>
        <v>1.7944730323266142E-2</v>
      </c>
      <c r="P2374" s="47">
        <f t="shared" si="302"/>
        <v>5.6658059414748052E-2</v>
      </c>
      <c r="Q2374" s="47">
        <f t="shared" si="303"/>
        <v>1</v>
      </c>
    </row>
    <row r="2375" spans="1:17" x14ac:dyDescent="0.35">
      <c r="A2375" s="82">
        <v>2372</v>
      </c>
      <c r="B2375" s="83" t="str">
        <f>_xlfn.XLOOKUP(A2375,'TAZs by City - CCAG Model'!$A:$A,'TAZs by City - CCAG Model'!$B:$B,"Unknown")</f>
        <v>El Cerrito</v>
      </c>
      <c r="C2375" s="82">
        <f>_xlfn.XLOOKUP(A2375,'TAZs by City - CCAG Model'!$A:$A,'TAZs by City - CCAG Model'!$C:$C,999)</f>
        <v>5</v>
      </c>
      <c r="D2375" s="82" t="str">
        <f t="shared" si="296"/>
        <v>NO</v>
      </c>
      <c r="E2375" s="27">
        <v>5258.24</v>
      </c>
      <c r="F2375" s="27">
        <v>2711.2</v>
      </c>
      <c r="G2375" s="27">
        <v>1069.58</v>
      </c>
      <c r="H2375" s="27">
        <v>195.16</v>
      </c>
      <c r="I2375" s="27">
        <v>899.76</v>
      </c>
      <c r="J2375" s="27">
        <v>11237.2</v>
      </c>
      <c r="K2375" s="47">
        <f t="shared" si="297"/>
        <v>0.4679315131883387</v>
      </c>
      <c r="L2375" s="47">
        <f t="shared" si="298"/>
        <v>0.24127006727654574</v>
      </c>
      <c r="M2375" s="84">
        <f t="shared" si="299"/>
        <v>0.70920158046488446</v>
      </c>
      <c r="N2375" s="47">
        <f t="shared" si="300"/>
        <v>9.5182073826220043E-2</v>
      </c>
      <c r="O2375" s="47">
        <f t="shared" si="301"/>
        <v>1.7367315701420281E-2</v>
      </c>
      <c r="P2375" s="47">
        <f t="shared" si="302"/>
        <v>8.0069768269675712E-2</v>
      </c>
      <c r="Q2375" s="47">
        <f t="shared" si="303"/>
        <v>1</v>
      </c>
    </row>
    <row r="2376" spans="1:17" x14ac:dyDescent="0.35">
      <c r="A2376" s="82">
        <v>2373</v>
      </c>
      <c r="B2376" s="83" t="str">
        <f>_xlfn.XLOOKUP(A2376,'TAZs by City - CCAG Model'!$A:$A,'TAZs by City - CCAG Model'!$B:$B,"Unknown")</f>
        <v>El Cerrito</v>
      </c>
      <c r="C2376" s="82">
        <f>_xlfn.XLOOKUP(A2376,'TAZs by City - CCAG Model'!$A:$A,'TAZs by City - CCAG Model'!$C:$C,999)</f>
        <v>5</v>
      </c>
      <c r="D2376" s="82" t="str">
        <f t="shared" si="296"/>
        <v>NO</v>
      </c>
      <c r="E2376" s="27">
        <v>7082.3</v>
      </c>
      <c r="F2376" s="27">
        <v>3766.84</v>
      </c>
      <c r="G2376" s="27">
        <v>1019</v>
      </c>
      <c r="H2376" s="27">
        <v>201.46</v>
      </c>
      <c r="I2376" s="27">
        <v>1018.02</v>
      </c>
      <c r="J2376" s="27">
        <v>14141.18</v>
      </c>
      <c r="K2376" s="47">
        <f t="shared" si="297"/>
        <v>0.50082807799632001</v>
      </c>
      <c r="L2376" s="47">
        <f t="shared" si="298"/>
        <v>0.26637381038923202</v>
      </c>
      <c r="M2376" s="84">
        <f t="shared" si="299"/>
        <v>0.76720188838555192</v>
      </c>
      <c r="N2376" s="47">
        <f t="shared" si="300"/>
        <v>7.2059050234846031E-2</v>
      </c>
      <c r="O2376" s="47">
        <f t="shared" si="301"/>
        <v>1.4246335878618333E-2</v>
      </c>
      <c r="P2376" s="47">
        <f t="shared" si="302"/>
        <v>7.1989749087417024E-2</v>
      </c>
      <c r="Q2376" s="47">
        <f t="shared" si="303"/>
        <v>1</v>
      </c>
    </row>
    <row r="2377" spans="1:17" x14ac:dyDescent="0.35">
      <c r="A2377" s="82">
        <v>2374</v>
      </c>
      <c r="B2377" s="83" t="str">
        <f>_xlfn.XLOOKUP(A2377,'TAZs by City - CCAG Model'!$A:$A,'TAZs by City - CCAG Model'!$B:$B,"Unknown")</f>
        <v>El Cerrito</v>
      </c>
      <c r="C2377" s="82">
        <f>_xlfn.XLOOKUP(A2377,'TAZs by City - CCAG Model'!$A:$A,'TAZs by City - CCAG Model'!$C:$C,999)</f>
        <v>5</v>
      </c>
      <c r="D2377" s="82" t="str">
        <f t="shared" si="296"/>
        <v>NO</v>
      </c>
      <c r="E2377" s="27">
        <v>4694.62</v>
      </c>
      <c r="F2377" s="27">
        <v>2451.64</v>
      </c>
      <c r="G2377" s="27">
        <v>506.64</v>
      </c>
      <c r="H2377" s="27">
        <v>141.96</v>
      </c>
      <c r="I2377" s="27">
        <v>641</v>
      </c>
      <c r="J2377" s="27">
        <v>8975.8799999999992</v>
      </c>
      <c r="K2377" s="47">
        <f t="shared" si="297"/>
        <v>0.5230261545386079</v>
      </c>
      <c r="L2377" s="47">
        <f t="shared" si="298"/>
        <v>0.27313645013079496</v>
      </c>
      <c r="M2377" s="84">
        <f t="shared" si="299"/>
        <v>0.79616260466940303</v>
      </c>
      <c r="N2377" s="47">
        <f t="shared" si="300"/>
        <v>5.6444604874396717E-2</v>
      </c>
      <c r="O2377" s="47">
        <f t="shared" si="301"/>
        <v>1.581571946149013E-2</v>
      </c>
      <c r="P2377" s="47">
        <f t="shared" si="302"/>
        <v>7.1413610698895263E-2</v>
      </c>
      <c r="Q2377" s="47">
        <f t="shared" si="303"/>
        <v>1</v>
      </c>
    </row>
    <row r="2378" spans="1:17" x14ac:dyDescent="0.35">
      <c r="A2378" s="82">
        <v>2375</v>
      </c>
      <c r="B2378" s="83" t="str">
        <f>_xlfn.XLOOKUP(A2378,'TAZs by City - CCAG Model'!$A:$A,'TAZs by City - CCAG Model'!$B:$B,"Unknown")</f>
        <v>Unincorporated</v>
      </c>
      <c r="C2378" s="82">
        <f>_xlfn.XLOOKUP(A2378,'TAZs by City - CCAG Model'!$A:$A,'TAZs by City - CCAG Model'!$C:$C,999)</f>
        <v>5</v>
      </c>
      <c r="D2378" s="82" t="str">
        <f t="shared" si="296"/>
        <v>NO</v>
      </c>
      <c r="E2378" s="27">
        <v>6278.82</v>
      </c>
      <c r="F2378" s="27">
        <v>4546.58</v>
      </c>
      <c r="G2378" s="27">
        <v>845.76</v>
      </c>
      <c r="H2378" s="27">
        <v>223.28</v>
      </c>
      <c r="I2378" s="27">
        <v>972.7</v>
      </c>
      <c r="J2378" s="27">
        <v>13747.42</v>
      </c>
      <c r="K2378" s="47">
        <f t="shared" si="297"/>
        <v>0.45672715316764889</v>
      </c>
      <c r="L2378" s="47">
        <f t="shared" si="298"/>
        <v>0.33072241918847317</v>
      </c>
      <c r="M2378" s="84">
        <f t="shared" si="299"/>
        <v>0.78744957235612212</v>
      </c>
      <c r="N2378" s="47">
        <f t="shared" si="300"/>
        <v>6.1521361826437249E-2</v>
      </c>
      <c r="O2378" s="47">
        <f t="shared" si="301"/>
        <v>1.6241592967989629E-2</v>
      </c>
      <c r="P2378" s="47">
        <f t="shared" si="302"/>
        <v>7.0755094410442101E-2</v>
      </c>
      <c r="Q2378" s="47">
        <f t="shared" si="303"/>
        <v>1</v>
      </c>
    </row>
    <row r="2379" spans="1:17" x14ac:dyDescent="0.35">
      <c r="A2379" s="82">
        <v>2376</v>
      </c>
      <c r="B2379" s="83" t="str">
        <f>_xlfn.XLOOKUP(A2379,'TAZs by City - CCAG Model'!$A:$A,'TAZs by City - CCAG Model'!$B:$B,"Unknown")</f>
        <v>Unincorporated</v>
      </c>
      <c r="C2379" s="82">
        <f>_xlfn.XLOOKUP(A2379,'TAZs by City - CCAG Model'!$A:$A,'TAZs by City - CCAG Model'!$C:$C,999)</f>
        <v>5</v>
      </c>
      <c r="D2379" s="82" t="str">
        <f t="shared" si="296"/>
        <v>NO</v>
      </c>
      <c r="E2379" s="27">
        <v>5986.58</v>
      </c>
      <c r="F2379" s="27">
        <v>3571.36</v>
      </c>
      <c r="G2379" s="27">
        <v>255.38</v>
      </c>
      <c r="H2379" s="27">
        <v>165.28</v>
      </c>
      <c r="I2379" s="27">
        <v>636.16</v>
      </c>
      <c r="J2379" s="27">
        <v>10894.76</v>
      </c>
      <c r="K2379" s="47">
        <f t="shared" si="297"/>
        <v>0.54949168223990241</v>
      </c>
      <c r="L2379" s="47">
        <f t="shared" si="298"/>
        <v>0.32780529355396537</v>
      </c>
      <c r="M2379" s="84">
        <f t="shared" si="299"/>
        <v>0.87729697579386789</v>
      </c>
      <c r="N2379" s="47">
        <f t="shared" si="300"/>
        <v>2.3440626503016128E-2</v>
      </c>
      <c r="O2379" s="47">
        <f t="shared" si="301"/>
        <v>1.5170595772646667E-2</v>
      </c>
      <c r="P2379" s="47">
        <f t="shared" si="302"/>
        <v>5.8391373467611946E-2</v>
      </c>
      <c r="Q2379" s="47">
        <f t="shared" si="303"/>
        <v>1</v>
      </c>
    </row>
    <row r="2380" spans="1:17" x14ac:dyDescent="0.35">
      <c r="A2380" s="82">
        <v>2377</v>
      </c>
      <c r="B2380" s="83" t="str">
        <f>_xlfn.XLOOKUP(A2380,'TAZs by City - CCAG Model'!$A:$A,'TAZs by City - CCAG Model'!$B:$B,"Unknown")</f>
        <v>El Cerrito</v>
      </c>
      <c r="C2380" s="82">
        <f>_xlfn.XLOOKUP(A2380,'TAZs by City - CCAG Model'!$A:$A,'TAZs by City - CCAG Model'!$C:$C,999)</f>
        <v>5</v>
      </c>
      <c r="D2380" s="82" t="str">
        <f t="shared" si="296"/>
        <v>NO</v>
      </c>
      <c r="E2380" s="27">
        <v>5664.64</v>
      </c>
      <c r="F2380" s="27">
        <v>3816.7</v>
      </c>
      <c r="G2380" s="27">
        <v>446.14</v>
      </c>
      <c r="H2380" s="27">
        <v>148.28</v>
      </c>
      <c r="I2380" s="27">
        <v>444.44</v>
      </c>
      <c r="J2380" s="27">
        <v>10995.16</v>
      </c>
      <c r="K2380" s="47">
        <f t="shared" si="297"/>
        <v>0.51519395806882307</v>
      </c>
      <c r="L2380" s="47">
        <f t="shared" si="298"/>
        <v>0.34712546247621678</v>
      </c>
      <c r="M2380" s="84">
        <f t="shared" si="299"/>
        <v>0.86231942054503985</v>
      </c>
      <c r="N2380" s="47">
        <f t="shared" si="300"/>
        <v>4.0576035273702245E-2</v>
      </c>
      <c r="O2380" s="47">
        <f t="shared" si="301"/>
        <v>1.3485933810876786E-2</v>
      </c>
      <c r="P2380" s="47">
        <f t="shared" si="302"/>
        <v>4.0421421789223623E-2</v>
      </c>
      <c r="Q2380" s="47">
        <f t="shared" si="303"/>
        <v>1</v>
      </c>
    </row>
    <row r="2381" spans="1:17" x14ac:dyDescent="0.35">
      <c r="A2381" s="82">
        <v>2378</v>
      </c>
      <c r="B2381" s="83" t="str">
        <f>_xlfn.XLOOKUP(A2381,'TAZs by City - CCAG Model'!$A:$A,'TAZs by City - CCAG Model'!$B:$B,"Unknown")</f>
        <v>El Cerrito</v>
      </c>
      <c r="C2381" s="82">
        <f>_xlfn.XLOOKUP(A2381,'TAZs by City - CCAG Model'!$A:$A,'TAZs by City - CCAG Model'!$C:$C,999)</f>
        <v>5</v>
      </c>
      <c r="D2381" s="82" t="str">
        <f t="shared" si="296"/>
        <v>NO</v>
      </c>
      <c r="E2381" s="27">
        <v>4704.38</v>
      </c>
      <c r="F2381" s="27">
        <v>3006.16</v>
      </c>
      <c r="G2381" s="27">
        <v>481.02</v>
      </c>
      <c r="H2381" s="27">
        <v>132.30000000000001</v>
      </c>
      <c r="I2381" s="27">
        <v>394.54</v>
      </c>
      <c r="J2381" s="27">
        <v>9233.32</v>
      </c>
      <c r="K2381" s="47">
        <f t="shared" si="297"/>
        <v>0.50950037472978305</v>
      </c>
      <c r="L2381" s="47">
        <f t="shared" si="298"/>
        <v>0.32557736545467936</v>
      </c>
      <c r="M2381" s="84">
        <f t="shared" si="299"/>
        <v>0.83507774018446235</v>
      </c>
      <c r="N2381" s="47">
        <f t="shared" si="300"/>
        <v>5.209610410989763E-2</v>
      </c>
      <c r="O2381" s="47">
        <f t="shared" si="301"/>
        <v>1.4328540546628949E-2</v>
      </c>
      <c r="P2381" s="47">
        <f t="shared" si="302"/>
        <v>4.2730025602925062E-2</v>
      </c>
      <c r="Q2381" s="47">
        <f t="shared" si="303"/>
        <v>1</v>
      </c>
    </row>
    <row r="2382" spans="1:17" x14ac:dyDescent="0.35">
      <c r="A2382" s="82">
        <v>2379</v>
      </c>
      <c r="B2382" s="83" t="str">
        <f>_xlfn.XLOOKUP(A2382,'TAZs by City - CCAG Model'!$A:$A,'TAZs by City - CCAG Model'!$B:$B,"Unknown")</f>
        <v>El Cerrito</v>
      </c>
      <c r="C2382" s="82">
        <f>_xlfn.XLOOKUP(A2382,'TAZs by City - CCAG Model'!$A:$A,'TAZs by City - CCAG Model'!$C:$C,999)</f>
        <v>5</v>
      </c>
      <c r="D2382" s="82" t="str">
        <f t="shared" si="296"/>
        <v>NO</v>
      </c>
      <c r="E2382" s="27">
        <v>7741</v>
      </c>
      <c r="F2382" s="27">
        <v>4117.3599999999997</v>
      </c>
      <c r="G2382" s="27">
        <v>900.5</v>
      </c>
      <c r="H2382" s="27">
        <v>200.14</v>
      </c>
      <c r="I2382" s="27">
        <v>786.64</v>
      </c>
      <c r="J2382" s="27">
        <v>14681.26</v>
      </c>
      <c r="K2382" s="47">
        <f t="shared" si="297"/>
        <v>0.52727082007947546</v>
      </c>
      <c r="L2382" s="47">
        <f t="shared" si="298"/>
        <v>0.28045004311619026</v>
      </c>
      <c r="M2382" s="84">
        <f t="shared" si="299"/>
        <v>0.80772086319566583</v>
      </c>
      <c r="N2382" s="47">
        <f t="shared" si="300"/>
        <v>6.133669725895461E-2</v>
      </c>
      <c r="O2382" s="47">
        <f t="shared" si="301"/>
        <v>1.3632344907725902E-2</v>
      </c>
      <c r="P2382" s="47">
        <f t="shared" si="302"/>
        <v>5.3581232128577516E-2</v>
      </c>
      <c r="Q2382" s="47">
        <f t="shared" si="303"/>
        <v>1</v>
      </c>
    </row>
    <row r="2383" spans="1:17" x14ac:dyDescent="0.35">
      <c r="A2383" s="82">
        <v>2380</v>
      </c>
      <c r="B2383" s="83" t="str">
        <f>_xlfn.XLOOKUP(A2383,'TAZs by City - CCAG Model'!$A:$A,'TAZs by City - CCAG Model'!$B:$B,"Unknown")</f>
        <v>El Cerrito</v>
      </c>
      <c r="C2383" s="82">
        <f>_xlfn.XLOOKUP(A2383,'TAZs by City - CCAG Model'!$A:$A,'TAZs by City - CCAG Model'!$C:$C,999)</f>
        <v>5</v>
      </c>
      <c r="D2383" s="82" t="str">
        <f t="shared" si="296"/>
        <v>NO</v>
      </c>
      <c r="E2383" s="27">
        <v>6524.42</v>
      </c>
      <c r="F2383" s="27">
        <v>3515.12</v>
      </c>
      <c r="G2383" s="27">
        <v>1172.76</v>
      </c>
      <c r="H2383" s="27">
        <v>212.12</v>
      </c>
      <c r="I2383" s="27">
        <v>1029.68</v>
      </c>
      <c r="J2383" s="27">
        <v>13662.24</v>
      </c>
      <c r="K2383" s="47">
        <f t="shared" si="297"/>
        <v>0.47755126538547121</v>
      </c>
      <c r="L2383" s="47">
        <f t="shared" si="298"/>
        <v>0.25728723840307299</v>
      </c>
      <c r="M2383" s="84">
        <f t="shared" si="299"/>
        <v>0.73483850378854432</v>
      </c>
      <c r="N2383" s="47">
        <f t="shared" si="300"/>
        <v>8.583951094403261E-2</v>
      </c>
      <c r="O2383" s="47">
        <f t="shared" si="301"/>
        <v>1.5526004520488587E-2</v>
      </c>
      <c r="P2383" s="47">
        <f t="shared" si="302"/>
        <v>7.5366850531098858E-2</v>
      </c>
      <c r="Q2383" s="47">
        <f t="shared" si="303"/>
        <v>1</v>
      </c>
    </row>
    <row r="2384" spans="1:17" x14ac:dyDescent="0.35">
      <c r="A2384" s="82">
        <v>2381</v>
      </c>
      <c r="B2384" s="83" t="str">
        <f>_xlfn.XLOOKUP(A2384,'TAZs by City - CCAG Model'!$A:$A,'TAZs by City - CCAG Model'!$B:$B,"Unknown")</f>
        <v>Richmond</v>
      </c>
      <c r="C2384" s="82">
        <f>_xlfn.XLOOKUP(A2384,'TAZs by City - CCAG Model'!$A:$A,'TAZs by City - CCAG Model'!$C:$C,999)</f>
        <v>5</v>
      </c>
      <c r="D2384" s="82" t="str">
        <f t="shared" si="296"/>
        <v>NO</v>
      </c>
      <c r="E2384" s="27">
        <v>12500.7</v>
      </c>
      <c r="F2384" s="27">
        <v>6807.5</v>
      </c>
      <c r="G2384" s="27">
        <v>1579.96</v>
      </c>
      <c r="H2384" s="27">
        <v>368.54</v>
      </c>
      <c r="I2384" s="27">
        <v>2076.36</v>
      </c>
      <c r="J2384" s="27">
        <v>24947.52</v>
      </c>
      <c r="K2384" s="47">
        <f t="shared" si="297"/>
        <v>0.50107986685650518</v>
      </c>
      <c r="L2384" s="47">
        <f t="shared" si="298"/>
        <v>0.2728728146124344</v>
      </c>
      <c r="M2384" s="84">
        <f t="shared" si="299"/>
        <v>0.77395268146893959</v>
      </c>
      <c r="N2384" s="47">
        <f t="shared" si="300"/>
        <v>6.333134515975937E-2</v>
      </c>
      <c r="O2384" s="47">
        <f t="shared" si="301"/>
        <v>1.4772610664306513E-2</v>
      </c>
      <c r="P2384" s="47">
        <f t="shared" si="302"/>
        <v>8.3229114557278647E-2</v>
      </c>
      <c r="Q2384" s="47">
        <f t="shared" si="303"/>
        <v>1</v>
      </c>
    </row>
    <row r="2385" spans="1:17" x14ac:dyDescent="0.35">
      <c r="A2385" s="82">
        <v>2382</v>
      </c>
      <c r="B2385" s="83" t="str">
        <f>_xlfn.XLOOKUP(A2385,'TAZs by City - CCAG Model'!$A:$A,'TAZs by City - CCAG Model'!$B:$B,"Unknown")</f>
        <v>Richmond</v>
      </c>
      <c r="C2385" s="82">
        <f>_xlfn.XLOOKUP(A2385,'TAZs by City - CCAG Model'!$A:$A,'TAZs by City - CCAG Model'!$C:$C,999)</f>
        <v>5</v>
      </c>
      <c r="D2385" s="82" t="str">
        <f t="shared" si="296"/>
        <v>NO</v>
      </c>
      <c r="E2385" s="27">
        <v>12213</v>
      </c>
      <c r="F2385" s="27">
        <v>9216.1200000000008</v>
      </c>
      <c r="G2385" s="27">
        <v>2022.26</v>
      </c>
      <c r="H2385" s="27">
        <v>464.98</v>
      </c>
      <c r="I2385" s="27">
        <v>2325.08</v>
      </c>
      <c r="J2385" s="27">
        <v>28297.4</v>
      </c>
      <c r="K2385" s="47">
        <f t="shared" si="297"/>
        <v>0.43159442210238397</v>
      </c>
      <c r="L2385" s="47">
        <f t="shared" si="298"/>
        <v>0.32568787238403529</v>
      </c>
      <c r="M2385" s="84">
        <f t="shared" si="299"/>
        <v>0.75728229448641926</v>
      </c>
      <c r="N2385" s="47">
        <f t="shared" si="300"/>
        <v>7.1464516174630885E-2</v>
      </c>
      <c r="O2385" s="47">
        <f t="shared" si="301"/>
        <v>1.6431898336949684E-2</v>
      </c>
      <c r="P2385" s="47">
        <f t="shared" si="302"/>
        <v>8.2165852693180289E-2</v>
      </c>
      <c r="Q2385" s="47">
        <f t="shared" si="303"/>
        <v>1</v>
      </c>
    </row>
    <row r="2386" spans="1:17" x14ac:dyDescent="0.35">
      <c r="A2386" s="82">
        <v>2383</v>
      </c>
      <c r="B2386" s="83" t="str">
        <f>_xlfn.XLOOKUP(A2386,'TAZs by City - CCAG Model'!$A:$A,'TAZs by City - CCAG Model'!$B:$B,"Unknown")</f>
        <v>El Cerrito</v>
      </c>
      <c r="C2386" s="82">
        <f>_xlfn.XLOOKUP(A2386,'TAZs by City - CCAG Model'!$A:$A,'TAZs by City - CCAG Model'!$C:$C,999)</f>
        <v>5</v>
      </c>
      <c r="D2386" s="82" t="str">
        <f t="shared" si="296"/>
        <v>NO</v>
      </c>
      <c r="E2386" s="27">
        <v>14201.48</v>
      </c>
      <c r="F2386" s="27">
        <v>7242.18</v>
      </c>
      <c r="G2386" s="27">
        <v>1481.9</v>
      </c>
      <c r="H2386" s="27">
        <v>362.02</v>
      </c>
      <c r="I2386" s="27">
        <v>6289.16</v>
      </c>
      <c r="J2386" s="27">
        <v>31089.82</v>
      </c>
      <c r="K2386" s="47">
        <f t="shared" si="297"/>
        <v>0.45678874950064041</v>
      </c>
      <c r="L2386" s="47">
        <f t="shared" si="298"/>
        <v>0.23294377387839493</v>
      </c>
      <c r="M2386" s="84">
        <f t="shared" si="299"/>
        <v>0.68973252337903534</v>
      </c>
      <c r="N2386" s="47">
        <f t="shared" si="300"/>
        <v>4.7665119965313411E-2</v>
      </c>
      <c r="O2386" s="47">
        <f t="shared" si="301"/>
        <v>1.1644326020543059E-2</v>
      </c>
      <c r="P2386" s="47">
        <f t="shared" si="302"/>
        <v>0.20229001004187222</v>
      </c>
      <c r="Q2386" s="47">
        <f t="shared" si="303"/>
        <v>1</v>
      </c>
    </row>
    <row r="2387" spans="1:17" x14ac:dyDescent="0.35">
      <c r="A2387" s="82">
        <v>2384</v>
      </c>
      <c r="B2387" s="83" t="str">
        <f>_xlfn.XLOOKUP(A2387,'TAZs by City - CCAG Model'!$A:$A,'TAZs by City - CCAG Model'!$B:$B,"Unknown")</f>
        <v>El Cerrito</v>
      </c>
      <c r="C2387" s="82">
        <f>_xlfn.XLOOKUP(A2387,'TAZs by City - CCAG Model'!$A:$A,'TAZs by City - CCAG Model'!$C:$C,999)</f>
        <v>5</v>
      </c>
      <c r="D2387" s="82" t="str">
        <f t="shared" si="296"/>
        <v>NO</v>
      </c>
      <c r="E2387" s="27">
        <v>2692.38</v>
      </c>
      <c r="F2387" s="27">
        <v>1694.18</v>
      </c>
      <c r="G2387" s="27">
        <v>319.68</v>
      </c>
      <c r="H2387" s="27">
        <v>65</v>
      </c>
      <c r="I2387" s="27">
        <v>285.92</v>
      </c>
      <c r="J2387" s="27">
        <v>5406.8</v>
      </c>
      <c r="K2387" s="47">
        <f t="shared" si="297"/>
        <v>0.49796182584893101</v>
      </c>
      <c r="L2387" s="47">
        <f t="shared" si="298"/>
        <v>0.31334245764592733</v>
      </c>
      <c r="M2387" s="84">
        <f t="shared" si="299"/>
        <v>0.81130428349485839</v>
      </c>
      <c r="N2387" s="47">
        <f t="shared" si="300"/>
        <v>5.9125545609232819E-2</v>
      </c>
      <c r="O2387" s="47">
        <f t="shared" si="301"/>
        <v>1.2021898350225642E-2</v>
      </c>
      <c r="P2387" s="47">
        <f t="shared" si="302"/>
        <v>5.2881556558407934E-2</v>
      </c>
      <c r="Q2387" s="47">
        <f t="shared" si="303"/>
        <v>1</v>
      </c>
    </row>
    <row r="2388" spans="1:17" x14ac:dyDescent="0.35">
      <c r="A2388" s="82">
        <v>2385</v>
      </c>
      <c r="B2388" s="83" t="str">
        <f>_xlfn.XLOOKUP(A2388,'TAZs by City - CCAG Model'!$A:$A,'TAZs by City - CCAG Model'!$B:$B,"Unknown")</f>
        <v>El Cerrito</v>
      </c>
      <c r="C2388" s="82">
        <f>_xlfn.XLOOKUP(A2388,'TAZs by City - CCAG Model'!$A:$A,'TAZs by City - CCAG Model'!$C:$C,999)</f>
        <v>5</v>
      </c>
      <c r="D2388" s="82" t="str">
        <f t="shared" si="296"/>
        <v>NO</v>
      </c>
      <c r="E2388" s="27">
        <v>8044.14</v>
      </c>
      <c r="F2388" s="27">
        <v>4922.3599999999997</v>
      </c>
      <c r="G2388" s="27">
        <v>1291.76</v>
      </c>
      <c r="H2388" s="27">
        <v>209.44</v>
      </c>
      <c r="I2388" s="27">
        <v>839.06</v>
      </c>
      <c r="J2388" s="27">
        <v>16631.62</v>
      </c>
      <c r="K2388" s="47">
        <f t="shared" si="297"/>
        <v>0.48366545171185976</v>
      </c>
      <c r="L2388" s="47">
        <f t="shared" si="298"/>
        <v>0.29596395300036915</v>
      </c>
      <c r="M2388" s="84">
        <f t="shared" si="299"/>
        <v>0.77962940471222897</v>
      </c>
      <c r="N2388" s="47">
        <f t="shared" si="300"/>
        <v>7.7668922209622404E-2</v>
      </c>
      <c r="O2388" s="47">
        <f t="shared" si="301"/>
        <v>1.2592880308713163E-2</v>
      </c>
      <c r="P2388" s="47">
        <f t="shared" si="302"/>
        <v>5.0449685598877317E-2</v>
      </c>
      <c r="Q2388" s="47">
        <f t="shared" si="303"/>
        <v>1</v>
      </c>
    </row>
    <row r="2389" spans="1:17" x14ac:dyDescent="0.35">
      <c r="A2389" s="82">
        <v>2386</v>
      </c>
      <c r="B2389" s="83" t="str">
        <f>_xlfn.XLOOKUP(A2389,'TAZs by City - CCAG Model'!$A:$A,'TAZs by City - CCAG Model'!$B:$B,"Unknown")</f>
        <v>Richmond</v>
      </c>
      <c r="C2389" s="82">
        <f>_xlfn.XLOOKUP(A2389,'TAZs by City - CCAG Model'!$A:$A,'TAZs by City - CCAG Model'!$C:$C,999)</f>
        <v>5</v>
      </c>
      <c r="D2389" s="82" t="str">
        <f t="shared" si="296"/>
        <v>NO</v>
      </c>
      <c r="E2389" s="27">
        <v>6457.78</v>
      </c>
      <c r="F2389" s="27">
        <v>3877.42</v>
      </c>
      <c r="G2389" s="27">
        <v>551.41999999999996</v>
      </c>
      <c r="H2389" s="27">
        <v>176.28</v>
      </c>
      <c r="I2389" s="27">
        <v>2004.14</v>
      </c>
      <c r="J2389" s="27">
        <v>13651.92</v>
      </c>
      <c r="K2389" s="47">
        <f t="shared" si="297"/>
        <v>0.47303089968297496</v>
      </c>
      <c r="L2389" s="47">
        <f t="shared" si="298"/>
        <v>0.28402012317681324</v>
      </c>
      <c r="M2389" s="84">
        <f t="shared" si="299"/>
        <v>0.75705102285978831</v>
      </c>
      <c r="N2389" s="47">
        <f t="shared" si="300"/>
        <v>4.039138817104114E-2</v>
      </c>
      <c r="O2389" s="47">
        <f t="shared" si="301"/>
        <v>1.2912469454845912E-2</v>
      </c>
      <c r="P2389" s="47">
        <f t="shared" si="302"/>
        <v>0.14680279403922672</v>
      </c>
      <c r="Q2389" s="47">
        <f t="shared" si="303"/>
        <v>1</v>
      </c>
    </row>
    <row r="2390" spans="1:17" x14ac:dyDescent="0.35">
      <c r="A2390" s="82">
        <v>2387</v>
      </c>
      <c r="B2390" s="83" t="str">
        <f>_xlfn.XLOOKUP(A2390,'TAZs by City - CCAG Model'!$A:$A,'TAZs by City - CCAG Model'!$B:$B,"Unknown")</f>
        <v>Richmond</v>
      </c>
      <c r="C2390" s="82">
        <f>_xlfn.XLOOKUP(A2390,'TAZs by City - CCAG Model'!$A:$A,'TAZs by City - CCAG Model'!$C:$C,999)</f>
        <v>5</v>
      </c>
      <c r="D2390" s="82" t="str">
        <f t="shared" si="296"/>
        <v>NO</v>
      </c>
      <c r="E2390" s="27">
        <v>11015.48</v>
      </c>
      <c r="F2390" s="27">
        <v>7189.58</v>
      </c>
      <c r="G2390" s="27">
        <v>1444.64</v>
      </c>
      <c r="H2390" s="27">
        <v>339.42</v>
      </c>
      <c r="I2390" s="27">
        <v>2094.1799999999998</v>
      </c>
      <c r="J2390" s="27">
        <v>23563.9</v>
      </c>
      <c r="K2390" s="47">
        <f t="shared" si="297"/>
        <v>0.4674727018872088</v>
      </c>
      <c r="L2390" s="47">
        <f t="shared" si="298"/>
        <v>0.3051099351126087</v>
      </c>
      <c r="M2390" s="84">
        <f t="shared" si="299"/>
        <v>0.77258263699981733</v>
      </c>
      <c r="N2390" s="47">
        <f t="shared" si="300"/>
        <v>6.1307338768200513E-2</v>
      </c>
      <c r="O2390" s="47">
        <f t="shared" si="301"/>
        <v>1.4404236989632446E-2</v>
      </c>
      <c r="P2390" s="47">
        <f t="shared" si="302"/>
        <v>8.8872385301244694E-2</v>
      </c>
      <c r="Q2390" s="47">
        <f t="shared" si="303"/>
        <v>1</v>
      </c>
    </row>
    <row r="2391" spans="1:17" x14ac:dyDescent="0.35">
      <c r="A2391" s="82">
        <v>2388</v>
      </c>
      <c r="B2391" s="83" t="str">
        <f>_xlfn.XLOOKUP(A2391,'TAZs by City - CCAG Model'!$A:$A,'TAZs by City - CCAG Model'!$B:$B,"Unknown")</f>
        <v>Richmond</v>
      </c>
      <c r="C2391" s="82">
        <f>_xlfn.XLOOKUP(A2391,'TAZs by City - CCAG Model'!$A:$A,'TAZs by City - CCAG Model'!$C:$C,999)</f>
        <v>5</v>
      </c>
      <c r="D2391" s="82" t="str">
        <f t="shared" si="296"/>
        <v>NO</v>
      </c>
      <c r="E2391" s="27">
        <v>11398.18</v>
      </c>
      <c r="F2391" s="27">
        <v>6663.18</v>
      </c>
      <c r="G2391" s="27">
        <v>1362.14</v>
      </c>
      <c r="H2391" s="27">
        <v>349.84</v>
      </c>
      <c r="I2391" s="27">
        <v>2094.92</v>
      </c>
      <c r="J2391" s="27">
        <v>23266.080000000002</v>
      </c>
      <c r="K2391" s="47">
        <f t="shared" si="297"/>
        <v>0.48990547612661867</v>
      </c>
      <c r="L2391" s="47">
        <f t="shared" si="298"/>
        <v>0.28639031585896718</v>
      </c>
      <c r="M2391" s="84">
        <f t="shared" si="299"/>
        <v>0.77629579198558585</v>
      </c>
      <c r="N2391" s="47">
        <f t="shared" si="300"/>
        <v>5.8546175376341866E-2</v>
      </c>
      <c r="O2391" s="47">
        <f t="shared" si="301"/>
        <v>1.5036482295255581E-2</v>
      </c>
      <c r="P2391" s="47">
        <f t="shared" si="302"/>
        <v>9.0041811942536076E-2</v>
      </c>
      <c r="Q2391" s="47">
        <f t="shared" si="303"/>
        <v>1</v>
      </c>
    </row>
    <row r="2392" spans="1:17" x14ac:dyDescent="0.35">
      <c r="A2392" s="82">
        <v>2389</v>
      </c>
      <c r="B2392" s="83" t="str">
        <f>_xlfn.XLOOKUP(A2392,'TAZs by City - CCAG Model'!$A:$A,'TAZs by City - CCAG Model'!$B:$B,"Unknown")</f>
        <v>Richmond</v>
      </c>
      <c r="C2392" s="82">
        <f>_xlfn.XLOOKUP(A2392,'TAZs by City - CCAG Model'!$A:$A,'TAZs by City - CCAG Model'!$C:$C,999)</f>
        <v>5</v>
      </c>
      <c r="D2392" s="82" t="str">
        <f t="shared" si="296"/>
        <v>NO</v>
      </c>
      <c r="E2392" s="27">
        <v>5451.26</v>
      </c>
      <c r="F2392" s="27">
        <v>5082.3999999999996</v>
      </c>
      <c r="G2392" s="27">
        <v>1482.82</v>
      </c>
      <c r="H2392" s="27">
        <v>251.86</v>
      </c>
      <c r="I2392" s="27">
        <v>2359.1</v>
      </c>
      <c r="J2392" s="27">
        <v>16147.3</v>
      </c>
      <c r="K2392" s="47">
        <f t="shared" si="297"/>
        <v>0.33759575904330758</v>
      </c>
      <c r="L2392" s="47">
        <f t="shared" si="298"/>
        <v>0.31475231153195887</v>
      </c>
      <c r="M2392" s="84">
        <f t="shared" si="299"/>
        <v>0.65234807057526645</v>
      </c>
      <c r="N2392" s="47">
        <f t="shared" si="300"/>
        <v>9.1830832399224641E-2</v>
      </c>
      <c r="O2392" s="47">
        <f t="shared" si="301"/>
        <v>1.5597654096969773E-2</v>
      </c>
      <c r="P2392" s="47">
        <f t="shared" si="302"/>
        <v>0.14609872858001027</v>
      </c>
      <c r="Q2392" s="47">
        <f t="shared" si="303"/>
        <v>1</v>
      </c>
    </row>
    <row r="2393" spans="1:17" x14ac:dyDescent="0.35">
      <c r="A2393" s="82">
        <v>2390</v>
      </c>
      <c r="B2393" s="83" t="str">
        <f>_xlfn.XLOOKUP(A2393,'TAZs by City - CCAG Model'!$A:$A,'TAZs by City - CCAG Model'!$B:$B,"Unknown")</f>
        <v>Richmond</v>
      </c>
      <c r="C2393" s="82">
        <f>_xlfn.XLOOKUP(A2393,'TAZs by City - CCAG Model'!$A:$A,'TAZs by City - CCAG Model'!$C:$C,999)</f>
        <v>5</v>
      </c>
      <c r="D2393" s="82" t="str">
        <f t="shared" si="296"/>
        <v>NO</v>
      </c>
      <c r="E2393" s="27">
        <v>15339.58</v>
      </c>
      <c r="F2393" s="27">
        <v>9629.36</v>
      </c>
      <c r="G2393" s="27">
        <v>1722.7</v>
      </c>
      <c r="H2393" s="27">
        <v>469.38</v>
      </c>
      <c r="I2393" s="27">
        <v>2008.62</v>
      </c>
      <c r="J2393" s="27">
        <v>30926.92</v>
      </c>
      <c r="K2393" s="47">
        <f t="shared" si="297"/>
        <v>0.49599442815514772</v>
      </c>
      <c r="L2393" s="47">
        <f t="shared" si="298"/>
        <v>0.31135851872737413</v>
      </c>
      <c r="M2393" s="84">
        <f t="shared" si="299"/>
        <v>0.8073529468825219</v>
      </c>
      <c r="N2393" s="47">
        <f t="shared" si="300"/>
        <v>5.5702281378165047E-2</v>
      </c>
      <c r="O2393" s="47">
        <f t="shared" si="301"/>
        <v>1.5177069038882631E-2</v>
      </c>
      <c r="P2393" s="47">
        <f t="shared" si="302"/>
        <v>6.4947301574162578E-2</v>
      </c>
      <c r="Q2393" s="47">
        <f t="shared" si="303"/>
        <v>1</v>
      </c>
    </row>
    <row r="2394" spans="1:17" x14ac:dyDescent="0.35">
      <c r="A2394" s="82">
        <v>2391</v>
      </c>
      <c r="B2394" s="83" t="str">
        <f>_xlfn.XLOOKUP(A2394,'TAZs by City - CCAG Model'!$A:$A,'TAZs by City - CCAG Model'!$B:$B,"Unknown")</f>
        <v>Richmond</v>
      </c>
      <c r="C2394" s="82">
        <f>_xlfn.XLOOKUP(A2394,'TAZs by City - CCAG Model'!$A:$A,'TAZs by City - CCAG Model'!$C:$C,999)</f>
        <v>5</v>
      </c>
      <c r="D2394" s="82" t="str">
        <f t="shared" si="296"/>
        <v>NO</v>
      </c>
      <c r="E2394" s="27">
        <v>36227.08</v>
      </c>
      <c r="F2394" s="27">
        <v>17502.439999999999</v>
      </c>
      <c r="G2394" s="27">
        <v>1796.16</v>
      </c>
      <c r="H2394" s="27">
        <v>676.4</v>
      </c>
      <c r="I2394" s="27">
        <v>4238.5</v>
      </c>
      <c r="J2394" s="27">
        <v>62266.02</v>
      </c>
      <c r="K2394" s="47">
        <f t="shared" si="297"/>
        <v>0.58181139568580109</v>
      </c>
      <c r="L2394" s="47">
        <f t="shared" si="298"/>
        <v>0.28109135608795938</v>
      </c>
      <c r="M2394" s="84">
        <f t="shared" si="299"/>
        <v>0.86290275177376052</v>
      </c>
      <c r="N2394" s="47">
        <f t="shared" si="300"/>
        <v>2.8846552260767593E-2</v>
      </c>
      <c r="O2394" s="47">
        <f t="shared" si="301"/>
        <v>1.086306784984812E-2</v>
      </c>
      <c r="P2394" s="47">
        <f t="shared" si="302"/>
        <v>6.8070835425164483E-2</v>
      </c>
      <c r="Q2394" s="47">
        <f t="shared" si="303"/>
        <v>1</v>
      </c>
    </row>
    <row r="2395" spans="1:17" x14ac:dyDescent="0.35">
      <c r="A2395" s="82">
        <v>2392</v>
      </c>
      <c r="B2395" s="83" t="str">
        <f>_xlfn.XLOOKUP(A2395,'TAZs by City - CCAG Model'!$A:$A,'TAZs by City - CCAG Model'!$B:$B,"Unknown")</f>
        <v>Richmond</v>
      </c>
      <c r="C2395" s="82">
        <f>_xlfn.XLOOKUP(A2395,'TAZs by City - CCAG Model'!$A:$A,'TAZs by City - CCAG Model'!$C:$C,999)</f>
        <v>5</v>
      </c>
      <c r="D2395" s="82" t="str">
        <f t="shared" si="296"/>
        <v>NO</v>
      </c>
      <c r="E2395" s="27">
        <v>10652.8</v>
      </c>
      <c r="F2395" s="27">
        <v>7989.84</v>
      </c>
      <c r="G2395" s="27">
        <v>1359.32</v>
      </c>
      <c r="H2395" s="27">
        <v>389.18</v>
      </c>
      <c r="I2395" s="27">
        <v>2375</v>
      </c>
      <c r="J2395" s="27">
        <v>24159.439999999999</v>
      </c>
      <c r="K2395" s="47">
        <f t="shared" si="297"/>
        <v>0.44093737272055972</v>
      </c>
      <c r="L2395" s="47">
        <f t="shared" si="298"/>
        <v>0.33071296354551266</v>
      </c>
      <c r="M2395" s="84">
        <f t="shared" si="299"/>
        <v>0.77165033626607238</v>
      </c>
      <c r="N2395" s="47">
        <f t="shared" si="300"/>
        <v>5.6264549178292211E-2</v>
      </c>
      <c r="O2395" s="47">
        <f t="shared" si="301"/>
        <v>1.6108817091786898E-2</v>
      </c>
      <c r="P2395" s="47">
        <f t="shared" si="302"/>
        <v>9.8305258731162651E-2</v>
      </c>
      <c r="Q2395" s="47">
        <f t="shared" si="303"/>
        <v>1</v>
      </c>
    </row>
    <row r="2396" spans="1:17" x14ac:dyDescent="0.35">
      <c r="A2396" s="82">
        <v>2393</v>
      </c>
      <c r="B2396" s="83" t="str">
        <f>_xlfn.XLOOKUP(A2396,'TAZs by City - CCAG Model'!$A:$A,'TAZs by City - CCAG Model'!$B:$B,"Unknown")</f>
        <v>Richmond</v>
      </c>
      <c r="C2396" s="82">
        <f>_xlfn.XLOOKUP(A2396,'TAZs by City - CCAG Model'!$A:$A,'TAZs by City - CCAG Model'!$C:$C,999)</f>
        <v>5</v>
      </c>
      <c r="D2396" s="82" t="str">
        <f t="shared" si="296"/>
        <v>NO</v>
      </c>
      <c r="E2396" s="27">
        <v>12924.92</v>
      </c>
      <c r="F2396" s="27">
        <v>9029.9</v>
      </c>
      <c r="G2396" s="27">
        <v>2157.42</v>
      </c>
      <c r="H2396" s="27">
        <v>449.7</v>
      </c>
      <c r="I2396" s="27">
        <v>2732.84</v>
      </c>
      <c r="J2396" s="27">
        <v>29485.5</v>
      </c>
      <c r="K2396" s="47">
        <f t="shared" si="297"/>
        <v>0.43834834070984041</v>
      </c>
      <c r="L2396" s="47">
        <f t="shared" si="298"/>
        <v>0.30624883417272897</v>
      </c>
      <c r="M2396" s="84">
        <f t="shared" si="299"/>
        <v>0.74459717488256938</v>
      </c>
      <c r="N2396" s="47">
        <f t="shared" si="300"/>
        <v>7.3168845703820526E-2</v>
      </c>
      <c r="O2396" s="47">
        <f t="shared" si="301"/>
        <v>1.5251564328229128E-2</v>
      </c>
      <c r="P2396" s="47">
        <f t="shared" si="302"/>
        <v>9.2684200708822981E-2</v>
      </c>
      <c r="Q2396" s="47">
        <f t="shared" si="303"/>
        <v>1</v>
      </c>
    </row>
    <row r="2397" spans="1:17" x14ac:dyDescent="0.35">
      <c r="A2397" s="82">
        <v>2394</v>
      </c>
      <c r="B2397" s="83" t="str">
        <f>_xlfn.XLOOKUP(A2397,'TAZs by City - CCAG Model'!$A:$A,'TAZs by City - CCAG Model'!$B:$B,"Unknown")</f>
        <v>Richmond</v>
      </c>
      <c r="C2397" s="82">
        <f>_xlfn.XLOOKUP(A2397,'TAZs by City - CCAG Model'!$A:$A,'TAZs by City - CCAG Model'!$C:$C,999)</f>
        <v>5</v>
      </c>
      <c r="D2397" s="82" t="str">
        <f t="shared" si="296"/>
        <v>NO</v>
      </c>
      <c r="E2397" s="27">
        <v>21351.58</v>
      </c>
      <c r="F2397" s="27">
        <v>8740.68</v>
      </c>
      <c r="G2397" s="27">
        <v>1025.5999999999999</v>
      </c>
      <c r="H2397" s="27">
        <v>328.36</v>
      </c>
      <c r="I2397" s="27">
        <v>1305.48</v>
      </c>
      <c r="J2397" s="27">
        <v>33809.019999999997</v>
      </c>
      <c r="K2397" s="47">
        <f t="shared" si="297"/>
        <v>0.63153501639503318</v>
      </c>
      <c r="L2397" s="47">
        <f t="shared" si="298"/>
        <v>0.258531007405716</v>
      </c>
      <c r="M2397" s="84">
        <f t="shared" si="299"/>
        <v>0.89006602380074917</v>
      </c>
      <c r="N2397" s="47">
        <f t="shared" si="300"/>
        <v>3.0335099923038289E-2</v>
      </c>
      <c r="O2397" s="47">
        <f t="shared" si="301"/>
        <v>9.7122010635031734E-3</v>
      </c>
      <c r="P2397" s="47">
        <f t="shared" si="302"/>
        <v>3.8613364125904867E-2</v>
      </c>
      <c r="Q2397" s="47">
        <f t="shared" si="303"/>
        <v>1</v>
      </c>
    </row>
    <row r="2398" spans="1:17" x14ac:dyDescent="0.35">
      <c r="A2398" s="82">
        <v>2395</v>
      </c>
      <c r="B2398" s="83" t="str">
        <f>_xlfn.XLOOKUP(A2398,'TAZs by City - CCAG Model'!$A:$A,'TAZs by City - CCAG Model'!$B:$B,"Unknown")</f>
        <v>Richmond</v>
      </c>
      <c r="C2398" s="82">
        <f>_xlfn.XLOOKUP(A2398,'TAZs by City - CCAG Model'!$A:$A,'TAZs by City - CCAG Model'!$C:$C,999)</f>
        <v>5</v>
      </c>
      <c r="D2398" s="82" t="str">
        <f t="shared" si="296"/>
        <v>NO</v>
      </c>
      <c r="E2398" s="27">
        <v>12841.82</v>
      </c>
      <c r="F2398" s="27">
        <v>8881.26</v>
      </c>
      <c r="G2398" s="27">
        <v>1838.56</v>
      </c>
      <c r="H2398" s="27">
        <v>416.2</v>
      </c>
      <c r="I2398" s="27">
        <v>2783.08</v>
      </c>
      <c r="J2398" s="27">
        <v>28632.58</v>
      </c>
      <c r="K2398" s="47">
        <f t="shared" si="297"/>
        <v>0.44850376738666231</v>
      </c>
      <c r="L2398" s="47">
        <f t="shared" si="298"/>
        <v>0.31018022127241063</v>
      </c>
      <c r="M2398" s="84">
        <f t="shared" si="299"/>
        <v>0.75868398865907305</v>
      </c>
      <c r="N2398" s="47">
        <f t="shared" si="300"/>
        <v>6.4212166699612813E-2</v>
      </c>
      <c r="O2398" s="47">
        <f t="shared" si="301"/>
        <v>1.4535888837121907E-2</v>
      </c>
      <c r="P2398" s="47">
        <f t="shared" si="302"/>
        <v>9.7199763346509455E-2</v>
      </c>
      <c r="Q2398" s="47">
        <f t="shared" si="303"/>
        <v>1</v>
      </c>
    </row>
    <row r="2399" spans="1:17" x14ac:dyDescent="0.35">
      <c r="A2399" s="82">
        <v>2396</v>
      </c>
      <c r="B2399" s="83" t="str">
        <f>_xlfn.XLOOKUP(A2399,'TAZs by City - CCAG Model'!$A:$A,'TAZs by City - CCAG Model'!$B:$B,"Unknown")</f>
        <v>Richmond</v>
      </c>
      <c r="C2399" s="82">
        <f>_xlfn.XLOOKUP(A2399,'TAZs by City - CCAG Model'!$A:$A,'TAZs by City - CCAG Model'!$C:$C,999)</f>
        <v>5</v>
      </c>
      <c r="D2399" s="82" t="str">
        <f t="shared" si="296"/>
        <v>NO</v>
      </c>
      <c r="E2399" s="27">
        <v>5785.76</v>
      </c>
      <c r="F2399" s="27">
        <v>5559.34</v>
      </c>
      <c r="G2399" s="27">
        <v>817.26</v>
      </c>
      <c r="H2399" s="27">
        <v>235.1</v>
      </c>
      <c r="I2399" s="27">
        <v>1249.24</v>
      </c>
      <c r="J2399" s="27">
        <v>14494.5</v>
      </c>
      <c r="K2399" s="47">
        <f t="shared" si="297"/>
        <v>0.3991693400945186</v>
      </c>
      <c r="L2399" s="47">
        <f t="shared" si="298"/>
        <v>0.38354824243678637</v>
      </c>
      <c r="M2399" s="84">
        <f t="shared" si="299"/>
        <v>0.78271758253130497</v>
      </c>
      <c r="N2399" s="47">
        <f t="shared" si="300"/>
        <v>5.6384145710441889E-2</v>
      </c>
      <c r="O2399" s="47">
        <f t="shared" si="301"/>
        <v>1.6219945496567661E-2</v>
      </c>
      <c r="P2399" s="47">
        <f t="shared" si="302"/>
        <v>8.6187174445479325E-2</v>
      </c>
      <c r="Q2399" s="47">
        <f t="shared" si="303"/>
        <v>1</v>
      </c>
    </row>
    <row r="2400" spans="1:17" x14ac:dyDescent="0.35">
      <c r="A2400" s="82">
        <v>2397</v>
      </c>
      <c r="B2400" s="83" t="str">
        <f>_xlfn.XLOOKUP(A2400,'TAZs by City - CCAG Model'!$A:$A,'TAZs by City - CCAG Model'!$B:$B,"Unknown")</f>
        <v>Richmond</v>
      </c>
      <c r="C2400" s="82">
        <f>_xlfn.XLOOKUP(A2400,'TAZs by City - CCAG Model'!$A:$A,'TAZs by City - CCAG Model'!$C:$C,999)</f>
        <v>5</v>
      </c>
      <c r="D2400" s="82" t="str">
        <f t="shared" si="296"/>
        <v>NO</v>
      </c>
      <c r="E2400" s="27">
        <v>13191.46</v>
      </c>
      <c r="F2400" s="27">
        <v>9526.64</v>
      </c>
      <c r="G2400" s="27">
        <v>1651.52</v>
      </c>
      <c r="H2400" s="27">
        <v>466.24</v>
      </c>
      <c r="I2400" s="27">
        <v>5933.32</v>
      </c>
      <c r="J2400" s="27">
        <v>32456.62</v>
      </c>
      <c r="K2400" s="47">
        <f t="shared" si="297"/>
        <v>0.40643357194926644</v>
      </c>
      <c r="L2400" s="47">
        <f t="shared" si="298"/>
        <v>0.29351916496542152</v>
      </c>
      <c r="M2400" s="84">
        <f t="shared" si="299"/>
        <v>0.69995273691468796</v>
      </c>
      <c r="N2400" s="47">
        <f t="shared" si="300"/>
        <v>5.0883918288472427E-2</v>
      </c>
      <c r="O2400" s="47">
        <f t="shared" si="301"/>
        <v>1.436502014072938E-2</v>
      </c>
      <c r="P2400" s="47">
        <f t="shared" si="302"/>
        <v>0.18280769839866259</v>
      </c>
      <c r="Q2400" s="47">
        <f t="shared" si="303"/>
        <v>1</v>
      </c>
    </row>
    <row r="2401" spans="1:17" x14ac:dyDescent="0.35">
      <c r="A2401" s="82">
        <v>2398</v>
      </c>
      <c r="B2401" s="83" t="str">
        <f>_xlfn.XLOOKUP(A2401,'TAZs by City - CCAG Model'!$A:$A,'TAZs by City - CCAG Model'!$B:$B,"Unknown")</f>
        <v>San Pablo</v>
      </c>
      <c r="C2401" s="82">
        <f>_xlfn.XLOOKUP(A2401,'TAZs by City - CCAG Model'!$A:$A,'TAZs by City - CCAG Model'!$C:$C,999)</f>
        <v>5</v>
      </c>
      <c r="D2401" s="82" t="str">
        <f t="shared" si="296"/>
        <v>NO</v>
      </c>
      <c r="E2401" s="27">
        <v>28782.2</v>
      </c>
      <c r="F2401" s="27">
        <v>15015.02</v>
      </c>
      <c r="G2401" s="27">
        <v>2491.96</v>
      </c>
      <c r="H2401" s="27">
        <v>662.94</v>
      </c>
      <c r="I2401" s="27">
        <v>4524.5200000000004</v>
      </c>
      <c r="J2401" s="27">
        <v>54000.62</v>
      </c>
      <c r="K2401" s="47">
        <f t="shared" si="297"/>
        <v>0.53299758410181219</v>
      </c>
      <c r="L2401" s="47">
        <f t="shared" si="298"/>
        <v>0.2780527334686157</v>
      </c>
      <c r="M2401" s="84">
        <f t="shared" si="299"/>
        <v>0.81105031757042789</v>
      </c>
      <c r="N2401" s="47">
        <f t="shared" si="300"/>
        <v>4.6146877572887122E-2</v>
      </c>
      <c r="O2401" s="47">
        <f t="shared" si="301"/>
        <v>1.2276525713964025E-2</v>
      </c>
      <c r="P2401" s="47">
        <f t="shared" si="302"/>
        <v>8.3786445414885988E-2</v>
      </c>
      <c r="Q2401" s="47">
        <f t="shared" si="303"/>
        <v>1</v>
      </c>
    </row>
    <row r="2402" spans="1:17" x14ac:dyDescent="0.35">
      <c r="A2402" s="82">
        <v>2399</v>
      </c>
      <c r="B2402" s="83" t="str">
        <f>_xlfn.XLOOKUP(A2402,'TAZs by City - CCAG Model'!$A:$A,'TAZs by City - CCAG Model'!$B:$B,"Unknown")</f>
        <v>San Pablo</v>
      </c>
      <c r="C2402" s="82">
        <f>_xlfn.XLOOKUP(A2402,'TAZs by City - CCAG Model'!$A:$A,'TAZs by City - CCAG Model'!$C:$C,999)</f>
        <v>5</v>
      </c>
      <c r="D2402" s="82" t="str">
        <f t="shared" si="296"/>
        <v>NO</v>
      </c>
      <c r="E2402" s="27">
        <v>12498.68</v>
      </c>
      <c r="F2402" s="27">
        <v>11233.96</v>
      </c>
      <c r="G2402" s="27">
        <v>1518.56</v>
      </c>
      <c r="H2402" s="27">
        <v>508.76</v>
      </c>
      <c r="I2402" s="27">
        <v>3225.92</v>
      </c>
      <c r="J2402" s="27">
        <v>30532.639999999999</v>
      </c>
      <c r="K2402" s="47">
        <f t="shared" si="297"/>
        <v>0.40935471023796177</v>
      </c>
      <c r="L2402" s="47">
        <f t="shared" si="298"/>
        <v>0.36793280895461378</v>
      </c>
      <c r="M2402" s="84">
        <f t="shared" si="299"/>
        <v>0.77728751919257555</v>
      </c>
      <c r="N2402" s="47">
        <f t="shared" si="300"/>
        <v>4.9735627184547423E-2</v>
      </c>
      <c r="O2402" s="47">
        <f t="shared" si="301"/>
        <v>1.6662823784644891E-2</v>
      </c>
      <c r="P2402" s="47">
        <f t="shared" si="302"/>
        <v>0.10565480089504216</v>
      </c>
      <c r="Q2402" s="47">
        <f t="shared" si="303"/>
        <v>1</v>
      </c>
    </row>
    <row r="2403" spans="1:17" x14ac:dyDescent="0.35">
      <c r="A2403" s="82">
        <v>2400</v>
      </c>
      <c r="B2403" s="83" t="str">
        <f>_xlfn.XLOOKUP(A2403,'TAZs by City - CCAG Model'!$A:$A,'TAZs by City - CCAG Model'!$B:$B,"Unknown")</f>
        <v>Unincorporated</v>
      </c>
      <c r="C2403" s="82">
        <f>_xlfn.XLOOKUP(A2403,'TAZs by City - CCAG Model'!$A:$A,'TAZs by City - CCAG Model'!$C:$C,999)</f>
        <v>5</v>
      </c>
      <c r="D2403" s="82" t="str">
        <f t="shared" si="296"/>
        <v>NO</v>
      </c>
      <c r="E2403" s="27">
        <v>11202.56</v>
      </c>
      <c r="F2403" s="27">
        <v>8210.08</v>
      </c>
      <c r="G2403" s="27">
        <v>499.52</v>
      </c>
      <c r="H2403" s="27">
        <v>374.58</v>
      </c>
      <c r="I2403" s="27">
        <v>1543.82</v>
      </c>
      <c r="J2403" s="27">
        <v>22353.46</v>
      </c>
      <c r="K2403" s="47">
        <f t="shared" si="297"/>
        <v>0.5011555258112167</v>
      </c>
      <c r="L2403" s="47">
        <f t="shared" si="298"/>
        <v>0.36728452776438192</v>
      </c>
      <c r="M2403" s="84">
        <f t="shared" si="299"/>
        <v>0.86844005357559861</v>
      </c>
      <c r="N2403" s="47">
        <f t="shared" si="300"/>
        <v>2.234642869604974E-2</v>
      </c>
      <c r="O2403" s="47">
        <f t="shared" si="301"/>
        <v>1.675713737381148E-2</v>
      </c>
      <c r="P2403" s="47">
        <f t="shared" si="302"/>
        <v>6.9064028566494851E-2</v>
      </c>
      <c r="Q2403" s="47">
        <f t="shared" si="303"/>
        <v>1</v>
      </c>
    </row>
    <row r="2404" spans="1:17" x14ac:dyDescent="0.35">
      <c r="A2404" s="82">
        <v>2401</v>
      </c>
      <c r="B2404" s="83" t="str">
        <f>_xlfn.XLOOKUP(A2404,'TAZs by City - CCAG Model'!$A:$A,'TAZs by City - CCAG Model'!$B:$B,"Unknown")</f>
        <v>Richmond</v>
      </c>
      <c r="C2404" s="82">
        <f>_xlfn.XLOOKUP(A2404,'TAZs by City - CCAG Model'!$A:$A,'TAZs by City - CCAG Model'!$C:$C,999)</f>
        <v>5</v>
      </c>
      <c r="D2404" s="82" t="str">
        <f t="shared" si="296"/>
        <v>NO</v>
      </c>
      <c r="E2404" s="27">
        <v>40387.760000000002</v>
      </c>
      <c r="F2404" s="27">
        <v>20709.5</v>
      </c>
      <c r="G2404" s="27">
        <v>2537.1</v>
      </c>
      <c r="H2404" s="27">
        <v>849.34</v>
      </c>
      <c r="I2404" s="27">
        <v>7877.88</v>
      </c>
      <c r="J2404" s="27">
        <v>74929.56</v>
      </c>
      <c r="K2404" s="47">
        <f t="shared" si="297"/>
        <v>0.53900970458120934</v>
      </c>
      <c r="L2404" s="47">
        <f t="shared" si="298"/>
        <v>0.27638624863138128</v>
      </c>
      <c r="M2404" s="84">
        <f t="shared" si="299"/>
        <v>0.81539595321259062</v>
      </c>
      <c r="N2404" s="47">
        <f t="shared" si="300"/>
        <v>3.3859801125216804E-2</v>
      </c>
      <c r="O2404" s="47">
        <f t="shared" si="301"/>
        <v>1.1335179333763604E-2</v>
      </c>
      <c r="P2404" s="47">
        <f t="shared" si="302"/>
        <v>0.10513714480640218</v>
      </c>
      <c r="Q2404" s="47">
        <f t="shared" si="303"/>
        <v>1</v>
      </c>
    </row>
    <row r="2405" spans="1:17" x14ac:dyDescent="0.35">
      <c r="A2405" s="82">
        <v>2402</v>
      </c>
      <c r="B2405" s="83" t="str">
        <f>_xlfn.XLOOKUP(A2405,'TAZs by City - CCAG Model'!$A:$A,'TAZs by City - CCAG Model'!$B:$B,"Unknown")</f>
        <v>San Pablo</v>
      </c>
      <c r="C2405" s="82">
        <f>_xlfn.XLOOKUP(A2405,'TAZs by City - CCAG Model'!$A:$A,'TAZs by City - CCAG Model'!$C:$C,999)</f>
        <v>5</v>
      </c>
      <c r="D2405" s="82" t="str">
        <f t="shared" si="296"/>
        <v>NO</v>
      </c>
      <c r="E2405" s="27">
        <v>7899.14</v>
      </c>
      <c r="F2405" s="27">
        <v>6000.82</v>
      </c>
      <c r="G2405" s="27">
        <v>750.46</v>
      </c>
      <c r="H2405" s="27">
        <v>254.82</v>
      </c>
      <c r="I2405" s="27">
        <v>897.84</v>
      </c>
      <c r="J2405" s="27">
        <v>16582.400000000001</v>
      </c>
      <c r="K2405" s="47">
        <f t="shared" si="297"/>
        <v>0.47635686028560398</v>
      </c>
      <c r="L2405" s="47">
        <f t="shared" si="298"/>
        <v>0.36187885951370125</v>
      </c>
      <c r="M2405" s="84">
        <f t="shared" si="299"/>
        <v>0.83823571979930511</v>
      </c>
      <c r="N2405" s="47">
        <f t="shared" si="300"/>
        <v>4.5256416441528363E-2</v>
      </c>
      <c r="O2405" s="47">
        <f t="shared" si="301"/>
        <v>1.5366895021227324E-2</v>
      </c>
      <c r="P2405" s="47">
        <f t="shared" si="302"/>
        <v>5.4144152836742565E-2</v>
      </c>
      <c r="Q2405" s="47">
        <f t="shared" si="303"/>
        <v>1</v>
      </c>
    </row>
    <row r="2406" spans="1:17" x14ac:dyDescent="0.35">
      <c r="A2406" s="82">
        <v>2403</v>
      </c>
      <c r="B2406" s="83" t="str">
        <f>_xlfn.XLOOKUP(A2406,'TAZs by City - CCAG Model'!$A:$A,'TAZs by City - CCAG Model'!$B:$B,"Unknown")</f>
        <v>San Pablo</v>
      </c>
      <c r="C2406" s="82">
        <f>_xlfn.XLOOKUP(A2406,'TAZs by City - CCAG Model'!$A:$A,'TAZs by City - CCAG Model'!$C:$C,999)</f>
        <v>5</v>
      </c>
      <c r="D2406" s="82" t="str">
        <f t="shared" si="296"/>
        <v>NO</v>
      </c>
      <c r="E2406" s="27">
        <v>9438.2999999999993</v>
      </c>
      <c r="F2406" s="27">
        <v>7856.4</v>
      </c>
      <c r="G2406" s="27">
        <v>1330.32</v>
      </c>
      <c r="H2406" s="27">
        <v>331</v>
      </c>
      <c r="I2406" s="27">
        <v>2081.38</v>
      </c>
      <c r="J2406" s="27">
        <v>22399.72</v>
      </c>
      <c r="K2406" s="47">
        <f t="shared" si="297"/>
        <v>0.42135794554574785</v>
      </c>
      <c r="L2406" s="47">
        <f t="shared" si="298"/>
        <v>0.3507365270637311</v>
      </c>
      <c r="M2406" s="84">
        <f t="shared" si="299"/>
        <v>0.77209447260947883</v>
      </c>
      <c r="N2406" s="47">
        <f t="shared" si="300"/>
        <v>5.939002808963683E-2</v>
      </c>
      <c r="O2406" s="47">
        <f t="shared" si="301"/>
        <v>1.4776970426416043E-2</v>
      </c>
      <c r="P2406" s="47">
        <f t="shared" si="302"/>
        <v>9.291991149889374E-2</v>
      </c>
      <c r="Q2406" s="47">
        <f t="shared" si="303"/>
        <v>1</v>
      </c>
    </row>
    <row r="2407" spans="1:17" x14ac:dyDescent="0.35">
      <c r="A2407" s="82">
        <v>2404</v>
      </c>
      <c r="B2407" s="83" t="str">
        <f>_xlfn.XLOOKUP(A2407,'TAZs by City - CCAG Model'!$A:$A,'TAZs by City - CCAG Model'!$B:$B,"Unknown")</f>
        <v>San Pablo</v>
      </c>
      <c r="C2407" s="82">
        <f>_xlfn.XLOOKUP(A2407,'TAZs by City - CCAG Model'!$A:$A,'TAZs by City - CCAG Model'!$C:$C,999)</f>
        <v>5</v>
      </c>
      <c r="D2407" s="82" t="str">
        <f t="shared" si="296"/>
        <v>NO</v>
      </c>
      <c r="E2407" s="27">
        <v>15039.32</v>
      </c>
      <c r="F2407" s="27">
        <v>8749.9</v>
      </c>
      <c r="G2407" s="27">
        <v>1895.98</v>
      </c>
      <c r="H2407" s="27">
        <v>541.5</v>
      </c>
      <c r="I2407" s="27">
        <v>3212.98</v>
      </c>
      <c r="J2407" s="27">
        <v>31368.14</v>
      </c>
      <c r="K2407" s="47">
        <f t="shared" si="297"/>
        <v>0.47944570510078061</v>
      </c>
      <c r="L2407" s="47">
        <f t="shared" si="298"/>
        <v>0.27894226434847585</v>
      </c>
      <c r="M2407" s="84">
        <f t="shared" si="299"/>
        <v>0.75838796944925657</v>
      </c>
      <c r="N2407" s="47">
        <f t="shared" si="300"/>
        <v>6.0442856988013952E-2</v>
      </c>
      <c r="O2407" s="47">
        <f t="shared" si="301"/>
        <v>1.7262738562120676E-2</v>
      </c>
      <c r="P2407" s="47">
        <f t="shared" si="302"/>
        <v>0.10242813249367033</v>
      </c>
      <c r="Q2407" s="47">
        <f t="shared" si="303"/>
        <v>1</v>
      </c>
    </row>
    <row r="2408" spans="1:17" x14ac:dyDescent="0.35">
      <c r="A2408" s="82">
        <v>2405</v>
      </c>
      <c r="B2408" s="83" t="str">
        <f>_xlfn.XLOOKUP(A2408,'TAZs by City - CCAG Model'!$A:$A,'TAZs by City - CCAG Model'!$B:$B,"Unknown")</f>
        <v>Richmond</v>
      </c>
      <c r="C2408" s="82">
        <f>_xlfn.XLOOKUP(A2408,'TAZs by City - CCAG Model'!$A:$A,'TAZs by City - CCAG Model'!$C:$C,999)</f>
        <v>5</v>
      </c>
      <c r="D2408" s="82" t="str">
        <f t="shared" si="296"/>
        <v>NO</v>
      </c>
      <c r="E2408" s="27">
        <v>8671.0400000000009</v>
      </c>
      <c r="F2408" s="27">
        <v>6054.08</v>
      </c>
      <c r="G2408" s="27">
        <v>839.42</v>
      </c>
      <c r="H2408" s="27">
        <v>273.02</v>
      </c>
      <c r="I2408" s="27">
        <v>2606.7600000000002</v>
      </c>
      <c r="J2408" s="27">
        <v>19312.68</v>
      </c>
      <c r="K2408" s="47">
        <f t="shared" si="297"/>
        <v>0.44898170528378251</v>
      </c>
      <c r="L2408" s="47">
        <f t="shared" si="298"/>
        <v>0.31347694882326016</v>
      </c>
      <c r="M2408" s="84">
        <f t="shared" si="299"/>
        <v>0.76245865410704261</v>
      </c>
      <c r="N2408" s="47">
        <f t="shared" si="300"/>
        <v>4.3464708160648853E-2</v>
      </c>
      <c r="O2408" s="47">
        <f t="shared" si="301"/>
        <v>1.4136826168092672E-2</v>
      </c>
      <c r="P2408" s="47">
        <f t="shared" si="302"/>
        <v>0.13497660604328349</v>
      </c>
      <c r="Q2408" s="47">
        <f t="shared" si="303"/>
        <v>1</v>
      </c>
    </row>
    <row r="2409" spans="1:17" x14ac:dyDescent="0.35">
      <c r="A2409" s="82">
        <v>2406</v>
      </c>
      <c r="B2409" s="83" t="str">
        <f>_xlfn.XLOOKUP(A2409,'TAZs by City - CCAG Model'!$A:$A,'TAZs by City - CCAG Model'!$B:$B,"Unknown")</f>
        <v>Unincorporated</v>
      </c>
      <c r="C2409" s="82">
        <f>_xlfn.XLOOKUP(A2409,'TAZs by City - CCAG Model'!$A:$A,'TAZs by City - CCAG Model'!$C:$C,999)</f>
        <v>5</v>
      </c>
      <c r="D2409" s="82" t="str">
        <f t="shared" si="296"/>
        <v>NO</v>
      </c>
      <c r="E2409" s="27">
        <v>26045.78</v>
      </c>
      <c r="F2409" s="27">
        <v>14288.46</v>
      </c>
      <c r="G2409" s="27">
        <v>1614.98</v>
      </c>
      <c r="H2409" s="27">
        <v>575.28</v>
      </c>
      <c r="I2409" s="27">
        <v>2157.58</v>
      </c>
      <c r="J2409" s="27">
        <v>46328.74</v>
      </c>
      <c r="K2409" s="47">
        <f t="shared" si="297"/>
        <v>0.56219487082964048</v>
      </c>
      <c r="L2409" s="47">
        <f t="shared" si="298"/>
        <v>0.30841460398016435</v>
      </c>
      <c r="M2409" s="84">
        <f t="shared" si="299"/>
        <v>0.87060947480980488</v>
      </c>
      <c r="N2409" s="47">
        <f t="shared" si="300"/>
        <v>3.4859139272943748E-2</v>
      </c>
      <c r="O2409" s="47">
        <f t="shared" si="301"/>
        <v>1.2417346122514879E-2</v>
      </c>
      <c r="P2409" s="47">
        <f t="shared" si="302"/>
        <v>4.6571091724057247E-2</v>
      </c>
      <c r="Q2409" s="47">
        <f t="shared" si="303"/>
        <v>1</v>
      </c>
    </row>
    <row r="2410" spans="1:17" x14ac:dyDescent="0.35">
      <c r="A2410" s="82">
        <v>2407</v>
      </c>
      <c r="B2410" s="83" t="str">
        <f>_xlfn.XLOOKUP(A2410,'TAZs by City - CCAG Model'!$A:$A,'TAZs by City - CCAG Model'!$B:$B,"Unknown")</f>
        <v>San Pablo</v>
      </c>
      <c r="C2410" s="82">
        <f>_xlfn.XLOOKUP(A2410,'TAZs by City - CCAG Model'!$A:$A,'TAZs by City - CCAG Model'!$C:$C,999)</f>
        <v>5</v>
      </c>
      <c r="D2410" s="82" t="str">
        <f t="shared" si="296"/>
        <v>NO</v>
      </c>
      <c r="E2410" s="27">
        <v>5907.96</v>
      </c>
      <c r="F2410" s="27">
        <v>3798.28</v>
      </c>
      <c r="G2410" s="27">
        <v>472.42</v>
      </c>
      <c r="H2410" s="27">
        <v>159.9</v>
      </c>
      <c r="I2410" s="27">
        <v>582.98</v>
      </c>
      <c r="J2410" s="27">
        <v>11425.74</v>
      </c>
      <c r="K2410" s="47">
        <f t="shared" si="297"/>
        <v>0.51707460523344662</v>
      </c>
      <c r="L2410" s="47">
        <f t="shared" si="298"/>
        <v>0.33243185999331337</v>
      </c>
      <c r="M2410" s="84">
        <f t="shared" si="299"/>
        <v>0.84950646522675988</v>
      </c>
      <c r="N2410" s="47">
        <f t="shared" si="300"/>
        <v>4.1346993717693563E-2</v>
      </c>
      <c r="O2410" s="47">
        <f t="shared" si="301"/>
        <v>1.3994717191184117E-2</v>
      </c>
      <c r="P2410" s="47">
        <f t="shared" si="302"/>
        <v>5.1023391045131435E-2</v>
      </c>
      <c r="Q2410" s="47">
        <f t="shared" si="303"/>
        <v>1</v>
      </c>
    </row>
    <row r="2411" spans="1:17" x14ac:dyDescent="0.35">
      <c r="A2411" s="82">
        <v>2408</v>
      </c>
      <c r="B2411" s="83" t="str">
        <f>_xlfn.XLOOKUP(A2411,'TAZs by City - CCAG Model'!$A:$A,'TAZs by City - CCAG Model'!$B:$B,"Unknown")</f>
        <v>Unincorporated</v>
      </c>
      <c r="C2411" s="82">
        <f>_xlfn.XLOOKUP(A2411,'TAZs by City - CCAG Model'!$A:$A,'TAZs by City - CCAG Model'!$C:$C,999)</f>
        <v>5</v>
      </c>
      <c r="D2411" s="82" t="str">
        <f t="shared" si="296"/>
        <v>NO</v>
      </c>
      <c r="E2411" s="27">
        <v>6005.52</v>
      </c>
      <c r="F2411" s="27">
        <v>3790.14</v>
      </c>
      <c r="G2411" s="27">
        <v>522.20000000000005</v>
      </c>
      <c r="H2411" s="27">
        <v>156.74</v>
      </c>
      <c r="I2411" s="27">
        <v>636</v>
      </c>
      <c r="J2411" s="27">
        <v>11664.52</v>
      </c>
      <c r="K2411" s="47">
        <f t="shared" si="297"/>
        <v>0.51485359020345456</v>
      </c>
      <c r="L2411" s="47">
        <f t="shared" si="298"/>
        <v>0.32492892978022242</v>
      </c>
      <c r="M2411" s="84">
        <f t="shared" si="299"/>
        <v>0.83978251998367692</v>
      </c>
      <c r="N2411" s="47">
        <f t="shared" si="300"/>
        <v>4.4768237355673444E-2</v>
      </c>
      <c r="O2411" s="47">
        <f t="shared" si="301"/>
        <v>1.343732961150566E-2</v>
      </c>
      <c r="P2411" s="47">
        <f t="shared" si="302"/>
        <v>5.4524318188832459E-2</v>
      </c>
      <c r="Q2411" s="47">
        <f t="shared" si="303"/>
        <v>1</v>
      </c>
    </row>
    <row r="2412" spans="1:17" x14ac:dyDescent="0.35">
      <c r="A2412" s="82">
        <v>2409</v>
      </c>
      <c r="B2412" s="83" t="str">
        <f>_xlfn.XLOOKUP(A2412,'TAZs by City - CCAG Model'!$A:$A,'TAZs by City - CCAG Model'!$B:$B,"Unknown")</f>
        <v>Richmond</v>
      </c>
      <c r="C2412" s="82">
        <f>_xlfn.XLOOKUP(A2412,'TAZs by City - CCAG Model'!$A:$A,'TAZs by City - CCAG Model'!$C:$C,999)</f>
        <v>5</v>
      </c>
      <c r="D2412" s="82" t="str">
        <f t="shared" si="296"/>
        <v>NO</v>
      </c>
      <c r="E2412" s="27">
        <v>10856.66</v>
      </c>
      <c r="F2412" s="27">
        <v>7277.92</v>
      </c>
      <c r="G2412" s="27">
        <v>938.82</v>
      </c>
      <c r="H2412" s="27">
        <v>279.27999999999997</v>
      </c>
      <c r="I2412" s="27">
        <v>1094.74</v>
      </c>
      <c r="J2412" s="27">
        <v>21414.6</v>
      </c>
      <c r="K2412" s="47">
        <f t="shared" si="297"/>
        <v>0.50697468082523145</v>
      </c>
      <c r="L2412" s="47">
        <f t="shared" si="298"/>
        <v>0.33985785398746654</v>
      </c>
      <c r="M2412" s="84">
        <f t="shared" si="299"/>
        <v>0.84683253481269805</v>
      </c>
      <c r="N2412" s="47">
        <f t="shared" si="300"/>
        <v>4.38401837998375E-2</v>
      </c>
      <c r="O2412" s="47">
        <f t="shared" si="301"/>
        <v>1.3041569770156809E-2</v>
      </c>
      <c r="P2412" s="47">
        <f t="shared" si="302"/>
        <v>5.1121197687558961E-2</v>
      </c>
      <c r="Q2412" s="47">
        <f t="shared" si="303"/>
        <v>1</v>
      </c>
    </row>
    <row r="2413" spans="1:17" x14ac:dyDescent="0.35">
      <c r="A2413" s="82">
        <v>2410</v>
      </c>
      <c r="B2413" s="83" t="str">
        <f>_xlfn.XLOOKUP(A2413,'TAZs by City - CCAG Model'!$A:$A,'TAZs by City - CCAG Model'!$B:$B,"Unknown")</f>
        <v>Unincorporated</v>
      </c>
      <c r="C2413" s="82">
        <f>_xlfn.XLOOKUP(A2413,'TAZs by City - CCAG Model'!$A:$A,'TAZs by City - CCAG Model'!$C:$C,999)</f>
        <v>5</v>
      </c>
      <c r="D2413" s="82" t="str">
        <f t="shared" si="296"/>
        <v>NO</v>
      </c>
      <c r="E2413" s="27">
        <v>11202.34</v>
      </c>
      <c r="F2413" s="27">
        <v>6925.76</v>
      </c>
      <c r="G2413" s="27">
        <v>650.64</v>
      </c>
      <c r="H2413" s="27">
        <v>263.74</v>
      </c>
      <c r="I2413" s="27">
        <v>1426.4</v>
      </c>
      <c r="J2413" s="27">
        <v>21147.24</v>
      </c>
      <c r="K2413" s="47">
        <f t="shared" si="297"/>
        <v>0.52973059368503872</v>
      </c>
      <c r="L2413" s="47">
        <f t="shared" si="298"/>
        <v>0.32750183948354489</v>
      </c>
      <c r="M2413" s="84">
        <f t="shared" si="299"/>
        <v>0.85723243316858355</v>
      </c>
      <c r="N2413" s="47">
        <f t="shared" si="300"/>
        <v>3.0767135569464379E-2</v>
      </c>
      <c r="O2413" s="47">
        <f t="shared" si="301"/>
        <v>1.247160385941617E-2</v>
      </c>
      <c r="P2413" s="47">
        <f t="shared" si="302"/>
        <v>6.7450882479226607E-2</v>
      </c>
      <c r="Q2413" s="47">
        <f t="shared" si="303"/>
        <v>1</v>
      </c>
    </row>
    <row r="2414" spans="1:17" x14ac:dyDescent="0.35">
      <c r="A2414" s="82">
        <v>2411</v>
      </c>
      <c r="B2414" s="83" t="str">
        <f>_xlfn.XLOOKUP(A2414,'TAZs by City - CCAG Model'!$A:$A,'TAZs by City - CCAG Model'!$B:$B,"Unknown")</f>
        <v>Richmond</v>
      </c>
      <c r="C2414" s="82">
        <f>_xlfn.XLOOKUP(A2414,'TAZs by City - CCAG Model'!$A:$A,'TAZs by City - CCAG Model'!$C:$C,999)</f>
        <v>5</v>
      </c>
      <c r="D2414" s="82" t="str">
        <f t="shared" si="296"/>
        <v>NO</v>
      </c>
      <c r="E2414" s="27">
        <v>22978.12</v>
      </c>
      <c r="F2414" s="27">
        <v>14524.96</v>
      </c>
      <c r="G2414" s="27">
        <v>1368.56</v>
      </c>
      <c r="H2414" s="27">
        <v>465.7</v>
      </c>
      <c r="I2414" s="27">
        <v>2239.34</v>
      </c>
      <c r="J2414" s="27">
        <v>42974.52</v>
      </c>
      <c r="K2414" s="47">
        <f t="shared" si="297"/>
        <v>0.53469171965155171</v>
      </c>
      <c r="L2414" s="47">
        <f t="shared" si="298"/>
        <v>0.33799004619481499</v>
      </c>
      <c r="M2414" s="84">
        <f t="shared" si="299"/>
        <v>0.8726817658463667</v>
      </c>
      <c r="N2414" s="47">
        <f t="shared" si="300"/>
        <v>3.1845847260190456E-2</v>
      </c>
      <c r="O2414" s="47">
        <f t="shared" si="301"/>
        <v>1.083665390561663E-2</v>
      </c>
      <c r="P2414" s="47">
        <f t="shared" si="302"/>
        <v>5.2108551765092437E-2</v>
      </c>
      <c r="Q2414" s="47">
        <f t="shared" si="303"/>
        <v>1</v>
      </c>
    </row>
    <row r="2415" spans="1:17" x14ac:dyDescent="0.35">
      <c r="A2415" s="82">
        <v>2412</v>
      </c>
      <c r="B2415" s="83" t="str">
        <f>_xlfn.XLOOKUP(A2415,'TAZs by City - CCAG Model'!$A:$A,'TAZs by City - CCAG Model'!$B:$B,"Unknown")</f>
        <v>Unincorporated</v>
      </c>
      <c r="C2415" s="82">
        <f>_xlfn.XLOOKUP(A2415,'TAZs by City - CCAG Model'!$A:$A,'TAZs by City - CCAG Model'!$C:$C,999)</f>
        <v>5</v>
      </c>
      <c r="D2415" s="82" t="str">
        <f t="shared" si="296"/>
        <v>NO</v>
      </c>
      <c r="E2415" s="27">
        <v>11650.62</v>
      </c>
      <c r="F2415" s="27">
        <v>7920.88</v>
      </c>
      <c r="G2415" s="27">
        <v>948.58</v>
      </c>
      <c r="H2415" s="27">
        <v>291.27999999999997</v>
      </c>
      <c r="I2415" s="27">
        <v>1620.24</v>
      </c>
      <c r="J2415" s="27">
        <v>23409.9</v>
      </c>
      <c r="K2415" s="47">
        <f t="shared" si="297"/>
        <v>0.49767918701062369</v>
      </c>
      <c r="L2415" s="47">
        <f t="shared" si="298"/>
        <v>0.33835599468600891</v>
      </c>
      <c r="M2415" s="84">
        <f t="shared" si="299"/>
        <v>0.8360351816966326</v>
      </c>
      <c r="N2415" s="47">
        <f t="shared" si="300"/>
        <v>4.0520463564560294E-2</v>
      </c>
      <c r="O2415" s="47">
        <f t="shared" si="301"/>
        <v>1.2442599071333067E-2</v>
      </c>
      <c r="P2415" s="47">
        <f t="shared" si="302"/>
        <v>6.9211743749439336E-2</v>
      </c>
      <c r="Q2415" s="47">
        <f t="shared" si="303"/>
        <v>1</v>
      </c>
    </row>
    <row r="2416" spans="1:17" x14ac:dyDescent="0.35">
      <c r="A2416" s="82">
        <v>2413</v>
      </c>
      <c r="B2416" s="83" t="str">
        <f>_xlfn.XLOOKUP(A2416,'TAZs by City - CCAG Model'!$A:$A,'TAZs by City - CCAG Model'!$B:$B,"Unknown")</f>
        <v>Unincorporated</v>
      </c>
      <c r="C2416" s="82">
        <f>_xlfn.XLOOKUP(A2416,'TAZs by City - CCAG Model'!$A:$A,'TAZs by City - CCAG Model'!$C:$C,999)</f>
        <v>5</v>
      </c>
      <c r="D2416" s="82" t="str">
        <f t="shared" si="296"/>
        <v>NO</v>
      </c>
      <c r="E2416" s="27">
        <v>7918.22</v>
      </c>
      <c r="F2416" s="27">
        <v>6078.58</v>
      </c>
      <c r="G2416" s="27">
        <v>907.24</v>
      </c>
      <c r="H2416" s="27">
        <v>214.76</v>
      </c>
      <c r="I2416" s="27">
        <v>1104.18</v>
      </c>
      <c r="J2416" s="27">
        <v>17158.66</v>
      </c>
      <c r="K2416" s="47">
        <f t="shared" si="297"/>
        <v>0.46147076753079785</v>
      </c>
      <c r="L2416" s="47">
        <f t="shared" si="298"/>
        <v>0.35425726717587502</v>
      </c>
      <c r="M2416" s="84">
        <f t="shared" si="299"/>
        <v>0.81572803470667288</v>
      </c>
      <c r="N2416" s="47">
        <f t="shared" si="300"/>
        <v>5.2873592693135713E-2</v>
      </c>
      <c r="O2416" s="47">
        <f t="shared" si="301"/>
        <v>1.2516128881859073E-2</v>
      </c>
      <c r="P2416" s="47">
        <f t="shared" si="302"/>
        <v>6.4351178938215459E-2</v>
      </c>
      <c r="Q2416" s="47">
        <f t="shared" si="303"/>
        <v>1</v>
      </c>
    </row>
    <row r="2417" spans="1:17" x14ac:dyDescent="0.35">
      <c r="A2417" s="82">
        <v>2414</v>
      </c>
      <c r="B2417" s="83" t="str">
        <f>_xlfn.XLOOKUP(A2417,'TAZs by City - CCAG Model'!$A:$A,'TAZs by City - CCAG Model'!$B:$B,"Unknown")</f>
        <v>Pinole</v>
      </c>
      <c r="C2417" s="82">
        <f>_xlfn.XLOOKUP(A2417,'TAZs by City - CCAG Model'!$A:$A,'TAZs by City - CCAG Model'!$C:$C,999)</f>
        <v>5</v>
      </c>
      <c r="D2417" s="82" t="str">
        <f t="shared" si="296"/>
        <v>NO</v>
      </c>
      <c r="E2417" s="27">
        <v>13985.52</v>
      </c>
      <c r="F2417" s="27">
        <v>8302.16</v>
      </c>
      <c r="G2417" s="27">
        <v>1058.46</v>
      </c>
      <c r="H2417" s="27">
        <v>333.34</v>
      </c>
      <c r="I2417" s="27">
        <v>2463.34</v>
      </c>
      <c r="J2417" s="27">
        <v>27231.759999999998</v>
      </c>
      <c r="K2417" s="47">
        <f t="shared" si="297"/>
        <v>0.51357385640884035</v>
      </c>
      <c r="L2417" s="47">
        <f t="shared" si="298"/>
        <v>0.30487048945789769</v>
      </c>
      <c r="M2417" s="84">
        <f t="shared" si="299"/>
        <v>0.81844434586673798</v>
      </c>
      <c r="N2417" s="47">
        <f t="shared" si="300"/>
        <v>3.8868585798347226E-2</v>
      </c>
      <c r="O2417" s="47">
        <f t="shared" si="301"/>
        <v>1.2240854061581036E-2</v>
      </c>
      <c r="P2417" s="47">
        <f t="shared" si="302"/>
        <v>9.0458347165221789E-2</v>
      </c>
      <c r="Q2417" s="47">
        <f t="shared" si="303"/>
        <v>1</v>
      </c>
    </row>
    <row r="2418" spans="1:17" x14ac:dyDescent="0.35">
      <c r="A2418" s="82">
        <v>2415</v>
      </c>
      <c r="B2418" s="83" t="str">
        <f>_xlfn.XLOOKUP(A2418,'TAZs by City - CCAG Model'!$A:$A,'TAZs by City - CCAG Model'!$B:$B,"Unknown")</f>
        <v>Hercules</v>
      </c>
      <c r="C2418" s="82">
        <f>_xlfn.XLOOKUP(A2418,'TAZs by City - CCAG Model'!$A:$A,'TAZs by City - CCAG Model'!$C:$C,999)</f>
        <v>5</v>
      </c>
      <c r="D2418" s="82" t="str">
        <f t="shared" si="296"/>
        <v>NO</v>
      </c>
      <c r="E2418" s="27">
        <v>44506.54</v>
      </c>
      <c r="F2418" s="27">
        <v>25077.82</v>
      </c>
      <c r="G2418" s="27">
        <v>3132.42</v>
      </c>
      <c r="H2418" s="27">
        <v>834.42</v>
      </c>
      <c r="I2418" s="27">
        <v>5990.1</v>
      </c>
      <c r="J2418" s="27">
        <v>82704.56</v>
      </c>
      <c r="K2418" s="47">
        <f t="shared" si="297"/>
        <v>0.53813888859332548</v>
      </c>
      <c r="L2418" s="47">
        <f t="shared" si="298"/>
        <v>0.30322173287663945</v>
      </c>
      <c r="M2418" s="84">
        <f t="shared" si="299"/>
        <v>0.84136062146996493</v>
      </c>
      <c r="N2418" s="47">
        <f t="shared" si="300"/>
        <v>3.7874816092365406E-2</v>
      </c>
      <c r="O2418" s="47">
        <f t="shared" si="301"/>
        <v>1.0089165579261893E-2</v>
      </c>
      <c r="P2418" s="47">
        <f t="shared" si="302"/>
        <v>7.2427687179521916E-2</v>
      </c>
      <c r="Q2418" s="47">
        <f t="shared" si="303"/>
        <v>1</v>
      </c>
    </row>
    <row r="2419" spans="1:17" x14ac:dyDescent="0.35">
      <c r="A2419" s="82">
        <v>2416</v>
      </c>
      <c r="B2419" s="83" t="str">
        <f>_xlfn.XLOOKUP(A2419,'TAZs by City - CCAG Model'!$A:$A,'TAZs by City - CCAG Model'!$B:$B,"Unknown")</f>
        <v>Pinole</v>
      </c>
      <c r="C2419" s="82">
        <f>_xlfn.XLOOKUP(A2419,'TAZs by City - CCAG Model'!$A:$A,'TAZs by City - CCAG Model'!$C:$C,999)</f>
        <v>5</v>
      </c>
      <c r="D2419" s="82" t="str">
        <f t="shared" si="296"/>
        <v>NO</v>
      </c>
      <c r="E2419" s="27">
        <v>13867.76</v>
      </c>
      <c r="F2419" s="27">
        <v>9189.2999999999993</v>
      </c>
      <c r="G2419" s="27">
        <v>848.64</v>
      </c>
      <c r="H2419" s="27">
        <v>244.3</v>
      </c>
      <c r="I2419" s="27">
        <v>694.1</v>
      </c>
      <c r="J2419" s="27">
        <v>25719.200000000001</v>
      </c>
      <c r="K2419" s="47">
        <f t="shared" si="297"/>
        <v>0.539198730909204</v>
      </c>
      <c r="L2419" s="47">
        <f t="shared" si="298"/>
        <v>0.35729338393107091</v>
      </c>
      <c r="M2419" s="84">
        <f t="shared" si="299"/>
        <v>0.8964921148402748</v>
      </c>
      <c r="N2419" s="47">
        <f t="shared" si="300"/>
        <v>3.2996360695511526E-2</v>
      </c>
      <c r="O2419" s="47">
        <f t="shared" si="301"/>
        <v>9.49874024075399E-3</v>
      </c>
      <c r="P2419" s="47">
        <f t="shared" si="302"/>
        <v>2.698762014370587E-2</v>
      </c>
      <c r="Q2419" s="47">
        <f t="shared" si="303"/>
        <v>1</v>
      </c>
    </row>
    <row r="2420" spans="1:17" x14ac:dyDescent="0.35">
      <c r="A2420" s="82">
        <v>2417</v>
      </c>
      <c r="B2420" s="83" t="str">
        <f>_xlfn.XLOOKUP(A2420,'TAZs by City - CCAG Model'!$A:$A,'TAZs by City - CCAG Model'!$B:$B,"Unknown")</f>
        <v>Hercules</v>
      </c>
      <c r="C2420" s="82">
        <f>_xlfn.XLOOKUP(A2420,'TAZs by City - CCAG Model'!$A:$A,'TAZs by City - CCAG Model'!$C:$C,999)</f>
        <v>5</v>
      </c>
      <c r="D2420" s="82" t="str">
        <f t="shared" si="296"/>
        <v>NO</v>
      </c>
      <c r="E2420" s="27">
        <v>10412.799999999999</v>
      </c>
      <c r="F2420" s="27">
        <v>6459.84</v>
      </c>
      <c r="G2420" s="27">
        <v>551.38</v>
      </c>
      <c r="H2420" s="27">
        <v>181.38</v>
      </c>
      <c r="I2420" s="27">
        <v>937.7</v>
      </c>
      <c r="J2420" s="27">
        <v>19119.18</v>
      </c>
      <c r="K2420" s="47">
        <f t="shared" si="297"/>
        <v>0.5446258678457967</v>
      </c>
      <c r="L2420" s="47">
        <f t="shared" si="298"/>
        <v>0.33787223092203744</v>
      </c>
      <c r="M2420" s="84">
        <f t="shared" si="299"/>
        <v>0.88249809876783414</v>
      </c>
      <c r="N2420" s="47">
        <f t="shared" si="300"/>
        <v>2.8839102932238726E-2</v>
      </c>
      <c r="O2420" s="47">
        <f t="shared" si="301"/>
        <v>9.4868085346756503E-3</v>
      </c>
      <c r="P2420" s="47">
        <f t="shared" si="302"/>
        <v>4.9044990423229448E-2</v>
      </c>
      <c r="Q2420" s="47">
        <f t="shared" si="303"/>
        <v>1</v>
      </c>
    </row>
    <row r="2421" spans="1:17" x14ac:dyDescent="0.35">
      <c r="A2421" s="82">
        <v>2418</v>
      </c>
      <c r="B2421" s="83" t="str">
        <f>_xlfn.XLOOKUP(A2421,'TAZs by City - CCAG Model'!$A:$A,'TAZs by City - CCAG Model'!$B:$B,"Unknown")</f>
        <v>Hercules</v>
      </c>
      <c r="C2421" s="82">
        <f>_xlfn.XLOOKUP(A2421,'TAZs by City - CCAG Model'!$A:$A,'TAZs by City - CCAG Model'!$C:$C,999)</f>
        <v>5</v>
      </c>
      <c r="D2421" s="82" t="str">
        <f t="shared" si="296"/>
        <v>NO</v>
      </c>
      <c r="E2421" s="27">
        <v>15388.46</v>
      </c>
      <c r="F2421" s="27">
        <v>9731.32</v>
      </c>
      <c r="G2421" s="27">
        <v>818</v>
      </c>
      <c r="H2421" s="27">
        <v>278.56</v>
      </c>
      <c r="I2421" s="27">
        <v>1453.7</v>
      </c>
      <c r="J2421" s="27">
        <v>28518</v>
      </c>
      <c r="K2421" s="47">
        <f t="shared" si="297"/>
        <v>0.53960516165228978</v>
      </c>
      <c r="L2421" s="47">
        <f t="shared" si="298"/>
        <v>0.34123430815625216</v>
      </c>
      <c r="M2421" s="84">
        <f t="shared" si="299"/>
        <v>0.88083946980854189</v>
      </c>
      <c r="N2421" s="47">
        <f t="shared" si="300"/>
        <v>2.8683638403815135E-2</v>
      </c>
      <c r="O2421" s="47">
        <f t="shared" si="301"/>
        <v>9.7678659092502989E-3</v>
      </c>
      <c r="P2421" s="47">
        <f t="shared" si="302"/>
        <v>5.0974822918858263E-2</v>
      </c>
      <c r="Q2421" s="47">
        <f t="shared" si="303"/>
        <v>1</v>
      </c>
    </row>
    <row r="2422" spans="1:17" x14ac:dyDescent="0.35">
      <c r="A2422" s="82">
        <v>2419</v>
      </c>
      <c r="B2422" s="83" t="str">
        <f>_xlfn.XLOOKUP(A2422,'TAZs by City - CCAG Model'!$A:$A,'TAZs by City - CCAG Model'!$B:$B,"Unknown")</f>
        <v>Unincorporated</v>
      </c>
      <c r="C2422" s="82">
        <f>_xlfn.XLOOKUP(A2422,'TAZs by City - CCAG Model'!$A:$A,'TAZs by City - CCAG Model'!$C:$C,999)</f>
        <v>5</v>
      </c>
      <c r="D2422" s="82" t="str">
        <f t="shared" si="296"/>
        <v>NO</v>
      </c>
      <c r="E2422" s="27">
        <v>14074.24</v>
      </c>
      <c r="F2422" s="27">
        <v>8949.2000000000007</v>
      </c>
      <c r="G2422" s="27">
        <v>137.69999999999999</v>
      </c>
      <c r="H2422" s="27">
        <v>68.34</v>
      </c>
      <c r="I2422" s="27">
        <v>1620.94</v>
      </c>
      <c r="J2422" s="27">
        <v>25006.880000000001</v>
      </c>
      <c r="K2422" s="47">
        <f t="shared" si="297"/>
        <v>0.56281471339087485</v>
      </c>
      <c r="L2422" s="47">
        <f t="shared" si="298"/>
        <v>0.35786951430966202</v>
      </c>
      <c r="M2422" s="84">
        <f t="shared" si="299"/>
        <v>0.92068422770053682</v>
      </c>
      <c r="N2422" s="47">
        <f t="shared" si="300"/>
        <v>5.5064846154338322E-3</v>
      </c>
      <c r="O2422" s="47">
        <f t="shared" si="301"/>
        <v>2.7328479202523466E-3</v>
      </c>
      <c r="P2422" s="47">
        <f t="shared" si="302"/>
        <v>6.481976160160724E-2</v>
      </c>
      <c r="Q2422" s="47">
        <f t="shared" si="303"/>
        <v>1</v>
      </c>
    </row>
    <row r="2423" spans="1:17" x14ac:dyDescent="0.35">
      <c r="A2423" s="82">
        <v>2420</v>
      </c>
      <c r="B2423" s="83" t="str">
        <f>_xlfn.XLOOKUP(A2423,'TAZs by City - CCAG Model'!$A:$A,'TAZs by City - CCAG Model'!$B:$B,"Unknown")</f>
        <v>Unincorporated</v>
      </c>
      <c r="C2423" s="82">
        <f>_xlfn.XLOOKUP(A2423,'TAZs by City - CCAG Model'!$A:$A,'TAZs by City - CCAG Model'!$C:$C,999)</f>
        <v>5</v>
      </c>
      <c r="D2423" s="82" t="str">
        <f t="shared" si="296"/>
        <v>NO</v>
      </c>
      <c r="E2423" s="27">
        <v>8348.8799999999992</v>
      </c>
      <c r="F2423" s="27">
        <v>5462.12</v>
      </c>
      <c r="G2423" s="27">
        <v>427.04</v>
      </c>
      <c r="H2423" s="27">
        <v>116.7</v>
      </c>
      <c r="I2423" s="27">
        <v>291.08</v>
      </c>
      <c r="J2423" s="27">
        <v>15099.02</v>
      </c>
      <c r="K2423" s="47">
        <f t="shared" si="297"/>
        <v>0.5529418465569288</v>
      </c>
      <c r="L2423" s="47">
        <f t="shared" si="298"/>
        <v>0.36175327935190493</v>
      </c>
      <c r="M2423" s="84">
        <f t="shared" si="299"/>
        <v>0.91469512590883384</v>
      </c>
      <c r="N2423" s="47">
        <f t="shared" si="300"/>
        <v>2.8282630263421069E-2</v>
      </c>
      <c r="O2423" s="47">
        <f t="shared" si="301"/>
        <v>7.7289784370111435E-3</v>
      </c>
      <c r="P2423" s="47">
        <f t="shared" si="302"/>
        <v>1.9278072351715539E-2</v>
      </c>
      <c r="Q2423" s="47">
        <f t="shared" si="303"/>
        <v>1</v>
      </c>
    </row>
    <row r="2424" spans="1:17" x14ac:dyDescent="0.35">
      <c r="A2424" s="82">
        <v>2421</v>
      </c>
      <c r="B2424" s="83" t="str">
        <f>_xlfn.XLOOKUP(A2424,'TAZs by City - CCAG Model'!$A:$A,'TAZs by City - CCAG Model'!$B:$B,"Unknown")</f>
        <v>Unincorporated</v>
      </c>
      <c r="C2424" s="82">
        <f>_xlfn.XLOOKUP(A2424,'TAZs by City - CCAG Model'!$A:$A,'TAZs by City - CCAG Model'!$C:$C,999)</f>
        <v>5</v>
      </c>
      <c r="D2424" s="82" t="str">
        <f t="shared" si="296"/>
        <v>NO</v>
      </c>
      <c r="E2424" s="27">
        <v>11846.76</v>
      </c>
      <c r="F2424" s="27">
        <v>7824.46</v>
      </c>
      <c r="G2424" s="27">
        <v>654.24</v>
      </c>
      <c r="H2424" s="27">
        <v>224.9</v>
      </c>
      <c r="I2424" s="27">
        <v>932.98</v>
      </c>
      <c r="J2424" s="27">
        <v>22164.18</v>
      </c>
      <c r="K2424" s="47">
        <f t="shared" si="297"/>
        <v>0.53450026123231265</v>
      </c>
      <c r="L2424" s="47">
        <f t="shared" si="298"/>
        <v>0.35302276014722855</v>
      </c>
      <c r="M2424" s="84">
        <f t="shared" si="299"/>
        <v>0.88752302137954131</v>
      </c>
      <c r="N2424" s="47">
        <f t="shared" si="300"/>
        <v>2.9517897797256654E-2</v>
      </c>
      <c r="O2424" s="47">
        <f t="shared" si="301"/>
        <v>1.0147002957023451E-2</v>
      </c>
      <c r="P2424" s="47">
        <f t="shared" si="302"/>
        <v>4.2094045437277627E-2</v>
      </c>
      <c r="Q2424" s="47">
        <f t="shared" si="303"/>
        <v>1</v>
      </c>
    </row>
    <row r="2425" spans="1:17" x14ac:dyDescent="0.35">
      <c r="A2425" s="82">
        <v>2422</v>
      </c>
      <c r="B2425" s="83" t="str">
        <f>_xlfn.XLOOKUP(A2425,'TAZs by City - CCAG Model'!$A:$A,'TAZs by City - CCAG Model'!$B:$B,"Unknown")</f>
        <v>Unincorporated</v>
      </c>
      <c r="C2425" s="82">
        <f>_xlfn.XLOOKUP(A2425,'TAZs by City - CCAG Model'!$A:$A,'TAZs by City - CCAG Model'!$C:$C,999)</f>
        <v>5</v>
      </c>
      <c r="D2425" s="82" t="str">
        <f t="shared" si="296"/>
        <v>NO</v>
      </c>
      <c r="E2425" s="27">
        <v>9363.3799999999992</v>
      </c>
      <c r="F2425" s="27">
        <v>4842.9399999999996</v>
      </c>
      <c r="G2425" s="27">
        <v>417.56</v>
      </c>
      <c r="H2425" s="27">
        <v>94.3</v>
      </c>
      <c r="I2425" s="27">
        <v>494.28</v>
      </c>
      <c r="J2425" s="27">
        <v>15658.04</v>
      </c>
      <c r="K2425" s="47">
        <f t="shared" si="297"/>
        <v>0.59799183039511961</v>
      </c>
      <c r="L2425" s="47">
        <f t="shared" si="298"/>
        <v>0.30929413898546687</v>
      </c>
      <c r="M2425" s="84">
        <f t="shared" si="299"/>
        <v>0.90728596938058648</v>
      </c>
      <c r="N2425" s="47">
        <f t="shared" si="300"/>
        <v>2.6667450076765672E-2</v>
      </c>
      <c r="O2425" s="47">
        <f t="shared" si="301"/>
        <v>6.0224651361217617E-3</v>
      </c>
      <c r="P2425" s="47">
        <f t="shared" si="302"/>
        <v>3.1567169326429105E-2</v>
      </c>
      <c r="Q2425" s="47">
        <f t="shared" si="303"/>
        <v>1</v>
      </c>
    </row>
    <row r="2426" spans="1:17" x14ac:dyDescent="0.35">
      <c r="A2426" s="82">
        <v>2423</v>
      </c>
      <c r="B2426" s="83" t="str">
        <f>_xlfn.XLOOKUP(A2426,'TAZs by City - CCAG Model'!$A:$A,'TAZs by City - CCAG Model'!$B:$B,"Unknown")</f>
        <v>Unincorporated</v>
      </c>
      <c r="C2426" s="82">
        <f>_xlfn.XLOOKUP(A2426,'TAZs by City - CCAG Model'!$A:$A,'TAZs by City - CCAG Model'!$C:$C,999)</f>
        <v>5</v>
      </c>
      <c r="D2426" s="82" t="str">
        <f t="shared" si="296"/>
        <v>NO</v>
      </c>
      <c r="E2426" s="27">
        <v>13474.4</v>
      </c>
      <c r="F2426" s="27">
        <v>6941.44</v>
      </c>
      <c r="G2426" s="27">
        <v>590.62</v>
      </c>
      <c r="H2426" s="27">
        <v>217.12</v>
      </c>
      <c r="I2426" s="27">
        <v>1534.94</v>
      </c>
      <c r="J2426" s="27">
        <v>23383.62</v>
      </c>
      <c r="K2426" s="47">
        <f t="shared" si="297"/>
        <v>0.5762324225248272</v>
      </c>
      <c r="L2426" s="47">
        <f t="shared" si="298"/>
        <v>0.29685053041402487</v>
      </c>
      <c r="M2426" s="84">
        <f t="shared" si="299"/>
        <v>0.87308295293885207</v>
      </c>
      <c r="N2426" s="47">
        <f t="shared" si="300"/>
        <v>2.5257851436176267E-2</v>
      </c>
      <c r="O2426" s="47">
        <f t="shared" si="301"/>
        <v>9.2851320710822371E-3</v>
      </c>
      <c r="P2426" s="47">
        <f t="shared" si="302"/>
        <v>6.5641675668694582E-2</v>
      </c>
      <c r="Q2426" s="47">
        <f t="shared" si="303"/>
        <v>1</v>
      </c>
    </row>
    <row r="2427" spans="1:17" x14ac:dyDescent="0.35">
      <c r="A2427" s="82">
        <v>2424</v>
      </c>
      <c r="B2427" s="83" t="str">
        <f>_xlfn.XLOOKUP(A2427,'TAZs by City - CCAG Model'!$A:$A,'TAZs by City - CCAG Model'!$B:$B,"Unknown")</f>
        <v>Martinez</v>
      </c>
      <c r="C2427" s="82">
        <f>_xlfn.XLOOKUP(A2427,'TAZs by City - CCAG Model'!$A:$A,'TAZs by City - CCAG Model'!$C:$C,999)</f>
        <v>5</v>
      </c>
      <c r="D2427" s="82" t="str">
        <f t="shared" si="296"/>
        <v>NO</v>
      </c>
      <c r="E2427" s="27">
        <v>9992.76</v>
      </c>
      <c r="F2427" s="27">
        <v>3675.94</v>
      </c>
      <c r="G2427" s="27">
        <v>308.52</v>
      </c>
      <c r="H2427" s="27">
        <v>116.12</v>
      </c>
      <c r="I2427" s="27">
        <v>1175.8</v>
      </c>
      <c r="J2427" s="27">
        <v>15615.18</v>
      </c>
      <c r="K2427" s="47">
        <f t="shared" si="297"/>
        <v>0.639938828755096</v>
      </c>
      <c r="L2427" s="47">
        <f t="shared" si="298"/>
        <v>0.23540810928852565</v>
      </c>
      <c r="M2427" s="84">
        <f t="shared" si="299"/>
        <v>0.87534693804362174</v>
      </c>
      <c r="N2427" s="47">
        <f t="shared" si="300"/>
        <v>1.9757697317610168E-2</v>
      </c>
      <c r="O2427" s="47">
        <f t="shared" si="301"/>
        <v>7.4363535995102207E-3</v>
      </c>
      <c r="P2427" s="47">
        <f t="shared" si="302"/>
        <v>7.5298523616122257E-2</v>
      </c>
      <c r="Q2427" s="47">
        <f t="shared" si="303"/>
        <v>1</v>
      </c>
    </row>
    <row r="2428" spans="1:17" x14ac:dyDescent="0.35">
      <c r="A2428" s="82">
        <v>2425</v>
      </c>
      <c r="B2428" s="83" t="str">
        <f>_xlfn.XLOOKUP(A2428,'TAZs by City - CCAG Model'!$A:$A,'TAZs by City - CCAG Model'!$B:$B,"Unknown")</f>
        <v>Martinez</v>
      </c>
      <c r="C2428" s="82">
        <f>_xlfn.XLOOKUP(A2428,'TAZs by City - CCAG Model'!$A:$A,'TAZs by City - CCAG Model'!$C:$C,999)</f>
        <v>5</v>
      </c>
      <c r="D2428" s="82" t="str">
        <f t="shared" si="296"/>
        <v>NO</v>
      </c>
      <c r="E2428" s="27">
        <v>12729.32</v>
      </c>
      <c r="F2428" s="27">
        <v>5676.34</v>
      </c>
      <c r="G2428" s="27">
        <v>430.12</v>
      </c>
      <c r="H2428" s="27">
        <v>200.66</v>
      </c>
      <c r="I2428" s="27">
        <v>2519.16</v>
      </c>
      <c r="J2428" s="27">
        <v>22022.28</v>
      </c>
      <c r="K2428" s="47">
        <f t="shared" si="297"/>
        <v>0.57802007784843357</v>
      </c>
      <c r="L2428" s="47">
        <f t="shared" si="298"/>
        <v>0.25775441961504442</v>
      </c>
      <c r="M2428" s="84">
        <f t="shared" si="299"/>
        <v>0.83577449746347798</v>
      </c>
      <c r="N2428" s="47">
        <f t="shared" si="300"/>
        <v>1.9531129383515242E-2</v>
      </c>
      <c r="O2428" s="47">
        <f t="shared" si="301"/>
        <v>9.1116814426117545E-3</v>
      </c>
      <c r="P2428" s="47">
        <f t="shared" si="302"/>
        <v>0.11439142541099287</v>
      </c>
      <c r="Q2428" s="47">
        <f t="shared" si="303"/>
        <v>1</v>
      </c>
    </row>
    <row r="2429" spans="1:17" x14ac:dyDescent="0.35">
      <c r="A2429" s="82">
        <v>2426</v>
      </c>
      <c r="B2429" s="83" t="str">
        <f>_xlfn.XLOOKUP(A2429,'TAZs by City - CCAG Model'!$A:$A,'TAZs by City - CCAG Model'!$B:$B,"Unknown")</f>
        <v>Martinez</v>
      </c>
      <c r="C2429" s="82">
        <f>_xlfn.XLOOKUP(A2429,'TAZs by City - CCAG Model'!$A:$A,'TAZs by City - CCAG Model'!$C:$C,999)</f>
        <v>5</v>
      </c>
      <c r="D2429" s="82" t="str">
        <f t="shared" si="296"/>
        <v>NO</v>
      </c>
      <c r="E2429" s="27">
        <v>19168.64</v>
      </c>
      <c r="F2429" s="27">
        <v>10241.280000000001</v>
      </c>
      <c r="G2429" s="27">
        <v>791.68</v>
      </c>
      <c r="H2429" s="27">
        <v>381.24</v>
      </c>
      <c r="I2429" s="27">
        <v>3385.4</v>
      </c>
      <c r="J2429" s="27">
        <v>34789.32</v>
      </c>
      <c r="K2429" s="47">
        <f t="shared" si="297"/>
        <v>0.55099208607699146</v>
      </c>
      <c r="L2429" s="47">
        <f t="shared" si="298"/>
        <v>0.29437999937911979</v>
      </c>
      <c r="M2429" s="84">
        <f t="shared" si="299"/>
        <v>0.8453720854561112</v>
      </c>
      <c r="N2429" s="47">
        <f t="shared" si="300"/>
        <v>2.2756409150854341E-2</v>
      </c>
      <c r="O2429" s="47">
        <f t="shared" si="301"/>
        <v>1.0958535550565519E-2</v>
      </c>
      <c r="P2429" s="47">
        <f t="shared" si="302"/>
        <v>9.7311473751139715E-2</v>
      </c>
      <c r="Q2429" s="47">
        <f t="shared" si="303"/>
        <v>1</v>
      </c>
    </row>
    <row r="2430" spans="1:17" x14ac:dyDescent="0.35">
      <c r="A2430" s="82">
        <v>2427</v>
      </c>
      <c r="B2430" s="83" t="str">
        <f>_xlfn.XLOOKUP(A2430,'TAZs by City - CCAG Model'!$A:$A,'TAZs by City - CCAG Model'!$B:$B,"Unknown")</f>
        <v>Unincorporated</v>
      </c>
      <c r="C2430" s="82">
        <f>_xlfn.XLOOKUP(A2430,'TAZs by City - CCAG Model'!$A:$A,'TAZs by City - CCAG Model'!$C:$C,999)</f>
        <v>5</v>
      </c>
      <c r="D2430" s="82" t="str">
        <f t="shared" si="296"/>
        <v>NO</v>
      </c>
      <c r="E2430" s="27">
        <v>17091.900000000001</v>
      </c>
      <c r="F2430" s="27">
        <v>8045.92</v>
      </c>
      <c r="G2430" s="27">
        <v>529.34</v>
      </c>
      <c r="H2430" s="27">
        <v>243.56</v>
      </c>
      <c r="I2430" s="27">
        <v>963.8</v>
      </c>
      <c r="J2430" s="27">
        <v>27436.22</v>
      </c>
      <c r="K2430" s="47">
        <f t="shared" si="297"/>
        <v>0.62296847014639778</v>
      </c>
      <c r="L2430" s="47">
        <f t="shared" si="298"/>
        <v>0.2932590568234254</v>
      </c>
      <c r="M2430" s="84">
        <f t="shared" si="299"/>
        <v>0.91622752696982301</v>
      </c>
      <c r="N2430" s="47">
        <f t="shared" si="300"/>
        <v>1.9293474101024121E-2</v>
      </c>
      <c r="O2430" s="47">
        <f t="shared" si="301"/>
        <v>8.8773161900582518E-3</v>
      </c>
      <c r="P2430" s="47">
        <f t="shared" si="302"/>
        <v>3.5128745869511174E-2</v>
      </c>
      <c r="Q2430" s="47">
        <f t="shared" si="303"/>
        <v>1</v>
      </c>
    </row>
    <row r="2431" spans="1:17" x14ac:dyDescent="0.35">
      <c r="A2431" s="82">
        <v>2428</v>
      </c>
      <c r="B2431" s="83" t="str">
        <f>_xlfn.XLOOKUP(A2431,'TAZs by City - CCAG Model'!$A:$A,'TAZs by City - CCAG Model'!$B:$B,"Unknown")</f>
        <v>Martinez</v>
      </c>
      <c r="C2431" s="82">
        <f>_xlfn.XLOOKUP(A2431,'TAZs by City - CCAG Model'!$A:$A,'TAZs by City - CCAG Model'!$C:$C,999)</f>
        <v>5</v>
      </c>
      <c r="D2431" s="82" t="str">
        <f t="shared" si="296"/>
        <v>NO</v>
      </c>
      <c r="E2431" s="27">
        <v>29315.62</v>
      </c>
      <c r="F2431" s="27">
        <v>15495.98</v>
      </c>
      <c r="G2431" s="27">
        <v>1060.0999999999999</v>
      </c>
      <c r="H2431" s="27">
        <v>499.66</v>
      </c>
      <c r="I2431" s="27">
        <v>2076.62</v>
      </c>
      <c r="J2431" s="27">
        <v>49536.94</v>
      </c>
      <c r="K2431" s="47">
        <f t="shared" si="297"/>
        <v>0.59179311439099791</v>
      </c>
      <c r="L2431" s="47">
        <f t="shared" si="298"/>
        <v>0.31281665762963962</v>
      </c>
      <c r="M2431" s="84">
        <f t="shared" si="299"/>
        <v>0.90460977202063741</v>
      </c>
      <c r="N2431" s="47">
        <f t="shared" si="300"/>
        <v>2.1400191453085311E-2</v>
      </c>
      <c r="O2431" s="47">
        <f t="shared" si="301"/>
        <v>1.0086614150975009E-2</v>
      </c>
      <c r="P2431" s="47">
        <f t="shared" si="302"/>
        <v>4.1920635388459596E-2</v>
      </c>
      <c r="Q2431" s="47">
        <f t="shared" si="303"/>
        <v>1</v>
      </c>
    </row>
    <row r="2432" spans="1:17" x14ac:dyDescent="0.35">
      <c r="A2432" s="82">
        <v>2429</v>
      </c>
      <c r="B2432" s="83" t="str">
        <f>_xlfn.XLOOKUP(A2432,'TAZs by City - CCAG Model'!$A:$A,'TAZs by City - CCAG Model'!$B:$B,"Unknown")</f>
        <v>Unincorporated</v>
      </c>
      <c r="C2432" s="82">
        <f>_xlfn.XLOOKUP(A2432,'TAZs by City - CCAG Model'!$A:$A,'TAZs by City - CCAG Model'!$C:$C,999)</f>
        <v>5</v>
      </c>
      <c r="D2432" s="82" t="str">
        <f t="shared" si="296"/>
        <v>NO</v>
      </c>
      <c r="E2432" s="27">
        <v>32491.040000000001</v>
      </c>
      <c r="F2432" s="27">
        <v>12429.48</v>
      </c>
      <c r="G2432" s="27">
        <v>405.18</v>
      </c>
      <c r="H2432" s="27">
        <v>307.54000000000002</v>
      </c>
      <c r="I2432" s="27">
        <v>1065.7</v>
      </c>
      <c r="J2432" s="27">
        <v>47135.1</v>
      </c>
      <c r="K2432" s="47">
        <f t="shared" si="297"/>
        <v>0.68931730281679682</v>
      </c>
      <c r="L2432" s="47">
        <f t="shared" si="298"/>
        <v>0.2636990268398709</v>
      </c>
      <c r="M2432" s="84">
        <f t="shared" si="299"/>
        <v>0.95301632965666783</v>
      </c>
      <c r="N2432" s="47">
        <f t="shared" si="300"/>
        <v>8.5961417287753715E-3</v>
      </c>
      <c r="O2432" s="47">
        <f t="shared" si="301"/>
        <v>6.5246493589702793E-3</v>
      </c>
      <c r="P2432" s="47">
        <f t="shared" si="302"/>
        <v>2.2609477862569508E-2</v>
      </c>
      <c r="Q2432" s="47">
        <f t="shared" si="303"/>
        <v>1</v>
      </c>
    </row>
    <row r="2433" spans="1:17" x14ac:dyDescent="0.35">
      <c r="A2433" s="82">
        <v>2430</v>
      </c>
      <c r="B2433" s="83" t="str">
        <f>_xlfn.XLOOKUP(A2433,'TAZs by City - CCAG Model'!$A:$A,'TAZs by City - CCAG Model'!$B:$B,"Unknown")</f>
        <v>Concord</v>
      </c>
      <c r="C2433" s="82">
        <f>_xlfn.XLOOKUP(A2433,'TAZs by City - CCAG Model'!$A:$A,'TAZs by City - CCAG Model'!$C:$C,999)</f>
        <v>5</v>
      </c>
      <c r="D2433" s="82" t="str">
        <f t="shared" si="296"/>
        <v>NO</v>
      </c>
      <c r="E2433" s="27">
        <v>19464.439999999999</v>
      </c>
      <c r="F2433" s="27">
        <v>12915.38</v>
      </c>
      <c r="G2433" s="27">
        <v>565.66</v>
      </c>
      <c r="H2433" s="27">
        <v>276.62</v>
      </c>
      <c r="I2433" s="27">
        <v>829.24</v>
      </c>
      <c r="J2433" s="27">
        <v>34644.5</v>
      </c>
      <c r="K2433" s="47">
        <f t="shared" si="297"/>
        <v>0.56183348006177025</v>
      </c>
      <c r="L2433" s="47">
        <f t="shared" si="298"/>
        <v>0.3727974137308952</v>
      </c>
      <c r="M2433" s="84">
        <f t="shared" si="299"/>
        <v>0.93463089379266551</v>
      </c>
      <c r="N2433" s="47">
        <f t="shared" si="300"/>
        <v>1.632755560045606E-2</v>
      </c>
      <c r="O2433" s="47">
        <f t="shared" si="301"/>
        <v>7.9845285687482857E-3</v>
      </c>
      <c r="P2433" s="47">
        <f t="shared" si="302"/>
        <v>2.3935689647707429E-2</v>
      </c>
      <c r="Q2433" s="47">
        <f t="shared" si="303"/>
        <v>1</v>
      </c>
    </row>
    <row r="2434" spans="1:17" x14ac:dyDescent="0.35">
      <c r="A2434" s="82">
        <v>2431</v>
      </c>
      <c r="B2434" s="83" t="str">
        <f>_xlfn.XLOOKUP(A2434,'TAZs by City - CCAG Model'!$A:$A,'TAZs by City - CCAG Model'!$B:$B,"Unknown")</f>
        <v>Concord</v>
      </c>
      <c r="C2434" s="82">
        <f>_xlfn.XLOOKUP(A2434,'TAZs by City - CCAG Model'!$A:$A,'TAZs by City - CCAG Model'!$C:$C,999)</f>
        <v>5</v>
      </c>
      <c r="D2434" s="82" t="str">
        <f t="shared" si="296"/>
        <v>NO</v>
      </c>
      <c r="E2434" s="27">
        <v>17334.12</v>
      </c>
      <c r="F2434" s="27">
        <v>11132.58</v>
      </c>
      <c r="G2434" s="27">
        <v>914.36</v>
      </c>
      <c r="H2434" s="27">
        <v>334.16</v>
      </c>
      <c r="I2434" s="27">
        <v>1917.34</v>
      </c>
      <c r="J2434" s="27">
        <v>32576.560000000001</v>
      </c>
      <c r="K2434" s="47">
        <f t="shared" si="297"/>
        <v>0.53210406500870555</v>
      </c>
      <c r="L2434" s="47">
        <f t="shared" si="298"/>
        <v>0.34173589844968283</v>
      </c>
      <c r="M2434" s="84">
        <f t="shared" si="299"/>
        <v>0.87383996345838832</v>
      </c>
      <c r="N2434" s="47">
        <f t="shared" si="300"/>
        <v>2.8068034193911205E-2</v>
      </c>
      <c r="O2434" s="47">
        <f t="shared" si="301"/>
        <v>1.0257682210767498E-2</v>
      </c>
      <c r="P2434" s="47">
        <f t="shared" si="302"/>
        <v>5.8856429285351182E-2</v>
      </c>
      <c r="Q2434" s="47">
        <f t="shared" si="303"/>
        <v>1</v>
      </c>
    </row>
    <row r="2435" spans="1:17" x14ac:dyDescent="0.35">
      <c r="A2435" s="82">
        <v>2432</v>
      </c>
      <c r="B2435" s="83" t="str">
        <f>_xlfn.XLOOKUP(A2435,'TAZs by City - CCAG Model'!$A:$A,'TAZs by City - CCAG Model'!$B:$B,"Unknown")</f>
        <v>Clayton</v>
      </c>
      <c r="C2435" s="82">
        <f>_xlfn.XLOOKUP(A2435,'TAZs by City - CCAG Model'!$A:$A,'TAZs by City - CCAG Model'!$C:$C,999)</f>
        <v>5</v>
      </c>
      <c r="D2435" s="82" t="str">
        <f t="shared" si="296"/>
        <v>NO</v>
      </c>
      <c r="E2435" s="27">
        <v>20584.68</v>
      </c>
      <c r="F2435" s="27">
        <v>12606.62</v>
      </c>
      <c r="G2435" s="27">
        <v>945.46</v>
      </c>
      <c r="H2435" s="27">
        <v>339.16</v>
      </c>
      <c r="I2435" s="27">
        <v>1942.76</v>
      </c>
      <c r="J2435" s="27">
        <v>37394.959999999999</v>
      </c>
      <c r="K2435" s="47">
        <f t="shared" si="297"/>
        <v>0.55046669390741432</v>
      </c>
      <c r="L2435" s="47">
        <f t="shared" si="298"/>
        <v>0.33712083125640463</v>
      </c>
      <c r="M2435" s="84">
        <f t="shared" si="299"/>
        <v>0.887587525163819</v>
      </c>
      <c r="N2435" s="47">
        <f t="shared" si="300"/>
        <v>2.5283086276867258E-2</v>
      </c>
      <c r="O2435" s="47">
        <f t="shared" si="301"/>
        <v>9.069671420961543E-3</v>
      </c>
      <c r="P2435" s="47">
        <f t="shared" si="302"/>
        <v>5.1952455625036101E-2</v>
      </c>
      <c r="Q2435" s="47">
        <f t="shared" si="303"/>
        <v>1</v>
      </c>
    </row>
    <row r="2436" spans="1:17" x14ac:dyDescent="0.35">
      <c r="A2436" s="82">
        <v>2433</v>
      </c>
      <c r="B2436" s="83" t="str">
        <f>_xlfn.XLOOKUP(A2436,'TAZs by City - CCAG Model'!$A:$A,'TAZs by City - CCAG Model'!$B:$B,"Unknown")</f>
        <v>Clayton</v>
      </c>
      <c r="C2436" s="82">
        <f>_xlfn.XLOOKUP(A2436,'TAZs by City - CCAG Model'!$A:$A,'TAZs by City - CCAG Model'!$C:$C,999)</f>
        <v>5</v>
      </c>
      <c r="D2436" s="82" t="str">
        <f t="shared" si="296"/>
        <v>NO</v>
      </c>
      <c r="E2436" s="27">
        <v>9513.24</v>
      </c>
      <c r="F2436" s="27">
        <v>6027.46</v>
      </c>
      <c r="G2436" s="27">
        <v>426.78</v>
      </c>
      <c r="H2436" s="27">
        <v>159.24</v>
      </c>
      <c r="I2436" s="27">
        <v>696.76</v>
      </c>
      <c r="J2436" s="27">
        <v>17280.02</v>
      </c>
      <c r="K2436" s="47">
        <f t="shared" si="297"/>
        <v>0.55053408502999412</v>
      </c>
      <c r="L2436" s="47">
        <f t="shared" si="298"/>
        <v>0.34881093887622816</v>
      </c>
      <c r="M2436" s="84">
        <f t="shared" si="299"/>
        <v>0.8993450239062224</v>
      </c>
      <c r="N2436" s="47">
        <f t="shared" si="300"/>
        <v>2.4697888081148051E-2</v>
      </c>
      <c r="O2436" s="47">
        <f t="shared" si="301"/>
        <v>9.2152671119593611E-3</v>
      </c>
      <c r="P2436" s="47">
        <f t="shared" si="302"/>
        <v>4.0321712590610424E-2</v>
      </c>
      <c r="Q2436" s="47">
        <f t="shared" si="303"/>
        <v>1</v>
      </c>
    </row>
    <row r="2437" spans="1:17" x14ac:dyDescent="0.35">
      <c r="A2437" s="82">
        <v>2434</v>
      </c>
      <c r="B2437" s="83" t="str">
        <f>_xlfn.XLOOKUP(A2437,'TAZs by City - CCAG Model'!$A:$A,'TAZs by City - CCAG Model'!$B:$B,"Unknown")</f>
        <v>Unincorporated</v>
      </c>
      <c r="C2437" s="82">
        <f>_xlfn.XLOOKUP(A2437,'TAZs by City - CCAG Model'!$A:$A,'TAZs by City - CCAG Model'!$C:$C,999)</f>
        <v>5</v>
      </c>
      <c r="D2437" s="82" t="str">
        <f t="shared" ref="D2437:D2500" si="304">IF(C2437=2,"YES","NO")</f>
        <v>NO</v>
      </c>
      <c r="E2437" s="27">
        <v>2460.54</v>
      </c>
      <c r="F2437" s="27">
        <v>1701</v>
      </c>
      <c r="G2437" s="27">
        <v>50.02</v>
      </c>
      <c r="H2437" s="27">
        <v>26.3</v>
      </c>
      <c r="I2437" s="27">
        <v>85.66</v>
      </c>
      <c r="J2437" s="27">
        <v>4388.22</v>
      </c>
      <c r="K2437" s="47">
        <f t="shared" ref="K2437:K2500" si="305">IFERROR(E2437/$J2437,0)</f>
        <v>0.56071482286667484</v>
      </c>
      <c r="L2437" s="47">
        <f t="shared" ref="L2437:L2500" si="306">IFERROR(F2437/$J2437,0)</f>
        <v>0.38762869682923828</v>
      </c>
      <c r="M2437" s="84">
        <f t="shared" ref="M2437:M2500" si="307">IFERROR((E2437+F2437)/J2437,0)</f>
        <v>0.94834351969591313</v>
      </c>
      <c r="N2437" s="47">
        <f t="shared" ref="N2437:N2500" si="308">IFERROR(G2437/$J2437,0)</f>
        <v>1.1398699244796296E-2</v>
      </c>
      <c r="O2437" s="47">
        <f t="shared" ref="O2437:O2500" si="309">IFERROR(H2437/$J2437,0)</f>
        <v>5.9933184753727022E-3</v>
      </c>
      <c r="P2437" s="47">
        <f t="shared" ref="P2437:P2500" si="310">IFERROR(I2437/$J2437,0)</f>
        <v>1.9520443368837476E-2</v>
      </c>
      <c r="Q2437" s="47">
        <f t="shared" ref="Q2437:Q2500" si="311">IFERROR(J2437/$J2437,0)</f>
        <v>1</v>
      </c>
    </row>
    <row r="2438" spans="1:17" x14ac:dyDescent="0.35">
      <c r="A2438" s="82">
        <v>2435</v>
      </c>
      <c r="B2438" s="83" t="str">
        <f>_xlfn.XLOOKUP(A2438,'TAZs by City - CCAG Model'!$A:$A,'TAZs by City - CCAG Model'!$B:$B,"Unknown")</f>
        <v>Concord</v>
      </c>
      <c r="C2438" s="82">
        <f>_xlfn.XLOOKUP(A2438,'TAZs by City - CCAG Model'!$A:$A,'TAZs by City - CCAG Model'!$C:$C,999)</f>
        <v>5</v>
      </c>
      <c r="D2438" s="82" t="str">
        <f t="shared" si="304"/>
        <v>NO</v>
      </c>
      <c r="E2438" s="27">
        <v>19349.12</v>
      </c>
      <c r="F2438" s="27">
        <v>12125.4</v>
      </c>
      <c r="G2438" s="27">
        <v>877.1</v>
      </c>
      <c r="H2438" s="27">
        <v>380.28</v>
      </c>
      <c r="I2438" s="27">
        <v>2526.08</v>
      </c>
      <c r="J2438" s="27">
        <v>36166.620000000003</v>
      </c>
      <c r="K2438" s="47">
        <f t="shared" si="305"/>
        <v>0.53499939999922574</v>
      </c>
      <c r="L2438" s="47">
        <f t="shared" si="306"/>
        <v>0.33526494872896606</v>
      </c>
      <c r="M2438" s="84">
        <f t="shared" si="307"/>
        <v>0.87026434872819181</v>
      </c>
      <c r="N2438" s="47">
        <f t="shared" si="308"/>
        <v>2.4251644195669927E-2</v>
      </c>
      <c r="O2438" s="47">
        <f t="shared" si="309"/>
        <v>1.0514667945193661E-2</v>
      </c>
      <c r="P2438" s="47">
        <f t="shared" si="310"/>
        <v>6.984562007729779E-2</v>
      </c>
      <c r="Q2438" s="47">
        <f t="shared" si="311"/>
        <v>1</v>
      </c>
    </row>
    <row r="2439" spans="1:17" x14ac:dyDescent="0.35">
      <c r="A2439" s="82">
        <v>2436</v>
      </c>
      <c r="B2439" s="83" t="str">
        <f>_xlfn.XLOOKUP(A2439,'TAZs by City - CCAG Model'!$A:$A,'TAZs by City - CCAG Model'!$B:$B,"Unknown")</f>
        <v>Concord</v>
      </c>
      <c r="C2439" s="82">
        <f>_xlfn.XLOOKUP(A2439,'TAZs by City - CCAG Model'!$A:$A,'TAZs by City - CCAG Model'!$C:$C,999)</f>
        <v>5</v>
      </c>
      <c r="D2439" s="82" t="str">
        <f t="shared" si="304"/>
        <v>NO</v>
      </c>
      <c r="E2439" s="27">
        <v>7107.8</v>
      </c>
      <c r="F2439" s="27">
        <v>5073.04</v>
      </c>
      <c r="G2439" s="27">
        <v>376.4</v>
      </c>
      <c r="H2439" s="27">
        <v>144.54</v>
      </c>
      <c r="I2439" s="27">
        <v>719.54</v>
      </c>
      <c r="J2439" s="27">
        <v>13822.66</v>
      </c>
      <c r="K2439" s="47">
        <f t="shared" si="305"/>
        <v>0.51421361735006144</v>
      </c>
      <c r="L2439" s="47">
        <f t="shared" si="306"/>
        <v>0.36700895486107593</v>
      </c>
      <c r="M2439" s="84">
        <f t="shared" si="307"/>
        <v>0.88122257221113742</v>
      </c>
      <c r="N2439" s="47">
        <f t="shared" si="308"/>
        <v>2.7230648804209896E-2</v>
      </c>
      <c r="O2439" s="47">
        <f t="shared" si="309"/>
        <v>1.0456742768757967E-2</v>
      </c>
      <c r="P2439" s="47">
        <f t="shared" si="310"/>
        <v>5.2055103720991473E-2</v>
      </c>
      <c r="Q2439" s="47">
        <f t="shared" si="311"/>
        <v>1</v>
      </c>
    </row>
    <row r="2440" spans="1:17" x14ac:dyDescent="0.35">
      <c r="A2440" s="82">
        <v>2437</v>
      </c>
      <c r="B2440" s="83" t="str">
        <f>_xlfn.XLOOKUP(A2440,'TAZs by City - CCAG Model'!$A:$A,'TAZs by City - CCAG Model'!$B:$B,"Unknown")</f>
        <v>Concord</v>
      </c>
      <c r="C2440" s="82">
        <f>_xlfn.XLOOKUP(A2440,'TAZs by City - CCAG Model'!$A:$A,'TAZs by City - CCAG Model'!$C:$C,999)</f>
        <v>5</v>
      </c>
      <c r="D2440" s="82" t="str">
        <f t="shared" si="304"/>
        <v>NO</v>
      </c>
      <c r="E2440" s="27">
        <v>2380.92</v>
      </c>
      <c r="F2440" s="27">
        <v>1535.1</v>
      </c>
      <c r="G2440" s="27">
        <v>145.24</v>
      </c>
      <c r="H2440" s="27">
        <v>55.14</v>
      </c>
      <c r="I2440" s="27">
        <v>189.44</v>
      </c>
      <c r="J2440" s="27">
        <v>4478.04</v>
      </c>
      <c r="K2440" s="47">
        <f t="shared" si="305"/>
        <v>0.53168797063000783</v>
      </c>
      <c r="L2440" s="47">
        <f t="shared" si="306"/>
        <v>0.34280622772462949</v>
      </c>
      <c r="M2440" s="84">
        <f t="shared" si="307"/>
        <v>0.87449419835463726</v>
      </c>
      <c r="N2440" s="47">
        <f t="shared" si="308"/>
        <v>3.2433832658931142E-2</v>
      </c>
      <c r="O2440" s="47">
        <f t="shared" si="309"/>
        <v>1.2313422836776805E-2</v>
      </c>
      <c r="P2440" s="47">
        <f t="shared" si="310"/>
        <v>4.2304222383006851E-2</v>
      </c>
      <c r="Q2440" s="47">
        <f t="shared" si="311"/>
        <v>1</v>
      </c>
    </row>
    <row r="2441" spans="1:17" x14ac:dyDescent="0.35">
      <c r="A2441" s="82">
        <v>2438</v>
      </c>
      <c r="B2441" s="83" t="str">
        <f>_xlfn.XLOOKUP(A2441,'TAZs by City - CCAG Model'!$A:$A,'TAZs by City - CCAG Model'!$B:$B,"Unknown")</f>
        <v>Concord</v>
      </c>
      <c r="C2441" s="82">
        <f>_xlfn.XLOOKUP(A2441,'TAZs by City - CCAG Model'!$A:$A,'TAZs by City - CCAG Model'!$C:$C,999)</f>
        <v>5</v>
      </c>
      <c r="D2441" s="82" t="str">
        <f t="shared" si="304"/>
        <v>NO</v>
      </c>
      <c r="E2441" s="27">
        <v>17935.02</v>
      </c>
      <c r="F2441" s="27">
        <v>11191.9</v>
      </c>
      <c r="G2441" s="27">
        <v>1038.5</v>
      </c>
      <c r="H2441" s="27">
        <v>422.78</v>
      </c>
      <c r="I2441" s="27">
        <v>2723.04</v>
      </c>
      <c r="J2441" s="27">
        <v>34380.6</v>
      </c>
      <c r="K2441" s="47">
        <f t="shared" si="305"/>
        <v>0.52166105303572363</v>
      </c>
      <c r="L2441" s="47">
        <f t="shared" si="306"/>
        <v>0.32552951373739841</v>
      </c>
      <c r="M2441" s="84">
        <f t="shared" si="307"/>
        <v>0.84719056677312199</v>
      </c>
      <c r="N2441" s="47">
        <f t="shared" si="308"/>
        <v>3.020598826082151E-2</v>
      </c>
      <c r="O2441" s="47">
        <f t="shared" si="309"/>
        <v>1.2297051244015519E-2</v>
      </c>
      <c r="P2441" s="47">
        <f t="shared" si="310"/>
        <v>7.9202806233748105E-2</v>
      </c>
      <c r="Q2441" s="47">
        <f t="shared" si="311"/>
        <v>1</v>
      </c>
    </row>
    <row r="2442" spans="1:17" x14ac:dyDescent="0.35">
      <c r="A2442" s="82">
        <v>2439</v>
      </c>
      <c r="B2442" s="83" t="str">
        <f>_xlfn.XLOOKUP(A2442,'TAZs by City - CCAG Model'!$A:$A,'TAZs by City - CCAG Model'!$B:$B,"Unknown")</f>
        <v>Concord</v>
      </c>
      <c r="C2442" s="82">
        <f>_xlfn.XLOOKUP(A2442,'TAZs by City - CCAG Model'!$A:$A,'TAZs by City - CCAG Model'!$C:$C,999)</f>
        <v>5</v>
      </c>
      <c r="D2442" s="82" t="str">
        <f t="shared" si="304"/>
        <v>NO</v>
      </c>
      <c r="E2442" s="27">
        <v>9838.44</v>
      </c>
      <c r="F2442" s="27">
        <v>5815.9</v>
      </c>
      <c r="G2442" s="27">
        <v>600.46</v>
      </c>
      <c r="H2442" s="27">
        <v>224.92</v>
      </c>
      <c r="I2442" s="27">
        <v>1089.7</v>
      </c>
      <c r="J2442" s="27">
        <v>18199.740000000002</v>
      </c>
      <c r="K2442" s="47">
        <f t="shared" si="305"/>
        <v>0.54058134896432586</v>
      </c>
      <c r="L2442" s="47">
        <f t="shared" si="306"/>
        <v>0.31955951019080486</v>
      </c>
      <c r="M2442" s="84">
        <f t="shared" si="307"/>
        <v>0.86014085915513072</v>
      </c>
      <c r="N2442" s="47">
        <f t="shared" si="308"/>
        <v>3.2992779017722233E-2</v>
      </c>
      <c r="O2442" s="47">
        <f t="shared" si="309"/>
        <v>1.2358418307074714E-2</v>
      </c>
      <c r="P2442" s="47">
        <f t="shared" si="310"/>
        <v>5.9874481723365278E-2</v>
      </c>
      <c r="Q2442" s="47">
        <f t="shared" si="311"/>
        <v>1</v>
      </c>
    </row>
    <row r="2443" spans="1:17" x14ac:dyDescent="0.35">
      <c r="A2443" s="82">
        <v>2440</v>
      </c>
      <c r="B2443" s="83" t="str">
        <f>_xlfn.XLOOKUP(A2443,'TAZs by City - CCAG Model'!$A:$A,'TAZs by City - CCAG Model'!$B:$B,"Unknown")</f>
        <v>Concord</v>
      </c>
      <c r="C2443" s="82">
        <f>_xlfn.XLOOKUP(A2443,'TAZs by City - CCAG Model'!$A:$A,'TAZs by City - CCAG Model'!$C:$C,999)</f>
        <v>5</v>
      </c>
      <c r="D2443" s="82" t="str">
        <f t="shared" si="304"/>
        <v>NO</v>
      </c>
      <c r="E2443" s="27">
        <v>16490.5</v>
      </c>
      <c r="F2443" s="27">
        <v>9744.1</v>
      </c>
      <c r="G2443" s="27">
        <v>709.3</v>
      </c>
      <c r="H2443" s="27">
        <v>323.77999999999997</v>
      </c>
      <c r="I2443" s="27">
        <v>1866.74</v>
      </c>
      <c r="J2443" s="27">
        <v>29873.82</v>
      </c>
      <c r="K2443" s="47">
        <f t="shared" si="305"/>
        <v>0.55200506664363647</v>
      </c>
      <c r="L2443" s="47">
        <f t="shared" si="306"/>
        <v>0.32617522633529961</v>
      </c>
      <c r="M2443" s="84">
        <f t="shared" si="307"/>
        <v>0.87818029297893607</v>
      </c>
      <c r="N2443" s="47">
        <f t="shared" si="308"/>
        <v>2.3743197220844201E-2</v>
      </c>
      <c r="O2443" s="47">
        <f t="shared" si="309"/>
        <v>1.0838252356076323E-2</v>
      </c>
      <c r="P2443" s="47">
        <f t="shared" si="310"/>
        <v>6.2487489045592426E-2</v>
      </c>
      <c r="Q2443" s="47">
        <f t="shared" si="311"/>
        <v>1</v>
      </c>
    </row>
    <row r="2444" spans="1:17" x14ac:dyDescent="0.35">
      <c r="A2444" s="82">
        <v>2441</v>
      </c>
      <c r="B2444" s="83" t="str">
        <f>_xlfn.XLOOKUP(A2444,'TAZs by City - CCAG Model'!$A:$A,'TAZs by City - CCAG Model'!$B:$B,"Unknown")</f>
        <v>Concord</v>
      </c>
      <c r="C2444" s="82">
        <f>_xlfn.XLOOKUP(A2444,'TAZs by City - CCAG Model'!$A:$A,'TAZs by City - CCAG Model'!$C:$C,999)</f>
        <v>5</v>
      </c>
      <c r="D2444" s="82" t="str">
        <f t="shared" si="304"/>
        <v>NO</v>
      </c>
      <c r="E2444" s="27">
        <v>18746.080000000002</v>
      </c>
      <c r="F2444" s="27">
        <v>11947.22</v>
      </c>
      <c r="G2444" s="27">
        <v>952.18</v>
      </c>
      <c r="H2444" s="27">
        <v>429.04</v>
      </c>
      <c r="I2444" s="27">
        <v>1952.28</v>
      </c>
      <c r="J2444" s="27">
        <v>35011.1</v>
      </c>
      <c r="K2444" s="47">
        <f t="shared" si="305"/>
        <v>0.53543247712868214</v>
      </c>
      <c r="L2444" s="47">
        <f t="shared" si="306"/>
        <v>0.34124092073656642</v>
      </c>
      <c r="M2444" s="84">
        <f t="shared" si="307"/>
        <v>0.87667339786524856</v>
      </c>
      <c r="N2444" s="47">
        <f t="shared" si="308"/>
        <v>2.7196517675822811E-2</v>
      </c>
      <c r="O2444" s="47">
        <f t="shared" si="309"/>
        <v>1.2254399319073095E-2</v>
      </c>
      <c r="P2444" s="47">
        <f t="shared" si="310"/>
        <v>5.5761744132575099E-2</v>
      </c>
      <c r="Q2444" s="47">
        <f t="shared" si="311"/>
        <v>1</v>
      </c>
    </row>
    <row r="2445" spans="1:17" x14ac:dyDescent="0.35">
      <c r="A2445" s="82">
        <v>2442</v>
      </c>
      <c r="B2445" s="83" t="str">
        <f>_xlfn.XLOOKUP(A2445,'TAZs by City - CCAG Model'!$A:$A,'TAZs by City - CCAG Model'!$B:$B,"Unknown")</f>
        <v>Concord</v>
      </c>
      <c r="C2445" s="82">
        <f>_xlfn.XLOOKUP(A2445,'TAZs by City - CCAG Model'!$A:$A,'TAZs by City - CCAG Model'!$C:$C,999)</f>
        <v>5</v>
      </c>
      <c r="D2445" s="82" t="str">
        <f t="shared" si="304"/>
        <v>NO</v>
      </c>
      <c r="E2445" s="27">
        <v>17794.439999999999</v>
      </c>
      <c r="F2445" s="27">
        <v>10074.4</v>
      </c>
      <c r="G2445" s="27">
        <v>852.68</v>
      </c>
      <c r="H2445" s="27">
        <v>389.38</v>
      </c>
      <c r="I2445" s="27">
        <v>2531.5</v>
      </c>
      <c r="J2445" s="27">
        <v>32527.96</v>
      </c>
      <c r="K2445" s="47">
        <f t="shared" si="305"/>
        <v>0.54705059893088892</v>
      </c>
      <c r="L2445" s="47">
        <f t="shared" si="306"/>
        <v>0.30971508818874594</v>
      </c>
      <c r="M2445" s="84">
        <f t="shared" si="307"/>
        <v>0.85676568711963486</v>
      </c>
      <c r="N2445" s="47">
        <f t="shared" si="308"/>
        <v>2.6213755796551642E-2</v>
      </c>
      <c r="O2445" s="47">
        <f t="shared" si="309"/>
        <v>1.1970624656449406E-2</v>
      </c>
      <c r="P2445" s="47">
        <f t="shared" si="310"/>
        <v>7.7825353941655115E-2</v>
      </c>
      <c r="Q2445" s="47">
        <f t="shared" si="311"/>
        <v>1</v>
      </c>
    </row>
    <row r="2446" spans="1:17" x14ac:dyDescent="0.35">
      <c r="A2446" s="82">
        <v>2443</v>
      </c>
      <c r="B2446" s="83" t="str">
        <f>_xlfn.XLOOKUP(A2446,'TAZs by City - CCAG Model'!$A:$A,'TAZs by City - CCAG Model'!$B:$B,"Unknown")</f>
        <v>Concord</v>
      </c>
      <c r="C2446" s="82">
        <f>_xlfn.XLOOKUP(A2446,'TAZs by City - CCAG Model'!$A:$A,'TAZs by City - CCAG Model'!$C:$C,999)</f>
        <v>5</v>
      </c>
      <c r="D2446" s="82" t="str">
        <f t="shared" si="304"/>
        <v>NO</v>
      </c>
      <c r="E2446" s="27">
        <v>13063.36</v>
      </c>
      <c r="F2446" s="27">
        <v>8231.16</v>
      </c>
      <c r="G2446" s="27">
        <v>869.56</v>
      </c>
      <c r="H2446" s="27">
        <v>287.77999999999997</v>
      </c>
      <c r="I2446" s="27">
        <v>1415.32</v>
      </c>
      <c r="J2446" s="27">
        <v>24767.84</v>
      </c>
      <c r="K2446" s="47">
        <f t="shared" si="305"/>
        <v>0.52743234775418446</v>
      </c>
      <c r="L2446" s="47">
        <f t="shared" si="306"/>
        <v>0.33233257320783727</v>
      </c>
      <c r="M2446" s="84">
        <f t="shared" si="307"/>
        <v>0.85976492096202173</v>
      </c>
      <c r="N2446" s="47">
        <f t="shared" si="308"/>
        <v>3.5108430933016362E-2</v>
      </c>
      <c r="O2446" s="47">
        <f t="shared" si="309"/>
        <v>1.1619099606586605E-2</v>
      </c>
      <c r="P2446" s="47">
        <f t="shared" si="310"/>
        <v>5.714345699907622E-2</v>
      </c>
      <c r="Q2446" s="47">
        <f t="shared" si="311"/>
        <v>1</v>
      </c>
    </row>
    <row r="2447" spans="1:17" x14ac:dyDescent="0.35">
      <c r="A2447" s="82">
        <v>2444</v>
      </c>
      <c r="B2447" s="83" t="str">
        <f>_xlfn.XLOOKUP(A2447,'TAZs by City - CCAG Model'!$A:$A,'TAZs by City - CCAG Model'!$B:$B,"Unknown")</f>
        <v>Concord</v>
      </c>
      <c r="C2447" s="82">
        <f>_xlfn.XLOOKUP(A2447,'TAZs by City - CCAG Model'!$A:$A,'TAZs by City - CCAG Model'!$C:$C,999)</f>
        <v>5</v>
      </c>
      <c r="D2447" s="82" t="str">
        <f t="shared" si="304"/>
        <v>NO</v>
      </c>
      <c r="E2447" s="27">
        <v>20978.04</v>
      </c>
      <c r="F2447" s="27">
        <v>11594.1</v>
      </c>
      <c r="G2447" s="27">
        <v>897.04</v>
      </c>
      <c r="H2447" s="27">
        <v>405.86</v>
      </c>
      <c r="I2447" s="27">
        <v>2421.4</v>
      </c>
      <c r="J2447" s="27">
        <v>37227.760000000002</v>
      </c>
      <c r="K2447" s="47">
        <f t="shared" si="305"/>
        <v>0.56350529819682948</v>
      </c>
      <c r="L2447" s="47">
        <f t="shared" si="306"/>
        <v>0.31143694920134868</v>
      </c>
      <c r="M2447" s="84">
        <f t="shared" si="307"/>
        <v>0.87494224739817805</v>
      </c>
      <c r="N2447" s="47">
        <f t="shared" si="308"/>
        <v>2.4095997180598561E-2</v>
      </c>
      <c r="O2447" s="47">
        <f t="shared" si="309"/>
        <v>1.0902079523452391E-2</v>
      </c>
      <c r="P2447" s="47">
        <f t="shared" si="310"/>
        <v>6.5042860489054402E-2</v>
      </c>
      <c r="Q2447" s="47">
        <f t="shared" si="311"/>
        <v>1</v>
      </c>
    </row>
    <row r="2448" spans="1:17" x14ac:dyDescent="0.35">
      <c r="A2448" s="82">
        <v>2445</v>
      </c>
      <c r="B2448" s="83" t="str">
        <f>_xlfn.XLOOKUP(A2448,'TAZs by City - CCAG Model'!$A:$A,'TAZs by City - CCAG Model'!$B:$B,"Unknown")</f>
        <v>Concord</v>
      </c>
      <c r="C2448" s="82">
        <f>_xlfn.XLOOKUP(A2448,'TAZs by City - CCAG Model'!$A:$A,'TAZs by City - CCAG Model'!$C:$C,999)</f>
        <v>5</v>
      </c>
      <c r="D2448" s="82" t="str">
        <f t="shared" si="304"/>
        <v>NO</v>
      </c>
      <c r="E2448" s="27">
        <v>29748.28</v>
      </c>
      <c r="F2448" s="27">
        <v>10995.36</v>
      </c>
      <c r="G2448" s="27">
        <v>2006.4</v>
      </c>
      <c r="H2448" s="27">
        <v>475.82</v>
      </c>
      <c r="I2448" s="27">
        <v>2776.88</v>
      </c>
      <c r="J2448" s="27">
        <v>48043.16</v>
      </c>
      <c r="K2448" s="47">
        <f t="shared" si="305"/>
        <v>0.6191990701694059</v>
      </c>
      <c r="L2448" s="47">
        <f t="shared" si="306"/>
        <v>0.22886421292854175</v>
      </c>
      <c r="M2448" s="84">
        <f t="shared" si="307"/>
        <v>0.84806328309794765</v>
      </c>
      <c r="N2448" s="47">
        <f t="shared" si="308"/>
        <v>4.1762448598302027E-2</v>
      </c>
      <c r="O2448" s="47">
        <f t="shared" si="309"/>
        <v>9.9040113098305769E-3</v>
      </c>
      <c r="P2448" s="47">
        <f t="shared" si="310"/>
        <v>5.7799695107482521E-2</v>
      </c>
      <c r="Q2448" s="47">
        <f t="shared" si="311"/>
        <v>1</v>
      </c>
    </row>
    <row r="2449" spans="1:17" x14ac:dyDescent="0.35">
      <c r="A2449" s="82">
        <v>2446</v>
      </c>
      <c r="B2449" s="83" t="str">
        <f>_xlfn.XLOOKUP(A2449,'TAZs by City - CCAG Model'!$A:$A,'TAZs by City - CCAG Model'!$B:$B,"Unknown")</f>
        <v>Concord</v>
      </c>
      <c r="C2449" s="82">
        <f>_xlfn.XLOOKUP(A2449,'TAZs by City - CCAG Model'!$A:$A,'TAZs by City - CCAG Model'!$C:$C,999)</f>
        <v>5</v>
      </c>
      <c r="D2449" s="82" t="str">
        <f t="shared" si="304"/>
        <v>NO</v>
      </c>
      <c r="E2449" s="27">
        <v>13249.1</v>
      </c>
      <c r="F2449" s="27">
        <v>9370.2199999999993</v>
      </c>
      <c r="G2449" s="27">
        <v>2162.06</v>
      </c>
      <c r="H2449" s="27">
        <v>496.76</v>
      </c>
      <c r="I2449" s="27">
        <v>2511.14</v>
      </c>
      <c r="J2449" s="27">
        <v>29978.98</v>
      </c>
      <c r="K2449" s="47">
        <f t="shared" si="305"/>
        <v>0.4419463237241561</v>
      </c>
      <c r="L2449" s="47">
        <f t="shared" si="306"/>
        <v>0.31255966680654246</v>
      </c>
      <c r="M2449" s="84">
        <f t="shared" si="307"/>
        <v>0.75450599053069856</v>
      </c>
      <c r="N2449" s="47">
        <f t="shared" si="308"/>
        <v>7.2119198184861524E-2</v>
      </c>
      <c r="O2449" s="47">
        <f t="shared" si="309"/>
        <v>1.6570276907353087E-2</v>
      </c>
      <c r="P2449" s="47">
        <f t="shared" si="310"/>
        <v>8.3763356858705659E-2</v>
      </c>
      <c r="Q2449" s="47">
        <f t="shared" si="311"/>
        <v>1</v>
      </c>
    </row>
    <row r="2450" spans="1:17" x14ac:dyDescent="0.35">
      <c r="A2450" s="82">
        <v>2447</v>
      </c>
      <c r="B2450" s="83" t="str">
        <f>_xlfn.XLOOKUP(A2450,'TAZs by City - CCAG Model'!$A:$A,'TAZs by City - CCAG Model'!$B:$B,"Unknown")</f>
        <v>Concord</v>
      </c>
      <c r="C2450" s="82">
        <f>_xlfn.XLOOKUP(A2450,'TAZs by City - CCAG Model'!$A:$A,'TAZs by City - CCAG Model'!$C:$C,999)</f>
        <v>5</v>
      </c>
      <c r="D2450" s="82" t="str">
        <f t="shared" si="304"/>
        <v>NO</v>
      </c>
      <c r="E2450" s="27">
        <v>9004.6</v>
      </c>
      <c r="F2450" s="27">
        <v>6397.2</v>
      </c>
      <c r="G2450" s="27">
        <v>1099.6400000000001</v>
      </c>
      <c r="H2450" s="27">
        <v>315.26</v>
      </c>
      <c r="I2450" s="27">
        <v>1720.66</v>
      </c>
      <c r="J2450" s="27">
        <v>19668.3</v>
      </c>
      <c r="K2450" s="47">
        <f t="shared" si="305"/>
        <v>0.45782299436148527</v>
      </c>
      <c r="L2450" s="47">
        <f t="shared" si="306"/>
        <v>0.32525434328335445</v>
      </c>
      <c r="M2450" s="84">
        <f t="shared" si="307"/>
        <v>0.78307733764483967</v>
      </c>
      <c r="N2450" s="47">
        <f t="shared" si="308"/>
        <v>5.5909254994076771E-2</v>
      </c>
      <c r="O2450" s="47">
        <f t="shared" si="309"/>
        <v>1.6028838282922266E-2</v>
      </c>
      <c r="P2450" s="47">
        <f t="shared" si="310"/>
        <v>8.7483920826914377E-2</v>
      </c>
      <c r="Q2450" s="47">
        <f t="shared" si="311"/>
        <v>1</v>
      </c>
    </row>
    <row r="2451" spans="1:17" x14ac:dyDescent="0.35">
      <c r="A2451" s="82">
        <v>2448</v>
      </c>
      <c r="B2451" s="83" t="str">
        <f>_xlfn.XLOOKUP(A2451,'TAZs by City - CCAG Model'!$A:$A,'TAZs by City - CCAG Model'!$B:$B,"Unknown")</f>
        <v>Concord</v>
      </c>
      <c r="C2451" s="82">
        <f>_xlfn.XLOOKUP(A2451,'TAZs by City - CCAG Model'!$A:$A,'TAZs by City - CCAG Model'!$C:$C,999)</f>
        <v>5</v>
      </c>
      <c r="D2451" s="82" t="str">
        <f t="shared" si="304"/>
        <v>NO</v>
      </c>
      <c r="E2451" s="27">
        <v>10022.48</v>
      </c>
      <c r="F2451" s="27">
        <v>5204.12</v>
      </c>
      <c r="G2451" s="27">
        <v>719.64</v>
      </c>
      <c r="H2451" s="27">
        <v>205.12</v>
      </c>
      <c r="I2451" s="27">
        <v>1275.3800000000001</v>
      </c>
      <c r="J2451" s="27">
        <v>18184.400000000001</v>
      </c>
      <c r="K2451" s="47">
        <f t="shared" si="305"/>
        <v>0.55115813554475257</v>
      </c>
      <c r="L2451" s="47">
        <f t="shared" si="306"/>
        <v>0.28618596159345372</v>
      </c>
      <c r="M2451" s="84">
        <f t="shared" si="307"/>
        <v>0.83734409713820623</v>
      </c>
      <c r="N2451" s="47">
        <f t="shared" si="308"/>
        <v>3.9574580409581839E-2</v>
      </c>
      <c r="O2451" s="47">
        <f t="shared" si="309"/>
        <v>1.1279998240249884E-2</v>
      </c>
      <c r="P2451" s="47">
        <f t="shared" si="310"/>
        <v>7.0135940696421109E-2</v>
      </c>
      <c r="Q2451" s="47">
        <f t="shared" si="311"/>
        <v>1</v>
      </c>
    </row>
    <row r="2452" spans="1:17" x14ac:dyDescent="0.35">
      <c r="A2452" s="82">
        <v>2449</v>
      </c>
      <c r="B2452" s="83" t="str">
        <f>_xlfn.XLOOKUP(A2452,'TAZs by City - CCAG Model'!$A:$A,'TAZs by City - CCAG Model'!$B:$B,"Unknown")</f>
        <v>Concord</v>
      </c>
      <c r="C2452" s="82">
        <f>_xlfn.XLOOKUP(A2452,'TAZs by City - CCAG Model'!$A:$A,'TAZs by City - CCAG Model'!$C:$C,999)</f>
        <v>5</v>
      </c>
      <c r="D2452" s="82" t="str">
        <f t="shared" si="304"/>
        <v>NO</v>
      </c>
      <c r="E2452" s="27">
        <v>7053.46</v>
      </c>
      <c r="F2452" s="27">
        <v>4576.5</v>
      </c>
      <c r="G2452" s="27">
        <v>338.72</v>
      </c>
      <c r="H2452" s="27">
        <v>149.30000000000001</v>
      </c>
      <c r="I2452" s="27">
        <v>565.67999999999995</v>
      </c>
      <c r="J2452" s="27">
        <v>13049.76</v>
      </c>
      <c r="K2452" s="47">
        <f t="shared" si="305"/>
        <v>0.540504959478182</v>
      </c>
      <c r="L2452" s="47">
        <f t="shared" si="306"/>
        <v>0.35069610475594953</v>
      </c>
      <c r="M2452" s="84">
        <f t="shared" si="307"/>
        <v>0.89120106423413148</v>
      </c>
      <c r="N2452" s="47">
        <f t="shared" si="308"/>
        <v>2.5956032907884896E-2</v>
      </c>
      <c r="O2452" s="47">
        <f t="shared" si="309"/>
        <v>1.1440823432768112E-2</v>
      </c>
      <c r="P2452" s="47">
        <f t="shared" si="310"/>
        <v>4.3347923639974986E-2</v>
      </c>
      <c r="Q2452" s="47">
        <f t="shared" si="311"/>
        <v>1</v>
      </c>
    </row>
    <row r="2453" spans="1:17" x14ac:dyDescent="0.35">
      <c r="A2453" s="82">
        <v>2450</v>
      </c>
      <c r="B2453" s="83" t="str">
        <f>_xlfn.XLOOKUP(A2453,'TAZs by City - CCAG Model'!$A:$A,'TAZs by City - CCAG Model'!$B:$B,"Unknown")</f>
        <v>Concord</v>
      </c>
      <c r="C2453" s="82">
        <f>_xlfn.XLOOKUP(A2453,'TAZs by City - CCAG Model'!$A:$A,'TAZs by City - CCAG Model'!$C:$C,999)</f>
        <v>5</v>
      </c>
      <c r="D2453" s="82" t="str">
        <f t="shared" si="304"/>
        <v>NO</v>
      </c>
      <c r="E2453" s="27">
        <v>25462.639999999999</v>
      </c>
      <c r="F2453" s="27">
        <v>13114.5</v>
      </c>
      <c r="G2453" s="27">
        <v>1048.98</v>
      </c>
      <c r="H2453" s="27">
        <v>510.52</v>
      </c>
      <c r="I2453" s="27">
        <v>3497.28</v>
      </c>
      <c r="J2453" s="27">
        <v>44713.5</v>
      </c>
      <c r="K2453" s="47">
        <f t="shared" si="305"/>
        <v>0.56946201930065865</v>
      </c>
      <c r="L2453" s="47">
        <f t="shared" si="306"/>
        <v>0.29330068100238182</v>
      </c>
      <c r="M2453" s="84">
        <f t="shared" si="307"/>
        <v>0.86276270030304048</v>
      </c>
      <c r="N2453" s="47">
        <f t="shared" si="308"/>
        <v>2.346002885034721E-2</v>
      </c>
      <c r="O2453" s="47">
        <f t="shared" si="309"/>
        <v>1.1417580820110258E-2</v>
      </c>
      <c r="P2453" s="47">
        <f t="shared" si="310"/>
        <v>7.821530410278775E-2</v>
      </c>
      <c r="Q2453" s="47">
        <f t="shared" si="311"/>
        <v>1</v>
      </c>
    </row>
    <row r="2454" spans="1:17" x14ac:dyDescent="0.35">
      <c r="A2454" s="82">
        <v>2451</v>
      </c>
      <c r="B2454" s="83" t="str">
        <f>_xlfn.XLOOKUP(A2454,'TAZs by City - CCAG Model'!$A:$A,'TAZs by City - CCAG Model'!$B:$B,"Unknown")</f>
        <v>Concord</v>
      </c>
      <c r="C2454" s="82">
        <f>_xlfn.XLOOKUP(A2454,'TAZs by City - CCAG Model'!$A:$A,'TAZs by City - CCAG Model'!$C:$C,999)</f>
        <v>5</v>
      </c>
      <c r="D2454" s="82" t="str">
        <f t="shared" si="304"/>
        <v>NO</v>
      </c>
      <c r="E2454" s="27">
        <v>18369.419999999998</v>
      </c>
      <c r="F2454" s="27">
        <v>11861.28</v>
      </c>
      <c r="G2454" s="27">
        <v>1148.2</v>
      </c>
      <c r="H2454" s="27">
        <v>434.12</v>
      </c>
      <c r="I2454" s="27">
        <v>2355.98</v>
      </c>
      <c r="J2454" s="27">
        <v>35347.480000000003</v>
      </c>
      <c r="K2454" s="47">
        <f t="shared" si="305"/>
        <v>0.51968117670623182</v>
      </c>
      <c r="L2454" s="47">
        <f t="shared" si="306"/>
        <v>0.33556225224542174</v>
      </c>
      <c r="M2454" s="84">
        <f t="shared" si="307"/>
        <v>0.85524342895165351</v>
      </c>
      <c r="N2454" s="47">
        <f t="shared" si="308"/>
        <v>3.2483220868927569E-2</v>
      </c>
      <c r="O2454" s="47">
        <f t="shared" si="309"/>
        <v>1.228149786066786E-2</v>
      </c>
      <c r="P2454" s="47">
        <f t="shared" si="310"/>
        <v>6.6651993296268919E-2</v>
      </c>
      <c r="Q2454" s="47">
        <f t="shared" si="311"/>
        <v>1</v>
      </c>
    </row>
    <row r="2455" spans="1:17" x14ac:dyDescent="0.35">
      <c r="A2455" s="82">
        <v>2452</v>
      </c>
      <c r="B2455" s="83" t="str">
        <f>_xlfn.XLOOKUP(A2455,'TAZs by City - CCAG Model'!$A:$A,'TAZs by City - CCAG Model'!$B:$B,"Unknown")</f>
        <v>Concord</v>
      </c>
      <c r="C2455" s="82">
        <f>_xlfn.XLOOKUP(A2455,'TAZs by City - CCAG Model'!$A:$A,'TAZs by City - CCAG Model'!$C:$C,999)</f>
        <v>5</v>
      </c>
      <c r="D2455" s="82" t="str">
        <f t="shared" si="304"/>
        <v>NO</v>
      </c>
      <c r="E2455" s="27">
        <v>17783.48</v>
      </c>
      <c r="F2455" s="27">
        <v>12968.78</v>
      </c>
      <c r="G2455" s="27">
        <v>1930.38</v>
      </c>
      <c r="H2455" s="27">
        <v>573.17999999999995</v>
      </c>
      <c r="I2455" s="27">
        <v>2344.7800000000002</v>
      </c>
      <c r="J2455" s="27">
        <v>37561.279999999999</v>
      </c>
      <c r="K2455" s="47">
        <f t="shared" si="305"/>
        <v>0.47345244890482968</v>
      </c>
      <c r="L2455" s="47">
        <f t="shared" si="306"/>
        <v>0.34526991625418518</v>
      </c>
      <c r="M2455" s="84">
        <f t="shared" si="307"/>
        <v>0.81872236515901486</v>
      </c>
      <c r="N2455" s="47">
        <f t="shared" si="308"/>
        <v>5.1392817284182012E-2</v>
      </c>
      <c r="O2455" s="47">
        <f t="shared" si="309"/>
        <v>1.5259863348639876E-2</v>
      </c>
      <c r="P2455" s="47">
        <f t="shared" si="310"/>
        <v>6.2425455149558273E-2</v>
      </c>
      <c r="Q2455" s="47">
        <f t="shared" si="311"/>
        <v>1</v>
      </c>
    </row>
    <row r="2456" spans="1:17" x14ac:dyDescent="0.35">
      <c r="A2456" s="82">
        <v>2453</v>
      </c>
      <c r="B2456" s="83" t="str">
        <f>_xlfn.XLOOKUP(A2456,'TAZs by City - CCAG Model'!$A:$A,'TAZs by City - CCAG Model'!$B:$B,"Unknown")</f>
        <v>Pleasant Hill</v>
      </c>
      <c r="C2456" s="82">
        <f>_xlfn.XLOOKUP(A2456,'TAZs by City - CCAG Model'!$A:$A,'TAZs by City - CCAG Model'!$C:$C,999)</f>
        <v>5</v>
      </c>
      <c r="D2456" s="82" t="str">
        <f t="shared" si="304"/>
        <v>NO</v>
      </c>
      <c r="E2456" s="27">
        <v>51897.2</v>
      </c>
      <c r="F2456" s="27">
        <v>24159.18</v>
      </c>
      <c r="G2456" s="27">
        <v>2341.8200000000002</v>
      </c>
      <c r="H2456" s="27">
        <v>961.1</v>
      </c>
      <c r="I2456" s="27">
        <v>6629.4</v>
      </c>
      <c r="J2456" s="27">
        <v>88357.24</v>
      </c>
      <c r="K2456" s="47">
        <f t="shared" si="305"/>
        <v>0.58735650864603728</v>
      </c>
      <c r="L2456" s="47">
        <f t="shared" si="306"/>
        <v>0.27342615047731234</v>
      </c>
      <c r="M2456" s="84">
        <f t="shared" si="307"/>
        <v>0.86078265912334972</v>
      </c>
      <c r="N2456" s="47">
        <f t="shared" si="308"/>
        <v>2.6503996729639812E-2</v>
      </c>
      <c r="O2456" s="47">
        <f t="shared" si="309"/>
        <v>1.0877433473476536E-2</v>
      </c>
      <c r="P2456" s="47">
        <f t="shared" si="310"/>
        <v>7.5029505222209289E-2</v>
      </c>
      <c r="Q2456" s="47">
        <f t="shared" si="311"/>
        <v>1</v>
      </c>
    </row>
    <row r="2457" spans="1:17" x14ac:dyDescent="0.35">
      <c r="A2457" s="82">
        <v>2454</v>
      </c>
      <c r="B2457" s="83" t="str">
        <f>_xlfn.XLOOKUP(A2457,'TAZs by City - CCAG Model'!$A:$A,'TAZs by City - CCAG Model'!$B:$B,"Unknown")</f>
        <v>Concord</v>
      </c>
      <c r="C2457" s="82">
        <f>_xlfn.XLOOKUP(A2457,'TAZs by City - CCAG Model'!$A:$A,'TAZs by City - CCAG Model'!$C:$C,999)</f>
        <v>5</v>
      </c>
      <c r="D2457" s="82" t="str">
        <f t="shared" si="304"/>
        <v>NO</v>
      </c>
      <c r="E2457" s="27">
        <v>81972.56</v>
      </c>
      <c r="F2457" s="27">
        <v>35256.58</v>
      </c>
      <c r="G2457" s="27">
        <v>2716.56</v>
      </c>
      <c r="H2457" s="27">
        <v>1191.58</v>
      </c>
      <c r="I2457" s="27">
        <v>9753.64</v>
      </c>
      <c r="J2457" s="27">
        <v>133631.84</v>
      </c>
      <c r="K2457" s="47">
        <f t="shared" si="305"/>
        <v>0.61342087334874684</v>
      </c>
      <c r="L2457" s="47">
        <f t="shared" si="306"/>
        <v>0.26383367915909861</v>
      </c>
      <c r="M2457" s="84">
        <f t="shared" si="307"/>
        <v>0.87725455250784545</v>
      </c>
      <c r="N2457" s="47">
        <f t="shared" si="308"/>
        <v>2.0328688133007821E-2</v>
      </c>
      <c r="O2457" s="47">
        <f t="shared" si="309"/>
        <v>8.9168868736672329E-3</v>
      </c>
      <c r="P2457" s="47">
        <f t="shared" si="310"/>
        <v>7.2988892467543656E-2</v>
      </c>
      <c r="Q2457" s="47">
        <f t="shared" si="311"/>
        <v>1</v>
      </c>
    </row>
    <row r="2458" spans="1:17" x14ac:dyDescent="0.35">
      <c r="A2458" s="82">
        <v>2455</v>
      </c>
      <c r="B2458" s="83" t="str">
        <f>_xlfn.XLOOKUP(A2458,'TAZs by City - CCAG Model'!$A:$A,'TAZs by City - CCAG Model'!$B:$B,"Unknown")</f>
        <v>Unincorporated</v>
      </c>
      <c r="C2458" s="82">
        <f>_xlfn.XLOOKUP(A2458,'TAZs by City - CCAG Model'!$A:$A,'TAZs by City - CCAG Model'!$C:$C,999)</f>
        <v>5</v>
      </c>
      <c r="D2458" s="82" t="str">
        <f t="shared" si="304"/>
        <v>NO</v>
      </c>
      <c r="E2458" s="27">
        <v>31960.44</v>
      </c>
      <c r="F2458" s="27">
        <v>15839.84</v>
      </c>
      <c r="G2458" s="27">
        <v>1507.32</v>
      </c>
      <c r="H2458" s="27">
        <v>570.6</v>
      </c>
      <c r="I2458" s="27">
        <v>3326.46</v>
      </c>
      <c r="J2458" s="27">
        <v>54745.82</v>
      </c>
      <c r="K2458" s="47">
        <f t="shared" si="305"/>
        <v>0.58379689992770223</v>
      </c>
      <c r="L2458" s="47">
        <f t="shared" si="306"/>
        <v>0.28933423592888008</v>
      </c>
      <c r="M2458" s="84">
        <f t="shared" si="307"/>
        <v>0.87313113585658231</v>
      </c>
      <c r="N2458" s="47">
        <f t="shared" si="308"/>
        <v>2.7533060971595639E-2</v>
      </c>
      <c r="O2458" s="47">
        <f t="shared" si="309"/>
        <v>1.0422713551463838E-2</v>
      </c>
      <c r="P2458" s="47">
        <f t="shared" si="310"/>
        <v>6.0761899264637924E-2</v>
      </c>
      <c r="Q2458" s="47">
        <f t="shared" si="311"/>
        <v>1</v>
      </c>
    </row>
    <row r="2459" spans="1:17" x14ac:dyDescent="0.35">
      <c r="A2459" s="82">
        <v>2456</v>
      </c>
      <c r="B2459" s="83" t="str">
        <f>_xlfn.XLOOKUP(A2459,'TAZs by City - CCAG Model'!$A:$A,'TAZs by City - CCAG Model'!$B:$B,"Unknown")</f>
        <v>Martinez</v>
      </c>
      <c r="C2459" s="82">
        <f>_xlfn.XLOOKUP(A2459,'TAZs by City - CCAG Model'!$A:$A,'TAZs by City - CCAG Model'!$C:$C,999)</f>
        <v>5</v>
      </c>
      <c r="D2459" s="82" t="str">
        <f t="shared" si="304"/>
        <v>NO</v>
      </c>
      <c r="E2459" s="27">
        <v>25519.48</v>
      </c>
      <c r="F2459" s="27">
        <v>12233.9</v>
      </c>
      <c r="G2459" s="27">
        <v>739.8</v>
      </c>
      <c r="H2459" s="27">
        <v>427.02</v>
      </c>
      <c r="I2459" s="27">
        <v>2476.66</v>
      </c>
      <c r="J2459" s="27">
        <v>42164.72</v>
      </c>
      <c r="K2459" s="47">
        <f t="shared" si="305"/>
        <v>0.60523300048002215</v>
      </c>
      <c r="L2459" s="47">
        <f t="shared" si="306"/>
        <v>0.29014541066559907</v>
      </c>
      <c r="M2459" s="84">
        <f t="shared" si="307"/>
        <v>0.89537841114562122</v>
      </c>
      <c r="N2459" s="47">
        <f t="shared" si="308"/>
        <v>1.7545474036113604E-2</v>
      </c>
      <c r="O2459" s="47">
        <f t="shared" si="309"/>
        <v>1.0127424064478549E-2</v>
      </c>
      <c r="P2459" s="47">
        <f t="shared" si="310"/>
        <v>5.8737731449420266E-2</v>
      </c>
      <c r="Q2459" s="47">
        <f t="shared" si="311"/>
        <v>1</v>
      </c>
    </row>
    <row r="2460" spans="1:17" x14ac:dyDescent="0.35">
      <c r="A2460" s="82">
        <v>2457</v>
      </c>
      <c r="B2460" s="83" t="str">
        <f>_xlfn.XLOOKUP(A2460,'TAZs by City - CCAG Model'!$A:$A,'TAZs by City - CCAG Model'!$B:$B,"Unknown")</f>
        <v>Martinez</v>
      </c>
      <c r="C2460" s="82">
        <f>_xlfn.XLOOKUP(A2460,'TAZs by City - CCAG Model'!$A:$A,'TAZs by City - CCAG Model'!$C:$C,999)</f>
        <v>5</v>
      </c>
      <c r="D2460" s="82" t="str">
        <f t="shared" si="304"/>
        <v>NO</v>
      </c>
      <c r="E2460" s="27">
        <v>11462.94</v>
      </c>
      <c r="F2460" s="27">
        <v>7027</v>
      </c>
      <c r="G2460" s="27">
        <v>532.62</v>
      </c>
      <c r="H2460" s="27">
        <v>198.54</v>
      </c>
      <c r="I2460" s="27">
        <v>605.62</v>
      </c>
      <c r="J2460" s="27">
        <v>20387.46</v>
      </c>
      <c r="K2460" s="47">
        <f t="shared" si="305"/>
        <v>0.5622544446439135</v>
      </c>
      <c r="L2460" s="47">
        <f t="shared" si="306"/>
        <v>0.34467265662323804</v>
      </c>
      <c r="M2460" s="84">
        <f t="shared" si="307"/>
        <v>0.90692710126715159</v>
      </c>
      <c r="N2460" s="47">
        <f t="shared" si="308"/>
        <v>2.6124882648451548E-2</v>
      </c>
      <c r="O2460" s="47">
        <f t="shared" si="309"/>
        <v>9.738339155539729E-3</v>
      </c>
      <c r="P2460" s="47">
        <f t="shared" si="310"/>
        <v>2.9705515056804528E-2</v>
      </c>
      <c r="Q2460" s="47">
        <f t="shared" si="311"/>
        <v>1</v>
      </c>
    </row>
    <row r="2461" spans="1:17" x14ac:dyDescent="0.35">
      <c r="A2461" s="82">
        <v>2458</v>
      </c>
      <c r="B2461" s="83" t="str">
        <f>_xlfn.XLOOKUP(A2461,'TAZs by City - CCAG Model'!$A:$A,'TAZs by City - CCAG Model'!$B:$B,"Unknown")</f>
        <v>Martinez</v>
      </c>
      <c r="C2461" s="82">
        <f>_xlfn.XLOOKUP(A2461,'TAZs by City - CCAG Model'!$A:$A,'TAZs by City - CCAG Model'!$C:$C,999)</f>
        <v>5</v>
      </c>
      <c r="D2461" s="82" t="str">
        <f t="shared" si="304"/>
        <v>NO</v>
      </c>
      <c r="E2461" s="27">
        <v>14874.06</v>
      </c>
      <c r="F2461" s="27">
        <v>9649.7199999999993</v>
      </c>
      <c r="G2461" s="27">
        <v>674.84</v>
      </c>
      <c r="H2461" s="27">
        <v>293.62</v>
      </c>
      <c r="I2461" s="27">
        <v>1629.52</v>
      </c>
      <c r="J2461" s="27">
        <v>27821.58</v>
      </c>
      <c r="K2461" s="47">
        <f t="shared" si="305"/>
        <v>0.53462312348903251</v>
      </c>
      <c r="L2461" s="47">
        <f t="shared" si="306"/>
        <v>0.34684299022557308</v>
      </c>
      <c r="M2461" s="84">
        <f t="shared" si="307"/>
        <v>0.88146611371460559</v>
      </c>
      <c r="N2461" s="47">
        <f t="shared" si="308"/>
        <v>2.4255991212576711E-2</v>
      </c>
      <c r="O2461" s="47">
        <f t="shared" si="309"/>
        <v>1.0553678116052359E-2</v>
      </c>
      <c r="P2461" s="47">
        <f t="shared" si="310"/>
        <v>5.8570361568250254E-2</v>
      </c>
      <c r="Q2461" s="47">
        <f t="shared" si="311"/>
        <v>1</v>
      </c>
    </row>
    <row r="2462" spans="1:17" x14ac:dyDescent="0.35">
      <c r="A2462" s="82">
        <v>2459</v>
      </c>
      <c r="B2462" s="83" t="str">
        <f>_xlfn.XLOOKUP(A2462,'TAZs by City - CCAG Model'!$A:$A,'TAZs by City - CCAG Model'!$B:$B,"Unknown")</f>
        <v>Pleasant Hill</v>
      </c>
      <c r="C2462" s="82">
        <f>_xlfn.XLOOKUP(A2462,'TAZs by City - CCAG Model'!$A:$A,'TAZs by City - CCAG Model'!$C:$C,999)</f>
        <v>5</v>
      </c>
      <c r="D2462" s="82" t="str">
        <f t="shared" si="304"/>
        <v>NO</v>
      </c>
      <c r="E2462" s="27">
        <v>39202.78</v>
      </c>
      <c r="F2462" s="27">
        <v>16874.62</v>
      </c>
      <c r="G2462" s="27">
        <v>3301.16</v>
      </c>
      <c r="H2462" s="27">
        <v>786.82</v>
      </c>
      <c r="I2462" s="27">
        <v>2855.46</v>
      </c>
      <c r="J2462" s="27">
        <v>66356.38</v>
      </c>
      <c r="K2462" s="47">
        <f t="shared" si="305"/>
        <v>0.59079142050847255</v>
      </c>
      <c r="L2462" s="47">
        <f t="shared" si="306"/>
        <v>0.25430290199676353</v>
      </c>
      <c r="M2462" s="84">
        <f t="shared" si="307"/>
        <v>0.84509432250523597</v>
      </c>
      <c r="N2462" s="47">
        <f t="shared" si="308"/>
        <v>4.9748946521796393E-2</v>
      </c>
      <c r="O2462" s="47">
        <f t="shared" si="309"/>
        <v>1.1857488307831138E-2</v>
      </c>
      <c r="P2462" s="47">
        <f t="shared" si="310"/>
        <v>4.3032184697236346E-2</v>
      </c>
      <c r="Q2462" s="47">
        <f t="shared" si="311"/>
        <v>1</v>
      </c>
    </row>
    <row r="2463" spans="1:17" x14ac:dyDescent="0.35">
      <c r="A2463" s="82">
        <v>2460</v>
      </c>
      <c r="B2463" s="83" t="str">
        <f>_xlfn.XLOOKUP(A2463,'TAZs by City - CCAG Model'!$A:$A,'TAZs by City - CCAG Model'!$B:$B,"Unknown")</f>
        <v>Pleasant Hill</v>
      </c>
      <c r="C2463" s="82">
        <f>_xlfn.XLOOKUP(A2463,'TAZs by City - CCAG Model'!$A:$A,'TAZs by City - CCAG Model'!$C:$C,999)</f>
        <v>5</v>
      </c>
      <c r="D2463" s="82" t="str">
        <f t="shared" si="304"/>
        <v>NO</v>
      </c>
      <c r="E2463" s="27">
        <v>14807.66</v>
      </c>
      <c r="F2463" s="27">
        <v>8384.9</v>
      </c>
      <c r="G2463" s="27">
        <v>643.48</v>
      </c>
      <c r="H2463" s="27">
        <v>301.38</v>
      </c>
      <c r="I2463" s="27">
        <v>1568.86</v>
      </c>
      <c r="J2463" s="27">
        <v>26381.919999999998</v>
      </c>
      <c r="K2463" s="47">
        <f t="shared" si="305"/>
        <v>0.56128060429263682</v>
      </c>
      <c r="L2463" s="47">
        <f t="shared" si="306"/>
        <v>0.31782751217500471</v>
      </c>
      <c r="M2463" s="84">
        <f t="shared" si="307"/>
        <v>0.87910811646764142</v>
      </c>
      <c r="N2463" s="47">
        <f t="shared" si="308"/>
        <v>2.4390946527015473E-2</v>
      </c>
      <c r="O2463" s="47">
        <f t="shared" si="309"/>
        <v>1.1423732616883078E-2</v>
      </c>
      <c r="P2463" s="47">
        <f t="shared" si="310"/>
        <v>5.9467241201550156E-2</v>
      </c>
      <c r="Q2463" s="47">
        <f t="shared" si="311"/>
        <v>1</v>
      </c>
    </row>
    <row r="2464" spans="1:17" x14ac:dyDescent="0.35">
      <c r="A2464" s="82">
        <v>2461</v>
      </c>
      <c r="B2464" s="83" t="str">
        <f>_xlfn.XLOOKUP(A2464,'TAZs by City - CCAG Model'!$A:$A,'TAZs by City - CCAG Model'!$B:$B,"Unknown")</f>
        <v>Pleasant Hill</v>
      </c>
      <c r="C2464" s="82">
        <f>_xlfn.XLOOKUP(A2464,'TAZs by City - CCAG Model'!$A:$A,'TAZs by City - CCAG Model'!$C:$C,999)</f>
        <v>5</v>
      </c>
      <c r="D2464" s="82" t="str">
        <f t="shared" si="304"/>
        <v>NO</v>
      </c>
      <c r="E2464" s="27">
        <v>20473.8</v>
      </c>
      <c r="F2464" s="27">
        <v>10933.02</v>
      </c>
      <c r="G2464" s="27">
        <v>952.94</v>
      </c>
      <c r="H2464" s="27">
        <v>378.34</v>
      </c>
      <c r="I2464" s="27">
        <v>1961.82</v>
      </c>
      <c r="J2464" s="27">
        <v>35684.76</v>
      </c>
      <c r="K2464" s="47">
        <f t="shared" si="305"/>
        <v>0.57374072293046097</v>
      </c>
      <c r="L2464" s="47">
        <f t="shared" si="306"/>
        <v>0.30637784869507317</v>
      </c>
      <c r="M2464" s="84">
        <f t="shared" si="307"/>
        <v>0.8801185716255342</v>
      </c>
      <c r="N2464" s="47">
        <f t="shared" si="308"/>
        <v>2.6704397059136728E-2</v>
      </c>
      <c r="O2464" s="47">
        <f t="shared" si="309"/>
        <v>1.060228512115536E-2</v>
      </c>
      <c r="P2464" s="47">
        <f t="shared" si="310"/>
        <v>5.4976410097756015E-2</v>
      </c>
      <c r="Q2464" s="47">
        <f t="shared" si="311"/>
        <v>1</v>
      </c>
    </row>
    <row r="2465" spans="1:17" x14ac:dyDescent="0.35">
      <c r="A2465" s="82">
        <v>2462</v>
      </c>
      <c r="B2465" s="83" t="str">
        <f>_xlfn.XLOOKUP(A2465,'TAZs by City - CCAG Model'!$A:$A,'TAZs by City - CCAG Model'!$B:$B,"Unknown")</f>
        <v>Pleasant Hill</v>
      </c>
      <c r="C2465" s="82">
        <f>_xlfn.XLOOKUP(A2465,'TAZs by City - CCAG Model'!$A:$A,'TAZs by City - CCAG Model'!$C:$C,999)</f>
        <v>5</v>
      </c>
      <c r="D2465" s="82" t="str">
        <f t="shared" si="304"/>
        <v>NO</v>
      </c>
      <c r="E2465" s="27">
        <v>8189.12</v>
      </c>
      <c r="F2465" s="27">
        <v>5092.1400000000003</v>
      </c>
      <c r="G2465" s="27">
        <v>423.22</v>
      </c>
      <c r="H2465" s="27">
        <v>161.80000000000001</v>
      </c>
      <c r="I2465" s="27">
        <v>607.17999999999995</v>
      </c>
      <c r="J2465" s="27">
        <v>14928.8</v>
      </c>
      <c r="K2465" s="47">
        <f t="shared" si="305"/>
        <v>0.54854509404640694</v>
      </c>
      <c r="L2465" s="47">
        <f t="shared" si="306"/>
        <v>0.34109506457317401</v>
      </c>
      <c r="M2465" s="84">
        <f t="shared" si="307"/>
        <v>0.88964015861958101</v>
      </c>
      <c r="N2465" s="47">
        <f t="shared" si="308"/>
        <v>2.8349231016558601E-2</v>
      </c>
      <c r="O2465" s="47">
        <f t="shared" si="309"/>
        <v>1.0838111569583624E-2</v>
      </c>
      <c r="P2465" s="47">
        <f t="shared" si="310"/>
        <v>4.067172177268099E-2</v>
      </c>
      <c r="Q2465" s="47">
        <f t="shared" si="311"/>
        <v>1</v>
      </c>
    </row>
    <row r="2466" spans="1:17" x14ac:dyDescent="0.35">
      <c r="A2466" s="82">
        <v>2463</v>
      </c>
      <c r="B2466" s="83" t="str">
        <f>_xlfn.XLOOKUP(A2466,'TAZs by City - CCAG Model'!$A:$A,'TAZs by City - CCAG Model'!$B:$B,"Unknown")</f>
        <v>Unincorporated</v>
      </c>
      <c r="C2466" s="82">
        <f>_xlfn.XLOOKUP(A2466,'TAZs by City - CCAG Model'!$A:$A,'TAZs by City - CCAG Model'!$C:$C,999)</f>
        <v>5</v>
      </c>
      <c r="D2466" s="82" t="str">
        <f t="shared" si="304"/>
        <v>NO</v>
      </c>
      <c r="E2466" s="27">
        <v>16071.58</v>
      </c>
      <c r="F2466" s="27">
        <v>10458.620000000001</v>
      </c>
      <c r="G2466" s="27">
        <v>724.46</v>
      </c>
      <c r="H2466" s="27">
        <v>225.46</v>
      </c>
      <c r="I2466" s="27">
        <v>593.34</v>
      </c>
      <c r="J2466" s="27">
        <v>28825.18</v>
      </c>
      <c r="K2466" s="47">
        <f t="shared" si="305"/>
        <v>0.55755350009956572</v>
      </c>
      <c r="L2466" s="47">
        <f t="shared" si="306"/>
        <v>0.36282930410148351</v>
      </c>
      <c r="M2466" s="84">
        <f t="shared" si="307"/>
        <v>0.92038280420104923</v>
      </c>
      <c r="N2466" s="47">
        <f t="shared" si="308"/>
        <v>2.5132887288127952E-2</v>
      </c>
      <c r="O2466" s="47">
        <f t="shared" si="309"/>
        <v>7.8216337244034553E-3</v>
      </c>
      <c r="P2466" s="47">
        <f t="shared" si="310"/>
        <v>2.0584086552104794E-2</v>
      </c>
      <c r="Q2466" s="47">
        <f t="shared" si="311"/>
        <v>1</v>
      </c>
    </row>
    <row r="2467" spans="1:17" x14ac:dyDescent="0.35">
      <c r="A2467" s="82">
        <v>2464</v>
      </c>
      <c r="B2467" s="83" t="str">
        <f>_xlfn.XLOOKUP(A2467,'TAZs by City - CCAG Model'!$A:$A,'TAZs by City - CCAG Model'!$B:$B,"Unknown")</f>
        <v>Lafayette</v>
      </c>
      <c r="C2467" s="82">
        <f>_xlfn.XLOOKUP(A2467,'TAZs by City - CCAG Model'!$A:$A,'TAZs by City - CCAG Model'!$C:$C,999)</f>
        <v>5</v>
      </c>
      <c r="D2467" s="82" t="str">
        <f t="shared" si="304"/>
        <v>NO</v>
      </c>
      <c r="E2467" s="27">
        <v>11466.28</v>
      </c>
      <c r="F2467" s="27">
        <v>8034.7</v>
      </c>
      <c r="G2467" s="27">
        <v>538.26</v>
      </c>
      <c r="H2467" s="27">
        <v>191.92</v>
      </c>
      <c r="I2467" s="27">
        <v>879.54</v>
      </c>
      <c r="J2467" s="27">
        <v>21670.74</v>
      </c>
      <c r="K2467" s="47">
        <f t="shared" si="305"/>
        <v>0.52911344974837038</v>
      </c>
      <c r="L2467" s="47">
        <f t="shared" si="306"/>
        <v>0.37076260432269498</v>
      </c>
      <c r="M2467" s="84">
        <f t="shared" si="307"/>
        <v>0.8998760540710653</v>
      </c>
      <c r="N2467" s="47">
        <f t="shared" si="308"/>
        <v>2.4838099668031639E-2</v>
      </c>
      <c r="O2467" s="47">
        <f t="shared" si="309"/>
        <v>8.8561811917820983E-3</v>
      </c>
      <c r="P2467" s="47">
        <f t="shared" si="310"/>
        <v>4.0586523579720854E-2</v>
      </c>
      <c r="Q2467" s="47">
        <f t="shared" si="311"/>
        <v>1</v>
      </c>
    </row>
    <row r="2468" spans="1:17" x14ac:dyDescent="0.35">
      <c r="A2468" s="82">
        <v>2465</v>
      </c>
      <c r="B2468" s="83" t="str">
        <f>_xlfn.XLOOKUP(A2468,'TAZs by City - CCAG Model'!$A:$A,'TAZs by City - CCAG Model'!$B:$B,"Unknown")</f>
        <v>Walnut Creek</v>
      </c>
      <c r="C2468" s="82">
        <f>_xlfn.XLOOKUP(A2468,'TAZs by City - CCAG Model'!$A:$A,'TAZs by City - CCAG Model'!$C:$C,999)</f>
        <v>5</v>
      </c>
      <c r="D2468" s="82" t="str">
        <f t="shared" si="304"/>
        <v>NO</v>
      </c>
      <c r="E2468" s="27">
        <v>21436.52</v>
      </c>
      <c r="F2468" s="27">
        <v>11733.06</v>
      </c>
      <c r="G2468" s="27">
        <v>1292.58</v>
      </c>
      <c r="H2468" s="27">
        <v>362.6</v>
      </c>
      <c r="I2468" s="27">
        <v>1379.24</v>
      </c>
      <c r="J2468" s="27">
        <v>37527.32</v>
      </c>
      <c r="K2468" s="47">
        <f t="shared" si="305"/>
        <v>0.57122437733363318</v>
      </c>
      <c r="L2468" s="47">
        <f t="shared" si="306"/>
        <v>0.31265382126941116</v>
      </c>
      <c r="M2468" s="84">
        <f t="shared" si="307"/>
        <v>0.8838781986030444</v>
      </c>
      <c r="N2468" s="47">
        <f t="shared" si="308"/>
        <v>3.4443706611609885E-2</v>
      </c>
      <c r="O2468" s="47">
        <f t="shared" si="309"/>
        <v>9.66229403005597E-3</v>
      </c>
      <c r="P2468" s="47">
        <f t="shared" si="310"/>
        <v>3.6752957578638709E-2</v>
      </c>
      <c r="Q2468" s="47">
        <f t="shared" si="311"/>
        <v>1</v>
      </c>
    </row>
    <row r="2469" spans="1:17" x14ac:dyDescent="0.35">
      <c r="A2469" s="82">
        <v>2466</v>
      </c>
      <c r="B2469" s="83" t="str">
        <f>_xlfn.XLOOKUP(A2469,'TAZs by City - CCAG Model'!$A:$A,'TAZs by City - CCAG Model'!$B:$B,"Unknown")</f>
        <v>Walnut Creek</v>
      </c>
      <c r="C2469" s="82">
        <f>_xlfn.XLOOKUP(A2469,'TAZs by City - CCAG Model'!$A:$A,'TAZs by City - CCAG Model'!$C:$C,999)</f>
        <v>5</v>
      </c>
      <c r="D2469" s="82" t="str">
        <f t="shared" si="304"/>
        <v>NO</v>
      </c>
      <c r="E2469" s="27">
        <v>19181.240000000002</v>
      </c>
      <c r="F2469" s="27">
        <v>9832.52</v>
      </c>
      <c r="G2469" s="27">
        <v>936.92</v>
      </c>
      <c r="H2469" s="27">
        <v>377.28</v>
      </c>
      <c r="I2469" s="27">
        <v>1558.14</v>
      </c>
      <c r="J2469" s="27">
        <v>32854.94</v>
      </c>
      <c r="K2469" s="47">
        <f t="shared" si="305"/>
        <v>0.58381601062123378</v>
      </c>
      <c r="L2469" s="47">
        <f t="shared" si="306"/>
        <v>0.29927067284250097</v>
      </c>
      <c r="M2469" s="84">
        <f t="shared" si="307"/>
        <v>0.88308668346373487</v>
      </c>
      <c r="N2469" s="47">
        <f t="shared" si="308"/>
        <v>2.851686839178522E-2</v>
      </c>
      <c r="O2469" s="47">
        <f t="shared" si="309"/>
        <v>1.1483204656590452E-2</v>
      </c>
      <c r="P2469" s="47">
        <f t="shared" si="310"/>
        <v>4.7424831699586119E-2</v>
      </c>
      <c r="Q2469" s="47">
        <f t="shared" si="311"/>
        <v>1</v>
      </c>
    </row>
    <row r="2470" spans="1:17" x14ac:dyDescent="0.35">
      <c r="A2470" s="82">
        <v>2467</v>
      </c>
      <c r="B2470" s="83" t="str">
        <f>_xlfn.XLOOKUP(A2470,'TAZs by City - CCAG Model'!$A:$A,'TAZs by City - CCAG Model'!$B:$B,"Unknown")</f>
        <v>Walnut Creek</v>
      </c>
      <c r="C2470" s="82">
        <f>_xlfn.XLOOKUP(A2470,'TAZs by City - CCAG Model'!$A:$A,'TAZs by City - CCAG Model'!$C:$C,999)</f>
        <v>5</v>
      </c>
      <c r="D2470" s="82" t="str">
        <f t="shared" si="304"/>
        <v>NO</v>
      </c>
      <c r="E2470" s="27">
        <v>16710.060000000001</v>
      </c>
      <c r="F2470" s="27">
        <v>8258.7800000000007</v>
      </c>
      <c r="G2470" s="27">
        <v>1357.04</v>
      </c>
      <c r="H2470" s="27">
        <v>333.26</v>
      </c>
      <c r="I2470" s="27">
        <v>3023.44</v>
      </c>
      <c r="J2470" s="27">
        <v>31074.36</v>
      </c>
      <c r="K2470" s="47">
        <f t="shared" si="305"/>
        <v>0.53774430108938687</v>
      </c>
      <c r="L2470" s="47">
        <f t="shared" si="306"/>
        <v>0.26577474161977915</v>
      </c>
      <c r="M2470" s="84">
        <f t="shared" si="307"/>
        <v>0.80351904270916608</v>
      </c>
      <c r="N2470" s="47">
        <f t="shared" si="308"/>
        <v>4.367073046717615E-2</v>
      </c>
      <c r="O2470" s="47">
        <f t="shared" si="309"/>
        <v>1.0724597385111069E-2</v>
      </c>
      <c r="P2470" s="47">
        <f t="shared" si="310"/>
        <v>9.7296935479926211E-2</v>
      </c>
      <c r="Q2470" s="47">
        <f t="shared" si="311"/>
        <v>1</v>
      </c>
    </row>
    <row r="2471" spans="1:17" x14ac:dyDescent="0.35">
      <c r="A2471" s="82">
        <v>2468</v>
      </c>
      <c r="B2471" s="83" t="str">
        <f>_xlfn.XLOOKUP(A2471,'TAZs by City - CCAG Model'!$A:$A,'TAZs by City - CCAG Model'!$B:$B,"Unknown")</f>
        <v>Walnut Creek</v>
      </c>
      <c r="C2471" s="82">
        <f>_xlfn.XLOOKUP(A2471,'TAZs by City - CCAG Model'!$A:$A,'TAZs by City - CCAG Model'!$C:$C,999)</f>
        <v>5</v>
      </c>
      <c r="D2471" s="82" t="str">
        <f t="shared" si="304"/>
        <v>NO</v>
      </c>
      <c r="E2471" s="27">
        <v>19672.28</v>
      </c>
      <c r="F2471" s="27">
        <v>8630.66</v>
      </c>
      <c r="G2471" s="27">
        <v>1464.04</v>
      </c>
      <c r="H2471" s="27">
        <v>366.02</v>
      </c>
      <c r="I2471" s="27">
        <v>3201.6</v>
      </c>
      <c r="J2471" s="27">
        <v>34830.620000000003</v>
      </c>
      <c r="K2471" s="47">
        <f t="shared" si="305"/>
        <v>0.56479844458697537</v>
      </c>
      <c r="L2471" s="47">
        <f t="shared" si="306"/>
        <v>0.24778944503428302</v>
      </c>
      <c r="M2471" s="84">
        <f t="shared" si="307"/>
        <v>0.81258788962125839</v>
      </c>
      <c r="N2471" s="47">
        <f t="shared" si="308"/>
        <v>4.2033130618978357E-2</v>
      </c>
      <c r="O2471" s="47">
        <f t="shared" si="309"/>
        <v>1.0508569758448169E-2</v>
      </c>
      <c r="P2471" s="47">
        <f t="shared" si="310"/>
        <v>9.1919121738286591E-2</v>
      </c>
      <c r="Q2471" s="47">
        <f t="shared" si="311"/>
        <v>1</v>
      </c>
    </row>
    <row r="2472" spans="1:17" x14ac:dyDescent="0.35">
      <c r="A2472" s="82">
        <v>2469</v>
      </c>
      <c r="B2472" s="83" t="str">
        <f>_xlfn.XLOOKUP(A2472,'TAZs by City - CCAG Model'!$A:$A,'TAZs by City - CCAG Model'!$B:$B,"Unknown")</f>
        <v>Walnut Creek</v>
      </c>
      <c r="C2472" s="82">
        <f>_xlfn.XLOOKUP(A2472,'TAZs by City - CCAG Model'!$A:$A,'TAZs by City - CCAG Model'!$C:$C,999)</f>
        <v>5</v>
      </c>
      <c r="D2472" s="82" t="str">
        <f t="shared" si="304"/>
        <v>NO</v>
      </c>
      <c r="E2472" s="27">
        <v>31359.66</v>
      </c>
      <c r="F2472" s="27">
        <v>12047.72</v>
      </c>
      <c r="G2472" s="27">
        <v>1453.34</v>
      </c>
      <c r="H2472" s="27">
        <v>461.46</v>
      </c>
      <c r="I2472" s="27">
        <v>2154</v>
      </c>
      <c r="J2472" s="27">
        <v>48955.94</v>
      </c>
      <c r="K2472" s="47">
        <f t="shared" si="305"/>
        <v>0.6405690504563899</v>
      </c>
      <c r="L2472" s="47">
        <f t="shared" si="306"/>
        <v>0.2460931196500363</v>
      </c>
      <c r="M2472" s="84">
        <f t="shared" si="307"/>
        <v>0.88666217010642623</v>
      </c>
      <c r="N2472" s="47">
        <f t="shared" si="308"/>
        <v>2.9686693790375588E-2</v>
      </c>
      <c r="O2472" s="47">
        <f t="shared" si="309"/>
        <v>9.4260267497672384E-3</v>
      </c>
      <c r="P2472" s="47">
        <f t="shared" si="310"/>
        <v>4.3998746628090481E-2</v>
      </c>
      <c r="Q2472" s="47">
        <f t="shared" si="311"/>
        <v>1</v>
      </c>
    </row>
    <row r="2473" spans="1:17" x14ac:dyDescent="0.35">
      <c r="A2473" s="82">
        <v>2470</v>
      </c>
      <c r="B2473" s="83" t="str">
        <f>_xlfn.XLOOKUP(A2473,'TAZs by City - CCAG Model'!$A:$A,'TAZs by City - CCAG Model'!$B:$B,"Unknown")</f>
        <v>Walnut Creek</v>
      </c>
      <c r="C2473" s="82">
        <f>_xlfn.XLOOKUP(A2473,'TAZs by City - CCAG Model'!$A:$A,'TAZs by City - CCAG Model'!$C:$C,999)</f>
        <v>5</v>
      </c>
      <c r="D2473" s="82" t="str">
        <f t="shared" si="304"/>
        <v>NO</v>
      </c>
      <c r="E2473" s="27">
        <v>15023.44</v>
      </c>
      <c r="F2473" s="27">
        <v>9378.74</v>
      </c>
      <c r="G2473" s="27">
        <v>720.5</v>
      </c>
      <c r="H2473" s="27">
        <v>289.89999999999998</v>
      </c>
      <c r="I2473" s="27">
        <v>1494.32</v>
      </c>
      <c r="J2473" s="27">
        <v>27657.08</v>
      </c>
      <c r="K2473" s="47">
        <f t="shared" si="305"/>
        <v>0.54320412711681776</v>
      </c>
      <c r="L2473" s="47">
        <f t="shared" si="306"/>
        <v>0.33910810541098335</v>
      </c>
      <c r="M2473" s="84">
        <f t="shared" si="307"/>
        <v>0.88231223252780111</v>
      </c>
      <c r="N2473" s="47">
        <f t="shared" si="308"/>
        <v>2.6051195570899022E-2</v>
      </c>
      <c r="O2473" s="47">
        <f t="shared" si="309"/>
        <v>1.0481945310206282E-2</v>
      </c>
      <c r="P2473" s="47">
        <f t="shared" si="310"/>
        <v>5.4030288085365474E-2</v>
      </c>
      <c r="Q2473" s="47">
        <f t="shared" si="311"/>
        <v>1</v>
      </c>
    </row>
    <row r="2474" spans="1:17" x14ac:dyDescent="0.35">
      <c r="A2474" s="82">
        <v>2471</v>
      </c>
      <c r="B2474" s="83" t="str">
        <f>_xlfn.XLOOKUP(A2474,'TAZs by City - CCAG Model'!$A:$A,'TAZs by City - CCAG Model'!$B:$B,"Unknown")</f>
        <v>Walnut Creek</v>
      </c>
      <c r="C2474" s="82">
        <f>_xlfn.XLOOKUP(A2474,'TAZs by City - CCAG Model'!$A:$A,'TAZs by City - CCAG Model'!$C:$C,999)</f>
        <v>5</v>
      </c>
      <c r="D2474" s="82" t="str">
        <f t="shared" si="304"/>
        <v>NO</v>
      </c>
      <c r="E2474" s="27">
        <v>8386.26</v>
      </c>
      <c r="F2474" s="27">
        <v>5710.04</v>
      </c>
      <c r="G2474" s="27">
        <v>298.82</v>
      </c>
      <c r="H2474" s="27">
        <v>146.88</v>
      </c>
      <c r="I2474" s="27">
        <v>613.58000000000004</v>
      </c>
      <c r="J2474" s="27">
        <v>15481.98</v>
      </c>
      <c r="K2474" s="47">
        <f t="shared" si="305"/>
        <v>0.5416787775207047</v>
      </c>
      <c r="L2474" s="47">
        <f t="shared" si="306"/>
        <v>0.36881845862092577</v>
      </c>
      <c r="M2474" s="84">
        <f t="shared" si="307"/>
        <v>0.91049723614163047</v>
      </c>
      <c r="N2474" s="47">
        <f t="shared" si="308"/>
        <v>1.9301148819466245E-2</v>
      </c>
      <c r="O2474" s="47">
        <f t="shared" si="309"/>
        <v>9.4871586192463754E-3</v>
      </c>
      <c r="P2474" s="47">
        <f t="shared" si="310"/>
        <v>3.9631881710220529E-2</v>
      </c>
      <c r="Q2474" s="47">
        <f t="shared" si="311"/>
        <v>1</v>
      </c>
    </row>
    <row r="2475" spans="1:17" x14ac:dyDescent="0.35">
      <c r="A2475" s="82">
        <v>2472</v>
      </c>
      <c r="B2475" s="83" t="str">
        <f>_xlfn.XLOOKUP(A2475,'TAZs by City - CCAG Model'!$A:$A,'TAZs by City - CCAG Model'!$B:$B,"Unknown")</f>
        <v>Walnut Creek</v>
      </c>
      <c r="C2475" s="82">
        <f>_xlfn.XLOOKUP(A2475,'TAZs by City - CCAG Model'!$A:$A,'TAZs by City - CCAG Model'!$C:$C,999)</f>
        <v>5</v>
      </c>
      <c r="D2475" s="82" t="str">
        <f t="shared" si="304"/>
        <v>NO</v>
      </c>
      <c r="E2475" s="27">
        <v>11065.76</v>
      </c>
      <c r="F2475" s="27">
        <v>6206.44</v>
      </c>
      <c r="G2475" s="27">
        <v>304.10000000000002</v>
      </c>
      <c r="H2475" s="27">
        <v>186.28</v>
      </c>
      <c r="I2475" s="27">
        <v>961.92</v>
      </c>
      <c r="J2475" s="27">
        <v>19062.060000000001</v>
      </c>
      <c r="K2475" s="47">
        <f t="shared" si="305"/>
        <v>0.58051228461142179</v>
      </c>
      <c r="L2475" s="47">
        <f t="shared" si="306"/>
        <v>0.3255912529915444</v>
      </c>
      <c r="M2475" s="84">
        <f t="shared" si="307"/>
        <v>0.90610353760296625</v>
      </c>
      <c r="N2475" s="47">
        <f t="shared" si="308"/>
        <v>1.5953155115449223E-2</v>
      </c>
      <c r="O2475" s="47">
        <f t="shared" si="309"/>
        <v>9.772291137474123E-3</v>
      </c>
      <c r="P2475" s="47">
        <f t="shared" si="310"/>
        <v>5.0462541823916192E-2</v>
      </c>
      <c r="Q2475" s="47">
        <f t="shared" si="311"/>
        <v>1</v>
      </c>
    </row>
    <row r="2476" spans="1:17" x14ac:dyDescent="0.35">
      <c r="A2476" s="82">
        <v>2473</v>
      </c>
      <c r="B2476" s="83" t="str">
        <f>_xlfn.XLOOKUP(A2476,'TAZs by City - CCAG Model'!$A:$A,'TAZs by City - CCAG Model'!$B:$B,"Unknown")</f>
        <v>Walnut Creek</v>
      </c>
      <c r="C2476" s="82">
        <f>_xlfn.XLOOKUP(A2476,'TAZs by City - CCAG Model'!$A:$A,'TAZs by City - CCAG Model'!$C:$C,999)</f>
        <v>5</v>
      </c>
      <c r="D2476" s="82" t="str">
        <f t="shared" si="304"/>
        <v>NO</v>
      </c>
      <c r="E2476" s="27">
        <v>16944.96</v>
      </c>
      <c r="F2476" s="27">
        <v>10132.66</v>
      </c>
      <c r="G2476" s="27">
        <v>552.72</v>
      </c>
      <c r="H2476" s="27">
        <v>336.42</v>
      </c>
      <c r="I2476" s="27">
        <v>1860.78</v>
      </c>
      <c r="J2476" s="27">
        <v>30407.599999999999</v>
      </c>
      <c r="K2476" s="47">
        <f t="shared" si="305"/>
        <v>0.55726068482879276</v>
      </c>
      <c r="L2476" s="47">
        <f t="shared" si="306"/>
        <v>0.333227877241216</v>
      </c>
      <c r="M2476" s="84">
        <f t="shared" si="307"/>
        <v>0.89048856207000882</v>
      </c>
      <c r="N2476" s="47">
        <f t="shared" si="308"/>
        <v>1.8177034688696247E-2</v>
      </c>
      <c r="O2476" s="47">
        <f t="shared" si="309"/>
        <v>1.1063681448059038E-2</v>
      </c>
      <c r="P2476" s="47">
        <f t="shared" si="310"/>
        <v>6.1194569778607981E-2</v>
      </c>
      <c r="Q2476" s="47">
        <f t="shared" si="311"/>
        <v>1</v>
      </c>
    </row>
    <row r="2477" spans="1:17" x14ac:dyDescent="0.35">
      <c r="A2477" s="82">
        <v>2474</v>
      </c>
      <c r="B2477" s="83" t="str">
        <f>_xlfn.XLOOKUP(A2477,'TAZs by City - CCAG Model'!$A:$A,'TAZs by City - CCAG Model'!$B:$B,"Unknown")</f>
        <v>Walnut Creek</v>
      </c>
      <c r="C2477" s="82">
        <f>_xlfn.XLOOKUP(A2477,'TAZs by City - CCAG Model'!$A:$A,'TAZs by City - CCAG Model'!$C:$C,999)</f>
        <v>5</v>
      </c>
      <c r="D2477" s="82" t="str">
        <f t="shared" si="304"/>
        <v>NO</v>
      </c>
      <c r="E2477" s="27">
        <v>9523.14</v>
      </c>
      <c r="F2477" s="27">
        <v>5942.38</v>
      </c>
      <c r="G2477" s="27">
        <v>451.16</v>
      </c>
      <c r="H2477" s="27">
        <v>162.91999999999999</v>
      </c>
      <c r="I2477" s="27">
        <v>593.67999999999995</v>
      </c>
      <c r="J2477" s="27">
        <v>17154.18</v>
      </c>
      <c r="K2477" s="47">
        <f t="shared" si="305"/>
        <v>0.55514982354155074</v>
      </c>
      <c r="L2477" s="47">
        <f t="shared" si="306"/>
        <v>0.34641002950884275</v>
      </c>
      <c r="M2477" s="84">
        <f t="shared" si="307"/>
        <v>0.90155985305039354</v>
      </c>
      <c r="N2477" s="47">
        <f t="shared" si="308"/>
        <v>2.6300295321606746E-2</v>
      </c>
      <c r="O2477" s="47">
        <f t="shared" si="309"/>
        <v>9.4973936381686549E-3</v>
      </c>
      <c r="P2477" s="47">
        <f t="shared" si="310"/>
        <v>3.4608474435968373E-2</v>
      </c>
      <c r="Q2477" s="47">
        <f t="shared" si="311"/>
        <v>1</v>
      </c>
    </row>
    <row r="2478" spans="1:17" x14ac:dyDescent="0.35">
      <c r="A2478" s="82">
        <v>2475</v>
      </c>
      <c r="B2478" s="83" t="str">
        <f>_xlfn.XLOOKUP(A2478,'TAZs by City - CCAG Model'!$A:$A,'TAZs by City - CCAG Model'!$B:$B,"Unknown")</f>
        <v>Walnut Creek</v>
      </c>
      <c r="C2478" s="82">
        <f>_xlfn.XLOOKUP(A2478,'TAZs by City - CCAG Model'!$A:$A,'TAZs by City - CCAG Model'!$C:$C,999)</f>
        <v>5</v>
      </c>
      <c r="D2478" s="82" t="str">
        <f t="shared" si="304"/>
        <v>NO</v>
      </c>
      <c r="E2478" s="27">
        <v>16683.46</v>
      </c>
      <c r="F2478" s="27">
        <v>8897.16</v>
      </c>
      <c r="G2478" s="27">
        <v>609.14</v>
      </c>
      <c r="H2478" s="27">
        <v>263.08</v>
      </c>
      <c r="I2478" s="27">
        <v>900.94</v>
      </c>
      <c r="J2478" s="27">
        <v>27994.98</v>
      </c>
      <c r="K2478" s="47">
        <f t="shared" si="305"/>
        <v>0.59594470151434287</v>
      </c>
      <c r="L2478" s="47">
        <f t="shared" si="306"/>
        <v>0.3178126935614885</v>
      </c>
      <c r="M2478" s="84">
        <f t="shared" si="307"/>
        <v>0.91375739507583142</v>
      </c>
      <c r="N2478" s="47">
        <f t="shared" si="308"/>
        <v>2.1758901060118636E-2</v>
      </c>
      <c r="O2478" s="47">
        <f t="shared" si="309"/>
        <v>9.3973991051252755E-3</v>
      </c>
      <c r="P2478" s="47">
        <f t="shared" si="310"/>
        <v>3.2182198379852388E-2</v>
      </c>
      <c r="Q2478" s="47">
        <f t="shared" si="311"/>
        <v>1</v>
      </c>
    </row>
    <row r="2479" spans="1:17" x14ac:dyDescent="0.35">
      <c r="A2479" s="82">
        <v>2476</v>
      </c>
      <c r="B2479" s="83" t="str">
        <f>_xlfn.XLOOKUP(A2479,'TAZs by City - CCAG Model'!$A:$A,'TAZs by City - CCAG Model'!$B:$B,"Unknown")</f>
        <v>Walnut Creek</v>
      </c>
      <c r="C2479" s="82">
        <f>_xlfn.XLOOKUP(A2479,'TAZs by City - CCAG Model'!$A:$A,'TAZs by City - CCAG Model'!$C:$C,999)</f>
        <v>5</v>
      </c>
      <c r="D2479" s="82" t="str">
        <f t="shared" si="304"/>
        <v>NO</v>
      </c>
      <c r="E2479" s="27">
        <v>13272.14</v>
      </c>
      <c r="F2479" s="27">
        <v>7281.18</v>
      </c>
      <c r="G2479" s="27">
        <v>699.34</v>
      </c>
      <c r="H2479" s="27">
        <v>239.94</v>
      </c>
      <c r="I2479" s="27">
        <v>1100.08</v>
      </c>
      <c r="J2479" s="27">
        <v>23321.46</v>
      </c>
      <c r="K2479" s="47">
        <f t="shared" si="305"/>
        <v>0.56909558835510299</v>
      </c>
      <c r="L2479" s="47">
        <f t="shared" si="306"/>
        <v>0.31220944143291202</v>
      </c>
      <c r="M2479" s="84">
        <f t="shared" si="307"/>
        <v>0.88130502978801506</v>
      </c>
      <c r="N2479" s="47">
        <f t="shared" si="308"/>
        <v>2.9986973371306944E-2</v>
      </c>
      <c r="O2479" s="47">
        <f t="shared" si="309"/>
        <v>1.0288378171864026E-2</v>
      </c>
      <c r="P2479" s="47">
        <f t="shared" si="310"/>
        <v>4.7170288652597217E-2</v>
      </c>
      <c r="Q2479" s="47">
        <f t="shared" si="311"/>
        <v>1</v>
      </c>
    </row>
    <row r="2480" spans="1:17" x14ac:dyDescent="0.35">
      <c r="A2480" s="82">
        <v>2477</v>
      </c>
      <c r="B2480" s="83" t="str">
        <f>_xlfn.XLOOKUP(A2480,'TAZs by City - CCAG Model'!$A:$A,'TAZs by City - CCAG Model'!$B:$B,"Unknown")</f>
        <v>Walnut Creek</v>
      </c>
      <c r="C2480" s="82">
        <f>_xlfn.XLOOKUP(A2480,'TAZs by City - CCAG Model'!$A:$A,'TAZs by City - CCAG Model'!$C:$C,999)</f>
        <v>5</v>
      </c>
      <c r="D2480" s="82" t="str">
        <f t="shared" si="304"/>
        <v>NO</v>
      </c>
      <c r="E2480" s="27">
        <v>69878.679999999993</v>
      </c>
      <c r="F2480" s="27">
        <v>27024.18</v>
      </c>
      <c r="G2480" s="27">
        <v>5516.2</v>
      </c>
      <c r="H2480" s="27">
        <v>1041.4000000000001</v>
      </c>
      <c r="I2480" s="27">
        <v>6120.66</v>
      </c>
      <c r="J2480" s="27">
        <v>115122</v>
      </c>
      <c r="K2480" s="47">
        <f t="shared" si="305"/>
        <v>0.60699675127256292</v>
      </c>
      <c r="L2480" s="47">
        <f t="shared" si="306"/>
        <v>0.23474383697295043</v>
      </c>
      <c r="M2480" s="84">
        <f t="shared" si="307"/>
        <v>0.84174058824551334</v>
      </c>
      <c r="N2480" s="47">
        <f t="shared" si="308"/>
        <v>4.7916123764354335E-2</v>
      </c>
      <c r="O2480" s="47">
        <f t="shared" si="309"/>
        <v>9.0460554889595386E-3</v>
      </c>
      <c r="P2480" s="47">
        <f t="shared" si="310"/>
        <v>5.3166727471725649E-2</v>
      </c>
      <c r="Q2480" s="47">
        <f t="shared" si="311"/>
        <v>1</v>
      </c>
    </row>
    <row r="2481" spans="1:17" x14ac:dyDescent="0.35">
      <c r="A2481" s="82">
        <v>2478</v>
      </c>
      <c r="B2481" s="83" t="str">
        <f>_xlfn.XLOOKUP(A2481,'TAZs by City - CCAG Model'!$A:$A,'TAZs by City - CCAG Model'!$B:$B,"Unknown")</f>
        <v>Walnut Creek</v>
      </c>
      <c r="C2481" s="82">
        <f>_xlfn.XLOOKUP(A2481,'TAZs by City - CCAG Model'!$A:$A,'TAZs by City - CCAG Model'!$C:$C,999)</f>
        <v>5</v>
      </c>
      <c r="D2481" s="82" t="str">
        <f t="shared" si="304"/>
        <v>NO</v>
      </c>
      <c r="E2481" s="27">
        <v>35728.6</v>
      </c>
      <c r="F2481" s="27">
        <v>14461.44</v>
      </c>
      <c r="G2481" s="27">
        <v>1699.4</v>
      </c>
      <c r="H2481" s="27">
        <v>554.84</v>
      </c>
      <c r="I2481" s="27">
        <v>3050.78</v>
      </c>
      <c r="J2481" s="27">
        <v>57220.5</v>
      </c>
      <c r="K2481" s="47">
        <f t="shared" si="305"/>
        <v>0.6244020936552459</v>
      </c>
      <c r="L2481" s="47">
        <f t="shared" si="306"/>
        <v>0.25273180066584527</v>
      </c>
      <c r="M2481" s="84">
        <f t="shared" si="307"/>
        <v>0.87713389432109123</v>
      </c>
      <c r="N2481" s="47">
        <f t="shared" si="308"/>
        <v>2.9699146284985278E-2</v>
      </c>
      <c r="O2481" s="47">
        <f t="shared" si="309"/>
        <v>9.6965248468643232E-3</v>
      </c>
      <c r="P2481" s="47">
        <f t="shared" si="310"/>
        <v>5.3316206604276446E-2</v>
      </c>
      <c r="Q2481" s="47">
        <f t="shared" si="311"/>
        <v>1</v>
      </c>
    </row>
    <row r="2482" spans="1:17" x14ac:dyDescent="0.35">
      <c r="A2482" s="82">
        <v>2479</v>
      </c>
      <c r="B2482" s="83" t="str">
        <f>_xlfn.XLOOKUP(A2482,'TAZs by City - CCAG Model'!$A:$A,'TAZs by City - CCAG Model'!$B:$B,"Unknown")</f>
        <v>Unincorporated</v>
      </c>
      <c r="C2482" s="82">
        <f>_xlfn.XLOOKUP(A2482,'TAZs by City - CCAG Model'!$A:$A,'TAZs by City - CCAG Model'!$C:$C,999)</f>
        <v>5</v>
      </c>
      <c r="D2482" s="82" t="str">
        <f t="shared" si="304"/>
        <v>NO</v>
      </c>
      <c r="E2482" s="27">
        <v>23086.48</v>
      </c>
      <c r="F2482" s="27">
        <v>11998.38</v>
      </c>
      <c r="G2482" s="27">
        <v>724.9</v>
      </c>
      <c r="H2482" s="27">
        <v>330.98</v>
      </c>
      <c r="I2482" s="27">
        <v>1257.6400000000001</v>
      </c>
      <c r="J2482" s="27">
        <v>38151.22</v>
      </c>
      <c r="K2482" s="47">
        <f t="shared" si="305"/>
        <v>0.60513084509486192</v>
      </c>
      <c r="L2482" s="47">
        <f t="shared" si="306"/>
        <v>0.31449531627035776</v>
      </c>
      <c r="M2482" s="84">
        <f t="shared" si="307"/>
        <v>0.9196261613652198</v>
      </c>
      <c r="N2482" s="47">
        <f t="shared" si="308"/>
        <v>1.9000702991935774E-2</v>
      </c>
      <c r="O2482" s="47">
        <f t="shared" si="309"/>
        <v>8.6754761708799887E-3</v>
      </c>
      <c r="P2482" s="47">
        <f t="shared" si="310"/>
        <v>3.2964607684891858E-2</v>
      </c>
      <c r="Q2482" s="47">
        <f t="shared" si="311"/>
        <v>1</v>
      </c>
    </row>
    <row r="2483" spans="1:17" x14ac:dyDescent="0.35">
      <c r="A2483" s="82">
        <v>2480</v>
      </c>
      <c r="B2483" s="83" t="str">
        <f>_xlfn.XLOOKUP(A2483,'TAZs by City - CCAG Model'!$A:$A,'TAZs by City - CCAG Model'!$B:$B,"Unknown")</f>
        <v>Walnut Creek</v>
      </c>
      <c r="C2483" s="82">
        <f>_xlfn.XLOOKUP(A2483,'TAZs by City - CCAG Model'!$A:$A,'TAZs by City - CCAG Model'!$C:$C,999)</f>
        <v>5</v>
      </c>
      <c r="D2483" s="82" t="str">
        <f t="shared" si="304"/>
        <v>NO</v>
      </c>
      <c r="E2483" s="27">
        <v>21591.66</v>
      </c>
      <c r="F2483" s="27">
        <v>12372.54</v>
      </c>
      <c r="G2483" s="27">
        <v>665.24</v>
      </c>
      <c r="H2483" s="27">
        <v>398.84</v>
      </c>
      <c r="I2483" s="27">
        <v>2231.6</v>
      </c>
      <c r="J2483" s="27">
        <v>37956.720000000001</v>
      </c>
      <c r="K2483" s="47">
        <f t="shared" si="305"/>
        <v>0.5688494685526041</v>
      </c>
      <c r="L2483" s="47">
        <f t="shared" si="306"/>
        <v>0.32596441420649624</v>
      </c>
      <c r="M2483" s="84">
        <f t="shared" si="307"/>
        <v>0.89481388275910023</v>
      </c>
      <c r="N2483" s="47">
        <f t="shared" si="308"/>
        <v>1.7526277296879181E-2</v>
      </c>
      <c r="O2483" s="47">
        <f t="shared" si="309"/>
        <v>1.0507757256159119E-2</v>
      </c>
      <c r="P2483" s="47">
        <f t="shared" si="310"/>
        <v>5.8793278239004841E-2</v>
      </c>
      <c r="Q2483" s="47">
        <f t="shared" si="311"/>
        <v>1</v>
      </c>
    </row>
    <row r="2484" spans="1:17" x14ac:dyDescent="0.35">
      <c r="A2484" s="82">
        <v>2481</v>
      </c>
      <c r="B2484" s="83" t="str">
        <f>_xlfn.XLOOKUP(A2484,'TAZs by City - CCAG Model'!$A:$A,'TAZs by City - CCAG Model'!$B:$B,"Unknown")</f>
        <v>Unincorporated</v>
      </c>
      <c r="C2484" s="82">
        <f>_xlfn.XLOOKUP(A2484,'TAZs by City - CCAG Model'!$A:$A,'TAZs by City - CCAG Model'!$C:$C,999)</f>
        <v>5</v>
      </c>
      <c r="D2484" s="82" t="str">
        <f t="shared" si="304"/>
        <v>NO</v>
      </c>
      <c r="E2484" s="27">
        <v>14801.14</v>
      </c>
      <c r="F2484" s="27">
        <v>8074.48</v>
      </c>
      <c r="G2484" s="27">
        <v>790.96</v>
      </c>
      <c r="H2484" s="27">
        <v>277.10000000000002</v>
      </c>
      <c r="I2484" s="27">
        <v>1168.6199999999999</v>
      </c>
      <c r="J2484" s="27">
        <v>25935.82</v>
      </c>
      <c r="K2484" s="47">
        <f t="shared" si="305"/>
        <v>0.57068332522357113</v>
      </c>
      <c r="L2484" s="47">
        <f t="shared" si="306"/>
        <v>0.31132541789694712</v>
      </c>
      <c r="M2484" s="84">
        <f t="shared" si="307"/>
        <v>0.88200874312051825</v>
      </c>
      <c r="N2484" s="47">
        <f t="shared" si="308"/>
        <v>3.0496818685509079E-2</v>
      </c>
      <c r="O2484" s="47">
        <f t="shared" si="309"/>
        <v>1.068406551248428E-2</v>
      </c>
      <c r="P2484" s="47">
        <f t="shared" si="310"/>
        <v>4.5058147380726728E-2</v>
      </c>
      <c r="Q2484" s="47">
        <f t="shared" si="311"/>
        <v>1</v>
      </c>
    </row>
    <row r="2485" spans="1:17" x14ac:dyDescent="0.35">
      <c r="A2485" s="82">
        <v>2482</v>
      </c>
      <c r="B2485" s="83" t="str">
        <f>_xlfn.XLOOKUP(A2485,'TAZs by City - CCAG Model'!$A:$A,'TAZs by City - CCAG Model'!$B:$B,"Unknown")</f>
        <v>Lafayette</v>
      </c>
      <c r="C2485" s="82">
        <f>_xlfn.XLOOKUP(A2485,'TAZs by City - CCAG Model'!$A:$A,'TAZs by City - CCAG Model'!$C:$C,999)</f>
        <v>5</v>
      </c>
      <c r="D2485" s="82" t="str">
        <f t="shared" si="304"/>
        <v>NO</v>
      </c>
      <c r="E2485" s="27">
        <v>28709.84</v>
      </c>
      <c r="F2485" s="27">
        <v>14661.9</v>
      </c>
      <c r="G2485" s="27">
        <v>991.98</v>
      </c>
      <c r="H2485" s="27">
        <v>406.02</v>
      </c>
      <c r="I2485" s="27">
        <v>2179.9</v>
      </c>
      <c r="J2485" s="27">
        <v>47972.38</v>
      </c>
      <c r="K2485" s="47">
        <f t="shared" si="305"/>
        <v>0.59846603399706255</v>
      </c>
      <c r="L2485" s="47">
        <f t="shared" si="306"/>
        <v>0.30563211581330757</v>
      </c>
      <c r="M2485" s="84">
        <f t="shared" si="307"/>
        <v>0.90409814981037007</v>
      </c>
      <c r="N2485" s="47">
        <f t="shared" si="308"/>
        <v>2.0678148551312236E-2</v>
      </c>
      <c r="O2485" s="47">
        <f t="shared" si="309"/>
        <v>8.4636201080705194E-3</v>
      </c>
      <c r="P2485" s="47">
        <f t="shared" si="310"/>
        <v>4.5440730687116217E-2</v>
      </c>
      <c r="Q2485" s="47">
        <f t="shared" si="311"/>
        <v>1</v>
      </c>
    </row>
    <row r="2486" spans="1:17" x14ac:dyDescent="0.35">
      <c r="A2486" s="82">
        <v>2483</v>
      </c>
      <c r="B2486" s="83" t="str">
        <f>_xlfn.XLOOKUP(A2486,'TAZs by City - CCAG Model'!$A:$A,'TAZs by City - CCAG Model'!$B:$B,"Unknown")</f>
        <v>Lafayette</v>
      </c>
      <c r="C2486" s="82">
        <f>_xlfn.XLOOKUP(A2486,'TAZs by City - CCAG Model'!$A:$A,'TAZs by City - CCAG Model'!$C:$C,999)</f>
        <v>5</v>
      </c>
      <c r="D2486" s="82" t="str">
        <f t="shared" si="304"/>
        <v>NO</v>
      </c>
      <c r="E2486" s="27">
        <v>13004.42</v>
      </c>
      <c r="F2486" s="27">
        <v>9601.2800000000007</v>
      </c>
      <c r="G2486" s="27">
        <v>712.98</v>
      </c>
      <c r="H2486" s="27">
        <v>227.12</v>
      </c>
      <c r="I2486" s="27">
        <v>902.3</v>
      </c>
      <c r="J2486" s="27">
        <v>25188.62</v>
      </c>
      <c r="K2486" s="47">
        <f t="shared" si="305"/>
        <v>0.51628155889445315</v>
      </c>
      <c r="L2486" s="47">
        <f t="shared" si="306"/>
        <v>0.3811753085321864</v>
      </c>
      <c r="M2486" s="84">
        <f t="shared" si="307"/>
        <v>0.89745686742663955</v>
      </c>
      <c r="N2486" s="47">
        <f t="shared" si="308"/>
        <v>2.8305639610268447E-2</v>
      </c>
      <c r="O2486" s="47">
        <f t="shared" si="309"/>
        <v>9.0167702716544215E-3</v>
      </c>
      <c r="P2486" s="47">
        <f t="shared" si="310"/>
        <v>3.5821732194935646E-2</v>
      </c>
      <c r="Q2486" s="47">
        <f t="shared" si="311"/>
        <v>1</v>
      </c>
    </row>
    <row r="2487" spans="1:17" x14ac:dyDescent="0.35">
      <c r="A2487" s="82">
        <v>2484</v>
      </c>
      <c r="B2487" s="83" t="str">
        <f>_xlfn.XLOOKUP(A2487,'TAZs by City - CCAG Model'!$A:$A,'TAZs by City - CCAG Model'!$B:$B,"Unknown")</f>
        <v>Lafayette</v>
      </c>
      <c r="C2487" s="82">
        <f>_xlfn.XLOOKUP(A2487,'TAZs by City - CCAG Model'!$A:$A,'TAZs by City - CCAG Model'!$C:$C,999)</f>
        <v>5</v>
      </c>
      <c r="D2487" s="82" t="str">
        <f t="shared" si="304"/>
        <v>NO</v>
      </c>
      <c r="E2487" s="27">
        <v>29507.599999999999</v>
      </c>
      <c r="F2487" s="27">
        <v>14553.88</v>
      </c>
      <c r="G2487" s="27">
        <v>2149.86</v>
      </c>
      <c r="H2487" s="27">
        <v>397.02</v>
      </c>
      <c r="I2487" s="27">
        <v>2747.78</v>
      </c>
      <c r="J2487" s="27">
        <v>51535.94</v>
      </c>
      <c r="K2487" s="47">
        <f t="shared" si="305"/>
        <v>0.57256353527266601</v>
      </c>
      <c r="L2487" s="47">
        <f t="shared" si="306"/>
        <v>0.2824025330672148</v>
      </c>
      <c r="M2487" s="84">
        <f t="shared" si="307"/>
        <v>0.85496606833988076</v>
      </c>
      <c r="N2487" s="47">
        <f t="shared" si="308"/>
        <v>4.1715742450802298E-2</v>
      </c>
      <c r="O2487" s="47">
        <f t="shared" si="309"/>
        <v>7.7037500431737533E-3</v>
      </c>
      <c r="P2487" s="47">
        <f t="shared" si="310"/>
        <v>5.3317742918825191E-2</v>
      </c>
      <c r="Q2487" s="47">
        <f t="shared" si="311"/>
        <v>1</v>
      </c>
    </row>
    <row r="2488" spans="1:17" x14ac:dyDescent="0.35">
      <c r="A2488" s="82">
        <v>2485</v>
      </c>
      <c r="B2488" s="83" t="str">
        <f>_xlfn.XLOOKUP(A2488,'TAZs by City - CCAG Model'!$A:$A,'TAZs by City - CCAG Model'!$B:$B,"Unknown")</f>
        <v>Orinda</v>
      </c>
      <c r="C2488" s="82">
        <f>_xlfn.XLOOKUP(A2488,'TAZs by City - CCAG Model'!$A:$A,'TAZs by City - CCAG Model'!$C:$C,999)</f>
        <v>5</v>
      </c>
      <c r="D2488" s="82" t="str">
        <f t="shared" si="304"/>
        <v>NO</v>
      </c>
      <c r="E2488" s="27">
        <v>11312.94</v>
      </c>
      <c r="F2488" s="27">
        <v>7226.78</v>
      </c>
      <c r="G2488" s="27">
        <v>1285.76</v>
      </c>
      <c r="H2488" s="27">
        <v>129.28</v>
      </c>
      <c r="I2488" s="27">
        <v>389.22</v>
      </c>
      <c r="J2488" s="27">
        <v>21657.18</v>
      </c>
      <c r="K2488" s="47">
        <f t="shared" si="305"/>
        <v>0.52236440755444613</v>
      </c>
      <c r="L2488" s="47">
        <f t="shared" si="306"/>
        <v>0.33368979710193108</v>
      </c>
      <c r="M2488" s="84">
        <f t="shared" si="307"/>
        <v>0.85605420465637727</v>
      </c>
      <c r="N2488" s="47">
        <f t="shared" si="308"/>
        <v>5.9368763615576914E-2</v>
      </c>
      <c r="O2488" s="47">
        <f t="shared" si="309"/>
        <v>5.9693829021137566E-3</v>
      </c>
      <c r="P2488" s="47">
        <f t="shared" si="310"/>
        <v>1.7971868913681282E-2</v>
      </c>
      <c r="Q2488" s="47">
        <f t="shared" si="311"/>
        <v>1</v>
      </c>
    </row>
    <row r="2489" spans="1:17" x14ac:dyDescent="0.35">
      <c r="A2489" s="82">
        <v>2486</v>
      </c>
      <c r="B2489" s="83" t="str">
        <f>_xlfn.XLOOKUP(A2489,'TAZs by City - CCAG Model'!$A:$A,'TAZs by City - CCAG Model'!$B:$B,"Unknown")</f>
        <v>Orinda</v>
      </c>
      <c r="C2489" s="82">
        <f>_xlfn.XLOOKUP(A2489,'TAZs by City - CCAG Model'!$A:$A,'TAZs by City - CCAG Model'!$C:$C,999)</f>
        <v>5</v>
      </c>
      <c r="D2489" s="82" t="str">
        <f t="shared" si="304"/>
        <v>NO</v>
      </c>
      <c r="E2489" s="27">
        <v>27342.04</v>
      </c>
      <c r="F2489" s="27">
        <v>15359.68</v>
      </c>
      <c r="G2489" s="27">
        <v>1652.18</v>
      </c>
      <c r="H2489" s="27">
        <v>221.58</v>
      </c>
      <c r="I2489" s="27">
        <v>2072.02</v>
      </c>
      <c r="J2489" s="27">
        <v>48324.56</v>
      </c>
      <c r="K2489" s="47">
        <f t="shared" si="305"/>
        <v>0.56580008178036179</v>
      </c>
      <c r="L2489" s="47">
        <f t="shared" si="306"/>
        <v>0.31784417695681039</v>
      </c>
      <c r="M2489" s="84">
        <f t="shared" si="307"/>
        <v>0.88364425873717223</v>
      </c>
      <c r="N2489" s="47">
        <f t="shared" si="308"/>
        <v>3.41892404193644E-2</v>
      </c>
      <c r="O2489" s="47">
        <f t="shared" si="309"/>
        <v>4.5852460943255364E-3</v>
      </c>
      <c r="P2489" s="47">
        <f t="shared" si="310"/>
        <v>4.287716225455545E-2</v>
      </c>
      <c r="Q2489" s="47">
        <f t="shared" si="311"/>
        <v>1</v>
      </c>
    </row>
    <row r="2490" spans="1:17" x14ac:dyDescent="0.35">
      <c r="A2490" s="82">
        <v>2487</v>
      </c>
      <c r="B2490" s="83" t="str">
        <f>_xlfn.XLOOKUP(A2490,'TAZs by City - CCAG Model'!$A:$A,'TAZs by City - CCAG Model'!$B:$B,"Unknown")</f>
        <v>Unincorporated</v>
      </c>
      <c r="C2490" s="82">
        <f>_xlfn.XLOOKUP(A2490,'TAZs by City - CCAG Model'!$A:$A,'TAZs by City - CCAG Model'!$C:$C,999)</f>
        <v>5</v>
      </c>
      <c r="D2490" s="82" t="str">
        <f t="shared" si="304"/>
        <v>NO</v>
      </c>
      <c r="E2490" s="27">
        <v>4324.74</v>
      </c>
      <c r="F2490" s="27">
        <v>2976.96</v>
      </c>
      <c r="G2490" s="27">
        <v>494</v>
      </c>
      <c r="H2490" s="27">
        <v>43.04</v>
      </c>
      <c r="I2490" s="27">
        <v>144.80000000000001</v>
      </c>
      <c r="J2490" s="27">
        <v>8508</v>
      </c>
      <c r="K2490" s="47">
        <f t="shared" si="305"/>
        <v>0.50831452750352601</v>
      </c>
      <c r="L2490" s="47">
        <f t="shared" si="306"/>
        <v>0.34990126939351202</v>
      </c>
      <c r="M2490" s="84">
        <f t="shared" si="307"/>
        <v>0.85821579689703809</v>
      </c>
      <c r="N2490" s="47">
        <f t="shared" si="308"/>
        <v>5.8062999529854255E-2</v>
      </c>
      <c r="O2490" s="47">
        <f t="shared" si="309"/>
        <v>5.0587682181476258E-3</v>
      </c>
      <c r="P2490" s="47">
        <f t="shared" si="310"/>
        <v>1.7019275975552424E-2</v>
      </c>
      <c r="Q2490" s="47">
        <f t="shared" si="311"/>
        <v>1</v>
      </c>
    </row>
    <row r="2491" spans="1:17" x14ac:dyDescent="0.35">
      <c r="A2491" s="82">
        <v>2488</v>
      </c>
      <c r="B2491" s="83" t="str">
        <f>_xlfn.XLOOKUP(A2491,'TAZs by City - CCAG Model'!$A:$A,'TAZs by City - CCAG Model'!$B:$B,"Unknown")</f>
        <v>Orinda</v>
      </c>
      <c r="C2491" s="82">
        <f>_xlfn.XLOOKUP(A2491,'TAZs by City - CCAG Model'!$A:$A,'TAZs by City - CCAG Model'!$C:$C,999)</f>
        <v>5</v>
      </c>
      <c r="D2491" s="82" t="str">
        <f t="shared" si="304"/>
        <v>NO</v>
      </c>
      <c r="E2491" s="27">
        <v>9909.7800000000007</v>
      </c>
      <c r="F2491" s="27">
        <v>6225.66</v>
      </c>
      <c r="G2491" s="27">
        <v>1064.4000000000001</v>
      </c>
      <c r="H2491" s="27">
        <v>113.68</v>
      </c>
      <c r="I2491" s="27">
        <v>393.66</v>
      </c>
      <c r="J2491" s="27">
        <v>18801.759999999998</v>
      </c>
      <c r="K2491" s="47">
        <f t="shared" si="305"/>
        <v>0.52706661504029417</v>
      </c>
      <c r="L2491" s="47">
        <f t="shared" si="306"/>
        <v>0.33112112908578772</v>
      </c>
      <c r="M2491" s="84">
        <f t="shared" si="307"/>
        <v>0.8581877441260819</v>
      </c>
      <c r="N2491" s="47">
        <f t="shared" si="308"/>
        <v>5.6611721455863719E-2</v>
      </c>
      <c r="O2491" s="47">
        <f t="shared" si="309"/>
        <v>6.046242479427459E-3</v>
      </c>
      <c r="P2491" s="47">
        <f t="shared" si="310"/>
        <v>2.0937401604956135E-2</v>
      </c>
      <c r="Q2491" s="47">
        <f t="shared" si="311"/>
        <v>1</v>
      </c>
    </row>
    <row r="2492" spans="1:17" x14ac:dyDescent="0.35">
      <c r="A2492" s="82">
        <v>2489</v>
      </c>
      <c r="B2492" s="83" t="str">
        <f>_xlfn.XLOOKUP(A2492,'TAZs by City - CCAG Model'!$A:$A,'TAZs by City - CCAG Model'!$B:$B,"Unknown")</f>
        <v>Unincorporated</v>
      </c>
      <c r="C2492" s="82">
        <f>_xlfn.XLOOKUP(A2492,'TAZs by City - CCAG Model'!$A:$A,'TAZs by City - CCAG Model'!$C:$C,999)</f>
        <v>5</v>
      </c>
      <c r="D2492" s="82" t="str">
        <f t="shared" si="304"/>
        <v>NO</v>
      </c>
      <c r="E2492" s="27">
        <v>8677.5</v>
      </c>
      <c r="F2492" s="27">
        <v>4985.3599999999997</v>
      </c>
      <c r="G2492" s="27">
        <v>583.64</v>
      </c>
      <c r="H2492" s="27">
        <v>89.94</v>
      </c>
      <c r="I2492" s="27">
        <v>385.3</v>
      </c>
      <c r="J2492" s="27">
        <v>15336.92</v>
      </c>
      <c r="K2492" s="47">
        <f t="shared" si="305"/>
        <v>0.56579156701606315</v>
      </c>
      <c r="L2492" s="47">
        <f t="shared" si="306"/>
        <v>0.32505613904225877</v>
      </c>
      <c r="M2492" s="84">
        <f t="shared" si="307"/>
        <v>0.89084770605832209</v>
      </c>
      <c r="N2492" s="47">
        <f t="shared" si="308"/>
        <v>3.8054576798992233E-2</v>
      </c>
      <c r="O2492" s="47">
        <f t="shared" si="309"/>
        <v>5.8642804422269924E-3</v>
      </c>
      <c r="P2492" s="47">
        <f t="shared" si="310"/>
        <v>2.5122384416167001E-2</v>
      </c>
      <c r="Q2492" s="47">
        <f t="shared" si="311"/>
        <v>1</v>
      </c>
    </row>
    <row r="2493" spans="1:17" x14ac:dyDescent="0.35">
      <c r="A2493" s="82">
        <v>2490</v>
      </c>
      <c r="B2493" s="83" t="str">
        <f>_xlfn.XLOOKUP(A2493,'TAZs by City - CCAG Model'!$A:$A,'TAZs by City - CCAG Model'!$B:$B,"Unknown")</f>
        <v>Moraga</v>
      </c>
      <c r="C2493" s="82">
        <f>_xlfn.XLOOKUP(A2493,'TAZs by City - CCAG Model'!$A:$A,'TAZs by City - CCAG Model'!$C:$C,999)</f>
        <v>5</v>
      </c>
      <c r="D2493" s="82" t="str">
        <f t="shared" si="304"/>
        <v>NO</v>
      </c>
      <c r="E2493" s="27">
        <v>19070.419999999998</v>
      </c>
      <c r="F2493" s="27">
        <v>12012.32</v>
      </c>
      <c r="G2493" s="27">
        <v>1386.66</v>
      </c>
      <c r="H2493" s="27">
        <v>291.45999999999998</v>
      </c>
      <c r="I2493" s="27">
        <v>1671.34</v>
      </c>
      <c r="J2493" s="27">
        <v>35848.6</v>
      </c>
      <c r="K2493" s="47">
        <f t="shared" si="305"/>
        <v>0.53197112300061922</v>
      </c>
      <c r="L2493" s="47">
        <f t="shared" si="306"/>
        <v>0.33508477318500585</v>
      </c>
      <c r="M2493" s="84">
        <f t="shared" si="307"/>
        <v>0.86705589618562506</v>
      </c>
      <c r="N2493" s="47">
        <f t="shared" si="308"/>
        <v>3.8681008463370956E-2</v>
      </c>
      <c r="O2493" s="47">
        <f t="shared" si="309"/>
        <v>8.1303035543926396E-3</v>
      </c>
      <c r="P2493" s="47">
        <f t="shared" si="310"/>
        <v>4.6622183293071419E-2</v>
      </c>
      <c r="Q2493" s="47">
        <f t="shared" si="311"/>
        <v>1</v>
      </c>
    </row>
    <row r="2494" spans="1:17" x14ac:dyDescent="0.35">
      <c r="A2494" s="82">
        <v>2491</v>
      </c>
      <c r="B2494" s="83" t="str">
        <f>_xlfn.XLOOKUP(A2494,'TAZs by City - CCAG Model'!$A:$A,'TAZs by City - CCAG Model'!$B:$B,"Unknown")</f>
        <v>Unincorporated</v>
      </c>
      <c r="C2494" s="82">
        <f>_xlfn.XLOOKUP(A2494,'TAZs by City - CCAG Model'!$A:$A,'TAZs by City - CCAG Model'!$C:$C,999)</f>
        <v>5</v>
      </c>
      <c r="D2494" s="82" t="str">
        <f t="shared" si="304"/>
        <v>NO</v>
      </c>
      <c r="E2494" s="27">
        <v>11764.46</v>
      </c>
      <c r="F2494" s="27">
        <v>5724.32</v>
      </c>
      <c r="G2494" s="27">
        <v>647.98</v>
      </c>
      <c r="H2494" s="27">
        <v>127.12</v>
      </c>
      <c r="I2494" s="27">
        <v>506.9</v>
      </c>
      <c r="J2494" s="27">
        <v>19450.12</v>
      </c>
      <c r="K2494" s="47">
        <f t="shared" si="305"/>
        <v>0.60485282353013758</v>
      </c>
      <c r="L2494" s="47">
        <f t="shared" si="306"/>
        <v>0.29430769578799515</v>
      </c>
      <c r="M2494" s="84">
        <f t="shared" si="307"/>
        <v>0.89916051931813268</v>
      </c>
      <c r="N2494" s="47">
        <f t="shared" si="308"/>
        <v>3.3314961552936437E-2</v>
      </c>
      <c r="O2494" s="47">
        <f t="shared" si="309"/>
        <v>6.5356923247774316E-3</v>
      </c>
      <c r="P2494" s="47">
        <f t="shared" si="310"/>
        <v>2.6061535867130899E-2</v>
      </c>
      <c r="Q2494" s="47">
        <f t="shared" si="311"/>
        <v>1</v>
      </c>
    </row>
    <row r="2495" spans="1:17" x14ac:dyDescent="0.35">
      <c r="A2495" s="82">
        <v>2492</v>
      </c>
      <c r="B2495" s="83" t="str">
        <f>_xlfn.XLOOKUP(A2495,'TAZs by City - CCAG Model'!$A:$A,'TAZs by City - CCAG Model'!$B:$B,"Unknown")</f>
        <v>Unincorporated</v>
      </c>
      <c r="C2495" s="82">
        <f>_xlfn.XLOOKUP(A2495,'TAZs by City - CCAG Model'!$A:$A,'TAZs by City - CCAG Model'!$C:$C,999)</f>
        <v>5</v>
      </c>
      <c r="D2495" s="82" t="str">
        <f t="shared" si="304"/>
        <v>NO</v>
      </c>
      <c r="E2495" s="27">
        <v>15754.36</v>
      </c>
      <c r="F2495" s="27">
        <v>9220.74</v>
      </c>
      <c r="G2495" s="27">
        <v>1429.28</v>
      </c>
      <c r="H2495" s="27">
        <v>184.86</v>
      </c>
      <c r="I2495" s="27">
        <v>1180.74</v>
      </c>
      <c r="J2495" s="27">
        <v>29231.9</v>
      </c>
      <c r="K2495" s="47">
        <f t="shared" si="305"/>
        <v>0.53894409874144344</v>
      </c>
      <c r="L2495" s="47">
        <f t="shared" si="306"/>
        <v>0.31543416609936403</v>
      </c>
      <c r="M2495" s="84">
        <f t="shared" si="307"/>
        <v>0.85437826484080737</v>
      </c>
      <c r="N2495" s="47">
        <f t="shared" si="308"/>
        <v>4.8894529606354702E-2</v>
      </c>
      <c r="O2495" s="47">
        <f t="shared" si="309"/>
        <v>6.323913259144975E-3</v>
      </c>
      <c r="P2495" s="47">
        <f t="shared" si="310"/>
        <v>4.039217430273092E-2</v>
      </c>
      <c r="Q2495" s="47">
        <f t="shared" si="311"/>
        <v>1</v>
      </c>
    </row>
    <row r="2496" spans="1:17" x14ac:dyDescent="0.35">
      <c r="A2496" s="82">
        <v>2493</v>
      </c>
      <c r="B2496" s="83" t="str">
        <f>_xlfn.XLOOKUP(A2496,'TAZs by City - CCAG Model'!$A:$A,'TAZs by City - CCAG Model'!$B:$B,"Unknown")</f>
        <v>Unincorporated</v>
      </c>
      <c r="C2496" s="82">
        <f>_xlfn.XLOOKUP(A2496,'TAZs by City - CCAG Model'!$A:$A,'TAZs by City - CCAG Model'!$C:$C,999)</f>
        <v>5</v>
      </c>
      <c r="D2496" s="82" t="str">
        <f t="shared" si="304"/>
        <v>NO</v>
      </c>
      <c r="E2496" s="27">
        <v>53087.360000000001</v>
      </c>
      <c r="F2496" s="27">
        <v>27811.56</v>
      </c>
      <c r="G2496" s="27">
        <v>1690.14</v>
      </c>
      <c r="H2496" s="27">
        <v>554</v>
      </c>
      <c r="I2496" s="27">
        <v>4016.78</v>
      </c>
      <c r="J2496" s="27">
        <v>88868.94</v>
      </c>
      <c r="K2496" s="47">
        <f t="shared" si="305"/>
        <v>0.59736686405846628</v>
      </c>
      <c r="L2496" s="47">
        <f t="shared" si="306"/>
        <v>0.31295028386745694</v>
      </c>
      <c r="M2496" s="84">
        <f t="shared" si="307"/>
        <v>0.91031714792592322</v>
      </c>
      <c r="N2496" s="47">
        <f t="shared" si="308"/>
        <v>1.901834319167079E-2</v>
      </c>
      <c r="O2496" s="47">
        <f t="shared" si="309"/>
        <v>6.2338990427926785E-3</v>
      </c>
      <c r="P2496" s="47">
        <f t="shared" si="310"/>
        <v>4.5198918767344359E-2</v>
      </c>
      <c r="Q2496" s="47">
        <f t="shared" si="311"/>
        <v>1</v>
      </c>
    </row>
    <row r="2497" spans="1:17" x14ac:dyDescent="0.35">
      <c r="A2497" s="82">
        <v>2494</v>
      </c>
      <c r="B2497" s="83" t="str">
        <f>_xlfn.XLOOKUP(A2497,'TAZs by City - CCAG Model'!$A:$A,'TAZs by City - CCAG Model'!$B:$B,"Unknown")</f>
        <v>Unincorporated</v>
      </c>
      <c r="C2497" s="82">
        <f>_xlfn.XLOOKUP(A2497,'TAZs by City - CCAG Model'!$A:$A,'TAZs by City - CCAG Model'!$C:$C,999)</f>
        <v>5</v>
      </c>
      <c r="D2497" s="82" t="str">
        <f t="shared" si="304"/>
        <v>NO</v>
      </c>
      <c r="E2497" s="27">
        <v>8542.5</v>
      </c>
      <c r="F2497" s="27">
        <v>4185.04</v>
      </c>
      <c r="G2497" s="27">
        <v>243.68</v>
      </c>
      <c r="H2497" s="27">
        <v>108.82</v>
      </c>
      <c r="I2497" s="27">
        <v>304.16000000000003</v>
      </c>
      <c r="J2497" s="27">
        <v>13666.38</v>
      </c>
      <c r="K2497" s="47">
        <f t="shared" si="305"/>
        <v>0.62507408691987199</v>
      </c>
      <c r="L2497" s="47">
        <f t="shared" si="306"/>
        <v>0.30622886236150321</v>
      </c>
      <c r="M2497" s="84">
        <f t="shared" si="307"/>
        <v>0.93130294928137525</v>
      </c>
      <c r="N2497" s="47">
        <f t="shared" si="308"/>
        <v>1.7830617910522026E-2</v>
      </c>
      <c r="O2497" s="47">
        <f t="shared" si="309"/>
        <v>7.9626060449072833E-3</v>
      </c>
      <c r="P2497" s="47">
        <f t="shared" si="310"/>
        <v>2.2256076590874835E-2</v>
      </c>
      <c r="Q2497" s="47">
        <f t="shared" si="311"/>
        <v>1</v>
      </c>
    </row>
    <row r="2498" spans="1:17" x14ac:dyDescent="0.35">
      <c r="A2498" s="82">
        <v>2495</v>
      </c>
      <c r="B2498" s="83" t="str">
        <f>_xlfn.XLOOKUP(A2498,'TAZs by City - CCAG Model'!$A:$A,'TAZs by City - CCAG Model'!$B:$B,"Unknown")</f>
        <v>Walnut Creek</v>
      </c>
      <c r="C2498" s="82">
        <f>_xlfn.XLOOKUP(A2498,'TAZs by City - CCAG Model'!$A:$A,'TAZs by City - CCAG Model'!$C:$C,999)</f>
        <v>5</v>
      </c>
      <c r="D2498" s="82" t="str">
        <f t="shared" si="304"/>
        <v>NO</v>
      </c>
      <c r="E2498" s="27">
        <v>7810.8</v>
      </c>
      <c r="F2498" s="27">
        <v>5514.78</v>
      </c>
      <c r="G2498" s="27">
        <v>375.5</v>
      </c>
      <c r="H2498" s="27">
        <v>113.28</v>
      </c>
      <c r="I2498" s="27">
        <v>245.72</v>
      </c>
      <c r="J2498" s="27">
        <v>14463.96</v>
      </c>
      <c r="K2498" s="47">
        <f t="shared" si="305"/>
        <v>0.54001808633320336</v>
      </c>
      <c r="L2498" s="47">
        <f t="shared" si="306"/>
        <v>0.38127732654127916</v>
      </c>
      <c r="M2498" s="84">
        <f t="shared" si="307"/>
        <v>0.92129541287448258</v>
      </c>
      <c r="N2498" s="47">
        <f t="shared" si="308"/>
        <v>2.5961078432185931E-2</v>
      </c>
      <c r="O2498" s="47">
        <f t="shared" si="309"/>
        <v>7.8318800660400062E-3</v>
      </c>
      <c r="P2498" s="47">
        <f t="shared" si="310"/>
        <v>1.6988431937035225E-2</v>
      </c>
      <c r="Q2498" s="47">
        <f t="shared" si="311"/>
        <v>1</v>
      </c>
    </row>
    <row r="2499" spans="1:17" x14ac:dyDescent="0.35">
      <c r="A2499" s="82">
        <v>2496</v>
      </c>
      <c r="B2499" s="83" t="str">
        <f>_xlfn.XLOOKUP(A2499,'TAZs by City - CCAG Model'!$A:$A,'TAZs by City - CCAG Model'!$B:$B,"Unknown")</f>
        <v>Unincorporated</v>
      </c>
      <c r="C2499" s="82">
        <f>_xlfn.XLOOKUP(A2499,'TAZs by City - CCAG Model'!$A:$A,'TAZs by City - CCAG Model'!$C:$C,999)</f>
        <v>5</v>
      </c>
      <c r="D2499" s="82" t="str">
        <f t="shared" si="304"/>
        <v>NO</v>
      </c>
      <c r="E2499" s="27">
        <v>15708.18</v>
      </c>
      <c r="F2499" s="27">
        <v>9866.2199999999993</v>
      </c>
      <c r="G2499" s="27">
        <v>457.18</v>
      </c>
      <c r="H2499" s="27">
        <v>174.44</v>
      </c>
      <c r="I2499" s="27">
        <v>601.44000000000005</v>
      </c>
      <c r="J2499" s="27">
        <v>27288.92</v>
      </c>
      <c r="K2499" s="47">
        <f t="shared" si="305"/>
        <v>0.57562483234953976</v>
      </c>
      <c r="L2499" s="47">
        <f t="shared" si="306"/>
        <v>0.3615467376502991</v>
      </c>
      <c r="M2499" s="84">
        <f t="shared" si="307"/>
        <v>0.93717156999983886</v>
      </c>
      <c r="N2499" s="47">
        <f t="shared" si="308"/>
        <v>1.6753319662339148E-2</v>
      </c>
      <c r="O2499" s="47">
        <f t="shared" si="309"/>
        <v>6.3923379891912182E-3</v>
      </c>
      <c r="P2499" s="47">
        <f t="shared" si="310"/>
        <v>2.2039714286970685E-2</v>
      </c>
      <c r="Q2499" s="47">
        <f t="shared" si="311"/>
        <v>1</v>
      </c>
    </row>
    <row r="2500" spans="1:17" x14ac:dyDescent="0.35">
      <c r="A2500" s="82">
        <v>2497</v>
      </c>
      <c r="B2500" s="83" t="str">
        <f>_xlfn.XLOOKUP(A2500,'TAZs by City - CCAG Model'!$A:$A,'TAZs by City - CCAG Model'!$B:$B,"Unknown")</f>
        <v>Unincorporated</v>
      </c>
      <c r="C2500" s="82">
        <f>_xlfn.XLOOKUP(A2500,'TAZs by City - CCAG Model'!$A:$A,'TAZs by City - CCAG Model'!$C:$C,999)</f>
        <v>5</v>
      </c>
      <c r="D2500" s="82" t="str">
        <f t="shared" si="304"/>
        <v>NO</v>
      </c>
      <c r="E2500" s="27">
        <v>18519.5</v>
      </c>
      <c r="F2500" s="27">
        <v>12535.12</v>
      </c>
      <c r="G2500" s="27">
        <v>505.36</v>
      </c>
      <c r="H2500" s="27">
        <v>240</v>
      </c>
      <c r="I2500" s="27">
        <v>1173.48</v>
      </c>
      <c r="J2500" s="27">
        <v>33502.78</v>
      </c>
      <c r="K2500" s="47">
        <f t="shared" si="305"/>
        <v>0.55277502344581553</v>
      </c>
      <c r="L2500" s="47">
        <f t="shared" si="306"/>
        <v>0.37415163756559905</v>
      </c>
      <c r="M2500" s="84">
        <f t="shared" si="307"/>
        <v>0.92692666101141463</v>
      </c>
      <c r="N2500" s="47">
        <f t="shared" si="308"/>
        <v>1.5084121377390175E-2</v>
      </c>
      <c r="O2500" s="47">
        <f t="shared" si="309"/>
        <v>7.1635846338721741E-3</v>
      </c>
      <c r="P2500" s="47">
        <f t="shared" si="310"/>
        <v>3.5026347067317998E-2</v>
      </c>
      <c r="Q2500" s="47">
        <f t="shared" si="311"/>
        <v>1</v>
      </c>
    </row>
    <row r="2501" spans="1:17" x14ac:dyDescent="0.35">
      <c r="A2501" s="82">
        <v>2498</v>
      </c>
      <c r="B2501" s="83" t="str">
        <f>_xlfn.XLOOKUP(A2501,'TAZs by City - CCAG Model'!$A:$A,'TAZs by City - CCAG Model'!$B:$B,"Unknown")</f>
        <v>Danville</v>
      </c>
      <c r="C2501" s="82">
        <f>_xlfn.XLOOKUP(A2501,'TAZs by City - CCAG Model'!$A:$A,'TAZs by City - CCAG Model'!$C:$C,999)</f>
        <v>5</v>
      </c>
      <c r="D2501" s="82" t="str">
        <f t="shared" ref="D2501:D2564" si="312">IF(C2501=2,"YES","NO")</f>
        <v>NO</v>
      </c>
      <c r="E2501" s="27">
        <v>31959.06</v>
      </c>
      <c r="F2501" s="27">
        <v>20566.96</v>
      </c>
      <c r="G2501" s="27">
        <v>697.18</v>
      </c>
      <c r="H2501" s="27">
        <v>421.62</v>
      </c>
      <c r="I2501" s="27">
        <v>2727.08</v>
      </c>
      <c r="J2501" s="27">
        <v>57094.46</v>
      </c>
      <c r="K2501" s="47">
        <f t="shared" ref="K2501:K2564" si="313">IFERROR(E2501/$J2501,0)</f>
        <v>0.55975763673042889</v>
      </c>
      <c r="L2501" s="47">
        <f t="shared" ref="L2501:L2564" si="314">IFERROR(F2501/$J2501,0)</f>
        <v>0.36022689416801557</v>
      </c>
      <c r="M2501" s="84">
        <f t="shared" ref="M2501:M2564" si="315">IFERROR((E2501+F2501)/J2501,0)</f>
        <v>0.91998453089844456</v>
      </c>
      <c r="N2501" s="47">
        <f t="shared" ref="N2501:N2564" si="316">IFERROR(G2501/$J2501,0)</f>
        <v>1.2210992099758891E-2</v>
      </c>
      <c r="O2501" s="47">
        <f t="shared" ref="O2501:O2564" si="317">IFERROR(H2501/$J2501,0)</f>
        <v>7.3846043906886944E-3</v>
      </c>
      <c r="P2501" s="47">
        <f t="shared" ref="P2501:P2564" si="318">IFERROR(I2501/$J2501,0)</f>
        <v>4.7764354019636933E-2</v>
      </c>
      <c r="Q2501" s="47">
        <f t="shared" ref="Q2501:Q2564" si="319">IFERROR(J2501/$J2501,0)</f>
        <v>1</v>
      </c>
    </row>
    <row r="2502" spans="1:17" x14ac:dyDescent="0.35">
      <c r="A2502" s="82">
        <v>2499</v>
      </c>
      <c r="B2502" s="83" t="str">
        <f>_xlfn.XLOOKUP(A2502,'TAZs by City - CCAG Model'!$A:$A,'TAZs by City - CCAG Model'!$B:$B,"Unknown")</f>
        <v>Danville</v>
      </c>
      <c r="C2502" s="82">
        <f>_xlfn.XLOOKUP(A2502,'TAZs by City - CCAG Model'!$A:$A,'TAZs by City - CCAG Model'!$C:$C,999)</f>
        <v>5</v>
      </c>
      <c r="D2502" s="82" t="str">
        <f t="shared" si="312"/>
        <v>NO</v>
      </c>
      <c r="E2502" s="27">
        <v>26273.94</v>
      </c>
      <c r="F2502" s="27">
        <v>17097.759999999998</v>
      </c>
      <c r="G2502" s="27">
        <v>249.44</v>
      </c>
      <c r="H2502" s="27">
        <v>405.74</v>
      </c>
      <c r="I2502" s="27">
        <v>2912.56</v>
      </c>
      <c r="J2502" s="27">
        <v>47209.84</v>
      </c>
      <c r="K2502" s="47">
        <f t="shared" si="313"/>
        <v>0.55653524773648888</v>
      </c>
      <c r="L2502" s="47">
        <f t="shared" si="314"/>
        <v>0.36216517573455026</v>
      </c>
      <c r="M2502" s="84">
        <f t="shared" si="315"/>
        <v>0.91870042347103908</v>
      </c>
      <c r="N2502" s="47">
        <f t="shared" si="316"/>
        <v>5.2836442572141741E-3</v>
      </c>
      <c r="O2502" s="47">
        <f t="shared" si="317"/>
        <v>8.5943947278787659E-3</v>
      </c>
      <c r="P2502" s="47">
        <f t="shared" si="318"/>
        <v>6.1693918047593471E-2</v>
      </c>
      <c r="Q2502" s="47">
        <f t="shared" si="319"/>
        <v>1</v>
      </c>
    </row>
    <row r="2503" spans="1:17" x14ac:dyDescent="0.35">
      <c r="A2503" s="82">
        <v>2500</v>
      </c>
      <c r="B2503" s="83" t="str">
        <f>_xlfn.XLOOKUP(A2503,'TAZs by City - CCAG Model'!$A:$A,'TAZs by City - CCAG Model'!$B:$B,"Unknown")</f>
        <v>San Ramon</v>
      </c>
      <c r="C2503" s="82">
        <f>_xlfn.XLOOKUP(A2503,'TAZs by City - CCAG Model'!$A:$A,'TAZs by City - CCAG Model'!$C:$C,999)</f>
        <v>5</v>
      </c>
      <c r="D2503" s="82" t="str">
        <f t="shared" si="312"/>
        <v>NO</v>
      </c>
      <c r="E2503" s="27">
        <v>89652.4</v>
      </c>
      <c r="F2503" s="27">
        <v>31944.62</v>
      </c>
      <c r="G2503" s="27">
        <v>2488.94</v>
      </c>
      <c r="H2503" s="27">
        <v>823.56</v>
      </c>
      <c r="I2503" s="27">
        <v>7016.58</v>
      </c>
      <c r="J2503" s="27">
        <v>134422.62</v>
      </c>
      <c r="K2503" s="47">
        <f t="shared" si="313"/>
        <v>0.66694429851166415</v>
      </c>
      <c r="L2503" s="47">
        <f t="shared" si="314"/>
        <v>0.23764318832648851</v>
      </c>
      <c r="M2503" s="84">
        <f t="shared" si="315"/>
        <v>0.9045874868381526</v>
      </c>
      <c r="N2503" s="47">
        <f t="shared" si="316"/>
        <v>1.8515782537195005E-2</v>
      </c>
      <c r="O2503" s="47">
        <f t="shared" si="317"/>
        <v>6.1266474347844132E-3</v>
      </c>
      <c r="P2503" s="47">
        <f t="shared" si="318"/>
        <v>5.219791133367286E-2</v>
      </c>
      <c r="Q2503" s="47">
        <f t="shared" si="319"/>
        <v>1</v>
      </c>
    </row>
    <row r="2504" spans="1:17" x14ac:dyDescent="0.35">
      <c r="A2504" s="82">
        <v>2501</v>
      </c>
      <c r="B2504" s="83" t="str">
        <f>_xlfn.XLOOKUP(A2504,'TAZs by City - CCAG Model'!$A:$A,'TAZs by City - CCAG Model'!$B:$B,"Unknown")</f>
        <v>Danville</v>
      </c>
      <c r="C2504" s="82">
        <f>_xlfn.XLOOKUP(A2504,'TAZs by City - CCAG Model'!$A:$A,'TAZs by City - CCAG Model'!$C:$C,999)</f>
        <v>5</v>
      </c>
      <c r="D2504" s="82" t="str">
        <f t="shared" si="312"/>
        <v>NO</v>
      </c>
      <c r="E2504" s="27">
        <v>22720.400000000001</v>
      </c>
      <c r="F2504" s="27">
        <v>13515.54</v>
      </c>
      <c r="G2504" s="27">
        <v>407.82</v>
      </c>
      <c r="H2504" s="27">
        <v>355.44</v>
      </c>
      <c r="I2504" s="27">
        <v>2238.96</v>
      </c>
      <c r="J2504" s="27">
        <v>39672.14</v>
      </c>
      <c r="K2504" s="47">
        <f t="shared" si="313"/>
        <v>0.57270416972716875</v>
      </c>
      <c r="L2504" s="47">
        <f t="shared" si="314"/>
        <v>0.34068089092244586</v>
      </c>
      <c r="M2504" s="84">
        <f t="shared" si="315"/>
        <v>0.91338506064961467</v>
      </c>
      <c r="N2504" s="47">
        <f t="shared" si="316"/>
        <v>1.0279758036748207E-2</v>
      </c>
      <c r="O2504" s="47">
        <f t="shared" si="317"/>
        <v>8.9594360173159294E-3</v>
      </c>
      <c r="P2504" s="47">
        <f t="shared" si="318"/>
        <v>5.6436582448035323E-2</v>
      </c>
      <c r="Q2504" s="47">
        <f t="shared" si="319"/>
        <v>1</v>
      </c>
    </row>
    <row r="2505" spans="1:17" x14ac:dyDescent="0.35">
      <c r="A2505" s="82">
        <v>2502</v>
      </c>
      <c r="B2505" s="83" t="str">
        <f>_xlfn.XLOOKUP(A2505,'TAZs by City - CCAG Model'!$A:$A,'TAZs by City - CCAG Model'!$B:$B,"Unknown")</f>
        <v>San Ramon</v>
      </c>
      <c r="C2505" s="82">
        <f>_xlfn.XLOOKUP(A2505,'TAZs by City - CCAG Model'!$A:$A,'TAZs by City - CCAG Model'!$C:$C,999)</f>
        <v>5</v>
      </c>
      <c r="D2505" s="82" t="str">
        <f t="shared" si="312"/>
        <v>NO</v>
      </c>
      <c r="E2505" s="27">
        <v>45855.94</v>
      </c>
      <c r="F2505" s="27">
        <v>20540.560000000001</v>
      </c>
      <c r="G2505" s="27">
        <v>1150.92</v>
      </c>
      <c r="H2505" s="27">
        <v>572.70000000000005</v>
      </c>
      <c r="I2505" s="27">
        <v>4358.8</v>
      </c>
      <c r="J2505" s="27">
        <v>73647.5</v>
      </c>
      <c r="K2505" s="47">
        <f t="shared" si="313"/>
        <v>0.6226408228385214</v>
      </c>
      <c r="L2505" s="47">
        <f t="shared" si="314"/>
        <v>0.27890369666315901</v>
      </c>
      <c r="M2505" s="84">
        <f t="shared" si="315"/>
        <v>0.90154451950168035</v>
      </c>
      <c r="N2505" s="47">
        <f t="shared" si="316"/>
        <v>1.5627414372517738E-2</v>
      </c>
      <c r="O2505" s="47">
        <f t="shared" si="317"/>
        <v>7.7762313724159008E-3</v>
      </c>
      <c r="P2505" s="47">
        <f t="shared" si="318"/>
        <v>5.9184629485047019E-2</v>
      </c>
      <c r="Q2505" s="47">
        <f t="shared" si="319"/>
        <v>1</v>
      </c>
    </row>
    <row r="2506" spans="1:17" x14ac:dyDescent="0.35">
      <c r="A2506" s="82">
        <v>2503</v>
      </c>
      <c r="B2506" s="83" t="str">
        <f>_xlfn.XLOOKUP(A2506,'TAZs by City - CCAG Model'!$A:$A,'TAZs by City - CCAG Model'!$B:$B,"Unknown")</f>
        <v>Unincorporated</v>
      </c>
      <c r="C2506" s="82">
        <f>_xlfn.XLOOKUP(A2506,'TAZs by City - CCAG Model'!$A:$A,'TAZs by City - CCAG Model'!$C:$C,999)</f>
        <v>5</v>
      </c>
      <c r="D2506" s="82" t="str">
        <f t="shared" si="312"/>
        <v>NO</v>
      </c>
      <c r="E2506" s="27">
        <v>21610.74</v>
      </c>
      <c r="F2506" s="27">
        <v>14200.54</v>
      </c>
      <c r="G2506" s="27">
        <v>540.22</v>
      </c>
      <c r="H2506" s="27">
        <v>323.60000000000002</v>
      </c>
      <c r="I2506" s="27">
        <v>1873.62</v>
      </c>
      <c r="J2506" s="27">
        <v>39118.879999999997</v>
      </c>
      <c r="K2506" s="47">
        <f t="shared" si="313"/>
        <v>0.55243759535037817</v>
      </c>
      <c r="L2506" s="47">
        <f t="shared" si="314"/>
        <v>0.36300988167350401</v>
      </c>
      <c r="M2506" s="84">
        <f t="shared" si="315"/>
        <v>0.91544747702388207</v>
      </c>
      <c r="N2506" s="47">
        <f t="shared" si="316"/>
        <v>1.3809700073212732E-2</v>
      </c>
      <c r="O2506" s="47">
        <f t="shared" si="317"/>
        <v>8.2722204725697683E-3</v>
      </c>
      <c r="P2506" s="47">
        <f t="shared" si="318"/>
        <v>4.78955430216816E-2</v>
      </c>
      <c r="Q2506" s="47">
        <f t="shared" si="319"/>
        <v>1</v>
      </c>
    </row>
    <row r="2507" spans="1:17" x14ac:dyDescent="0.35">
      <c r="A2507" s="82">
        <v>2504</v>
      </c>
      <c r="B2507" s="83" t="str">
        <f>_xlfn.XLOOKUP(A2507,'TAZs by City - CCAG Model'!$A:$A,'TAZs by City - CCAG Model'!$B:$B,"Unknown")</f>
        <v>San Ramon</v>
      </c>
      <c r="C2507" s="82">
        <f>_xlfn.XLOOKUP(A2507,'TAZs by City - CCAG Model'!$A:$A,'TAZs by City - CCAG Model'!$C:$C,999)</f>
        <v>5</v>
      </c>
      <c r="D2507" s="82" t="str">
        <f t="shared" si="312"/>
        <v>NO</v>
      </c>
      <c r="E2507" s="27">
        <v>19103.740000000002</v>
      </c>
      <c r="F2507" s="27">
        <v>11013.82</v>
      </c>
      <c r="G2507" s="27">
        <v>509.22</v>
      </c>
      <c r="H2507" s="27">
        <v>291.14</v>
      </c>
      <c r="I2507" s="27">
        <v>2356.1</v>
      </c>
      <c r="J2507" s="27">
        <v>33815.82</v>
      </c>
      <c r="K2507" s="47">
        <f t="shared" si="313"/>
        <v>0.56493499196529917</v>
      </c>
      <c r="L2507" s="47">
        <f t="shared" si="314"/>
        <v>0.3257002196013582</v>
      </c>
      <c r="M2507" s="84">
        <f t="shared" si="315"/>
        <v>0.89063521156665726</v>
      </c>
      <c r="N2507" s="47">
        <f t="shared" si="316"/>
        <v>1.5058632320612069E-2</v>
      </c>
      <c r="O2507" s="47">
        <f t="shared" si="317"/>
        <v>8.6095797765661161E-3</v>
      </c>
      <c r="P2507" s="47">
        <f t="shared" si="318"/>
        <v>6.9674489632367331E-2</v>
      </c>
      <c r="Q2507" s="47">
        <f t="shared" si="319"/>
        <v>1</v>
      </c>
    </row>
    <row r="2508" spans="1:17" x14ac:dyDescent="0.35">
      <c r="A2508" s="82">
        <v>2505</v>
      </c>
      <c r="B2508" s="83" t="str">
        <f>_xlfn.XLOOKUP(A2508,'TAZs by City - CCAG Model'!$A:$A,'TAZs by City - CCAG Model'!$B:$B,"Unknown")</f>
        <v>San Ramon</v>
      </c>
      <c r="C2508" s="82">
        <f>_xlfn.XLOOKUP(A2508,'TAZs by City - CCAG Model'!$A:$A,'TAZs by City - CCAG Model'!$C:$C,999)</f>
        <v>5</v>
      </c>
      <c r="D2508" s="82" t="str">
        <f t="shared" si="312"/>
        <v>NO</v>
      </c>
      <c r="E2508" s="27">
        <v>11535.44</v>
      </c>
      <c r="F2508" s="27">
        <v>7029.44</v>
      </c>
      <c r="G2508" s="27">
        <v>367.32</v>
      </c>
      <c r="H2508" s="27">
        <v>209.78</v>
      </c>
      <c r="I2508" s="27">
        <v>1669.42</v>
      </c>
      <c r="J2508" s="27">
        <v>21215.02</v>
      </c>
      <c r="K2508" s="47">
        <f t="shared" si="313"/>
        <v>0.54373929414160349</v>
      </c>
      <c r="L2508" s="47">
        <f t="shared" si="314"/>
        <v>0.33134260538052757</v>
      </c>
      <c r="M2508" s="84">
        <f t="shared" si="315"/>
        <v>0.875081899522131</v>
      </c>
      <c r="N2508" s="47">
        <f t="shared" si="316"/>
        <v>1.7314148183692497E-2</v>
      </c>
      <c r="O2508" s="47">
        <f t="shared" si="317"/>
        <v>9.8882772677093868E-3</v>
      </c>
      <c r="P2508" s="47">
        <f t="shared" si="318"/>
        <v>7.8690474955951023E-2</v>
      </c>
      <c r="Q2508" s="47">
        <f t="shared" si="319"/>
        <v>1</v>
      </c>
    </row>
    <row r="2509" spans="1:17" x14ac:dyDescent="0.35">
      <c r="A2509" s="82">
        <v>2506</v>
      </c>
      <c r="B2509" s="83" t="str">
        <f>_xlfn.XLOOKUP(A2509,'TAZs by City - CCAG Model'!$A:$A,'TAZs by City - CCAG Model'!$B:$B,"Unknown")</f>
        <v>San Ramon</v>
      </c>
      <c r="C2509" s="82">
        <f>_xlfn.XLOOKUP(A2509,'TAZs by City - CCAG Model'!$A:$A,'TAZs by City - CCAG Model'!$C:$C,999)</f>
        <v>5</v>
      </c>
      <c r="D2509" s="82" t="str">
        <f t="shared" si="312"/>
        <v>NO</v>
      </c>
      <c r="E2509" s="27">
        <v>12717.66</v>
      </c>
      <c r="F2509" s="27">
        <v>7711.8</v>
      </c>
      <c r="G2509" s="27">
        <v>363.14</v>
      </c>
      <c r="H2509" s="27">
        <v>208.98</v>
      </c>
      <c r="I2509" s="27">
        <v>1305.44</v>
      </c>
      <c r="J2509" s="27">
        <v>22703.82</v>
      </c>
      <c r="K2509" s="47">
        <f t="shared" si="313"/>
        <v>0.56015507522522645</v>
      </c>
      <c r="L2509" s="47">
        <f t="shared" si="314"/>
        <v>0.33966971196917523</v>
      </c>
      <c r="M2509" s="84">
        <f t="shared" si="315"/>
        <v>0.89982478719440162</v>
      </c>
      <c r="N2509" s="47">
        <f t="shared" si="316"/>
        <v>1.5994665214928587E-2</v>
      </c>
      <c r="O2509" s="47">
        <f t="shared" si="317"/>
        <v>9.2046184298501307E-3</v>
      </c>
      <c r="P2509" s="47">
        <f t="shared" si="318"/>
        <v>5.7498694052366524E-2</v>
      </c>
      <c r="Q2509" s="47">
        <f t="shared" si="319"/>
        <v>1</v>
      </c>
    </row>
    <row r="2510" spans="1:17" x14ac:dyDescent="0.35">
      <c r="A2510" s="82">
        <v>2507</v>
      </c>
      <c r="B2510" s="83" t="str">
        <f>_xlfn.XLOOKUP(A2510,'TAZs by City - CCAG Model'!$A:$A,'TAZs by City - CCAG Model'!$B:$B,"Unknown")</f>
        <v>San Ramon</v>
      </c>
      <c r="C2510" s="82">
        <f>_xlfn.XLOOKUP(A2510,'TAZs by City - CCAG Model'!$A:$A,'TAZs by City - CCAG Model'!$C:$C,999)</f>
        <v>5</v>
      </c>
      <c r="D2510" s="82" t="str">
        <f t="shared" si="312"/>
        <v>NO</v>
      </c>
      <c r="E2510" s="27">
        <v>34017.480000000003</v>
      </c>
      <c r="F2510" s="27">
        <v>19571.32</v>
      </c>
      <c r="G2510" s="27">
        <v>1135.8599999999999</v>
      </c>
      <c r="H2510" s="27">
        <v>501.66</v>
      </c>
      <c r="I2510" s="27">
        <v>3685.14</v>
      </c>
      <c r="J2510" s="27">
        <v>60071.48</v>
      </c>
      <c r="K2510" s="47">
        <f t="shared" si="313"/>
        <v>0.56628336774788968</v>
      </c>
      <c r="L2510" s="47">
        <f t="shared" si="314"/>
        <v>0.325800529635694</v>
      </c>
      <c r="M2510" s="84">
        <f t="shared" si="315"/>
        <v>0.89208389738358373</v>
      </c>
      <c r="N2510" s="47">
        <f t="shared" si="316"/>
        <v>1.8908473704992781E-2</v>
      </c>
      <c r="O2510" s="47">
        <f t="shared" si="317"/>
        <v>8.3510511144389982E-3</v>
      </c>
      <c r="P2510" s="47">
        <f t="shared" si="318"/>
        <v>6.1345916564732546E-2</v>
      </c>
      <c r="Q2510" s="47">
        <f t="shared" si="319"/>
        <v>1</v>
      </c>
    </row>
    <row r="2511" spans="1:17" x14ac:dyDescent="0.35">
      <c r="A2511" s="82">
        <v>2508</v>
      </c>
      <c r="B2511" s="83" t="str">
        <f>_xlfn.XLOOKUP(A2511,'TAZs by City - CCAG Model'!$A:$A,'TAZs by City - CCAG Model'!$B:$B,"Unknown")</f>
        <v>Unincorporated</v>
      </c>
      <c r="C2511" s="82">
        <f>_xlfn.XLOOKUP(A2511,'TAZs by City - CCAG Model'!$A:$A,'TAZs by City - CCAG Model'!$C:$C,999)</f>
        <v>5</v>
      </c>
      <c r="D2511" s="82" t="str">
        <f t="shared" si="312"/>
        <v>NO</v>
      </c>
      <c r="E2511" s="27">
        <v>77405.960000000006</v>
      </c>
      <c r="F2511" s="27">
        <v>51834.38</v>
      </c>
      <c r="G2511" s="27">
        <v>1564.94</v>
      </c>
      <c r="H2511" s="27">
        <v>715.32</v>
      </c>
      <c r="I2511" s="27">
        <v>25885.48</v>
      </c>
      <c r="J2511" s="27">
        <v>158988.4</v>
      </c>
      <c r="K2511" s="47">
        <f t="shared" si="313"/>
        <v>0.48686545685094013</v>
      </c>
      <c r="L2511" s="47">
        <f t="shared" si="314"/>
        <v>0.32602617549456436</v>
      </c>
      <c r="M2511" s="84">
        <f t="shared" si="315"/>
        <v>0.81289163234550443</v>
      </c>
      <c r="N2511" s="47">
        <f t="shared" si="316"/>
        <v>9.8431080506502372E-3</v>
      </c>
      <c r="O2511" s="47">
        <f t="shared" si="317"/>
        <v>4.4991961677707309E-3</v>
      </c>
      <c r="P2511" s="47">
        <f t="shared" si="318"/>
        <v>0.16281363923405734</v>
      </c>
      <c r="Q2511" s="47">
        <f t="shared" si="319"/>
        <v>1</v>
      </c>
    </row>
    <row r="2512" spans="1:17" x14ac:dyDescent="0.35">
      <c r="A2512" s="82">
        <v>2509</v>
      </c>
      <c r="B2512" s="83" t="str">
        <f>_xlfn.XLOOKUP(A2512,'TAZs by City - CCAG Model'!$A:$A,'TAZs by City - CCAG Model'!$B:$B,"Unknown")</f>
        <v>Unincorporated</v>
      </c>
      <c r="C2512" s="82">
        <f>_xlfn.XLOOKUP(A2512,'TAZs by City - CCAG Model'!$A:$A,'TAZs by City - CCAG Model'!$C:$C,999)</f>
        <v>5</v>
      </c>
      <c r="D2512" s="82" t="str">
        <f t="shared" si="312"/>
        <v>NO</v>
      </c>
      <c r="E2512" s="27">
        <v>36804.339999999997</v>
      </c>
      <c r="F2512" s="27">
        <v>24881.96</v>
      </c>
      <c r="G2512" s="27">
        <v>307.06</v>
      </c>
      <c r="H2512" s="27">
        <v>314.08</v>
      </c>
      <c r="I2512" s="27">
        <v>11929.08</v>
      </c>
      <c r="J2512" s="27">
        <v>74566.759999999995</v>
      </c>
      <c r="K2512" s="47">
        <f t="shared" si="313"/>
        <v>0.49357568975774191</v>
      </c>
      <c r="L2512" s="47">
        <f t="shared" si="314"/>
        <v>0.33368702086559748</v>
      </c>
      <c r="M2512" s="84">
        <f t="shared" si="315"/>
        <v>0.82726271062333945</v>
      </c>
      <c r="N2512" s="47">
        <f t="shared" si="316"/>
        <v>4.1179206391695174E-3</v>
      </c>
      <c r="O2512" s="47">
        <f t="shared" si="317"/>
        <v>4.2120644641124279E-3</v>
      </c>
      <c r="P2512" s="47">
        <f t="shared" si="318"/>
        <v>0.15997852126067971</v>
      </c>
      <c r="Q2512" s="47">
        <f t="shared" si="319"/>
        <v>1</v>
      </c>
    </row>
    <row r="2513" spans="1:17" x14ac:dyDescent="0.35">
      <c r="A2513" s="82">
        <v>2510</v>
      </c>
      <c r="B2513" s="83" t="str">
        <f>_xlfn.XLOOKUP(A2513,'TAZs by City - CCAG Model'!$A:$A,'TAZs by City - CCAG Model'!$B:$B,"Unknown")</f>
        <v>Brentwood</v>
      </c>
      <c r="C2513" s="82">
        <f>_xlfn.XLOOKUP(A2513,'TAZs by City - CCAG Model'!$A:$A,'TAZs by City - CCAG Model'!$C:$C,999)</f>
        <v>5</v>
      </c>
      <c r="D2513" s="82" t="str">
        <f t="shared" si="312"/>
        <v>NO</v>
      </c>
      <c r="E2513" s="27">
        <v>82742.100000000006</v>
      </c>
      <c r="F2513" s="27">
        <v>59567.360000000001</v>
      </c>
      <c r="G2513" s="27">
        <v>1000.78</v>
      </c>
      <c r="H2513" s="27">
        <v>883.32</v>
      </c>
      <c r="I2513" s="27">
        <v>12794.48</v>
      </c>
      <c r="J2513" s="27">
        <v>158008.6</v>
      </c>
      <c r="K2513" s="47">
        <f t="shared" si="313"/>
        <v>0.52365567443797367</v>
      </c>
      <c r="L2513" s="47">
        <f t="shared" si="314"/>
        <v>0.37698808799014738</v>
      </c>
      <c r="M2513" s="84">
        <f t="shared" si="315"/>
        <v>0.90064376242812105</v>
      </c>
      <c r="N2513" s="47">
        <f t="shared" si="316"/>
        <v>6.3337058868947636E-3</v>
      </c>
      <c r="O2513" s="47">
        <f t="shared" si="317"/>
        <v>5.590328627682291E-3</v>
      </c>
      <c r="P2513" s="47">
        <f t="shared" si="318"/>
        <v>8.0973314110750927E-2</v>
      </c>
      <c r="Q2513" s="47">
        <f t="shared" si="319"/>
        <v>1</v>
      </c>
    </row>
    <row r="2514" spans="1:17" x14ac:dyDescent="0.35">
      <c r="A2514" s="82">
        <v>2511</v>
      </c>
      <c r="B2514" s="83" t="str">
        <f>_xlfn.XLOOKUP(A2514,'TAZs by City - CCAG Model'!$A:$A,'TAZs by City - CCAG Model'!$B:$B,"Unknown")</f>
        <v>Unincorporated</v>
      </c>
      <c r="C2514" s="82">
        <f>_xlfn.XLOOKUP(A2514,'TAZs by City - CCAG Model'!$A:$A,'TAZs by City - CCAG Model'!$C:$C,999)</f>
        <v>5</v>
      </c>
      <c r="D2514" s="82" t="str">
        <f t="shared" si="312"/>
        <v>NO</v>
      </c>
      <c r="E2514" s="27">
        <v>53380.02</v>
      </c>
      <c r="F2514" s="27">
        <v>36488.120000000003</v>
      </c>
      <c r="G2514" s="27">
        <v>336.44</v>
      </c>
      <c r="H2514" s="27">
        <v>527.62</v>
      </c>
      <c r="I2514" s="27">
        <v>6747.1</v>
      </c>
      <c r="J2514" s="27">
        <v>97836.9</v>
      </c>
      <c r="K2514" s="47">
        <f t="shared" si="313"/>
        <v>0.54560211944573056</v>
      </c>
      <c r="L2514" s="47">
        <f t="shared" si="314"/>
        <v>0.37294844787600595</v>
      </c>
      <c r="M2514" s="84">
        <f t="shared" si="315"/>
        <v>0.91855056732173657</v>
      </c>
      <c r="N2514" s="47">
        <f t="shared" si="316"/>
        <v>3.4387843441482714E-3</v>
      </c>
      <c r="O2514" s="47">
        <f t="shared" si="317"/>
        <v>5.3928527988928512E-3</v>
      </c>
      <c r="P2514" s="47">
        <f t="shared" si="318"/>
        <v>6.8962732874815136E-2</v>
      </c>
      <c r="Q2514" s="47">
        <f t="shared" si="319"/>
        <v>1</v>
      </c>
    </row>
    <row r="2515" spans="1:17" x14ac:dyDescent="0.35">
      <c r="A2515" s="82">
        <v>2512</v>
      </c>
      <c r="B2515" s="83" t="str">
        <f>_xlfn.XLOOKUP(A2515,'TAZs by City - CCAG Model'!$A:$A,'TAZs by City - CCAG Model'!$B:$B,"Unknown")</f>
        <v>Oakley</v>
      </c>
      <c r="C2515" s="82">
        <f>_xlfn.XLOOKUP(A2515,'TAZs by City - CCAG Model'!$A:$A,'TAZs by City - CCAG Model'!$C:$C,999)</f>
        <v>5</v>
      </c>
      <c r="D2515" s="82" t="str">
        <f t="shared" si="312"/>
        <v>NO</v>
      </c>
      <c r="E2515" s="27">
        <v>28001.1</v>
      </c>
      <c r="F2515" s="27">
        <v>22202.78</v>
      </c>
      <c r="G2515" s="27">
        <v>511.76</v>
      </c>
      <c r="H2515" s="27">
        <v>310.76</v>
      </c>
      <c r="I2515" s="27">
        <v>3061.56</v>
      </c>
      <c r="J2515" s="27">
        <v>54630.3</v>
      </c>
      <c r="K2515" s="47">
        <f t="shared" si="313"/>
        <v>0.51255621880165392</v>
      </c>
      <c r="L2515" s="47">
        <f t="shared" si="314"/>
        <v>0.40641878225087541</v>
      </c>
      <c r="M2515" s="84">
        <f t="shared" si="315"/>
        <v>0.91897500105252938</v>
      </c>
      <c r="N2515" s="47">
        <f t="shared" si="316"/>
        <v>9.367695216757E-3</v>
      </c>
      <c r="O2515" s="47">
        <f t="shared" si="317"/>
        <v>5.688418331951316E-3</v>
      </c>
      <c r="P2515" s="47">
        <f t="shared" si="318"/>
        <v>5.6041427559431298E-2</v>
      </c>
      <c r="Q2515" s="47">
        <f t="shared" si="319"/>
        <v>1</v>
      </c>
    </row>
    <row r="2516" spans="1:17" x14ac:dyDescent="0.35">
      <c r="A2516" s="82">
        <v>2513</v>
      </c>
      <c r="B2516" s="83" t="str">
        <f>_xlfn.XLOOKUP(A2516,'TAZs by City - CCAG Model'!$A:$A,'TAZs by City - CCAG Model'!$B:$B,"Unknown")</f>
        <v>Unincorporated</v>
      </c>
      <c r="C2516" s="82">
        <f>_xlfn.XLOOKUP(A2516,'TAZs by City - CCAG Model'!$A:$A,'TAZs by City - CCAG Model'!$C:$C,999)</f>
        <v>5</v>
      </c>
      <c r="D2516" s="82" t="str">
        <f t="shared" si="312"/>
        <v>NO</v>
      </c>
      <c r="E2516" s="27">
        <v>8811.86</v>
      </c>
      <c r="F2516" s="27">
        <v>5625.38</v>
      </c>
      <c r="G2516" s="27">
        <v>169.86</v>
      </c>
      <c r="H2516" s="27">
        <v>48.88</v>
      </c>
      <c r="I2516" s="27">
        <v>314.7</v>
      </c>
      <c r="J2516" s="27">
        <v>15167.34</v>
      </c>
      <c r="K2516" s="47">
        <f t="shared" si="313"/>
        <v>0.58097596546263219</v>
      </c>
      <c r="L2516" s="47">
        <f t="shared" si="314"/>
        <v>0.37088771004012572</v>
      </c>
      <c r="M2516" s="84">
        <f t="shared" si="315"/>
        <v>0.95186367550275797</v>
      </c>
      <c r="N2516" s="47">
        <f t="shared" si="316"/>
        <v>1.1199063250378775E-2</v>
      </c>
      <c r="O2516" s="47">
        <f t="shared" si="317"/>
        <v>3.2227140685182768E-3</v>
      </c>
      <c r="P2516" s="47">
        <f t="shared" si="318"/>
        <v>2.0748529405947253E-2</v>
      </c>
      <c r="Q2516" s="47">
        <f t="shared" si="319"/>
        <v>1</v>
      </c>
    </row>
    <row r="2517" spans="1:17" x14ac:dyDescent="0.35">
      <c r="A2517" s="82">
        <v>2514</v>
      </c>
      <c r="B2517" s="83" t="str">
        <f>_xlfn.XLOOKUP(A2517,'TAZs by City - CCAG Model'!$A:$A,'TAZs by City - CCAG Model'!$B:$B,"Unknown")</f>
        <v>Oakley</v>
      </c>
      <c r="C2517" s="82">
        <f>_xlfn.XLOOKUP(A2517,'TAZs by City - CCAG Model'!$A:$A,'TAZs by City - CCAG Model'!$C:$C,999)</f>
        <v>5</v>
      </c>
      <c r="D2517" s="82" t="str">
        <f t="shared" si="312"/>
        <v>NO</v>
      </c>
      <c r="E2517" s="27">
        <v>25018.16</v>
      </c>
      <c r="F2517" s="27">
        <v>17234.439999999999</v>
      </c>
      <c r="G2517" s="27">
        <v>776.62</v>
      </c>
      <c r="H2517" s="27">
        <v>278.48</v>
      </c>
      <c r="I2517" s="27">
        <v>2070.7600000000002</v>
      </c>
      <c r="J2517" s="27">
        <v>46187.26</v>
      </c>
      <c r="K2517" s="47">
        <f t="shared" si="313"/>
        <v>0.54166798376868419</v>
      </c>
      <c r="L2517" s="47">
        <f t="shared" si="314"/>
        <v>0.37314272377274593</v>
      </c>
      <c r="M2517" s="84">
        <f t="shared" si="315"/>
        <v>0.91481070754143023</v>
      </c>
      <c r="N2517" s="47">
        <f t="shared" si="316"/>
        <v>1.6814593461486997E-2</v>
      </c>
      <c r="O2517" s="47">
        <f t="shared" si="317"/>
        <v>6.0293682716835769E-3</v>
      </c>
      <c r="P2517" s="47">
        <f t="shared" si="318"/>
        <v>4.4834008339096107E-2</v>
      </c>
      <c r="Q2517" s="47">
        <f t="shared" si="319"/>
        <v>1</v>
      </c>
    </row>
    <row r="2518" spans="1:17" x14ac:dyDescent="0.35">
      <c r="A2518" s="82">
        <v>2515</v>
      </c>
      <c r="B2518" s="83" t="str">
        <f>_xlfn.XLOOKUP(A2518,'TAZs by City - CCAG Model'!$A:$A,'TAZs by City - CCAG Model'!$B:$B,"Unknown")</f>
        <v>Antioch</v>
      </c>
      <c r="C2518" s="82">
        <f>_xlfn.XLOOKUP(A2518,'TAZs by City - CCAG Model'!$A:$A,'TAZs by City - CCAG Model'!$C:$C,999)</f>
        <v>5</v>
      </c>
      <c r="D2518" s="82" t="str">
        <f t="shared" si="312"/>
        <v>NO</v>
      </c>
      <c r="E2518" s="27">
        <v>13643.08</v>
      </c>
      <c r="F2518" s="27">
        <v>7404.18</v>
      </c>
      <c r="G2518" s="27">
        <v>491.62</v>
      </c>
      <c r="H2518" s="27">
        <v>250.76</v>
      </c>
      <c r="I2518" s="27">
        <v>1346.76</v>
      </c>
      <c r="J2518" s="27">
        <v>23661</v>
      </c>
      <c r="K2518" s="47">
        <f t="shared" si="313"/>
        <v>0.57660622966062292</v>
      </c>
      <c r="L2518" s="47">
        <f t="shared" si="314"/>
        <v>0.31292760238366935</v>
      </c>
      <c r="M2518" s="84">
        <f t="shared" si="315"/>
        <v>0.88953383204429237</v>
      </c>
      <c r="N2518" s="47">
        <f t="shared" si="316"/>
        <v>2.0777650986856008E-2</v>
      </c>
      <c r="O2518" s="47">
        <f t="shared" si="317"/>
        <v>1.0598030514348506E-2</v>
      </c>
      <c r="P2518" s="47">
        <f t="shared" si="318"/>
        <v>5.6918980600988968E-2</v>
      </c>
      <c r="Q2518" s="47">
        <f t="shared" si="319"/>
        <v>1</v>
      </c>
    </row>
    <row r="2519" spans="1:17" x14ac:dyDescent="0.35">
      <c r="A2519" s="82">
        <v>2516</v>
      </c>
      <c r="B2519" s="83" t="str">
        <f>_xlfn.XLOOKUP(A2519,'TAZs by City - CCAG Model'!$A:$A,'TAZs by City - CCAG Model'!$B:$B,"Unknown")</f>
        <v>Antioch</v>
      </c>
      <c r="C2519" s="82">
        <f>_xlfn.XLOOKUP(A2519,'TAZs by City - CCAG Model'!$A:$A,'TAZs by City - CCAG Model'!$C:$C,999)</f>
        <v>5</v>
      </c>
      <c r="D2519" s="82" t="str">
        <f t="shared" si="312"/>
        <v>NO</v>
      </c>
      <c r="E2519" s="27">
        <v>9175.74</v>
      </c>
      <c r="F2519" s="27">
        <v>6630.22</v>
      </c>
      <c r="G2519" s="27">
        <v>238.96</v>
      </c>
      <c r="H2519" s="27">
        <v>140.52000000000001</v>
      </c>
      <c r="I2519" s="27">
        <v>970.36</v>
      </c>
      <c r="J2519" s="27">
        <v>17421.8</v>
      </c>
      <c r="K2519" s="47">
        <f t="shared" si="313"/>
        <v>0.52668151396526197</v>
      </c>
      <c r="L2519" s="47">
        <f t="shared" si="314"/>
        <v>0.38057031994397827</v>
      </c>
      <c r="M2519" s="84">
        <f t="shared" si="315"/>
        <v>0.90725183390924014</v>
      </c>
      <c r="N2519" s="47">
        <f t="shared" si="316"/>
        <v>1.3716148733196341E-2</v>
      </c>
      <c r="O2519" s="47">
        <f t="shared" si="317"/>
        <v>8.0657566956342068E-3</v>
      </c>
      <c r="P2519" s="47">
        <f t="shared" si="318"/>
        <v>5.5698033498260802E-2</v>
      </c>
      <c r="Q2519" s="47">
        <f t="shared" si="319"/>
        <v>1</v>
      </c>
    </row>
    <row r="2520" spans="1:17" x14ac:dyDescent="0.35">
      <c r="A2520" s="82">
        <v>2517</v>
      </c>
      <c r="B2520" s="83" t="str">
        <f>_xlfn.XLOOKUP(A2520,'TAZs by City - CCAG Model'!$A:$A,'TAZs by City - CCAG Model'!$B:$B,"Unknown")</f>
        <v>Oakley</v>
      </c>
      <c r="C2520" s="82">
        <f>_xlfn.XLOOKUP(A2520,'TAZs by City - CCAG Model'!$A:$A,'TAZs by City - CCAG Model'!$C:$C,999)</f>
        <v>5</v>
      </c>
      <c r="D2520" s="82" t="str">
        <f t="shared" si="312"/>
        <v>NO</v>
      </c>
      <c r="E2520" s="27">
        <v>28428.36</v>
      </c>
      <c r="F2520" s="27">
        <v>23953.7</v>
      </c>
      <c r="G2520" s="27">
        <v>875.2</v>
      </c>
      <c r="H2520" s="27">
        <v>358.26</v>
      </c>
      <c r="I2520" s="27">
        <v>2121.58</v>
      </c>
      <c r="J2520" s="27">
        <v>56638.879999999997</v>
      </c>
      <c r="K2520" s="47">
        <f t="shared" si="313"/>
        <v>0.50192306062549263</v>
      </c>
      <c r="L2520" s="47">
        <f t="shared" si="314"/>
        <v>0.42291973287607387</v>
      </c>
      <c r="M2520" s="84">
        <f t="shared" si="315"/>
        <v>0.9248427935015664</v>
      </c>
      <c r="N2520" s="47">
        <f t="shared" si="316"/>
        <v>1.5452282954747694E-2</v>
      </c>
      <c r="O2520" s="47">
        <f t="shared" si="317"/>
        <v>6.3253369416909379E-3</v>
      </c>
      <c r="P2520" s="47">
        <f t="shared" si="318"/>
        <v>3.7458014706505498E-2</v>
      </c>
      <c r="Q2520" s="47">
        <f t="shared" si="319"/>
        <v>1</v>
      </c>
    </row>
    <row r="2521" spans="1:17" x14ac:dyDescent="0.35">
      <c r="A2521" s="82">
        <v>2518</v>
      </c>
      <c r="B2521" s="83" t="str">
        <f>_xlfn.XLOOKUP(A2521,'TAZs by City - CCAG Model'!$A:$A,'TAZs by City - CCAG Model'!$B:$B,"Unknown")</f>
        <v>Antioch</v>
      </c>
      <c r="C2521" s="82">
        <f>_xlfn.XLOOKUP(A2521,'TAZs by City - CCAG Model'!$A:$A,'TAZs by City - CCAG Model'!$C:$C,999)</f>
        <v>5</v>
      </c>
      <c r="D2521" s="82" t="str">
        <f t="shared" si="312"/>
        <v>NO</v>
      </c>
      <c r="E2521" s="27">
        <v>37279.519999999997</v>
      </c>
      <c r="F2521" s="27">
        <v>26947.98</v>
      </c>
      <c r="G2521" s="27">
        <v>1168.3599999999999</v>
      </c>
      <c r="H2521" s="27">
        <v>622.86</v>
      </c>
      <c r="I2521" s="27">
        <v>4324.32</v>
      </c>
      <c r="J2521" s="27">
        <v>71542.460000000006</v>
      </c>
      <c r="K2521" s="47">
        <f t="shared" si="313"/>
        <v>0.52108244530590631</v>
      </c>
      <c r="L2521" s="47">
        <f t="shared" si="314"/>
        <v>0.37667114046679406</v>
      </c>
      <c r="M2521" s="84">
        <f t="shared" si="315"/>
        <v>0.89775358577270048</v>
      </c>
      <c r="N2521" s="47">
        <f t="shared" si="316"/>
        <v>1.633100119844914E-2</v>
      </c>
      <c r="O2521" s="47">
        <f t="shared" si="317"/>
        <v>8.7061585525574602E-3</v>
      </c>
      <c r="P2521" s="47">
        <f t="shared" si="318"/>
        <v>6.0444105500425893E-2</v>
      </c>
      <c r="Q2521" s="47">
        <f t="shared" si="319"/>
        <v>1</v>
      </c>
    </row>
    <row r="2522" spans="1:17" x14ac:dyDescent="0.35">
      <c r="A2522" s="82">
        <v>2519</v>
      </c>
      <c r="B2522" s="83" t="str">
        <f>_xlfn.XLOOKUP(A2522,'TAZs by City - CCAG Model'!$A:$A,'TAZs by City - CCAG Model'!$B:$B,"Unknown")</f>
        <v>Antioch</v>
      </c>
      <c r="C2522" s="82">
        <f>_xlfn.XLOOKUP(A2522,'TAZs by City - CCAG Model'!$A:$A,'TAZs by City - CCAG Model'!$C:$C,999)</f>
        <v>5</v>
      </c>
      <c r="D2522" s="82" t="str">
        <f t="shared" si="312"/>
        <v>NO</v>
      </c>
      <c r="E2522" s="27">
        <v>18464.400000000001</v>
      </c>
      <c r="F2522" s="27">
        <v>11830.32</v>
      </c>
      <c r="G2522" s="27">
        <v>450.96</v>
      </c>
      <c r="H2522" s="27">
        <v>351.16</v>
      </c>
      <c r="I2522" s="27">
        <v>2363.94</v>
      </c>
      <c r="J2522" s="27">
        <v>33941.279999999999</v>
      </c>
      <c r="K2522" s="47">
        <f t="shared" si="313"/>
        <v>0.54401012572301344</v>
      </c>
      <c r="L2522" s="47">
        <f t="shared" si="314"/>
        <v>0.34855255900779231</v>
      </c>
      <c r="M2522" s="84">
        <f t="shared" si="315"/>
        <v>0.89256268473080569</v>
      </c>
      <c r="N2522" s="47">
        <f t="shared" si="316"/>
        <v>1.3286475937265773E-2</v>
      </c>
      <c r="O2522" s="47">
        <f t="shared" si="317"/>
        <v>1.0346103623670057E-2</v>
      </c>
      <c r="P2522" s="47">
        <f t="shared" si="318"/>
        <v>6.9647933136287143E-2</v>
      </c>
      <c r="Q2522" s="47">
        <f t="shared" si="319"/>
        <v>1</v>
      </c>
    </row>
    <row r="2523" spans="1:17" x14ac:dyDescent="0.35">
      <c r="A2523" s="82">
        <v>2520</v>
      </c>
      <c r="B2523" s="83" t="str">
        <f>_xlfn.XLOOKUP(A2523,'TAZs by City - CCAG Model'!$A:$A,'TAZs by City - CCAG Model'!$B:$B,"Unknown")</f>
        <v>Antioch</v>
      </c>
      <c r="C2523" s="82">
        <f>_xlfn.XLOOKUP(A2523,'TAZs by City - CCAG Model'!$A:$A,'TAZs by City - CCAG Model'!$C:$C,999)</f>
        <v>5</v>
      </c>
      <c r="D2523" s="82" t="str">
        <f t="shared" si="312"/>
        <v>NO</v>
      </c>
      <c r="E2523" s="27">
        <v>18220.22</v>
      </c>
      <c r="F2523" s="27">
        <v>11706.1</v>
      </c>
      <c r="G2523" s="27">
        <v>893.72</v>
      </c>
      <c r="H2523" s="27">
        <v>438.64</v>
      </c>
      <c r="I2523" s="27">
        <v>2957.72</v>
      </c>
      <c r="J2523" s="27">
        <v>35142.18</v>
      </c>
      <c r="K2523" s="47">
        <f t="shared" si="313"/>
        <v>0.51847153477672703</v>
      </c>
      <c r="L2523" s="47">
        <f t="shared" si="314"/>
        <v>0.33310682490386195</v>
      </c>
      <c r="M2523" s="84">
        <f t="shared" si="315"/>
        <v>0.85157835968058893</v>
      </c>
      <c r="N2523" s="47">
        <f t="shared" si="316"/>
        <v>2.5431546933058793E-2</v>
      </c>
      <c r="O2523" s="47">
        <f t="shared" si="317"/>
        <v>1.2481866520517509E-2</v>
      </c>
      <c r="P2523" s="47">
        <f t="shared" si="318"/>
        <v>8.4164385931663879E-2</v>
      </c>
      <c r="Q2523" s="47">
        <f t="shared" si="319"/>
        <v>1</v>
      </c>
    </row>
    <row r="2524" spans="1:17" x14ac:dyDescent="0.35">
      <c r="A2524" s="82">
        <v>2521</v>
      </c>
      <c r="B2524" s="83" t="str">
        <f>_xlfn.XLOOKUP(A2524,'TAZs by City - CCAG Model'!$A:$A,'TAZs by City - CCAG Model'!$B:$B,"Unknown")</f>
        <v>Antioch</v>
      </c>
      <c r="C2524" s="82">
        <f>_xlfn.XLOOKUP(A2524,'TAZs by City - CCAG Model'!$A:$A,'TAZs by City - CCAG Model'!$C:$C,999)</f>
        <v>5</v>
      </c>
      <c r="D2524" s="82" t="str">
        <f t="shared" si="312"/>
        <v>NO</v>
      </c>
      <c r="E2524" s="27">
        <v>42395.76</v>
      </c>
      <c r="F2524" s="27">
        <v>22822.84</v>
      </c>
      <c r="G2524" s="27">
        <v>1035.3599999999999</v>
      </c>
      <c r="H2524" s="27">
        <v>835.46</v>
      </c>
      <c r="I2524" s="27">
        <v>7737.22</v>
      </c>
      <c r="J2524" s="27">
        <v>75897.62</v>
      </c>
      <c r="K2524" s="47">
        <f t="shared" si="313"/>
        <v>0.5585914288221423</v>
      </c>
      <c r="L2524" s="47">
        <f t="shared" si="314"/>
        <v>0.30070560842355798</v>
      </c>
      <c r="M2524" s="84">
        <f t="shared" si="315"/>
        <v>0.85929703724570028</v>
      </c>
      <c r="N2524" s="47">
        <f t="shared" si="316"/>
        <v>1.3641534477629206E-2</v>
      </c>
      <c r="O2524" s="47">
        <f t="shared" si="317"/>
        <v>1.1007723298833351E-2</v>
      </c>
      <c r="P2524" s="47">
        <f t="shared" si="318"/>
        <v>0.10194285407104993</v>
      </c>
      <c r="Q2524" s="47">
        <f t="shared" si="319"/>
        <v>1</v>
      </c>
    </row>
    <row r="2525" spans="1:17" x14ac:dyDescent="0.35">
      <c r="A2525" s="82">
        <v>2522</v>
      </c>
      <c r="B2525" s="83" t="str">
        <f>_xlfn.XLOOKUP(A2525,'TAZs by City - CCAG Model'!$A:$A,'TAZs by City - CCAG Model'!$B:$B,"Unknown")</f>
        <v>Antioch</v>
      </c>
      <c r="C2525" s="82">
        <f>_xlfn.XLOOKUP(A2525,'TAZs by City - CCAG Model'!$A:$A,'TAZs by City - CCAG Model'!$C:$C,999)</f>
        <v>5</v>
      </c>
      <c r="D2525" s="82" t="str">
        <f t="shared" si="312"/>
        <v>NO</v>
      </c>
      <c r="E2525" s="27">
        <v>7592.16</v>
      </c>
      <c r="F2525" s="27">
        <v>5833.8</v>
      </c>
      <c r="G2525" s="27">
        <v>558.17999999999995</v>
      </c>
      <c r="H2525" s="27">
        <v>227.54</v>
      </c>
      <c r="I2525" s="27">
        <v>1202.5999999999999</v>
      </c>
      <c r="J2525" s="27">
        <v>15999.96</v>
      </c>
      <c r="K2525" s="47">
        <f t="shared" si="313"/>
        <v>0.47451118627796574</v>
      </c>
      <c r="L2525" s="47">
        <f t="shared" si="314"/>
        <v>0.36461341153352889</v>
      </c>
      <c r="M2525" s="84">
        <f t="shared" si="315"/>
        <v>0.83912459781149451</v>
      </c>
      <c r="N2525" s="47">
        <f t="shared" si="316"/>
        <v>3.4886337215843041E-2</v>
      </c>
      <c r="O2525" s="47">
        <f t="shared" si="317"/>
        <v>1.4221285553213883E-2</v>
      </c>
      <c r="P2525" s="47">
        <f t="shared" si="318"/>
        <v>7.5162687906719761E-2</v>
      </c>
      <c r="Q2525" s="47">
        <f t="shared" si="319"/>
        <v>1</v>
      </c>
    </row>
    <row r="2526" spans="1:17" x14ac:dyDescent="0.35">
      <c r="A2526" s="82">
        <v>2523</v>
      </c>
      <c r="B2526" s="83" t="str">
        <f>_xlfn.XLOOKUP(A2526,'TAZs by City - CCAG Model'!$A:$A,'TAZs by City - CCAG Model'!$B:$B,"Unknown")</f>
        <v>Antioch</v>
      </c>
      <c r="C2526" s="82">
        <f>_xlfn.XLOOKUP(A2526,'TAZs by City - CCAG Model'!$A:$A,'TAZs by City - CCAG Model'!$C:$C,999)</f>
        <v>5</v>
      </c>
      <c r="D2526" s="82" t="str">
        <f t="shared" si="312"/>
        <v>NO</v>
      </c>
      <c r="E2526" s="27">
        <v>10031.959999999999</v>
      </c>
      <c r="F2526" s="27">
        <v>7038.5</v>
      </c>
      <c r="G2526" s="27">
        <v>392.62</v>
      </c>
      <c r="H2526" s="27">
        <v>252.04</v>
      </c>
      <c r="I2526" s="27">
        <v>1459.34</v>
      </c>
      <c r="J2526" s="27">
        <v>19594.400000000001</v>
      </c>
      <c r="K2526" s="47">
        <f t="shared" si="313"/>
        <v>0.51198097415588117</v>
      </c>
      <c r="L2526" s="47">
        <f t="shared" si="314"/>
        <v>0.35920977422120604</v>
      </c>
      <c r="M2526" s="84">
        <f t="shared" si="315"/>
        <v>0.87119074837708721</v>
      </c>
      <c r="N2526" s="47">
        <f t="shared" si="316"/>
        <v>2.0037357612379045E-2</v>
      </c>
      <c r="O2526" s="47">
        <f t="shared" si="317"/>
        <v>1.2862858775976808E-2</v>
      </c>
      <c r="P2526" s="47">
        <f t="shared" si="318"/>
        <v>7.4477401706610047E-2</v>
      </c>
      <c r="Q2526" s="47">
        <f t="shared" si="319"/>
        <v>1</v>
      </c>
    </row>
    <row r="2527" spans="1:17" x14ac:dyDescent="0.35">
      <c r="A2527" s="82">
        <v>2524</v>
      </c>
      <c r="B2527" s="83" t="str">
        <f>_xlfn.XLOOKUP(A2527,'TAZs by City - CCAG Model'!$A:$A,'TAZs by City - CCAG Model'!$B:$B,"Unknown")</f>
        <v>Antioch</v>
      </c>
      <c r="C2527" s="82">
        <f>_xlfn.XLOOKUP(A2527,'TAZs by City - CCAG Model'!$A:$A,'TAZs by City - CCAG Model'!$C:$C,999)</f>
        <v>5</v>
      </c>
      <c r="D2527" s="82" t="str">
        <f t="shared" si="312"/>
        <v>NO</v>
      </c>
      <c r="E2527" s="27">
        <v>7696.2</v>
      </c>
      <c r="F2527" s="27">
        <v>5548.62</v>
      </c>
      <c r="G2527" s="27">
        <v>267.06</v>
      </c>
      <c r="H2527" s="27">
        <v>187.6</v>
      </c>
      <c r="I2527" s="27">
        <v>2585.58</v>
      </c>
      <c r="J2527" s="27">
        <v>16580.46</v>
      </c>
      <c r="K2527" s="47">
        <f t="shared" si="313"/>
        <v>0.46417288784508998</v>
      </c>
      <c r="L2527" s="47">
        <f t="shared" si="314"/>
        <v>0.33464813400834476</v>
      </c>
      <c r="M2527" s="84">
        <f t="shared" si="315"/>
        <v>0.79882102185343473</v>
      </c>
      <c r="N2527" s="47">
        <f t="shared" si="316"/>
        <v>1.6106911388465702E-2</v>
      </c>
      <c r="O2527" s="47">
        <f t="shared" si="317"/>
        <v>1.131452324000661E-2</v>
      </c>
      <c r="P2527" s="47">
        <f t="shared" si="318"/>
        <v>0.15594139125211243</v>
      </c>
      <c r="Q2527" s="47">
        <f t="shared" si="319"/>
        <v>1</v>
      </c>
    </row>
    <row r="2528" spans="1:17" x14ac:dyDescent="0.35">
      <c r="A2528" s="82">
        <v>2525</v>
      </c>
      <c r="B2528" s="83" t="str">
        <f>_xlfn.XLOOKUP(A2528,'TAZs by City - CCAG Model'!$A:$A,'TAZs by City - CCAG Model'!$B:$B,"Unknown")</f>
        <v>Antioch</v>
      </c>
      <c r="C2528" s="82">
        <f>_xlfn.XLOOKUP(A2528,'TAZs by City - CCAG Model'!$A:$A,'TAZs by City - CCAG Model'!$C:$C,999)</f>
        <v>5</v>
      </c>
      <c r="D2528" s="82" t="str">
        <f t="shared" si="312"/>
        <v>NO</v>
      </c>
      <c r="E2528" s="27">
        <v>18381.46</v>
      </c>
      <c r="F2528" s="27">
        <v>11329.3</v>
      </c>
      <c r="G2528" s="27">
        <v>470.84</v>
      </c>
      <c r="H2528" s="27">
        <v>392.2</v>
      </c>
      <c r="I2528" s="27">
        <v>4438.2</v>
      </c>
      <c r="J2528" s="27">
        <v>35510.9</v>
      </c>
      <c r="K2528" s="47">
        <f t="shared" si="313"/>
        <v>0.51762867175993843</v>
      </c>
      <c r="L2528" s="47">
        <f t="shared" si="314"/>
        <v>0.31903725335037969</v>
      </c>
      <c r="M2528" s="84">
        <f t="shared" si="315"/>
        <v>0.83666592511031812</v>
      </c>
      <c r="N2528" s="47">
        <f t="shared" si="316"/>
        <v>1.3259027509863167E-2</v>
      </c>
      <c r="O2528" s="47">
        <f t="shared" si="317"/>
        <v>1.1044496196942347E-2</v>
      </c>
      <c r="P2528" s="47">
        <f t="shared" si="318"/>
        <v>0.12498134375642407</v>
      </c>
      <c r="Q2528" s="47">
        <f t="shared" si="319"/>
        <v>1</v>
      </c>
    </row>
    <row r="2529" spans="1:17" x14ac:dyDescent="0.35">
      <c r="A2529" s="82">
        <v>2526</v>
      </c>
      <c r="B2529" s="83" t="str">
        <f>_xlfn.XLOOKUP(A2529,'TAZs by City - CCAG Model'!$A:$A,'TAZs by City - CCAG Model'!$B:$B,"Unknown")</f>
        <v>Antioch</v>
      </c>
      <c r="C2529" s="82">
        <f>_xlfn.XLOOKUP(A2529,'TAZs by City - CCAG Model'!$A:$A,'TAZs by City - CCAG Model'!$C:$C,999)</f>
        <v>5</v>
      </c>
      <c r="D2529" s="82" t="str">
        <f t="shared" si="312"/>
        <v>NO</v>
      </c>
      <c r="E2529" s="27">
        <v>8020.52</v>
      </c>
      <c r="F2529" s="27">
        <v>5489.62</v>
      </c>
      <c r="G2529" s="27">
        <v>245.2</v>
      </c>
      <c r="H2529" s="27">
        <v>174.92</v>
      </c>
      <c r="I2529" s="27">
        <v>1726.86</v>
      </c>
      <c r="J2529" s="27">
        <v>15928.92</v>
      </c>
      <c r="K2529" s="47">
        <f t="shared" si="313"/>
        <v>0.50351938486727288</v>
      </c>
      <c r="L2529" s="47">
        <f t="shared" si="314"/>
        <v>0.34463227889900883</v>
      </c>
      <c r="M2529" s="84">
        <f t="shared" si="315"/>
        <v>0.8481516637662817</v>
      </c>
      <c r="N2529" s="47">
        <f t="shared" si="316"/>
        <v>1.5393385113366128E-2</v>
      </c>
      <c r="O2529" s="47">
        <f t="shared" si="317"/>
        <v>1.098128435575042E-2</v>
      </c>
      <c r="P2529" s="47">
        <f t="shared" si="318"/>
        <v>0.1084103630377954</v>
      </c>
      <c r="Q2529" s="47">
        <f t="shared" si="319"/>
        <v>1</v>
      </c>
    </row>
    <row r="2530" spans="1:17" x14ac:dyDescent="0.35">
      <c r="A2530" s="82">
        <v>2527</v>
      </c>
      <c r="B2530" s="83" t="str">
        <f>_xlfn.XLOOKUP(A2530,'TAZs by City - CCAG Model'!$A:$A,'TAZs by City - CCAG Model'!$B:$B,"Unknown")</f>
        <v>Unincorporated</v>
      </c>
      <c r="C2530" s="82">
        <f>_xlfn.XLOOKUP(A2530,'TAZs by City - CCAG Model'!$A:$A,'TAZs by City - CCAG Model'!$C:$C,999)</f>
        <v>5</v>
      </c>
      <c r="D2530" s="82" t="str">
        <f t="shared" si="312"/>
        <v>NO</v>
      </c>
      <c r="E2530" s="27">
        <v>33046.26</v>
      </c>
      <c r="F2530" s="27">
        <v>26439.54</v>
      </c>
      <c r="G2530" s="27">
        <v>1221.4000000000001</v>
      </c>
      <c r="H2530" s="27">
        <v>517.9</v>
      </c>
      <c r="I2530" s="27">
        <v>3411.08</v>
      </c>
      <c r="J2530" s="27">
        <v>65883.28</v>
      </c>
      <c r="K2530" s="47">
        <f t="shared" si="313"/>
        <v>0.50158795979799431</v>
      </c>
      <c r="L2530" s="47">
        <f t="shared" si="314"/>
        <v>0.40130879944046505</v>
      </c>
      <c r="M2530" s="84">
        <f t="shared" si="315"/>
        <v>0.90289675923845936</v>
      </c>
      <c r="N2530" s="47">
        <f t="shared" si="316"/>
        <v>1.8538846274805992E-2</v>
      </c>
      <c r="O2530" s="47">
        <f t="shared" si="317"/>
        <v>7.86087152916491E-3</v>
      </c>
      <c r="P2530" s="47">
        <f t="shared" si="318"/>
        <v>5.1774592886085817E-2</v>
      </c>
      <c r="Q2530" s="47">
        <f t="shared" si="319"/>
        <v>1</v>
      </c>
    </row>
    <row r="2531" spans="1:17" x14ac:dyDescent="0.35">
      <c r="A2531" s="82">
        <v>2528</v>
      </c>
      <c r="B2531" s="83" t="str">
        <f>_xlfn.XLOOKUP(A2531,'TAZs by City - CCAG Model'!$A:$A,'TAZs by City - CCAG Model'!$B:$B,"Unknown")</f>
        <v>Unincorporated</v>
      </c>
      <c r="C2531" s="82">
        <f>_xlfn.XLOOKUP(A2531,'TAZs by City - CCAG Model'!$A:$A,'TAZs by City - CCAG Model'!$C:$C,999)</f>
        <v>5</v>
      </c>
      <c r="D2531" s="82" t="str">
        <f t="shared" si="312"/>
        <v>NO</v>
      </c>
      <c r="E2531" s="27">
        <v>14214.4</v>
      </c>
      <c r="F2531" s="27">
        <v>10272.92</v>
      </c>
      <c r="G2531" s="27">
        <v>588.88</v>
      </c>
      <c r="H2531" s="27">
        <v>270.12</v>
      </c>
      <c r="I2531" s="27">
        <v>1318.6</v>
      </c>
      <c r="J2531" s="27">
        <v>27278.68</v>
      </c>
      <c r="K2531" s="47">
        <f t="shared" si="313"/>
        <v>0.52108093206856043</v>
      </c>
      <c r="L2531" s="47">
        <f t="shared" si="314"/>
        <v>0.37659153595408573</v>
      </c>
      <c r="M2531" s="84">
        <f t="shared" si="315"/>
        <v>0.89767246802264622</v>
      </c>
      <c r="N2531" s="47">
        <f t="shared" si="316"/>
        <v>2.1587554823033959E-2</v>
      </c>
      <c r="O2531" s="47">
        <f t="shared" si="317"/>
        <v>9.9022386713726613E-3</v>
      </c>
      <c r="P2531" s="47">
        <f t="shared" si="318"/>
        <v>4.8338116067199725E-2</v>
      </c>
      <c r="Q2531" s="47">
        <f t="shared" si="319"/>
        <v>1</v>
      </c>
    </row>
    <row r="2532" spans="1:17" x14ac:dyDescent="0.35">
      <c r="A2532" s="82">
        <v>2529</v>
      </c>
      <c r="B2532" s="83" t="str">
        <f>_xlfn.XLOOKUP(A2532,'TAZs by City - CCAG Model'!$A:$A,'TAZs by City - CCAG Model'!$B:$B,"Unknown")</f>
        <v>Antioch</v>
      </c>
      <c r="C2532" s="82">
        <f>_xlfn.XLOOKUP(A2532,'TAZs by City - CCAG Model'!$A:$A,'TAZs by City - CCAG Model'!$C:$C,999)</f>
        <v>5</v>
      </c>
      <c r="D2532" s="82" t="str">
        <f t="shared" si="312"/>
        <v>NO</v>
      </c>
      <c r="E2532" s="27">
        <v>14293.5</v>
      </c>
      <c r="F2532" s="27">
        <v>8383.26</v>
      </c>
      <c r="G2532" s="27">
        <v>386.34</v>
      </c>
      <c r="H2532" s="27">
        <v>297.22000000000003</v>
      </c>
      <c r="I2532" s="27">
        <v>2109.04</v>
      </c>
      <c r="J2532" s="27">
        <v>25890.48</v>
      </c>
      <c r="K2532" s="47">
        <f t="shared" si="313"/>
        <v>0.55207551192561899</v>
      </c>
      <c r="L2532" s="47">
        <f t="shared" si="314"/>
        <v>0.32379700955718088</v>
      </c>
      <c r="M2532" s="84">
        <f t="shared" si="315"/>
        <v>0.87587252148279993</v>
      </c>
      <c r="N2532" s="47">
        <f t="shared" si="316"/>
        <v>1.4922087191894471E-2</v>
      </c>
      <c r="O2532" s="47">
        <f t="shared" si="317"/>
        <v>1.147989531287176E-2</v>
      </c>
      <c r="P2532" s="47">
        <f t="shared" si="318"/>
        <v>8.1460057905454047E-2</v>
      </c>
      <c r="Q2532" s="47">
        <f t="shared" si="319"/>
        <v>1</v>
      </c>
    </row>
    <row r="2533" spans="1:17" x14ac:dyDescent="0.35">
      <c r="A2533" s="82">
        <v>2530</v>
      </c>
      <c r="B2533" s="83" t="str">
        <f>_xlfn.XLOOKUP(A2533,'TAZs by City - CCAG Model'!$A:$A,'TAZs by City - CCAG Model'!$B:$B,"Unknown")</f>
        <v>Pittsburg</v>
      </c>
      <c r="C2533" s="82">
        <f>_xlfn.XLOOKUP(A2533,'TAZs by City - CCAG Model'!$A:$A,'TAZs by City - CCAG Model'!$C:$C,999)</f>
        <v>5</v>
      </c>
      <c r="D2533" s="82" t="str">
        <f t="shared" si="312"/>
        <v>NO</v>
      </c>
      <c r="E2533" s="27">
        <v>15820.26</v>
      </c>
      <c r="F2533" s="27">
        <v>7916.12</v>
      </c>
      <c r="G2533" s="27">
        <v>809.5</v>
      </c>
      <c r="H2533" s="27">
        <v>375.24</v>
      </c>
      <c r="I2533" s="27">
        <v>2040.44</v>
      </c>
      <c r="J2533" s="27">
        <v>27804.240000000002</v>
      </c>
      <c r="K2533" s="47">
        <f t="shared" si="313"/>
        <v>0.56898731991955176</v>
      </c>
      <c r="L2533" s="47">
        <f t="shared" si="314"/>
        <v>0.28470909472799832</v>
      </c>
      <c r="M2533" s="84">
        <f t="shared" si="315"/>
        <v>0.85369641464755019</v>
      </c>
      <c r="N2533" s="47">
        <f t="shared" si="316"/>
        <v>2.9114264586983855E-2</v>
      </c>
      <c r="O2533" s="47">
        <f t="shared" si="317"/>
        <v>1.3495783376923807E-2</v>
      </c>
      <c r="P2533" s="47">
        <f t="shared" si="318"/>
        <v>7.3385929627999183E-2</v>
      </c>
      <c r="Q2533" s="47">
        <f t="shared" si="319"/>
        <v>1</v>
      </c>
    </row>
    <row r="2534" spans="1:17" x14ac:dyDescent="0.35">
      <c r="A2534" s="82">
        <v>2531</v>
      </c>
      <c r="B2534" s="83" t="str">
        <f>_xlfn.XLOOKUP(A2534,'TAZs by City - CCAG Model'!$A:$A,'TAZs by City - CCAG Model'!$B:$B,"Unknown")</f>
        <v>Pittsburg</v>
      </c>
      <c r="C2534" s="82">
        <f>_xlfn.XLOOKUP(A2534,'TAZs by City - CCAG Model'!$A:$A,'TAZs by City - CCAG Model'!$C:$C,999)</f>
        <v>5</v>
      </c>
      <c r="D2534" s="82" t="str">
        <f t="shared" si="312"/>
        <v>NO</v>
      </c>
      <c r="E2534" s="27">
        <v>25233.3</v>
      </c>
      <c r="F2534" s="27">
        <v>15355.64</v>
      </c>
      <c r="G2534" s="27">
        <v>776.96</v>
      </c>
      <c r="H2534" s="27">
        <v>504.14</v>
      </c>
      <c r="I2534" s="27">
        <v>4400.32</v>
      </c>
      <c r="J2534" s="27">
        <v>47083.76</v>
      </c>
      <c r="K2534" s="47">
        <f t="shared" si="313"/>
        <v>0.53592363906366014</v>
      </c>
      <c r="L2534" s="47">
        <f t="shared" si="314"/>
        <v>0.32613453131185782</v>
      </c>
      <c r="M2534" s="84">
        <f t="shared" si="315"/>
        <v>0.86205817037551802</v>
      </c>
      <c r="N2534" s="47">
        <f t="shared" si="316"/>
        <v>1.6501655772606098E-2</v>
      </c>
      <c r="O2534" s="47">
        <f t="shared" si="317"/>
        <v>1.070730120109354E-2</v>
      </c>
      <c r="P2534" s="47">
        <f t="shared" si="318"/>
        <v>9.345727698892356E-2</v>
      </c>
      <c r="Q2534" s="47">
        <f t="shared" si="319"/>
        <v>1</v>
      </c>
    </row>
    <row r="2535" spans="1:17" x14ac:dyDescent="0.35">
      <c r="A2535" s="82">
        <v>2532</v>
      </c>
      <c r="B2535" s="83" t="str">
        <f>_xlfn.XLOOKUP(A2535,'TAZs by City - CCAG Model'!$A:$A,'TAZs by City - CCAG Model'!$B:$B,"Unknown")</f>
        <v>Unincorporated</v>
      </c>
      <c r="C2535" s="82">
        <f>_xlfn.XLOOKUP(A2535,'TAZs by City - CCAG Model'!$A:$A,'TAZs by City - CCAG Model'!$C:$C,999)</f>
        <v>5</v>
      </c>
      <c r="D2535" s="82" t="str">
        <f t="shared" si="312"/>
        <v>NO</v>
      </c>
      <c r="E2535" s="27">
        <v>17328.22</v>
      </c>
      <c r="F2535" s="27">
        <v>12520.88</v>
      </c>
      <c r="G2535" s="27">
        <v>1438.74</v>
      </c>
      <c r="H2535" s="27">
        <v>286</v>
      </c>
      <c r="I2535" s="27">
        <v>1153.18</v>
      </c>
      <c r="J2535" s="27">
        <v>34197.74</v>
      </c>
      <c r="K2535" s="47">
        <f t="shared" si="313"/>
        <v>0.50670658353446751</v>
      </c>
      <c r="L2535" s="47">
        <f t="shared" si="314"/>
        <v>0.36613179701348686</v>
      </c>
      <c r="M2535" s="84">
        <f t="shared" si="315"/>
        <v>0.87283838054795437</v>
      </c>
      <c r="N2535" s="47">
        <f t="shared" si="316"/>
        <v>4.2071201196336366E-2</v>
      </c>
      <c r="O2535" s="47">
        <f t="shared" si="317"/>
        <v>8.3631257504150867E-3</v>
      </c>
      <c r="P2535" s="47">
        <f t="shared" si="318"/>
        <v>3.3720941793229618E-2</v>
      </c>
      <c r="Q2535" s="47">
        <f t="shared" si="319"/>
        <v>1</v>
      </c>
    </row>
    <row r="2536" spans="1:17" x14ac:dyDescent="0.35">
      <c r="A2536" s="82">
        <v>2533</v>
      </c>
      <c r="B2536" s="83" t="str">
        <f>_xlfn.XLOOKUP(A2536,'TAZs by City - CCAG Model'!$A:$A,'TAZs by City - CCAG Model'!$B:$B,"Unknown")</f>
        <v>Pittsburg</v>
      </c>
      <c r="C2536" s="82">
        <f>_xlfn.XLOOKUP(A2536,'TAZs by City - CCAG Model'!$A:$A,'TAZs by City - CCAG Model'!$C:$C,999)</f>
        <v>5</v>
      </c>
      <c r="D2536" s="82" t="str">
        <f t="shared" si="312"/>
        <v>NO</v>
      </c>
      <c r="E2536" s="27">
        <v>7194.28</v>
      </c>
      <c r="F2536" s="27">
        <v>6177.28</v>
      </c>
      <c r="G2536" s="27">
        <v>434.94</v>
      </c>
      <c r="H2536" s="27">
        <v>170.38</v>
      </c>
      <c r="I2536" s="27">
        <v>932.46</v>
      </c>
      <c r="J2536" s="27">
        <v>15372.92</v>
      </c>
      <c r="K2536" s="47">
        <f t="shared" si="313"/>
        <v>0.46798396140746196</v>
      </c>
      <c r="L2536" s="47">
        <f t="shared" si="314"/>
        <v>0.40182867015505186</v>
      </c>
      <c r="M2536" s="84">
        <f t="shared" si="315"/>
        <v>0.86981263156251376</v>
      </c>
      <c r="N2536" s="47">
        <f t="shared" si="316"/>
        <v>2.8292608040632487E-2</v>
      </c>
      <c r="O2536" s="47">
        <f t="shared" si="317"/>
        <v>1.108312539192294E-2</v>
      </c>
      <c r="P2536" s="47">
        <f t="shared" si="318"/>
        <v>6.0656010699333636E-2</v>
      </c>
      <c r="Q2536" s="47">
        <f t="shared" si="319"/>
        <v>1</v>
      </c>
    </row>
    <row r="2537" spans="1:17" x14ac:dyDescent="0.35">
      <c r="A2537" s="82">
        <v>2534</v>
      </c>
      <c r="B2537" s="83" t="str">
        <f>_xlfn.XLOOKUP(A2537,'TAZs by City - CCAG Model'!$A:$A,'TAZs by City - CCAG Model'!$B:$B,"Unknown")</f>
        <v>Pittsburg</v>
      </c>
      <c r="C2537" s="82">
        <f>_xlfn.XLOOKUP(A2537,'TAZs by City - CCAG Model'!$A:$A,'TAZs by City - CCAG Model'!$C:$C,999)</f>
        <v>5</v>
      </c>
      <c r="D2537" s="82" t="str">
        <f t="shared" si="312"/>
        <v>NO</v>
      </c>
      <c r="E2537" s="27">
        <v>4943.5</v>
      </c>
      <c r="F2537" s="27">
        <v>4417.08</v>
      </c>
      <c r="G2537" s="27">
        <v>271.3</v>
      </c>
      <c r="H2537" s="27">
        <v>139.28</v>
      </c>
      <c r="I2537" s="27">
        <v>1079.3599999999999</v>
      </c>
      <c r="J2537" s="27">
        <v>11148.86</v>
      </c>
      <c r="K2537" s="47">
        <f t="shared" si="313"/>
        <v>0.44340856374553089</v>
      </c>
      <c r="L2537" s="47">
        <f t="shared" si="314"/>
        <v>0.39619118008477994</v>
      </c>
      <c r="M2537" s="84">
        <f t="shared" si="315"/>
        <v>0.83959974383031089</v>
      </c>
      <c r="N2537" s="47">
        <f t="shared" si="316"/>
        <v>2.4334326558948627E-2</v>
      </c>
      <c r="O2537" s="47">
        <f t="shared" si="317"/>
        <v>1.2492757107004662E-2</v>
      </c>
      <c r="P2537" s="47">
        <f t="shared" si="318"/>
        <v>9.6813485863128587E-2</v>
      </c>
      <c r="Q2537" s="47">
        <f t="shared" si="319"/>
        <v>1</v>
      </c>
    </row>
    <row r="2538" spans="1:17" x14ac:dyDescent="0.35">
      <c r="A2538" s="82">
        <v>2535</v>
      </c>
      <c r="B2538" s="83" t="str">
        <f>_xlfn.XLOOKUP(A2538,'TAZs by City - CCAG Model'!$A:$A,'TAZs by City - CCAG Model'!$B:$B,"Unknown")</f>
        <v>Pittsburg</v>
      </c>
      <c r="C2538" s="82">
        <f>_xlfn.XLOOKUP(A2538,'TAZs by City - CCAG Model'!$A:$A,'TAZs by City - CCAG Model'!$C:$C,999)</f>
        <v>5</v>
      </c>
      <c r="D2538" s="82" t="str">
        <f t="shared" si="312"/>
        <v>NO</v>
      </c>
      <c r="E2538" s="27">
        <v>13537.66</v>
      </c>
      <c r="F2538" s="27">
        <v>9803.5</v>
      </c>
      <c r="G2538" s="27">
        <v>720.92</v>
      </c>
      <c r="H2538" s="27">
        <v>324.18</v>
      </c>
      <c r="I2538" s="27">
        <v>2166.62</v>
      </c>
      <c r="J2538" s="27">
        <v>27309.46</v>
      </c>
      <c r="K2538" s="47">
        <f t="shared" si="313"/>
        <v>0.49571320707183519</v>
      </c>
      <c r="L2538" s="47">
        <f t="shared" si="314"/>
        <v>0.35897817093417445</v>
      </c>
      <c r="M2538" s="84">
        <f t="shared" si="315"/>
        <v>0.85469137800600969</v>
      </c>
      <c r="N2538" s="47">
        <f t="shared" si="316"/>
        <v>2.6398178506642021E-2</v>
      </c>
      <c r="O2538" s="47">
        <f t="shared" si="317"/>
        <v>1.1870611868561297E-2</v>
      </c>
      <c r="P2538" s="47">
        <f t="shared" si="318"/>
        <v>7.9335878483133684E-2</v>
      </c>
      <c r="Q2538" s="47">
        <f t="shared" si="319"/>
        <v>1</v>
      </c>
    </row>
    <row r="2539" spans="1:17" x14ac:dyDescent="0.35">
      <c r="A2539" s="82">
        <v>2536</v>
      </c>
      <c r="B2539" s="83" t="str">
        <f>_xlfn.XLOOKUP(A2539,'TAZs by City - CCAG Model'!$A:$A,'TAZs by City - CCAG Model'!$B:$B,"Unknown")</f>
        <v>Pittsburg</v>
      </c>
      <c r="C2539" s="82">
        <f>_xlfn.XLOOKUP(A2539,'TAZs by City - CCAG Model'!$A:$A,'TAZs by City - CCAG Model'!$C:$C,999)</f>
        <v>5</v>
      </c>
      <c r="D2539" s="82" t="str">
        <f t="shared" si="312"/>
        <v>NO</v>
      </c>
      <c r="E2539" s="27">
        <v>6871.92</v>
      </c>
      <c r="F2539" s="27">
        <v>4317.34</v>
      </c>
      <c r="G2539" s="27">
        <v>289.66000000000003</v>
      </c>
      <c r="H2539" s="27">
        <v>154.08000000000001</v>
      </c>
      <c r="I2539" s="27">
        <v>899.48</v>
      </c>
      <c r="J2539" s="27">
        <v>12853.82</v>
      </c>
      <c r="K2539" s="47">
        <f t="shared" si="313"/>
        <v>0.53462083645173186</v>
      </c>
      <c r="L2539" s="47">
        <f t="shared" si="314"/>
        <v>0.33587991740976614</v>
      </c>
      <c r="M2539" s="84">
        <f t="shared" si="315"/>
        <v>0.87050075386149806</v>
      </c>
      <c r="N2539" s="47">
        <f t="shared" si="316"/>
        <v>2.2534935139903938E-2</v>
      </c>
      <c r="O2539" s="47">
        <f t="shared" si="317"/>
        <v>1.1987097998882824E-2</v>
      </c>
      <c r="P2539" s="47">
        <f t="shared" si="318"/>
        <v>6.997764088807841E-2</v>
      </c>
      <c r="Q2539" s="47">
        <f t="shared" si="319"/>
        <v>1</v>
      </c>
    </row>
    <row r="2540" spans="1:17" x14ac:dyDescent="0.35">
      <c r="A2540" s="82">
        <v>2537</v>
      </c>
      <c r="B2540" s="83" t="str">
        <f>_xlfn.XLOOKUP(A2540,'TAZs by City - CCAG Model'!$A:$A,'TAZs by City - CCAG Model'!$B:$B,"Unknown")</f>
        <v>Pittsburg</v>
      </c>
      <c r="C2540" s="82">
        <f>_xlfn.XLOOKUP(A2540,'TAZs by City - CCAG Model'!$A:$A,'TAZs by City - CCAG Model'!$C:$C,999)</f>
        <v>5</v>
      </c>
      <c r="D2540" s="82" t="str">
        <f t="shared" si="312"/>
        <v>NO</v>
      </c>
      <c r="E2540" s="27">
        <v>13280.22</v>
      </c>
      <c r="F2540" s="27">
        <v>7310.82</v>
      </c>
      <c r="G2540" s="27">
        <v>337.94</v>
      </c>
      <c r="H2540" s="27">
        <v>191.62</v>
      </c>
      <c r="I2540" s="27">
        <v>856.44</v>
      </c>
      <c r="J2540" s="27">
        <v>22350.32</v>
      </c>
      <c r="K2540" s="47">
        <f t="shared" si="313"/>
        <v>0.59418478124697993</v>
      </c>
      <c r="L2540" s="47">
        <f t="shared" si="314"/>
        <v>0.32710135693806619</v>
      </c>
      <c r="M2540" s="84">
        <f t="shared" si="315"/>
        <v>0.92128613818504612</v>
      </c>
      <c r="N2540" s="47">
        <f t="shared" si="316"/>
        <v>1.5120141456587646E-2</v>
      </c>
      <c r="O2540" s="47">
        <f t="shared" si="317"/>
        <v>8.5734790374366009E-3</v>
      </c>
      <c r="P2540" s="47">
        <f t="shared" si="318"/>
        <v>3.8318914449547034E-2</v>
      </c>
      <c r="Q2540" s="47">
        <f t="shared" si="319"/>
        <v>1</v>
      </c>
    </row>
    <row r="2541" spans="1:17" x14ac:dyDescent="0.35">
      <c r="A2541" s="82">
        <v>2538</v>
      </c>
      <c r="B2541" s="83" t="str">
        <f>_xlfn.XLOOKUP(A2541,'TAZs by City - CCAG Model'!$A:$A,'TAZs by City - CCAG Model'!$B:$B,"Unknown")</f>
        <v>Pittsburg</v>
      </c>
      <c r="C2541" s="82">
        <f>_xlfn.XLOOKUP(A2541,'TAZs by City - CCAG Model'!$A:$A,'TAZs by City - CCAG Model'!$C:$C,999)</f>
        <v>5</v>
      </c>
      <c r="D2541" s="82" t="str">
        <f t="shared" si="312"/>
        <v>NO</v>
      </c>
      <c r="E2541" s="27">
        <v>11190.1</v>
      </c>
      <c r="F2541" s="27">
        <v>8396.2000000000007</v>
      </c>
      <c r="G2541" s="27">
        <v>662.36</v>
      </c>
      <c r="H2541" s="27">
        <v>282.10000000000002</v>
      </c>
      <c r="I2541" s="27">
        <v>1990.22</v>
      </c>
      <c r="J2541" s="27">
        <v>23214.22</v>
      </c>
      <c r="K2541" s="47">
        <f t="shared" si="313"/>
        <v>0.48203644145700353</v>
      </c>
      <c r="L2541" s="47">
        <f t="shared" si="314"/>
        <v>0.36168348538094325</v>
      </c>
      <c r="M2541" s="84">
        <f t="shared" si="315"/>
        <v>0.84371992683794683</v>
      </c>
      <c r="N2541" s="47">
        <f t="shared" si="316"/>
        <v>2.8532511538186506E-2</v>
      </c>
      <c r="O2541" s="47">
        <f t="shared" si="317"/>
        <v>1.215203439960507E-2</v>
      </c>
      <c r="P2541" s="47">
        <f t="shared" si="318"/>
        <v>8.5732796535916339E-2</v>
      </c>
      <c r="Q2541" s="47">
        <f t="shared" si="319"/>
        <v>1</v>
      </c>
    </row>
    <row r="2542" spans="1:17" x14ac:dyDescent="0.35">
      <c r="A2542" s="82">
        <v>2539</v>
      </c>
      <c r="B2542" s="83" t="str">
        <f>_xlfn.XLOOKUP(A2542,'TAZs by City - CCAG Model'!$A:$A,'TAZs by City - CCAG Model'!$B:$B,"Unknown")</f>
        <v>Pittsburg</v>
      </c>
      <c r="C2542" s="82">
        <f>_xlfn.XLOOKUP(A2542,'TAZs by City - CCAG Model'!$A:$A,'TAZs by City - CCAG Model'!$C:$C,999)</f>
        <v>5</v>
      </c>
      <c r="D2542" s="82" t="str">
        <f t="shared" si="312"/>
        <v>NO</v>
      </c>
      <c r="E2542" s="27">
        <v>9512.6</v>
      </c>
      <c r="F2542" s="27">
        <v>8002.1</v>
      </c>
      <c r="G2542" s="27">
        <v>699.74</v>
      </c>
      <c r="H2542" s="27">
        <v>204.18</v>
      </c>
      <c r="I2542" s="27">
        <v>1076.5999999999999</v>
      </c>
      <c r="J2542" s="27">
        <v>20220.78</v>
      </c>
      <c r="K2542" s="47">
        <f t="shared" si="313"/>
        <v>0.47043684763891408</v>
      </c>
      <c r="L2542" s="47">
        <f t="shared" si="314"/>
        <v>0.39573646516108679</v>
      </c>
      <c r="M2542" s="84">
        <f t="shared" si="315"/>
        <v>0.86617331280000087</v>
      </c>
      <c r="N2542" s="47">
        <f t="shared" si="316"/>
        <v>3.460499545517038E-2</v>
      </c>
      <c r="O2542" s="47">
        <f t="shared" si="317"/>
        <v>1.0097533329574825E-2</v>
      </c>
      <c r="P2542" s="47">
        <f t="shared" si="318"/>
        <v>5.3242258706142888E-2</v>
      </c>
      <c r="Q2542" s="47">
        <f t="shared" si="319"/>
        <v>1</v>
      </c>
    </row>
    <row r="2543" spans="1:17" x14ac:dyDescent="0.35">
      <c r="A2543" s="82">
        <v>2540</v>
      </c>
      <c r="B2543" s="83" t="str">
        <f>_xlfn.XLOOKUP(A2543,'TAZs by City - CCAG Model'!$A:$A,'TAZs by City - CCAG Model'!$B:$B,"Unknown")</f>
        <v>Unincorporated</v>
      </c>
      <c r="C2543" s="82">
        <f>_xlfn.XLOOKUP(A2543,'TAZs by City - CCAG Model'!$A:$A,'TAZs by City - CCAG Model'!$C:$C,999)</f>
        <v>5</v>
      </c>
      <c r="D2543" s="82" t="str">
        <f t="shared" si="312"/>
        <v>NO</v>
      </c>
      <c r="E2543" s="27">
        <v>12009.94</v>
      </c>
      <c r="F2543" s="27">
        <v>9721.76</v>
      </c>
      <c r="G2543" s="27">
        <v>1196</v>
      </c>
      <c r="H2543" s="27">
        <v>261.62</v>
      </c>
      <c r="I2543" s="27">
        <v>1300.8</v>
      </c>
      <c r="J2543" s="27">
        <v>25718.16</v>
      </c>
      <c r="K2543" s="47">
        <f t="shared" si="313"/>
        <v>0.46698286347079265</v>
      </c>
      <c r="L2543" s="47">
        <f t="shared" si="314"/>
        <v>0.37801149071317702</v>
      </c>
      <c r="M2543" s="84">
        <f t="shared" si="315"/>
        <v>0.84499435418396962</v>
      </c>
      <c r="N2543" s="47">
        <f t="shared" si="316"/>
        <v>4.6504104492700878E-2</v>
      </c>
      <c r="O2543" s="47">
        <f t="shared" si="317"/>
        <v>1.0172578442625755E-2</v>
      </c>
      <c r="P2543" s="47">
        <f t="shared" si="318"/>
        <v>5.0579046090389046E-2</v>
      </c>
      <c r="Q2543" s="47">
        <f t="shared" si="319"/>
        <v>1</v>
      </c>
    </row>
    <row r="2544" spans="1:17" x14ac:dyDescent="0.35">
      <c r="A2544" s="82">
        <v>2541</v>
      </c>
      <c r="B2544" s="83" t="str">
        <f>_xlfn.XLOOKUP(A2544,'TAZs by City - CCAG Model'!$A:$A,'TAZs by City - CCAG Model'!$B:$B,"Unknown")</f>
        <v>Unincorporated</v>
      </c>
      <c r="C2544" s="82">
        <f>_xlfn.XLOOKUP(A2544,'TAZs by City - CCAG Model'!$A:$A,'TAZs by City - CCAG Model'!$C:$C,999)</f>
        <v>5</v>
      </c>
      <c r="D2544" s="82" t="str">
        <f t="shared" si="312"/>
        <v>NO</v>
      </c>
      <c r="E2544" s="27">
        <v>10092.120000000001</v>
      </c>
      <c r="F2544" s="27">
        <v>8354.36</v>
      </c>
      <c r="G2544" s="27">
        <v>653.70000000000005</v>
      </c>
      <c r="H2544" s="27">
        <v>177.96</v>
      </c>
      <c r="I2544" s="27">
        <v>908.82</v>
      </c>
      <c r="J2544" s="27">
        <v>20868.52</v>
      </c>
      <c r="K2544" s="47">
        <f t="shared" si="313"/>
        <v>0.48360497054894169</v>
      </c>
      <c r="L2544" s="47">
        <f t="shared" si="314"/>
        <v>0.40033313335109533</v>
      </c>
      <c r="M2544" s="84">
        <f t="shared" si="315"/>
        <v>0.88393810390003713</v>
      </c>
      <c r="N2544" s="47">
        <f t="shared" si="316"/>
        <v>3.1324693845083407E-2</v>
      </c>
      <c r="O2544" s="47">
        <f t="shared" si="317"/>
        <v>8.5276770944944826E-3</v>
      </c>
      <c r="P2544" s="47">
        <f t="shared" si="318"/>
        <v>4.3549806119456483E-2</v>
      </c>
      <c r="Q2544" s="47">
        <f t="shared" si="319"/>
        <v>1</v>
      </c>
    </row>
    <row r="2545" spans="1:17" x14ac:dyDescent="0.35">
      <c r="A2545" s="82">
        <v>2542</v>
      </c>
      <c r="B2545" s="83" t="str">
        <f>_xlfn.XLOOKUP(A2545,'TAZs by City - CCAG Model'!$A:$A,'TAZs by City - CCAG Model'!$B:$B,"Unknown")</f>
        <v>Unincorporated</v>
      </c>
      <c r="C2545" s="82">
        <f>_xlfn.XLOOKUP(A2545,'TAZs by City - CCAG Model'!$A:$A,'TAZs by City - CCAG Model'!$C:$C,999)</f>
        <v>5</v>
      </c>
      <c r="D2545" s="82" t="str">
        <f t="shared" si="312"/>
        <v>NO</v>
      </c>
      <c r="E2545" s="27">
        <v>9635.1</v>
      </c>
      <c r="F2545" s="27">
        <v>8484.1200000000008</v>
      </c>
      <c r="G2545" s="27">
        <v>582.52</v>
      </c>
      <c r="H2545" s="27">
        <v>195.92</v>
      </c>
      <c r="I2545" s="27">
        <v>1579.36</v>
      </c>
      <c r="J2545" s="27">
        <v>21084.86</v>
      </c>
      <c r="K2545" s="47">
        <f t="shared" si="313"/>
        <v>0.45696770099493189</v>
      </c>
      <c r="L2545" s="47">
        <f t="shared" si="314"/>
        <v>0.40237971701021497</v>
      </c>
      <c r="M2545" s="84">
        <f t="shared" si="315"/>
        <v>0.8593474180051468</v>
      </c>
      <c r="N2545" s="47">
        <f t="shared" si="316"/>
        <v>2.7627406584629918E-2</v>
      </c>
      <c r="O2545" s="47">
        <f t="shared" si="317"/>
        <v>9.2919753794903064E-3</v>
      </c>
      <c r="P2545" s="47">
        <f t="shared" si="318"/>
        <v>7.4904931785176654E-2</v>
      </c>
      <c r="Q2545" s="47">
        <f t="shared" si="319"/>
        <v>1</v>
      </c>
    </row>
    <row r="2546" spans="1:17" x14ac:dyDescent="0.35">
      <c r="A2546" s="82">
        <v>2543</v>
      </c>
      <c r="B2546" s="83" t="str">
        <f>_xlfn.XLOOKUP(A2546,'TAZs by City - CCAG Model'!$A:$A,'TAZs by City - CCAG Model'!$B:$B,"Unknown")</f>
        <v>Unincorporated</v>
      </c>
      <c r="C2546" s="82">
        <f>_xlfn.XLOOKUP(A2546,'TAZs by City - CCAG Model'!$A:$A,'TAZs by City - CCAG Model'!$C:$C,999)</f>
        <v>6</v>
      </c>
      <c r="D2546" s="82" t="str">
        <f t="shared" si="312"/>
        <v>NO</v>
      </c>
      <c r="E2546" s="27">
        <v>33413.82</v>
      </c>
      <c r="F2546" s="27">
        <v>13203.12</v>
      </c>
      <c r="G2546" s="27">
        <v>125.46</v>
      </c>
      <c r="H2546" s="27">
        <v>227.3</v>
      </c>
      <c r="I2546" s="27">
        <v>2505.2600000000002</v>
      </c>
      <c r="J2546" s="27">
        <v>49615.6</v>
      </c>
      <c r="K2546" s="47">
        <f t="shared" si="313"/>
        <v>0.67345391368843677</v>
      </c>
      <c r="L2546" s="47">
        <f t="shared" si="314"/>
        <v>0.26610824015027534</v>
      </c>
      <c r="M2546" s="84">
        <f t="shared" si="315"/>
        <v>0.93956215383871211</v>
      </c>
      <c r="N2546" s="47">
        <f t="shared" si="316"/>
        <v>2.5286401857480306E-3</v>
      </c>
      <c r="O2546" s="47">
        <f t="shared" si="317"/>
        <v>4.5812204226090185E-3</v>
      </c>
      <c r="P2546" s="47">
        <f t="shared" si="318"/>
        <v>5.0493393206975233E-2</v>
      </c>
      <c r="Q2546" s="47">
        <f t="shared" si="319"/>
        <v>1</v>
      </c>
    </row>
    <row r="2547" spans="1:17" x14ac:dyDescent="0.35">
      <c r="A2547" s="82">
        <v>2544</v>
      </c>
      <c r="B2547" s="83" t="str">
        <f>_xlfn.XLOOKUP(A2547,'TAZs by City - CCAG Model'!$A:$A,'TAZs by City - CCAG Model'!$B:$B,"Unknown")</f>
        <v>Benicia</v>
      </c>
      <c r="C2547" s="82">
        <f>_xlfn.XLOOKUP(A2547,'TAZs by City - CCAG Model'!$A:$A,'TAZs by City - CCAG Model'!$C:$C,999)</f>
        <v>6</v>
      </c>
      <c r="D2547" s="82" t="str">
        <f t="shared" si="312"/>
        <v>NO</v>
      </c>
      <c r="E2547" s="27">
        <v>19124.099999999999</v>
      </c>
      <c r="F2547" s="27">
        <v>9893.26</v>
      </c>
      <c r="G2547" s="27">
        <v>153.76</v>
      </c>
      <c r="H2547" s="27">
        <v>267.2</v>
      </c>
      <c r="I2547" s="27">
        <v>2863.9</v>
      </c>
      <c r="J2547" s="27">
        <v>32471.94</v>
      </c>
      <c r="K2547" s="47">
        <f t="shared" si="313"/>
        <v>0.58894232990083129</v>
      </c>
      <c r="L2547" s="47">
        <f t="shared" si="314"/>
        <v>0.30467104829585179</v>
      </c>
      <c r="M2547" s="84">
        <f t="shared" si="315"/>
        <v>0.89361337819668307</v>
      </c>
      <c r="N2547" s="47">
        <f t="shared" si="316"/>
        <v>4.7351651918548752E-3</v>
      </c>
      <c r="O2547" s="47">
        <f t="shared" si="317"/>
        <v>8.2286429452628953E-3</v>
      </c>
      <c r="P2547" s="47">
        <f t="shared" si="318"/>
        <v>8.8196147196625774E-2</v>
      </c>
      <c r="Q2547" s="47">
        <f t="shared" si="319"/>
        <v>1</v>
      </c>
    </row>
    <row r="2548" spans="1:17" x14ac:dyDescent="0.35">
      <c r="A2548" s="82">
        <v>2545</v>
      </c>
      <c r="B2548" s="83" t="str">
        <f>_xlfn.XLOOKUP(A2548,'TAZs by City - CCAG Model'!$A:$A,'TAZs by City - CCAG Model'!$B:$B,"Unknown")</f>
        <v>Benicia</v>
      </c>
      <c r="C2548" s="82">
        <f>_xlfn.XLOOKUP(A2548,'TAZs by City - CCAG Model'!$A:$A,'TAZs by City - CCAG Model'!$C:$C,999)</f>
        <v>6</v>
      </c>
      <c r="D2548" s="82" t="str">
        <f t="shared" si="312"/>
        <v>NO</v>
      </c>
      <c r="E2548" s="27">
        <v>8130.88</v>
      </c>
      <c r="F2548" s="27">
        <v>5006.16</v>
      </c>
      <c r="G2548" s="27">
        <v>128.88</v>
      </c>
      <c r="H2548" s="27">
        <v>134.44</v>
      </c>
      <c r="I2548" s="27">
        <v>794.58</v>
      </c>
      <c r="J2548" s="27">
        <v>14342.12</v>
      </c>
      <c r="K2548" s="47">
        <f t="shared" si="313"/>
        <v>0.56692316059271575</v>
      </c>
      <c r="L2548" s="47">
        <f t="shared" si="314"/>
        <v>0.3490529991382027</v>
      </c>
      <c r="M2548" s="84">
        <f t="shared" si="315"/>
        <v>0.9159761597309185</v>
      </c>
      <c r="N2548" s="47">
        <f t="shared" si="316"/>
        <v>8.9861192069233837E-3</v>
      </c>
      <c r="O2548" s="47">
        <f t="shared" si="317"/>
        <v>9.3737885333549011E-3</v>
      </c>
      <c r="P2548" s="47">
        <f t="shared" si="318"/>
        <v>5.5401851330207808E-2</v>
      </c>
      <c r="Q2548" s="47">
        <f t="shared" si="319"/>
        <v>1</v>
      </c>
    </row>
    <row r="2549" spans="1:17" x14ac:dyDescent="0.35">
      <c r="A2549" s="82">
        <v>2546</v>
      </c>
      <c r="B2549" s="83" t="str">
        <f>_xlfn.XLOOKUP(A2549,'TAZs by City - CCAG Model'!$A:$A,'TAZs by City - CCAG Model'!$B:$B,"Unknown")</f>
        <v>Benicia</v>
      </c>
      <c r="C2549" s="82">
        <f>_xlfn.XLOOKUP(A2549,'TAZs by City - CCAG Model'!$A:$A,'TAZs by City - CCAG Model'!$C:$C,999)</f>
        <v>6</v>
      </c>
      <c r="D2549" s="82" t="str">
        <f t="shared" si="312"/>
        <v>NO</v>
      </c>
      <c r="E2549" s="27">
        <v>7599.48</v>
      </c>
      <c r="F2549" s="27">
        <v>5361.18</v>
      </c>
      <c r="G2549" s="27">
        <v>143.9</v>
      </c>
      <c r="H2549" s="27">
        <v>135.58000000000001</v>
      </c>
      <c r="I2549" s="27">
        <v>571.84</v>
      </c>
      <c r="J2549" s="27">
        <v>13973.14</v>
      </c>
      <c r="K2549" s="47">
        <f t="shared" si="313"/>
        <v>0.54386344085867599</v>
      </c>
      <c r="L2549" s="47">
        <f t="shared" si="314"/>
        <v>0.38367754134002813</v>
      </c>
      <c r="M2549" s="84">
        <f t="shared" si="315"/>
        <v>0.92754098219870407</v>
      </c>
      <c r="N2549" s="47">
        <f t="shared" si="316"/>
        <v>1.0298329509330044E-2</v>
      </c>
      <c r="O2549" s="47">
        <f t="shared" si="317"/>
        <v>9.7029014237315324E-3</v>
      </c>
      <c r="P2549" s="47">
        <f t="shared" si="318"/>
        <v>4.0924230344790077E-2</v>
      </c>
      <c r="Q2549" s="47">
        <f t="shared" si="319"/>
        <v>1</v>
      </c>
    </row>
    <row r="2550" spans="1:17" x14ac:dyDescent="0.35">
      <c r="A2550" s="82">
        <v>2547</v>
      </c>
      <c r="B2550" s="83" t="str">
        <f>_xlfn.XLOOKUP(A2550,'TAZs by City - CCAG Model'!$A:$A,'TAZs by City - CCAG Model'!$B:$B,"Unknown")</f>
        <v>Benicia</v>
      </c>
      <c r="C2550" s="82">
        <f>_xlfn.XLOOKUP(A2550,'TAZs by City - CCAG Model'!$A:$A,'TAZs by City - CCAG Model'!$C:$C,999)</f>
        <v>6</v>
      </c>
      <c r="D2550" s="82" t="str">
        <f t="shared" si="312"/>
        <v>NO</v>
      </c>
      <c r="E2550" s="27">
        <v>10948.76</v>
      </c>
      <c r="F2550" s="27">
        <v>7265.74</v>
      </c>
      <c r="G2550" s="27">
        <v>140.58000000000001</v>
      </c>
      <c r="H2550" s="27">
        <v>221.24</v>
      </c>
      <c r="I2550" s="27">
        <v>1341.88</v>
      </c>
      <c r="J2550" s="27">
        <v>20076.02</v>
      </c>
      <c r="K2550" s="47">
        <f t="shared" si="313"/>
        <v>0.54536506737889279</v>
      </c>
      <c r="L2550" s="47">
        <f t="shared" si="314"/>
        <v>0.36191137486414138</v>
      </c>
      <c r="M2550" s="84">
        <f t="shared" si="315"/>
        <v>0.90727644224303416</v>
      </c>
      <c r="N2550" s="47">
        <f t="shared" si="316"/>
        <v>7.0023839386491949E-3</v>
      </c>
      <c r="O2550" s="47">
        <f t="shared" si="317"/>
        <v>1.102011255218913E-2</v>
      </c>
      <c r="P2550" s="47">
        <f t="shared" si="318"/>
        <v>6.6839941382803969E-2</v>
      </c>
      <c r="Q2550" s="47">
        <f t="shared" si="319"/>
        <v>1</v>
      </c>
    </row>
    <row r="2551" spans="1:17" x14ac:dyDescent="0.35">
      <c r="A2551" s="82">
        <v>2548</v>
      </c>
      <c r="B2551" s="83" t="str">
        <f>_xlfn.XLOOKUP(A2551,'TAZs by City - CCAG Model'!$A:$A,'TAZs by City - CCAG Model'!$B:$B,"Unknown")</f>
        <v>Benicia</v>
      </c>
      <c r="C2551" s="82">
        <f>_xlfn.XLOOKUP(A2551,'TAZs by City - CCAG Model'!$A:$A,'TAZs by City - CCAG Model'!$C:$C,999)</f>
        <v>6</v>
      </c>
      <c r="D2551" s="82" t="str">
        <f t="shared" si="312"/>
        <v>NO</v>
      </c>
      <c r="E2551" s="27">
        <v>7444.18</v>
      </c>
      <c r="F2551" s="27">
        <v>4896.08</v>
      </c>
      <c r="G2551" s="27">
        <v>130.30000000000001</v>
      </c>
      <c r="H2551" s="27">
        <v>129.1</v>
      </c>
      <c r="I2551" s="27">
        <v>852.2</v>
      </c>
      <c r="J2551" s="27">
        <v>13602</v>
      </c>
      <c r="K2551" s="47">
        <f t="shared" si="313"/>
        <v>0.5472856932804</v>
      </c>
      <c r="L2551" s="47">
        <f t="shared" si="314"/>
        <v>0.35995294809586825</v>
      </c>
      <c r="M2551" s="84">
        <f t="shared" si="315"/>
        <v>0.9072386413762682</v>
      </c>
      <c r="N2551" s="47">
        <f t="shared" si="316"/>
        <v>9.5794736068225278E-3</v>
      </c>
      <c r="O2551" s="47">
        <f t="shared" si="317"/>
        <v>9.4912512865755038E-3</v>
      </c>
      <c r="P2551" s="47">
        <f t="shared" si="318"/>
        <v>6.2652551095427153E-2</v>
      </c>
      <c r="Q2551" s="47">
        <f t="shared" si="319"/>
        <v>1</v>
      </c>
    </row>
    <row r="2552" spans="1:17" x14ac:dyDescent="0.35">
      <c r="A2552" s="82">
        <v>2549</v>
      </c>
      <c r="B2552" s="83" t="str">
        <f>_xlfn.XLOOKUP(A2552,'TAZs by City - CCAG Model'!$A:$A,'TAZs by City - CCAG Model'!$B:$B,"Unknown")</f>
        <v>Benicia</v>
      </c>
      <c r="C2552" s="82">
        <f>_xlfn.XLOOKUP(A2552,'TAZs by City - CCAG Model'!$A:$A,'TAZs by City - CCAG Model'!$C:$C,999)</f>
        <v>6</v>
      </c>
      <c r="D2552" s="82" t="str">
        <f t="shared" si="312"/>
        <v>NO</v>
      </c>
      <c r="E2552" s="27">
        <v>12524.84</v>
      </c>
      <c r="F2552" s="27">
        <v>9042.06</v>
      </c>
      <c r="G2552" s="27">
        <v>217.72</v>
      </c>
      <c r="H2552" s="27">
        <v>241.26</v>
      </c>
      <c r="I2552" s="27">
        <v>1553.82</v>
      </c>
      <c r="J2552" s="27">
        <v>23816.62</v>
      </c>
      <c r="K2552" s="47">
        <f t="shared" si="313"/>
        <v>0.5258865447741955</v>
      </c>
      <c r="L2552" s="47">
        <f t="shared" si="314"/>
        <v>0.37965336811016842</v>
      </c>
      <c r="M2552" s="84">
        <f t="shared" si="315"/>
        <v>0.90553991288436408</v>
      </c>
      <c r="N2552" s="47">
        <f t="shared" si="316"/>
        <v>9.1415154627314879E-3</v>
      </c>
      <c r="O2552" s="47">
        <f t="shared" si="317"/>
        <v>1.0129900884340431E-2</v>
      </c>
      <c r="P2552" s="47">
        <f t="shared" si="318"/>
        <v>6.5240995573679225E-2</v>
      </c>
      <c r="Q2552" s="47">
        <f t="shared" si="319"/>
        <v>1</v>
      </c>
    </row>
    <row r="2553" spans="1:17" x14ac:dyDescent="0.35">
      <c r="A2553" s="82">
        <v>2550</v>
      </c>
      <c r="B2553" s="83" t="str">
        <f>_xlfn.XLOOKUP(A2553,'TAZs by City - CCAG Model'!$A:$A,'TAZs by City - CCAG Model'!$B:$B,"Unknown")</f>
        <v>Vallejo</v>
      </c>
      <c r="C2553" s="82">
        <f>_xlfn.XLOOKUP(A2553,'TAZs by City - CCAG Model'!$A:$A,'TAZs by City - CCAG Model'!$C:$C,999)</f>
        <v>6</v>
      </c>
      <c r="D2553" s="82" t="str">
        <f t="shared" si="312"/>
        <v>NO</v>
      </c>
      <c r="E2553" s="27">
        <v>10454.780000000001</v>
      </c>
      <c r="F2553" s="27">
        <v>7243</v>
      </c>
      <c r="G2553" s="27">
        <v>214.04</v>
      </c>
      <c r="H2553" s="27">
        <v>219.9</v>
      </c>
      <c r="I2553" s="27">
        <v>797.32</v>
      </c>
      <c r="J2553" s="27">
        <v>19160.8</v>
      </c>
      <c r="K2553" s="47">
        <f t="shared" si="313"/>
        <v>0.54563379399607537</v>
      </c>
      <c r="L2553" s="47">
        <f t="shared" si="314"/>
        <v>0.3780113565195608</v>
      </c>
      <c r="M2553" s="84">
        <f t="shared" si="315"/>
        <v>0.92364515051563612</v>
      </c>
      <c r="N2553" s="47">
        <f t="shared" si="316"/>
        <v>1.1170723560602898E-2</v>
      </c>
      <c r="O2553" s="47">
        <f t="shared" si="317"/>
        <v>1.1476556302450838E-2</v>
      </c>
      <c r="P2553" s="47">
        <f t="shared" si="318"/>
        <v>4.161204125088723E-2</v>
      </c>
      <c r="Q2553" s="47">
        <f t="shared" si="319"/>
        <v>1</v>
      </c>
    </row>
    <row r="2554" spans="1:17" x14ac:dyDescent="0.35">
      <c r="A2554" s="82">
        <v>2551</v>
      </c>
      <c r="B2554" s="83" t="str">
        <f>_xlfn.XLOOKUP(A2554,'TAZs by City - CCAG Model'!$A:$A,'TAZs by City - CCAG Model'!$B:$B,"Unknown")</f>
        <v>Vallejo</v>
      </c>
      <c r="C2554" s="82">
        <f>_xlfn.XLOOKUP(A2554,'TAZs by City - CCAG Model'!$A:$A,'TAZs by City - CCAG Model'!$C:$C,999)</f>
        <v>6</v>
      </c>
      <c r="D2554" s="82" t="str">
        <f t="shared" si="312"/>
        <v>NO</v>
      </c>
      <c r="E2554" s="27">
        <v>8062.1</v>
      </c>
      <c r="F2554" s="27">
        <v>5140</v>
      </c>
      <c r="G2554" s="27">
        <v>260.42</v>
      </c>
      <c r="H2554" s="27">
        <v>178.02</v>
      </c>
      <c r="I2554" s="27">
        <v>867.26</v>
      </c>
      <c r="J2554" s="27">
        <v>14792.34</v>
      </c>
      <c r="K2554" s="47">
        <f t="shared" si="313"/>
        <v>0.5450185704222591</v>
      </c>
      <c r="L2554" s="47">
        <f t="shared" si="314"/>
        <v>0.34747714019553361</v>
      </c>
      <c r="M2554" s="84">
        <f t="shared" si="315"/>
        <v>0.89249571061779276</v>
      </c>
      <c r="N2554" s="47">
        <f t="shared" si="316"/>
        <v>1.7605057752863983E-2</v>
      </c>
      <c r="O2554" s="47">
        <f t="shared" si="317"/>
        <v>1.2034607100702121E-2</v>
      </c>
      <c r="P2554" s="47">
        <f t="shared" si="318"/>
        <v>5.8628993114003596E-2</v>
      </c>
      <c r="Q2554" s="47">
        <f t="shared" si="319"/>
        <v>1</v>
      </c>
    </row>
    <row r="2555" spans="1:17" x14ac:dyDescent="0.35">
      <c r="A2555" s="82">
        <v>2552</v>
      </c>
      <c r="B2555" s="83" t="str">
        <f>_xlfn.XLOOKUP(A2555,'TAZs by City - CCAG Model'!$A:$A,'TAZs by City - CCAG Model'!$B:$B,"Unknown")</f>
        <v>Vallejo</v>
      </c>
      <c r="C2555" s="82">
        <f>_xlfn.XLOOKUP(A2555,'TAZs by City - CCAG Model'!$A:$A,'TAZs by City - CCAG Model'!$C:$C,999)</f>
        <v>6</v>
      </c>
      <c r="D2555" s="82" t="str">
        <f t="shared" si="312"/>
        <v>NO</v>
      </c>
      <c r="E2555" s="27">
        <v>17654.580000000002</v>
      </c>
      <c r="F2555" s="27">
        <v>12227.34</v>
      </c>
      <c r="G2555" s="27">
        <v>588.58000000000004</v>
      </c>
      <c r="H2555" s="27">
        <v>355.88</v>
      </c>
      <c r="I2555" s="27">
        <v>1768.36</v>
      </c>
      <c r="J2555" s="27">
        <v>33206.400000000001</v>
      </c>
      <c r="K2555" s="47">
        <f t="shared" si="313"/>
        <v>0.53166196877710326</v>
      </c>
      <c r="L2555" s="47">
        <f t="shared" si="314"/>
        <v>0.36822239086441166</v>
      </c>
      <c r="M2555" s="84">
        <f t="shared" si="315"/>
        <v>0.89988435964151492</v>
      </c>
      <c r="N2555" s="47">
        <f t="shared" si="316"/>
        <v>1.772489640551219E-2</v>
      </c>
      <c r="O2555" s="47">
        <f t="shared" si="317"/>
        <v>1.07172111400212E-2</v>
      </c>
      <c r="P2555" s="47">
        <f t="shared" si="318"/>
        <v>5.3253589669461303E-2</v>
      </c>
      <c r="Q2555" s="47">
        <f t="shared" si="319"/>
        <v>1</v>
      </c>
    </row>
    <row r="2556" spans="1:17" x14ac:dyDescent="0.35">
      <c r="A2556" s="82">
        <v>2553</v>
      </c>
      <c r="B2556" s="83" t="str">
        <f>_xlfn.XLOOKUP(A2556,'TAZs by City - CCAG Model'!$A:$A,'TAZs by City - CCAG Model'!$B:$B,"Unknown")</f>
        <v>Vallejo</v>
      </c>
      <c r="C2556" s="82">
        <f>_xlfn.XLOOKUP(A2556,'TAZs by City - CCAG Model'!$A:$A,'TAZs by City - CCAG Model'!$C:$C,999)</f>
        <v>6</v>
      </c>
      <c r="D2556" s="82" t="str">
        <f t="shared" si="312"/>
        <v>NO</v>
      </c>
      <c r="E2556" s="27">
        <v>8126.38</v>
      </c>
      <c r="F2556" s="27">
        <v>6493.74</v>
      </c>
      <c r="G2556" s="27">
        <v>346.14</v>
      </c>
      <c r="H2556" s="27">
        <v>207.82</v>
      </c>
      <c r="I2556" s="27">
        <v>992.94</v>
      </c>
      <c r="J2556" s="27">
        <v>16536.88</v>
      </c>
      <c r="K2556" s="47">
        <f t="shared" si="313"/>
        <v>0.49140950409025158</v>
      </c>
      <c r="L2556" s="47">
        <f t="shared" si="314"/>
        <v>0.39268229557207884</v>
      </c>
      <c r="M2556" s="84">
        <f t="shared" si="315"/>
        <v>0.88409179966233042</v>
      </c>
      <c r="N2556" s="47">
        <f t="shared" si="316"/>
        <v>2.093139697451998E-2</v>
      </c>
      <c r="O2556" s="47">
        <f t="shared" si="317"/>
        <v>1.256706222697389E-2</v>
      </c>
      <c r="P2556" s="47">
        <f t="shared" si="318"/>
        <v>6.0043974437741579E-2</v>
      </c>
      <c r="Q2556" s="47">
        <f t="shared" si="319"/>
        <v>1</v>
      </c>
    </row>
    <row r="2557" spans="1:17" x14ac:dyDescent="0.35">
      <c r="A2557" s="82">
        <v>2554</v>
      </c>
      <c r="B2557" s="83" t="str">
        <f>_xlfn.XLOOKUP(A2557,'TAZs by City - CCAG Model'!$A:$A,'TAZs by City - CCAG Model'!$B:$B,"Unknown")</f>
        <v>Vallejo</v>
      </c>
      <c r="C2557" s="82">
        <f>_xlfn.XLOOKUP(A2557,'TAZs by City - CCAG Model'!$A:$A,'TAZs by City - CCAG Model'!$C:$C,999)</f>
        <v>6</v>
      </c>
      <c r="D2557" s="82" t="str">
        <f t="shared" si="312"/>
        <v>NO</v>
      </c>
      <c r="E2557" s="27">
        <v>6790.2</v>
      </c>
      <c r="F2557" s="27">
        <v>4546.6000000000004</v>
      </c>
      <c r="G2557" s="27">
        <v>246.2</v>
      </c>
      <c r="H2557" s="27">
        <v>161.66</v>
      </c>
      <c r="I2557" s="27">
        <v>634.14</v>
      </c>
      <c r="J2557" s="27">
        <v>12648.38</v>
      </c>
      <c r="K2557" s="47">
        <f t="shared" si="313"/>
        <v>0.53684345346993056</v>
      </c>
      <c r="L2557" s="47">
        <f t="shared" si="314"/>
        <v>0.35946105351041008</v>
      </c>
      <c r="M2557" s="84">
        <f t="shared" si="315"/>
        <v>0.89630450698034059</v>
      </c>
      <c r="N2557" s="47">
        <f t="shared" si="316"/>
        <v>1.9464943336617021E-2</v>
      </c>
      <c r="O2557" s="47">
        <f t="shared" si="317"/>
        <v>1.278108342728476E-2</v>
      </c>
      <c r="P2557" s="47">
        <f t="shared" si="318"/>
        <v>5.0136064855736469E-2</v>
      </c>
      <c r="Q2557" s="47">
        <f t="shared" si="319"/>
        <v>1</v>
      </c>
    </row>
    <row r="2558" spans="1:17" x14ac:dyDescent="0.35">
      <c r="A2558" s="82">
        <v>2555</v>
      </c>
      <c r="B2558" s="83" t="str">
        <f>_xlfn.XLOOKUP(A2558,'TAZs by City - CCAG Model'!$A:$A,'TAZs by City - CCAG Model'!$B:$B,"Unknown")</f>
        <v>Vallejo</v>
      </c>
      <c r="C2558" s="82">
        <f>_xlfn.XLOOKUP(A2558,'TAZs by City - CCAG Model'!$A:$A,'TAZs by City - CCAG Model'!$C:$C,999)</f>
        <v>6</v>
      </c>
      <c r="D2558" s="82" t="str">
        <f t="shared" si="312"/>
        <v>NO</v>
      </c>
      <c r="E2558" s="27">
        <v>9275.7000000000007</v>
      </c>
      <c r="F2558" s="27">
        <v>5484.96</v>
      </c>
      <c r="G2558" s="27">
        <v>347.16</v>
      </c>
      <c r="H2558" s="27">
        <v>217.68</v>
      </c>
      <c r="I2558" s="27">
        <v>1284.02</v>
      </c>
      <c r="J2558" s="27">
        <v>16983.900000000001</v>
      </c>
      <c r="K2558" s="47">
        <f t="shared" si="313"/>
        <v>0.54614664476357022</v>
      </c>
      <c r="L2558" s="47">
        <f t="shared" si="314"/>
        <v>0.32295055905887338</v>
      </c>
      <c r="M2558" s="84">
        <f t="shared" si="315"/>
        <v>0.86909720382244349</v>
      </c>
      <c r="N2558" s="47">
        <f t="shared" si="316"/>
        <v>2.044053485948457E-2</v>
      </c>
      <c r="O2558" s="47">
        <f t="shared" si="317"/>
        <v>1.2816844187730733E-2</v>
      </c>
      <c r="P2558" s="47">
        <f t="shared" si="318"/>
        <v>7.5602187954474528E-2</v>
      </c>
      <c r="Q2558" s="47">
        <f t="shared" si="319"/>
        <v>1</v>
      </c>
    </row>
    <row r="2559" spans="1:17" x14ac:dyDescent="0.35">
      <c r="A2559" s="82">
        <v>2556</v>
      </c>
      <c r="B2559" s="83" t="str">
        <f>_xlfn.XLOOKUP(A2559,'TAZs by City - CCAG Model'!$A:$A,'TAZs by City - CCAG Model'!$B:$B,"Unknown")</f>
        <v>Vallejo</v>
      </c>
      <c r="C2559" s="82">
        <f>_xlfn.XLOOKUP(A2559,'TAZs by City - CCAG Model'!$A:$A,'TAZs by City - CCAG Model'!$C:$C,999)</f>
        <v>6</v>
      </c>
      <c r="D2559" s="82" t="str">
        <f t="shared" si="312"/>
        <v>NO</v>
      </c>
      <c r="E2559" s="27">
        <v>17642.64</v>
      </c>
      <c r="F2559" s="27">
        <v>8401.48</v>
      </c>
      <c r="G2559" s="27">
        <v>1030.08</v>
      </c>
      <c r="H2559" s="27">
        <v>351.98</v>
      </c>
      <c r="I2559" s="27">
        <v>3739.88</v>
      </c>
      <c r="J2559" s="27">
        <v>32223.279999999999</v>
      </c>
      <c r="K2559" s="47">
        <f t="shared" si="313"/>
        <v>0.54751223339151078</v>
      </c>
      <c r="L2559" s="47">
        <f t="shared" si="314"/>
        <v>0.26072702716793572</v>
      </c>
      <c r="M2559" s="84">
        <f t="shared" si="315"/>
        <v>0.8082392605594465</v>
      </c>
      <c r="N2559" s="47">
        <f t="shared" si="316"/>
        <v>3.1966950602173333E-2</v>
      </c>
      <c r="O2559" s="47">
        <f t="shared" si="317"/>
        <v>1.0923158660446734E-2</v>
      </c>
      <c r="P2559" s="47">
        <f t="shared" si="318"/>
        <v>0.116061431362667</v>
      </c>
      <c r="Q2559" s="47">
        <f t="shared" si="319"/>
        <v>1</v>
      </c>
    </row>
    <row r="2560" spans="1:17" x14ac:dyDescent="0.35">
      <c r="A2560" s="82">
        <v>2557</v>
      </c>
      <c r="B2560" s="83" t="str">
        <f>_xlfn.XLOOKUP(A2560,'TAZs by City - CCAG Model'!$A:$A,'TAZs by City - CCAG Model'!$B:$B,"Unknown")</f>
        <v>Vallejo</v>
      </c>
      <c r="C2560" s="82">
        <f>_xlfn.XLOOKUP(A2560,'TAZs by City - CCAG Model'!$A:$A,'TAZs by City - CCAG Model'!$C:$C,999)</f>
        <v>6</v>
      </c>
      <c r="D2560" s="82" t="str">
        <f t="shared" si="312"/>
        <v>NO</v>
      </c>
      <c r="E2560" s="27">
        <v>6294.24</v>
      </c>
      <c r="F2560" s="27">
        <v>3536.32</v>
      </c>
      <c r="G2560" s="27">
        <v>384.52</v>
      </c>
      <c r="H2560" s="27">
        <v>159.12</v>
      </c>
      <c r="I2560" s="27">
        <v>1163.72</v>
      </c>
      <c r="J2560" s="27">
        <v>11947.68</v>
      </c>
      <c r="K2560" s="47">
        <f t="shared" si="313"/>
        <v>0.52681692177895623</v>
      </c>
      <c r="L2560" s="47">
        <f t="shared" si="314"/>
        <v>0.29598382280074459</v>
      </c>
      <c r="M2560" s="84">
        <f t="shared" si="315"/>
        <v>0.82280074457970076</v>
      </c>
      <c r="N2560" s="47">
        <f t="shared" si="316"/>
        <v>3.218365406505698E-2</v>
      </c>
      <c r="O2560" s="47">
        <f t="shared" si="317"/>
        <v>1.3318066771122093E-2</v>
      </c>
      <c r="P2560" s="47">
        <f t="shared" si="318"/>
        <v>9.740133649377955E-2</v>
      </c>
      <c r="Q2560" s="47">
        <f t="shared" si="319"/>
        <v>1</v>
      </c>
    </row>
    <row r="2561" spans="1:17" x14ac:dyDescent="0.35">
      <c r="A2561" s="82">
        <v>2558</v>
      </c>
      <c r="B2561" s="83" t="str">
        <f>_xlfn.XLOOKUP(A2561,'TAZs by City - CCAG Model'!$A:$A,'TAZs by City - CCAG Model'!$B:$B,"Unknown")</f>
        <v>Vallejo</v>
      </c>
      <c r="C2561" s="82">
        <f>_xlfn.XLOOKUP(A2561,'TAZs by City - CCAG Model'!$A:$A,'TAZs by City - CCAG Model'!$C:$C,999)</f>
        <v>6</v>
      </c>
      <c r="D2561" s="82" t="str">
        <f t="shared" si="312"/>
        <v>NO</v>
      </c>
      <c r="E2561" s="27">
        <v>6464.6</v>
      </c>
      <c r="F2561" s="27">
        <v>4643.04</v>
      </c>
      <c r="G2561" s="27">
        <v>457.62</v>
      </c>
      <c r="H2561" s="27">
        <v>186.68</v>
      </c>
      <c r="I2561" s="27">
        <v>1154.68</v>
      </c>
      <c r="J2561" s="27">
        <v>13391.3</v>
      </c>
      <c r="K2561" s="47">
        <f t="shared" si="313"/>
        <v>0.48274626063190285</v>
      </c>
      <c r="L2561" s="47">
        <f t="shared" si="314"/>
        <v>0.34672063205215325</v>
      </c>
      <c r="M2561" s="84">
        <f t="shared" si="315"/>
        <v>0.82946689268405605</v>
      </c>
      <c r="N2561" s="47">
        <f t="shared" si="316"/>
        <v>3.4172933173030252E-2</v>
      </c>
      <c r="O2561" s="47">
        <f t="shared" si="317"/>
        <v>1.3940394136491605E-2</v>
      </c>
      <c r="P2561" s="47">
        <f t="shared" si="318"/>
        <v>8.6226131891601276E-2</v>
      </c>
      <c r="Q2561" s="47">
        <f t="shared" si="319"/>
        <v>1</v>
      </c>
    </row>
    <row r="2562" spans="1:17" x14ac:dyDescent="0.35">
      <c r="A2562" s="82">
        <v>2559</v>
      </c>
      <c r="B2562" s="83" t="str">
        <f>_xlfn.XLOOKUP(A2562,'TAZs by City - CCAG Model'!$A:$A,'TAZs by City - CCAG Model'!$B:$B,"Unknown")</f>
        <v>Vallejo</v>
      </c>
      <c r="C2562" s="82">
        <f>_xlfn.XLOOKUP(A2562,'TAZs by City - CCAG Model'!$A:$A,'TAZs by City - CCAG Model'!$C:$C,999)</f>
        <v>6</v>
      </c>
      <c r="D2562" s="82" t="str">
        <f t="shared" si="312"/>
        <v>NO</v>
      </c>
      <c r="E2562" s="27">
        <v>6411.9</v>
      </c>
      <c r="F2562" s="27">
        <v>4579.3599999999997</v>
      </c>
      <c r="G2562" s="27">
        <v>244.02</v>
      </c>
      <c r="H2562" s="27">
        <v>165.44</v>
      </c>
      <c r="I2562" s="27">
        <v>834.92</v>
      </c>
      <c r="J2562" s="27">
        <v>12503.76</v>
      </c>
      <c r="K2562" s="47">
        <f t="shared" si="313"/>
        <v>0.51279775043666864</v>
      </c>
      <c r="L2562" s="47">
        <f t="shared" si="314"/>
        <v>0.36623863541846607</v>
      </c>
      <c r="M2562" s="84">
        <f t="shared" si="315"/>
        <v>0.87903638585513466</v>
      </c>
      <c r="N2562" s="47">
        <f t="shared" si="316"/>
        <v>1.9515729668515711E-2</v>
      </c>
      <c r="O2562" s="47">
        <f t="shared" si="317"/>
        <v>1.3231220049009257E-2</v>
      </c>
      <c r="P2562" s="47">
        <f t="shared" si="318"/>
        <v>6.6773514526830322E-2</v>
      </c>
      <c r="Q2562" s="47">
        <f t="shared" si="319"/>
        <v>1</v>
      </c>
    </row>
    <row r="2563" spans="1:17" x14ac:dyDescent="0.35">
      <c r="A2563" s="82">
        <v>2560</v>
      </c>
      <c r="B2563" s="83" t="str">
        <f>_xlfn.XLOOKUP(A2563,'TAZs by City - CCAG Model'!$A:$A,'TAZs by City - CCAG Model'!$B:$B,"Unknown")</f>
        <v>Vallejo</v>
      </c>
      <c r="C2563" s="82">
        <f>_xlfn.XLOOKUP(A2563,'TAZs by City - CCAG Model'!$A:$A,'TAZs by City - CCAG Model'!$C:$C,999)</f>
        <v>6</v>
      </c>
      <c r="D2563" s="82" t="str">
        <f t="shared" si="312"/>
        <v>NO</v>
      </c>
      <c r="E2563" s="27">
        <v>4728.24</v>
      </c>
      <c r="F2563" s="27">
        <v>3051.14</v>
      </c>
      <c r="G2563" s="27">
        <v>170.92</v>
      </c>
      <c r="H2563" s="27">
        <v>113.24</v>
      </c>
      <c r="I2563" s="27">
        <v>646.66</v>
      </c>
      <c r="J2563" s="27">
        <v>8903.34</v>
      </c>
      <c r="K2563" s="47">
        <f t="shared" si="313"/>
        <v>0.5310636233143966</v>
      </c>
      <c r="L2563" s="47">
        <f t="shared" si="314"/>
        <v>0.3426961117962472</v>
      </c>
      <c r="M2563" s="84">
        <f t="shared" si="315"/>
        <v>0.87375973511064375</v>
      </c>
      <c r="N2563" s="47">
        <f t="shared" si="316"/>
        <v>1.9197290005773113E-2</v>
      </c>
      <c r="O2563" s="47">
        <f t="shared" si="317"/>
        <v>1.2718822374524616E-2</v>
      </c>
      <c r="P2563" s="47">
        <f t="shared" si="318"/>
        <v>7.2631169875574775E-2</v>
      </c>
      <c r="Q2563" s="47">
        <f t="shared" si="319"/>
        <v>1</v>
      </c>
    </row>
    <row r="2564" spans="1:17" x14ac:dyDescent="0.35">
      <c r="A2564" s="82">
        <v>2561</v>
      </c>
      <c r="B2564" s="83" t="str">
        <f>_xlfn.XLOOKUP(A2564,'TAZs by City - CCAG Model'!$A:$A,'TAZs by City - CCAG Model'!$B:$B,"Unknown")</f>
        <v>Vallejo</v>
      </c>
      <c r="C2564" s="82">
        <f>_xlfn.XLOOKUP(A2564,'TAZs by City - CCAG Model'!$A:$A,'TAZs by City - CCAG Model'!$C:$C,999)</f>
        <v>6</v>
      </c>
      <c r="D2564" s="82" t="str">
        <f t="shared" si="312"/>
        <v>NO</v>
      </c>
      <c r="E2564" s="27">
        <v>10118.379999999999</v>
      </c>
      <c r="F2564" s="27">
        <v>6998.5</v>
      </c>
      <c r="G2564" s="27">
        <v>362.18</v>
      </c>
      <c r="H2564" s="27">
        <v>275.88</v>
      </c>
      <c r="I2564" s="27">
        <v>2135.2199999999998</v>
      </c>
      <c r="J2564" s="27">
        <v>20275.439999999999</v>
      </c>
      <c r="K2564" s="47">
        <f t="shared" si="313"/>
        <v>0.49904613660665315</v>
      </c>
      <c r="L2564" s="47">
        <f t="shared" si="314"/>
        <v>0.34517130084476588</v>
      </c>
      <c r="M2564" s="84">
        <f t="shared" si="315"/>
        <v>0.84421743745141897</v>
      </c>
      <c r="N2564" s="47">
        <f t="shared" si="316"/>
        <v>1.7862990889470218E-2</v>
      </c>
      <c r="O2564" s="47">
        <f t="shared" si="317"/>
        <v>1.3606609770244197E-2</v>
      </c>
      <c r="P2564" s="47">
        <f t="shared" si="318"/>
        <v>0.10531066156887348</v>
      </c>
      <c r="Q2564" s="47">
        <f t="shared" si="319"/>
        <v>1</v>
      </c>
    </row>
    <row r="2565" spans="1:17" x14ac:dyDescent="0.35">
      <c r="A2565" s="82">
        <v>2562</v>
      </c>
      <c r="B2565" s="83" t="str">
        <f>_xlfn.XLOOKUP(A2565,'TAZs by City - CCAG Model'!$A:$A,'TAZs by City - CCAG Model'!$B:$B,"Unknown")</f>
        <v>Vallejo</v>
      </c>
      <c r="C2565" s="82">
        <f>_xlfn.XLOOKUP(A2565,'TAZs by City - CCAG Model'!$A:$A,'TAZs by City - CCAG Model'!$C:$C,999)</f>
        <v>6</v>
      </c>
      <c r="D2565" s="82" t="str">
        <f t="shared" ref="D2565:D2628" si="320">IF(C2565=2,"YES","NO")</f>
        <v>NO</v>
      </c>
      <c r="E2565" s="27">
        <v>15279.88</v>
      </c>
      <c r="F2565" s="27">
        <v>9860.7000000000007</v>
      </c>
      <c r="G2565" s="27">
        <v>444.1</v>
      </c>
      <c r="H2565" s="27">
        <v>333.3</v>
      </c>
      <c r="I2565" s="27">
        <v>2017.64</v>
      </c>
      <c r="J2565" s="27">
        <v>28403.14</v>
      </c>
      <c r="K2565" s="47">
        <f t="shared" ref="K2565:K2628" si="321">IFERROR(E2565/$J2565,0)</f>
        <v>0.53796446449230606</v>
      </c>
      <c r="L2565" s="47">
        <f t="shared" ref="L2565:L2628" si="322">IFERROR(F2565/$J2565,0)</f>
        <v>0.34716936226065148</v>
      </c>
      <c r="M2565" s="84">
        <f t="shared" ref="M2565:M2628" si="323">IFERROR((E2565+F2565)/J2565,0)</f>
        <v>0.88513382675295771</v>
      </c>
      <c r="N2565" s="47">
        <f t="shared" ref="N2565:N2628" si="324">IFERROR(G2565/$J2565,0)</f>
        <v>1.5635595219401801E-2</v>
      </c>
      <c r="O2565" s="47">
        <f t="shared" ref="O2565:O2628" si="325">IFERROR(H2565/$J2565,0)</f>
        <v>1.173461807391718E-2</v>
      </c>
      <c r="P2565" s="47">
        <f t="shared" ref="P2565:P2628" si="326">IFERROR(I2565/$J2565,0)</f>
        <v>7.1035808012776064E-2</v>
      </c>
      <c r="Q2565" s="47">
        <f t="shared" ref="Q2565:Q2628" si="327">IFERROR(J2565/$J2565,0)</f>
        <v>1</v>
      </c>
    </row>
    <row r="2566" spans="1:17" x14ac:dyDescent="0.35">
      <c r="A2566" s="82">
        <v>2563</v>
      </c>
      <c r="B2566" s="83" t="str">
        <f>_xlfn.XLOOKUP(A2566,'TAZs by City - CCAG Model'!$A:$A,'TAZs by City - CCAG Model'!$B:$B,"Unknown")</f>
        <v>Vallejo</v>
      </c>
      <c r="C2566" s="82">
        <f>_xlfn.XLOOKUP(A2566,'TAZs by City - CCAG Model'!$A:$A,'TAZs by City - CCAG Model'!$C:$C,999)</f>
        <v>6</v>
      </c>
      <c r="D2566" s="82" t="str">
        <f t="shared" si="320"/>
        <v>NO</v>
      </c>
      <c r="E2566" s="27">
        <v>7765.9</v>
      </c>
      <c r="F2566" s="27">
        <v>4940.6400000000003</v>
      </c>
      <c r="G2566" s="27">
        <v>317.36</v>
      </c>
      <c r="H2566" s="27">
        <v>190.16</v>
      </c>
      <c r="I2566" s="27">
        <v>1336.36</v>
      </c>
      <c r="J2566" s="27">
        <v>14891.96</v>
      </c>
      <c r="K2566" s="47">
        <f t="shared" si="321"/>
        <v>0.52148273296463332</v>
      </c>
      <c r="L2566" s="47">
        <f t="shared" si="322"/>
        <v>0.33176559700670699</v>
      </c>
      <c r="M2566" s="84">
        <f t="shared" si="323"/>
        <v>0.85324832997134037</v>
      </c>
      <c r="N2566" s="47">
        <f t="shared" si="324"/>
        <v>2.1310828124706218E-2</v>
      </c>
      <c r="O2566" s="47">
        <f t="shared" si="325"/>
        <v>1.2769306390831027E-2</v>
      </c>
      <c r="P2566" s="47">
        <f t="shared" si="326"/>
        <v>8.9737012455042856E-2</v>
      </c>
      <c r="Q2566" s="47">
        <f t="shared" si="327"/>
        <v>1</v>
      </c>
    </row>
    <row r="2567" spans="1:17" x14ac:dyDescent="0.35">
      <c r="A2567" s="82">
        <v>2564</v>
      </c>
      <c r="B2567" s="83" t="str">
        <f>_xlfn.XLOOKUP(A2567,'TAZs by City - CCAG Model'!$A:$A,'TAZs by City - CCAG Model'!$B:$B,"Unknown")</f>
        <v>Vallejo</v>
      </c>
      <c r="C2567" s="82">
        <f>_xlfn.XLOOKUP(A2567,'TAZs by City - CCAG Model'!$A:$A,'TAZs by City - CCAG Model'!$C:$C,999)</f>
        <v>6</v>
      </c>
      <c r="D2567" s="82" t="str">
        <f t="shared" si="320"/>
        <v>NO</v>
      </c>
      <c r="E2567" s="27">
        <v>9835.86</v>
      </c>
      <c r="F2567" s="27">
        <v>5732.82</v>
      </c>
      <c r="G2567" s="27">
        <v>455.24</v>
      </c>
      <c r="H2567" s="27">
        <v>219.78</v>
      </c>
      <c r="I2567" s="27">
        <v>1585.9</v>
      </c>
      <c r="J2567" s="27">
        <v>18308.939999999999</v>
      </c>
      <c r="K2567" s="47">
        <f t="shared" si="321"/>
        <v>0.53721624517858491</v>
      </c>
      <c r="L2567" s="47">
        <f t="shared" si="322"/>
        <v>0.31311588764832921</v>
      </c>
      <c r="M2567" s="84">
        <f t="shared" si="323"/>
        <v>0.85033213282691411</v>
      </c>
      <c r="N2567" s="47">
        <f t="shared" si="324"/>
        <v>2.4864355882973019E-2</v>
      </c>
      <c r="O2567" s="47">
        <f t="shared" si="325"/>
        <v>1.2003971830155105E-2</v>
      </c>
      <c r="P2567" s="47">
        <f t="shared" si="326"/>
        <v>8.6618886729652303E-2</v>
      </c>
      <c r="Q2567" s="47">
        <f t="shared" si="327"/>
        <v>1</v>
      </c>
    </row>
    <row r="2568" spans="1:17" x14ac:dyDescent="0.35">
      <c r="A2568" s="82">
        <v>2565</v>
      </c>
      <c r="B2568" s="83" t="str">
        <f>_xlfn.XLOOKUP(A2568,'TAZs by City - CCAG Model'!$A:$A,'TAZs by City - CCAG Model'!$B:$B,"Unknown")</f>
        <v>Vallejo</v>
      </c>
      <c r="C2568" s="82">
        <f>_xlfn.XLOOKUP(A2568,'TAZs by City - CCAG Model'!$A:$A,'TAZs by City - CCAG Model'!$C:$C,999)</f>
        <v>6</v>
      </c>
      <c r="D2568" s="82" t="str">
        <f t="shared" si="320"/>
        <v>NO</v>
      </c>
      <c r="E2568" s="27">
        <v>6721.02</v>
      </c>
      <c r="F2568" s="27">
        <v>4197.88</v>
      </c>
      <c r="G2568" s="27">
        <v>266.62</v>
      </c>
      <c r="H2568" s="27">
        <v>158.6</v>
      </c>
      <c r="I2568" s="27">
        <v>1210.68</v>
      </c>
      <c r="J2568" s="27">
        <v>12844.98</v>
      </c>
      <c r="K2568" s="47">
        <f t="shared" si="321"/>
        <v>0.52324098597273028</v>
      </c>
      <c r="L2568" s="47">
        <f t="shared" si="322"/>
        <v>0.32681094092789559</v>
      </c>
      <c r="M2568" s="84">
        <f t="shared" si="323"/>
        <v>0.85005192690062592</v>
      </c>
      <c r="N2568" s="47">
        <f t="shared" si="324"/>
        <v>2.0756746993767217E-2</v>
      </c>
      <c r="O2568" s="47">
        <f t="shared" si="325"/>
        <v>1.2347236040850199E-2</v>
      </c>
      <c r="P2568" s="47">
        <f t="shared" si="326"/>
        <v>9.4253163492664063E-2</v>
      </c>
      <c r="Q2568" s="47">
        <f t="shared" si="327"/>
        <v>1</v>
      </c>
    </row>
    <row r="2569" spans="1:17" x14ac:dyDescent="0.35">
      <c r="A2569" s="82">
        <v>2566</v>
      </c>
      <c r="B2569" s="83" t="str">
        <f>_xlfn.XLOOKUP(A2569,'TAZs by City - CCAG Model'!$A:$A,'TAZs by City - CCAG Model'!$B:$B,"Unknown")</f>
        <v>Vallejo</v>
      </c>
      <c r="C2569" s="82">
        <f>_xlfn.XLOOKUP(A2569,'TAZs by City - CCAG Model'!$A:$A,'TAZs by City - CCAG Model'!$C:$C,999)</f>
        <v>6</v>
      </c>
      <c r="D2569" s="82" t="str">
        <f t="shared" si="320"/>
        <v>NO</v>
      </c>
      <c r="E2569" s="27">
        <v>12252.34</v>
      </c>
      <c r="F2569" s="27">
        <v>6861.74</v>
      </c>
      <c r="G2569" s="27">
        <v>608.34</v>
      </c>
      <c r="H2569" s="27">
        <v>288.72000000000003</v>
      </c>
      <c r="I2569" s="27">
        <v>2479.46</v>
      </c>
      <c r="J2569" s="27">
        <v>23124.76</v>
      </c>
      <c r="K2569" s="47">
        <f t="shared" si="321"/>
        <v>0.52983641776174117</v>
      </c>
      <c r="L2569" s="47">
        <f t="shared" si="322"/>
        <v>0.29672697143667653</v>
      </c>
      <c r="M2569" s="84">
        <f t="shared" si="323"/>
        <v>0.82656338919841776</v>
      </c>
      <c r="N2569" s="47">
        <f t="shared" si="324"/>
        <v>2.6306867617220678E-2</v>
      </c>
      <c r="O2569" s="47">
        <f t="shared" si="325"/>
        <v>1.2485318766551526E-2</v>
      </c>
      <c r="P2569" s="47">
        <f t="shared" si="326"/>
        <v>0.10722100467204849</v>
      </c>
      <c r="Q2569" s="47">
        <f t="shared" si="327"/>
        <v>1</v>
      </c>
    </row>
    <row r="2570" spans="1:17" x14ac:dyDescent="0.35">
      <c r="A2570" s="82">
        <v>2567</v>
      </c>
      <c r="B2570" s="83" t="str">
        <f>_xlfn.XLOOKUP(A2570,'TAZs by City - CCAG Model'!$A:$A,'TAZs by City - CCAG Model'!$B:$B,"Unknown")</f>
        <v>Vallejo</v>
      </c>
      <c r="C2570" s="82">
        <f>_xlfn.XLOOKUP(A2570,'TAZs by City - CCAG Model'!$A:$A,'TAZs by City - CCAG Model'!$C:$C,999)</f>
        <v>6</v>
      </c>
      <c r="D2570" s="82" t="str">
        <f t="shared" si="320"/>
        <v>NO</v>
      </c>
      <c r="E2570" s="27">
        <v>6597.68</v>
      </c>
      <c r="F2570" s="27">
        <v>3667.86</v>
      </c>
      <c r="G2570" s="27">
        <v>391.62</v>
      </c>
      <c r="H2570" s="27">
        <v>170.4</v>
      </c>
      <c r="I2570" s="27">
        <v>1395.38</v>
      </c>
      <c r="J2570" s="27">
        <v>12638.42</v>
      </c>
      <c r="K2570" s="47">
        <f t="shared" si="321"/>
        <v>0.52203360863145865</v>
      </c>
      <c r="L2570" s="47">
        <f t="shared" si="322"/>
        <v>0.29021507435264854</v>
      </c>
      <c r="M2570" s="84">
        <f t="shared" si="323"/>
        <v>0.81224868298410724</v>
      </c>
      <c r="N2570" s="47">
        <f t="shared" si="324"/>
        <v>3.0986468245239516E-2</v>
      </c>
      <c r="O2570" s="47">
        <f t="shared" si="325"/>
        <v>1.3482697995477282E-2</v>
      </c>
      <c r="P2570" s="47">
        <f t="shared" si="326"/>
        <v>0.11040778831531158</v>
      </c>
      <c r="Q2570" s="47">
        <f t="shared" si="327"/>
        <v>1</v>
      </c>
    </row>
    <row r="2571" spans="1:17" x14ac:dyDescent="0.35">
      <c r="A2571" s="82">
        <v>2568</v>
      </c>
      <c r="B2571" s="83" t="str">
        <f>_xlfn.XLOOKUP(A2571,'TAZs by City - CCAG Model'!$A:$A,'TAZs by City - CCAG Model'!$B:$B,"Unknown")</f>
        <v>Vallejo</v>
      </c>
      <c r="C2571" s="82">
        <f>_xlfn.XLOOKUP(A2571,'TAZs by City - CCAG Model'!$A:$A,'TAZs by City - CCAG Model'!$C:$C,999)</f>
        <v>6</v>
      </c>
      <c r="D2571" s="82" t="str">
        <f t="shared" si="320"/>
        <v>NO</v>
      </c>
      <c r="E2571" s="27">
        <v>7557.86</v>
      </c>
      <c r="F2571" s="27">
        <v>4979.12</v>
      </c>
      <c r="G2571" s="27">
        <v>399.48</v>
      </c>
      <c r="H2571" s="27">
        <v>197.42</v>
      </c>
      <c r="I2571" s="27">
        <v>1358.62</v>
      </c>
      <c r="J2571" s="27">
        <v>14913.7</v>
      </c>
      <c r="K2571" s="47">
        <f t="shared" si="321"/>
        <v>0.50677296713759823</v>
      </c>
      <c r="L2571" s="47">
        <f t="shared" si="322"/>
        <v>0.33386215359032295</v>
      </c>
      <c r="M2571" s="84">
        <f t="shared" si="323"/>
        <v>0.84063512072792124</v>
      </c>
      <c r="N2571" s="47">
        <f t="shared" si="324"/>
        <v>2.6786109416174389E-2</v>
      </c>
      <c r="O2571" s="47">
        <f t="shared" si="325"/>
        <v>1.323749304330917E-2</v>
      </c>
      <c r="P2571" s="47">
        <f t="shared" si="326"/>
        <v>9.1098788362378211E-2</v>
      </c>
      <c r="Q2571" s="47">
        <f t="shared" si="327"/>
        <v>1</v>
      </c>
    </row>
    <row r="2572" spans="1:17" x14ac:dyDescent="0.35">
      <c r="A2572" s="82">
        <v>2569</v>
      </c>
      <c r="B2572" s="83" t="str">
        <f>_xlfn.XLOOKUP(A2572,'TAZs by City - CCAG Model'!$A:$A,'TAZs by City - CCAG Model'!$B:$B,"Unknown")</f>
        <v>Vallejo</v>
      </c>
      <c r="C2572" s="82">
        <f>_xlfn.XLOOKUP(A2572,'TAZs by City - CCAG Model'!$A:$A,'TAZs by City - CCAG Model'!$C:$C,999)</f>
        <v>6</v>
      </c>
      <c r="D2572" s="82" t="str">
        <f t="shared" si="320"/>
        <v>NO</v>
      </c>
      <c r="E2572" s="27">
        <v>4746.92</v>
      </c>
      <c r="F2572" s="27">
        <v>3602.4</v>
      </c>
      <c r="G2572" s="27">
        <v>306.66000000000003</v>
      </c>
      <c r="H2572" s="27">
        <v>147.47999999999999</v>
      </c>
      <c r="I2572" s="27">
        <v>610.48</v>
      </c>
      <c r="J2572" s="27">
        <v>9738.9</v>
      </c>
      <c r="K2572" s="47">
        <f t="shared" si="321"/>
        <v>0.48741849695550837</v>
      </c>
      <c r="L2572" s="47">
        <f t="shared" si="322"/>
        <v>0.36989803776607216</v>
      </c>
      <c r="M2572" s="84">
        <f t="shared" si="323"/>
        <v>0.85731653472158043</v>
      </c>
      <c r="N2572" s="47">
        <f t="shared" si="324"/>
        <v>3.1488155746542221E-2</v>
      </c>
      <c r="O2572" s="47">
        <f t="shared" si="325"/>
        <v>1.5143394017804885E-2</v>
      </c>
      <c r="P2572" s="47">
        <f t="shared" si="326"/>
        <v>6.2684697450430746E-2</v>
      </c>
      <c r="Q2572" s="47">
        <f t="shared" si="327"/>
        <v>1</v>
      </c>
    </row>
    <row r="2573" spans="1:17" x14ac:dyDescent="0.35">
      <c r="A2573" s="82">
        <v>2570</v>
      </c>
      <c r="B2573" s="83" t="str">
        <f>_xlfn.XLOOKUP(A2573,'TAZs by City - CCAG Model'!$A:$A,'TAZs by City - CCAG Model'!$B:$B,"Unknown")</f>
        <v>Unincorporated</v>
      </c>
      <c r="C2573" s="82">
        <f>_xlfn.XLOOKUP(A2573,'TAZs by City - CCAG Model'!$A:$A,'TAZs by City - CCAG Model'!$C:$C,999)</f>
        <v>6</v>
      </c>
      <c r="D2573" s="82" t="str">
        <f t="shared" si="320"/>
        <v>NO</v>
      </c>
      <c r="E2573" s="27">
        <v>5044.54</v>
      </c>
      <c r="F2573" s="27">
        <v>1926.42</v>
      </c>
      <c r="G2573" s="27">
        <v>17.14</v>
      </c>
      <c r="H2573" s="27">
        <v>54.54</v>
      </c>
      <c r="I2573" s="27">
        <v>88.78</v>
      </c>
      <c r="J2573" s="27">
        <v>7162.94</v>
      </c>
      <c r="K2573" s="47">
        <f t="shared" si="321"/>
        <v>0.70425551519348206</v>
      </c>
      <c r="L2573" s="47">
        <f t="shared" si="322"/>
        <v>0.26894264087092734</v>
      </c>
      <c r="M2573" s="84">
        <f t="shared" si="323"/>
        <v>0.9731981560644094</v>
      </c>
      <c r="N2573" s="47">
        <f t="shared" si="324"/>
        <v>2.3928722005210155E-3</v>
      </c>
      <c r="O2573" s="47">
        <f t="shared" si="325"/>
        <v>7.6141919379472678E-3</v>
      </c>
      <c r="P2573" s="47">
        <f t="shared" si="326"/>
        <v>1.2394352039804886E-2</v>
      </c>
      <c r="Q2573" s="47">
        <f t="shared" si="327"/>
        <v>1</v>
      </c>
    </row>
    <row r="2574" spans="1:17" x14ac:dyDescent="0.35">
      <c r="A2574" s="82">
        <v>2571</v>
      </c>
      <c r="B2574" s="83" t="str">
        <f>_xlfn.XLOOKUP(A2574,'TAZs by City - CCAG Model'!$A:$A,'TAZs by City - CCAG Model'!$B:$B,"Unknown")</f>
        <v>Vallejo</v>
      </c>
      <c r="C2574" s="82">
        <f>_xlfn.XLOOKUP(A2574,'TAZs by City - CCAG Model'!$A:$A,'TAZs by City - CCAG Model'!$C:$C,999)</f>
        <v>6</v>
      </c>
      <c r="D2574" s="82" t="str">
        <f t="shared" si="320"/>
        <v>NO</v>
      </c>
      <c r="E2574" s="27">
        <v>5583.54</v>
      </c>
      <c r="F2574" s="27">
        <v>4884.16</v>
      </c>
      <c r="G2574" s="27">
        <v>116.94</v>
      </c>
      <c r="H2574" s="27">
        <v>132.5</v>
      </c>
      <c r="I2574" s="27">
        <v>451.42</v>
      </c>
      <c r="J2574" s="27">
        <v>11297.52</v>
      </c>
      <c r="K2574" s="47">
        <f t="shared" si="321"/>
        <v>0.49422705160070529</v>
      </c>
      <c r="L2574" s="47">
        <f t="shared" si="322"/>
        <v>0.43232142983592858</v>
      </c>
      <c r="M2574" s="84">
        <f t="shared" si="323"/>
        <v>0.92654848143663393</v>
      </c>
      <c r="N2574" s="47">
        <f t="shared" si="324"/>
        <v>1.0350944278036241E-2</v>
      </c>
      <c r="O2574" s="47">
        <f t="shared" si="325"/>
        <v>1.1728237701725689E-2</v>
      </c>
      <c r="P2574" s="47">
        <f t="shared" si="326"/>
        <v>3.9957441987268E-2</v>
      </c>
      <c r="Q2574" s="47">
        <f t="shared" si="327"/>
        <v>1</v>
      </c>
    </row>
    <row r="2575" spans="1:17" x14ac:dyDescent="0.35">
      <c r="A2575" s="82">
        <v>2572</v>
      </c>
      <c r="B2575" s="83" t="str">
        <f>_xlfn.XLOOKUP(A2575,'TAZs by City - CCAG Model'!$A:$A,'TAZs by City - CCAG Model'!$B:$B,"Unknown")</f>
        <v>Vallejo</v>
      </c>
      <c r="C2575" s="82">
        <f>_xlfn.XLOOKUP(A2575,'TAZs by City - CCAG Model'!$A:$A,'TAZs by City - CCAG Model'!$C:$C,999)</f>
        <v>6</v>
      </c>
      <c r="D2575" s="82" t="str">
        <f t="shared" si="320"/>
        <v>NO</v>
      </c>
      <c r="E2575" s="27">
        <v>10648.3</v>
      </c>
      <c r="F2575" s="27">
        <v>7934.38</v>
      </c>
      <c r="G2575" s="27">
        <v>405.06</v>
      </c>
      <c r="H2575" s="27">
        <v>247.18</v>
      </c>
      <c r="I2575" s="27">
        <v>918.32</v>
      </c>
      <c r="J2575" s="27">
        <v>20580.740000000002</v>
      </c>
      <c r="K2575" s="47">
        <f t="shared" si="321"/>
        <v>0.51739150292943781</v>
      </c>
      <c r="L2575" s="47">
        <f t="shared" si="322"/>
        <v>0.38552452438542051</v>
      </c>
      <c r="M2575" s="84">
        <f t="shared" si="323"/>
        <v>0.90291602731485843</v>
      </c>
      <c r="N2575" s="47">
        <f t="shared" si="324"/>
        <v>1.9681508050730923E-2</v>
      </c>
      <c r="O2575" s="47">
        <f t="shared" si="325"/>
        <v>1.2010258134547154E-2</v>
      </c>
      <c r="P2575" s="47">
        <f t="shared" si="326"/>
        <v>4.4620358645996207E-2</v>
      </c>
      <c r="Q2575" s="47">
        <f t="shared" si="327"/>
        <v>1</v>
      </c>
    </row>
    <row r="2576" spans="1:17" x14ac:dyDescent="0.35">
      <c r="A2576" s="82">
        <v>2573</v>
      </c>
      <c r="B2576" s="83" t="str">
        <f>_xlfn.XLOOKUP(A2576,'TAZs by City - CCAG Model'!$A:$A,'TAZs by City - CCAG Model'!$B:$B,"Unknown")</f>
        <v>Vallejo</v>
      </c>
      <c r="C2576" s="82">
        <f>_xlfn.XLOOKUP(A2576,'TAZs by City - CCAG Model'!$A:$A,'TAZs by City - CCAG Model'!$C:$C,999)</f>
        <v>6</v>
      </c>
      <c r="D2576" s="82" t="str">
        <f t="shared" si="320"/>
        <v>NO</v>
      </c>
      <c r="E2576" s="27">
        <v>22858.5</v>
      </c>
      <c r="F2576" s="27">
        <v>11193.4</v>
      </c>
      <c r="G2576" s="27">
        <v>742.56</v>
      </c>
      <c r="H2576" s="27">
        <v>421.38</v>
      </c>
      <c r="I2576" s="27">
        <v>3770.52</v>
      </c>
      <c r="J2576" s="27">
        <v>39755.42</v>
      </c>
      <c r="K2576" s="47">
        <f t="shared" si="321"/>
        <v>0.57497820422976287</v>
      </c>
      <c r="L2576" s="47">
        <f t="shared" si="322"/>
        <v>0.28155657769431186</v>
      </c>
      <c r="M2576" s="84">
        <f t="shared" si="323"/>
        <v>0.85653478192407484</v>
      </c>
      <c r="N2576" s="47">
        <f t="shared" si="324"/>
        <v>1.8678207902218111E-2</v>
      </c>
      <c r="O2576" s="47">
        <f t="shared" si="325"/>
        <v>1.0599309477802021E-2</v>
      </c>
      <c r="P2576" s="47">
        <f t="shared" si="326"/>
        <v>9.4842917016094916E-2</v>
      </c>
      <c r="Q2576" s="47">
        <f t="shared" si="327"/>
        <v>1</v>
      </c>
    </row>
    <row r="2577" spans="1:17" x14ac:dyDescent="0.35">
      <c r="A2577" s="82">
        <v>2574</v>
      </c>
      <c r="B2577" s="83" t="str">
        <f>_xlfn.XLOOKUP(A2577,'TAZs by City - CCAG Model'!$A:$A,'TAZs by City - CCAG Model'!$B:$B,"Unknown")</f>
        <v>Vallejo</v>
      </c>
      <c r="C2577" s="82">
        <f>_xlfn.XLOOKUP(A2577,'TAZs by City - CCAG Model'!$A:$A,'TAZs by City - CCAG Model'!$C:$C,999)</f>
        <v>6</v>
      </c>
      <c r="D2577" s="82" t="str">
        <f t="shared" si="320"/>
        <v>NO</v>
      </c>
      <c r="E2577" s="27">
        <v>17783.439999999999</v>
      </c>
      <c r="F2577" s="27">
        <v>10434.24</v>
      </c>
      <c r="G2577" s="27">
        <v>680.94</v>
      </c>
      <c r="H2577" s="27">
        <v>428.94</v>
      </c>
      <c r="I2577" s="27">
        <v>3258.3</v>
      </c>
      <c r="J2577" s="27">
        <v>33290.06</v>
      </c>
      <c r="K2577" s="47">
        <f t="shared" si="321"/>
        <v>0.53419669414834337</v>
      </c>
      <c r="L2577" s="47">
        <f t="shared" si="322"/>
        <v>0.31343410014881318</v>
      </c>
      <c r="M2577" s="84">
        <f t="shared" si="323"/>
        <v>0.8476307942971566</v>
      </c>
      <c r="N2577" s="47">
        <f t="shared" si="324"/>
        <v>2.0454754362112897E-2</v>
      </c>
      <c r="O2577" s="47">
        <f t="shared" si="325"/>
        <v>1.2884927212507278E-2</v>
      </c>
      <c r="P2577" s="47">
        <f t="shared" si="326"/>
        <v>9.7876062704603126E-2</v>
      </c>
      <c r="Q2577" s="47">
        <f t="shared" si="327"/>
        <v>1</v>
      </c>
    </row>
    <row r="2578" spans="1:17" x14ac:dyDescent="0.35">
      <c r="A2578" s="82">
        <v>2575</v>
      </c>
      <c r="B2578" s="83" t="str">
        <f>_xlfn.XLOOKUP(A2578,'TAZs by City - CCAG Model'!$A:$A,'TAZs by City - CCAG Model'!$B:$B,"Unknown")</f>
        <v>Vallejo</v>
      </c>
      <c r="C2578" s="82">
        <f>_xlfn.XLOOKUP(A2578,'TAZs by City - CCAG Model'!$A:$A,'TAZs by City - CCAG Model'!$C:$C,999)</f>
        <v>6</v>
      </c>
      <c r="D2578" s="82" t="str">
        <f t="shared" si="320"/>
        <v>NO</v>
      </c>
      <c r="E2578" s="27">
        <v>15377.6</v>
      </c>
      <c r="F2578" s="27">
        <v>9396.08</v>
      </c>
      <c r="G2578" s="27">
        <v>525.82000000000005</v>
      </c>
      <c r="H2578" s="27">
        <v>321.08</v>
      </c>
      <c r="I2578" s="27">
        <v>2088.1799999999998</v>
      </c>
      <c r="J2578" s="27">
        <v>28257.119999999999</v>
      </c>
      <c r="K2578" s="47">
        <f t="shared" si="321"/>
        <v>0.54420266467354073</v>
      </c>
      <c r="L2578" s="47">
        <f t="shared" si="322"/>
        <v>0.33252079475898466</v>
      </c>
      <c r="M2578" s="84">
        <f t="shared" si="323"/>
        <v>0.87672345943252539</v>
      </c>
      <c r="N2578" s="47">
        <f t="shared" si="324"/>
        <v>1.8608407367771383E-2</v>
      </c>
      <c r="O2578" s="47">
        <f t="shared" si="325"/>
        <v>1.1362799889019122E-2</v>
      </c>
      <c r="P2578" s="47">
        <f t="shared" si="326"/>
        <v>7.3899250879070469E-2</v>
      </c>
      <c r="Q2578" s="47">
        <f t="shared" si="327"/>
        <v>1</v>
      </c>
    </row>
    <row r="2579" spans="1:17" x14ac:dyDescent="0.35">
      <c r="A2579" s="82">
        <v>2576</v>
      </c>
      <c r="B2579" s="83" t="str">
        <f>_xlfn.XLOOKUP(A2579,'TAZs by City - CCAG Model'!$A:$A,'TAZs by City - CCAG Model'!$B:$B,"Unknown")</f>
        <v>Vallejo</v>
      </c>
      <c r="C2579" s="82">
        <f>_xlfn.XLOOKUP(A2579,'TAZs by City - CCAG Model'!$A:$A,'TAZs by City - CCAG Model'!$C:$C,999)</f>
        <v>6</v>
      </c>
      <c r="D2579" s="82" t="str">
        <f t="shared" si="320"/>
        <v>NO</v>
      </c>
      <c r="E2579" s="27">
        <v>11164.04</v>
      </c>
      <c r="F2579" s="27">
        <v>8091.26</v>
      </c>
      <c r="G2579" s="27">
        <v>462.72</v>
      </c>
      <c r="H2579" s="27">
        <v>283.82</v>
      </c>
      <c r="I2579" s="27">
        <v>1473.46</v>
      </c>
      <c r="J2579" s="27">
        <v>21960.26</v>
      </c>
      <c r="K2579" s="47">
        <f t="shared" si="321"/>
        <v>0.50837467315960749</v>
      </c>
      <c r="L2579" s="47">
        <f t="shared" si="322"/>
        <v>0.36845010031757369</v>
      </c>
      <c r="M2579" s="84">
        <f t="shared" si="323"/>
        <v>0.87682477347718124</v>
      </c>
      <c r="N2579" s="47">
        <f t="shared" si="324"/>
        <v>2.1070788779367824E-2</v>
      </c>
      <c r="O2579" s="47">
        <f t="shared" si="325"/>
        <v>1.2924254995159439E-2</v>
      </c>
      <c r="P2579" s="47">
        <f t="shared" si="326"/>
        <v>6.7096655504078742E-2</v>
      </c>
      <c r="Q2579" s="47">
        <f t="shared" si="327"/>
        <v>1</v>
      </c>
    </row>
    <row r="2580" spans="1:17" x14ac:dyDescent="0.35">
      <c r="A2580" s="82">
        <v>2577</v>
      </c>
      <c r="B2580" s="83" t="str">
        <f>_xlfn.XLOOKUP(A2580,'TAZs by City - CCAG Model'!$A:$A,'TAZs by City - CCAG Model'!$B:$B,"Unknown")</f>
        <v>Vallejo</v>
      </c>
      <c r="C2580" s="82">
        <f>_xlfn.XLOOKUP(A2580,'TAZs by City - CCAG Model'!$A:$A,'TAZs by City - CCAG Model'!$C:$C,999)</f>
        <v>6</v>
      </c>
      <c r="D2580" s="82" t="str">
        <f t="shared" si="320"/>
        <v>NO</v>
      </c>
      <c r="E2580" s="27">
        <v>8550.52</v>
      </c>
      <c r="F2580" s="27">
        <v>7358.32</v>
      </c>
      <c r="G2580" s="27">
        <v>397.18</v>
      </c>
      <c r="H2580" s="27">
        <v>217.96</v>
      </c>
      <c r="I2580" s="27">
        <v>810.94</v>
      </c>
      <c r="J2580" s="27">
        <v>17752.18</v>
      </c>
      <c r="K2580" s="47">
        <f t="shared" si="321"/>
        <v>0.48166028059652394</v>
      </c>
      <c r="L2580" s="47">
        <f t="shared" si="322"/>
        <v>0.41450233154463278</v>
      </c>
      <c r="M2580" s="84">
        <f t="shared" si="323"/>
        <v>0.89616261214115678</v>
      </c>
      <c r="N2580" s="47">
        <f t="shared" si="324"/>
        <v>2.2373590173150566E-2</v>
      </c>
      <c r="O2580" s="47">
        <f t="shared" si="325"/>
        <v>1.2277928682561804E-2</v>
      </c>
      <c r="P2580" s="47">
        <f t="shared" si="326"/>
        <v>4.5681150146066572E-2</v>
      </c>
      <c r="Q2580" s="47">
        <f t="shared" si="327"/>
        <v>1</v>
      </c>
    </row>
    <row r="2581" spans="1:17" x14ac:dyDescent="0.35">
      <c r="A2581" s="82">
        <v>2578</v>
      </c>
      <c r="B2581" s="83" t="str">
        <f>_xlfn.XLOOKUP(A2581,'TAZs by City - CCAG Model'!$A:$A,'TAZs by City - CCAG Model'!$B:$B,"Unknown")</f>
        <v>Vallejo</v>
      </c>
      <c r="C2581" s="82">
        <f>_xlfn.XLOOKUP(A2581,'TAZs by City - CCAG Model'!$A:$A,'TAZs by City - CCAG Model'!$C:$C,999)</f>
        <v>6</v>
      </c>
      <c r="D2581" s="82" t="str">
        <f t="shared" si="320"/>
        <v>NO</v>
      </c>
      <c r="E2581" s="27">
        <v>28095.040000000001</v>
      </c>
      <c r="F2581" s="27">
        <v>17659.86</v>
      </c>
      <c r="G2581" s="27">
        <v>580.04</v>
      </c>
      <c r="H2581" s="27">
        <v>497.32</v>
      </c>
      <c r="I2581" s="27">
        <v>2582.6799999999998</v>
      </c>
      <c r="J2581" s="27">
        <v>50019.5</v>
      </c>
      <c r="K2581" s="47">
        <f t="shared" si="321"/>
        <v>0.56168174411979332</v>
      </c>
      <c r="L2581" s="47">
        <f t="shared" si="322"/>
        <v>0.35305950679235099</v>
      </c>
      <c r="M2581" s="84">
        <f t="shared" si="323"/>
        <v>0.91474125091214431</v>
      </c>
      <c r="N2581" s="47">
        <f t="shared" si="324"/>
        <v>1.1596277451793799E-2</v>
      </c>
      <c r="O2581" s="47">
        <f t="shared" si="325"/>
        <v>9.9425224162576591E-3</v>
      </c>
      <c r="P2581" s="47">
        <f t="shared" si="326"/>
        <v>5.1633462949449711E-2</v>
      </c>
      <c r="Q2581" s="47">
        <f t="shared" si="327"/>
        <v>1</v>
      </c>
    </row>
    <row r="2582" spans="1:17" x14ac:dyDescent="0.35">
      <c r="A2582" s="82">
        <v>2579</v>
      </c>
      <c r="B2582" s="83" t="str">
        <f>_xlfn.XLOOKUP(A2582,'TAZs by City - CCAG Model'!$A:$A,'TAZs by City - CCAG Model'!$B:$B,"Unknown")</f>
        <v>Unincorporated</v>
      </c>
      <c r="C2582" s="82">
        <f>_xlfn.XLOOKUP(A2582,'TAZs by City - CCAG Model'!$A:$A,'TAZs by City - CCAG Model'!$C:$C,999)</f>
        <v>6</v>
      </c>
      <c r="D2582" s="82" t="str">
        <f t="shared" si="320"/>
        <v>NO</v>
      </c>
      <c r="E2582" s="27">
        <v>25549.32</v>
      </c>
      <c r="F2582" s="27">
        <v>15926.02</v>
      </c>
      <c r="G2582" s="27">
        <v>497.48</v>
      </c>
      <c r="H2582" s="27">
        <v>254.52</v>
      </c>
      <c r="I2582" s="27">
        <v>3728.04</v>
      </c>
      <c r="J2582" s="27">
        <v>46479.74</v>
      </c>
      <c r="K2582" s="47">
        <f t="shared" si="321"/>
        <v>0.54968724007492298</v>
      </c>
      <c r="L2582" s="47">
        <f t="shared" si="322"/>
        <v>0.34264434353548451</v>
      </c>
      <c r="M2582" s="84">
        <f t="shared" si="323"/>
        <v>0.89233158361040743</v>
      </c>
      <c r="N2582" s="47">
        <f t="shared" si="324"/>
        <v>1.0703157978078191E-2</v>
      </c>
      <c r="O2582" s="47">
        <f t="shared" si="325"/>
        <v>5.4759342457595507E-3</v>
      </c>
      <c r="P2582" s="47">
        <f t="shared" si="326"/>
        <v>8.0207849699675607E-2</v>
      </c>
      <c r="Q2582" s="47">
        <f t="shared" si="327"/>
        <v>1</v>
      </c>
    </row>
    <row r="2583" spans="1:17" x14ac:dyDescent="0.35">
      <c r="A2583" s="82">
        <v>2580</v>
      </c>
      <c r="B2583" s="83" t="str">
        <f>_xlfn.XLOOKUP(A2583,'TAZs by City - CCAG Model'!$A:$A,'TAZs by City - CCAG Model'!$B:$B,"Unknown")</f>
        <v>Unincorporated</v>
      </c>
      <c r="C2583" s="82">
        <f>_xlfn.XLOOKUP(A2583,'TAZs by City - CCAG Model'!$A:$A,'TAZs by City - CCAG Model'!$C:$C,999)</f>
        <v>6</v>
      </c>
      <c r="D2583" s="82" t="str">
        <f t="shared" si="320"/>
        <v>NO</v>
      </c>
      <c r="E2583" s="27">
        <v>23744.080000000002</v>
      </c>
      <c r="F2583" s="27">
        <v>15020.28</v>
      </c>
      <c r="G2583" s="27">
        <v>676.46</v>
      </c>
      <c r="H2583" s="27">
        <v>292.06</v>
      </c>
      <c r="I2583" s="27">
        <v>2160.42</v>
      </c>
      <c r="J2583" s="27">
        <v>42596.94</v>
      </c>
      <c r="K2583" s="47">
        <f t="shared" si="321"/>
        <v>0.55741280946471738</v>
      </c>
      <c r="L2583" s="47">
        <f t="shared" si="322"/>
        <v>0.35261406101001619</v>
      </c>
      <c r="M2583" s="84">
        <f t="shared" si="323"/>
        <v>0.91002687047473363</v>
      </c>
      <c r="N2583" s="47">
        <f t="shared" si="324"/>
        <v>1.588048343378656E-2</v>
      </c>
      <c r="O2583" s="47">
        <f t="shared" si="325"/>
        <v>6.8563610437745058E-3</v>
      </c>
      <c r="P2583" s="47">
        <f t="shared" si="326"/>
        <v>5.0717727611419974E-2</v>
      </c>
      <c r="Q2583" s="47">
        <f t="shared" si="327"/>
        <v>1</v>
      </c>
    </row>
    <row r="2584" spans="1:17" x14ac:dyDescent="0.35">
      <c r="A2584" s="82">
        <v>2581</v>
      </c>
      <c r="B2584" s="83" t="str">
        <f>_xlfn.XLOOKUP(A2584,'TAZs by City - CCAG Model'!$A:$A,'TAZs by City - CCAG Model'!$B:$B,"Unknown")</f>
        <v>Unincorporated</v>
      </c>
      <c r="C2584" s="82">
        <f>_xlfn.XLOOKUP(A2584,'TAZs by City - CCAG Model'!$A:$A,'TAZs by City - CCAG Model'!$C:$C,999)</f>
        <v>6</v>
      </c>
      <c r="D2584" s="82" t="str">
        <f t="shared" si="320"/>
        <v>NO</v>
      </c>
      <c r="E2584" s="27">
        <v>46599.48</v>
      </c>
      <c r="F2584" s="27">
        <v>22278.84</v>
      </c>
      <c r="G2584" s="27">
        <v>1094.9000000000001</v>
      </c>
      <c r="H2584" s="27">
        <v>554.22</v>
      </c>
      <c r="I2584" s="27">
        <v>3931.42</v>
      </c>
      <c r="J2584" s="27">
        <v>75581</v>
      </c>
      <c r="K2584" s="47">
        <f t="shared" si="321"/>
        <v>0.61655019118561549</v>
      </c>
      <c r="L2584" s="47">
        <f t="shared" si="322"/>
        <v>0.29476773263121686</v>
      </c>
      <c r="M2584" s="84">
        <f t="shared" si="323"/>
        <v>0.91131792381683241</v>
      </c>
      <c r="N2584" s="47">
        <f t="shared" si="324"/>
        <v>1.4486445006020032E-2</v>
      </c>
      <c r="O2584" s="47">
        <f t="shared" si="325"/>
        <v>7.3327952792368459E-3</v>
      </c>
      <c r="P2584" s="47">
        <f t="shared" si="326"/>
        <v>5.2015982852833383E-2</v>
      </c>
      <c r="Q2584" s="47">
        <f t="shared" si="327"/>
        <v>1</v>
      </c>
    </row>
    <row r="2585" spans="1:17" x14ac:dyDescent="0.35">
      <c r="A2585" s="82">
        <v>2582</v>
      </c>
      <c r="B2585" s="83" t="str">
        <f>_xlfn.XLOOKUP(A2585,'TAZs by City - CCAG Model'!$A:$A,'TAZs by City - CCAG Model'!$B:$B,"Unknown")</f>
        <v>Unincorporated</v>
      </c>
      <c r="C2585" s="82">
        <f>_xlfn.XLOOKUP(A2585,'TAZs by City - CCAG Model'!$A:$A,'TAZs by City - CCAG Model'!$C:$C,999)</f>
        <v>6</v>
      </c>
      <c r="D2585" s="82" t="str">
        <f t="shared" si="320"/>
        <v>NO</v>
      </c>
      <c r="E2585" s="27">
        <v>23297.759999999998</v>
      </c>
      <c r="F2585" s="27">
        <v>13088.74</v>
      </c>
      <c r="G2585" s="27">
        <v>930.98</v>
      </c>
      <c r="H2585" s="27">
        <v>400.78</v>
      </c>
      <c r="I2585" s="27">
        <v>1849.48</v>
      </c>
      <c r="J2585" s="27">
        <v>40530</v>
      </c>
      <c r="K2585" s="47">
        <f t="shared" si="321"/>
        <v>0.57482753515914131</v>
      </c>
      <c r="L2585" s="47">
        <f t="shared" si="322"/>
        <v>0.32293955094991361</v>
      </c>
      <c r="M2585" s="84">
        <f t="shared" si="323"/>
        <v>0.89776708610905498</v>
      </c>
      <c r="N2585" s="47">
        <f t="shared" si="324"/>
        <v>2.2970145571181842E-2</v>
      </c>
      <c r="O2585" s="47">
        <f t="shared" si="325"/>
        <v>9.8884776708610903E-3</v>
      </c>
      <c r="P2585" s="47">
        <f t="shared" si="326"/>
        <v>4.5632371083148285E-2</v>
      </c>
      <c r="Q2585" s="47">
        <f t="shared" si="327"/>
        <v>1</v>
      </c>
    </row>
    <row r="2586" spans="1:17" x14ac:dyDescent="0.35">
      <c r="A2586" s="82">
        <v>2583</v>
      </c>
      <c r="B2586" s="83" t="str">
        <f>_xlfn.XLOOKUP(A2586,'TAZs by City - CCAG Model'!$A:$A,'TAZs by City - CCAG Model'!$B:$B,"Unknown")</f>
        <v>Unincorporated</v>
      </c>
      <c r="C2586" s="82">
        <f>_xlfn.XLOOKUP(A2586,'TAZs by City - CCAG Model'!$A:$A,'TAZs by City - CCAG Model'!$C:$C,999)</f>
        <v>6</v>
      </c>
      <c r="D2586" s="82" t="str">
        <f t="shared" si="320"/>
        <v>NO</v>
      </c>
      <c r="E2586" s="27">
        <v>18835.52</v>
      </c>
      <c r="F2586" s="27">
        <v>11394.22</v>
      </c>
      <c r="G2586" s="27">
        <v>727.94</v>
      </c>
      <c r="H2586" s="27">
        <v>295.08</v>
      </c>
      <c r="I2586" s="27">
        <v>2130.7800000000002</v>
      </c>
      <c r="J2586" s="27">
        <v>34142.18</v>
      </c>
      <c r="K2586" s="47">
        <f t="shared" si="321"/>
        <v>0.55167889103742063</v>
      </c>
      <c r="L2586" s="47">
        <f t="shared" si="322"/>
        <v>0.33372854340291097</v>
      </c>
      <c r="M2586" s="84">
        <f t="shared" si="323"/>
        <v>0.88540743444033154</v>
      </c>
      <c r="N2586" s="47">
        <f t="shared" si="324"/>
        <v>2.1320841258525378E-2</v>
      </c>
      <c r="O2586" s="47">
        <f t="shared" si="325"/>
        <v>8.6426818674144416E-3</v>
      </c>
      <c r="P2586" s="47">
        <f t="shared" si="326"/>
        <v>6.2409020162157193E-2</v>
      </c>
      <c r="Q2586" s="47">
        <f t="shared" si="327"/>
        <v>1</v>
      </c>
    </row>
    <row r="2587" spans="1:17" x14ac:dyDescent="0.35">
      <c r="A2587" s="82">
        <v>2584</v>
      </c>
      <c r="B2587" s="83" t="str">
        <f>_xlfn.XLOOKUP(A2587,'TAZs by City - CCAG Model'!$A:$A,'TAZs by City - CCAG Model'!$B:$B,"Unknown")</f>
        <v>Fairfield</v>
      </c>
      <c r="C2587" s="82">
        <f>_xlfn.XLOOKUP(A2587,'TAZs by City - CCAG Model'!$A:$A,'TAZs by City - CCAG Model'!$C:$C,999)</f>
        <v>6</v>
      </c>
      <c r="D2587" s="82" t="str">
        <f t="shared" si="320"/>
        <v>NO</v>
      </c>
      <c r="E2587" s="27">
        <v>35015.82</v>
      </c>
      <c r="F2587" s="27">
        <v>14295.06</v>
      </c>
      <c r="G2587" s="27">
        <v>916.04</v>
      </c>
      <c r="H2587" s="27">
        <v>501.32</v>
      </c>
      <c r="I2587" s="27">
        <v>4781.8599999999997</v>
      </c>
      <c r="J2587" s="27">
        <v>56442.58</v>
      </c>
      <c r="K2587" s="47">
        <f t="shared" si="321"/>
        <v>0.62037950781130136</v>
      </c>
      <c r="L2587" s="47">
        <f t="shared" si="322"/>
        <v>0.25326730280578952</v>
      </c>
      <c r="M2587" s="84">
        <f t="shared" si="323"/>
        <v>0.87364681061709082</v>
      </c>
      <c r="N2587" s="47">
        <f t="shared" si="324"/>
        <v>1.6229591205788253E-2</v>
      </c>
      <c r="O2587" s="47">
        <f t="shared" si="325"/>
        <v>8.8819469273020476E-3</v>
      </c>
      <c r="P2587" s="47">
        <f t="shared" si="326"/>
        <v>8.4720790580444752E-2</v>
      </c>
      <c r="Q2587" s="47">
        <f t="shared" si="327"/>
        <v>1</v>
      </c>
    </row>
    <row r="2588" spans="1:17" x14ac:dyDescent="0.35">
      <c r="A2588" s="82">
        <v>2585</v>
      </c>
      <c r="B2588" s="83" t="str">
        <f>_xlfn.XLOOKUP(A2588,'TAZs by City - CCAG Model'!$A:$A,'TAZs by City - CCAG Model'!$B:$B,"Unknown")</f>
        <v>Unincorporated</v>
      </c>
      <c r="C2588" s="82">
        <f>_xlfn.XLOOKUP(A2588,'TAZs by City - CCAG Model'!$A:$A,'TAZs by City - CCAG Model'!$C:$C,999)</f>
        <v>6</v>
      </c>
      <c r="D2588" s="82" t="str">
        <f t="shared" si="320"/>
        <v>NO</v>
      </c>
      <c r="E2588" s="27">
        <v>6290.98</v>
      </c>
      <c r="F2588" s="27">
        <v>5235.5600000000004</v>
      </c>
      <c r="G2588" s="27">
        <v>288.83999999999997</v>
      </c>
      <c r="H2588" s="27">
        <v>158.32</v>
      </c>
      <c r="I2588" s="27">
        <v>749.3</v>
      </c>
      <c r="J2588" s="27">
        <v>13033.28</v>
      </c>
      <c r="K2588" s="47">
        <f t="shared" si="321"/>
        <v>0.48268586265314634</v>
      </c>
      <c r="L2588" s="47">
        <f t="shared" si="322"/>
        <v>0.40170701465786052</v>
      </c>
      <c r="M2588" s="84">
        <f t="shared" si="323"/>
        <v>0.88439287731100691</v>
      </c>
      <c r="N2588" s="47">
        <f t="shared" si="324"/>
        <v>2.2161727516020524E-2</v>
      </c>
      <c r="O2588" s="47">
        <f t="shared" si="325"/>
        <v>1.214736428588966E-2</v>
      </c>
      <c r="P2588" s="47">
        <f t="shared" si="326"/>
        <v>5.7491283851800919E-2</v>
      </c>
      <c r="Q2588" s="47">
        <f t="shared" si="327"/>
        <v>1</v>
      </c>
    </row>
    <row r="2589" spans="1:17" x14ac:dyDescent="0.35">
      <c r="A2589" s="82">
        <v>2586</v>
      </c>
      <c r="B2589" s="83" t="str">
        <f>_xlfn.XLOOKUP(A2589,'TAZs by City - CCAG Model'!$A:$A,'TAZs by City - CCAG Model'!$B:$B,"Unknown")</f>
        <v>Suisun City</v>
      </c>
      <c r="C2589" s="82">
        <f>_xlfn.XLOOKUP(A2589,'TAZs by City - CCAG Model'!$A:$A,'TAZs by City - CCAG Model'!$C:$C,999)</f>
        <v>6</v>
      </c>
      <c r="D2589" s="82" t="str">
        <f t="shared" si="320"/>
        <v>NO</v>
      </c>
      <c r="E2589" s="27">
        <v>10303.16</v>
      </c>
      <c r="F2589" s="27">
        <v>8105.14</v>
      </c>
      <c r="G2589" s="27">
        <v>355.58</v>
      </c>
      <c r="H2589" s="27">
        <v>252.72</v>
      </c>
      <c r="I2589" s="27">
        <v>1265.44</v>
      </c>
      <c r="J2589" s="27">
        <v>20661.419999999998</v>
      </c>
      <c r="K2589" s="47">
        <f t="shared" si="321"/>
        <v>0.4986665969715538</v>
      </c>
      <c r="L2589" s="47">
        <f t="shared" si="322"/>
        <v>0.39228378301200989</v>
      </c>
      <c r="M2589" s="84">
        <f t="shared" si="323"/>
        <v>0.89095037998356363</v>
      </c>
      <c r="N2589" s="47">
        <f t="shared" si="324"/>
        <v>1.7209852952991614E-2</v>
      </c>
      <c r="O2589" s="47">
        <f t="shared" si="325"/>
        <v>1.2231492317565783E-2</v>
      </c>
      <c r="P2589" s="47">
        <f t="shared" si="326"/>
        <v>6.1246516454338575E-2</v>
      </c>
      <c r="Q2589" s="47">
        <f t="shared" si="327"/>
        <v>1</v>
      </c>
    </row>
    <row r="2590" spans="1:17" x14ac:dyDescent="0.35">
      <c r="A2590" s="82">
        <v>2587</v>
      </c>
      <c r="B2590" s="83" t="str">
        <f>_xlfn.XLOOKUP(A2590,'TAZs by City - CCAG Model'!$A:$A,'TAZs by City - CCAG Model'!$B:$B,"Unknown")</f>
        <v>Suisun City</v>
      </c>
      <c r="C2590" s="82">
        <f>_xlfn.XLOOKUP(A2590,'TAZs by City - CCAG Model'!$A:$A,'TAZs by City - CCAG Model'!$C:$C,999)</f>
        <v>6</v>
      </c>
      <c r="D2590" s="82" t="str">
        <f t="shared" si="320"/>
        <v>NO</v>
      </c>
      <c r="E2590" s="27">
        <v>11186.96</v>
      </c>
      <c r="F2590" s="27">
        <v>7659.34</v>
      </c>
      <c r="G2590" s="27">
        <v>465.66</v>
      </c>
      <c r="H2590" s="27">
        <v>282.54000000000002</v>
      </c>
      <c r="I2590" s="27">
        <v>1747.16</v>
      </c>
      <c r="J2590" s="27">
        <v>21832.3</v>
      </c>
      <c r="K2590" s="47">
        <f t="shared" si="321"/>
        <v>0.51240409851458613</v>
      </c>
      <c r="L2590" s="47">
        <f t="shared" si="322"/>
        <v>0.35082606963077645</v>
      </c>
      <c r="M2590" s="84">
        <f t="shared" si="323"/>
        <v>0.86323016814536258</v>
      </c>
      <c r="N2590" s="47">
        <f t="shared" si="324"/>
        <v>2.132894839297738E-2</v>
      </c>
      <c r="O2590" s="47">
        <f t="shared" si="325"/>
        <v>1.2941375851376174E-2</v>
      </c>
      <c r="P2590" s="47">
        <f t="shared" si="326"/>
        <v>8.002638292804698E-2</v>
      </c>
      <c r="Q2590" s="47">
        <f t="shared" si="327"/>
        <v>1</v>
      </c>
    </row>
    <row r="2591" spans="1:17" x14ac:dyDescent="0.35">
      <c r="A2591" s="82">
        <v>2588</v>
      </c>
      <c r="B2591" s="83" t="str">
        <f>_xlfn.XLOOKUP(A2591,'TAZs by City - CCAG Model'!$A:$A,'TAZs by City - CCAG Model'!$B:$B,"Unknown")</f>
        <v>Unincorporated</v>
      </c>
      <c r="C2591" s="82">
        <f>_xlfn.XLOOKUP(A2591,'TAZs by City - CCAG Model'!$A:$A,'TAZs by City - CCAG Model'!$C:$C,999)</f>
        <v>6</v>
      </c>
      <c r="D2591" s="82" t="str">
        <f t="shared" si="320"/>
        <v>NO</v>
      </c>
      <c r="E2591" s="27">
        <v>9700.92</v>
      </c>
      <c r="F2591" s="27">
        <v>6613.78</v>
      </c>
      <c r="G2591" s="27">
        <v>493.08</v>
      </c>
      <c r="H2591" s="27">
        <v>223.42</v>
      </c>
      <c r="I2591" s="27">
        <v>995.46</v>
      </c>
      <c r="J2591" s="27">
        <v>18545.86</v>
      </c>
      <c r="K2591" s="47">
        <f t="shared" si="321"/>
        <v>0.52307738762181966</v>
      </c>
      <c r="L2591" s="47">
        <f t="shared" si="322"/>
        <v>0.35661759551727445</v>
      </c>
      <c r="M2591" s="84">
        <f t="shared" si="323"/>
        <v>0.87969498313909411</v>
      </c>
      <c r="N2591" s="47">
        <f t="shared" si="324"/>
        <v>2.6587065792581199E-2</v>
      </c>
      <c r="O2591" s="47">
        <f t="shared" si="325"/>
        <v>1.2046893484583621E-2</v>
      </c>
      <c r="P2591" s="47">
        <f t="shared" si="326"/>
        <v>5.3675591210113741E-2</v>
      </c>
      <c r="Q2591" s="47">
        <f t="shared" si="327"/>
        <v>1</v>
      </c>
    </row>
    <row r="2592" spans="1:17" x14ac:dyDescent="0.35">
      <c r="A2592" s="82">
        <v>2589</v>
      </c>
      <c r="B2592" s="83" t="str">
        <f>_xlfn.XLOOKUP(A2592,'TAZs by City - CCAG Model'!$A:$A,'TAZs by City - CCAG Model'!$B:$B,"Unknown")</f>
        <v>Fairfield</v>
      </c>
      <c r="C2592" s="82">
        <f>_xlfn.XLOOKUP(A2592,'TAZs by City - CCAG Model'!$A:$A,'TAZs by City - CCAG Model'!$C:$C,999)</f>
        <v>6</v>
      </c>
      <c r="D2592" s="82" t="str">
        <f t="shared" si="320"/>
        <v>NO</v>
      </c>
      <c r="E2592" s="27">
        <v>10650.94</v>
      </c>
      <c r="F2592" s="27">
        <v>8614.76</v>
      </c>
      <c r="G2592" s="27">
        <v>728.54</v>
      </c>
      <c r="H2592" s="27">
        <v>307</v>
      </c>
      <c r="I2592" s="27">
        <v>1204.8800000000001</v>
      </c>
      <c r="J2592" s="27">
        <v>22259.119999999999</v>
      </c>
      <c r="K2592" s="47">
        <f t="shared" si="321"/>
        <v>0.47849780224914557</v>
      </c>
      <c r="L2592" s="47">
        <f t="shared" si="322"/>
        <v>0.38702158935303826</v>
      </c>
      <c r="M2592" s="84">
        <f t="shared" si="323"/>
        <v>0.86551939160218383</v>
      </c>
      <c r="N2592" s="47">
        <f t="shared" si="324"/>
        <v>3.2729955182415116E-2</v>
      </c>
      <c r="O2592" s="47">
        <f t="shared" si="325"/>
        <v>1.3792099597827767E-2</v>
      </c>
      <c r="P2592" s="47">
        <f t="shared" si="326"/>
        <v>5.4129723007917664E-2</v>
      </c>
      <c r="Q2592" s="47">
        <f t="shared" si="327"/>
        <v>1</v>
      </c>
    </row>
    <row r="2593" spans="1:17" x14ac:dyDescent="0.35">
      <c r="A2593" s="82">
        <v>2590</v>
      </c>
      <c r="B2593" s="83" t="str">
        <f>_xlfn.XLOOKUP(A2593,'TAZs by City - CCAG Model'!$A:$A,'TAZs by City - CCAG Model'!$B:$B,"Unknown")</f>
        <v>Fairfield</v>
      </c>
      <c r="C2593" s="82">
        <f>_xlfn.XLOOKUP(A2593,'TAZs by City - CCAG Model'!$A:$A,'TAZs by City - CCAG Model'!$C:$C,999)</f>
        <v>6</v>
      </c>
      <c r="D2593" s="82" t="str">
        <f t="shared" si="320"/>
        <v>NO</v>
      </c>
      <c r="E2593" s="27">
        <v>5455.04</v>
      </c>
      <c r="F2593" s="27">
        <v>4716.82</v>
      </c>
      <c r="G2593" s="27">
        <v>460.96</v>
      </c>
      <c r="H2593" s="27">
        <v>177.78</v>
      </c>
      <c r="I2593" s="27">
        <v>1169.9000000000001</v>
      </c>
      <c r="J2593" s="27">
        <v>12461.44</v>
      </c>
      <c r="K2593" s="47">
        <f t="shared" si="321"/>
        <v>0.43775358225052641</v>
      </c>
      <c r="L2593" s="47">
        <f t="shared" si="322"/>
        <v>0.3785132376354578</v>
      </c>
      <c r="M2593" s="84">
        <f t="shared" si="323"/>
        <v>0.81626681988598426</v>
      </c>
      <c r="N2593" s="47">
        <f t="shared" si="324"/>
        <v>3.699090955780391E-2</v>
      </c>
      <c r="O2593" s="47">
        <f t="shared" si="325"/>
        <v>1.4266409018540392E-2</v>
      </c>
      <c r="P2593" s="47">
        <f t="shared" si="326"/>
        <v>9.3881605978121313E-2</v>
      </c>
      <c r="Q2593" s="47">
        <f t="shared" si="327"/>
        <v>1</v>
      </c>
    </row>
    <row r="2594" spans="1:17" x14ac:dyDescent="0.35">
      <c r="A2594" s="82">
        <v>2591</v>
      </c>
      <c r="B2594" s="83" t="str">
        <f>_xlfn.XLOOKUP(A2594,'TAZs by City - CCAG Model'!$A:$A,'TAZs by City - CCAG Model'!$B:$B,"Unknown")</f>
        <v>Fairfield</v>
      </c>
      <c r="C2594" s="82">
        <f>_xlfn.XLOOKUP(A2594,'TAZs by City - CCAG Model'!$A:$A,'TAZs by City - CCAG Model'!$C:$C,999)</f>
        <v>6</v>
      </c>
      <c r="D2594" s="82" t="str">
        <f t="shared" si="320"/>
        <v>NO</v>
      </c>
      <c r="E2594" s="27">
        <v>12642.6</v>
      </c>
      <c r="F2594" s="27">
        <v>8912.36</v>
      </c>
      <c r="G2594" s="27">
        <v>743.92</v>
      </c>
      <c r="H2594" s="27">
        <v>368.62</v>
      </c>
      <c r="I2594" s="27">
        <v>3345.88</v>
      </c>
      <c r="J2594" s="27">
        <v>26782.080000000002</v>
      </c>
      <c r="K2594" s="47">
        <f t="shared" si="321"/>
        <v>0.47205444834755178</v>
      </c>
      <c r="L2594" s="47">
        <f t="shared" si="322"/>
        <v>0.33277325734222285</v>
      </c>
      <c r="M2594" s="84">
        <f t="shared" si="323"/>
        <v>0.80482770568977458</v>
      </c>
      <c r="N2594" s="47">
        <f t="shared" si="324"/>
        <v>2.777678208712691E-2</v>
      </c>
      <c r="O2594" s="47">
        <f t="shared" si="325"/>
        <v>1.3763680789542859E-2</v>
      </c>
      <c r="P2594" s="47">
        <f t="shared" si="326"/>
        <v>0.12492980380911416</v>
      </c>
      <c r="Q2594" s="47">
        <f t="shared" si="327"/>
        <v>1</v>
      </c>
    </row>
    <row r="2595" spans="1:17" x14ac:dyDescent="0.35">
      <c r="A2595" s="82">
        <v>2592</v>
      </c>
      <c r="B2595" s="83" t="str">
        <f>_xlfn.XLOOKUP(A2595,'TAZs by City - CCAG Model'!$A:$A,'TAZs by City - CCAG Model'!$B:$B,"Unknown")</f>
        <v>Fairfield</v>
      </c>
      <c r="C2595" s="82">
        <f>_xlfn.XLOOKUP(A2595,'TAZs by City - CCAG Model'!$A:$A,'TAZs by City - CCAG Model'!$C:$C,999)</f>
        <v>6</v>
      </c>
      <c r="D2595" s="82" t="str">
        <f t="shared" si="320"/>
        <v>NO</v>
      </c>
      <c r="E2595" s="27">
        <v>7159.3</v>
      </c>
      <c r="F2595" s="27">
        <v>5541.38</v>
      </c>
      <c r="G2595" s="27">
        <v>410.98</v>
      </c>
      <c r="H2595" s="27">
        <v>230.5</v>
      </c>
      <c r="I2595" s="27">
        <v>1531.02</v>
      </c>
      <c r="J2595" s="27">
        <v>15307.16</v>
      </c>
      <c r="K2595" s="47">
        <f t="shared" si="321"/>
        <v>0.46770922888373806</v>
      </c>
      <c r="L2595" s="47">
        <f t="shared" si="322"/>
        <v>0.36201228706043448</v>
      </c>
      <c r="M2595" s="84">
        <f t="shared" si="323"/>
        <v>0.82972151594417254</v>
      </c>
      <c r="N2595" s="47">
        <f t="shared" si="324"/>
        <v>2.6848873337706015E-2</v>
      </c>
      <c r="O2595" s="47">
        <f t="shared" si="325"/>
        <v>1.5058312580517876E-2</v>
      </c>
      <c r="P2595" s="47">
        <f t="shared" si="326"/>
        <v>0.10001985998709101</v>
      </c>
      <c r="Q2595" s="47">
        <f t="shared" si="327"/>
        <v>1</v>
      </c>
    </row>
    <row r="2596" spans="1:17" x14ac:dyDescent="0.35">
      <c r="A2596" s="82">
        <v>2593</v>
      </c>
      <c r="B2596" s="83" t="str">
        <f>_xlfn.XLOOKUP(A2596,'TAZs by City - CCAG Model'!$A:$A,'TAZs by City - CCAG Model'!$B:$B,"Unknown")</f>
        <v>Suisun City</v>
      </c>
      <c r="C2596" s="82">
        <f>_xlfn.XLOOKUP(A2596,'TAZs by City - CCAG Model'!$A:$A,'TAZs by City - CCAG Model'!$C:$C,999)</f>
        <v>6</v>
      </c>
      <c r="D2596" s="82" t="str">
        <f t="shared" si="320"/>
        <v>NO</v>
      </c>
      <c r="E2596" s="27">
        <v>8843.2000000000007</v>
      </c>
      <c r="F2596" s="27">
        <v>6070.68</v>
      </c>
      <c r="G2596" s="27">
        <v>351.48</v>
      </c>
      <c r="H2596" s="27">
        <v>217.64</v>
      </c>
      <c r="I2596" s="27">
        <v>893.08</v>
      </c>
      <c r="J2596" s="27">
        <v>16754.32</v>
      </c>
      <c r="K2596" s="47">
        <f t="shared" si="321"/>
        <v>0.52781610951682911</v>
      </c>
      <c r="L2596" s="47">
        <f t="shared" si="322"/>
        <v>0.3623352066810232</v>
      </c>
      <c r="M2596" s="84">
        <f t="shared" si="323"/>
        <v>0.89015131619785237</v>
      </c>
      <c r="N2596" s="47">
        <f t="shared" si="324"/>
        <v>2.0978470030416037E-2</v>
      </c>
      <c r="O2596" s="47">
        <f t="shared" si="325"/>
        <v>1.2990082557811955E-2</v>
      </c>
      <c r="P2596" s="47">
        <f t="shared" si="326"/>
        <v>5.3304461177773856E-2</v>
      </c>
      <c r="Q2596" s="47">
        <f t="shared" si="327"/>
        <v>1</v>
      </c>
    </row>
    <row r="2597" spans="1:17" x14ac:dyDescent="0.35">
      <c r="A2597" s="82">
        <v>2594</v>
      </c>
      <c r="B2597" s="83" t="str">
        <f>_xlfn.XLOOKUP(A2597,'TAZs by City - CCAG Model'!$A:$A,'TAZs by City - CCAG Model'!$B:$B,"Unknown")</f>
        <v>Fairfield</v>
      </c>
      <c r="C2597" s="82">
        <f>_xlfn.XLOOKUP(A2597,'TAZs by City - CCAG Model'!$A:$A,'TAZs by City - CCAG Model'!$C:$C,999)</f>
        <v>6</v>
      </c>
      <c r="D2597" s="82" t="str">
        <f t="shared" si="320"/>
        <v>NO</v>
      </c>
      <c r="E2597" s="27">
        <v>11706.48</v>
      </c>
      <c r="F2597" s="27">
        <v>5085.4399999999996</v>
      </c>
      <c r="G2597" s="27">
        <v>487.6</v>
      </c>
      <c r="H2597" s="27">
        <v>212.44</v>
      </c>
      <c r="I2597" s="27">
        <v>1145.76</v>
      </c>
      <c r="J2597" s="27">
        <v>19150.78</v>
      </c>
      <c r="K2597" s="47">
        <f t="shared" si="321"/>
        <v>0.61127954057223777</v>
      </c>
      <c r="L2597" s="47">
        <f t="shared" si="322"/>
        <v>0.26554740851286474</v>
      </c>
      <c r="M2597" s="84">
        <f t="shared" si="323"/>
        <v>0.8768269490851025</v>
      </c>
      <c r="N2597" s="47">
        <f t="shared" si="324"/>
        <v>2.5461103934147855E-2</v>
      </c>
      <c r="O2597" s="47">
        <f t="shared" si="325"/>
        <v>1.1093020754246041E-2</v>
      </c>
      <c r="P2597" s="47">
        <f t="shared" si="326"/>
        <v>5.9828372525818796E-2</v>
      </c>
      <c r="Q2597" s="47">
        <f t="shared" si="327"/>
        <v>1</v>
      </c>
    </row>
    <row r="2598" spans="1:17" x14ac:dyDescent="0.35">
      <c r="A2598" s="82">
        <v>2595</v>
      </c>
      <c r="B2598" s="83" t="str">
        <f>_xlfn.XLOOKUP(A2598,'TAZs by City - CCAG Model'!$A:$A,'TAZs by City - CCAG Model'!$B:$B,"Unknown")</f>
        <v>Fairfield</v>
      </c>
      <c r="C2598" s="82">
        <f>_xlfn.XLOOKUP(A2598,'TAZs by City - CCAG Model'!$A:$A,'TAZs by City - CCAG Model'!$C:$C,999)</f>
        <v>6</v>
      </c>
      <c r="D2598" s="82" t="str">
        <f t="shared" si="320"/>
        <v>NO</v>
      </c>
      <c r="E2598" s="27">
        <v>11398.14</v>
      </c>
      <c r="F2598" s="27">
        <v>7431.88</v>
      </c>
      <c r="G2598" s="27">
        <v>745.4</v>
      </c>
      <c r="H2598" s="27">
        <v>298.7</v>
      </c>
      <c r="I2598" s="27">
        <v>1922.62</v>
      </c>
      <c r="J2598" s="27">
        <v>22566.48</v>
      </c>
      <c r="K2598" s="47">
        <f t="shared" si="321"/>
        <v>0.50509162261903495</v>
      </c>
      <c r="L2598" s="47">
        <f t="shared" si="322"/>
        <v>0.32933270939907333</v>
      </c>
      <c r="M2598" s="84">
        <f t="shared" si="323"/>
        <v>0.83442433201810828</v>
      </c>
      <c r="N2598" s="47">
        <f t="shared" si="324"/>
        <v>3.3031292430188493E-2</v>
      </c>
      <c r="O2598" s="47">
        <f t="shared" si="325"/>
        <v>1.3236446268979477E-2</v>
      </c>
      <c r="P2598" s="47">
        <f t="shared" si="326"/>
        <v>8.5198045951340215E-2</v>
      </c>
      <c r="Q2598" s="47">
        <f t="shared" si="327"/>
        <v>1</v>
      </c>
    </row>
    <row r="2599" spans="1:17" x14ac:dyDescent="0.35">
      <c r="A2599" s="82">
        <v>2596</v>
      </c>
      <c r="B2599" s="83" t="str">
        <f>_xlfn.XLOOKUP(A2599,'TAZs by City - CCAG Model'!$A:$A,'TAZs by City - CCAG Model'!$B:$B,"Unknown")</f>
        <v>Fairfield</v>
      </c>
      <c r="C2599" s="82">
        <f>_xlfn.XLOOKUP(A2599,'TAZs by City - CCAG Model'!$A:$A,'TAZs by City - CCAG Model'!$C:$C,999)</f>
        <v>6</v>
      </c>
      <c r="D2599" s="82" t="str">
        <f t="shared" si="320"/>
        <v>NO</v>
      </c>
      <c r="E2599" s="27">
        <v>13609.86</v>
      </c>
      <c r="F2599" s="27">
        <v>9007</v>
      </c>
      <c r="G2599" s="27">
        <v>852.22</v>
      </c>
      <c r="H2599" s="27">
        <v>356.16</v>
      </c>
      <c r="I2599" s="27">
        <v>3282.22</v>
      </c>
      <c r="J2599" s="27">
        <v>27988.720000000001</v>
      </c>
      <c r="K2599" s="47">
        <f t="shared" si="321"/>
        <v>0.48626232282147952</v>
      </c>
      <c r="L2599" s="47">
        <f t="shared" si="322"/>
        <v>0.32180821416627842</v>
      </c>
      <c r="M2599" s="84">
        <f t="shared" si="323"/>
        <v>0.80807053698775788</v>
      </c>
      <c r="N2599" s="47">
        <f t="shared" si="324"/>
        <v>3.0448695045718416E-2</v>
      </c>
      <c r="O2599" s="47">
        <f t="shared" si="325"/>
        <v>1.272512640806725E-2</v>
      </c>
      <c r="P2599" s="47">
        <f t="shared" si="326"/>
        <v>0.11726938566679718</v>
      </c>
      <c r="Q2599" s="47">
        <f t="shared" si="327"/>
        <v>1</v>
      </c>
    </row>
    <row r="2600" spans="1:17" x14ac:dyDescent="0.35">
      <c r="A2600" s="82">
        <v>2597</v>
      </c>
      <c r="B2600" s="83" t="str">
        <f>_xlfn.XLOOKUP(A2600,'TAZs by City - CCAG Model'!$A:$A,'TAZs by City - CCAG Model'!$B:$B,"Unknown")</f>
        <v>Fairfield</v>
      </c>
      <c r="C2600" s="82">
        <f>_xlfn.XLOOKUP(A2600,'TAZs by City - CCAG Model'!$A:$A,'TAZs by City - CCAG Model'!$C:$C,999)</f>
        <v>6</v>
      </c>
      <c r="D2600" s="82" t="str">
        <f t="shared" si="320"/>
        <v>NO</v>
      </c>
      <c r="E2600" s="27">
        <v>19615.400000000001</v>
      </c>
      <c r="F2600" s="27">
        <v>9399.7999999999993</v>
      </c>
      <c r="G2600" s="27">
        <v>987.58</v>
      </c>
      <c r="H2600" s="27">
        <v>373.84</v>
      </c>
      <c r="I2600" s="27">
        <v>2921.82</v>
      </c>
      <c r="J2600" s="27">
        <v>34318.379999999997</v>
      </c>
      <c r="K2600" s="47">
        <f t="shared" si="321"/>
        <v>0.57157126880697762</v>
      </c>
      <c r="L2600" s="47">
        <f t="shared" si="322"/>
        <v>0.2738998752272106</v>
      </c>
      <c r="M2600" s="84">
        <f t="shared" si="323"/>
        <v>0.84547114403418822</v>
      </c>
      <c r="N2600" s="47">
        <f t="shared" si="324"/>
        <v>2.8776999380506891E-2</v>
      </c>
      <c r="O2600" s="47">
        <f t="shared" si="325"/>
        <v>1.0893288086442309E-2</v>
      </c>
      <c r="P2600" s="47">
        <f t="shared" si="326"/>
        <v>8.5138634166298077E-2</v>
      </c>
      <c r="Q2600" s="47">
        <f t="shared" si="327"/>
        <v>1</v>
      </c>
    </row>
    <row r="2601" spans="1:17" x14ac:dyDescent="0.35">
      <c r="A2601" s="82">
        <v>2598</v>
      </c>
      <c r="B2601" s="83" t="str">
        <f>_xlfn.XLOOKUP(A2601,'TAZs by City - CCAG Model'!$A:$A,'TAZs by City - CCAG Model'!$B:$B,"Unknown")</f>
        <v>Fairfield</v>
      </c>
      <c r="C2601" s="82">
        <f>_xlfn.XLOOKUP(A2601,'TAZs by City - CCAG Model'!$A:$A,'TAZs by City - CCAG Model'!$C:$C,999)</f>
        <v>6</v>
      </c>
      <c r="D2601" s="82" t="str">
        <f t="shared" si="320"/>
        <v>NO</v>
      </c>
      <c r="E2601" s="27">
        <v>12705.64</v>
      </c>
      <c r="F2601" s="27">
        <v>8460.7800000000007</v>
      </c>
      <c r="G2601" s="27">
        <v>717.82</v>
      </c>
      <c r="H2601" s="27">
        <v>306.95999999999998</v>
      </c>
      <c r="I2601" s="27">
        <v>1868.7</v>
      </c>
      <c r="J2601" s="27">
        <v>24803.32</v>
      </c>
      <c r="K2601" s="47">
        <f t="shared" si="321"/>
        <v>0.51225561739315539</v>
      </c>
      <c r="L2601" s="47">
        <f t="shared" si="322"/>
        <v>0.34111481850010406</v>
      </c>
      <c r="M2601" s="84">
        <f t="shared" si="323"/>
        <v>0.85337043589325934</v>
      </c>
      <c r="N2601" s="47">
        <f t="shared" si="324"/>
        <v>2.8940480548571727E-2</v>
      </c>
      <c r="O2601" s="47">
        <f t="shared" si="325"/>
        <v>1.2375762599522966E-2</v>
      </c>
      <c r="P2601" s="47">
        <f t="shared" si="326"/>
        <v>7.5340720516446996E-2</v>
      </c>
      <c r="Q2601" s="47">
        <f t="shared" si="327"/>
        <v>1</v>
      </c>
    </row>
    <row r="2602" spans="1:17" x14ac:dyDescent="0.35">
      <c r="A2602" s="82">
        <v>2599</v>
      </c>
      <c r="B2602" s="83" t="str">
        <f>_xlfn.XLOOKUP(A2602,'TAZs by City - CCAG Model'!$A:$A,'TAZs by City - CCAG Model'!$B:$B,"Unknown")</f>
        <v>Fairfield</v>
      </c>
      <c r="C2602" s="82">
        <f>_xlfn.XLOOKUP(A2602,'TAZs by City - CCAG Model'!$A:$A,'TAZs by City - CCAG Model'!$C:$C,999)</f>
        <v>6</v>
      </c>
      <c r="D2602" s="82" t="str">
        <f t="shared" si="320"/>
        <v>NO</v>
      </c>
      <c r="E2602" s="27">
        <v>10914.74</v>
      </c>
      <c r="F2602" s="27">
        <v>6334.96</v>
      </c>
      <c r="G2602" s="27">
        <v>348.2</v>
      </c>
      <c r="H2602" s="27">
        <v>206.2</v>
      </c>
      <c r="I2602" s="27">
        <v>580.54</v>
      </c>
      <c r="J2602" s="27">
        <v>18756.66</v>
      </c>
      <c r="K2602" s="47">
        <f t="shared" si="321"/>
        <v>0.58191277125031859</v>
      </c>
      <c r="L2602" s="47">
        <f t="shared" si="322"/>
        <v>0.33774456646332557</v>
      </c>
      <c r="M2602" s="84">
        <f t="shared" si="323"/>
        <v>0.91965733771364411</v>
      </c>
      <c r="N2602" s="47">
        <f t="shared" si="324"/>
        <v>1.8564072708040769E-2</v>
      </c>
      <c r="O2602" s="47">
        <f t="shared" si="325"/>
        <v>1.0993428467541661E-2</v>
      </c>
      <c r="P2602" s="47">
        <f t="shared" si="326"/>
        <v>3.0951139488586986E-2</v>
      </c>
      <c r="Q2602" s="47">
        <f t="shared" si="327"/>
        <v>1</v>
      </c>
    </row>
    <row r="2603" spans="1:17" x14ac:dyDescent="0.35">
      <c r="A2603" s="82">
        <v>2600</v>
      </c>
      <c r="B2603" s="83" t="str">
        <f>_xlfn.XLOOKUP(A2603,'TAZs by City - CCAG Model'!$A:$A,'TAZs by City - CCAG Model'!$B:$B,"Unknown")</f>
        <v>Unincorporated</v>
      </c>
      <c r="C2603" s="82">
        <f>_xlfn.XLOOKUP(A2603,'TAZs by City - CCAG Model'!$A:$A,'TAZs by City - CCAG Model'!$C:$C,999)</f>
        <v>6</v>
      </c>
      <c r="D2603" s="82" t="str">
        <f t="shared" si="320"/>
        <v>NO</v>
      </c>
      <c r="E2603" s="27">
        <v>25573.42</v>
      </c>
      <c r="F2603" s="27">
        <v>16592.900000000001</v>
      </c>
      <c r="G2603" s="27">
        <v>819.88</v>
      </c>
      <c r="H2603" s="27">
        <v>337.38</v>
      </c>
      <c r="I2603" s="27">
        <v>1912.4</v>
      </c>
      <c r="J2603" s="27">
        <v>46082.9</v>
      </c>
      <c r="K2603" s="47">
        <f t="shared" si="321"/>
        <v>0.55494380778987429</v>
      </c>
      <c r="L2603" s="47">
        <f t="shared" si="322"/>
        <v>0.36006631527095734</v>
      </c>
      <c r="M2603" s="84">
        <f t="shared" si="323"/>
        <v>0.91501012306083163</v>
      </c>
      <c r="N2603" s="47">
        <f t="shared" si="324"/>
        <v>1.7791415036814088E-2</v>
      </c>
      <c r="O2603" s="47">
        <f t="shared" si="325"/>
        <v>7.3211538336346018E-3</v>
      </c>
      <c r="P2603" s="47">
        <f t="shared" si="326"/>
        <v>4.1499124404063115E-2</v>
      </c>
      <c r="Q2603" s="47">
        <f t="shared" si="327"/>
        <v>1</v>
      </c>
    </row>
    <row r="2604" spans="1:17" x14ac:dyDescent="0.35">
      <c r="A2604" s="82">
        <v>2601</v>
      </c>
      <c r="B2604" s="83" t="str">
        <f>_xlfn.XLOOKUP(A2604,'TAZs by City - CCAG Model'!$A:$A,'TAZs by City - CCAG Model'!$B:$B,"Unknown")</f>
        <v>Fairfield</v>
      </c>
      <c r="C2604" s="82">
        <f>_xlfn.XLOOKUP(A2604,'TAZs by City - CCAG Model'!$A:$A,'TAZs by City - CCAG Model'!$C:$C,999)</f>
        <v>6</v>
      </c>
      <c r="D2604" s="82" t="str">
        <f t="shared" si="320"/>
        <v>NO</v>
      </c>
      <c r="E2604" s="27">
        <v>25020.7</v>
      </c>
      <c r="F2604" s="27">
        <v>16174.46</v>
      </c>
      <c r="G2604" s="27">
        <v>801.84</v>
      </c>
      <c r="H2604" s="27">
        <v>515.05999999999995</v>
      </c>
      <c r="I2604" s="27">
        <v>2536.44</v>
      </c>
      <c r="J2604" s="27">
        <v>45878.68</v>
      </c>
      <c r="K2604" s="47">
        <f t="shared" si="321"/>
        <v>0.54536660601394815</v>
      </c>
      <c r="L2604" s="47">
        <f t="shared" si="322"/>
        <v>0.3525485040110134</v>
      </c>
      <c r="M2604" s="84">
        <f t="shared" si="323"/>
        <v>0.8979151100249616</v>
      </c>
      <c r="N2604" s="47">
        <f t="shared" si="324"/>
        <v>1.7477399088203935E-2</v>
      </c>
      <c r="O2604" s="47">
        <f t="shared" si="325"/>
        <v>1.1226565367617375E-2</v>
      </c>
      <c r="P2604" s="47">
        <f t="shared" si="326"/>
        <v>5.5285810315379609E-2</v>
      </c>
      <c r="Q2604" s="47">
        <f t="shared" si="327"/>
        <v>1</v>
      </c>
    </row>
    <row r="2605" spans="1:17" x14ac:dyDescent="0.35">
      <c r="A2605" s="82">
        <v>2602</v>
      </c>
      <c r="B2605" s="83" t="str">
        <f>_xlfn.XLOOKUP(A2605,'TAZs by City - CCAG Model'!$A:$A,'TAZs by City - CCAG Model'!$B:$B,"Unknown")</f>
        <v>Fairfield</v>
      </c>
      <c r="C2605" s="82">
        <f>_xlfn.XLOOKUP(A2605,'TAZs by City - CCAG Model'!$A:$A,'TAZs by City - CCAG Model'!$C:$C,999)</f>
        <v>6</v>
      </c>
      <c r="D2605" s="82" t="str">
        <f t="shared" si="320"/>
        <v>NO</v>
      </c>
      <c r="E2605" s="27">
        <v>36102.32</v>
      </c>
      <c r="F2605" s="27">
        <v>23471.34</v>
      </c>
      <c r="G2605" s="27">
        <v>1489.04</v>
      </c>
      <c r="H2605" s="27">
        <v>501.94</v>
      </c>
      <c r="I2605" s="27">
        <v>3775.88</v>
      </c>
      <c r="J2605" s="27">
        <v>66859.5</v>
      </c>
      <c r="K2605" s="47">
        <f t="shared" si="321"/>
        <v>0.53997292830487809</v>
      </c>
      <c r="L2605" s="47">
        <f t="shared" si="322"/>
        <v>0.35105467435442983</v>
      </c>
      <c r="M2605" s="84">
        <f t="shared" si="323"/>
        <v>0.89102760265930803</v>
      </c>
      <c r="N2605" s="47">
        <f t="shared" si="324"/>
        <v>2.2271180610085328E-2</v>
      </c>
      <c r="O2605" s="47">
        <f t="shared" si="325"/>
        <v>7.5073848892079657E-3</v>
      </c>
      <c r="P2605" s="47">
        <f t="shared" si="326"/>
        <v>5.6474846506480006E-2</v>
      </c>
      <c r="Q2605" s="47">
        <f t="shared" si="327"/>
        <v>1</v>
      </c>
    </row>
    <row r="2606" spans="1:17" x14ac:dyDescent="0.35">
      <c r="A2606" s="82">
        <v>2603</v>
      </c>
      <c r="B2606" s="83" t="str">
        <f>_xlfn.XLOOKUP(A2606,'TAZs by City - CCAG Model'!$A:$A,'TAZs by City - CCAG Model'!$B:$B,"Unknown")</f>
        <v>Unincorporated</v>
      </c>
      <c r="C2606" s="82">
        <f>_xlfn.XLOOKUP(A2606,'TAZs by City - CCAG Model'!$A:$A,'TAZs by City - CCAG Model'!$C:$C,999)</f>
        <v>6</v>
      </c>
      <c r="D2606" s="82" t="str">
        <f t="shared" si="320"/>
        <v>NO</v>
      </c>
      <c r="E2606" s="27">
        <v>29080.04</v>
      </c>
      <c r="F2606" s="27">
        <v>20816.16</v>
      </c>
      <c r="G2606" s="27">
        <v>772.06</v>
      </c>
      <c r="H2606" s="27">
        <v>591.94000000000005</v>
      </c>
      <c r="I2606" s="27">
        <v>2830.64</v>
      </c>
      <c r="J2606" s="27">
        <v>54884.02</v>
      </c>
      <c r="K2606" s="47">
        <f t="shared" si="321"/>
        <v>0.52984529923281865</v>
      </c>
      <c r="L2606" s="47">
        <f t="shared" si="322"/>
        <v>0.37927542479577847</v>
      </c>
      <c r="M2606" s="84">
        <f t="shared" si="323"/>
        <v>0.909120724028597</v>
      </c>
      <c r="N2606" s="47">
        <f t="shared" si="324"/>
        <v>1.4067118261380998E-2</v>
      </c>
      <c r="O2606" s="47">
        <f t="shared" si="325"/>
        <v>1.0785288686943851E-2</v>
      </c>
      <c r="P2606" s="47">
        <f t="shared" si="326"/>
        <v>5.1574939299271448E-2</v>
      </c>
      <c r="Q2606" s="47">
        <f t="shared" si="327"/>
        <v>1</v>
      </c>
    </row>
    <row r="2607" spans="1:17" x14ac:dyDescent="0.35">
      <c r="A2607" s="82">
        <v>2604</v>
      </c>
      <c r="B2607" s="83" t="str">
        <f>_xlfn.XLOOKUP(A2607,'TAZs by City - CCAG Model'!$A:$A,'TAZs by City - CCAG Model'!$B:$B,"Unknown")</f>
        <v>Vacaville</v>
      </c>
      <c r="C2607" s="82">
        <f>_xlfn.XLOOKUP(A2607,'TAZs by City - CCAG Model'!$A:$A,'TAZs by City - CCAG Model'!$C:$C,999)</f>
        <v>6</v>
      </c>
      <c r="D2607" s="82" t="str">
        <f t="shared" si="320"/>
        <v>NO</v>
      </c>
      <c r="E2607" s="27">
        <v>10237.1</v>
      </c>
      <c r="F2607" s="27">
        <v>2868.74</v>
      </c>
      <c r="G2607" s="27">
        <v>122.32</v>
      </c>
      <c r="H2607" s="27">
        <v>99.54</v>
      </c>
      <c r="I2607" s="27">
        <v>263.66000000000003</v>
      </c>
      <c r="J2607" s="27">
        <v>13722.64</v>
      </c>
      <c r="K2607" s="47">
        <f t="shared" si="321"/>
        <v>0.74600076953122729</v>
      </c>
      <c r="L2607" s="47">
        <f t="shared" si="322"/>
        <v>0.20905161106026246</v>
      </c>
      <c r="M2607" s="84">
        <f t="shared" si="323"/>
        <v>0.95505238059148978</v>
      </c>
      <c r="N2607" s="47">
        <f t="shared" si="324"/>
        <v>8.9137367153842122E-3</v>
      </c>
      <c r="O2607" s="47">
        <f t="shared" si="325"/>
        <v>7.2537062839220451E-3</v>
      </c>
      <c r="P2607" s="47">
        <f t="shared" si="326"/>
        <v>1.921350410708144E-2</v>
      </c>
      <c r="Q2607" s="47">
        <f t="shared" si="327"/>
        <v>1</v>
      </c>
    </row>
    <row r="2608" spans="1:17" x14ac:dyDescent="0.35">
      <c r="A2608" s="82">
        <v>2605</v>
      </c>
      <c r="B2608" s="83" t="str">
        <f>_xlfn.XLOOKUP(A2608,'TAZs by City - CCAG Model'!$A:$A,'TAZs by City - CCAG Model'!$B:$B,"Unknown")</f>
        <v>Vacaville</v>
      </c>
      <c r="C2608" s="82">
        <f>_xlfn.XLOOKUP(A2608,'TAZs by City - CCAG Model'!$A:$A,'TAZs by City - CCAG Model'!$C:$C,999)</f>
        <v>6</v>
      </c>
      <c r="D2608" s="82" t="str">
        <f t="shared" si="320"/>
        <v>NO</v>
      </c>
      <c r="E2608" s="27">
        <v>10858.02</v>
      </c>
      <c r="F2608" s="27">
        <v>6861.24</v>
      </c>
      <c r="G2608" s="27">
        <v>272.33999999999997</v>
      </c>
      <c r="H2608" s="27">
        <v>222.84</v>
      </c>
      <c r="I2608" s="27">
        <v>838.3</v>
      </c>
      <c r="J2608" s="27">
        <v>19351.080000000002</v>
      </c>
      <c r="K2608" s="47">
        <f t="shared" si="321"/>
        <v>0.56110666691471478</v>
      </c>
      <c r="L2608" s="47">
        <f t="shared" si="322"/>
        <v>0.3545662567670641</v>
      </c>
      <c r="M2608" s="84">
        <f t="shared" si="323"/>
        <v>0.91567292368177899</v>
      </c>
      <c r="N2608" s="47">
        <f t="shared" si="324"/>
        <v>1.4073633099547929E-2</v>
      </c>
      <c r="O2608" s="47">
        <f t="shared" si="325"/>
        <v>1.1515636336576563E-2</v>
      </c>
      <c r="P2608" s="47">
        <f t="shared" si="326"/>
        <v>4.332057952321007E-2</v>
      </c>
      <c r="Q2608" s="47">
        <f t="shared" si="327"/>
        <v>1</v>
      </c>
    </row>
    <row r="2609" spans="1:17" x14ac:dyDescent="0.35">
      <c r="A2609" s="82">
        <v>2606</v>
      </c>
      <c r="B2609" s="83" t="str">
        <f>_xlfn.XLOOKUP(A2609,'TAZs by City - CCAG Model'!$A:$A,'TAZs by City - CCAG Model'!$B:$B,"Unknown")</f>
        <v>Vacaville</v>
      </c>
      <c r="C2609" s="82">
        <f>_xlfn.XLOOKUP(A2609,'TAZs by City - CCAG Model'!$A:$A,'TAZs by City - CCAG Model'!$C:$C,999)</f>
        <v>6</v>
      </c>
      <c r="D2609" s="82" t="str">
        <f t="shared" si="320"/>
        <v>NO</v>
      </c>
      <c r="E2609" s="27">
        <v>18260.759999999998</v>
      </c>
      <c r="F2609" s="27">
        <v>11222.34</v>
      </c>
      <c r="G2609" s="27">
        <v>425.08</v>
      </c>
      <c r="H2609" s="27">
        <v>486.6</v>
      </c>
      <c r="I2609" s="27">
        <v>2452.84</v>
      </c>
      <c r="J2609" s="27">
        <v>33300.519999999997</v>
      </c>
      <c r="K2609" s="47">
        <f t="shared" si="321"/>
        <v>0.54836260815146431</v>
      </c>
      <c r="L2609" s="47">
        <f t="shared" si="322"/>
        <v>0.33700194471437689</v>
      </c>
      <c r="M2609" s="84">
        <f t="shared" si="323"/>
        <v>0.88536455286584115</v>
      </c>
      <c r="N2609" s="47">
        <f t="shared" si="324"/>
        <v>1.2764965832365381E-2</v>
      </c>
      <c r="O2609" s="47">
        <f t="shared" si="325"/>
        <v>1.4612384431234108E-2</v>
      </c>
      <c r="P2609" s="47">
        <f t="shared" si="326"/>
        <v>7.3657708648393494E-2</v>
      </c>
      <c r="Q2609" s="47">
        <f t="shared" si="327"/>
        <v>1</v>
      </c>
    </row>
    <row r="2610" spans="1:17" x14ac:dyDescent="0.35">
      <c r="A2610" s="82">
        <v>2607</v>
      </c>
      <c r="B2610" s="83" t="str">
        <f>_xlfn.XLOOKUP(A2610,'TAZs by City - CCAG Model'!$A:$A,'TAZs by City - CCAG Model'!$B:$B,"Unknown")</f>
        <v>Vacaville</v>
      </c>
      <c r="C2610" s="82">
        <f>_xlfn.XLOOKUP(A2610,'TAZs by City - CCAG Model'!$A:$A,'TAZs by City - CCAG Model'!$C:$C,999)</f>
        <v>6</v>
      </c>
      <c r="D2610" s="82" t="str">
        <f t="shared" si="320"/>
        <v>NO</v>
      </c>
      <c r="E2610" s="27">
        <v>8345.06</v>
      </c>
      <c r="F2610" s="27">
        <v>5093.22</v>
      </c>
      <c r="G2610" s="27">
        <v>202.28</v>
      </c>
      <c r="H2610" s="27">
        <v>213.4</v>
      </c>
      <c r="I2610" s="27">
        <v>998.92</v>
      </c>
      <c r="J2610" s="27">
        <v>15080.12</v>
      </c>
      <c r="K2610" s="47">
        <f t="shared" si="321"/>
        <v>0.55338153807794621</v>
      </c>
      <c r="L2610" s="47">
        <f t="shared" si="322"/>
        <v>0.33774399673212152</v>
      </c>
      <c r="M2610" s="84">
        <f t="shared" si="323"/>
        <v>0.89112553481006773</v>
      </c>
      <c r="N2610" s="47">
        <f t="shared" si="324"/>
        <v>1.3413686363238489E-2</v>
      </c>
      <c r="O2610" s="47">
        <f t="shared" si="325"/>
        <v>1.4151081025880431E-2</v>
      </c>
      <c r="P2610" s="47">
        <f t="shared" si="326"/>
        <v>6.6240852194810115E-2</v>
      </c>
      <c r="Q2610" s="47">
        <f t="shared" si="327"/>
        <v>1</v>
      </c>
    </row>
    <row r="2611" spans="1:17" x14ac:dyDescent="0.35">
      <c r="A2611" s="82">
        <v>2608</v>
      </c>
      <c r="B2611" s="83" t="str">
        <f>_xlfn.XLOOKUP(A2611,'TAZs by City - CCAG Model'!$A:$A,'TAZs by City - CCAG Model'!$B:$B,"Unknown")</f>
        <v>Vacaville</v>
      </c>
      <c r="C2611" s="82">
        <f>_xlfn.XLOOKUP(A2611,'TAZs by City - CCAG Model'!$A:$A,'TAZs by City - CCAG Model'!$C:$C,999)</f>
        <v>6</v>
      </c>
      <c r="D2611" s="82" t="str">
        <f t="shared" si="320"/>
        <v>NO</v>
      </c>
      <c r="E2611" s="27">
        <v>8891.34</v>
      </c>
      <c r="F2611" s="27">
        <v>5480.52</v>
      </c>
      <c r="G2611" s="27">
        <v>297.89999999999998</v>
      </c>
      <c r="H2611" s="27">
        <v>228.48</v>
      </c>
      <c r="I2611" s="27">
        <v>1067.3599999999999</v>
      </c>
      <c r="J2611" s="27">
        <v>16289.34</v>
      </c>
      <c r="K2611" s="47">
        <f t="shared" si="321"/>
        <v>0.5458379529189028</v>
      </c>
      <c r="L2611" s="47">
        <f t="shared" si="322"/>
        <v>0.33644825388873956</v>
      </c>
      <c r="M2611" s="84">
        <f t="shared" si="323"/>
        <v>0.88228620680764236</v>
      </c>
      <c r="N2611" s="47">
        <f t="shared" si="324"/>
        <v>1.8288033769323985E-2</v>
      </c>
      <c r="O2611" s="47">
        <f t="shared" si="325"/>
        <v>1.402635097554597E-2</v>
      </c>
      <c r="P2611" s="47">
        <f t="shared" si="326"/>
        <v>6.5525061174977001E-2</v>
      </c>
      <c r="Q2611" s="47">
        <f t="shared" si="327"/>
        <v>1</v>
      </c>
    </row>
    <row r="2612" spans="1:17" x14ac:dyDescent="0.35">
      <c r="A2612" s="82">
        <v>2609</v>
      </c>
      <c r="B2612" s="83" t="str">
        <f>_xlfn.XLOOKUP(A2612,'TAZs by City - CCAG Model'!$A:$A,'TAZs by City - CCAG Model'!$B:$B,"Unknown")</f>
        <v>Vacaville</v>
      </c>
      <c r="C2612" s="82">
        <f>_xlfn.XLOOKUP(A2612,'TAZs by City - CCAG Model'!$A:$A,'TAZs by City - CCAG Model'!$C:$C,999)</f>
        <v>6</v>
      </c>
      <c r="D2612" s="82" t="str">
        <f t="shared" si="320"/>
        <v>NO</v>
      </c>
      <c r="E2612" s="27">
        <v>10996.9</v>
      </c>
      <c r="F2612" s="27">
        <v>8081.2</v>
      </c>
      <c r="G2612" s="27">
        <v>333.78</v>
      </c>
      <c r="H2612" s="27">
        <v>274.62</v>
      </c>
      <c r="I2612" s="27">
        <v>1189.68</v>
      </c>
      <c r="J2612" s="27">
        <v>21232.68</v>
      </c>
      <c r="K2612" s="47">
        <f t="shared" si="321"/>
        <v>0.51792331443793249</v>
      </c>
      <c r="L2612" s="47">
        <f t="shared" si="322"/>
        <v>0.38060197770606441</v>
      </c>
      <c r="M2612" s="84">
        <f t="shared" si="323"/>
        <v>0.89852529214399679</v>
      </c>
      <c r="N2612" s="47">
        <f t="shared" si="324"/>
        <v>1.5720106929506778E-2</v>
      </c>
      <c r="O2612" s="47">
        <f t="shared" si="325"/>
        <v>1.2933835954764071E-2</v>
      </c>
      <c r="P2612" s="47">
        <f t="shared" si="326"/>
        <v>5.6030609419065333E-2</v>
      </c>
      <c r="Q2612" s="47">
        <f t="shared" si="327"/>
        <v>1</v>
      </c>
    </row>
    <row r="2613" spans="1:17" x14ac:dyDescent="0.35">
      <c r="A2613" s="82">
        <v>2610</v>
      </c>
      <c r="B2613" s="83" t="str">
        <f>_xlfn.XLOOKUP(A2613,'TAZs by City - CCAG Model'!$A:$A,'TAZs by City - CCAG Model'!$B:$B,"Unknown")</f>
        <v>Vacaville</v>
      </c>
      <c r="C2613" s="82">
        <f>_xlfn.XLOOKUP(A2613,'TAZs by City - CCAG Model'!$A:$A,'TAZs by City - CCAG Model'!$C:$C,999)</f>
        <v>6</v>
      </c>
      <c r="D2613" s="82" t="str">
        <f t="shared" si="320"/>
        <v>NO</v>
      </c>
      <c r="E2613" s="27">
        <v>7100.4</v>
      </c>
      <c r="F2613" s="27">
        <v>4973.24</v>
      </c>
      <c r="G2613" s="27">
        <v>39.28</v>
      </c>
      <c r="H2613" s="27">
        <v>168.98</v>
      </c>
      <c r="I2613" s="27">
        <v>517.64</v>
      </c>
      <c r="J2613" s="27">
        <v>12863.68</v>
      </c>
      <c r="K2613" s="47">
        <f t="shared" si="321"/>
        <v>0.55197268588770865</v>
      </c>
      <c r="L2613" s="47">
        <f t="shared" si="322"/>
        <v>0.38661098534789418</v>
      </c>
      <c r="M2613" s="84">
        <f t="shared" si="323"/>
        <v>0.93858367123560282</v>
      </c>
      <c r="N2613" s="47">
        <f t="shared" si="324"/>
        <v>3.0535585462324933E-3</v>
      </c>
      <c r="O2613" s="47">
        <f t="shared" si="325"/>
        <v>1.3136209855966564E-2</v>
      </c>
      <c r="P2613" s="47">
        <f t="shared" si="326"/>
        <v>4.0240428866389712E-2</v>
      </c>
      <c r="Q2613" s="47">
        <f t="shared" si="327"/>
        <v>1</v>
      </c>
    </row>
    <row r="2614" spans="1:17" x14ac:dyDescent="0.35">
      <c r="A2614" s="82">
        <v>2611</v>
      </c>
      <c r="B2614" s="83" t="str">
        <f>_xlfn.XLOOKUP(A2614,'TAZs by City - CCAG Model'!$A:$A,'TAZs by City - CCAG Model'!$B:$B,"Unknown")</f>
        <v>Unincorporated</v>
      </c>
      <c r="C2614" s="82">
        <f>_xlfn.XLOOKUP(A2614,'TAZs by City - CCAG Model'!$A:$A,'TAZs by City - CCAG Model'!$C:$C,999)</f>
        <v>6</v>
      </c>
      <c r="D2614" s="82" t="str">
        <f t="shared" si="320"/>
        <v>NO</v>
      </c>
      <c r="E2614" s="27">
        <v>28427.200000000001</v>
      </c>
      <c r="F2614" s="27">
        <v>13960.34</v>
      </c>
      <c r="G2614" s="27">
        <v>258.14</v>
      </c>
      <c r="H2614" s="27">
        <v>311.27999999999997</v>
      </c>
      <c r="I2614" s="27">
        <v>1828</v>
      </c>
      <c r="J2614" s="27">
        <v>45066.22</v>
      </c>
      <c r="K2614" s="47">
        <f t="shared" si="321"/>
        <v>0.63078731697488721</v>
      </c>
      <c r="L2614" s="47">
        <f t="shared" si="322"/>
        <v>0.30977392823272065</v>
      </c>
      <c r="M2614" s="84">
        <f t="shared" si="323"/>
        <v>0.94056124520760787</v>
      </c>
      <c r="N2614" s="47">
        <f t="shared" si="324"/>
        <v>5.7280153516314431E-3</v>
      </c>
      <c r="O2614" s="47">
        <f t="shared" si="325"/>
        <v>6.9071690503441372E-3</v>
      </c>
      <c r="P2614" s="47">
        <f t="shared" si="326"/>
        <v>4.0562532202612064E-2</v>
      </c>
      <c r="Q2614" s="47">
        <f t="shared" si="327"/>
        <v>1</v>
      </c>
    </row>
    <row r="2615" spans="1:17" x14ac:dyDescent="0.35">
      <c r="A2615" s="82">
        <v>2612</v>
      </c>
      <c r="B2615" s="83" t="str">
        <f>_xlfn.XLOOKUP(A2615,'TAZs by City - CCAG Model'!$A:$A,'TAZs by City - CCAG Model'!$B:$B,"Unknown")</f>
        <v>Vacaville</v>
      </c>
      <c r="C2615" s="82">
        <f>_xlfn.XLOOKUP(A2615,'TAZs by City - CCAG Model'!$A:$A,'TAZs by City - CCAG Model'!$C:$C,999)</f>
        <v>6</v>
      </c>
      <c r="D2615" s="82" t="str">
        <f t="shared" si="320"/>
        <v>NO</v>
      </c>
      <c r="E2615" s="27">
        <v>41501</v>
      </c>
      <c r="F2615" s="27">
        <v>22972.44</v>
      </c>
      <c r="G2615" s="27">
        <v>1310.1199999999999</v>
      </c>
      <c r="H2615" s="27">
        <v>827.9</v>
      </c>
      <c r="I2615" s="27">
        <v>5258.82</v>
      </c>
      <c r="J2615" s="27">
        <v>73204.62</v>
      </c>
      <c r="K2615" s="47">
        <f t="shared" si="321"/>
        <v>0.56691777103685537</v>
      </c>
      <c r="L2615" s="47">
        <f t="shared" si="322"/>
        <v>0.3138113414153369</v>
      </c>
      <c r="M2615" s="84">
        <f t="shared" si="323"/>
        <v>0.88072911245219232</v>
      </c>
      <c r="N2615" s="47">
        <f t="shared" si="324"/>
        <v>1.7896684662798604E-2</v>
      </c>
      <c r="O2615" s="47">
        <f t="shared" si="325"/>
        <v>1.1309395499901509E-2</v>
      </c>
      <c r="P2615" s="47">
        <f t="shared" si="326"/>
        <v>7.1837269287102379E-2</v>
      </c>
      <c r="Q2615" s="47">
        <f t="shared" si="327"/>
        <v>1</v>
      </c>
    </row>
    <row r="2616" spans="1:17" x14ac:dyDescent="0.35">
      <c r="A2616" s="82">
        <v>2613</v>
      </c>
      <c r="B2616" s="83" t="str">
        <f>_xlfn.XLOOKUP(A2616,'TAZs by City - CCAG Model'!$A:$A,'TAZs by City - CCAG Model'!$B:$B,"Unknown")</f>
        <v>Vacaville</v>
      </c>
      <c r="C2616" s="82">
        <f>_xlfn.XLOOKUP(A2616,'TAZs by City - CCAG Model'!$A:$A,'TAZs by City - CCAG Model'!$C:$C,999)</f>
        <v>6</v>
      </c>
      <c r="D2616" s="82" t="str">
        <f t="shared" si="320"/>
        <v>NO</v>
      </c>
      <c r="E2616" s="27">
        <v>18561.099999999999</v>
      </c>
      <c r="F2616" s="27">
        <v>10649.4</v>
      </c>
      <c r="G2616" s="27">
        <v>597.08000000000004</v>
      </c>
      <c r="H2616" s="27">
        <v>470.98</v>
      </c>
      <c r="I2616" s="27">
        <v>2321.54</v>
      </c>
      <c r="J2616" s="27">
        <v>33227.74</v>
      </c>
      <c r="K2616" s="47">
        <f t="shared" si="321"/>
        <v>0.55860254112979091</v>
      </c>
      <c r="L2616" s="47">
        <f t="shared" si="322"/>
        <v>0.3204972712558844</v>
      </c>
      <c r="M2616" s="84">
        <f t="shared" si="323"/>
        <v>0.87909981238567536</v>
      </c>
      <c r="N2616" s="47">
        <f t="shared" si="324"/>
        <v>1.7969323222102981E-2</v>
      </c>
      <c r="O2616" s="47">
        <f t="shared" si="325"/>
        <v>1.4174301351822304E-2</v>
      </c>
      <c r="P2616" s="47">
        <f t="shared" si="326"/>
        <v>6.986752634997144E-2</v>
      </c>
      <c r="Q2616" s="47">
        <f t="shared" si="327"/>
        <v>1</v>
      </c>
    </row>
    <row r="2617" spans="1:17" x14ac:dyDescent="0.35">
      <c r="A2617" s="82">
        <v>2614</v>
      </c>
      <c r="B2617" s="83" t="str">
        <f>_xlfn.XLOOKUP(A2617,'TAZs by City - CCAG Model'!$A:$A,'TAZs by City - CCAG Model'!$B:$B,"Unknown")</f>
        <v>Vacaville</v>
      </c>
      <c r="C2617" s="82">
        <f>_xlfn.XLOOKUP(A2617,'TAZs by City - CCAG Model'!$A:$A,'TAZs by City - CCAG Model'!$C:$C,999)</f>
        <v>6</v>
      </c>
      <c r="D2617" s="82" t="str">
        <f t="shared" si="320"/>
        <v>NO</v>
      </c>
      <c r="E2617" s="27">
        <v>30598.959999999999</v>
      </c>
      <c r="F2617" s="27">
        <v>21342.28</v>
      </c>
      <c r="G2617" s="27">
        <v>737.88</v>
      </c>
      <c r="H2617" s="27">
        <v>716.16</v>
      </c>
      <c r="I2617" s="27">
        <v>3521.14</v>
      </c>
      <c r="J2617" s="27">
        <v>57682.080000000002</v>
      </c>
      <c r="K2617" s="47">
        <f t="shared" si="321"/>
        <v>0.53047601612147133</v>
      </c>
      <c r="L2617" s="47">
        <f t="shared" si="322"/>
        <v>0.36999844665795684</v>
      </c>
      <c r="M2617" s="84">
        <f t="shared" si="323"/>
        <v>0.90047446277942811</v>
      </c>
      <c r="N2617" s="47">
        <f t="shared" si="324"/>
        <v>1.2792187799053016E-2</v>
      </c>
      <c r="O2617" s="47">
        <f t="shared" si="325"/>
        <v>1.2415641044844428E-2</v>
      </c>
      <c r="P2617" s="47">
        <f t="shared" si="326"/>
        <v>6.1043915198619743E-2</v>
      </c>
      <c r="Q2617" s="47">
        <f t="shared" si="327"/>
        <v>1</v>
      </c>
    </row>
    <row r="2618" spans="1:17" x14ac:dyDescent="0.35">
      <c r="A2618" s="82">
        <v>2615</v>
      </c>
      <c r="B2618" s="83" t="str">
        <f>_xlfn.XLOOKUP(A2618,'TAZs by City - CCAG Model'!$A:$A,'TAZs by City - CCAG Model'!$B:$B,"Unknown")</f>
        <v>Vacaville</v>
      </c>
      <c r="C2618" s="82">
        <f>_xlfn.XLOOKUP(A2618,'TAZs by City - CCAG Model'!$A:$A,'TAZs by City - CCAG Model'!$C:$C,999)</f>
        <v>6</v>
      </c>
      <c r="D2618" s="82" t="str">
        <f t="shared" si="320"/>
        <v>NO</v>
      </c>
      <c r="E2618" s="27">
        <v>13661.42</v>
      </c>
      <c r="F2618" s="27">
        <v>8564.06</v>
      </c>
      <c r="G2618" s="27">
        <v>597.66</v>
      </c>
      <c r="H2618" s="27">
        <v>326.72000000000003</v>
      </c>
      <c r="I2618" s="27">
        <v>1454.44</v>
      </c>
      <c r="J2618" s="27">
        <v>25229.46</v>
      </c>
      <c r="K2618" s="47">
        <f t="shared" si="321"/>
        <v>0.54148681739521975</v>
      </c>
      <c r="L2618" s="47">
        <f t="shared" si="322"/>
        <v>0.33944682129542209</v>
      </c>
      <c r="M2618" s="84">
        <f t="shared" si="323"/>
        <v>0.88093363869064178</v>
      </c>
      <c r="N2618" s="47">
        <f t="shared" si="324"/>
        <v>2.3688973129032488E-2</v>
      </c>
      <c r="O2618" s="47">
        <f t="shared" si="325"/>
        <v>1.2949940268241969E-2</v>
      </c>
      <c r="P2618" s="47">
        <f t="shared" si="326"/>
        <v>5.7648479198524269E-2</v>
      </c>
      <c r="Q2618" s="47">
        <f t="shared" si="327"/>
        <v>1</v>
      </c>
    </row>
    <row r="2619" spans="1:17" x14ac:dyDescent="0.35">
      <c r="A2619" s="82">
        <v>2616</v>
      </c>
      <c r="B2619" s="83" t="str">
        <f>_xlfn.XLOOKUP(A2619,'TAZs by City - CCAG Model'!$A:$A,'TAZs by City - CCAG Model'!$B:$B,"Unknown")</f>
        <v>Vacaville</v>
      </c>
      <c r="C2619" s="82">
        <f>_xlfn.XLOOKUP(A2619,'TAZs by City - CCAG Model'!$A:$A,'TAZs by City - CCAG Model'!$C:$C,999)</f>
        <v>6</v>
      </c>
      <c r="D2619" s="82" t="str">
        <f t="shared" si="320"/>
        <v>NO</v>
      </c>
      <c r="E2619" s="27">
        <v>29344.62</v>
      </c>
      <c r="F2619" s="27">
        <v>14609</v>
      </c>
      <c r="G2619" s="27">
        <v>746.02</v>
      </c>
      <c r="H2619" s="27">
        <v>521.72</v>
      </c>
      <c r="I2619" s="27">
        <v>4247.84</v>
      </c>
      <c r="J2619" s="27">
        <v>50244.26</v>
      </c>
      <c r="K2619" s="47">
        <f t="shared" si="321"/>
        <v>0.58403925144882218</v>
      </c>
      <c r="L2619" s="47">
        <f t="shared" si="322"/>
        <v>0.29075958129346513</v>
      </c>
      <c r="M2619" s="84">
        <f t="shared" si="323"/>
        <v>0.8747988327422872</v>
      </c>
      <c r="N2619" s="47">
        <f t="shared" si="324"/>
        <v>1.484786520888157E-2</v>
      </c>
      <c r="O2619" s="47">
        <f t="shared" si="325"/>
        <v>1.0383673677351404E-2</v>
      </c>
      <c r="P2619" s="47">
        <f t="shared" si="326"/>
        <v>8.4543786693246151E-2</v>
      </c>
      <c r="Q2619" s="47">
        <f t="shared" si="327"/>
        <v>1</v>
      </c>
    </row>
    <row r="2620" spans="1:17" x14ac:dyDescent="0.35">
      <c r="A2620" s="82">
        <v>2617</v>
      </c>
      <c r="B2620" s="83" t="str">
        <f>_xlfn.XLOOKUP(A2620,'TAZs by City - CCAG Model'!$A:$A,'TAZs by City - CCAG Model'!$B:$B,"Unknown")</f>
        <v>Vacaville</v>
      </c>
      <c r="C2620" s="82">
        <f>_xlfn.XLOOKUP(A2620,'TAZs by City - CCAG Model'!$A:$A,'TAZs by City - CCAG Model'!$C:$C,999)</f>
        <v>6</v>
      </c>
      <c r="D2620" s="82" t="str">
        <f t="shared" si="320"/>
        <v>NO</v>
      </c>
      <c r="E2620" s="27">
        <v>11383.44</v>
      </c>
      <c r="F2620" s="27">
        <v>7131.14</v>
      </c>
      <c r="G2620" s="27">
        <v>224.14</v>
      </c>
      <c r="H2620" s="27">
        <v>221.8</v>
      </c>
      <c r="I2620" s="27">
        <v>745.1</v>
      </c>
      <c r="J2620" s="27">
        <v>19954.02</v>
      </c>
      <c r="K2620" s="47">
        <f t="shared" si="321"/>
        <v>0.57048354166228155</v>
      </c>
      <c r="L2620" s="47">
        <f t="shared" si="322"/>
        <v>0.35737861343228083</v>
      </c>
      <c r="M2620" s="84">
        <f t="shared" si="323"/>
        <v>0.92786215509456249</v>
      </c>
      <c r="N2620" s="47">
        <f t="shared" si="324"/>
        <v>1.1232824262980591E-2</v>
      </c>
      <c r="O2620" s="47">
        <f t="shared" si="325"/>
        <v>1.1115554660163717E-2</v>
      </c>
      <c r="P2620" s="47">
        <f t="shared" si="326"/>
        <v>3.7340846606347997E-2</v>
      </c>
      <c r="Q2620" s="47">
        <f t="shared" si="327"/>
        <v>1</v>
      </c>
    </row>
    <row r="2621" spans="1:17" x14ac:dyDescent="0.35">
      <c r="A2621" s="82">
        <v>2618</v>
      </c>
      <c r="B2621" s="83" t="str">
        <f>_xlfn.XLOOKUP(A2621,'TAZs by City - CCAG Model'!$A:$A,'TAZs by City - CCAG Model'!$B:$B,"Unknown")</f>
        <v>Unincorporated</v>
      </c>
      <c r="C2621" s="82">
        <f>_xlfn.XLOOKUP(A2621,'TAZs by City - CCAG Model'!$A:$A,'TAZs by City - CCAG Model'!$C:$C,999)</f>
        <v>6</v>
      </c>
      <c r="D2621" s="82" t="str">
        <f t="shared" si="320"/>
        <v>NO</v>
      </c>
      <c r="E2621" s="27">
        <v>10298.44</v>
      </c>
      <c r="F2621" s="27">
        <v>6472.54</v>
      </c>
      <c r="G2621" s="27">
        <v>0</v>
      </c>
      <c r="H2621" s="27">
        <v>122.66</v>
      </c>
      <c r="I2621" s="27">
        <v>610.48</v>
      </c>
      <c r="J2621" s="27">
        <v>17528.36</v>
      </c>
      <c r="K2621" s="47">
        <f t="shared" si="321"/>
        <v>0.58753015113792739</v>
      </c>
      <c r="L2621" s="47">
        <f t="shared" si="322"/>
        <v>0.36926101472128597</v>
      </c>
      <c r="M2621" s="84">
        <f t="shared" si="323"/>
        <v>0.9567911658592132</v>
      </c>
      <c r="N2621" s="47">
        <f t="shared" si="324"/>
        <v>0</v>
      </c>
      <c r="O2621" s="47">
        <f t="shared" si="325"/>
        <v>6.9978024184806789E-3</v>
      </c>
      <c r="P2621" s="47">
        <f t="shared" si="326"/>
        <v>3.4828129956253749E-2</v>
      </c>
      <c r="Q2621" s="47">
        <f t="shared" si="327"/>
        <v>1</v>
      </c>
    </row>
    <row r="2622" spans="1:17" x14ac:dyDescent="0.35">
      <c r="A2622" s="82">
        <v>2619</v>
      </c>
      <c r="B2622" s="83" t="str">
        <f>_xlfn.XLOOKUP(A2622,'TAZs by City - CCAG Model'!$A:$A,'TAZs by City - CCAG Model'!$B:$B,"Unknown")</f>
        <v>Unincorporated</v>
      </c>
      <c r="C2622" s="82">
        <f>_xlfn.XLOOKUP(A2622,'TAZs by City - CCAG Model'!$A:$A,'TAZs by City - CCAG Model'!$C:$C,999)</f>
        <v>6</v>
      </c>
      <c r="D2622" s="82" t="str">
        <f t="shared" si="320"/>
        <v>NO</v>
      </c>
      <c r="E2622" s="27">
        <v>9744.86</v>
      </c>
      <c r="F2622" s="27">
        <v>5694.1</v>
      </c>
      <c r="G2622" s="27">
        <v>0</v>
      </c>
      <c r="H2622" s="27">
        <v>36.94</v>
      </c>
      <c r="I2622" s="27">
        <v>601.67999999999995</v>
      </c>
      <c r="J2622" s="27">
        <v>16104.02</v>
      </c>
      <c r="K2622" s="47">
        <f t="shared" si="321"/>
        <v>0.60511971544993115</v>
      </c>
      <c r="L2622" s="47">
        <f t="shared" si="322"/>
        <v>0.35358252163124487</v>
      </c>
      <c r="M2622" s="84">
        <f t="shared" si="323"/>
        <v>0.95870223708117608</v>
      </c>
      <c r="N2622" s="47">
        <f t="shared" si="324"/>
        <v>0</v>
      </c>
      <c r="O2622" s="47">
        <f t="shared" si="325"/>
        <v>2.2938371909622564E-3</v>
      </c>
      <c r="P2622" s="47">
        <f t="shared" si="326"/>
        <v>3.7362099649652689E-2</v>
      </c>
      <c r="Q2622" s="47">
        <f t="shared" si="327"/>
        <v>1</v>
      </c>
    </row>
    <row r="2623" spans="1:17" x14ac:dyDescent="0.35">
      <c r="A2623" s="82">
        <v>2620</v>
      </c>
      <c r="B2623" s="83" t="str">
        <f>_xlfn.XLOOKUP(A2623,'TAZs by City - CCAG Model'!$A:$A,'TAZs by City - CCAG Model'!$B:$B,"Unknown")</f>
        <v>Dixon</v>
      </c>
      <c r="C2623" s="82">
        <f>_xlfn.XLOOKUP(A2623,'TAZs by City - CCAG Model'!$A:$A,'TAZs by City - CCAG Model'!$C:$C,999)</f>
        <v>6</v>
      </c>
      <c r="D2623" s="82" t="str">
        <f t="shared" si="320"/>
        <v>NO</v>
      </c>
      <c r="E2623" s="27">
        <v>24698.86</v>
      </c>
      <c r="F2623" s="27">
        <v>17140.2</v>
      </c>
      <c r="G2623" s="27">
        <v>0</v>
      </c>
      <c r="H2623" s="27">
        <v>326.39999999999998</v>
      </c>
      <c r="I2623" s="27">
        <v>6514.58</v>
      </c>
      <c r="J2623" s="27">
        <v>48701.279999999999</v>
      </c>
      <c r="K2623" s="47">
        <f t="shared" si="321"/>
        <v>0.50715012007897942</v>
      </c>
      <c r="L2623" s="47">
        <f t="shared" si="322"/>
        <v>0.3519455751471009</v>
      </c>
      <c r="M2623" s="84">
        <f t="shared" si="323"/>
        <v>0.85909569522608031</v>
      </c>
      <c r="N2623" s="47">
        <f t="shared" si="324"/>
        <v>0</v>
      </c>
      <c r="O2623" s="47">
        <f t="shared" si="325"/>
        <v>6.7020825735997084E-3</v>
      </c>
      <c r="P2623" s="47">
        <f t="shared" si="326"/>
        <v>0.13376609403284678</v>
      </c>
      <c r="Q2623" s="47">
        <f t="shared" si="327"/>
        <v>1</v>
      </c>
    </row>
    <row r="2624" spans="1:17" x14ac:dyDescent="0.35">
      <c r="A2624" s="82">
        <v>2621</v>
      </c>
      <c r="B2624" s="83" t="str">
        <f>_xlfn.XLOOKUP(A2624,'TAZs by City - CCAG Model'!$A:$A,'TAZs by City - CCAG Model'!$B:$B,"Unknown")</f>
        <v>Dixon</v>
      </c>
      <c r="C2624" s="82">
        <f>_xlfn.XLOOKUP(A2624,'TAZs by City - CCAG Model'!$A:$A,'TAZs by City - CCAG Model'!$C:$C,999)</f>
        <v>6</v>
      </c>
      <c r="D2624" s="82" t="str">
        <f t="shared" si="320"/>
        <v>NO</v>
      </c>
      <c r="E2624" s="27">
        <v>18814.02</v>
      </c>
      <c r="F2624" s="27">
        <v>11550.04</v>
      </c>
      <c r="G2624" s="27">
        <v>191.74</v>
      </c>
      <c r="H2624" s="27">
        <v>220.54</v>
      </c>
      <c r="I2624" s="27">
        <v>3757.9</v>
      </c>
      <c r="J2624" s="27">
        <v>34753.42</v>
      </c>
      <c r="K2624" s="47">
        <f t="shared" si="321"/>
        <v>0.54135736856976957</v>
      </c>
      <c r="L2624" s="47">
        <f t="shared" si="322"/>
        <v>0.33234254355398696</v>
      </c>
      <c r="M2624" s="84">
        <f t="shared" si="323"/>
        <v>0.87369991212375653</v>
      </c>
      <c r="N2624" s="47">
        <f t="shared" si="324"/>
        <v>5.5171548584283222E-3</v>
      </c>
      <c r="O2624" s="47">
        <f t="shared" si="325"/>
        <v>6.3458502789078023E-3</v>
      </c>
      <c r="P2624" s="47">
        <f t="shared" si="326"/>
        <v>0.10813036529930005</v>
      </c>
      <c r="Q2624" s="47">
        <f t="shared" si="327"/>
        <v>1</v>
      </c>
    </row>
    <row r="2625" spans="1:17" x14ac:dyDescent="0.35">
      <c r="A2625" s="82">
        <v>2622</v>
      </c>
      <c r="B2625" s="83" t="str">
        <f>_xlfn.XLOOKUP(A2625,'TAZs by City - CCAG Model'!$A:$A,'TAZs by City - CCAG Model'!$B:$B,"Unknown")</f>
        <v>Unincorporated</v>
      </c>
      <c r="C2625" s="82">
        <f>_xlfn.XLOOKUP(A2625,'TAZs by City - CCAG Model'!$A:$A,'TAZs by City - CCAG Model'!$C:$C,999)</f>
        <v>6</v>
      </c>
      <c r="D2625" s="82" t="str">
        <f t="shared" si="320"/>
        <v>NO</v>
      </c>
      <c r="E2625" s="27">
        <v>19806.400000000001</v>
      </c>
      <c r="F2625" s="27">
        <v>11731.28</v>
      </c>
      <c r="G2625" s="27">
        <v>118.58</v>
      </c>
      <c r="H2625" s="27">
        <v>268</v>
      </c>
      <c r="I2625" s="27">
        <v>9158.52</v>
      </c>
      <c r="J2625" s="27">
        <v>41228.720000000001</v>
      </c>
      <c r="K2625" s="47">
        <f t="shared" si="321"/>
        <v>0.48040298122279812</v>
      </c>
      <c r="L2625" s="47">
        <f t="shared" si="322"/>
        <v>0.28454145556786631</v>
      </c>
      <c r="M2625" s="84">
        <f t="shared" si="323"/>
        <v>0.76494443679066437</v>
      </c>
      <c r="N2625" s="47">
        <f t="shared" si="324"/>
        <v>2.876150411654788E-3</v>
      </c>
      <c r="O2625" s="47">
        <f t="shared" si="325"/>
        <v>6.5003230757588399E-3</v>
      </c>
      <c r="P2625" s="47">
        <f t="shared" si="326"/>
        <v>0.22213932423805541</v>
      </c>
      <c r="Q2625" s="47">
        <f t="shared" si="327"/>
        <v>1</v>
      </c>
    </row>
    <row r="2626" spans="1:17" x14ac:dyDescent="0.35">
      <c r="A2626" s="82">
        <v>2623</v>
      </c>
      <c r="B2626" s="83" t="str">
        <f>_xlfn.XLOOKUP(A2626,'TAZs by City - CCAG Model'!$A:$A,'TAZs by City - CCAG Model'!$B:$B,"Unknown")</f>
        <v>Unincorporated</v>
      </c>
      <c r="C2626" s="82">
        <f>_xlfn.XLOOKUP(A2626,'TAZs by City - CCAG Model'!$A:$A,'TAZs by City - CCAG Model'!$C:$C,999)</f>
        <v>7</v>
      </c>
      <c r="D2626" s="82" t="str">
        <f t="shared" si="320"/>
        <v>NO</v>
      </c>
      <c r="E2626" s="27">
        <v>21022.04</v>
      </c>
      <c r="F2626" s="27">
        <v>15577.16</v>
      </c>
      <c r="G2626" s="27">
        <v>859.28</v>
      </c>
      <c r="H2626" s="27">
        <v>122.46</v>
      </c>
      <c r="I2626" s="27">
        <v>2494.8000000000002</v>
      </c>
      <c r="J2626" s="27">
        <v>40961</v>
      </c>
      <c r="K2626" s="47">
        <f t="shared" si="321"/>
        <v>0.51322086863113692</v>
      </c>
      <c r="L2626" s="47">
        <f t="shared" si="322"/>
        <v>0.38029247332828786</v>
      </c>
      <c r="M2626" s="84">
        <f t="shared" si="323"/>
        <v>0.89351334195942478</v>
      </c>
      <c r="N2626" s="47">
        <f t="shared" si="324"/>
        <v>2.0978003466712237E-2</v>
      </c>
      <c r="O2626" s="47">
        <f t="shared" si="325"/>
        <v>2.9896731036839919E-3</v>
      </c>
      <c r="P2626" s="47">
        <f t="shared" si="326"/>
        <v>6.0906716144625381E-2</v>
      </c>
      <c r="Q2626" s="47">
        <f t="shared" si="327"/>
        <v>1</v>
      </c>
    </row>
    <row r="2627" spans="1:17" x14ac:dyDescent="0.35">
      <c r="A2627" s="82">
        <v>2624</v>
      </c>
      <c r="B2627" s="83" t="str">
        <f>_xlfn.XLOOKUP(A2627,'TAZs by City - CCAG Model'!$A:$A,'TAZs by City - CCAG Model'!$B:$B,"Unknown")</f>
        <v>Unincorporated</v>
      </c>
      <c r="C2627" s="82">
        <f>_xlfn.XLOOKUP(A2627,'TAZs by City - CCAG Model'!$A:$A,'TAZs by City - CCAG Model'!$C:$C,999)</f>
        <v>7</v>
      </c>
      <c r="D2627" s="82" t="str">
        <f t="shared" si="320"/>
        <v>NO</v>
      </c>
      <c r="E2627" s="27">
        <v>48733.18</v>
      </c>
      <c r="F2627" s="27">
        <v>24254.52</v>
      </c>
      <c r="G2627" s="27">
        <v>210.76</v>
      </c>
      <c r="H2627" s="27">
        <v>366.12</v>
      </c>
      <c r="I2627" s="27">
        <v>6461.14</v>
      </c>
      <c r="J2627" s="27">
        <v>80257.7</v>
      </c>
      <c r="K2627" s="47">
        <f t="shared" si="321"/>
        <v>0.60720877872154322</v>
      </c>
      <c r="L2627" s="47">
        <f t="shared" si="322"/>
        <v>0.3022080124399279</v>
      </c>
      <c r="M2627" s="84">
        <f t="shared" si="323"/>
        <v>0.90941679116147112</v>
      </c>
      <c r="N2627" s="47">
        <f t="shared" si="324"/>
        <v>2.6260408658608458E-3</v>
      </c>
      <c r="O2627" s="47">
        <f t="shared" si="325"/>
        <v>4.5618052847265752E-3</v>
      </c>
      <c r="P2627" s="47">
        <f t="shared" si="326"/>
        <v>8.0504923515126905E-2</v>
      </c>
      <c r="Q2627" s="47">
        <f t="shared" si="327"/>
        <v>1</v>
      </c>
    </row>
    <row r="2628" spans="1:17" x14ac:dyDescent="0.35">
      <c r="A2628" s="82">
        <v>2625</v>
      </c>
      <c r="B2628" s="83" t="str">
        <f>_xlfn.XLOOKUP(A2628,'TAZs by City - CCAG Model'!$A:$A,'TAZs by City - CCAG Model'!$B:$B,"Unknown")</f>
        <v>Unincorporated</v>
      </c>
      <c r="C2628" s="82">
        <f>_xlfn.XLOOKUP(A2628,'TAZs by City - CCAG Model'!$A:$A,'TAZs by City - CCAG Model'!$C:$C,999)</f>
        <v>7</v>
      </c>
      <c r="D2628" s="82" t="str">
        <f t="shared" si="320"/>
        <v>NO</v>
      </c>
      <c r="E2628" s="27">
        <v>14207.46</v>
      </c>
      <c r="F2628" s="27">
        <v>8673.3799999999992</v>
      </c>
      <c r="G2628" s="27">
        <v>336</v>
      </c>
      <c r="H2628" s="27">
        <v>272.88</v>
      </c>
      <c r="I2628" s="27">
        <v>1253.18</v>
      </c>
      <c r="J2628" s="27">
        <v>25099.24</v>
      </c>
      <c r="K2628" s="47">
        <f t="shared" si="321"/>
        <v>0.5660514023532186</v>
      </c>
      <c r="L2628" s="47">
        <f t="shared" si="322"/>
        <v>0.3455634513236257</v>
      </c>
      <c r="M2628" s="84">
        <f t="shared" si="323"/>
        <v>0.91161485367684425</v>
      </c>
      <c r="N2628" s="47">
        <f t="shared" si="324"/>
        <v>1.3386859522439723E-2</v>
      </c>
      <c r="O2628" s="47">
        <f t="shared" si="325"/>
        <v>1.087204234072426E-2</v>
      </c>
      <c r="P2628" s="47">
        <f t="shared" si="326"/>
        <v>4.992900183431849E-2</v>
      </c>
      <c r="Q2628" s="47">
        <f t="shared" si="327"/>
        <v>1</v>
      </c>
    </row>
    <row r="2629" spans="1:17" x14ac:dyDescent="0.35">
      <c r="A2629" s="82">
        <v>2626</v>
      </c>
      <c r="B2629" s="83" t="str">
        <f>_xlfn.XLOOKUP(A2629,'TAZs by City - CCAG Model'!$A:$A,'TAZs by City - CCAG Model'!$B:$B,"Unknown")</f>
        <v>Napa</v>
      </c>
      <c r="C2629" s="82">
        <f>_xlfn.XLOOKUP(A2629,'TAZs by City - CCAG Model'!$A:$A,'TAZs by City - CCAG Model'!$C:$C,999)</f>
        <v>7</v>
      </c>
      <c r="D2629" s="82" t="str">
        <f t="shared" ref="D2629:D2692" si="328">IF(C2629=2,"YES","NO")</f>
        <v>NO</v>
      </c>
      <c r="E2629" s="27">
        <v>11899.72</v>
      </c>
      <c r="F2629" s="27">
        <v>3122.64</v>
      </c>
      <c r="G2629" s="27">
        <v>520.62</v>
      </c>
      <c r="H2629" s="27">
        <v>195.74</v>
      </c>
      <c r="I2629" s="27">
        <v>763.4</v>
      </c>
      <c r="J2629" s="27">
        <v>17035.84</v>
      </c>
      <c r="K2629" s="47">
        <f t="shared" ref="K2629:K2692" si="329">IFERROR(E2629/$J2629,0)</f>
        <v>0.69851090407047722</v>
      </c>
      <c r="L2629" s="47">
        <f t="shared" ref="L2629:L2692" si="330">IFERROR(F2629/$J2629,0)</f>
        <v>0.18329827000018784</v>
      </c>
      <c r="M2629" s="84">
        <f t="shared" ref="M2629:M2692" si="331">IFERROR((E2629+F2629)/J2629,0)</f>
        <v>0.88180917407066506</v>
      </c>
      <c r="N2629" s="47">
        <f t="shared" ref="N2629:N2692" si="332">IFERROR(G2629/$J2629,0)</f>
        <v>3.0560277626462799E-2</v>
      </c>
      <c r="O2629" s="47">
        <f t="shared" ref="O2629:O2692" si="333">IFERROR(H2629/$J2629,0)</f>
        <v>1.148989424648271E-2</v>
      </c>
      <c r="P2629" s="47">
        <f t="shared" ref="P2629:P2692" si="334">IFERROR(I2629/$J2629,0)</f>
        <v>4.4811409358153163E-2</v>
      </c>
      <c r="Q2629" s="47">
        <f t="shared" ref="Q2629:Q2692" si="335">IFERROR(J2629/$J2629,0)</f>
        <v>1</v>
      </c>
    </row>
    <row r="2630" spans="1:17" x14ac:dyDescent="0.35">
      <c r="A2630" s="82">
        <v>2627</v>
      </c>
      <c r="B2630" s="83" t="str">
        <f>_xlfn.XLOOKUP(A2630,'TAZs by City - CCAG Model'!$A:$A,'TAZs by City - CCAG Model'!$B:$B,"Unknown")</f>
        <v>Napa</v>
      </c>
      <c r="C2630" s="82">
        <f>_xlfn.XLOOKUP(A2630,'TAZs by City - CCAG Model'!$A:$A,'TAZs by City - CCAG Model'!$C:$C,999)</f>
        <v>7</v>
      </c>
      <c r="D2630" s="82" t="str">
        <f t="shared" si="328"/>
        <v>NO</v>
      </c>
      <c r="E2630" s="27">
        <v>23387.98</v>
      </c>
      <c r="F2630" s="27">
        <v>14087.5</v>
      </c>
      <c r="G2630" s="27">
        <v>764.94</v>
      </c>
      <c r="H2630" s="27">
        <v>505.84</v>
      </c>
      <c r="I2630" s="27">
        <v>4175.78</v>
      </c>
      <c r="J2630" s="27">
        <v>43711.82</v>
      </c>
      <c r="K2630" s="47">
        <f t="shared" si="329"/>
        <v>0.53504932990664766</v>
      </c>
      <c r="L2630" s="47">
        <f t="shared" si="330"/>
        <v>0.32228125024306925</v>
      </c>
      <c r="M2630" s="84">
        <f t="shared" si="331"/>
        <v>0.85733058014971686</v>
      </c>
      <c r="N2630" s="47">
        <f t="shared" si="332"/>
        <v>1.7499614520740614E-2</v>
      </c>
      <c r="O2630" s="47">
        <f t="shared" si="333"/>
        <v>1.1572155998080152E-2</v>
      </c>
      <c r="P2630" s="47">
        <f t="shared" si="334"/>
        <v>9.5529767463354301E-2</v>
      </c>
      <c r="Q2630" s="47">
        <f t="shared" si="335"/>
        <v>1</v>
      </c>
    </row>
    <row r="2631" spans="1:17" x14ac:dyDescent="0.35">
      <c r="A2631" s="82">
        <v>2628</v>
      </c>
      <c r="B2631" s="83" t="str">
        <f>_xlfn.XLOOKUP(A2631,'TAZs by City - CCAG Model'!$A:$A,'TAZs by City - CCAG Model'!$B:$B,"Unknown")</f>
        <v>Unincorporated</v>
      </c>
      <c r="C2631" s="82">
        <f>_xlfn.XLOOKUP(A2631,'TAZs by City - CCAG Model'!$A:$A,'TAZs by City - CCAG Model'!$C:$C,999)</f>
        <v>7</v>
      </c>
      <c r="D2631" s="82" t="str">
        <f t="shared" si="328"/>
        <v>NO</v>
      </c>
      <c r="E2631" s="27">
        <v>10583.78</v>
      </c>
      <c r="F2631" s="27">
        <v>5995.38</v>
      </c>
      <c r="G2631" s="27">
        <v>276.22000000000003</v>
      </c>
      <c r="H2631" s="27">
        <v>229.76</v>
      </c>
      <c r="I2631" s="27">
        <v>1409.44</v>
      </c>
      <c r="J2631" s="27">
        <v>18789.68</v>
      </c>
      <c r="K2631" s="47">
        <f t="shared" si="329"/>
        <v>0.56327622396975363</v>
      </c>
      <c r="L2631" s="47">
        <f t="shared" si="330"/>
        <v>0.31907834513413746</v>
      </c>
      <c r="M2631" s="84">
        <f t="shared" si="331"/>
        <v>0.8823545691038911</v>
      </c>
      <c r="N2631" s="47">
        <f t="shared" si="332"/>
        <v>1.4700622895121153E-2</v>
      </c>
      <c r="O2631" s="47">
        <f t="shared" si="333"/>
        <v>1.2227988981185416E-2</v>
      </c>
      <c r="P2631" s="47">
        <f t="shared" si="334"/>
        <v>7.5011389230684081E-2</v>
      </c>
      <c r="Q2631" s="47">
        <f t="shared" si="335"/>
        <v>1</v>
      </c>
    </row>
    <row r="2632" spans="1:17" x14ac:dyDescent="0.35">
      <c r="A2632" s="82">
        <v>2629</v>
      </c>
      <c r="B2632" s="83" t="str">
        <f>_xlfn.XLOOKUP(A2632,'TAZs by City - CCAG Model'!$A:$A,'TAZs by City - CCAG Model'!$B:$B,"Unknown")</f>
        <v>Napa</v>
      </c>
      <c r="C2632" s="82">
        <f>_xlfn.XLOOKUP(A2632,'TAZs by City - CCAG Model'!$A:$A,'TAZs by City - CCAG Model'!$C:$C,999)</f>
        <v>7</v>
      </c>
      <c r="D2632" s="82" t="str">
        <f t="shared" si="328"/>
        <v>NO</v>
      </c>
      <c r="E2632" s="27">
        <v>25108.76</v>
      </c>
      <c r="F2632" s="27">
        <v>14999.82</v>
      </c>
      <c r="G2632" s="27">
        <v>759.92</v>
      </c>
      <c r="H2632" s="27">
        <v>699.3</v>
      </c>
      <c r="I2632" s="27">
        <v>5466.06</v>
      </c>
      <c r="J2632" s="27">
        <v>47819.839999999997</v>
      </c>
      <c r="K2632" s="47">
        <f t="shared" si="329"/>
        <v>0.5250699291340164</v>
      </c>
      <c r="L2632" s="47">
        <f t="shared" si="330"/>
        <v>0.31367357147159003</v>
      </c>
      <c r="M2632" s="84">
        <f t="shared" si="331"/>
        <v>0.83874350060560643</v>
      </c>
      <c r="N2632" s="47">
        <f t="shared" si="332"/>
        <v>1.5891312057924076E-2</v>
      </c>
      <c r="O2632" s="47">
        <f t="shared" si="333"/>
        <v>1.4623637385654155E-2</v>
      </c>
      <c r="P2632" s="47">
        <f t="shared" si="334"/>
        <v>0.11430527580184294</v>
      </c>
      <c r="Q2632" s="47">
        <f t="shared" si="335"/>
        <v>1</v>
      </c>
    </row>
    <row r="2633" spans="1:17" x14ac:dyDescent="0.35">
      <c r="A2633" s="82">
        <v>2630</v>
      </c>
      <c r="B2633" s="83" t="str">
        <f>_xlfn.XLOOKUP(A2633,'TAZs by City - CCAG Model'!$A:$A,'TAZs by City - CCAG Model'!$B:$B,"Unknown")</f>
        <v>Napa</v>
      </c>
      <c r="C2633" s="82">
        <f>_xlfn.XLOOKUP(A2633,'TAZs by City - CCAG Model'!$A:$A,'TAZs by City - CCAG Model'!$C:$C,999)</f>
        <v>7</v>
      </c>
      <c r="D2633" s="82" t="str">
        <f t="shared" si="328"/>
        <v>NO</v>
      </c>
      <c r="E2633" s="27">
        <v>16424.64</v>
      </c>
      <c r="F2633" s="27">
        <v>7351.98</v>
      </c>
      <c r="G2633" s="27">
        <v>468.4</v>
      </c>
      <c r="H2633" s="27">
        <v>327.5</v>
      </c>
      <c r="I2633" s="27">
        <v>2684.3</v>
      </c>
      <c r="J2633" s="27">
        <v>27745.119999999999</v>
      </c>
      <c r="K2633" s="47">
        <f t="shared" si="329"/>
        <v>0.59198302260001034</v>
      </c>
      <c r="L2633" s="47">
        <f t="shared" si="330"/>
        <v>0.2649828149959344</v>
      </c>
      <c r="M2633" s="84">
        <f t="shared" si="331"/>
        <v>0.8569658375959448</v>
      </c>
      <c r="N2633" s="47">
        <f t="shared" si="332"/>
        <v>1.688224812147145E-2</v>
      </c>
      <c r="O2633" s="47">
        <f t="shared" si="333"/>
        <v>1.1803877582796543E-2</v>
      </c>
      <c r="P2633" s="47">
        <f t="shared" si="334"/>
        <v>9.6748545329773311E-2</v>
      </c>
      <c r="Q2633" s="47">
        <f t="shared" si="335"/>
        <v>1</v>
      </c>
    </row>
    <row r="2634" spans="1:17" x14ac:dyDescent="0.35">
      <c r="A2634" s="82">
        <v>2631</v>
      </c>
      <c r="B2634" s="83" t="str">
        <f>_xlfn.XLOOKUP(A2634,'TAZs by City - CCAG Model'!$A:$A,'TAZs by City - CCAG Model'!$B:$B,"Unknown")</f>
        <v>Napa</v>
      </c>
      <c r="C2634" s="82">
        <f>_xlfn.XLOOKUP(A2634,'TAZs by City - CCAG Model'!$A:$A,'TAZs by City - CCAG Model'!$C:$C,999)</f>
        <v>7</v>
      </c>
      <c r="D2634" s="82" t="str">
        <f t="shared" si="328"/>
        <v>NO</v>
      </c>
      <c r="E2634" s="27">
        <v>40039.699999999997</v>
      </c>
      <c r="F2634" s="27">
        <v>16158.6</v>
      </c>
      <c r="G2634" s="27">
        <v>1222.2</v>
      </c>
      <c r="H2634" s="27">
        <v>676.04</v>
      </c>
      <c r="I2634" s="27">
        <v>6494.06</v>
      </c>
      <c r="J2634" s="27">
        <v>65835.14</v>
      </c>
      <c r="K2634" s="47">
        <f t="shared" si="329"/>
        <v>0.60818128434146257</v>
      </c>
      <c r="L2634" s="47">
        <f t="shared" si="330"/>
        <v>0.24544035297866762</v>
      </c>
      <c r="M2634" s="84">
        <f t="shared" si="331"/>
        <v>0.85362163732013019</v>
      </c>
      <c r="N2634" s="47">
        <f t="shared" si="332"/>
        <v>1.8564553823383682E-2</v>
      </c>
      <c r="O2634" s="47">
        <f t="shared" si="333"/>
        <v>1.0268680221535187E-2</v>
      </c>
      <c r="P2634" s="47">
        <f t="shared" si="334"/>
        <v>9.8641242351728886E-2</v>
      </c>
      <c r="Q2634" s="47">
        <f t="shared" si="335"/>
        <v>1</v>
      </c>
    </row>
    <row r="2635" spans="1:17" x14ac:dyDescent="0.35">
      <c r="A2635" s="82">
        <v>2632</v>
      </c>
      <c r="B2635" s="83" t="str">
        <f>_xlfn.XLOOKUP(A2635,'TAZs by City - CCAG Model'!$A:$A,'TAZs by City - CCAG Model'!$B:$B,"Unknown")</f>
        <v>Napa</v>
      </c>
      <c r="C2635" s="82">
        <f>_xlfn.XLOOKUP(A2635,'TAZs by City - CCAG Model'!$A:$A,'TAZs by City - CCAG Model'!$C:$C,999)</f>
        <v>7</v>
      </c>
      <c r="D2635" s="82" t="str">
        <f t="shared" si="328"/>
        <v>NO</v>
      </c>
      <c r="E2635" s="27">
        <v>5941.16</v>
      </c>
      <c r="F2635" s="27">
        <v>3710.42</v>
      </c>
      <c r="G2635" s="27">
        <v>110.8</v>
      </c>
      <c r="H2635" s="27">
        <v>168.5</v>
      </c>
      <c r="I2635" s="27">
        <v>843.38</v>
      </c>
      <c r="J2635" s="27">
        <v>10903.84</v>
      </c>
      <c r="K2635" s="47">
        <f t="shared" si="329"/>
        <v>0.54486859675123622</v>
      </c>
      <c r="L2635" s="47">
        <f t="shared" si="330"/>
        <v>0.34028562414708946</v>
      </c>
      <c r="M2635" s="84">
        <f t="shared" si="331"/>
        <v>0.88515422089832574</v>
      </c>
      <c r="N2635" s="47">
        <f t="shared" si="332"/>
        <v>1.0161557763136656E-2</v>
      </c>
      <c r="O2635" s="47">
        <f t="shared" si="333"/>
        <v>1.5453271508019194E-2</v>
      </c>
      <c r="P2635" s="47">
        <f t="shared" si="334"/>
        <v>7.7347063053016182E-2</v>
      </c>
      <c r="Q2635" s="47">
        <f t="shared" si="335"/>
        <v>1</v>
      </c>
    </row>
    <row r="2636" spans="1:17" x14ac:dyDescent="0.35">
      <c r="A2636" s="82">
        <v>2633</v>
      </c>
      <c r="B2636" s="83" t="str">
        <f>_xlfn.XLOOKUP(A2636,'TAZs by City - CCAG Model'!$A:$A,'TAZs by City - CCAG Model'!$B:$B,"Unknown")</f>
        <v>Napa</v>
      </c>
      <c r="C2636" s="82">
        <f>_xlfn.XLOOKUP(A2636,'TAZs by City - CCAG Model'!$A:$A,'TAZs by City - CCAG Model'!$C:$C,999)</f>
        <v>7</v>
      </c>
      <c r="D2636" s="82" t="str">
        <f t="shared" si="328"/>
        <v>NO</v>
      </c>
      <c r="E2636" s="27">
        <v>12490.46</v>
      </c>
      <c r="F2636" s="27">
        <v>6774.98</v>
      </c>
      <c r="G2636" s="27">
        <v>269.62</v>
      </c>
      <c r="H2636" s="27">
        <v>289.66000000000003</v>
      </c>
      <c r="I2636" s="27">
        <v>1762.24</v>
      </c>
      <c r="J2636" s="27">
        <v>21875.72</v>
      </c>
      <c r="K2636" s="47">
        <f t="shared" si="329"/>
        <v>0.57097366395254645</v>
      </c>
      <c r="L2636" s="47">
        <f t="shared" si="330"/>
        <v>0.30970317776969164</v>
      </c>
      <c r="M2636" s="84">
        <f t="shared" si="331"/>
        <v>0.88067684172223804</v>
      </c>
      <c r="N2636" s="47">
        <f t="shared" si="332"/>
        <v>1.2325080043079724E-2</v>
      </c>
      <c r="O2636" s="47">
        <f t="shared" si="333"/>
        <v>1.3241164176539104E-2</v>
      </c>
      <c r="P2636" s="47">
        <f t="shared" si="334"/>
        <v>8.0556891384603563E-2</v>
      </c>
      <c r="Q2636" s="47">
        <f t="shared" si="335"/>
        <v>1</v>
      </c>
    </row>
    <row r="2637" spans="1:17" x14ac:dyDescent="0.35">
      <c r="A2637" s="82">
        <v>2634</v>
      </c>
      <c r="B2637" s="83" t="str">
        <f>_xlfn.XLOOKUP(A2637,'TAZs by City - CCAG Model'!$A:$A,'TAZs by City - CCAG Model'!$B:$B,"Unknown")</f>
        <v>Unincorporated</v>
      </c>
      <c r="C2637" s="82">
        <f>_xlfn.XLOOKUP(A2637,'TAZs by City - CCAG Model'!$A:$A,'TAZs by City - CCAG Model'!$C:$C,999)</f>
        <v>7</v>
      </c>
      <c r="D2637" s="82" t="str">
        <f t="shared" si="328"/>
        <v>NO</v>
      </c>
      <c r="E2637" s="27">
        <v>15904.76</v>
      </c>
      <c r="F2637" s="27">
        <v>11988.44</v>
      </c>
      <c r="G2637" s="27">
        <v>324.26</v>
      </c>
      <c r="H2637" s="27">
        <v>424.14</v>
      </c>
      <c r="I2637" s="27">
        <v>1915.24</v>
      </c>
      <c r="J2637" s="27">
        <v>30900.48</v>
      </c>
      <c r="K2637" s="47">
        <f t="shared" si="329"/>
        <v>0.51470915662151528</v>
      </c>
      <c r="L2637" s="47">
        <f t="shared" si="330"/>
        <v>0.38796937782196267</v>
      </c>
      <c r="M2637" s="84">
        <f t="shared" si="331"/>
        <v>0.9026785344434779</v>
      </c>
      <c r="N2637" s="47">
        <f t="shared" si="332"/>
        <v>1.0493688123938527E-2</v>
      </c>
      <c r="O2637" s="47">
        <f t="shared" si="333"/>
        <v>1.3726000372809742E-2</v>
      </c>
      <c r="P2637" s="47">
        <f t="shared" si="334"/>
        <v>6.1980914212335862E-2</v>
      </c>
      <c r="Q2637" s="47">
        <f t="shared" si="335"/>
        <v>1</v>
      </c>
    </row>
    <row r="2638" spans="1:17" x14ac:dyDescent="0.35">
      <c r="A2638" s="82">
        <v>2635</v>
      </c>
      <c r="B2638" s="83" t="str">
        <f>_xlfn.XLOOKUP(A2638,'TAZs by City - CCAG Model'!$A:$A,'TAZs by City - CCAG Model'!$B:$B,"Unknown")</f>
        <v>Napa</v>
      </c>
      <c r="C2638" s="82">
        <f>_xlfn.XLOOKUP(A2638,'TAZs by City - CCAG Model'!$A:$A,'TAZs by City - CCAG Model'!$C:$C,999)</f>
        <v>7</v>
      </c>
      <c r="D2638" s="82" t="str">
        <f t="shared" si="328"/>
        <v>NO</v>
      </c>
      <c r="E2638" s="27">
        <v>6445.52</v>
      </c>
      <c r="F2638" s="27">
        <v>4500.04</v>
      </c>
      <c r="G2638" s="27">
        <v>131.58000000000001</v>
      </c>
      <c r="H2638" s="27">
        <v>139.36000000000001</v>
      </c>
      <c r="I2638" s="27">
        <v>475.5</v>
      </c>
      <c r="J2638" s="27">
        <v>11837.32</v>
      </c>
      <c r="K2638" s="47">
        <f t="shared" si="329"/>
        <v>0.54450838534397994</v>
      </c>
      <c r="L2638" s="47">
        <f t="shared" si="330"/>
        <v>0.38015699499548883</v>
      </c>
      <c r="M2638" s="84">
        <f t="shared" si="331"/>
        <v>0.92466538033946888</v>
      </c>
      <c r="N2638" s="47">
        <f t="shared" si="332"/>
        <v>1.1115691727519406E-2</v>
      </c>
      <c r="O2638" s="47">
        <f t="shared" si="333"/>
        <v>1.1772935090037273E-2</v>
      </c>
      <c r="P2638" s="47">
        <f t="shared" si="334"/>
        <v>4.0169565408386357E-2</v>
      </c>
      <c r="Q2638" s="47">
        <f t="shared" si="335"/>
        <v>1</v>
      </c>
    </row>
    <row r="2639" spans="1:17" x14ac:dyDescent="0.35">
      <c r="A2639" s="82">
        <v>2636</v>
      </c>
      <c r="B2639" s="83" t="str">
        <f>_xlfn.XLOOKUP(A2639,'TAZs by City - CCAG Model'!$A:$A,'TAZs by City - CCAG Model'!$B:$B,"Unknown")</f>
        <v>Napa</v>
      </c>
      <c r="C2639" s="82">
        <f>_xlfn.XLOOKUP(A2639,'TAZs by City - CCAG Model'!$A:$A,'TAZs by City - CCAG Model'!$C:$C,999)</f>
        <v>7</v>
      </c>
      <c r="D2639" s="82" t="str">
        <f t="shared" si="328"/>
        <v>NO</v>
      </c>
      <c r="E2639" s="27">
        <v>17347.68</v>
      </c>
      <c r="F2639" s="27">
        <v>10893.8</v>
      </c>
      <c r="G2639" s="27">
        <v>250.54</v>
      </c>
      <c r="H2639" s="27">
        <v>470.06</v>
      </c>
      <c r="I2639" s="27">
        <v>2468.3000000000002</v>
      </c>
      <c r="J2639" s="27">
        <v>31701.64</v>
      </c>
      <c r="K2639" s="47">
        <f t="shared" si="329"/>
        <v>0.54721711558140207</v>
      </c>
      <c r="L2639" s="47">
        <f t="shared" si="330"/>
        <v>0.34363521887195742</v>
      </c>
      <c r="M2639" s="84">
        <f t="shared" si="331"/>
        <v>0.89085233445335954</v>
      </c>
      <c r="N2639" s="47">
        <f t="shared" si="332"/>
        <v>7.9030611665516365E-3</v>
      </c>
      <c r="O2639" s="47">
        <f t="shared" si="333"/>
        <v>1.4827624059827821E-2</v>
      </c>
      <c r="P2639" s="47">
        <f t="shared" si="334"/>
        <v>7.786032520715018E-2</v>
      </c>
      <c r="Q2639" s="47">
        <f t="shared" si="335"/>
        <v>1</v>
      </c>
    </row>
    <row r="2640" spans="1:17" x14ac:dyDescent="0.35">
      <c r="A2640" s="82">
        <v>2637</v>
      </c>
      <c r="B2640" s="83" t="str">
        <f>_xlfn.XLOOKUP(A2640,'TAZs by City - CCAG Model'!$A:$A,'TAZs by City - CCAG Model'!$B:$B,"Unknown")</f>
        <v>Napa</v>
      </c>
      <c r="C2640" s="82">
        <f>_xlfn.XLOOKUP(A2640,'TAZs by City - CCAG Model'!$A:$A,'TAZs by City - CCAG Model'!$C:$C,999)</f>
        <v>7</v>
      </c>
      <c r="D2640" s="82" t="str">
        <f t="shared" si="328"/>
        <v>NO</v>
      </c>
      <c r="E2640" s="27">
        <v>22388.240000000002</v>
      </c>
      <c r="F2640" s="27">
        <v>12088.28</v>
      </c>
      <c r="G2640" s="27">
        <v>677.44</v>
      </c>
      <c r="H2640" s="27">
        <v>531.08000000000004</v>
      </c>
      <c r="I2640" s="27">
        <v>4803</v>
      </c>
      <c r="J2640" s="27">
        <v>41189.620000000003</v>
      </c>
      <c r="K2640" s="47">
        <f t="shared" si="329"/>
        <v>0.54354082412025162</v>
      </c>
      <c r="L2640" s="47">
        <f t="shared" si="330"/>
        <v>0.29347879392915011</v>
      </c>
      <c r="M2640" s="84">
        <f t="shared" si="331"/>
        <v>0.83701961804940184</v>
      </c>
      <c r="N2640" s="47">
        <f t="shared" si="332"/>
        <v>1.6446862097780946E-2</v>
      </c>
      <c r="O2640" s="47">
        <f t="shared" si="333"/>
        <v>1.2893539683056071E-2</v>
      </c>
      <c r="P2640" s="47">
        <f t="shared" si="334"/>
        <v>0.11660704808638681</v>
      </c>
      <c r="Q2640" s="47">
        <f t="shared" si="335"/>
        <v>1</v>
      </c>
    </row>
    <row r="2641" spans="1:17" x14ac:dyDescent="0.35">
      <c r="A2641" s="82">
        <v>2638</v>
      </c>
      <c r="B2641" s="83" t="str">
        <f>_xlfn.XLOOKUP(A2641,'TAZs by City - CCAG Model'!$A:$A,'TAZs by City - CCAG Model'!$B:$B,"Unknown")</f>
        <v>Napa</v>
      </c>
      <c r="C2641" s="82">
        <f>_xlfn.XLOOKUP(A2641,'TAZs by City - CCAG Model'!$A:$A,'TAZs by City - CCAG Model'!$C:$C,999)</f>
        <v>7</v>
      </c>
      <c r="D2641" s="82" t="str">
        <f t="shared" si="328"/>
        <v>NO</v>
      </c>
      <c r="E2641" s="27">
        <v>26756.240000000002</v>
      </c>
      <c r="F2641" s="27">
        <v>16283.44</v>
      </c>
      <c r="G2641" s="27">
        <v>841.46</v>
      </c>
      <c r="H2641" s="27">
        <v>605.78</v>
      </c>
      <c r="I2641" s="27">
        <v>4065.12</v>
      </c>
      <c r="J2641" s="27">
        <v>49416.72</v>
      </c>
      <c r="K2641" s="47">
        <f t="shared" si="329"/>
        <v>0.54144103453244163</v>
      </c>
      <c r="L2641" s="47">
        <f t="shared" si="330"/>
        <v>0.32951276410089542</v>
      </c>
      <c r="M2641" s="84">
        <f t="shared" si="331"/>
        <v>0.870953798633337</v>
      </c>
      <c r="N2641" s="47">
        <f t="shared" si="332"/>
        <v>1.7027839969953489E-2</v>
      </c>
      <c r="O2641" s="47">
        <f t="shared" si="333"/>
        <v>1.2258603970478007E-2</v>
      </c>
      <c r="P2641" s="47">
        <f t="shared" si="334"/>
        <v>8.2262036007246131E-2</v>
      </c>
      <c r="Q2641" s="47">
        <f t="shared" si="335"/>
        <v>1</v>
      </c>
    </row>
    <row r="2642" spans="1:17" x14ac:dyDescent="0.35">
      <c r="A2642" s="82">
        <v>2639</v>
      </c>
      <c r="B2642" s="83" t="str">
        <f>_xlfn.XLOOKUP(A2642,'TAZs by City - CCAG Model'!$A:$A,'TAZs by City - CCAG Model'!$B:$B,"Unknown")</f>
        <v>Napa</v>
      </c>
      <c r="C2642" s="82">
        <f>_xlfn.XLOOKUP(A2642,'TAZs by City - CCAG Model'!$A:$A,'TAZs by City - CCAG Model'!$C:$C,999)</f>
        <v>7</v>
      </c>
      <c r="D2642" s="82" t="str">
        <f t="shared" si="328"/>
        <v>NO</v>
      </c>
      <c r="E2642" s="27">
        <v>15907.36</v>
      </c>
      <c r="F2642" s="27">
        <v>10749.38</v>
      </c>
      <c r="G2642" s="27">
        <v>388.9</v>
      </c>
      <c r="H2642" s="27">
        <v>402.52</v>
      </c>
      <c r="I2642" s="27">
        <v>1853.16</v>
      </c>
      <c r="J2642" s="27">
        <v>29711.94</v>
      </c>
      <c r="K2642" s="47">
        <f t="shared" si="329"/>
        <v>0.53538611076893672</v>
      </c>
      <c r="L2642" s="47">
        <f t="shared" si="330"/>
        <v>0.36178654103367197</v>
      </c>
      <c r="M2642" s="84">
        <f t="shared" si="331"/>
        <v>0.89717265180260863</v>
      </c>
      <c r="N2642" s="47">
        <f t="shared" si="332"/>
        <v>1.3089014046204994E-2</v>
      </c>
      <c r="O2642" s="47">
        <f t="shared" si="333"/>
        <v>1.3547415618098314E-2</v>
      </c>
      <c r="P2642" s="47">
        <f t="shared" si="334"/>
        <v>6.2370885240075211E-2</v>
      </c>
      <c r="Q2642" s="47">
        <f t="shared" si="335"/>
        <v>1</v>
      </c>
    </row>
    <row r="2643" spans="1:17" x14ac:dyDescent="0.35">
      <c r="A2643" s="82">
        <v>2640</v>
      </c>
      <c r="B2643" s="83" t="str">
        <f>_xlfn.XLOOKUP(A2643,'TAZs by City - CCAG Model'!$A:$A,'TAZs by City - CCAG Model'!$B:$B,"Unknown")</f>
        <v>Unincorporated</v>
      </c>
      <c r="C2643" s="82">
        <f>_xlfn.XLOOKUP(A2643,'TAZs by City - CCAG Model'!$A:$A,'TAZs by City - CCAG Model'!$C:$C,999)</f>
        <v>7</v>
      </c>
      <c r="D2643" s="82" t="str">
        <f t="shared" si="328"/>
        <v>NO</v>
      </c>
      <c r="E2643" s="27">
        <v>11254.78</v>
      </c>
      <c r="F2643" s="27">
        <v>6492.78</v>
      </c>
      <c r="G2643" s="27">
        <v>91.92</v>
      </c>
      <c r="H2643" s="27">
        <v>46.42</v>
      </c>
      <c r="I2643" s="27">
        <v>717.42</v>
      </c>
      <c r="J2643" s="27">
        <v>18713.759999999998</v>
      </c>
      <c r="K2643" s="47">
        <f t="shared" si="329"/>
        <v>0.60141735279281139</v>
      </c>
      <c r="L2643" s="47">
        <f t="shared" si="330"/>
        <v>0.34695218919126891</v>
      </c>
      <c r="M2643" s="84">
        <f t="shared" si="331"/>
        <v>0.9483695419840803</v>
      </c>
      <c r="N2643" s="47">
        <f t="shared" si="332"/>
        <v>4.9118937081591308E-3</v>
      </c>
      <c r="O2643" s="47">
        <f t="shared" si="333"/>
        <v>2.4805276972666105E-3</v>
      </c>
      <c r="P2643" s="47">
        <f t="shared" si="334"/>
        <v>3.8336496780978273E-2</v>
      </c>
      <c r="Q2643" s="47">
        <f t="shared" si="335"/>
        <v>1</v>
      </c>
    </row>
    <row r="2644" spans="1:17" x14ac:dyDescent="0.35">
      <c r="A2644" s="82">
        <v>2641</v>
      </c>
      <c r="B2644" s="83" t="str">
        <f>_xlfn.XLOOKUP(A2644,'TAZs by City - CCAG Model'!$A:$A,'TAZs by City - CCAG Model'!$B:$B,"Unknown")</f>
        <v>Unincorporated</v>
      </c>
      <c r="C2644" s="82">
        <f>_xlfn.XLOOKUP(A2644,'TAZs by City - CCAG Model'!$A:$A,'TAZs by City - CCAG Model'!$C:$C,999)</f>
        <v>7</v>
      </c>
      <c r="D2644" s="82" t="str">
        <f t="shared" si="328"/>
        <v>NO</v>
      </c>
      <c r="E2644" s="27">
        <v>15970.68</v>
      </c>
      <c r="F2644" s="27">
        <v>8164.24</v>
      </c>
      <c r="G2644" s="27">
        <v>0</v>
      </c>
      <c r="H2644" s="27">
        <v>107.4</v>
      </c>
      <c r="I2644" s="27">
        <v>1522.98</v>
      </c>
      <c r="J2644" s="27">
        <v>25788.04</v>
      </c>
      <c r="K2644" s="47">
        <f t="shared" si="329"/>
        <v>0.6193056936471325</v>
      </c>
      <c r="L2644" s="47">
        <f t="shared" si="330"/>
        <v>0.31659017125768379</v>
      </c>
      <c r="M2644" s="84">
        <f t="shared" si="331"/>
        <v>0.93589586490481624</v>
      </c>
      <c r="N2644" s="47">
        <f t="shared" si="332"/>
        <v>0</v>
      </c>
      <c r="O2644" s="47">
        <f t="shared" si="333"/>
        <v>4.1647213204260578E-3</v>
      </c>
      <c r="P2644" s="47">
        <f t="shared" si="334"/>
        <v>5.905760965160594E-2</v>
      </c>
      <c r="Q2644" s="47">
        <f t="shared" si="335"/>
        <v>1</v>
      </c>
    </row>
    <row r="2645" spans="1:17" x14ac:dyDescent="0.35">
      <c r="A2645" s="82">
        <v>2642</v>
      </c>
      <c r="B2645" s="83" t="str">
        <f>_xlfn.XLOOKUP(A2645,'TAZs by City - CCAG Model'!$A:$A,'TAZs by City - CCAG Model'!$B:$B,"Unknown")</f>
        <v>Yountville</v>
      </c>
      <c r="C2645" s="82">
        <f>_xlfn.XLOOKUP(A2645,'TAZs by City - CCAG Model'!$A:$A,'TAZs by City - CCAG Model'!$C:$C,999)</f>
        <v>7</v>
      </c>
      <c r="D2645" s="82" t="str">
        <f t="shared" si="328"/>
        <v>NO</v>
      </c>
      <c r="E2645" s="27">
        <v>11291.52</v>
      </c>
      <c r="F2645" s="27">
        <v>5238.4799999999996</v>
      </c>
      <c r="G2645" s="27">
        <v>0</v>
      </c>
      <c r="H2645" s="27">
        <v>58.7</v>
      </c>
      <c r="I2645" s="27">
        <v>1004.98</v>
      </c>
      <c r="J2645" s="27">
        <v>17610.259999999998</v>
      </c>
      <c r="K2645" s="47">
        <f t="shared" si="329"/>
        <v>0.64118985182501576</v>
      </c>
      <c r="L2645" s="47">
        <f t="shared" si="330"/>
        <v>0.29746749906020697</v>
      </c>
      <c r="M2645" s="84">
        <f t="shared" si="331"/>
        <v>0.93865735088522273</v>
      </c>
      <c r="N2645" s="47">
        <f t="shared" si="332"/>
        <v>0</v>
      </c>
      <c r="O2645" s="47">
        <f t="shared" si="333"/>
        <v>3.3332841195984619E-3</v>
      </c>
      <c r="P2645" s="47">
        <f t="shared" si="334"/>
        <v>5.7067868390358809E-2</v>
      </c>
      <c r="Q2645" s="47">
        <f t="shared" si="335"/>
        <v>1</v>
      </c>
    </row>
    <row r="2646" spans="1:17" x14ac:dyDescent="0.35">
      <c r="A2646" s="82">
        <v>2643</v>
      </c>
      <c r="B2646" s="83" t="str">
        <f>_xlfn.XLOOKUP(A2646,'TAZs by City - CCAG Model'!$A:$A,'TAZs by City - CCAG Model'!$B:$B,"Unknown")</f>
        <v>Unincorporated</v>
      </c>
      <c r="C2646" s="82">
        <f>_xlfn.XLOOKUP(A2646,'TAZs by City - CCAG Model'!$A:$A,'TAZs by City - CCAG Model'!$C:$C,999)</f>
        <v>7</v>
      </c>
      <c r="D2646" s="82" t="str">
        <f t="shared" si="328"/>
        <v>NO</v>
      </c>
      <c r="E2646" s="27">
        <v>27316.02</v>
      </c>
      <c r="F2646" s="27">
        <v>13482.24</v>
      </c>
      <c r="G2646" s="27">
        <v>0</v>
      </c>
      <c r="H2646" s="27">
        <v>261.32</v>
      </c>
      <c r="I2646" s="27">
        <v>3812.96</v>
      </c>
      <c r="J2646" s="27">
        <v>44895.78</v>
      </c>
      <c r="K2646" s="47">
        <f t="shared" si="329"/>
        <v>0.6084317947031993</v>
      </c>
      <c r="L2646" s="47">
        <f t="shared" si="330"/>
        <v>0.30030083005574243</v>
      </c>
      <c r="M2646" s="84">
        <f t="shared" si="331"/>
        <v>0.90873262475894179</v>
      </c>
      <c r="N2646" s="47">
        <f t="shared" si="332"/>
        <v>0</v>
      </c>
      <c r="O2646" s="47">
        <f t="shared" si="333"/>
        <v>5.820591601259628E-3</v>
      </c>
      <c r="P2646" s="47">
        <f t="shared" si="334"/>
        <v>8.4929140333456735E-2</v>
      </c>
      <c r="Q2646" s="47">
        <f t="shared" si="335"/>
        <v>1</v>
      </c>
    </row>
    <row r="2647" spans="1:17" x14ac:dyDescent="0.35">
      <c r="A2647" s="82">
        <v>2644</v>
      </c>
      <c r="B2647" s="83" t="str">
        <f>_xlfn.XLOOKUP(A2647,'TAZs by City - CCAG Model'!$A:$A,'TAZs by City - CCAG Model'!$B:$B,"Unknown")</f>
        <v>Unincorporated</v>
      </c>
      <c r="C2647" s="82">
        <f>_xlfn.XLOOKUP(A2647,'TAZs by City - CCAG Model'!$A:$A,'TAZs by City - CCAG Model'!$C:$C,999)</f>
        <v>7</v>
      </c>
      <c r="D2647" s="82" t="str">
        <f t="shared" si="328"/>
        <v>NO</v>
      </c>
      <c r="E2647" s="27">
        <v>5470.62</v>
      </c>
      <c r="F2647" s="27">
        <v>2856.56</v>
      </c>
      <c r="G2647" s="27">
        <v>0</v>
      </c>
      <c r="H2647" s="27">
        <v>41.1</v>
      </c>
      <c r="I2647" s="27">
        <v>1454.78</v>
      </c>
      <c r="J2647" s="27">
        <v>9848.02</v>
      </c>
      <c r="K2647" s="47">
        <f t="shared" si="329"/>
        <v>0.5555045582766891</v>
      </c>
      <c r="L2647" s="47">
        <f t="shared" si="330"/>
        <v>0.2900643987319278</v>
      </c>
      <c r="M2647" s="84">
        <f t="shared" si="331"/>
        <v>0.84556895700861701</v>
      </c>
      <c r="N2647" s="47">
        <f t="shared" si="332"/>
        <v>0</v>
      </c>
      <c r="O2647" s="47">
        <f t="shared" si="333"/>
        <v>4.1734277550208058E-3</v>
      </c>
      <c r="P2647" s="47">
        <f t="shared" si="334"/>
        <v>0.14772309560703573</v>
      </c>
      <c r="Q2647" s="47">
        <f t="shared" si="335"/>
        <v>1</v>
      </c>
    </row>
    <row r="2648" spans="1:17" x14ac:dyDescent="0.35">
      <c r="A2648" s="82">
        <v>2645</v>
      </c>
      <c r="B2648" s="83" t="str">
        <f>_xlfn.XLOOKUP(A2648,'TAZs by City - CCAG Model'!$A:$A,'TAZs by City - CCAG Model'!$B:$B,"Unknown")</f>
        <v>Unincorporated</v>
      </c>
      <c r="C2648" s="82">
        <f>_xlfn.XLOOKUP(A2648,'TAZs by City - CCAG Model'!$A:$A,'TAZs by City - CCAG Model'!$C:$C,999)</f>
        <v>7</v>
      </c>
      <c r="D2648" s="82" t="str">
        <f t="shared" si="328"/>
        <v>NO</v>
      </c>
      <c r="E2648" s="27">
        <v>20365.62</v>
      </c>
      <c r="F2648" s="27">
        <v>9036.6</v>
      </c>
      <c r="G2648" s="27">
        <v>0</v>
      </c>
      <c r="H2648" s="27">
        <v>114.16</v>
      </c>
      <c r="I2648" s="27">
        <v>3066.02</v>
      </c>
      <c r="J2648" s="27">
        <v>32613.74</v>
      </c>
      <c r="K2648" s="47">
        <f t="shared" si="329"/>
        <v>0.62444908189002546</v>
      </c>
      <c r="L2648" s="47">
        <f t="shared" si="330"/>
        <v>0.27707953764272358</v>
      </c>
      <c r="M2648" s="84">
        <f t="shared" si="331"/>
        <v>0.9015286195327491</v>
      </c>
      <c r="N2648" s="47">
        <f t="shared" si="332"/>
        <v>0</v>
      </c>
      <c r="O2648" s="47">
        <f t="shared" si="333"/>
        <v>3.5003651835085457E-3</v>
      </c>
      <c r="P2648" s="47">
        <f t="shared" si="334"/>
        <v>9.4010070602144974E-2</v>
      </c>
      <c r="Q2648" s="47">
        <f t="shared" si="335"/>
        <v>1</v>
      </c>
    </row>
    <row r="2649" spans="1:17" x14ac:dyDescent="0.35">
      <c r="A2649" s="82">
        <v>2646</v>
      </c>
      <c r="B2649" s="83" t="str">
        <f>_xlfn.XLOOKUP(A2649,'TAZs by City - CCAG Model'!$A:$A,'TAZs by City - CCAG Model'!$B:$B,"Unknown")</f>
        <v>St. Helena</v>
      </c>
      <c r="C2649" s="82">
        <f>_xlfn.XLOOKUP(A2649,'TAZs by City - CCAG Model'!$A:$A,'TAZs by City - CCAG Model'!$C:$C,999)</f>
        <v>7</v>
      </c>
      <c r="D2649" s="82" t="str">
        <f t="shared" si="328"/>
        <v>NO</v>
      </c>
      <c r="E2649" s="27">
        <v>28639.599999999999</v>
      </c>
      <c r="F2649" s="27">
        <v>13048.2</v>
      </c>
      <c r="G2649" s="27">
        <v>0</v>
      </c>
      <c r="H2649" s="27">
        <v>251.46</v>
      </c>
      <c r="I2649" s="27">
        <v>6565.16</v>
      </c>
      <c r="J2649" s="27">
        <v>48531.86</v>
      </c>
      <c r="K2649" s="47">
        <f t="shared" si="329"/>
        <v>0.59011956269551591</v>
      </c>
      <c r="L2649" s="47">
        <f t="shared" si="330"/>
        <v>0.26885843649923991</v>
      </c>
      <c r="M2649" s="84">
        <f t="shared" si="331"/>
        <v>0.85897799919475581</v>
      </c>
      <c r="N2649" s="47">
        <f t="shared" si="332"/>
        <v>0</v>
      </c>
      <c r="O2649" s="47">
        <f t="shared" si="333"/>
        <v>5.1813386093176733E-3</v>
      </c>
      <c r="P2649" s="47">
        <f t="shared" si="334"/>
        <v>0.13527526041655935</v>
      </c>
      <c r="Q2649" s="47">
        <f t="shared" si="335"/>
        <v>1</v>
      </c>
    </row>
    <row r="2650" spans="1:17" x14ac:dyDescent="0.35">
      <c r="A2650" s="82">
        <v>2647</v>
      </c>
      <c r="B2650" s="83" t="str">
        <f>_xlfn.XLOOKUP(A2650,'TAZs by City - CCAG Model'!$A:$A,'TAZs by City - CCAG Model'!$B:$B,"Unknown")</f>
        <v>Unincorporated</v>
      </c>
      <c r="C2650" s="82">
        <f>_xlfn.XLOOKUP(A2650,'TAZs by City - CCAG Model'!$A:$A,'TAZs by City - CCAG Model'!$C:$C,999)</f>
        <v>7</v>
      </c>
      <c r="D2650" s="82" t="str">
        <f t="shared" si="328"/>
        <v>NO</v>
      </c>
      <c r="E2650" s="27">
        <v>14727.4</v>
      </c>
      <c r="F2650" s="27">
        <v>5357.4</v>
      </c>
      <c r="G2650" s="27">
        <v>67.42</v>
      </c>
      <c r="H2650" s="27">
        <v>29.26</v>
      </c>
      <c r="I2650" s="27">
        <v>795.2</v>
      </c>
      <c r="J2650" s="27">
        <v>21069.759999999998</v>
      </c>
      <c r="K2650" s="47">
        <f t="shared" si="329"/>
        <v>0.69898280758774667</v>
      </c>
      <c r="L2650" s="47">
        <f t="shared" si="330"/>
        <v>0.25426962623209759</v>
      </c>
      <c r="M2650" s="84">
        <f t="shared" si="331"/>
        <v>0.95325243381984426</v>
      </c>
      <c r="N2650" s="47">
        <f t="shared" si="332"/>
        <v>3.1998466048023333E-3</v>
      </c>
      <c r="O2650" s="47">
        <f t="shared" si="333"/>
        <v>1.3887201372962958E-3</v>
      </c>
      <c r="P2650" s="47">
        <f t="shared" si="334"/>
        <v>3.7741293683459146E-2</v>
      </c>
      <c r="Q2650" s="47">
        <f t="shared" si="335"/>
        <v>1</v>
      </c>
    </row>
    <row r="2651" spans="1:17" x14ac:dyDescent="0.35">
      <c r="A2651" s="82">
        <v>2648</v>
      </c>
      <c r="B2651" s="83" t="str">
        <f>_xlfn.XLOOKUP(A2651,'TAZs by City - CCAG Model'!$A:$A,'TAZs by City - CCAG Model'!$B:$B,"Unknown")</f>
        <v>Unincorporated</v>
      </c>
      <c r="C2651" s="82">
        <f>_xlfn.XLOOKUP(A2651,'TAZs by City - CCAG Model'!$A:$A,'TAZs by City - CCAG Model'!$C:$C,999)</f>
        <v>7</v>
      </c>
      <c r="D2651" s="82" t="str">
        <f t="shared" si="328"/>
        <v>NO</v>
      </c>
      <c r="E2651" s="27">
        <v>5550.04</v>
      </c>
      <c r="F2651" s="27">
        <v>2434.2399999999998</v>
      </c>
      <c r="G2651" s="27">
        <v>99.44</v>
      </c>
      <c r="H2651" s="27">
        <v>11.16</v>
      </c>
      <c r="I2651" s="27">
        <v>167.02</v>
      </c>
      <c r="J2651" s="27">
        <v>8380.08</v>
      </c>
      <c r="K2651" s="47">
        <f t="shared" si="329"/>
        <v>0.66228962014682435</v>
      </c>
      <c r="L2651" s="47">
        <f t="shared" si="330"/>
        <v>0.29047932716632774</v>
      </c>
      <c r="M2651" s="84">
        <f t="shared" si="331"/>
        <v>0.95276894731315209</v>
      </c>
      <c r="N2651" s="47">
        <f t="shared" si="332"/>
        <v>1.186623516720604E-2</v>
      </c>
      <c r="O2651" s="47">
        <f t="shared" si="333"/>
        <v>1.3317295300283531E-3</v>
      </c>
      <c r="P2651" s="47">
        <f t="shared" si="334"/>
        <v>1.9930597321266626E-2</v>
      </c>
      <c r="Q2651" s="47">
        <f t="shared" si="335"/>
        <v>1</v>
      </c>
    </row>
    <row r="2652" spans="1:17" x14ac:dyDescent="0.35">
      <c r="A2652" s="82">
        <v>2649</v>
      </c>
      <c r="B2652" s="83" t="str">
        <f>_xlfn.XLOOKUP(A2652,'TAZs by City - CCAG Model'!$A:$A,'TAZs by City - CCAG Model'!$B:$B,"Unknown")</f>
        <v>Calistoga</v>
      </c>
      <c r="C2652" s="82">
        <f>_xlfn.XLOOKUP(A2652,'TAZs by City - CCAG Model'!$A:$A,'TAZs by City - CCAG Model'!$C:$C,999)</f>
        <v>7</v>
      </c>
      <c r="D2652" s="82" t="str">
        <f t="shared" si="328"/>
        <v>NO</v>
      </c>
      <c r="E2652" s="27">
        <v>16041.1</v>
      </c>
      <c r="F2652" s="27">
        <v>8114.54</v>
      </c>
      <c r="G2652" s="27">
        <v>136.12</v>
      </c>
      <c r="H2652" s="27">
        <v>155.52000000000001</v>
      </c>
      <c r="I2652" s="27">
        <v>4950.78</v>
      </c>
      <c r="J2652" s="27">
        <v>29559.74</v>
      </c>
      <c r="K2652" s="47">
        <f t="shared" si="329"/>
        <v>0.54266715471786964</v>
      </c>
      <c r="L2652" s="47">
        <f t="shared" si="330"/>
        <v>0.27451323996760457</v>
      </c>
      <c r="M2652" s="84">
        <f t="shared" si="331"/>
        <v>0.81718039468547421</v>
      </c>
      <c r="N2652" s="47">
        <f t="shared" si="332"/>
        <v>4.6049119511876622E-3</v>
      </c>
      <c r="O2652" s="47">
        <f t="shared" si="333"/>
        <v>5.2612100106428543E-3</v>
      </c>
      <c r="P2652" s="47">
        <f t="shared" si="334"/>
        <v>0.16748388179327692</v>
      </c>
      <c r="Q2652" s="47">
        <f t="shared" si="335"/>
        <v>1</v>
      </c>
    </row>
    <row r="2653" spans="1:17" x14ac:dyDescent="0.35">
      <c r="A2653" s="82">
        <v>2650</v>
      </c>
      <c r="B2653" s="83" t="str">
        <f>_xlfn.XLOOKUP(A2653,'TAZs by City - CCAG Model'!$A:$A,'TAZs by City - CCAG Model'!$B:$B,"Unknown")</f>
        <v>Unincorporated</v>
      </c>
      <c r="C2653" s="82">
        <f>_xlfn.XLOOKUP(A2653,'TAZs by City - CCAG Model'!$A:$A,'TAZs by City - CCAG Model'!$C:$C,999)</f>
        <v>8</v>
      </c>
      <c r="D2653" s="82" t="str">
        <f t="shared" si="328"/>
        <v>NO</v>
      </c>
      <c r="E2653" s="27">
        <v>14438.6</v>
      </c>
      <c r="F2653" s="27">
        <v>7077.14</v>
      </c>
      <c r="G2653" s="27">
        <v>457.84</v>
      </c>
      <c r="H2653" s="27">
        <v>87.02</v>
      </c>
      <c r="I2653" s="27">
        <v>2348.1</v>
      </c>
      <c r="J2653" s="27">
        <v>24887.9</v>
      </c>
      <c r="K2653" s="47">
        <f t="shared" si="329"/>
        <v>0.58014537184736359</v>
      </c>
      <c r="L2653" s="47">
        <f t="shared" si="330"/>
        <v>0.28436067325889286</v>
      </c>
      <c r="M2653" s="84">
        <f t="shared" si="331"/>
        <v>0.8645060451062565</v>
      </c>
      <c r="N2653" s="47">
        <f t="shared" si="332"/>
        <v>1.8396088058855908E-2</v>
      </c>
      <c r="O2653" s="47">
        <f t="shared" si="333"/>
        <v>3.4964782082859539E-3</v>
      </c>
      <c r="P2653" s="47">
        <f t="shared" si="334"/>
        <v>9.4347052181984012E-2</v>
      </c>
      <c r="Q2653" s="47">
        <f t="shared" si="335"/>
        <v>1</v>
      </c>
    </row>
    <row r="2654" spans="1:17" x14ac:dyDescent="0.35">
      <c r="A2654" s="82">
        <v>2651</v>
      </c>
      <c r="B2654" s="83" t="str">
        <f>_xlfn.XLOOKUP(A2654,'TAZs by City - CCAG Model'!$A:$A,'TAZs by City - CCAG Model'!$B:$B,"Unknown")</f>
        <v>Unincorporated</v>
      </c>
      <c r="C2654" s="82">
        <f>_xlfn.XLOOKUP(A2654,'TAZs by City - CCAG Model'!$A:$A,'TAZs by City - CCAG Model'!$C:$C,999)</f>
        <v>8</v>
      </c>
      <c r="D2654" s="82" t="str">
        <f t="shared" si="328"/>
        <v>NO</v>
      </c>
      <c r="E2654" s="27">
        <v>20755.5</v>
      </c>
      <c r="F2654" s="27">
        <v>12277.46</v>
      </c>
      <c r="G2654" s="27">
        <v>1420.38</v>
      </c>
      <c r="H2654" s="27">
        <v>400.5</v>
      </c>
      <c r="I2654" s="27">
        <v>4104.8599999999997</v>
      </c>
      <c r="J2654" s="27">
        <v>40406.18</v>
      </c>
      <c r="K2654" s="47">
        <f t="shared" si="329"/>
        <v>0.51367142352976702</v>
      </c>
      <c r="L2654" s="47">
        <f t="shared" si="330"/>
        <v>0.30385104456793488</v>
      </c>
      <c r="M2654" s="84">
        <f t="shared" si="331"/>
        <v>0.8175224680977019</v>
      </c>
      <c r="N2654" s="47">
        <f t="shared" si="332"/>
        <v>3.5152543497059117E-2</v>
      </c>
      <c r="O2654" s="47">
        <f t="shared" si="333"/>
        <v>9.911850117977003E-3</v>
      </c>
      <c r="P2654" s="47">
        <f t="shared" si="334"/>
        <v>0.10158990530656448</v>
      </c>
      <c r="Q2654" s="47">
        <f t="shared" si="335"/>
        <v>1</v>
      </c>
    </row>
    <row r="2655" spans="1:17" x14ac:dyDescent="0.35">
      <c r="A2655" s="82">
        <v>2652</v>
      </c>
      <c r="B2655" s="83" t="str">
        <f>_xlfn.XLOOKUP(A2655,'TAZs by City - CCAG Model'!$A:$A,'TAZs by City - CCAG Model'!$B:$B,"Unknown")</f>
        <v>Unincorporated</v>
      </c>
      <c r="C2655" s="82">
        <f>_xlfn.XLOOKUP(A2655,'TAZs by City - CCAG Model'!$A:$A,'TAZs by City - CCAG Model'!$C:$C,999)</f>
        <v>8</v>
      </c>
      <c r="D2655" s="82" t="str">
        <f t="shared" si="328"/>
        <v>NO</v>
      </c>
      <c r="E2655" s="27">
        <v>24320.14</v>
      </c>
      <c r="F2655" s="27">
        <v>12496.96</v>
      </c>
      <c r="G2655" s="27">
        <v>1713.4</v>
      </c>
      <c r="H2655" s="27">
        <v>320.36</v>
      </c>
      <c r="I2655" s="27">
        <v>2777.62</v>
      </c>
      <c r="J2655" s="27">
        <v>43365</v>
      </c>
      <c r="K2655" s="47">
        <f t="shared" si="329"/>
        <v>0.56082416695491755</v>
      </c>
      <c r="L2655" s="47">
        <f t="shared" si="330"/>
        <v>0.28818079096045196</v>
      </c>
      <c r="M2655" s="84">
        <f t="shared" si="331"/>
        <v>0.84900495791536945</v>
      </c>
      <c r="N2655" s="47">
        <f t="shared" si="332"/>
        <v>3.9511126484492107E-2</v>
      </c>
      <c r="O2655" s="47">
        <f t="shared" si="333"/>
        <v>7.3875245013259542E-3</v>
      </c>
      <c r="P2655" s="47">
        <f t="shared" si="334"/>
        <v>6.4052115761558864E-2</v>
      </c>
      <c r="Q2655" s="47">
        <f t="shared" si="335"/>
        <v>1</v>
      </c>
    </row>
    <row r="2656" spans="1:17" x14ac:dyDescent="0.35">
      <c r="A2656" s="82">
        <v>2653</v>
      </c>
      <c r="B2656" s="83" t="str">
        <f>_xlfn.XLOOKUP(A2656,'TAZs by City - CCAG Model'!$A:$A,'TAZs by City - CCAG Model'!$B:$B,"Unknown")</f>
        <v>Unincorporated</v>
      </c>
      <c r="C2656" s="82">
        <f>_xlfn.XLOOKUP(A2656,'TAZs by City - CCAG Model'!$A:$A,'TAZs by City - CCAG Model'!$C:$C,999)</f>
        <v>8</v>
      </c>
      <c r="D2656" s="82" t="str">
        <f t="shared" si="328"/>
        <v>NO</v>
      </c>
      <c r="E2656" s="27">
        <v>14102.12</v>
      </c>
      <c r="F2656" s="27">
        <v>8601.3799999999992</v>
      </c>
      <c r="G2656" s="27">
        <v>890.8</v>
      </c>
      <c r="H2656" s="27">
        <v>233.48</v>
      </c>
      <c r="I2656" s="27">
        <v>1233.82</v>
      </c>
      <c r="J2656" s="27">
        <v>25974.240000000002</v>
      </c>
      <c r="K2656" s="47">
        <f t="shared" si="329"/>
        <v>0.54292714628031469</v>
      </c>
      <c r="L2656" s="47">
        <f t="shared" si="330"/>
        <v>0.33115040132069307</v>
      </c>
      <c r="M2656" s="84">
        <f t="shared" si="331"/>
        <v>0.87407754760100775</v>
      </c>
      <c r="N2656" s="47">
        <f t="shared" si="332"/>
        <v>3.4295517404936582E-2</v>
      </c>
      <c r="O2656" s="47">
        <f t="shared" si="333"/>
        <v>8.988905931415124E-3</v>
      </c>
      <c r="P2656" s="47">
        <f t="shared" si="334"/>
        <v>4.7501678586168446E-2</v>
      </c>
      <c r="Q2656" s="47">
        <f t="shared" si="335"/>
        <v>1</v>
      </c>
    </row>
    <row r="2657" spans="1:17" x14ac:dyDescent="0.35">
      <c r="A2657" s="82">
        <v>2654</v>
      </c>
      <c r="B2657" s="83" t="str">
        <f>_xlfn.XLOOKUP(A2657,'TAZs by City - CCAG Model'!$A:$A,'TAZs by City - CCAG Model'!$B:$B,"Unknown")</f>
        <v>Unincorporated</v>
      </c>
      <c r="C2657" s="82">
        <f>_xlfn.XLOOKUP(A2657,'TAZs by City - CCAG Model'!$A:$A,'TAZs by City - CCAG Model'!$C:$C,999)</f>
        <v>8</v>
      </c>
      <c r="D2657" s="82" t="str">
        <f t="shared" si="328"/>
        <v>NO</v>
      </c>
      <c r="E2657" s="27">
        <v>12527.56</v>
      </c>
      <c r="F2657" s="27">
        <v>6368.78</v>
      </c>
      <c r="G2657" s="27">
        <v>722.74</v>
      </c>
      <c r="H2657" s="27">
        <v>125.36</v>
      </c>
      <c r="I2657" s="27">
        <v>519.84</v>
      </c>
      <c r="J2657" s="27">
        <v>21007.66</v>
      </c>
      <c r="K2657" s="47">
        <f t="shared" si="329"/>
        <v>0.59633295664533792</v>
      </c>
      <c r="L2657" s="47">
        <f t="shared" si="330"/>
        <v>0.30316465517815883</v>
      </c>
      <c r="M2657" s="84">
        <f t="shared" si="331"/>
        <v>0.89949761182349675</v>
      </c>
      <c r="N2657" s="47">
        <f t="shared" si="332"/>
        <v>3.4403641338445118E-2</v>
      </c>
      <c r="O2657" s="47">
        <f t="shared" si="333"/>
        <v>5.9673471486115064E-3</v>
      </c>
      <c r="P2657" s="47">
        <f t="shared" si="334"/>
        <v>2.4745259586265202E-2</v>
      </c>
      <c r="Q2657" s="47">
        <f t="shared" si="335"/>
        <v>1</v>
      </c>
    </row>
    <row r="2658" spans="1:17" x14ac:dyDescent="0.35">
      <c r="A2658" s="82">
        <v>2655</v>
      </c>
      <c r="B2658" s="83" t="str">
        <f>_xlfn.XLOOKUP(A2658,'TAZs by City - CCAG Model'!$A:$A,'TAZs by City - CCAG Model'!$B:$B,"Unknown")</f>
        <v>Sonoma</v>
      </c>
      <c r="C2658" s="82">
        <f>_xlfn.XLOOKUP(A2658,'TAZs by City - CCAG Model'!$A:$A,'TAZs by City - CCAG Model'!$C:$C,999)</f>
        <v>8</v>
      </c>
      <c r="D2658" s="82" t="str">
        <f t="shared" si="328"/>
        <v>NO</v>
      </c>
      <c r="E2658" s="27">
        <v>37220.1</v>
      </c>
      <c r="F2658" s="27">
        <v>18753.32</v>
      </c>
      <c r="G2658" s="27">
        <v>1938.52</v>
      </c>
      <c r="H2658" s="27">
        <v>512.74</v>
      </c>
      <c r="I2658" s="27">
        <v>7930.38</v>
      </c>
      <c r="J2658" s="27">
        <v>68321.66</v>
      </c>
      <c r="K2658" s="47">
        <f t="shared" si="329"/>
        <v>0.54477745417778189</v>
      </c>
      <c r="L2658" s="47">
        <f t="shared" si="330"/>
        <v>0.27448571946290529</v>
      </c>
      <c r="M2658" s="84">
        <f t="shared" si="331"/>
        <v>0.81926317364068724</v>
      </c>
      <c r="N2658" s="47">
        <f t="shared" si="332"/>
        <v>2.8373432378545834E-2</v>
      </c>
      <c r="O2658" s="47">
        <f t="shared" si="333"/>
        <v>7.5047942336295692E-3</v>
      </c>
      <c r="P2658" s="47">
        <f t="shared" si="334"/>
        <v>0.11607417032899961</v>
      </c>
      <c r="Q2658" s="47">
        <f t="shared" si="335"/>
        <v>1</v>
      </c>
    </row>
    <row r="2659" spans="1:17" x14ac:dyDescent="0.35">
      <c r="A2659" s="82">
        <v>2656</v>
      </c>
      <c r="B2659" s="83" t="str">
        <f>_xlfn.XLOOKUP(A2659,'TAZs by City - CCAG Model'!$A:$A,'TAZs by City - CCAG Model'!$B:$B,"Unknown")</f>
        <v>Unincorporated</v>
      </c>
      <c r="C2659" s="82">
        <f>_xlfn.XLOOKUP(A2659,'TAZs by City - CCAG Model'!$A:$A,'TAZs by City - CCAG Model'!$C:$C,999)</f>
        <v>8</v>
      </c>
      <c r="D2659" s="82" t="str">
        <f t="shared" si="328"/>
        <v>NO</v>
      </c>
      <c r="E2659" s="27">
        <v>12875.68</v>
      </c>
      <c r="F2659" s="27">
        <v>5423.12</v>
      </c>
      <c r="G2659" s="27">
        <v>389.08</v>
      </c>
      <c r="H2659" s="27">
        <v>35.5</v>
      </c>
      <c r="I2659" s="27">
        <v>608.20000000000005</v>
      </c>
      <c r="J2659" s="27">
        <v>19743.04</v>
      </c>
      <c r="K2659" s="47">
        <f t="shared" si="329"/>
        <v>0.65216299009676315</v>
      </c>
      <c r="L2659" s="47">
        <f t="shared" si="330"/>
        <v>0.27468515486976675</v>
      </c>
      <c r="M2659" s="84">
        <f t="shared" si="331"/>
        <v>0.9268481449665299</v>
      </c>
      <c r="N2659" s="47">
        <f t="shared" si="332"/>
        <v>1.9707198080943965E-2</v>
      </c>
      <c r="O2659" s="47">
        <f t="shared" si="333"/>
        <v>1.7981020146846686E-3</v>
      </c>
      <c r="P2659" s="47">
        <f t="shared" si="334"/>
        <v>3.0805792826231422E-2</v>
      </c>
      <c r="Q2659" s="47">
        <f t="shared" si="335"/>
        <v>1</v>
      </c>
    </row>
    <row r="2660" spans="1:17" x14ac:dyDescent="0.35">
      <c r="A2660" s="82">
        <v>2657</v>
      </c>
      <c r="B2660" s="83" t="str">
        <f>_xlfn.XLOOKUP(A2660,'TAZs by City - CCAG Model'!$A:$A,'TAZs by City - CCAG Model'!$B:$B,"Unknown")</f>
        <v>Unincorporated</v>
      </c>
      <c r="C2660" s="82">
        <f>_xlfn.XLOOKUP(A2660,'TAZs by City - CCAG Model'!$A:$A,'TAZs by City - CCAG Model'!$C:$C,999)</f>
        <v>8</v>
      </c>
      <c r="D2660" s="82" t="str">
        <f t="shared" si="328"/>
        <v>NO</v>
      </c>
      <c r="E2660" s="27">
        <v>30159.34</v>
      </c>
      <c r="F2660" s="27">
        <v>15953.92</v>
      </c>
      <c r="G2660" s="27">
        <v>571.28</v>
      </c>
      <c r="H2660" s="27">
        <v>203.22</v>
      </c>
      <c r="I2660" s="27">
        <v>3504.64</v>
      </c>
      <c r="J2660" s="27">
        <v>50988.56</v>
      </c>
      <c r="K2660" s="47">
        <f t="shared" si="329"/>
        <v>0.59149228768178586</v>
      </c>
      <c r="L2660" s="47">
        <f t="shared" si="330"/>
        <v>0.31289214678743626</v>
      </c>
      <c r="M2660" s="84">
        <f t="shared" si="331"/>
        <v>0.90438443446922223</v>
      </c>
      <c r="N2660" s="47">
        <f t="shared" si="332"/>
        <v>1.1204081856792975E-2</v>
      </c>
      <c r="O2660" s="47">
        <f t="shared" si="333"/>
        <v>3.9855999071164204E-3</v>
      </c>
      <c r="P2660" s="47">
        <f t="shared" si="334"/>
        <v>6.8733849318356896E-2</v>
      </c>
      <c r="Q2660" s="47">
        <f t="shared" si="335"/>
        <v>1</v>
      </c>
    </row>
    <row r="2661" spans="1:17" x14ac:dyDescent="0.35">
      <c r="A2661" s="82">
        <v>2658</v>
      </c>
      <c r="B2661" s="83" t="str">
        <f>_xlfn.XLOOKUP(A2661,'TAZs by City - CCAG Model'!$A:$A,'TAZs by City - CCAG Model'!$B:$B,"Unknown")</f>
        <v>Unincorporated</v>
      </c>
      <c r="C2661" s="82">
        <f>_xlfn.XLOOKUP(A2661,'TAZs by City - CCAG Model'!$A:$A,'TAZs by City - CCAG Model'!$C:$C,999)</f>
        <v>8</v>
      </c>
      <c r="D2661" s="82" t="str">
        <f t="shared" si="328"/>
        <v>NO</v>
      </c>
      <c r="E2661" s="27">
        <v>10691.96</v>
      </c>
      <c r="F2661" s="27">
        <v>6970.2</v>
      </c>
      <c r="G2661" s="27">
        <v>77.180000000000007</v>
      </c>
      <c r="H2661" s="27">
        <v>144.26</v>
      </c>
      <c r="I2661" s="27">
        <v>1567.92</v>
      </c>
      <c r="J2661" s="27">
        <v>19539.46</v>
      </c>
      <c r="K2661" s="47">
        <f t="shared" si="329"/>
        <v>0.54719833608502999</v>
      </c>
      <c r="L2661" s="47">
        <f t="shared" si="330"/>
        <v>0.35672429023115276</v>
      </c>
      <c r="M2661" s="84">
        <f t="shared" si="331"/>
        <v>0.90392262631618281</v>
      </c>
      <c r="N2661" s="47">
        <f t="shared" si="332"/>
        <v>3.9499556282517534E-3</v>
      </c>
      <c r="O2661" s="47">
        <f t="shared" si="333"/>
        <v>7.3830085375952044E-3</v>
      </c>
      <c r="P2661" s="47">
        <f t="shared" si="334"/>
        <v>8.0243773369376645E-2</v>
      </c>
      <c r="Q2661" s="47">
        <f t="shared" si="335"/>
        <v>1</v>
      </c>
    </row>
    <row r="2662" spans="1:17" x14ac:dyDescent="0.35">
      <c r="A2662" s="82">
        <v>2659</v>
      </c>
      <c r="B2662" s="83" t="str">
        <f>_xlfn.XLOOKUP(A2662,'TAZs by City - CCAG Model'!$A:$A,'TAZs by City - CCAG Model'!$B:$B,"Unknown")</f>
        <v>Unincorporated</v>
      </c>
      <c r="C2662" s="82">
        <f>_xlfn.XLOOKUP(A2662,'TAZs by City - CCAG Model'!$A:$A,'TAZs by City - CCAG Model'!$C:$C,999)</f>
        <v>8</v>
      </c>
      <c r="D2662" s="82" t="str">
        <f t="shared" si="328"/>
        <v>NO</v>
      </c>
      <c r="E2662" s="27">
        <v>13937.52</v>
      </c>
      <c r="F2662" s="27">
        <v>7645.36</v>
      </c>
      <c r="G2662" s="27">
        <v>834.38</v>
      </c>
      <c r="H2662" s="27">
        <v>219.72</v>
      </c>
      <c r="I2662" s="27">
        <v>1748.16</v>
      </c>
      <c r="J2662" s="27">
        <v>25237.98</v>
      </c>
      <c r="K2662" s="47">
        <f t="shared" si="329"/>
        <v>0.55224388005696179</v>
      </c>
      <c r="L2662" s="47">
        <f t="shared" si="330"/>
        <v>0.30293074168376388</v>
      </c>
      <c r="M2662" s="84">
        <f t="shared" si="331"/>
        <v>0.85517462174072578</v>
      </c>
      <c r="N2662" s="47">
        <f t="shared" si="332"/>
        <v>3.3060490578089054E-2</v>
      </c>
      <c r="O2662" s="47">
        <f t="shared" si="333"/>
        <v>8.7059265440419566E-3</v>
      </c>
      <c r="P2662" s="47">
        <f t="shared" si="334"/>
        <v>6.9267033257019786E-2</v>
      </c>
      <c r="Q2662" s="47">
        <f t="shared" si="335"/>
        <v>1</v>
      </c>
    </row>
    <row r="2663" spans="1:17" x14ac:dyDescent="0.35">
      <c r="A2663" s="82">
        <v>2660</v>
      </c>
      <c r="B2663" s="83" t="str">
        <f>_xlfn.XLOOKUP(A2663,'TAZs by City - CCAG Model'!$A:$A,'TAZs by City - CCAG Model'!$B:$B,"Unknown")</f>
        <v>Unincorporated</v>
      </c>
      <c r="C2663" s="82">
        <f>_xlfn.XLOOKUP(A2663,'TAZs by City - CCAG Model'!$A:$A,'TAZs by City - CCAG Model'!$C:$C,999)</f>
        <v>8</v>
      </c>
      <c r="D2663" s="82" t="str">
        <f t="shared" si="328"/>
        <v>NO</v>
      </c>
      <c r="E2663" s="27">
        <v>12537.02</v>
      </c>
      <c r="F2663" s="27">
        <v>7236.68</v>
      </c>
      <c r="G2663" s="27">
        <v>0</v>
      </c>
      <c r="H2663" s="27">
        <v>67.900000000000006</v>
      </c>
      <c r="I2663" s="27">
        <v>1623.26</v>
      </c>
      <c r="J2663" s="27">
        <v>21486.86</v>
      </c>
      <c r="K2663" s="47">
        <f t="shared" si="329"/>
        <v>0.5834738067823777</v>
      </c>
      <c r="L2663" s="47">
        <f t="shared" si="330"/>
        <v>0.33679560438333012</v>
      </c>
      <c r="M2663" s="84">
        <f t="shared" si="331"/>
        <v>0.92026941116570782</v>
      </c>
      <c r="N2663" s="47">
        <f t="shared" si="332"/>
        <v>0</v>
      </c>
      <c r="O2663" s="47">
        <f t="shared" si="333"/>
        <v>3.1600708526048015E-3</v>
      </c>
      <c r="P2663" s="47">
        <f t="shared" si="334"/>
        <v>7.5546636409414863E-2</v>
      </c>
      <c r="Q2663" s="47">
        <f t="shared" si="335"/>
        <v>1</v>
      </c>
    </row>
    <row r="2664" spans="1:17" x14ac:dyDescent="0.35">
      <c r="A2664" s="82">
        <v>2661</v>
      </c>
      <c r="B2664" s="83" t="str">
        <f>_xlfn.XLOOKUP(A2664,'TAZs by City - CCAG Model'!$A:$A,'TAZs by City - CCAG Model'!$B:$B,"Unknown")</f>
        <v>Unincorporated</v>
      </c>
      <c r="C2664" s="82">
        <f>_xlfn.XLOOKUP(A2664,'TAZs by City - CCAG Model'!$A:$A,'TAZs by City - CCAG Model'!$C:$C,999)</f>
        <v>8</v>
      </c>
      <c r="D2664" s="82" t="str">
        <f t="shared" si="328"/>
        <v>NO</v>
      </c>
      <c r="E2664" s="27">
        <v>12688.5</v>
      </c>
      <c r="F2664" s="27">
        <v>6496.56</v>
      </c>
      <c r="G2664" s="27">
        <v>380.42</v>
      </c>
      <c r="H2664" s="27">
        <v>143.44</v>
      </c>
      <c r="I2664" s="27">
        <v>541.9</v>
      </c>
      <c r="J2664" s="27">
        <v>20651.04</v>
      </c>
      <c r="K2664" s="47">
        <f t="shared" si="329"/>
        <v>0.61442426144155449</v>
      </c>
      <c r="L2664" s="47">
        <f t="shared" si="330"/>
        <v>0.31458754619622065</v>
      </c>
      <c r="M2664" s="84">
        <f t="shared" si="331"/>
        <v>0.92901180763777513</v>
      </c>
      <c r="N2664" s="47">
        <f t="shared" si="332"/>
        <v>1.8421348271079808E-2</v>
      </c>
      <c r="O2664" s="47">
        <f t="shared" si="333"/>
        <v>6.9458971557848897E-3</v>
      </c>
      <c r="P2664" s="47">
        <f t="shared" si="334"/>
        <v>2.624080917958611E-2</v>
      </c>
      <c r="Q2664" s="47">
        <f t="shared" si="335"/>
        <v>1</v>
      </c>
    </row>
    <row r="2665" spans="1:17" x14ac:dyDescent="0.35">
      <c r="A2665" s="82">
        <v>2662</v>
      </c>
      <c r="B2665" s="83" t="str">
        <f>_xlfn.XLOOKUP(A2665,'TAZs by City - CCAG Model'!$A:$A,'TAZs by City - CCAG Model'!$B:$B,"Unknown")</f>
        <v>Petaluma</v>
      </c>
      <c r="C2665" s="82">
        <f>_xlfn.XLOOKUP(A2665,'TAZs by City - CCAG Model'!$A:$A,'TAZs by City - CCAG Model'!$C:$C,999)</f>
        <v>8</v>
      </c>
      <c r="D2665" s="82" t="str">
        <f t="shared" si="328"/>
        <v>NO</v>
      </c>
      <c r="E2665" s="27">
        <v>8399</v>
      </c>
      <c r="F2665" s="27">
        <v>4666.6400000000003</v>
      </c>
      <c r="G2665" s="27">
        <v>429.84</v>
      </c>
      <c r="H2665" s="27">
        <v>131.84</v>
      </c>
      <c r="I2665" s="27">
        <v>938.82</v>
      </c>
      <c r="J2665" s="27">
        <v>15010.48</v>
      </c>
      <c r="K2665" s="47">
        <f t="shared" si="329"/>
        <v>0.55954239971006925</v>
      </c>
      <c r="L2665" s="47">
        <f t="shared" si="330"/>
        <v>0.31089212336980565</v>
      </c>
      <c r="M2665" s="84">
        <f t="shared" si="331"/>
        <v>0.8704345230798749</v>
      </c>
      <c r="N2665" s="47">
        <f t="shared" si="332"/>
        <v>2.8635992986233618E-2</v>
      </c>
      <c r="O2665" s="47">
        <f t="shared" si="333"/>
        <v>8.7831968064978599E-3</v>
      </c>
      <c r="P2665" s="47">
        <f t="shared" si="334"/>
        <v>6.254430238073666E-2</v>
      </c>
      <c r="Q2665" s="47">
        <f t="shared" si="335"/>
        <v>1</v>
      </c>
    </row>
    <row r="2666" spans="1:17" x14ac:dyDescent="0.35">
      <c r="A2666" s="82">
        <v>2663</v>
      </c>
      <c r="B2666" s="83" t="str">
        <f>_xlfn.XLOOKUP(A2666,'TAZs by City - CCAG Model'!$A:$A,'TAZs by City - CCAG Model'!$B:$B,"Unknown")</f>
        <v>Petaluma</v>
      </c>
      <c r="C2666" s="82">
        <f>_xlfn.XLOOKUP(A2666,'TAZs by City - CCAG Model'!$A:$A,'TAZs by City - CCAG Model'!$C:$C,999)</f>
        <v>8</v>
      </c>
      <c r="D2666" s="82" t="str">
        <f t="shared" si="328"/>
        <v>NO</v>
      </c>
      <c r="E2666" s="27">
        <v>16669.62</v>
      </c>
      <c r="F2666" s="27">
        <v>8177.68</v>
      </c>
      <c r="G2666" s="27">
        <v>1136.0999999999999</v>
      </c>
      <c r="H2666" s="27">
        <v>283.10000000000002</v>
      </c>
      <c r="I2666" s="27">
        <v>3655.06</v>
      </c>
      <c r="J2666" s="27">
        <v>31078.52</v>
      </c>
      <c r="K2666" s="47">
        <f t="shared" si="329"/>
        <v>0.53637110132657539</v>
      </c>
      <c r="L2666" s="47">
        <f t="shared" si="330"/>
        <v>0.26312964710031239</v>
      </c>
      <c r="M2666" s="84">
        <f t="shared" si="331"/>
        <v>0.79950074842688779</v>
      </c>
      <c r="N2666" s="47">
        <f t="shared" si="332"/>
        <v>3.6555794806187682E-2</v>
      </c>
      <c r="O2666" s="47">
        <f t="shared" si="333"/>
        <v>9.1091853794839656E-3</v>
      </c>
      <c r="P2666" s="47">
        <f t="shared" si="334"/>
        <v>0.11760727344802777</v>
      </c>
      <c r="Q2666" s="47">
        <f t="shared" si="335"/>
        <v>1</v>
      </c>
    </row>
    <row r="2667" spans="1:17" x14ac:dyDescent="0.35">
      <c r="A2667" s="82">
        <v>2664</v>
      </c>
      <c r="B2667" s="83" t="str">
        <f>_xlfn.XLOOKUP(A2667,'TAZs by City - CCAG Model'!$A:$A,'TAZs by City - CCAG Model'!$B:$B,"Unknown")</f>
        <v>Petaluma</v>
      </c>
      <c r="C2667" s="82">
        <f>_xlfn.XLOOKUP(A2667,'TAZs by City - CCAG Model'!$A:$A,'TAZs by City - CCAG Model'!$C:$C,999)</f>
        <v>8</v>
      </c>
      <c r="D2667" s="82" t="str">
        <f t="shared" si="328"/>
        <v>NO</v>
      </c>
      <c r="E2667" s="27">
        <v>37359.78</v>
      </c>
      <c r="F2667" s="27">
        <v>16533</v>
      </c>
      <c r="G2667" s="27">
        <v>1662.56</v>
      </c>
      <c r="H2667" s="27">
        <v>540.17999999999995</v>
      </c>
      <c r="I2667" s="27">
        <v>8808.66</v>
      </c>
      <c r="J2667" s="27">
        <v>66592.679999999993</v>
      </c>
      <c r="K2667" s="47">
        <f t="shared" si="329"/>
        <v>0.56101931924049309</v>
      </c>
      <c r="L2667" s="47">
        <f t="shared" si="330"/>
        <v>0.24827053063489862</v>
      </c>
      <c r="M2667" s="84">
        <f t="shared" si="331"/>
        <v>0.80928984987539176</v>
      </c>
      <c r="N2667" s="47">
        <f t="shared" si="332"/>
        <v>2.496610738597696E-2</v>
      </c>
      <c r="O2667" s="47">
        <f t="shared" si="333"/>
        <v>8.1117023672872147E-3</v>
      </c>
      <c r="P2667" s="47">
        <f t="shared" si="334"/>
        <v>0.13227670068241737</v>
      </c>
      <c r="Q2667" s="47">
        <f t="shared" si="335"/>
        <v>1</v>
      </c>
    </row>
    <row r="2668" spans="1:17" x14ac:dyDescent="0.35">
      <c r="A2668" s="82">
        <v>2665</v>
      </c>
      <c r="B2668" s="83" t="str">
        <f>_xlfn.XLOOKUP(A2668,'TAZs by City - CCAG Model'!$A:$A,'TAZs by City - CCAG Model'!$B:$B,"Unknown")</f>
        <v>Petaluma</v>
      </c>
      <c r="C2668" s="82">
        <f>_xlfn.XLOOKUP(A2668,'TAZs by City - CCAG Model'!$A:$A,'TAZs by City - CCAG Model'!$C:$C,999)</f>
        <v>8</v>
      </c>
      <c r="D2668" s="82" t="str">
        <f t="shared" si="328"/>
        <v>NO</v>
      </c>
      <c r="E2668" s="27">
        <v>8178.52</v>
      </c>
      <c r="F2668" s="27">
        <v>5336.8</v>
      </c>
      <c r="G2668" s="27">
        <v>849.94</v>
      </c>
      <c r="H2668" s="27">
        <v>153.32</v>
      </c>
      <c r="I2668" s="27">
        <v>1205.1600000000001</v>
      </c>
      <c r="J2668" s="27">
        <v>16586.48</v>
      </c>
      <c r="K2668" s="47">
        <f t="shared" si="329"/>
        <v>0.49308352344801309</v>
      </c>
      <c r="L2668" s="47">
        <f t="shared" si="330"/>
        <v>0.32175603262416136</v>
      </c>
      <c r="M2668" s="84">
        <f t="shared" si="331"/>
        <v>0.8148395560721744</v>
      </c>
      <c r="N2668" s="47">
        <f t="shared" si="332"/>
        <v>5.1242940033087193E-2</v>
      </c>
      <c r="O2668" s="47">
        <f t="shared" si="333"/>
        <v>9.2436731603088781E-3</v>
      </c>
      <c r="P2668" s="47">
        <f t="shared" si="334"/>
        <v>7.2659177836406533E-2</v>
      </c>
      <c r="Q2668" s="47">
        <f t="shared" si="335"/>
        <v>1</v>
      </c>
    </row>
    <row r="2669" spans="1:17" x14ac:dyDescent="0.35">
      <c r="A2669" s="82">
        <v>2666</v>
      </c>
      <c r="B2669" s="83" t="str">
        <f>_xlfn.XLOOKUP(A2669,'TAZs by City - CCAG Model'!$A:$A,'TAZs by City - CCAG Model'!$B:$B,"Unknown")</f>
        <v>Petaluma</v>
      </c>
      <c r="C2669" s="82">
        <f>_xlfn.XLOOKUP(A2669,'TAZs by City - CCAG Model'!$A:$A,'TAZs by City - CCAG Model'!$C:$C,999)</f>
        <v>8</v>
      </c>
      <c r="D2669" s="82" t="str">
        <f t="shared" si="328"/>
        <v>NO</v>
      </c>
      <c r="E2669" s="27">
        <v>9810.34</v>
      </c>
      <c r="F2669" s="27">
        <v>6074.96</v>
      </c>
      <c r="G2669" s="27">
        <v>891.1</v>
      </c>
      <c r="H2669" s="27">
        <v>181.74</v>
      </c>
      <c r="I2669" s="27">
        <v>1276.82</v>
      </c>
      <c r="J2669" s="27">
        <v>19141.22</v>
      </c>
      <c r="K2669" s="47">
        <f t="shared" si="329"/>
        <v>0.51252428006156348</v>
      </c>
      <c r="L2669" s="47">
        <f t="shared" si="330"/>
        <v>0.31737579945269945</v>
      </c>
      <c r="M2669" s="84">
        <f t="shared" si="331"/>
        <v>0.82990007951426281</v>
      </c>
      <c r="N2669" s="47">
        <f t="shared" si="332"/>
        <v>4.6553981407663668E-2</v>
      </c>
      <c r="O2669" s="47">
        <f t="shared" si="333"/>
        <v>9.4946926058004661E-3</v>
      </c>
      <c r="P2669" s="47">
        <f t="shared" si="334"/>
        <v>6.6705257031683451E-2</v>
      </c>
      <c r="Q2669" s="47">
        <f t="shared" si="335"/>
        <v>1</v>
      </c>
    </row>
    <row r="2670" spans="1:17" x14ac:dyDescent="0.35">
      <c r="A2670" s="82">
        <v>2667</v>
      </c>
      <c r="B2670" s="83" t="str">
        <f>_xlfn.XLOOKUP(A2670,'TAZs by City - CCAG Model'!$A:$A,'TAZs by City - CCAG Model'!$B:$B,"Unknown")</f>
        <v>Petaluma</v>
      </c>
      <c r="C2670" s="82">
        <f>_xlfn.XLOOKUP(A2670,'TAZs by City - CCAG Model'!$A:$A,'TAZs by City - CCAG Model'!$C:$C,999)</f>
        <v>8</v>
      </c>
      <c r="D2670" s="82" t="str">
        <f t="shared" si="328"/>
        <v>NO</v>
      </c>
      <c r="E2670" s="27">
        <v>22680.98</v>
      </c>
      <c r="F2670" s="27">
        <v>12530.66</v>
      </c>
      <c r="G2670" s="27">
        <v>1399.26</v>
      </c>
      <c r="H2670" s="27">
        <v>375.02</v>
      </c>
      <c r="I2670" s="27">
        <v>2637.48</v>
      </c>
      <c r="J2670" s="27">
        <v>41040.620000000003</v>
      </c>
      <c r="K2670" s="47">
        <f t="shared" si="329"/>
        <v>0.55264710913236681</v>
      </c>
      <c r="L2670" s="47">
        <f t="shared" si="330"/>
        <v>0.30532336012467648</v>
      </c>
      <c r="M2670" s="84">
        <f t="shared" si="331"/>
        <v>0.85797046925704334</v>
      </c>
      <c r="N2670" s="47">
        <f t="shared" si="332"/>
        <v>3.4094514166696309E-2</v>
      </c>
      <c r="O2670" s="47">
        <f t="shared" si="333"/>
        <v>9.1377761836931304E-3</v>
      </c>
      <c r="P2670" s="47">
        <f t="shared" si="334"/>
        <v>6.4265111004658301E-2</v>
      </c>
      <c r="Q2670" s="47">
        <f t="shared" si="335"/>
        <v>1</v>
      </c>
    </row>
    <row r="2671" spans="1:17" x14ac:dyDescent="0.35">
      <c r="A2671" s="82">
        <v>2668</v>
      </c>
      <c r="B2671" s="83" t="str">
        <f>_xlfn.XLOOKUP(A2671,'TAZs by City - CCAG Model'!$A:$A,'TAZs by City - CCAG Model'!$B:$B,"Unknown")</f>
        <v>Unincorporated</v>
      </c>
      <c r="C2671" s="82">
        <f>_xlfn.XLOOKUP(A2671,'TAZs by City - CCAG Model'!$A:$A,'TAZs by City - CCAG Model'!$C:$C,999)</f>
        <v>8</v>
      </c>
      <c r="D2671" s="82" t="str">
        <f t="shared" si="328"/>
        <v>NO</v>
      </c>
      <c r="E2671" s="27">
        <v>47459.96</v>
      </c>
      <c r="F2671" s="27">
        <v>25597.4</v>
      </c>
      <c r="G2671" s="27">
        <v>1804.28</v>
      </c>
      <c r="H2671" s="27">
        <v>633.67999999999995</v>
      </c>
      <c r="I2671" s="27">
        <v>6630.08</v>
      </c>
      <c r="J2671" s="27">
        <v>83959.54</v>
      </c>
      <c r="K2671" s="47">
        <f t="shared" si="329"/>
        <v>0.56527179639145242</v>
      </c>
      <c r="L2671" s="47">
        <f t="shared" si="330"/>
        <v>0.30487780185551283</v>
      </c>
      <c r="M2671" s="84">
        <f t="shared" si="331"/>
        <v>0.87014959824696525</v>
      </c>
      <c r="N2671" s="47">
        <f t="shared" si="332"/>
        <v>2.148987476586937E-2</v>
      </c>
      <c r="O2671" s="47">
        <f t="shared" si="333"/>
        <v>7.5474448764250015E-3</v>
      </c>
      <c r="P2671" s="47">
        <f t="shared" si="334"/>
        <v>7.8967559850851979E-2</v>
      </c>
      <c r="Q2671" s="47">
        <f t="shared" si="335"/>
        <v>1</v>
      </c>
    </row>
    <row r="2672" spans="1:17" x14ac:dyDescent="0.35">
      <c r="A2672" s="82">
        <v>2669</v>
      </c>
      <c r="B2672" s="83" t="str">
        <f>_xlfn.XLOOKUP(A2672,'TAZs by City - CCAG Model'!$A:$A,'TAZs by City - CCAG Model'!$B:$B,"Unknown")</f>
        <v>Unincorporated</v>
      </c>
      <c r="C2672" s="82">
        <f>_xlfn.XLOOKUP(A2672,'TAZs by City - CCAG Model'!$A:$A,'TAZs by City - CCAG Model'!$C:$C,999)</f>
        <v>8</v>
      </c>
      <c r="D2672" s="82" t="str">
        <f t="shared" si="328"/>
        <v>NO</v>
      </c>
      <c r="E2672" s="27">
        <v>40249.800000000003</v>
      </c>
      <c r="F2672" s="27">
        <v>17196.16</v>
      </c>
      <c r="G2672" s="27">
        <v>1124.8</v>
      </c>
      <c r="H2672" s="27">
        <v>401.5</v>
      </c>
      <c r="I2672" s="27">
        <v>3123.98</v>
      </c>
      <c r="J2672" s="27">
        <v>63253.2</v>
      </c>
      <c r="K2672" s="47">
        <f t="shared" si="329"/>
        <v>0.63632828062453761</v>
      </c>
      <c r="L2672" s="47">
        <f t="shared" si="330"/>
        <v>0.27186229313299565</v>
      </c>
      <c r="M2672" s="84">
        <f t="shared" si="331"/>
        <v>0.90819057375753331</v>
      </c>
      <c r="N2672" s="47">
        <f t="shared" si="332"/>
        <v>1.7782499541525172E-2</v>
      </c>
      <c r="O2672" s="47">
        <f t="shared" si="333"/>
        <v>6.3475049483662487E-3</v>
      </c>
      <c r="P2672" s="47">
        <f t="shared" si="334"/>
        <v>4.9388489436107581E-2</v>
      </c>
      <c r="Q2672" s="47">
        <f t="shared" si="335"/>
        <v>1</v>
      </c>
    </row>
    <row r="2673" spans="1:17" x14ac:dyDescent="0.35">
      <c r="A2673" s="82">
        <v>2670</v>
      </c>
      <c r="B2673" s="83" t="str">
        <f>_xlfn.XLOOKUP(A2673,'TAZs by City - CCAG Model'!$A:$A,'TAZs by City - CCAG Model'!$B:$B,"Unknown")</f>
        <v>Cotati</v>
      </c>
      <c r="C2673" s="82">
        <f>_xlfn.XLOOKUP(A2673,'TAZs by City - CCAG Model'!$A:$A,'TAZs by City - CCAG Model'!$C:$C,999)</f>
        <v>8</v>
      </c>
      <c r="D2673" s="82" t="str">
        <f t="shared" si="328"/>
        <v>NO</v>
      </c>
      <c r="E2673" s="27">
        <v>11234.98</v>
      </c>
      <c r="F2673" s="27">
        <v>5929.14</v>
      </c>
      <c r="G2673" s="27">
        <v>770.8</v>
      </c>
      <c r="H2673" s="27">
        <v>160.94</v>
      </c>
      <c r="I2673" s="27">
        <v>861.26</v>
      </c>
      <c r="J2673" s="27">
        <v>19746.419999999998</v>
      </c>
      <c r="K2673" s="47">
        <f t="shared" si="329"/>
        <v>0.56896288036008558</v>
      </c>
      <c r="L2673" s="47">
        <f t="shared" si="330"/>
        <v>0.30026404786285316</v>
      </c>
      <c r="M2673" s="84">
        <f t="shared" si="331"/>
        <v>0.86922692822293868</v>
      </c>
      <c r="N2673" s="47">
        <f t="shared" si="332"/>
        <v>3.9034923798845565E-2</v>
      </c>
      <c r="O2673" s="47">
        <f t="shared" si="333"/>
        <v>8.1503381372420927E-3</v>
      </c>
      <c r="P2673" s="47">
        <f t="shared" si="334"/>
        <v>4.3616007357282993E-2</v>
      </c>
      <c r="Q2673" s="47">
        <f t="shared" si="335"/>
        <v>1</v>
      </c>
    </row>
    <row r="2674" spans="1:17" x14ac:dyDescent="0.35">
      <c r="A2674" s="82">
        <v>2671</v>
      </c>
      <c r="B2674" s="83" t="str">
        <f>_xlfn.XLOOKUP(A2674,'TAZs by City - CCAG Model'!$A:$A,'TAZs by City - CCAG Model'!$B:$B,"Unknown")</f>
        <v>Cotati</v>
      </c>
      <c r="C2674" s="82">
        <f>_xlfn.XLOOKUP(A2674,'TAZs by City - CCAG Model'!$A:$A,'TAZs by City - CCAG Model'!$C:$C,999)</f>
        <v>8</v>
      </c>
      <c r="D2674" s="82" t="str">
        <f t="shared" si="328"/>
        <v>NO</v>
      </c>
      <c r="E2674" s="27">
        <v>12415.42</v>
      </c>
      <c r="F2674" s="27">
        <v>7690.36</v>
      </c>
      <c r="G2674" s="27">
        <v>623.41999999999996</v>
      </c>
      <c r="H2674" s="27">
        <v>221.46</v>
      </c>
      <c r="I2674" s="27">
        <v>1630.94</v>
      </c>
      <c r="J2674" s="27">
        <v>23221.84</v>
      </c>
      <c r="K2674" s="47">
        <f t="shared" si="329"/>
        <v>0.53464411088871511</v>
      </c>
      <c r="L2674" s="47">
        <f t="shared" si="330"/>
        <v>0.33116927857568562</v>
      </c>
      <c r="M2674" s="84">
        <f t="shared" si="331"/>
        <v>0.86581338946440067</v>
      </c>
      <c r="N2674" s="47">
        <f t="shared" si="332"/>
        <v>2.6846279192346514E-2</v>
      </c>
      <c r="O2674" s="47">
        <f t="shared" si="333"/>
        <v>9.5367119918146025E-3</v>
      </c>
      <c r="P2674" s="47">
        <f t="shared" si="334"/>
        <v>7.0233022017204494E-2</v>
      </c>
      <c r="Q2674" s="47">
        <f t="shared" si="335"/>
        <v>1</v>
      </c>
    </row>
    <row r="2675" spans="1:17" x14ac:dyDescent="0.35">
      <c r="A2675" s="82">
        <v>2672</v>
      </c>
      <c r="B2675" s="83" t="str">
        <f>_xlfn.XLOOKUP(A2675,'TAZs by City - CCAG Model'!$A:$A,'TAZs by City - CCAG Model'!$B:$B,"Unknown")</f>
        <v>Unincorporated</v>
      </c>
      <c r="C2675" s="82">
        <f>_xlfn.XLOOKUP(A2675,'TAZs by City - CCAG Model'!$A:$A,'TAZs by City - CCAG Model'!$C:$C,999)</f>
        <v>8</v>
      </c>
      <c r="D2675" s="82" t="str">
        <f t="shared" si="328"/>
        <v>NO</v>
      </c>
      <c r="E2675" s="27">
        <v>16703.7</v>
      </c>
      <c r="F2675" s="27">
        <v>10568.38</v>
      </c>
      <c r="G2675" s="27">
        <v>973.6</v>
      </c>
      <c r="H2675" s="27">
        <v>317.58</v>
      </c>
      <c r="I2675" s="27">
        <v>2933.28</v>
      </c>
      <c r="J2675" s="27">
        <v>32490.22</v>
      </c>
      <c r="K2675" s="47">
        <f t="shared" si="329"/>
        <v>0.51411470898011769</v>
      </c>
      <c r="L2675" s="47">
        <f t="shared" si="330"/>
        <v>0.32527880697637623</v>
      </c>
      <c r="M2675" s="84">
        <f t="shared" si="331"/>
        <v>0.83939351595649403</v>
      </c>
      <c r="N2675" s="47">
        <f t="shared" si="332"/>
        <v>2.9965940519947235E-2</v>
      </c>
      <c r="O2675" s="47">
        <f t="shared" si="333"/>
        <v>9.7746337205472898E-3</v>
      </c>
      <c r="P2675" s="47">
        <f t="shared" si="334"/>
        <v>9.0281937149086708E-2</v>
      </c>
      <c r="Q2675" s="47">
        <f t="shared" si="335"/>
        <v>1</v>
      </c>
    </row>
    <row r="2676" spans="1:17" x14ac:dyDescent="0.35">
      <c r="A2676" s="82">
        <v>2673</v>
      </c>
      <c r="B2676" s="83" t="str">
        <f>_xlfn.XLOOKUP(A2676,'TAZs by City - CCAG Model'!$A:$A,'TAZs by City - CCAG Model'!$B:$B,"Unknown")</f>
        <v>Unincorporated</v>
      </c>
      <c r="C2676" s="82">
        <f>_xlfn.XLOOKUP(A2676,'TAZs by City - CCAG Model'!$A:$A,'TAZs by City - CCAG Model'!$C:$C,999)</f>
        <v>8</v>
      </c>
      <c r="D2676" s="82" t="str">
        <f t="shared" si="328"/>
        <v>NO</v>
      </c>
      <c r="E2676" s="27">
        <v>19231.740000000002</v>
      </c>
      <c r="F2676" s="27">
        <v>8993.18</v>
      </c>
      <c r="G2676" s="27">
        <v>1887.64</v>
      </c>
      <c r="H2676" s="27">
        <v>297.94</v>
      </c>
      <c r="I2676" s="27">
        <v>1471.2</v>
      </c>
      <c r="J2676" s="27">
        <v>33792.199999999997</v>
      </c>
      <c r="K2676" s="47">
        <f t="shared" si="329"/>
        <v>0.56911772539225036</v>
      </c>
      <c r="L2676" s="47">
        <f t="shared" si="330"/>
        <v>0.2661318292387001</v>
      </c>
      <c r="M2676" s="84">
        <f t="shared" si="331"/>
        <v>0.83524955463095052</v>
      </c>
      <c r="N2676" s="47">
        <f t="shared" si="332"/>
        <v>5.5860228099975741E-2</v>
      </c>
      <c r="O2676" s="47">
        <f t="shared" si="333"/>
        <v>8.8168275519202657E-3</v>
      </c>
      <c r="P2676" s="47">
        <f t="shared" si="334"/>
        <v>4.3536674143737318E-2</v>
      </c>
      <c r="Q2676" s="47">
        <f t="shared" si="335"/>
        <v>1</v>
      </c>
    </row>
    <row r="2677" spans="1:17" x14ac:dyDescent="0.35">
      <c r="A2677" s="82">
        <v>2674</v>
      </c>
      <c r="B2677" s="83" t="str">
        <f>_xlfn.XLOOKUP(A2677,'TAZs by City - CCAG Model'!$A:$A,'TAZs by City - CCAG Model'!$B:$B,"Unknown")</f>
        <v>Rohnert Park</v>
      </c>
      <c r="C2677" s="82">
        <f>_xlfn.XLOOKUP(A2677,'TAZs by City - CCAG Model'!$A:$A,'TAZs by City - CCAG Model'!$C:$C,999)</f>
        <v>8</v>
      </c>
      <c r="D2677" s="82" t="str">
        <f t="shared" si="328"/>
        <v>NO</v>
      </c>
      <c r="E2677" s="27">
        <v>14674.56</v>
      </c>
      <c r="F2677" s="27">
        <v>7644.96</v>
      </c>
      <c r="G2677" s="27">
        <v>927.46</v>
      </c>
      <c r="H2677" s="27">
        <v>271.83999999999997</v>
      </c>
      <c r="I2677" s="27">
        <v>2270.1999999999998</v>
      </c>
      <c r="J2677" s="27">
        <v>26737.46</v>
      </c>
      <c r="K2677" s="47">
        <f t="shared" si="329"/>
        <v>0.54883896974506929</v>
      </c>
      <c r="L2677" s="47">
        <f t="shared" si="330"/>
        <v>0.28592693546806613</v>
      </c>
      <c r="M2677" s="84">
        <f t="shared" si="331"/>
        <v>0.83476590521313543</v>
      </c>
      <c r="N2677" s="47">
        <f t="shared" si="332"/>
        <v>3.4687662926844963E-2</v>
      </c>
      <c r="O2677" s="47">
        <f t="shared" si="333"/>
        <v>1.016700913250548E-2</v>
      </c>
      <c r="P2677" s="47">
        <f t="shared" si="334"/>
        <v>8.4907092895136635E-2</v>
      </c>
      <c r="Q2677" s="47">
        <f t="shared" si="335"/>
        <v>1</v>
      </c>
    </row>
    <row r="2678" spans="1:17" x14ac:dyDescent="0.35">
      <c r="A2678" s="82">
        <v>2675</v>
      </c>
      <c r="B2678" s="83" t="str">
        <f>_xlfn.XLOOKUP(A2678,'TAZs by City - CCAG Model'!$A:$A,'TAZs by City - CCAG Model'!$B:$B,"Unknown")</f>
        <v>Rohnert Park</v>
      </c>
      <c r="C2678" s="82">
        <f>_xlfn.XLOOKUP(A2678,'TAZs by City - CCAG Model'!$A:$A,'TAZs by City - CCAG Model'!$C:$C,999)</f>
        <v>8</v>
      </c>
      <c r="D2678" s="82" t="str">
        <f t="shared" si="328"/>
        <v>NO</v>
      </c>
      <c r="E2678" s="27">
        <v>9598.2000000000007</v>
      </c>
      <c r="F2678" s="27">
        <v>5727.94</v>
      </c>
      <c r="G2678" s="27">
        <v>789.3</v>
      </c>
      <c r="H2678" s="27">
        <v>198.2</v>
      </c>
      <c r="I2678" s="27">
        <v>1563.36</v>
      </c>
      <c r="J2678" s="27">
        <v>18684.36</v>
      </c>
      <c r="K2678" s="47">
        <f t="shared" si="329"/>
        <v>0.51370236925428547</v>
      </c>
      <c r="L2678" s="47">
        <f t="shared" si="330"/>
        <v>0.3065633503100989</v>
      </c>
      <c r="M2678" s="84">
        <f t="shared" si="331"/>
        <v>0.82026571956438432</v>
      </c>
      <c r="N2678" s="47">
        <f t="shared" si="332"/>
        <v>4.2243887401013466E-2</v>
      </c>
      <c r="O2678" s="47">
        <f t="shared" si="333"/>
        <v>1.060780246152397E-2</v>
      </c>
      <c r="P2678" s="47">
        <f t="shared" si="334"/>
        <v>8.3672119355439514E-2</v>
      </c>
      <c r="Q2678" s="47">
        <f t="shared" si="335"/>
        <v>1</v>
      </c>
    </row>
    <row r="2679" spans="1:17" x14ac:dyDescent="0.35">
      <c r="A2679" s="82">
        <v>2676</v>
      </c>
      <c r="B2679" s="83" t="str">
        <f>_xlfn.XLOOKUP(A2679,'TAZs by City - CCAG Model'!$A:$A,'TAZs by City - CCAG Model'!$B:$B,"Unknown")</f>
        <v>Rohnert Park</v>
      </c>
      <c r="C2679" s="82">
        <f>_xlfn.XLOOKUP(A2679,'TAZs by City - CCAG Model'!$A:$A,'TAZs by City - CCAG Model'!$C:$C,999)</f>
        <v>8</v>
      </c>
      <c r="D2679" s="82" t="str">
        <f t="shared" si="328"/>
        <v>NO</v>
      </c>
      <c r="E2679" s="27">
        <v>18101.740000000002</v>
      </c>
      <c r="F2679" s="27">
        <v>9264.8799999999992</v>
      </c>
      <c r="G2679" s="27">
        <v>1603.96</v>
      </c>
      <c r="H2679" s="27">
        <v>311.66000000000003</v>
      </c>
      <c r="I2679" s="27">
        <v>1393.28</v>
      </c>
      <c r="J2679" s="27">
        <v>32303.54</v>
      </c>
      <c r="K2679" s="47">
        <f t="shared" si="329"/>
        <v>0.56036397249341718</v>
      </c>
      <c r="L2679" s="47">
        <f t="shared" si="330"/>
        <v>0.28680695676077606</v>
      </c>
      <c r="M2679" s="84">
        <f t="shared" si="331"/>
        <v>0.84717092925419324</v>
      </c>
      <c r="N2679" s="47">
        <f t="shared" si="332"/>
        <v>4.9652762514572707E-2</v>
      </c>
      <c r="O2679" s="47">
        <f t="shared" si="333"/>
        <v>9.647859027214975E-3</v>
      </c>
      <c r="P2679" s="47">
        <f t="shared" si="334"/>
        <v>4.3130876677912079E-2</v>
      </c>
      <c r="Q2679" s="47">
        <f t="shared" si="335"/>
        <v>1</v>
      </c>
    </row>
    <row r="2680" spans="1:17" x14ac:dyDescent="0.35">
      <c r="A2680" s="82">
        <v>2677</v>
      </c>
      <c r="B2680" s="83" t="str">
        <f>_xlfn.XLOOKUP(A2680,'TAZs by City - CCAG Model'!$A:$A,'TAZs by City - CCAG Model'!$B:$B,"Unknown")</f>
        <v>Rohnert Park</v>
      </c>
      <c r="C2680" s="82">
        <f>_xlfn.XLOOKUP(A2680,'TAZs by City - CCAG Model'!$A:$A,'TAZs by City - CCAG Model'!$C:$C,999)</f>
        <v>8</v>
      </c>
      <c r="D2680" s="82" t="str">
        <f t="shared" si="328"/>
        <v>NO</v>
      </c>
      <c r="E2680" s="27">
        <v>7864</v>
      </c>
      <c r="F2680" s="27">
        <v>4706.84</v>
      </c>
      <c r="G2680" s="27">
        <v>725.38</v>
      </c>
      <c r="H2680" s="27">
        <v>131.30000000000001</v>
      </c>
      <c r="I2680" s="27">
        <v>502.08</v>
      </c>
      <c r="J2680" s="27">
        <v>14667.66</v>
      </c>
      <c r="K2680" s="47">
        <f t="shared" si="329"/>
        <v>0.53614550650887738</v>
      </c>
      <c r="L2680" s="47">
        <f t="shared" si="330"/>
        <v>0.32089917546493446</v>
      </c>
      <c r="M2680" s="84">
        <f t="shared" si="331"/>
        <v>0.85704468197381178</v>
      </c>
      <c r="N2680" s="47">
        <f t="shared" si="332"/>
        <v>4.9454377862590215E-2</v>
      </c>
      <c r="O2680" s="47">
        <f t="shared" si="333"/>
        <v>8.9516664553173451E-3</v>
      </c>
      <c r="P2680" s="47">
        <f t="shared" si="334"/>
        <v>3.4230408940485395E-2</v>
      </c>
      <c r="Q2680" s="47">
        <f t="shared" si="335"/>
        <v>1</v>
      </c>
    </row>
    <row r="2681" spans="1:17" x14ac:dyDescent="0.35">
      <c r="A2681" s="82">
        <v>2678</v>
      </c>
      <c r="B2681" s="83" t="str">
        <f>_xlfn.XLOOKUP(A2681,'TAZs by City - CCAG Model'!$A:$A,'TAZs by City - CCAG Model'!$B:$B,"Unknown")</f>
        <v>Rohnert Park</v>
      </c>
      <c r="C2681" s="82">
        <f>_xlfn.XLOOKUP(A2681,'TAZs by City - CCAG Model'!$A:$A,'TAZs by City - CCAG Model'!$C:$C,999)</f>
        <v>8</v>
      </c>
      <c r="D2681" s="82" t="str">
        <f t="shared" si="328"/>
        <v>NO</v>
      </c>
      <c r="E2681" s="27">
        <v>15923.32</v>
      </c>
      <c r="F2681" s="27">
        <v>7723.48</v>
      </c>
      <c r="G2681" s="27">
        <v>414.9</v>
      </c>
      <c r="H2681" s="27">
        <v>214.68</v>
      </c>
      <c r="I2681" s="27">
        <v>1029.3599999999999</v>
      </c>
      <c r="J2681" s="27">
        <v>25741.279999999999</v>
      </c>
      <c r="K2681" s="47">
        <f t="shared" si="329"/>
        <v>0.61859083930558234</v>
      </c>
      <c r="L2681" s="47">
        <f t="shared" si="330"/>
        <v>0.30004257752528235</v>
      </c>
      <c r="M2681" s="84">
        <f t="shared" si="331"/>
        <v>0.91863341683086464</v>
      </c>
      <c r="N2681" s="47">
        <f t="shared" si="332"/>
        <v>1.6118079598217337E-2</v>
      </c>
      <c r="O2681" s="47">
        <f t="shared" si="333"/>
        <v>8.3399116127869325E-3</v>
      </c>
      <c r="P2681" s="47">
        <f t="shared" si="334"/>
        <v>3.9988687431238845E-2</v>
      </c>
      <c r="Q2681" s="47">
        <f t="shared" si="335"/>
        <v>1</v>
      </c>
    </row>
    <row r="2682" spans="1:17" x14ac:dyDescent="0.35">
      <c r="A2682" s="82">
        <v>2679</v>
      </c>
      <c r="B2682" s="83" t="str">
        <f>_xlfn.XLOOKUP(A2682,'TAZs by City - CCAG Model'!$A:$A,'TAZs by City - CCAG Model'!$B:$B,"Unknown")</f>
        <v>Rohnert Park</v>
      </c>
      <c r="C2682" s="82">
        <f>_xlfn.XLOOKUP(A2682,'TAZs by City - CCAG Model'!$A:$A,'TAZs by City - CCAG Model'!$C:$C,999)</f>
        <v>8</v>
      </c>
      <c r="D2682" s="82" t="str">
        <f t="shared" si="328"/>
        <v>NO</v>
      </c>
      <c r="E2682" s="27">
        <v>11154.36</v>
      </c>
      <c r="F2682" s="27">
        <v>7262.9</v>
      </c>
      <c r="G2682" s="27">
        <v>593.9</v>
      </c>
      <c r="H2682" s="27">
        <v>131.58000000000001</v>
      </c>
      <c r="I2682" s="27">
        <v>523.78</v>
      </c>
      <c r="J2682" s="27">
        <v>20276.98</v>
      </c>
      <c r="K2682" s="47">
        <f t="shared" si="329"/>
        <v>0.5500996696746755</v>
      </c>
      <c r="L2682" s="47">
        <f t="shared" si="330"/>
        <v>0.35818450282043973</v>
      </c>
      <c r="M2682" s="84">
        <f t="shared" si="331"/>
        <v>0.90828417249511528</v>
      </c>
      <c r="N2682" s="47">
        <f t="shared" si="332"/>
        <v>2.9289371494177142E-2</v>
      </c>
      <c r="O2682" s="47">
        <f t="shared" si="333"/>
        <v>6.4891320107826715E-3</v>
      </c>
      <c r="P2682" s="47">
        <f t="shared" si="334"/>
        <v>2.583126284091615E-2</v>
      </c>
      <c r="Q2682" s="47">
        <f t="shared" si="335"/>
        <v>1</v>
      </c>
    </row>
    <row r="2683" spans="1:17" x14ac:dyDescent="0.35">
      <c r="A2683" s="82">
        <v>2680</v>
      </c>
      <c r="B2683" s="83" t="str">
        <f>_xlfn.XLOOKUP(A2683,'TAZs by City - CCAG Model'!$A:$A,'TAZs by City - CCAG Model'!$B:$B,"Unknown")</f>
        <v>Unincorporated</v>
      </c>
      <c r="C2683" s="82">
        <f>_xlfn.XLOOKUP(A2683,'TAZs by City - CCAG Model'!$A:$A,'TAZs by City - CCAG Model'!$C:$C,999)</f>
        <v>8</v>
      </c>
      <c r="D2683" s="82" t="str">
        <f t="shared" si="328"/>
        <v>NO</v>
      </c>
      <c r="E2683" s="27">
        <v>40081.94</v>
      </c>
      <c r="F2683" s="27">
        <v>21248.02</v>
      </c>
      <c r="G2683" s="27">
        <v>2176.98</v>
      </c>
      <c r="H2683" s="27">
        <v>799.76</v>
      </c>
      <c r="I2683" s="27">
        <v>4929.8999999999996</v>
      </c>
      <c r="J2683" s="27">
        <v>71440.84</v>
      </c>
      <c r="K2683" s="47">
        <f t="shared" si="329"/>
        <v>0.56105079391563706</v>
      </c>
      <c r="L2683" s="47">
        <f t="shared" si="330"/>
        <v>0.29742119493555791</v>
      </c>
      <c r="M2683" s="84">
        <f t="shared" si="331"/>
        <v>0.85847198885119502</v>
      </c>
      <c r="N2683" s="47">
        <f t="shared" si="332"/>
        <v>3.0472486045796776E-2</v>
      </c>
      <c r="O2683" s="47">
        <f t="shared" si="333"/>
        <v>1.1194717195374524E-2</v>
      </c>
      <c r="P2683" s="47">
        <f t="shared" si="334"/>
        <v>6.9006747401066396E-2</v>
      </c>
      <c r="Q2683" s="47">
        <f t="shared" si="335"/>
        <v>1</v>
      </c>
    </row>
    <row r="2684" spans="1:17" x14ac:dyDescent="0.35">
      <c r="A2684" s="82">
        <v>2681</v>
      </c>
      <c r="B2684" s="83" t="str">
        <f>_xlfn.XLOOKUP(A2684,'TAZs by City - CCAG Model'!$A:$A,'TAZs by City - CCAG Model'!$B:$B,"Unknown")</f>
        <v>Unincorporated</v>
      </c>
      <c r="C2684" s="82">
        <f>_xlfn.XLOOKUP(A2684,'TAZs by City - CCAG Model'!$A:$A,'TAZs by City - CCAG Model'!$C:$C,999)</f>
        <v>8</v>
      </c>
      <c r="D2684" s="82" t="str">
        <f t="shared" si="328"/>
        <v>NO</v>
      </c>
      <c r="E2684" s="27">
        <v>15722.04</v>
      </c>
      <c r="F2684" s="27">
        <v>10360.58</v>
      </c>
      <c r="G2684" s="27">
        <v>1687.1</v>
      </c>
      <c r="H2684" s="27">
        <v>307.74</v>
      </c>
      <c r="I2684" s="27">
        <v>1125</v>
      </c>
      <c r="J2684" s="27">
        <v>30906.720000000001</v>
      </c>
      <c r="K2684" s="47">
        <f t="shared" si="329"/>
        <v>0.50869325505909391</v>
      </c>
      <c r="L2684" s="47">
        <f t="shared" si="330"/>
        <v>0.33522094871277186</v>
      </c>
      <c r="M2684" s="84">
        <f t="shared" si="331"/>
        <v>0.84391420377186588</v>
      </c>
      <c r="N2684" s="47">
        <f t="shared" si="332"/>
        <v>5.4586834190104933E-2</v>
      </c>
      <c r="O2684" s="47">
        <f t="shared" si="333"/>
        <v>9.9570578825575792E-3</v>
      </c>
      <c r="P2684" s="47">
        <f t="shared" si="334"/>
        <v>3.6399850906210687E-2</v>
      </c>
      <c r="Q2684" s="47">
        <f t="shared" si="335"/>
        <v>1</v>
      </c>
    </row>
    <row r="2685" spans="1:17" x14ac:dyDescent="0.35">
      <c r="A2685" s="82">
        <v>2682</v>
      </c>
      <c r="B2685" s="83" t="str">
        <f>_xlfn.XLOOKUP(A2685,'TAZs by City - CCAG Model'!$A:$A,'TAZs by City - CCAG Model'!$B:$B,"Unknown")</f>
        <v>Unincorporated</v>
      </c>
      <c r="C2685" s="82">
        <f>_xlfn.XLOOKUP(A2685,'TAZs by City - CCAG Model'!$A:$A,'TAZs by City - CCAG Model'!$C:$C,999)</f>
        <v>8</v>
      </c>
      <c r="D2685" s="82" t="str">
        <f t="shared" si="328"/>
        <v>NO</v>
      </c>
      <c r="E2685" s="27">
        <v>21869.86</v>
      </c>
      <c r="F2685" s="27">
        <v>11539.72</v>
      </c>
      <c r="G2685" s="27">
        <v>871.36</v>
      </c>
      <c r="H2685" s="27">
        <v>281.27999999999997</v>
      </c>
      <c r="I2685" s="27">
        <v>1212.52</v>
      </c>
      <c r="J2685" s="27">
        <v>36667.300000000003</v>
      </c>
      <c r="K2685" s="47">
        <f t="shared" si="329"/>
        <v>0.59644042511992967</v>
      </c>
      <c r="L2685" s="47">
        <f t="shared" si="330"/>
        <v>0.31471420039108411</v>
      </c>
      <c r="M2685" s="84">
        <f t="shared" si="331"/>
        <v>0.91115462551101389</v>
      </c>
      <c r="N2685" s="47">
        <f t="shared" si="332"/>
        <v>2.376395316808164E-2</v>
      </c>
      <c r="O2685" s="47">
        <f t="shared" si="333"/>
        <v>7.6711402257597355E-3</v>
      </c>
      <c r="P2685" s="47">
        <f t="shared" si="334"/>
        <v>3.3068156095485621E-2</v>
      </c>
      <c r="Q2685" s="47">
        <f t="shared" si="335"/>
        <v>1</v>
      </c>
    </row>
    <row r="2686" spans="1:17" x14ac:dyDescent="0.35">
      <c r="A2686" s="82">
        <v>2683</v>
      </c>
      <c r="B2686" s="83" t="str">
        <f>_xlfn.XLOOKUP(A2686,'TAZs by City - CCAG Model'!$A:$A,'TAZs by City - CCAG Model'!$B:$B,"Unknown")</f>
        <v>Santa Rosa</v>
      </c>
      <c r="C2686" s="82">
        <f>_xlfn.XLOOKUP(A2686,'TAZs by City - CCAG Model'!$A:$A,'TAZs by City - CCAG Model'!$C:$C,999)</f>
        <v>8</v>
      </c>
      <c r="D2686" s="82" t="str">
        <f t="shared" si="328"/>
        <v>NO</v>
      </c>
      <c r="E2686" s="27">
        <v>8274.74</v>
      </c>
      <c r="F2686" s="27">
        <v>4905.38</v>
      </c>
      <c r="G2686" s="27">
        <v>523.24</v>
      </c>
      <c r="H2686" s="27">
        <v>154.63999999999999</v>
      </c>
      <c r="I2686" s="27">
        <v>423.28</v>
      </c>
      <c r="J2686" s="27">
        <v>14816.24</v>
      </c>
      <c r="K2686" s="47">
        <f t="shared" si="329"/>
        <v>0.55849122314433353</v>
      </c>
      <c r="L2686" s="47">
        <f t="shared" si="330"/>
        <v>0.33108129997894203</v>
      </c>
      <c r="M2686" s="84">
        <f t="shared" si="331"/>
        <v>0.8895725231232755</v>
      </c>
      <c r="N2686" s="47">
        <f t="shared" si="332"/>
        <v>3.5315302667883353E-2</v>
      </c>
      <c r="O2686" s="47">
        <f t="shared" si="333"/>
        <v>1.0437195941750403E-2</v>
      </c>
      <c r="P2686" s="47">
        <f t="shared" si="334"/>
        <v>2.8568651695706871E-2</v>
      </c>
      <c r="Q2686" s="47">
        <f t="shared" si="335"/>
        <v>1</v>
      </c>
    </row>
    <row r="2687" spans="1:17" x14ac:dyDescent="0.35">
      <c r="A2687" s="82">
        <v>2684</v>
      </c>
      <c r="B2687" s="83" t="str">
        <f>_xlfn.XLOOKUP(A2687,'TAZs by City - CCAG Model'!$A:$A,'TAZs by City - CCAG Model'!$B:$B,"Unknown")</f>
        <v>Unincorporated</v>
      </c>
      <c r="C2687" s="82">
        <f>_xlfn.XLOOKUP(A2687,'TAZs by City - CCAG Model'!$A:$A,'TAZs by City - CCAG Model'!$C:$C,999)</f>
        <v>8</v>
      </c>
      <c r="D2687" s="82" t="str">
        <f t="shared" si="328"/>
        <v>NO</v>
      </c>
      <c r="E2687" s="27">
        <v>8007.28</v>
      </c>
      <c r="F2687" s="27">
        <v>5123.92</v>
      </c>
      <c r="G2687" s="27">
        <v>234.76</v>
      </c>
      <c r="H2687" s="27">
        <v>118.84</v>
      </c>
      <c r="I2687" s="27">
        <v>384.42</v>
      </c>
      <c r="J2687" s="27">
        <v>14114.18</v>
      </c>
      <c r="K2687" s="47">
        <f t="shared" si="329"/>
        <v>0.56732165807719614</v>
      </c>
      <c r="L2687" s="47">
        <f t="shared" si="330"/>
        <v>0.36303348830750354</v>
      </c>
      <c r="M2687" s="84">
        <f t="shared" si="331"/>
        <v>0.93035514638469963</v>
      </c>
      <c r="N2687" s="47">
        <f t="shared" si="332"/>
        <v>1.6632918100803588E-2</v>
      </c>
      <c r="O2687" s="47">
        <f t="shared" si="333"/>
        <v>8.4199011207168953E-3</v>
      </c>
      <c r="P2687" s="47">
        <f t="shared" si="334"/>
        <v>2.7236438815432425E-2</v>
      </c>
      <c r="Q2687" s="47">
        <f t="shared" si="335"/>
        <v>1</v>
      </c>
    </row>
    <row r="2688" spans="1:17" x14ac:dyDescent="0.35">
      <c r="A2688" s="82">
        <v>2685</v>
      </c>
      <c r="B2688" s="83" t="str">
        <f>_xlfn.XLOOKUP(A2688,'TAZs by City - CCAG Model'!$A:$A,'TAZs by City - CCAG Model'!$B:$B,"Unknown")</f>
        <v>Unincorporated</v>
      </c>
      <c r="C2688" s="82">
        <f>_xlfn.XLOOKUP(A2688,'TAZs by City - CCAG Model'!$A:$A,'TAZs by City - CCAG Model'!$C:$C,999)</f>
        <v>8</v>
      </c>
      <c r="D2688" s="82" t="str">
        <f t="shared" si="328"/>
        <v>NO</v>
      </c>
      <c r="E2688" s="27">
        <v>16032.08</v>
      </c>
      <c r="F2688" s="27">
        <v>9158.66</v>
      </c>
      <c r="G2688" s="27">
        <v>598.46</v>
      </c>
      <c r="H2688" s="27">
        <v>189.8</v>
      </c>
      <c r="I2688" s="27">
        <v>1737.46</v>
      </c>
      <c r="J2688" s="27">
        <v>28328.240000000002</v>
      </c>
      <c r="K2688" s="47">
        <f t="shared" si="329"/>
        <v>0.56593985365839883</v>
      </c>
      <c r="L2688" s="47">
        <f t="shared" si="330"/>
        <v>0.32330494234728313</v>
      </c>
      <c r="M2688" s="84">
        <f t="shared" si="331"/>
        <v>0.88924479600568185</v>
      </c>
      <c r="N2688" s="47">
        <f t="shared" si="332"/>
        <v>2.1125915341016595E-2</v>
      </c>
      <c r="O2688" s="47">
        <f t="shared" si="333"/>
        <v>6.700027957967032E-3</v>
      </c>
      <c r="P2688" s="47">
        <f t="shared" si="334"/>
        <v>6.1333143181503687E-2</v>
      </c>
      <c r="Q2688" s="47">
        <f t="shared" si="335"/>
        <v>1</v>
      </c>
    </row>
    <row r="2689" spans="1:17" x14ac:dyDescent="0.35">
      <c r="A2689" s="82">
        <v>2686</v>
      </c>
      <c r="B2689" s="83" t="str">
        <f>_xlfn.XLOOKUP(A2689,'TAZs by City - CCAG Model'!$A:$A,'TAZs by City - CCAG Model'!$B:$B,"Unknown")</f>
        <v>Unincorporated</v>
      </c>
      <c r="C2689" s="82">
        <f>_xlfn.XLOOKUP(A2689,'TAZs by City - CCAG Model'!$A:$A,'TAZs by City - CCAG Model'!$C:$C,999)</f>
        <v>8</v>
      </c>
      <c r="D2689" s="82" t="str">
        <f t="shared" si="328"/>
        <v>NO</v>
      </c>
      <c r="E2689" s="27">
        <v>20552.099999999999</v>
      </c>
      <c r="F2689" s="27">
        <v>12558.86</v>
      </c>
      <c r="G2689" s="27">
        <v>1255</v>
      </c>
      <c r="H2689" s="27">
        <v>249.54</v>
      </c>
      <c r="I2689" s="27">
        <v>2045.1</v>
      </c>
      <c r="J2689" s="27">
        <v>37936.720000000001</v>
      </c>
      <c r="K2689" s="47">
        <f t="shared" si="329"/>
        <v>0.54174688797555504</v>
      </c>
      <c r="L2689" s="47">
        <f t="shared" si="330"/>
        <v>0.33104759715652804</v>
      </c>
      <c r="M2689" s="84">
        <f t="shared" si="331"/>
        <v>0.87279448513208302</v>
      </c>
      <c r="N2689" s="47">
        <f t="shared" si="332"/>
        <v>3.308140503448901E-2</v>
      </c>
      <c r="O2689" s="47">
        <f t="shared" si="333"/>
        <v>6.5777958663795913E-3</v>
      </c>
      <c r="P2689" s="47">
        <f t="shared" si="334"/>
        <v>5.3908192379309543E-2</v>
      </c>
      <c r="Q2689" s="47">
        <f t="shared" si="335"/>
        <v>1</v>
      </c>
    </row>
    <row r="2690" spans="1:17" x14ac:dyDescent="0.35">
      <c r="A2690" s="82">
        <v>2687</v>
      </c>
      <c r="B2690" s="83" t="str">
        <f>_xlfn.XLOOKUP(A2690,'TAZs by City - CCAG Model'!$A:$A,'TAZs by City - CCAG Model'!$B:$B,"Unknown")</f>
        <v>Santa Rosa</v>
      </c>
      <c r="C2690" s="82">
        <f>_xlfn.XLOOKUP(A2690,'TAZs by City - CCAG Model'!$A:$A,'TAZs by City - CCAG Model'!$C:$C,999)</f>
        <v>8</v>
      </c>
      <c r="D2690" s="82" t="str">
        <f t="shared" si="328"/>
        <v>NO</v>
      </c>
      <c r="E2690" s="27">
        <v>9753.98</v>
      </c>
      <c r="F2690" s="27">
        <v>5299.7</v>
      </c>
      <c r="G2690" s="27">
        <v>463.08</v>
      </c>
      <c r="H2690" s="27">
        <v>208.56</v>
      </c>
      <c r="I2690" s="27">
        <v>605.1</v>
      </c>
      <c r="J2690" s="27">
        <v>16809.099999999999</v>
      </c>
      <c r="K2690" s="47">
        <f t="shared" si="329"/>
        <v>0.5802797294322718</v>
      </c>
      <c r="L2690" s="47">
        <f t="shared" si="330"/>
        <v>0.31528755257568819</v>
      </c>
      <c r="M2690" s="84">
        <f t="shared" si="331"/>
        <v>0.8955672820079601</v>
      </c>
      <c r="N2690" s="47">
        <f t="shared" si="332"/>
        <v>2.7549363142583484E-2</v>
      </c>
      <c r="O2690" s="47">
        <f t="shared" si="333"/>
        <v>1.2407564949937833E-2</v>
      </c>
      <c r="P2690" s="47">
        <f t="shared" si="334"/>
        <v>3.5998358032256345E-2</v>
      </c>
      <c r="Q2690" s="47">
        <f t="shared" si="335"/>
        <v>1</v>
      </c>
    </row>
    <row r="2691" spans="1:17" x14ac:dyDescent="0.35">
      <c r="A2691" s="82">
        <v>2688</v>
      </c>
      <c r="B2691" s="83" t="str">
        <f>_xlfn.XLOOKUP(A2691,'TAZs by City - CCAG Model'!$A:$A,'TAZs by City - CCAG Model'!$B:$B,"Unknown")</f>
        <v>Santa Rosa</v>
      </c>
      <c r="C2691" s="82">
        <f>_xlfn.XLOOKUP(A2691,'TAZs by City - CCAG Model'!$A:$A,'TAZs by City - CCAG Model'!$C:$C,999)</f>
        <v>8</v>
      </c>
      <c r="D2691" s="82" t="str">
        <f t="shared" si="328"/>
        <v>NO</v>
      </c>
      <c r="E2691" s="27">
        <v>15775.2</v>
      </c>
      <c r="F2691" s="27">
        <v>9535.2000000000007</v>
      </c>
      <c r="G2691" s="27">
        <v>632.14</v>
      </c>
      <c r="H2691" s="27">
        <v>401.94</v>
      </c>
      <c r="I2691" s="27">
        <v>1455.32</v>
      </c>
      <c r="J2691" s="27">
        <v>28449.42</v>
      </c>
      <c r="K2691" s="47">
        <f t="shared" si="329"/>
        <v>0.55449988084115609</v>
      </c>
      <c r="L2691" s="47">
        <f t="shared" si="330"/>
        <v>0.3351632476162959</v>
      </c>
      <c r="M2691" s="84">
        <f t="shared" si="331"/>
        <v>0.88966312845745199</v>
      </c>
      <c r="N2691" s="47">
        <f t="shared" si="332"/>
        <v>2.2219785148519723E-2</v>
      </c>
      <c r="O2691" s="47">
        <f t="shared" si="333"/>
        <v>1.4128231788205173E-2</v>
      </c>
      <c r="P2691" s="47">
        <f t="shared" si="334"/>
        <v>5.1154645683462091E-2</v>
      </c>
      <c r="Q2691" s="47">
        <f t="shared" si="335"/>
        <v>1</v>
      </c>
    </row>
    <row r="2692" spans="1:17" x14ac:dyDescent="0.35">
      <c r="A2692" s="82">
        <v>2689</v>
      </c>
      <c r="B2692" s="83" t="str">
        <f>_xlfn.XLOOKUP(A2692,'TAZs by City - CCAG Model'!$A:$A,'TAZs by City - CCAG Model'!$B:$B,"Unknown")</f>
        <v>Santa Rosa</v>
      </c>
      <c r="C2692" s="82">
        <f>_xlfn.XLOOKUP(A2692,'TAZs by City - CCAG Model'!$A:$A,'TAZs by City - CCAG Model'!$C:$C,999)</f>
        <v>8</v>
      </c>
      <c r="D2692" s="82" t="str">
        <f t="shared" si="328"/>
        <v>NO</v>
      </c>
      <c r="E2692" s="27">
        <v>10292.620000000001</v>
      </c>
      <c r="F2692" s="27">
        <v>6493.08</v>
      </c>
      <c r="G2692" s="27">
        <v>0</v>
      </c>
      <c r="H2692" s="27">
        <v>247.62</v>
      </c>
      <c r="I2692" s="27">
        <v>625.29999999999995</v>
      </c>
      <c r="J2692" s="27">
        <v>17670.439999999999</v>
      </c>
      <c r="K2692" s="47">
        <f t="shared" si="329"/>
        <v>0.58247672383936122</v>
      </c>
      <c r="L2692" s="47">
        <f t="shared" si="330"/>
        <v>0.36745434748653688</v>
      </c>
      <c r="M2692" s="84">
        <f t="shared" si="331"/>
        <v>0.94993107132589805</v>
      </c>
      <c r="N2692" s="47">
        <f t="shared" si="332"/>
        <v>0</v>
      </c>
      <c r="O2692" s="47">
        <f t="shared" si="333"/>
        <v>1.4013233399960613E-2</v>
      </c>
      <c r="P2692" s="47">
        <f t="shared" si="334"/>
        <v>3.5386781540244612E-2</v>
      </c>
      <c r="Q2692" s="47">
        <f t="shared" si="335"/>
        <v>1</v>
      </c>
    </row>
    <row r="2693" spans="1:17" x14ac:dyDescent="0.35">
      <c r="A2693" s="82">
        <v>2690</v>
      </c>
      <c r="B2693" s="83" t="str">
        <f>_xlfn.XLOOKUP(A2693,'TAZs by City - CCAG Model'!$A:$A,'TAZs by City - CCAG Model'!$B:$B,"Unknown")</f>
        <v>Santa Rosa</v>
      </c>
      <c r="C2693" s="82">
        <f>_xlfn.XLOOKUP(A2693,'TAZs by City - CCAG Model'!$A:$A,'TAZs by City - CCAG Model'!$C:$C,999)</f>
        <v>8</v>
      </c>
      <c r="D2693" s="82" t="str">
        <f t="shared" ref="D2693:D2756" si="336">IF(C2693=2,"YES","NO")</f>
        <v>NO</v>
      </c>
      <c r="E2693" s="27">
        <v>23926.1</v>
      </c>
      <c r="F2693" s="27">
        <v>12827.76</v>
      </c>
      <c r="G2693" s="27">
        <v>1726.62</v>
      </c>
      <c r="H2693" s="27">
        <v>489.76</v>
      </c>
      <c r="I2693" s="27">
        <v>1960.06</v>
      </c>
      <c r="J2693" s="27">
        <v>42678.5</v>
      </c>
      <c r="K2693" s="47">
        <f t="shared" ref="K2693:K2756" si="337">IFERROR(E2693/$J2693,0)</f>
        <v>0.56061248638073036</v>
      </c>
      <c r="L2693" s="47">
        <f t="shared" ref="L2693:L2756" si="338">IFERROR(F2693/$J2693,0)</f>
        <v>0.30056726454772309</v>
      </c>
      <c r="M2693" s="84">
        <f t="shared" ref="M2693:M2756" si="339">IFERROR((E2693+F2693)/J2693,0)</f>
        <v>0.86117975092845345</v>
      </c>
      <c r="N2693" s="47">
        <f t="shared" ref="N2693:N2756" si="340">IFERROR(G2693/$J2693,0)</f>
        <v>4.0456435910352986E-2</v>
      </c>
      <c r="O2693" s="47">
        <f t="shared" ref="O2693:O2756" si="341">IFERROR(H2693/$J2693,0)</f>
        <v>1.1475567323125227E-2</v>
      </c>
      <c r="P2693" s="47">
        <f t="shared" ref="P2693:P2756" si="342">IFERROR(I2693/$J2693,0)</f>
        <v>4.592616891409023E-2</v>
      </c>
      <c r="Q2693" s="47">
        <f t="shared" ref="Q2693:Q2756" si="343">IFERROR(J2693/$J2693,0)</f>
        <v>1</v>
      </c>
    </row>
    <row r="2694" spans="1:17" x14ac:dyDescent="0.35">
      <c r="A2694" s="82">
        <v>2691</v>
      </c>
      <c r="B2694" s="83" t="str">
        <f>_xlfn.XLOOKUP(A2694,'TAZs by City - CCAG Model'!$A:$A,'TAZs by City - CCAG Model'!$B:$B,"Unknown")</f>
        <v>Santa Rosa</v>
      </c>
      <c r="C2694" s="82">
        <f>_xlfn.XLOOKUP(A2694,'TAZs by City - CCAG Model'!$A:$A,'TAZs by City - CCAG Model'!$C:$C,999)</f>
        <v>8</v>
      </c>
      <c r="D2694" s="82" t="str">
        <f t="shared" si="336"/>
        <v>NO</v>
      </c>
      <c r="E2694" s="27">
        <v>23018.32</v>
      </c>
      <c r="F2694" s="27">
        <v>10885.44</v>
      </c>
      <c r="G2694" s="27">
        <v>1379.66</v>
      </c>
      <c r="H2694" s="27">
        <v>469.42</v>
      </c>
      <c r="I2694" s="27">
        <v>2326.58</v>
      </c>
      <c r="J2694" s="27">
        <v>39478.32</v>
      </c>
      <c r="K2694" s="47">
        <f t="shared" si="337"/>
        <v>0.58306229849699787</v>
      </c>
      <c r="L2694" s="47">
        <f t="shared" si="338"/>
        <v>0.27573209802240828</v>
      </c>
      <c r="M2694" s="84">
        <f t="shared" si="339"/>
        <v>0.85879439651940614</v>
      </c>
      <c r="N2694" s="47">
        <f t="shared" si="340"/>
        <v>3.4947282457814824E-2</v>
      </c>
      <c r="O2694" s="47">
        <f t="shared" si="341"/>
        <v>1.189057690398173E-2</v>
      </c>
      <c r="P2694" s="47">
        <f t="shared" si="342"/>
        <v>5.8933105562749374E-2</v>
      </c>
      <c r="Q2694" s="47">
        <f t="shared" si="343"/>
        <v>1</v>
      </c>
    </row>
    <row r="2695" spans="1:17" x14ac:dyDescent="0.35">
      <c r="A2695" s="82">
        <v>2692</v>
      </c>
      <c r="B2695" s="83" t="str">
        <f>_xlfn.XLOOKUP(A2695,'TAZs by City - CCAG Model'!$A:$A,'TAZs by City - CCAG Model'!$B:$B,"Unknown")</f>
        <v>Santa Rosa</v>
      </c>
      <c r="C2695" s="82">
        <f>_xlfn.XLOOKUP(A2695,'TAZs by City - CCAG Model'!$A:$A,'TAZs by City - CCAG Model'!$C:$C,999)</f>
        <v>8</v>
      </c>
      <c r="D2695" s="82" t="str">
        <f t="shared" si="336"/>
        <v>NO</v>
      </c>
      <c r="E2695" s="27">
        <v>9987.06</v>
      </c>
      <c r="F2695" s="27">
        <v>5207.16</v>
      </c>
      <c r="G2695" s="27">
        <v>1027.52</v>
      </c>
      <c r="H2695" s="27">
        <v>242</v>
      </c>
      <c r="I2695" s="27">
        <v>1448.66</v>
      </c>
      <c r="J2695" s="27">
        <v>18953.04</v>
      </c>
      <c r="K2695" s="47">
        <f t="shared" si="337"/>
        <v>0.5269371034936875</v>
      </c>
      <c r="L2695" s="47">
        <f t="shared" si="338"/>
        <v>0.27474009446505676</v>
      </c>
      <c r="M2695" s="84">
        <f t="shared" si="339"/>
        <v>0.80167719795874426</v>
      </c>
      <c r="N2695" s="47">
        <f t="shared" si="340"/>
        <v>5.4213994166635006E-2</v>
      </c>
      <c r="O2695" s="47">
        <f t="shared" si="341"/>
        <v>1.2768400214424705E-2</v>
      </c>
      <c r="P2695" s="47">
        <f t="shared" si="342"/>
        <v>7.6434176258795422E-2</v>
      </c>
      <c r="Q2695" s="47">
        <f t="shared" si="343"/>
        <v>1</v>
      </c>
    </row>
    <row r="2696" spans="1:17" x14ac:dyDescent="0.35">
      <c r="A2696" s="82">
        <v>2693</v>
      </c>
      <c r="B2696" s="83" t="str">
        <f>_xlfn.XLOOKUP(A2696,'TAZs by City - CCAG Model'!$A:$A,'TAZs by City - CCAG Model'!$B:$B,"Unknown")</f>
        <v>Santa Rosa</v>
      </c>
      <c r="C2696" s="82">
        <f>_xlfn.XLOOKUP(A2696,'TAZs by City - CCAG Model'!$A:$A,'TAZs by City - CCAG Model'!$C:$C,999)</f>
        <v>8</v>
      </c>
      <c r="D2696" s="82" t="str">
        <f t="shared" si="336"/>
        <v>NO</v>
      </c>
      <c r="E2696" s="27">
        <v>39977.1</v>
      </c>
      <c r="F2696" s="27">
        <v>14927.92</v>
      </c>
      <c r="G2696" s="27">
        <v>3134.12</v>
      </c>
      <c r="H2696" s="27">
        <v>676.52</v>
      </c>
      <c r="I2696" s="27">
        <v>4775.0600000000004</v>
      </c>
      <c r="J2696" s="27">
        <v>66656.100000000006</v>
      </c>
      <c r="K2696" s="47">
        <f t="shared" si="337"/>
        <v>0.59975156062235857</v>
      </c>
      <c r="L2696" s="47">
        <f t="shared" si="338"/>
        <v>0.22395429675603581</v>
      </c>
      <c r="M2696" s="84">
        <f t="shared" si="339"/>
        <v>0.8237058573783943</v>
      </c>
      <c r="N2696" s="47">
        <f t="shared" si="340"/>
        <v>4.701925255152941E-2</v>
      </c>
      <c r="O2696" s="47">
        <f t="shared" si="341"/>
        <v>1.014940868127598E-2</v>
      </c>
      <c r="P2696" s="47">
        <f t="shared" si="342"/>
        <v>7.1637254504839015E-2</v>
      </c>
      <c r="Q2696" s="47">
        <f t="shared" si="343"/>
        <v>1</v>
      </c>
    </row>
    <row r="2697" spans="1:17" x14ac:dyDescent="0.35">
      <c r="A2697" s="82">
        <v>2694</v>
      </c>
      <c r="B2697" s="83" t="str">
        <f>_xlfn.XLOOKUP(A2697,'TAZs by City - CCAG Model'!$A:$A,'TAZs by City - CCAG Model'!$B:$B,"Unknown")</f>
        <v>Santa Rosa</v>
      </c>
      <c r="C2697" s="82">
        <f>_xlfn.XLOOKUP(A2697,'TAZs by City - CCAG Model'!$A:$A,'TAZs by City - CCAG Model'!$C:$C,999)</f>
        <v>8</v>
      </c>
      <c r="D2697" s="82" t="str">
        <f t="shared" si="336"/>
        <v>NO</v>
      </c>
      <c r="E2697" s="27">
        <v>13782.9</v>
      </c>
      <c r="F2697" s="27">
        <v>6251.62</v>
      </c>
      <c r="G2697" s="27">
        <v>855.74</v>
      </c>
      <c r="H2697" s="27">
        <v>320.82</v>
      </c>
      <c r="I2697" s="27">
        <v>1670.66</v>
      </c>
      <c r="J2697" s="27">
        <v>23756.880000000001</v>
      </c>
      <c r="K2697" s="47">
        <f t="shared" si="337"/>
        <v>0.58016456706436192</v>
      </c>
      <c r="L2697" s="47">
        <f t="shared" si="338"/>
        <v>0.26314987489939756</v>
      </c>
      <c r="M2697" s="84">
        <f t="shared" si="339"/>
        <v>0.84331444196375949</v>
      </c>
      <c r="N2697" s="47">
        <f t="shared" si="340"/>
        <v>3.6020723259956693E-2</v>
      </c>
      <c r="O2697" s="47">
        <f t="shared" si="341"/>
        <v>1.3504298544253284E-2</v>
      </c>
      <c r="P2697" s="47">
        <f t="shared" si="342"/>
        <v>7.0323207424543968E-2</v>
      </c>
      <c r="Q2697" s="47">
        <f t="shared" si="343"/>
        <v>1</v>
      </c>
    </row>
    <row r="2698" spans="1:17" x14ac:dyDescent="0.35">
      <c r="A2698" s="82">
        <v>2695</v>
      </c>
      <c r="B2698" s="83" t="str">
        <f>_xlfn.XLOOKUP(A2698,'TAZs by City - CCAG Model'!$A:$A,'TAZs by City - CCAG Model'!$B:$B,"Unknown")</f>
        <v>Santa Rosa</v>
      </c>
      <c r="C2698" s="82">
        <f>_xlfn.XLOOKUP(A2698,'TAZs by City - CCAG Model'!$A:$A,'TAZs by City - CCAG Model'!$C:$C,999)</f>
        <v>8</v>
      </c>
      <c r="D2698" s="82" t="str">
        <f t="shared" si="336"/>
        <v>NO</v>
      </c>
      <c r="E2698" s="27">
        <v>57790.74</v>
      </c>
      <c r="F2698" s="27">
        <v>17040.8</v>
      </c>
      <c r="G2698" s="27">
        <v>5570.3</v>
      </c>
      <c r="H2698" s="27">
        <v>1032.8599999999999</v>
      </c>
      <c r="I2698" s="27">
        <v>5767.18</v>
      </c>
      <c r="J2698" s="27">
        <v>92806</v>
      </c>
      <c r="K2698" s="47">
        <f t="shared" si="337"/>
        <v>0.62270478201840396</v>
      </c>
      <c r="L2698" s="47">
        <f t="shared" si="338"/>
        <v>0.18361743852768139</v>
      </c>
      <c r="M2698" s="84">
        <f t="shared" si="339"/>
        <v>0.80632222054608527</v>
      </c>
      <c r="N2698" s="47">
        <f t="shared" si="340"/>
        <v>6.0020903820873654E-2</v>
      </c>
      <c r="O2698" s="47">
        <f t="shared" si="341"/>
        <v>1.1129237333793073E-2</v>
      </c>
      <c r="P2698" s="47">
        <f t="shared" si="342"/>
        <v>6.2142318384587204E-2</v>
      </c>
      <c r="Q2698" s="47">
        <f t="shared" si="343"/>
        <v>1</v>
      </c>
    </row>
    <row r="2699" spans="1:17" x14ac:dyDescent="0.35">
      <c r="A2699" s="82">
        <v>2696</v>
      </c>
      <c r="B2699" s="83" t="str">
        <f>_xlfn.XLOOKUP(A2699,'TAZs by City - CCAG Model'!$A:$A,'TAZs by City - CCAG Model'!$B:$B,"Unknown")</f>
        <v>Santa Rosa</v>
      </c>
      <c r="C2699" s="82">
        <f>_xlfn.XLOOKUP(A2699,'TAZs by City - CCAG Model'!$A:$A,'TAZs by City - CCAG Model'!$C:$C,999)</f>
        <v>8</v>
      </c>
      <c r="D2699" s="82" t="str">
        <f t="shared" si="336"/>
        <v>NO</v>
      </c>
      <c r="E2699" s="27">
        <v>10545.34</v>
      </c>
      <c r="F2699" s="27">
        <v>5466.54</v>
      </c>
      <c r="G2699" s="27">
        <v>1210.24</v>
      </c>
      <c r="H2699" s="27">
        <v>269.2</v>
      </c>
      <c r="I2699" s="27">
        <v>1477.02</v>
      </c>
      <c r="J2699" s="27">
        <v>20195.5</v>
      </c>
      <c r="K2699" s="47">
        <f t="shared" si="337"/>
        <v>0.52216285806243967</v>
      </c>
      <c r="L2699" s="47">
        <f t="shared" si="338"/>
        <v>0.27068109232254711</v>
      </c>
      <c r="M2699" s="84">
        <f t="shared" si="339"/>
        <v>0.79284395038498678</v>
      </c>
      <c r="N2699" s="47">
        <f t="shared" si="340"/>
        <v>5.9926221187888394E-2</v>
      </c>
      <c r="O2699" s="47">
        <f t="shared" si="341"/>
        <v>1.3329702161372583E-2</v>
      </c>
      <c r="P2699" s="47">
        <f t="shared" si="342"/>
        <v>7.3136094674556215E-2</v>
      </c>
      <c r="Q2699" s="47">
        <f t="shared" si="343"/>
        <v>1</v>
      </c>
    </row>
    <row r="2700" spans="1:17" x14ac:dyDescent="0.35">
      <c r="A2700" s="82">
        <v>2697</v>
      </c>
      <c r="B2700" s="83" t="str">
        <f>_xlfn.XLOOKUP(A2700,'TAZs by City - CCAG Model'!$A:$A,'TAZs by City - CCAG Model'!$B:$B,"Unknown")</f>
        <v>Santa Rosa</v>
      </c>
      <c r="C2700" s="82">
        <f>_xlfn.XLOOKUP(A2700,'TAZs by City - CCAG Model'!$A:$A,'TAZs by City - CCAG Model'!$C:$C,999)</f>
        <v>8</v>
      </c>
      <c r="D2700" s="82" t="str">
        <f t="shared" si="336"/>
        <v>NO</v>
      </c>
      <c r="E2700" s="27">
        <v>13813.38</v>
      </c>
      <c r="F2700" s="27">
        <v>7306.58</v>
      </c>
      <c r="G2700" s="27">
        <v>734.76</v>
      </c>
      <c r="H2700" s="27">
        <v>285.82</v>
      </c>
      <c r="I2700" s="27">
        <v>1338.82</v>
      </c>
      <c r="J2700" s="27">
        <v>24228.54</v>
      </c>
      <c r="K2700" s="47">
        <f t="shared" si="337"/>
        <v>0.57012845181756722</v>
      </c>
      <c r="L2700" s="47">
        <f t="shared" si="338"/>
        <v>0.30156914118638595</v>
      </c>
      <c r="M2700" s="84">
        <f t="shared" si="339"/>
        <v>0.87169759300395311</v>
      </c>
      <c r="N2700" s="47">
        <f t="shared" si="340"/>
        <v>3.0326218583538254E-2</v>
      </c>
      <c r="O2700" s="47">
        <f t="shared" si="341"/>
        <v>1.1796831340229331E-2</v>
      </c>
      <c r="P2700" s="47">
        <f t="shared" si="342"/>
        <v>5.5257972622370144E-2</v>
      </c>
      <c r="Q2700" s="47">
        <f t="shared" si="343"/>
        <v>1</v>
      </c>
    </row>
    <row r="2701" spans="1:17" x14ac:dyDescent="0.35">
      <c r="A2701" s="82">
        <v>2698</v>
      </c>
      <c r="B2701" s="83" t="str">
        <f>_xlfn.XLOOKUP(A2701,'TAZs by City - CCAG Model'!$A:$A,'TAZs by City - CCAG Model'!$B:$B,"Unknown")</f>
        <v>Santa Rosa</v>
      </c>
      <c r="C2701" s="82">
        <f>_xlfn.XLOOKUP(A2701,'TAZs by City - CCAG Model'!$A:$A,'TAZs by City - CCAG Model'!$C:$C,999)</f>
        <v>8</v>
      </c>
      <c r="D2701" s="82" t="str">
        <f t="shared" si="336"/>
        <v>NO</v>
      </c>
      <c r="E2701" s="27">
        <v>33631.94</v>
      </c>
      <c r="F2701" s="27">
        <v>17307.259999999998</v>
      </c>
      <c r="G2701" s="27">
        <v>24.34</v>
      </c>
      <c r="H2701" s="27">
        <v>669.3</v>
      </c>
      <c r="I2701" s="27">
        <v>3869.86</v>
      </c>
      <c r="J2701" s="27">
        <v>55554.6</v>
      </c>
      <c r="K2701" s="47">
        <f t="shared" si="337"/>
        <v>0.60538533262772121</v>
      </c>
      <c r="L2701" s="47">
        <f t="shared" si="338"/>
        <v>0.31153603841986083</v>
      </c>
      <c r="M2701" s="84">
        <f t="shared" si="339"/>
        <v>0.91692137104758198</v>
      </c>
      <c r="N2701" s="47">
        <f t="shared" si="340"/>
        <v>4.3812753579361565E-4</v>
      </c>
      <c r="O2701" s="47">
        <f t="shared" si="341"/>
        <v>1.2047607218844163E-2</v>
      </c>
      <c r="P2701" s="47">
        <f t="shared" si="342"/>
        <v>6.9658678129263824E-2</v>
      </c>
      <c r="Q2701" s="47">
        <f t="shared" si="343"/>
        <v>1</v>
      </c>
    </row>
    <row r="2702" spans="1:17" x14ac:dyDescent="0.35">
      <c r="A2702" s="82">
        <v>2699</v>
      </c>
      <c r="B2702" s="83" t="str">
        <f>_xlfn.XLOOKUP(A2702,'TAZs by City - CCAG Model'!$A:$A,'TAZs by City - CCAG Model'!$B:$B,"Unknown")</f>
        <v>Unincorporated</v>
      </c>
      <c r="C2702" s="82">
        <f>_xlfn.XLOOKUP(A2702,'TAZs by City - CCAG Model'!$A:$A,'TAZs by City - CCAG Model'!$C:$C,999)</f>
        <v>8</v>
      </c>
      <c r="D2702" s="82" t="str">
        <f t="shared" si="336"/>
        <v>NO</v>
      </c>
      <c r="E2702" s="27">
        <v>12916.58</v>
      </c>
      <c r="F2702" s="27">
        <v>8129.78</v>
      </c>
      <c r="G2702" s="27">
        <v>676.74</v>
      </c>
      <c r="H2702" s="27">
        <v>303.7</v>
      </c>
      <c r="I2702" s="27">
        <v>661.98</v>
      </c>
      <c r="J2702" s="27">
        <v>23385.02</v>
      </c>
      <c r="K2702" s="47">
        <f t="shared" si="337"/>
        <v>0.55234419299192383</v>
      </c>
      <c r="L2702" s="47">
        <f t="shared" si="338"/>
        <v>0.34764905054603329</v>
      </c>
      <c r="M2702" s="84">
        <f t="shared" si="339"/>
        <v>0.89999324353795718</v>
      </c>
      <c r="N2702" s="47">
        <f t="shared" si="340"/>
        <v>2.8939038752158433E-2</v>
      </c>
      <c r="O2702" s="47">
        <f t="shared" si="341"/>
        <v>1.2986946344283648E-2</v>
      </c>
      <c r="P2702" s="47">
        <f t="shared" si="342"/>
        <v>2.8307865462591009E-2</v>
      </c>
      <c r="Q2702" s="47">
        <f t="shared" si="343"/>
        <v>1</v>
      </c>
    </row>
    <row r="2703" spans="1:17" x14ac:dyDescent="0.35">
      <c r="A2703" s="82">
        <v>2700</v>
      </c>
      <c r="B2703" s="83" t="str">
        <f>_xlfn.XLOOKUP(A2703,'TAZs by City - CCAG Model'!$A:$A,'TAZs by City - CCAG Model'!$B:$B,"Unknown")</f>
        <v>Unincorporated</v>
      </c>
      <c r="C2703" s="82">
        <f>_xlfn.XLOOKUP(A2703,'TAZs by City - CCAG Model'!$A:$A,'TAZs by City - CCAG Model'!$C:$C,999)</f>
        <v>8</v>
      </c>
      <c r="D2703" s="82" t="str">
        <f t="shared" si="336"/>
        <v>NO</v>
      </c>
      <c r="E2703" s="27">
        <v>33132.800000000003</v>
      </c>
      <c r="F2703" s="27">
        <v>13641.62</v>
      </c>
      <c r="G2703" s="27">
        <v>549.62</v>
      </c>
      <c r="H2703" s="27">
        <v>470.26</v>
      </c>
      <c r="I2703" s="27">
        <v>3336.72</v>
      </c>
      <c r="J2703" s="27">
        <v>51713</v>
      </c>
      <c r="K2703" s="47">
        <f t="shared" si="337"/>
        <v>0.64070543190300322</v>
      </c>
      <c r="L2703" s="47">
        <f t="shared" si="338"/>
        <v>0.2637947904782163</v>
      </c>
      <c r="M2703" s="84">
        <f t="shared" si="339"/>
        <v>0.90450022238121952</v>
      </c>
      <c r="N2703" s="47">
        <f t="shared" si="340"/>
        <v>1.0628275288612148E-2</v>
      </c>
      <c r="O2703" s="47">
        <f t="shared" si="341"/>
        <v>9.0936514996229189E-3</v>
      </c>
      <c r="P2703" s="47">
        <f t="shared" si="342"/>
        <v>6.4523814127975559E-2</v>
      </c>
      <c r="Q2703" s="47">
        <f t="shared" si="343"/>
        <v>1</v>
      </c>
    </row>
    <row r="2704" spans="1:17" x14ac:dyDescent="0.35">
      <c r="A2704" s="82">
        <v>2701</v>
      </c>
      <c r="B2704" s="83" t="str">
        <f>_xlfn.XLOOKUP(A2704,'TAZs by City - CCAG Model'!$A:$A,'TAZs by City - CCAG Model'!$B:$B,"Unknown")</f>
        <v>Santa Rosa</v>
      </c>
      <c r="C2704" s="82">
        <f>_xlfn.XLOOKUP(A2704,'TAZs by City - CCAG Model'!$A:$A,'TAZs by City - CCAG Model'!$C:$C,999)</f>
        <v>8</v>
      </c>
      <c r="D2704" s="82" t="str">
        <f t="shared" si="336"/>
        <v>NO</v>
      </c>
      <c r="E2704" s="27">
        <v>27301.96</v>
      </c>
      <c r="F2704" s="27">
        <v>13028.64</v>
      </c>
      <c r="G2704" s="27">
        <v>867.08</v>
      </c>
      <c r="H2704" s="27">
        <v>533.17999999999995</v>
      </c>
      <c r="I2704" s="27">
        <v>2474.7399999999998</v>
      </c>
      <c r="J2704" s="27">
        <v>45097.7</v>
      </c>
      <c r="K2704" s="47">
        <f t="shared" si="337"/>
        <v>0.60539584058610529</v>
      </c>
      <c r="L2704" s="47">
        <f t="shared" si="338"/>
        <v>0.28889810345095207</v>
      </c>
      <c r="M2704" s="84">
        <f t="shared" si="339"/>
        <v>0.89429394403705731</v>
      </c>
      <c r="N2704" s="47">
        <f t="shared" si="340"/>
        <v>1.9226701139969445E-2</v>
      </c>
      <c r="O2704" s="47">
        <f t="shared" si="341"/>
        <v>1.1822775884357739E-2</v>
      </c>
      <c r="P2704" s="47">
        <f t="shared" si="342"/>
        <v>5.4875082321271369E-2</v>
      </c>
      <c r="Q2704" s="47">
        <f t="shared" si="343"/>
        <v>1</v>
      </c>
    </row>
    <row r="2705" spans="1:17" x14ac:dyDescent="0.35">
      <c r="A2705" s="82">
        <v>2702</v>
      </c>
      <c r="B2705" s="83" t="str">
        <f>_xlfn.XLOOKUP(A2705,'TAZs by City - CCAG Model'!$A:$A,'TAZs by City - CCAG Model'!$B:$B,"Unknown")</f>
        <v>Unincorporated</v>
      </c>
      <c r="C2705" s="82">
        <f>_xlfn.XLOOKUP(A2705,'TAZs by City - CCAG Model'!$A:$A,'TAZs by City - CCAG Model'!$C:$C,999)</f>
        <v>8</v>
      </c>
      <c r="D2705" s="82" t="str">
        <f t="shared" si="336"/>
        <v>NO</v>
      </c>
      <c r="E2705" s="27">
        <v>22332.7</v>
      </c>
      <c r="F2705" s="27">
        <v>13420.44</v>
      </c>
      <c r="G2705" s="27">
        <v>981.7</v>
      </c>
      <c r="H2705" s="27">
        <v>380.98</v>
      </c>
      <c r="I2705" s="27">
        <v>1300.3800000000001</v>
      </c>
      <c r="J2705" s="27">
        <v>39422.78</v>
      </c>
      <c r="K2705" s="47">
        <f t="shared" si="337"/>
        <v>0.56649226665394981</v>
      </c>
      <c r="L2705" s="47">
        <f t="shared" si="338"/>
        <v>0.34042348104319381</v>
      </c>
      <c r="M2705" s="84">
        <f t="shared" si="339"/>
        <v>0.90691574769714367</v>
      </c>
      <c r="N2705" s="47">
        <f t="shared" si="340"/>
        <v>2.4901846090001772E-2</v>
      </c>
      <c r="O2705" s="47">
        <f t="shared" si="341"/>
        <v>9.6639557129152235E-3</v>
      </c>
      <c r="P2705" s="47">
        <f t="shared" si="342"/>
        <v>3.298549721759856E-2</v>
      </c>
      <c r="Q2705" s="47">
        <f t="shared" si="343"/>
        <v>1</v>
      </c>
    </row>
    <row r="2706" spans="1:17" x14ac:dyDescent="0.35">
      <c r="A2706" s="82">
        <v>2703</v>
      </c>
      <c r="B2706" s="83" t="str">
        <f>_xlfn.XLOOKUP(A2706,'TAZs by City - CCAG Model'!$A:$A,'TAZs by City - CCAG Model'!$B:$B,"Unknown")</f>
        <v>Santa Rosa</v>
      </c>
      <c r="C2706" s="82">
        <f>_xlfn.XLOOKUP(A2706,'TAZs by City - CCAG Model'!$A:$A,'TAZs by City - CCAG Model'!$C:$C,999)</f>
        <v>8</v>
      </c>
      <c r="D2706" s="82" t="str">
        <f t="shared" si="336"/>
        <v>NO</v>
      </c>
      <c r="E2706" s="27">
        <v>11748.98</v>
      </c>
      <c r="F2706" s="27">
        <v>7853.9</v>
      </c>
      <c r="G2706" s="27">
        <v>813.46</v>
      </c>
      <c r="H2706" s="27">
        <v>306.56</v>
      </c>
      <c r="I2706" s="27">
        <v>1483.24</v>
      </c>
      <c r="J2706" s="27">
        <v>23034.080000000002</v>
      </c>
      <c r="K2706" s="47">
        <f t="shared" si="337"/>
        <v>0.51006942756124829</v>
      </c>
      <c r="L2706" s="47">
        <f t="shared" si="338"/>
        <v>0.34096868639858846</v>
      </c>
      <c r="M2706" s="84">
        <f t="shared" si="339"/>
        <v>0.85103811395983675</v>
      </c>
      <c r="N2706" s="47">
        <f t="shared" si="340"/>
        <v>3.5315497732056153E-2</v>
      </c>
      <c r="O2706" s="47">
        <f t="shared" si="341"/>
        <v>1.3308975222800301E-2</v>
      </c>
      <c r="P2706" s="47">
        <f t="shared" si="342"/>
        <v>6.4393281607079592E-2</v>
      </c>
      <c r="Q2706" s="47">
        <f t="shared" si="343"/>
        <v>1</v>
      </c>
    </row>
    <row r="2707" spans="1:17" x14ac:dyDescent="0.35">
      <c r="A2707" s="82">
        <v>2704</v>
      </c>
      <c r="B2707" s="83" t="str">
        <f>_xlfn.XLOOKUP(A2707,'TAZs by City - CCAG Model'!$A:$A,'TAZs by City - CCAG Model'!$B:$B,"Unknown")</f>
        <v>Santa Rosa</v>
      </c>
      <c r="C2707" s="82">
        <f>_xlfn.XLOOKUP(A2707,'TAZs by City - CCAG Model'!$A:$A,'TAZs by City - CCAG Model'!$C:$C,999)</f>
        <v>8</v>
      </c>
      <c r="D2707" s="82" t="str">
        <f t="shared" si="336"/>
        <v>NO</v>
      </c>
      <c r="E2707" s="27">
        <v>9470.7199999999993</v>
      </c>
      <c r="F2707" s="27">
        <v>7044.4</v>
      </c>
      <c r="G2707" s="27">
        <v>745.64</v>
      </c>
      <c r="H2707" s="27">
        <v>279.56</v>
      </c>
      <c r="I2707" s="27">
        <v>1477.7</v>
      </c>
      <c r="J2707" s="27">
        <v>19778.22</v>
      </c>
      <c r="K2707" s="47">
        <f t="shared" si="337"/>
        <v>0.47884592243386909</v>
      </c>
      <c r="L2707" s="47">
        <f t="shared" si="338"/>
        <v>0.3561695642985061</v>
      </c>
      <c r="M2707" s="84">
        <f t="shared" si="339"/>
        <v>0.83501548673237525</v>
      </c>
      <c r="N2707" s="47">
        <f t="shared" si="340"/>
        <v>3.7700055920097966E-2</v>
      </c>
      <c r="O2707" s="47">
        <f t="shared" si="341"/>
        <v>1.4134740133338592E-2</v>
      </c>
      <c r="P2707" s="47">
        <f t="shared" si="342"/>
        <v>7.4713497979090132E-2</v>
      </c>
      <c r="Q2707" s="47">
        <f t="shared" si="343"/>
        <v>1</v>
      </c>
    </row>
    <row r="2708" spans="1:17" x14ac:dyDescent="0.35">
      <c r="A2708" s="82">
        <v>2705</v>
      </c>
      <c r="B2708" s="83" t="str">
        <f>_xlfn.XLOOKUP(A2708,'TAZs by City - CCAG Model'!$A:$A,'TAZs by City - CCAG Model'!$B:$B,"Unknown")</f>
        <v>Santa Rosa</v>
      </c>
      <c r="C2708" s="82">
        <f>_xlfn.XLOOKUP(A2708,'TAZs by City - CCAG Model'!$A:$A,'TAZs by City - CCAG Model'!$C:$C,999)</f>
        <v>8</v>
      </c>
      <c r="D2708" s="82" t="str">
        <f t="shared" si="336"/>
        <v>NO</v>
      </c>
      <c r="E2708" s="27">
        <v>21165</v>
      </c>
      <c r="F2708" s="27">
        <v>11160.76</v>
      </c>
      <c r="G2708" s="27">
        <v>1536.8</v>
      </c>
      <c r="H2708" s="27">
        <v>559.62</v>
      </c>
      <c r="I2708" s="27">
        <v>2107.36</v>
      </c>
      <c r="J2708" s="27">
        <v>38091.96</v>
      </c>
      <c r="K2708" s="47">
        <f t="shared" si="337"/>
        <v>0.55562906188077488</v>
      </c>
      <c r="L2708" s="47">
        <f t="shared" si="338"/>
        <v>0.29299516223371025</v>
      </c>
      <c r="M2708" s="84">
        <f t="shared" si="339"/>
        <v>0.84862422411448513</v>
      </c>
      <c r="N2708" s="47">
        <f t="shared" si="340"/>
        <v>4.0344471641784778E-2</v>
      </c>
      <c r="O2708" s="47">
        <f t="shared" si="341"/>
        <v>1.4691289185434407E-2</v>
      </c>
      <c r="P2708" s="47">
        <f t="shared" si="342"/>
        <v>5.5322960540754536E-2</v>
      </c>
      <c r="Q2708" s="47">
        <f t="shared" si="343"/>
        <v>1</v>
      </c>
    </row>
    <row r="2709" spans="1:17" x14ac:dyDescent="0.35">
      <c r="A2709" s="82">
        <v>2706</v>
      </c>
      <c r="B2709" s="83" t="str">
        <f>_xlfn.XLOOKUP(A2709,'TAZs by City - CCAG Model'!$A:$A,'TAZs by City - CCAG Model'!$B:$B,"Unknown")</f>
        <v>Santa Rosa</v>
      </c>
      <c r="C2709" s="82">
        <f>_xlfn.XLOOKUP(A2709,'TAZs by City - CCAG Model'!$A:$A,'TAZs by City - CCAG Model'!$C:$C,999)</f>
        <v>8</v>
      </c>
      <c r="D2709" s="82" t="str">
        <f t="shared" si="336"/>
        <v>NO</v>
      </c>
      <c r="E2709" s="27">
        <v>36434.519999999997</v>
      </c>
      <c r="F2709" s="27">
        <v>18046.439999999999</v>
      </c>
      <c r="G2709" s="27">
        <v>1387.3</v>
      </c>
      <c r="H2709" s="27">
        <v>777.94</v>
      </c>
      <c r="I2709" s="27">
        <v>5202.5200000000004</v>
      </c>
      <c r="J2709" s="27">
        <v>63262.42</v>
      </c>
      <c r="K2709" s="47">
        <f t="shared" si="337"/>
        <v>0.57592675082616185</v>
      </c>
      <c r="L2709" s="47">
        <f t="shared" si="338"/>
        <v>0.28526319416803847</v>
      </c>
      <c r="M2709" s="84">
        <f t="shared" si="339"/>
        <v>0.86118994499420021</v>
      </c>
      <c r="N2709" s="47">
        <f t="shared" si="340"/>
        <v>2.1929290722675483E-2</v>
      </c>
      <c r="O2709" s="47">
        <f t="shared" si="341"/>
        <v>1.2297031950405945E-2</v>
      </c>
      <c r="P2709" s="47">
        <f t="shared" si="342"/>
        <v>8.2237132250078337E-2</v>
      </c>
      <c r="Q2709" s="47">
        <f t="shared" si="343"/>
        <v>1</v>
      </c>
    </row>
    <row r="2710" spans="1:17" x14ac:dyDescent="0.35">
      <c r="A2710" s="82">
        <v>2707</v>
      </c>
      <c r="B2710" s="83" t="str">
        <f>_xlfn.XLOOKUP(A2710,'TAZs by City - CCAG Model'!$A:$A,'TAZs by City - CCAG Model'!$B:$B,"Unknown")</f>
        <v>Santa Rosa</v>
      </c>
      <c r="C2710" s="82">
        <f>_xlfn.XLOOKUP(A2710,'TAZs by City - CCAG Model'!$A:$A,'TAZs by City - CCAG Model'!$C:$C,999)</f>
        <v>8</v>
      </c>
      <c r="D2710" s="82" t="str">
        <f t="shared" si="336"/>
        <v>NO</v>
      </c>
      <c r="E2710" s="27">
        <v>19941.2</v>
      </c>
      <c r="F2710" s="27">
        <v>11138.84</v>
      </c>
      <c r="G2710" s="27">
        <v>388.34</v>
      </c>
      <c r="H2710" s="27">
        <v>482.6</v>
      </c>
      <c r="I2710" s="27">
        <v>1631.52</v>
      </c>
      <c r="J2710" s="27">
        <v>33992.239999999998</v>
      </c>
      <c r="K2710" s="47">
        <f t="shared" si="337"/>
        <v>0.58663977425435931</v>
      </c>
      <c r="L2710" s="47">
        <f t="shared" si="338"/>
        <v>0.32768773108215288</v>
      </c>
      <c r="M2710" s="84">
        <f t="shared" si="339"/>
        <v>0.91432750533651219</v>
      </c>
      <c r="N2710" s="47">
        <f t="shared" si="340"/>
        <v>1.1424372150820305E-2</v>
      </c>
      <c r="O2710" s="47">
        <f t="shared" si="341"/>
        <v>1.4197357985234279E-2</v>
      </c>
      <c r="P2710" s="47">
        <f t="shared" si="342"/>
        <v>4.7996836925133506E-2</v>
      </c>
      <c r="Q2710" s="47">
        <f t="shared" si="343"/>
        <v>1</v>
      </c>
    </row>
    <row r="2711" spans="1:17" x14ac:dyDescent="0.35">
      <c r="A2711" s="82">
        <v>2708</v>
      </c>
      <c r="B2711" s="83" t="str">
        <f>_xlfn.XLOOKUP(A2711,'TAZs by City - CCAG Model'!$A:$A,'TAZs by City - CCAG Model'!$B:$B,"Unknown")</f>
        <v>Santa Rosa</v>
      </c>
      <c r="C2711" s="82">
        <f>_xlfn.XLOOKUP(A2711,'TAZs by City - CCAG Model'!$A:$A,'TAZs by City - CCAG Model'!$C:$C,999)</f>
        <v>8</v>
      </c>
      <c r="D2711" s="82" t="str">
        <f t="shared" si="336"/>
        <v>NO</v>
      </c>
      <c r="E2711" s="27">
        <v>18230.2</v>
      </c>
      <c r="F2711" s="27">
        <v>11003.86</v>
      </c>
      <c r="G2711" s="27">
        <v>954.92</v>
      </c>
      <c r="H2711" s="27">
        <v>500.86</v>
      </c>
      <c r="I2711" s="27">
        <v>2442.04</v>
      </c>
      <c r="J2711" s="27">
        <v>34107.660000000003</v>
      </c>
      <c r="K2711" s="47">
        <f t="shared" si="337"/>
        <v>0.53448990637293792</v>
      </c>
      <c r="L2711" s="47">
        <f t="shared" si="338"/>
        <v>0.32262137009692249</v>
      </c>
      <c r="M2711" s="84">
        <f t="shared" si="339"/>
        <v>0.85711127646986041</v>
      </c>
      <c r="N2711" s="47">
        <f t="shared" si="340"/>
        <v>2.7997229947759533E-2</v>
      </c>
      <c r="O2711" s="47">
        <f t="shared" si="341"/>
        <v>1.4684677870015121E-2</v>
      </c>
      <c r="P2711" s="47">
        <f t="shared" si="342"/>
        <v>7.1597992943520594E-2</v>
      </c>
      <c r="Q2711" s="47">
        <f t="shared" si="343"/>
        <v>1</v>
      </c>
    </row>
    <row r="2712" spans="1:17" x14ac:dyDescent="0.35">
      <c r="A2712" s="82">
        <v>2709</v>
      </c>
      <c r="B2712" s="83" t="str">
        <f>_xlfn.XLOOKUP(A2712,'TAZs by City - CCAG Model'!$A:$A,'TAZs by City - CCAG Model'!$B:$B,"Unknown")</f>
        <v>Santa Rosa</v>
      </c>
      <c r="C2712" s="82">
        <f>_xlfn.XLOOKUP(A2712,'TAZs by City - CCAG Model'!$A:$A,'TAZs by City - CCAG Model'!$C:$C,999)</f>
        <v>8</v>
      </c>
      <c r="D2712" s="82" t="str">
        <f t="shared" si="336"/>
        <v>NO</v>
      </c>
      <c r="E2712" s="27">
        <v>14279.72</v>
      </c>
      <c r="F2712" s="27">
        <v>8464.08</v>
      </c>
      <c r="G2712" s="27">
        <v>941.48</v>
      </c>
      <c r="H2712" s="27">
        <v>386.3</v>
      </c>
      <c r="I2712" s="27">
        <v>1343.76</v>
      </c>
      <c r="J2712" s="27">
        <v>26373.08</v>
      </c>
      <c r="K2712" s="47">
        <f t="shared" si="337"/>
        <v>0.54145060038493786</v>
      </c>
      <c r="L2712" s="47">
        <f t="shared" si="338"/>
        <v>0.32093634873135785</v>
      </c>
      <c r="M2712" s="84">
        <f t="shared" si="339"/>
        <v>0.86238694911629576</v>
      </c>
      <c r="N2712" s="47">
        <f t="shared" si="340"/>
        <v>3.5698522887732488E-2</v>
      </c>
      <c r="O2712" s="47">
        <f t="shared" si="341"/>
        <v>1.4647511780952395E-2</v>
      </c>
      <c r="P2712" s="47">
        <f t="shared" si="342"/>
        <v>5.095195555467924E-2</v>
      </c>
      <c r="Q2712" s="47">
        <f t="shared" si="343"/>
        <v>1</v>
      </c>
    </row>
    <row r="2713" spans="1:17" x14ac:dyDescent="0.35">
      <c r="A2713" s="82">
        <v>2710</v>
      </c>
      <c r="B2713" s="83" t="str">
        <f>_xlfn.XLOOKUP(A2713,'TAZs by City - CCAG Model'!$A:$A,'TAZs by City - CCAG Model'!$B:$B,"Unknown")</f>
        <v>Santa Rosa</v>
      </c>
      <c r="C2713" s="82">
        <f>_xlfn.XLOOKUP(A2713,'TAZs by City - CCAG Model'!$A:$A,'TAZs by City - CCAG Model'!$C:$C,999)</f>
        <v>8</v>
      </c>
      <c r="D2713" s="82" t="str">
        <f t="shared" si="336"/>
        <v>NO</v>
      </c>
      <c r="E2713" s="27">
        <v>22858.18</v>
      </c>
      <c r="F2713" s="27">
        <v>14942.1</v>
      </c>
      <c r="G2713" s="27">
        <v>1196.5999999999999</v>
      </c>
      <c r="H2713" s="27">
        <v>624.26</v>
      </c>
      <c r="I2713" s="27">
        <v>2205.14</v>
      </c>
      <c r="J2713" s="27">
        <v>43042.94</v>
      </c>
      <c r="K2713" s="47">
        <f t="shared" si="337"/>
        <v>0.53105526713556273</v>
      </c>
      <c r="L2713" s="47">
        <f t="shared" si="338"/>
        <v>0.34714403802342497</v>
      </c>
      <c r="M2713" s="84">
        <f t="shared" si="339"/>
        <v>0.8781993051589877</v>
      </c>
      <c r="N2713" s="47">
        <f t="shared" si="340"/>
        <v>2.7800145622023029E-2</v>
      </c>
      <c r="O2713" s="47">
        <f t="shared" si="341"/>
        <v>1.4503191464151844E-2</v>
      </c>
      <c r="P2713" s="47">
        <f t="shared" si="342"/>
        <v>5.1231165900842271E-2</v>
      </c>
      <c r="Q2713" s="47">
        <f t="shared" si="343"/>
        <v>1</v>
      </c>
    </row>
    <row r="2714" spans="1:17" x14ac:dyDescent="0.35">
      <c r="A2714" s="82">
        <v>2711</v>
      </c>
      <c r="B2714" s="83" t="str">
        <f>_xlfn.XLOOKUP(A2714,'TAZs by City - CCAG Model'!$A:$A,'TAZs by City - CCAG Model'!$B:$B,"Unknown")</f>
        <v>Santa Rosa</v>
      </c>
      <c r="C2714" s="82">
        <f>_xlfn.XLOOKUP(A2714,'TAZs by City - CCAG Model'!$A:$A,'TAZs by City - CCAG Model'!$C:$C,999)</f>
        <v>8</v>
      </c>
      <c r="D2714" s="82" t="str">
        <f t="shared" si="336"/>
        <v>NO</v>
      </c>
      <c r="E2714" s="27">
        <v>9759.98</v>
      </c>
      <c r="F2714" s="27">
        <v>8439.52</v>
      </c>
      <c r="G2714" s="27">
        <v>639.04</v>
      </c>
      <c r="H2714" s="27">
        <v>274.45999999999998</v>
      </c>
      <c r="I2714" s="27">
        <v>886.42</v>
      </c>
      <c r="J2714" s="27">
        <v>20651.98</v>
      </c>
      <c r="K2714" s="47">
        <f t="shared" si="337"/>
        <v>0.47259294266215635</v>
      </c>
      <c r="L2714" s="47">
        <f t="shared" si="338"/>
        <v>0.40865427915386326</v>
      </c>
      <c r="M2714" s="84">
        <f t="shared" si="339"/>
        <v>0.88124722181601955</v>
      </c>
      <c r="N2714" s="47">
        <f t="shared" si="340"/>
        <v>3.0943280014797611E-2</v>
      </c>
      <c r="O2714" s="47">
        <f t="shared" si="341"/>
        <v>1.3289766889179632E-2</v>
      </c>
      <c r="P2714" s="47">
        <f t="shared" si="342"/>
        <v>4.2921792486725244E-2</v>
      </c>
      <c r="Q2714" s="47">
        <f t="shared" si="343"/>
        <v>1</v>
      </c>
    </row>
    <row r="2715" spans="1:17" x14ac:dyDescent="0.35">
      <c r="A2715" s="82">
        <v>2712</v>
      </c>
      <c r="B2715" s="83" t="str">
        <f>_xlfn.XLOOKUP(A2715,'TAZs by City - CCAG Model'!$A:$A,'TAZs by City - CCAG Model'!$B:$B,"Unknown")</f>
        <v>Unincorporated</v>
      </c>
      <c r="C2715" s="82">
        <f>_xlfn.XLOOKUP(A2715,'TAZs by City - CCAG Model'!$A:$A,'TAZs by City - CCAG Model'!$C:$C,999)</f>
        <v>8</v>
      </c>
      <c r="D2715" s="82" t="str">
        <f t="shared" si="336"/>
        <v>NO</v>
      </c>
      <c r="E2715" s="27">
        <v>35231.9</v>
      </c>
      <c r="F2715" s="27">
        <v>18705.28</v>
      </c>
      <c r="G2715" s="27">
        <v>0</v>
      </c>
      <c r="H2715" s="27">
        <v>397.06</v>
      </c>
      <c r="I2715" s="27">
        <v>2861.42</v>
      </c>
      <c r="J2715" s="27">
        <v>57220.42</v>
      </c>
      <c r="K2715" s="47">
        <f t="shared" si="337"/>
        <v>0.61572249906589294</v>
      </c>
      <c r="L2715" s="47">
        <f t="shared" si="338"/>
        <v>0.326898684071176</v>
      </c>
      <c r="M2715" s="84">
        <f t="shared" si="339"/>
        <v>0.94262118313706889</v>
      </c>
      <c r="N2715" s="47">
        <f t="shared" si="340"/>
        <v>0</v>
      </c>
      <c r="O2715" s="47">
        <f t="shared" si="341"/>
        <v>6.9391311703059858E-3</v>
      </c>
      <c r="P2715" s="47">
        <f t="shared" si="342"/>
        <v>5.000697303515074E-2</v>
      </c>
      <c r="Q2715" s="47">
        <f t="shared" si="343"/>
        <v>1</v>
      </c>
    </row>
    <row r="2716" spans="1:17" x14ac:dyDescent="0.35">
      <c r="A2716" s="82">
        <v>2713</v>
      </c>
      <c r="B2716" s="83" t="str">
        <f>_xlfn.XLOOKUP(A2716,'TAZs by City - CCAG Model'!$A:$A,'TAZs by City - CCAG Model'!$B:$B,"Unknown")</f>
        <v>Unincorporated</v>
      </c>
      <c r="C2716" s="82">
        <f>_xlfn.XLOOKUP(A2716,'TAZs by City - CCAG Model'!$A:$A,'TAZs by City - CCAG Model'!$C:$C,999)</f>
        <v>8</v>
      </c>
      <c r="D2716" s="82" t="str">
        <f t="shared" si="336"/>
        <v>NO</v>
      </c>
      <c r="E2716" s="27">
        <v>35621.360000000001</v>
      </c>
      <c r="F2716" s="27">
        <v>19920.060000000001</v>
      </c>
      <c r="G2716" s="27">
        <v>913.68</v>
      </c>
      <c r="H2716" s="27">
        <v>666.96</v>
      </c>
      <c r="I2716" s="27">
        <v>2572.6799999999998</v>
      </c>
      <c r="J2716" s="27">
        <v>60636.32</v>
      </c>
      <c r="K2716" s="47">
        <f t="shared" si="337"/>
        <v>0.58745913340387412</v>
      </c>
      <c r="L2716" s="47">
        <f t="shared" si="338"/>
        <v>0.32851696804819291</v>
      </c>
      <c r="M2716" s="84">
        <f t="shared" si="339"/>
        <v>0.91597610145206698</v>
      </c>
      <c r="N2716" s="47">
        <f t="shared" si="340"/>
        <v>1.5068196750726296E-2</v>
      </c>
      <c r="O2716" s="47">
        <f t="shared" si="341"/>
        <v>1.0999348245408033E-2</v>
      </c>
      <c r="P2716" s="47">
        <f t="shared" si="342"/>
        <v>4.2428036529921338E-2</v>
      </c>
      <c r="Q2716" s="47">
        <f t="shared" si="343"/>
        <v>1</v>
      </c>
    </row>
    <row r="2717" spans="1:17" x14ac:dyDescent="0.35">
      <c r="A2717" s="82">
        <v>2714</v>
      </c>
      <c r="B2717" s="83" t="str">
        <f>_xlfn.XLOOKUP(A2717,'TAZs by City - CCAG Model'!$A:$A,'TAZs by City - CCAG Model'!$B:$B,"Unknown")</f>
        <v>Unincorporated</v>
      </c>
      <c r="C2717" s="82">
        <f>_xlfn.XLOOKUP(A2717,'TAZs by City - CCAG Model'!$A:$A,'TAZs by City - CCAG Model'!$C:$C,999)</f>
        <v>8</v>
      </c>
      <c r="D2717" s="82" t="str">
        <f t="shared" si="336"/>
        <v>NO</v>
      </c>
      <c r="E2717" s="27">
        <v>17136.66</v>
      </c>
      <c r="F2717" s="27">
        <v>10069.74</v>
      </c>
      <c r="G2717" s="27">
        <v>593.05999999999995</v>
      </c>
      <c r="H2717" s="27">
        <v>315.2</v>
      </c>
      <c r="I2717" s="27">
        <v>722.02</v>
      </c>
      <c r="J2717" s="27">
        <v>29447.74</v>
      </c>
      <c r="K2717" s="47">
        <f t="shared" si="337"/>
        <v>0.58193464082472879</v>
      </c>
      <c r="L2717" s="47">
        <f t="shared" si="338"/>
        <v>0.34195289689463432</v>
      </c>
      <c r="M2717" s="84">
        <f t="shared" si="339"/>
        <v>0.92388753771936316</v>
      </c>
      <c r="N2717" s="47">
        <f t="shared" si="340"/>
        <v>2.0139406283809891E-2</v>
      </c>
      <c r="O2717" s="47">
        <f t="shared" si="341"/>
        <v>1.070370765294722E-2</v>
      </c>
      <c r="P2717" s="47">
        <f t="shared" si="342"/>
        <v>2.4518689719482716E-2</v>
      </c>
      <c r="Q2717" s="47">
        <f t="shared" si="343"/>
        <v>1</v>
      </c>
    </row>
    <row r="2718" spans="1:17" x14ac:dyDescent="0.35">
      <c r="A2718" s="82">
        <v>2715</v>
      </c>
      <c r="B2718" s="83" t="str">
        <f>_xlfn.XLOOKUP(A2718,'TAZs by City - CCAG Model'!$A:$A,'TAZs by City - CCAG Model'!$B:$B,"Unknown")</f>
        <v>Unincorporated</v>
      </c>
      <c r="C2718" s="82">
        <f>_xlfn.XLOOKUP(A2718,'TAZs by City - CCAG Model'!$A:$A,'TAZs by City - CCAG Model'!$C:$C,999)</f>
        <v>8</v>
      </c>
      <c r="D2718" s="82" t="str">
        <f t="shared" si="336"/>
        <v>NO</v>
      </c>
      <c r="E2718" s="27">
        <v>15114.78</v>
      </c>
      <c r="F2718" s="27">
        <v>7927.2</v>
      </c>
      <c r="G2718" s="27">
        <v>514.17999999999995</v>
      </c>
      <c r="H2718" s="27">
        <v>75.72</v>
      </c>
      <c r="I2718" s="27">
        <v>888.66</v>
      </c>
      <c r="J2718" s="27">
        <v>25059.42</v>
      </c>
      <c r="K2718" s="47">
        <f t="shared" si="337"/>
        <v>0.60315761498071385</v>
      </c>
      <c r="L2718" s="47">
        <f t="shared" si="338"/>
        <v>0.31633613228079505</v>
      </c>
      <c r="M2718" s="84">
        <f t="shared" si="339"/>
        <v>0.9194937472615089</v>
      </c>
      <c r="N2718" s="47">
        <f t="shared" si="340"/>
        <v>2.0518431791318393E-2</v>
      </c>
      <c r="O2718" s="47">
        <f t="shared" si="341"/>
        <v>3.021618217819886E-3</v>
      </c>
      <c r="P2718" s="47">
        <f t="shared" si="342"/>
        <v>3.5462113648280766E-2</v>
      </c>
      <c r="Q2718" s="47">
        <f t="shared" si="343"/>
        <v>1</v>
      </c>
    </row>
    <row r="2719" spans="1:17" x14ac:dyDescent="0.35">
      <c r="A2719" s="82">
        <v>2716</v>
      </c>
      <c r="B2719" s="83" t="str">
        <f>_xlfn.XLOOKUP(A2719,'TAZs by City - CCAG Model'!$A:$A,'TAZs by City - CCAG Model'!$B:$B,"Unknown")</f>
        <v>Unincorporated</v>
      </c>
      <c r="C2719" s="82">
        <f>_xlfn.XLOOKUP(A2719,'TAZs by City - CCAG Model'!$A:$A,'TAZs by City - CCAG Model'!$C:$C,999)</f>
        <v>8</v>
      </c>
      <c r="D2719" s="82" t="str">
        <f t="shared" si="336"/>
        <v>NO</v>
      </c>
      <c r="E2719" s="27">
        <v>30290.2</v>
      </c>
      <c r="F2719" s="27">
        <v>14859.02</v>
      </c>
      <c r="G2719" s="27">
        <v>707.44</v>
      </c>
      <c r="H2719" s="27">
        <v>197.22</v>
      </c>
      <c r="I2719" s="27">
        <v>4289.5600000000004</v>
      </c>
      <c r="J2719" s="27">
        <v>51078.18</v>
      </c>
      <c r="K2719" s="47">
        <f t="shared" si="337"/>
        <v>0.59301643089084222</v>
      </c>
      <c r="L2719" s="47">
        <f t="shared" si="338"/>
        <v>0.29090738941755562</v>
      </c>
      <c r="M2719" s="84">
        <f t="shared" si="339"/>
        <v>0.88392382030839789</v>
      </c>
      <c r="N2719" s="47">
        <f t="shared" si="340"/>
        <v>1.3850141097431429E-2</v>
      </c>
      <c r="O2719" s="47">
        <f t="shared" si="341"/>
        <v>3.861139923153096E-3</v>
      </c>
      <c r="P2719" s="47">
        <f t="shared" si="342"/>
        <v>8.3980282774366671E-2</v>
      </c>
      <c r="Q2719" s="47">
        <f t="shared" si="343"/>
        <v>1</v>
      </c>
    </row>
    <row r="2720" spans="1:17" x14ac:dyDescent="0.35">
      <c r="A2720" s="82">
        <v>2717</v>
      </c>
      <c r="B2720" s="83" t="str">
        <f>_xlfn.XLOOKUP(A2720,'TAZs by City - CCAG Model'!$A:$A,'TAZs by City - CCAG Model'!$B:$B,"Unknown")</f>
        <v>Unincorporated</v>
      </c>
      <c r="C2720" s="82">
        <f>_xlfn.XLOOKUP(A2720,'TAZs by City - CCAG Model'!$A:$A,'TAZs by City - CCAG Model'!$C:$C,999)</f>
        <v>8</v>
      </c>
      <c r="D2720" s="82" t="str">
        <f t="shared" si="336"/>
        <v>NO</v>
      </c>
      <c r="E2720" s="27">
        <v>9861.3799999999992</v>
      </c>
      <c r="F2720" s="27">
        <v>6041.9</v>
      </c>
      <c r="G2720" s="27">
        <v>72.7</v>
      </c>
      <c r="H2720" s="27">
        <v>36.68</v>
      </c>
      <c r="I2720" s="27">
        <v>615</v>
      </c>
      <c r="J2720" s="27">
        <v>16717.72</v>
      </c>
      <c r="K2720" s="47">
        <f t="shared" si="337"/>
        <v>0.58987589216711356</v>
      </c>
      <c r="L2720" s="47">
        <f t="shared" si="338"/>
        <v>0.36140693826670139</v>
      </c>
      <c r="M2720" s="84">
        <f t="shared" si="339"/>
        <v>0.95128283043381501</v>
      </c>
      <c r="N2720" s="47">
        <f t="shared" si="340"/>
        <v>4.3486791261009277E-3</v>
      </c>
      <c r="O2720" s="47">
        <f t="shared" si="341"/>
        <v>2.1940790969103442E-3</v>
      </c>
      <c r="P2720" s="47">
        <f t="shared" si="342"/>
        <v>3.6787313102504403E-2</v>
      </c>
      <c r="Q2720" s="47">
        <f t="shared" si="343"/>
        <v>1</v>
      </c>
    </row>
    <row r="2721" spans="1:17" x14ac:dyDescent="0.35">
      <c r="A2721" s="82">
        <v>2718</v>
      </c>
      <c r="B2721" s="83" t="str">
        <f>_xlfn.XLOOKUP(A2721,'TAZs by City - CCAG Model'!$A:$A,'TAZs by City - CCAG Model'!$B:$B,"Unknown")</f>
        <v>Unincorporated</v>
      </c>
      <c r="C2721" s="82">
        <f>_xlfn.XLOOKUP(A2721,'TAZs by City - CCAG Model'!$A:$A,'TAZs by City - CCAG Model'!$C:$C,999)</f>
        <v>8</v>
      </c>
      <c r="D2721" s="82" t="str">
        <f t="shared" si="336"/>
        <v>NO</v>
      </c>
      <c r="E2721" s="27">
        <v>13399.7</v>
      </c>
      <c r="F2721" s="27">
        <v>6536.48</v>
      </c>
      <c r="G2721" s="27">
        <v>109</v>
      </c>
      <c r="H2721" s="27">
        <v>56</v>
      </c>
      <c r="I2721" s="27">
        <v>816.4</v>
      </c>
      <c r="J2721" s="27">
        <v>21049.94</v>
      </c>
      <c r="K2721" s="47">
        <f t="shared" si="337"/>
        <v>0.63656713510822371</v>
      </c>
      <c r="L2721" s="47">
        <f t="shared" si="338"/>
        <v>0.31052250030166356</v>
      </c>
      <c r="M2721" s="84">
        <f t="shared" si="339"/>
        <v>0.94708963540988722</v>
      </c>
      <c r="N2721" s="47">
        <f t="shared" si="340"/>
        <v>5.178162028015282E-3</v>
      </c>
      <c r="O2721" s="47">
        <f t="shared" si="341"/>
        <v>2.6603401244849156E-3</v>
      </c>
      <c r="P2721" s="47">
        <f t="shared" si="342"/>
        <v>3.8783958529097946E-2</v>
      </c>
      <c r="Q2721" s="47">
        <f t="shared" si="343"/>
        <v>1</v>
      </c>
    </row>
    <row r="2722" spans="1:17" x14ac:dyDescent="0.35">
      <c r="A2722" s="82">
        <v>2719</v>
      </c>
      <c r="B2722" s="83" t="str">
        <f>_xlfn.XLOOKUP(A2722,'TAZs by City - CCAG Model'!$A:$A,'TAZs by City - CCAG Model'!$B:$B,"Unknown")</f>
        <v>Unincorporated</v>
      </c>
      <c r="C2722" s="82">
        <f>_xlfn.XLOOKUP(A2722,'TAZs by City - CCAG Model'!$A:$A,'TAZs by City - CCAG Model'!$C:$C,999)</f>
        <v>8</v>
      </c>
      <c r="D2722" s="82" t="str">
        <f t="shared" si="336"/>
        <v>NO</v>
      </c>
      <c r="E2722" s="27">
        <v>11283.54</v>
      </c>
      <c r="F2722" s="27">
        <v>6663.36</v>
      </c>
      <c r="G2722" s="27">
        <v>40.36</v>
      </c>
      <c r="H2722" s="27">
        <v>56.42</v>
      </c>
      <c r="I2722" s="27">
        <v>367.24</v>
      </c>
      <c r="J2722" s="27">
        <v>18467.48</v>
      </c>
      <c r="K2722" s="47">
        <f t="shared" si="337"/>
        <v>0.61099511140664564</v>
      </c>
      <c r="L2722" s="47">
        <f t="shared" si="338"/>
        <v>0.36081587742344923</v>
      </c>
      <c r="M2722" s="84">
        <f t="shared" si="339"/>
        <v>0.97181098883009498</v>
      </c>
      <c r="N2722" s="47">
        <f t="shared" si="340"/>
        <v>2.1854633117241768E-3</v>
      </c>
      <c r="O2722" s="47">
        <f t="shared" si="341"/>
        <v>3.0551001002843922E-3</v>
      </c>
      <c r="P2722" s="47">
        <f t="shared" si="342"/>
        <v>1.98857667640631E-2</v>
      </c>
      <c r="Q2722" s="47">
        <f t="shared" si="343"/>
        <v>1</v>
      </c>
    </row>
    <row r="2723" spans="1:17" x14ac:dyDescent="0.35">
      <c r="A2723" s="82">
        <v>2720</v>
      </c>
      <c r="B2723" s="83" t="str">
        <f>_xlfn.XLOOKUP(A2723,'TAZs by City - CCAG Model'!$A:$A,'TAZs by City - CCAG Model'!$B:$B,"Unknown")</f>
        <v>Unincorporated</v>
      </c>
      <c r="C2723" s="82">
        <f>_xlfn.XLOOKUP(A2723,'TAZs by City - CCAG Model'!$A:$A,'TAZs by City - CCAG Model'!$C:$C,999)</f>
        <v>8</v>
      </c>
      <c r="D2723" s="82" t="str">
        <f t="shared" si="336"/>
        <v>NO</v>
      </c>
      <c r="E2723" s="27">
        <v>9596.42</v>
      </c>
      <c r="F2723" s="27">
        <v>5475.84</v>
      </c>
      <c r="G2723" s="27">
        <v>96.86</v>
      </c>
      <c r="H2723" s="27">
        <v>38.799999999999997</v>
      </c>
      <c r="I2723" s="27">
        <v>610.52</v>
      </c>
      <c r="J2723" s="27">
        <v>15936.98</v>
      </c>
      <c r="K2723" s="47">
        <f t="shared" si="337"/>
        <v>0.60214796027854711</v>
      </c>
      <c r="L2723" s="47">
        <f t="shared" si="338"/>
        <v>0.3435933282215326</v>
      </c>
      <c r="M2723" s="84">
        <f t="shared" si="339"/>
        <v>0.94574128850007977</v>
      </c>
      <c r="N2723" s="47">
        <f t="shared" si="340"/>
        <v>6.0776884955618948E-3</v>
      </c>
      <c r="O2723" s="47">
        <f t="shared" si="341"/>
        <v>2.4345892383626005E-3</v>
      </c>
      <c r="P2723" s="47">
        <f t="shared" si="342"/>
        <v>3.8308387159926162E-2</v>
      </c>
      <c r="Q2723" s="47">
        <f t="shared" si="343"/>
        <v>1</v>
      </c>
    </row>
    <row r="2724" spans="1:17" x14ac:dyDescent="0.35">
      <c r="A2724" s="82">
        <v>2721</v>
      </c>
      <c r="B2724" s="83" t="str">
        <f>_xlfn.XLOOKUP(A2724,'TAZs by City - CCAG Model'!$A:$A,'TAZs by City - CCAG Model'!$B:$B,"Unknown")</f>
        <v>Unincorporated</v>
      </c>
      <c r="C2724" s="82">
        <f>_xlfn.XLOOKUP(A2724,'TAZs by City - CCAG Model'!$A:$A,'TAZs by City - CCAG Model'!$C:$C,999)</f>
        <v>8</v>
      </c>
      <c r="D2724" s="82" t="str">
        <f t="shared" si="336"/>
        <v>NO</v>
      </c>
      <c r="E2724" s="27">
        <v>11874.52</v>
      </c>
      <c r="F2724" s="27">
        <v>6260.08</v>
      </c>
      <c r="G2724" s="27">
        <v>79.06</v>
      </c>
      <c r="H2724" s="27">
        <v>60.96</v>
      </c>
      <c r="I2724" s="27">
        <v>1289.72</v>
      </c>
      <c r="J2724" s="27">
        <v>19668.2</v>
      </c>
      <c r="K2724" s="47">
        <f t="shared" si="337"/>
        <v>0.60374208112587835</v>
      </c>
      <c r="L2724" s="47">
        <f t="shared" si="338"/>
        <v>0.31828433715337445</v>
      </c>
      <c r="M2724" s="84">
        <f t="shared" si="339"/>
        <v>0.92202641827925269</v>
      </c>
      <c r="N2724" s="47">
        <f t="shared" si="340"/>
        <v>4.019686600705708E-3</v>
      </c>
      <c r="O2724" s="47">
        <f t="shared" si="341"/>
        <v>3.099419367303566E-3</v>
      </c>
      <c r="P2724" s="47">
        <f t="shared" si="342"/>
        <v>6.5573870511790602E-2</v>
      </c>
      <c r="Q2724" s="47">
        <f t="shared" si="343"/>
        <v>1</v>
      </c>
    </row>
    <row r="2725" spans="1:17" x14ac:dyDescent="0.35">
      <c r="A2725" s="82">
        <v>2722</v>
      </c>
      <c r="B2725" s="83" t="str">
        <f>_xlfn.XLOOKUP(A2725,'TAZs by City - CCAG Model'!$A:$A,'TAZs by City - CCAG Model'!$B:$B,"Unknown")</f>
        <v>Unincorporated</v>
      </c>
      <c r="C2725" s="82">
        <f>_xlfn.XLOOKUP(A2725,'TAZs by City - CCAG Model'!$A:$A,'TAZs by City - CCAG Model'!$C:$C,999)</f>
        <v>8</v>
      </c>
      <c r="D2725" s="82" t="str">
        <f t="shared" si="336"/>
        <v>NO</v>
      </c>
      <c r="E2725" s="27">
        <v>9032.02</v>
      </c>
      <c r="F2725" s="27">
        <v>4530.68</v>
      </c>
      <c r="G2725" s="27">
        <v>301.04000000000002</v>
      </c>
      <c r="H2725" s="27">
        <v>43.1</v>
      </c>
      <c r="I2725" s="27">
        <v>887.06</v>
      </c>
      <c r="J2725" s="27">
        <v>15120.3</v>
      </c>
      <c r="K2725" s="47">
        <f t="shared" si="337"/>
        <v>0.59734396804296219</v>
      </c>
      <c r="L2725" s="47">
        <f t="shared" si="338"/>
        <v>0.2996422028663453</v>
      </c>
      <c r="M2725" s="84">
        <f t="shared" si="339"/>
        <v>0.89698617090930743</v>
      </c>
      <c r="N2725" s="47">
        <f t="shared" si="340"/>
        <v>1.9909657877158524E-2</v>
      </c>
      <c r="O2725" s="47">
        <f t="shared" si="341"/>
        <v>2.8504725435341892E-3</v>
      </c>
      <c r="P2725" s="47">
        <f t="shared" si="342"/>
        <v>5.8666825393676049E-2</v>
      </c>
      <c r="Q2725" s="47">
        <f t="shared" si="343"/>
        <v>1</v>
      </c>
    </row>
    <row r="2726" spans="1:17" x14ac:dyDescent="0.35">
      <c r="A2726" s="82">
        <v>2723</v>
      </c>
      <c r="B2726" s="83" t="str">
        <f>_xlfn.XLOOKUP(A2726,'TAZs by City - CCAG Model'!$A:$A,'TAZs by City - CCAG Model'!$B:$B,"Unknown")</f>
        <v>Unincorporated</v>
      </c>
      <c r="C2726" s="82">
        <f>_xlfn.XLOOKUP(A2726,'TAZs by City - CCAG Model'!$A:$A,'TAZs by City - CCAG Model'!$C:$C,999)</f>
        <v>8</v>
      </c>
      <c r="D2726" s="82" t="str">
        <f t="shared" si="336"/>
        <v>NO</v>
      </c>
      <c r="E2726" s="27">
        <v>10429.44</v>
      </c>
      <c r="F2726" s="27">
        <v>5344</v>
      </c>
      <c r="G2726" s="27">
        <v>353.04</v>
      </c>
      <c r="H2726" s="27">
        <v>54.86</v>
      </c>
      <c r="I2726" s="27">
        <v>1126.48</v>
      </c>
      <c r="J2726" s="27">
        <v>17687.48</v>
      </c>
      <c r="K2726" s="47">
        <f t="shared" si="337"/>
        <v>0.58965098476436439</v>
      </c>
      <c r="L2726" s="47">
        <f t="shared" si="338"/>
        <v>0.30213461725469087</v>
      </c>
      <c r="M2726" s="84">
        <f t="shared" si="339"/>
        <v>0.89178560201905532</v>
      </c>
      <c r="N2726" s="47">
        <f t="shared" si="340"/>
        <v>1.9959881226720825E-2</v>
      </c>
      <c r="O2726" s="47">
        <f t="shared" si="341"/>
        <v>3.1016289488383876E-3</v>
      </c>
      <c r="P2726" s="47">
        <f t="shared" si="342"/>
        <v>6.3687987209031474E-2</v>
      </c>
      <c r="Q2726" s="47">
        <f t="shared" si="343"/>
        <v>1</v>
      </c>
    </row>
    <row r="2727" spans="1:17" x14ac:dyDescent="0.35">
      <c r="A2727" s="82">
        <v>2724</v>
      </c>
      <c r="B2727" s="83" t="str">
        <f>_xlfn.XLOOKUP(A2727,'TAZs by City - CCAG Model'!$A:$A,'TAZs by City - CCAG Model'!$B:$B,"Unknown")</f>
        <v>Unincorporated</v>
      </c>
      <c r="C2727" s="82">
        <f>_xlfn.XLOOKUP(A2727,'TAZs by City - CCAG Model'!$A:$A,'TAZs by City - CCAG Model'!$C:$C,999)</f>
        <v>8</v>
      </c>
      <c r="D2727" s="82" t="str">
        <f t="shared" si="336"/>
        <v>NO</v>
      </c>
      <c r="E2727" s="27">
        <v>11908.5</v>
      </c>
      <c r="F2727" s="27">
        <v>6413.32</v>
      </c>
      <c r="G2727" s="27">
        <v>448.2</v>
      </c>
      <c r="H2727" s="27">
        <v>49.74</v>
      </c>
      <c r="I2727" s="27">
        <v>998.56</v>
      </c>
      <c r="J2727" s="27">
        <v>20292.34</v>
      </c>
      <c r="K2727" s="47">
        <f t="shared" si="337"/>
        <v>0.586847056574057</v>
      </c>
      <c r="L2727" s="47">
        <f t="shared" si="338"/>
        <v>0.31604635049481722</v>
      </c>
      <c r="M2727" s="84">
        <f t="shared" si="339"/>
        <v>0.90289340706887422</v>
      </c>
      <c r="N2727" s="47">
        <f t="shared" si="340"/>
        <v>2.2087152097786653E-2</v>
      </c>
      <c r="O2727" s="47">
        <f t="shared" si="341"/>
        <v>2.4511712301292015E-3</v>
      </c>
      <c r="P2727" s="47">
        <f t="shared" si="342"/>
        <v>4.9208716195372239E-2</v>
      </c>
      <c r="Q2727" s="47">
        <f t="shared" si="343"/>
        <v>1</v>
      </c>
    </row>
    <row r="2728" spans="1:17" x14ac:dyDescent="0.35">
      <c r="A2728" s="82">
        <v>2725</v>
      </c>
      <c r="B2728" s="83" t="str">
        <f>_xlfn.XLOOKUP(A2728,'TAZs by City - CCAG Model'!$A:$A,'TAZs by City - CCAG Model'!$B:$B,"Unknown")</f>
        <v>Unincorporated</v>
      </c>
      <c r="C2728" s="82">
        <f>_xlfn.XLOOKUP(A2728,'TAZs by City - CCAG Model'!$A:$A,'TAZs by City - CCAG Model'!$C:$C,999)</f>
        <v>8</v>
      </c>
      <c r="D2728" s="82" t="str">
        <f t="shared" si="336"/>
        <v>NO</v>
      </c>
      <c r="E2728" s="27">
        <v>9654.66</v>
      </c>
      <c r="F2728" s="27">
        <v>5343.64</v>
      </c>
      <c r="G2728" s="27">
        <v>350.68</v>
      </c>
      <c r="H2728" s="27">
        <v>32.08</v>
      </c>
      <c r="I2728" s="27">
        <v>516.91999999999996</v>
      </c>
      <c r="J2728" s="27">
        <v>16271.24</v>
      </c>
      <c r="K2728" s="47">
        <f t="shared" si="337"/>
        <v>0.59335735936535872</v>
      </c>
      <c r="L2728" s="47">
        <f t="shared" si="338"/>
        <v>0.32841012731666425</v>
      </c>
      <c r="M2728" s="84">
        <f t="shared" si="339"/>
        <v>0.92176748668202302</v>
      </c>
      <c r="N2728" s="47">
        <f t="shared" si="340"/>
        <v>2.155213739088109E-2</v>
      </c>
      <c r="O2728" s="47">
        <f t="shared" si="341"/>
        <v>1.9715768435595565E-3</v>
      </c>
      <c r="P2728" s="47">
        <f t="shared" si="342"/>
        <v>3.17689370939154E-2</v>
      </c>
      <c r="Q2728" s="47">
        <f t="shared" si="343"/>
        <v>1</v>
      </c>
    </row>
    <row r="2729" spans="1:17" x14ac:dyDescent="0.35">
      <c r="A2729" s="82">
        <v>2726</v>
      </c>
      <c r="B2729" s="83" t="str">
        <f>_xlfn.XLOOKUP(A2729,'TAZs by City - CCAG Model'!$A:$A,'TAZs by City - CCAG Model'!$B:$B,"Unknown")</f>
        <v>Unincorporated</v>
      </c>
      <c r="C2729" s="82">
        <f>_xlfn.XLOOKUP(A2729,'TAZs by City - CCAG Model'!$A:$A,'TAZs by City - CCAG Model'!$C:$C,999)</f>
        <v>8</v>
      </c>
      <c r="D2729" s="82" t="str">
        <f t="shared" si="336"/>
        <v>NO</v>
      </c>
      <c r="E2729" s="27">
        <v>20557.240000000002</v>
      </c>
      <c r="F2729" s="27">
        <v>13968.78</v>
      </c>
      <c r="G2729" s="27">
        <v>86.18</v>
      </c>
      <c r="H2729" s="27">
        <v>360.64</v>
      </c>
      <c r="I2729" s="27">
        <v>3252.64</v>
      </c>
      <c r="J2729" s="27">
        <v>38335.54</v>
      </c>
      <c r="K2729" s="47">
        <f t="shared" si="337"/>
        <v>0.5362449570294302</v>
      </c>
      <c r="L2729" s="47">
        <f t="shared" si="338"/>
        <v>0.3643819807938013</v>
      </c>
      <c r="M2729" s="84">
        <f t="shared" si="339"/>
        <v>0.90062693782323144</v>
      </c>
      <c r="N2729" s="47">
        <f t="shared" si="340"/>
        <v>2.2480445038729076E-3</v>
      </c>
      <c r="O2729" s="47">
        <f t="shared" si="341"/>
        <v>9.4074584576087882E-3</v>
      </c>
      <c r="P2729" s="47">
        <f t="shared" si="342"/>
        <v>8.4846594048238258E-2</v>
      </c>
      <c r="Q2729" s="47">
        <f t="shared" si="343"/>
        <v>1</v>
      </c>
    </row>
    <row r="2730" spans="1:17" x14ac:dyDescent="0.35">
      <c r="A2730" s="82">
        <v>2727</v>
      </c>
      <c r="B2730" s="83" t="str">
        <f>_xlfn.XLOOKUP(A2730,'TAZs by City - CCAG Model'!$A:$A,'TAZs by City - CCAG Model'!$B:$B,"Unknown")</f>
        <v>Windsor</v>
      </c>
      <c r="C2730" s="82">
        <f>_xlfn.XLOOKUP(A2730,'TAZs by City - CCAG Model'!$A:$A,'TAZs by City - CCAG Model'!$C:$C,999)</f>
        <v>8</v>
      </c>
      <c r="D2730" s="82" t="str">
        <f t="shared" si="336"/>
        <v>NO</v>
      </c>
      <c r="E2730" s="27">
        <v>23251.06</v>
      </c>
      <c r="F2730" s="27">
        <v>13685.94</v>
      </c>
      <c r="G2730" s="27">
        <v>0</v>
      </c>
      <c r="H2730" s="27">
        <v>540.26</v>
      </c>
      <c r="I2730" s="27">
        <v>2617.6</v>
      </c>
      <c r="J2730" s="27">
        <v>40120.800000000003</v>
      </c>
      <c r="K2730" s="47">
        <f t="shared" si="337"/>
        <v>0.57952633048194446</v>
      </c>
      <c r="L2730" s="47">
        <f t="shared" si="338"/>
        <v>0.34111832266555003</v>
      </c>
      <c r="M2730" s="84">
        <f t="shared" si="339"/>
        <v>0.92064465314749455</v>
      </c>
      <c r="N2730" s="47">
        <f t="shared" si="340"/>
        <v>0</v>
      </c>
      <c r="O2730" s="47">
        <f t="shared" si="341"/>
        <v>1.3465833183784968E-2</v>
      </c>
      <c r="P2730" s="47">
        <f t="shared" si="342"/>
        <v>6.5242966241949307E-2</v>
      </c>
      <c r="Q2730" s="47">
        <f t="shared" si="343"/>
        <v>1</v>
      </c>
    </row>
    <row r="2731" spans="1:17" x14ac:dyDescent="0.35">
      <c r="A2731" s="82">
        <v>2728</v>
      </c>
      <c r="B2731" s="83" t="str">
        <f>_xlfn.XLOOKUP(A2731,'TAZs by City - CCAG Model'!$A:$A,'TAZs by City - CCAG Model'!$B:$B,"Unknown")</f>
        <v>Unincorporated</v>
      </c>
      <c r="C2731" s="82">
        <f>_xlfn.XLOOKUP(A2731,'TAZs by City - CCAG Model'!$A:$A,'TAZs by City - CCAG Model'!$C:$C,999)</f>
        <v>8</v>
      </c>
      <c r="D2731" s="82" t="str">
        <f t="shared" si="336"/>
        <v>NO</v>
      </c>
      <c r="E2731" s="27">
        <v>25974.74</v>
      </c>
      <c r="F2731" s="27">
        <v>16170.04</v>
      </c>
      <c r="G2731" s="27">
        <v>0</v>
      </c>
      <c r="H2731" s="27">
        <v>529.6</v>
      </c>
      <c r="I2731" s="27">
        <v>3205.76</v>
      </c>
      <c r="J2731" s="27">
        <v>45905.58</v>
      </c>
      <c r="K2731" s="47">
        <f t="shared" si="337"/>
        <v>0.56582968780701604</v>
      </c>
      <c r="L2731" s="47">
        <f t="shared" si="338"/>
        <v>0.35224563114113799</v>
      </c>
      <c r="M2731" s="84">
        <f t="shared" si="339"/>
        <v>0.91807531894815397</v>
      </c>
      <c r="N2731" s="47">
        <f t="shared" si="340"/>
        <v>0</v>
      </c>
      <c r="O2731" s="47">
        <f t="shared" si="341"/>
        <v>1.1536723857971078E-2</v>
      </c>
      <c r="P2731" s="47">
        <f t="shared" si="342"/>
        <v>6.9833776198884756E-2</v>
      </c>
      <c r="Q2731" s="47">
        <f t="shared" si="343"/>
        <v>1</v>
      </c>
    </row>
    <row r="2732" spans="1:17" x14ac:dyDescent="0.35">
      <c r="A2732" s="82">
        <v>2729</v>
      </c>
      <c r="B2732" s="83" t="str">
        <f>_xlfn.XLOOKUP(A2732,'TAZs by City - CCAG Model'!$A:$A,'TAZs by City - CCAG Model'!$B:$B,"Unknown")</f>
        <v>Unincorporated</v>
      </c>
      <c r="C2732" s="82">
        <f>_xlfn.XLOOKUP(A2732,'TAZs by City - CCAG Model'!$A:$A,'TAZs by City - CCAG Model'!$C:$C,999)</f>
        <v>8</v>
      </c>
      <c r="D2732" s="82" t="str">
        <f t="shared" si="336"/>
        <v>NO</v>
      </c>
      <c r="E2732" s="27">
        <v>16495</v>
      </c>
      <c r="F2732" s="27">
        <v>8872.02</v>
      </c>
      <c r="G2732" s="27">
        <v>328.98</v>
      </c>
      <c r="H2732" s="27">
        <v>288.39999999999998</v>
      </c>
      <c r="I2732" s="27">
        <v>2566</v>
      </c>
      <c r="J2732" s="27">
        <v>28904.76</v>
      </c>
      <c r="K2732" s="47">
        <f t="shared" si="337"/>
        <v>0.57066725342123581</v>
      </c>
      <c r="L2732" s="47">
        <f t="shared" si="338"/>
        <v>0.30693975663523937</v>
      </c>
      <c r="M2732" s="84">
        <f t="shared" si="339"/>
        <v>0.87760701005647523</v>
      </c>
      <c r="N2732" s="47">
        <f t="shared" si="340"/>
        <v>1.1381516400758908E-2</v>
      </c>
      <c r="O2732" s="47">
        <f t="shared" si="341"/>
        <v>9.9775953856735006E-3</v>
      </c>
      <c r="P2732" s="47">
        <f t="shared" si="342"/>
        <v>8.8774305685291974E-2</v>
      </c>
      <c r="Q2732" s="47">
        <f t="shared" si="343"/>
        <v>1</v>
      </c>
    </row>
    <row r="2733" spans="1:17" x14ac:dyDescent="0.35">
      <c r="A2733" s="82">
        <v>2730</v>
      </c>
      <c r="B2733" s="83" t="str">
        <f>_xlfn.XLOOKUP(A2733,'TAZs by City - CCAG Model'!$A:$A,'TAZs by City - CCAG Model'!$B:$B,"Unknown")</f>
        <v>Healdsburg</v>
      </c>
      <c r="C2733" s="82">
        <f>_xlfn.XLOOKUP(A2733,'TAZs by City - CCAG Model'!$A:$A,'TAZs by City - CCAG Model'!$C:$C,999)</f>
        <v>8</v>
      </c>
      <c r="D2733" s="82" t="str">
        <f t="shared" si="336"/>
        <v>NO</v>
      </c>
      <c r="E2733" s="27">
        <v>10458.379999999999</v>
      </c>
      <c r="F2733" s="27">
        <v>6207.62</v>
      </c>
      <c r="G2733" s="27">
        <v>327.45999999999998</v>
      </c>
      <c r="H2733" s="27">
        <v>217.34</v>
      </c>
      <c r="I2733" s="27">
        <v>1092.0999999999999</v>
      </c>
      <c r="J2733" s="27">
        <v>18649.78</v>
      </c>
      <c r="K2733" s="47">
        <f t="shared" si="337"/>
        <v>0.5607776606480076</v>
      </c>
      <c r="L2733" s="47">
        <f t="shared" si="338"/>
        <v>0.33285218377911163</v>
      </c>
      <c r="M2733" s="84">
        <f t="shared" si="339"/>
        <v>0.89362984442711935</v>
      </c>
      <c r="N2733" s="47">
        <f t="shared" si="340"/>
        <v>1.7558384066728938E-2</v>
      </c>
      <c r="O2733" s="47">
        <f t="shared" si="341"/>
        <v>1.1653756773538347E-2</v>
      </c>
      <c r="P2733" s="47">
        <f t="shared" si="342"/>
        <v>5.855833151919218E-2</v>
      </c>
      <c r="Q2733" s="47">
        <f t="shared" si="343"/>
        <v>1</v>
      </c>
    </row>
    <row r="2734" spans="1:17" x14ac:dyDescent="0.35">
      <c r="A2734" s="82">
        <v>2731</v>
      </c>
      <c r="B2734" s="83" t="str">
        <f>_xlfn.XLOOKUP(A2734,'TAZs by City - CCAG Model'!$A:$A,'TAZs by City - CCAG Model'!$B:$B,"Unknown")</f>
        <v>Healdsburg</v>
      </c>
      <c r="C2734" s="82">
        <f>_xlfn.XLOOKUP(A2734,'TAZs by City - CCAG Model'!$A:$A,'TAZs by City - CCAG Model'!$C:$C,999)</f>
        <v>8</v>
      </c>
      <c r="D2734" s="82" t="str">
        <f t="shared" si="336"/>
        <v>NO</v>
      </c>
      <c r="E2734" s="27">
        <v>22252.36</v>
      </c>
      <c r="F2734" s="27">
        <v>10338.200000000001</v>
      </c>
      <c r="G2734" s="27">
        <v>388.78</v>
      </c>
      <c r="H2734" s="27">
        <v>345.66</v>
      </c>
      <c r="I2734" s="27">
        <v>3755.72</v>
      </c>
      <c r="J2734" s="27">
        <v>37499.78</v>
      </c>
      <c r="K2734" s="47">
        <f t="shared" si="337"/>
        <v>0.59339974794518802</v>
      </c>
      <c r="L2734" s="47">
        <f t="shared" si="338"/>
        <v>0.27568695069677746</v>
      </c>
      <c r="M2734" s="84">
        <f t="shared" si="339"/>
        <v>0.86908669864196542</v>
      </c>
      <c r="N2734" s="47">
        <f t="shared" si="340"/>
        <v>1.0367527489494604E-2</v>
      </c>
      <c r="O2734" s="47">
        <f t="shared" si="341"/>
        <v>9.2176540769039195E-3</v>
      </c>
      <c r="P2734" s="47">
        <f t="shared" si="342"/>
        <v>0.10015312089830927</v>
      </c>
      <c r="Q2734" s="47">
        <f t="shared" si="343"/>
        <v>1</v>
      </c>
    </row>
    <row r="2735" spans="1:17" x14ac:dyDescent="0.35">
      <c r="A2735" s="82">
        <v>2732</v>
      </c>
      <c r="B2735" s="83" t="str">
        <f>_xlfn.XLOOKUP(A2735,'TAZs by City - CCAG Model'!$A:$A,'TAZs by City - CCAG Model'!$B:$B,"Unknown")</f>
        <v>Unincorporated</v>
      </c>
      <c r="C2735" s="82">
        <f>_xlfn.XLOOKUP(A2735,'TAZs by City - CCAG Model'!$A:$A,'TAZs by City - CCAG Model'!$C:$C,999)</f>
        <v>8</v>
      </c>
      <c r="D2735" s="82" t="str">
        <f t="shared" si="336"/>
        <v>NO</v>
      </c>
      <c r="E2735" s="27">
        <v>8316.3799999999992</v>
      </c>
      <c r="F2735" s="27">
        <v>4196.5200000000004</v>
      </c>
      <c r="G2735" s="27">
        <v>0</v>
      </c>
      <c r="H2735" s="27">
        <v>90.06</v>
      </c>
      <c r="I2735" s="27">
        <v>302.24</v>
      </c>
      <c r="J2735" s="27">
        <v>12927.6</v>
      </c>
      <c r="K2735" s="47">
        <f t="shared" si="337"/>
        <v>0.64330424827500843</v>
      </c>
      <c r="L2735" s="47">
        <f t="shared" si="338"/>
        <v>0.32461709830130886</v>
      </c>
      <c r="M2735" s="84">
        <f t="shared" si="339"/>
        <v>0.96792134657631723</v>
      </c>
      <c r="N2735" s="47">
        <f t="shared" si="340"/>
        <v>0</v>
      </c>
      <c r="O2735" s="47">
        <f t="shared" si="341"/>
        <v>6.9664902998236335E-3</v>
      </c>
      <c r="P2735" s="47">
        <f t="shared" si="342"/>
        <v>2.337943624493332E-2</v>
      </c>
      <c r="Q2735" s="47">
        <f t="shared" si="343"/>
        <v>1</v>
      </c>
    </row>
    <row r="2736" spans="1:17" x14ac:dyDescent="0.35">
      <c r="A2736" s="82">
        <v>2733</v>
      </c>
      <c r="B2736" s="83" t="str">
        <f>_xlfn.XLOOKUP(A2736,'TAZs by City - CCAG Model'!$A:$A,'TAZs by City - CCAG Model'!$B:$B,"Unknown")</f>
        <v>Unincorporated</v>
      </c>
      <c r="C2736" s="82">
        <f>_xlfn.XLOOKUP(A2736,'TAZs by City - CCAG Model'!$A:$A,'TAZs by City - CCAG Model'!$C:$C,999)</f>
        <v>8</v>
      </c>
      <c r="D2736" s="82" t="str">
        <f t="shared" si="336"/>
        <v>NO</v>
      </c>
      <c r="E2736" s="27">
        <v>12969.72</v>
      </c>
      <c r="F2736" s="27">
        <v>6467.76</v>
      </c>
      <c r="G2736" s="27">
        <v>30.06</v>
      </c>
      <c r="H2736" s="27">
        <v>0</v>
      </c>
      <c r="I2736" s="27">
        <v>0</v>
      </c>
      <c r="J2736" s="27">
        <v>19530.98</v>
      </c>
      <c r="K2736" s="47">
        <f t="shared" si="337"/>
        <v>0.66405884394945869</v>
      </c>
      <c r="L2736" s="47">
        <f t="shared" si="338"/>
        <v>0.33115388987137362</v>
      </c>
      <c r="M2736" s="84">
        <f t="shared" si="339"/>
        <v>0.99521273382083231</v>
      </c>
      <c r="N2736" s="47">
        <f t="shared" si="340"/>
        <v>1.5390932764254533E-3</v>
      </c>
      <c r="O2736" s="47">
        <f t="shared" si="341"/>
        <v>0</v>
      </c>
      <c r="P2736" s="47">
        <f t="shared" si="342"/>
        <v>0</v>
      </c>
      <c r="Q2736" s="47">
        <f t="shared" si="343"/>
        <v>1</v>
      </c>
    </row>
    <row r="2737" spans="1:17" x14ac:dyDescent="0.35">
      <c r="A2737" s="82">
        <v>2734</v>
      </c>
      <c r="B2737" s="83" t="str">
        <f>_xlfn.XLOOKUP(A2737,'TAZs by City - CCAG Model'!$A:$A,'TAZs by City - CCAG Model'!$B:$B,"Unknown")</f>
        <v>Unincorporated</v>
      </c>
      <c r="C2737" s="82">
        <f>_xlfn.XLOOKUP(A2737,'TAZs by City - CCAG Model'!$A:$A,'TAZs by City - CCAG Model'!$C:$C,999)</f>
        <v>8</v>
      </c>
      <c r="D2737" s="82" t="str">
        <f t="shared" si="336"/>
        <v>NO</v>
      </c>
      <c r="E2737" s="27">
        <v>26646.9</v>
      </c>
      <c r="F2737" s="27">
        <v>17176.900000000001</v>
      </c>
      <c r="G2737" s="27">
        <v>0</v>
      </c>
      <c r="H2737" s="27">
        <v>0</v>
      </c>
      <c r="I2737" s="27">
        <v>0</v>
      </c>
      <c r="J2737" s="27">
        <v>43856.26</v>
      </c>
      <c r="K2737" s="47">
        <f t="shared" si="337"/>
        <v>0.60759627017898932</v>
      </c>
      <c r="L2737" s="47">
        <f t="shared" si="338"/>
        <v>0.39166358462851142</v>
      </c>
      <c r="M2737" s="84">
        <f t="shared" si="339"/>
        <v>0.99925985480750068</v>
      </c>
      <c r="N2737" s="47">
        <f t="shared" si="340"/>
        <v>0</v>
      </c>
      <c r="O2737" s="47">
        <f t="shared" si="341"/>
        <v>0</v>
      </c>
      <c r="P2737" s="47">
        <f t="shared" si="342"/>
        <v>0</v>
      </c>
      <c r="Q2737" s="47">
        <f t="shared" si="343"/>
        <v>1</v>
      </c>
    </row>
    <row r="2738" spans="1:17" x14ac:dyDescent="0.35">
      <c r="A2738" s="82">
        <v>2735</v>
      </c>
      <c r="B2738" s="83" t="str">
        <f>_xlfn.XLOOKUP(A2738,'TAZs by City - CCAG Model'!$A:$A,'TAZs by City - CCAG Model'!$B:$B,"Unknown")</f>
        <v>Unincorporated</v>
      </c>
      <c r="C2738" s="82">
        <f>_xlfn.XLOOKUP(A2738,'TAZs by City - CCAG Model'!$A:$A,'TAZs by City - CCAG Model'!$C:$C,999)</f>
        <v>8</v>
      </c>
      <c r="D2738" s="82" t="str">
        <f t="shared" si="336"/>
        <v>NO</v>
      </c>
      <c r="E2738" s="27">
        <v>11254.22</v>
      </c>
      <c r="F2738" s="27">
        <v>5445.54</v>
      </c>
      <c r="G2738" s="27">
        <v>172.14</v>
      </c>
      <c r="H2738" s="27">
        <v>111.72</v>
      </c>
      <c r="I2738" s="27">
        <v>3418.4</v>
      </c>
      <c r="J2738" s="27">
        <v>20604.68</v>
      </c>
      <c r="K2738" s="47">
        <f t="shared" si="337"/>
        <v>0.54619727168779131</v>
      </c>
      <c r="L2738" s="47">
        <f t="shared" si="338"/>
        <v>0.2642865601407059</v>
      </c>
      <c r="M2738" s="84">
        <f t="shared" si="339"/>
        <v>0.81048383182849715</v>
      </c>
      <c r="N2738" s="47">
        <f t="shared" si="340"/>
        <v>8.3544126868264866E-3</v>
      </c>
      <c r="O2738" s="47">
        <f t="shared" si="341"/>
        <v>5.4220691609867273E-3</v>
      </c>
      <c r="P2738" s="47">
        <f t="shared" si="342"/>
        <v>0.16590405674827272</v>
      </c>
      <c r="Q2738" s="47">
        <f t="shared" si="343"/>
        <v>1</v>
      </c>
    </row>
    <row r="2739" spans="1:17" x14ac:dyDescent="0.35">
      <c r="A2739" s="82">
        <v>2736</v>
      </c>
      <c r="B2739" s="83" t="str">
        <f>_xlfn.XLOOKUP(A2739,'TAZs by City - CCAG Model'!$A:$A,'TAZs by City - CCAG Model'!$B:$B,"Unknown")</f>
        <v>Unincorporated</v>
      </c>
      <c r="C2739" s="82">
        <f>_xlfn.XLOOKUP(A2739,'TAZs by City - CCAG Model'!$A:$A,'TAZs by City - CCAG Model'!$C:$C,999)</f>
        <v>9</v>
      </c>
      <c r="D2739" s="82" t="str">
        <f t="shared" si="336"/>
        <v>NO</v>
      </c>
      <c r="E2739" s="27">
        <v>8483.68</v>
      </c>
      <c r="F2739" s="27">
        <v>4580.8599999999997</v>
      </c>
      <c r="G2739" s="27">
        <v>86.4</v>
      </c>
      <c r="H2739" s="27">
        <v>92.4</v>
      </c>
      <c r="I2739" s="27">
        <v>349.5</v>
      </c>
      <c r="J2739" s="27">
        <v>13694.08</v>
      </c>
      <c r="K2739" s="47">
        <f t="shared" si="337"/>
        <v>0.61951441790905271</v>
      </c>
      <c r="L2739" s="47">
        <f t="shared" si="338"/>
        <v>0.33451389213441135</v>
      </c>
      <c r="M2739" s="84">
        <f t="shared" si="339"/>
        <v>0.95402831004346411</v>
      </c>
      <c r="N2739" s="47">
        <f t="shared" si="340"/>
        <v>6.3092956956582701E-3</v>
      </c>
      <c r="O2739" s="47">
        <f t="shared" si="341"/>
        <v>6.7474412300789835E-3</v>
      </c>
      <c r="P2739" s="47">
        <f t="shared" si="342"/>
        <v>2.5521977380006545E-2</v>
      </c>
      <c r="Q2739" s="47">
        <f t="shared" si="343"/>
        <v>1</v>
      </c>
    </row>
    <row r="2740" spans="1:17" x14ac:dyDescent="0.35">
      <c r="A2740" s="82">
        <v>2737</v>
      </c>
      <c r="B2740" s="83" t="str">
        <f>_xlfn.XLOOKUP(A2740,'TAZs by City - CCAG Model'!$A:$A,'TAZs by City - CCAG Model'!$B:$B,"Unknown")</f>
        <v>Novato</v>
      </c>
      <c r="C2740" s="82">
        <f>_xlfn.XLOOKUP(A2740,'TAZs by City - CCAG Model'!$A:$A,'TAZs by City - CCAG Model'!$C:$C,999)</f>
        <v>9</v>
      </c>
      <c r="D2740" s="82" t="str">
        <f t="shared" si="336"/>
        <v>NO</v>
      </c>
      <c r="E2740" s="27">
        <v>12594.6</v>
      </c>
      <c r="F2740" s="27">
        <v>6115.4</v>
      </c>
      <c r="G2740" s="27">
        <v>135.78</v>
      </c>
      <c r="H2740" s="27">
        <v>162</v>
      </c>
      <c r="I2740" s="27">
        <v>936.8</v>
      </c>
      <c r="J2740" s="27">
        <v>20098.48</v>
      </c>
      <c r="K2740" s="47">
        <f t="shared" si="337"/>
        <v>0.62664440295982582</v>
      </c>
      <c r="L2740" s="47">
        <f t="shared" si="338"/>
        <v>0.30427176582507731</v>
      </c>
      <c r="M2740" s="84">
        <f t="shared" si="339"/>
        <v>0.93091616878490313</v>
      </c>
      <c r="N2740" s="47">
        <f t="shared" si="340"/>
        <v>6.7557347620317556E-3</v>
      </c>
      <c r="O2740" s="47">
        <f t="shared" si="341"/>
        <v>8.0603110284956873E-3</v>
      </c>
      <c r="P2740" s="47">
        <f t="shared" si="342"/>
        <v>4.6610489947498515E-2</v>
      </c>
      <c r="Q2740" s="47">
        <f t="shared" si="343"/>
        <v>1</v>
      </c>
    </row>
    <row r="2741" spans="1:17" x14ac:dyDescent="0.35">
      <c r="A2741" s="82">
        <v>2738</v>
      </c>
      <c r="B2741" s="83" t="str">
        <f>_xlfn.XLOOKUP(A2741,'TAZs by City - CCAG Model'!$A:$A,'TAZs by City - CCAG Model'!$B:$B,"Unknown")</f>
        <v>Unincorporated</v>
      </c>
      <c r="C2741" s="82">
        <f>_xlfn.XLOOKUP(A2741,'TAZs by City - CCAG Model'!$A:$A,'TAZs by City - CCAG Model'!$C:$C,999)</f>
        <v>9</v>
      </c>
      <c r="D2741" s="82" t="str">
        <f t="shared" si="336"/>
        <v>NO</v>
      </c>
      <c r="E2741" s="27">
        <v>10327.44</v>
      </c>
      <c r="F2741" s="27">
        <v>4345.54</v>
      </c>
      <c r="G2741" s="27">
        <v>168.64</v>
      </c>
      <c r="H2741" s="27">
        <v>83.26</v>
      </c>
      <c r="I2741" s="27">
        <v>569.24</v>
      </c>
      <c r="J2741" s="27">
        <v>15684.96</v>
      </c>
      <c r="K2741" s="47">
        <f t="shared" si="337"/>
        <v>0.65842947639012162</v>
      </c>
      <c r="L2741" s="47">
        <f t="shared" si="338"/>
        <v>0.2770513919066418</v>
      </c>
      <c r="M2741" s="84">
        <f t="shared" si="339"/>
        <v>0.93548086829676325</v>
      </c>
      <c r="N2741" s="47">
        <f t="shared" si="340"/>
        <v>1.0751700992543176E-2</v>
      </c>
      <c r="O2741" s="47">
        <f t="shared" si="341"/>
        <v>5.3082698330120066E-3</v>
      </c>
      <c r="P2741" s="47">
        <f t="shared" si="342"/>
        <v>3.6292091277249035E-2</v>
      </c>
      <c r="Q2741" s="47">
        <f t="shared" si="343"/>
        <v>1</v>
      </c>
    </row>
    <row r="2742" spans="1:17" x14ac:dyDescent="0.35">
      <c r="A2742" s="82">
        <v>2739</v>
      </c>
      <c r="B2742" s="83" t="str">
        <f>_xlfn.XLOOKUP(A2742,'TAZs by City - CCAG Model'!$A:$A,'TAZs by City - CCAG Model'!$B:$B,"Unknown")</f>
        <v>Novato</v>
      </c>
      <c r="C2742" s="82">
        <f>_xlfn.XLOOKUP(A2742,'TAZs by City - CCAG Model'!$A:$A,'TAZs by City - CCAG Model'!$C:$C,999)</f>
        <v>9</v>
      </c>
      <c r="D2742" s="82" t="str">
        <f t="shared" si="336"/>
        <v>NO</v>
      </c>
      <c r="E2742" s="27">
        <v>24232.3</v>
      </c>
      <c r="F2742" s="27">
        <v>12765.04</v>
      </c>
      <c r="G2742" s="27">
        <v>616.12</v>
      </c>
      <c r="H2742" s="27">
        <v>293.76</v>
      </c>
      <c r="I2742" s="27">
        <v>2498.46</v>
      </c>
      <c r="J2742" s="27">
        <v>41049.9</v>
      </c>
      <c r="K2742" s="47">
        <f t="shared" si="337"/>
        <v>0.59031325289464764</v>
      </c>
      <c r="L2742" s="47">
        <f t="shared" si="338"/>
        <v>0.31096397311564705</v>
      </c>
      <c r="M2742" s="84">
        <f t="shared" si="339"/>
        <v>0.9012772260102947</v>
      </c>
      <c r="N2742" s="47">
        <f t="shared" si="340"/>
        <v>1.5009049961144849E-2</v>
      </c>
      <c r="O2742" s="47">
        <f t="shared" si="341"/>
        <v>7.1561684681326872E-3</v>
      </c>
      <c r="P2742" s="47">
        <f t="shared" si="342"/>
        <v>6.0863972872041101E-2</v>
      </c>
      <c r="Q2742" s="47">
        <f t="shared" si="343"/>
        <v>1</v>
      </c>
    </row>
    <row r="2743" spans="1:17" x14ac:dyDescent="0.35">
      <c r="A2743" s="82">
        <v>2740</v>
      </c>
      <c r="B2743" s="83" t="str">
        <f>_xlfn.XLOOKUP(A2743,'TAZs by City - CCAG Model'!$A:$A,'TAZs by City - CCAG Model'!$B:$B,"Unknown")</f>
        <v>Novato</v>
      </c>
      <c r="C2743" s="82">
        <f>_xlfn.XLOOKUP(A2743,'TAZs by City - CCAG Model'!$A:$A,'TAZs by City - CCAG Model'!$C:$C,999)</f>
        <v>9</v>
      </c>
      <c r="D2743" s="82" t="str">
        <f t="shared" si="336"/>
        <v>NO</v>
      </c>
      <c r="E2743" s="27">
        <v>16005.04</v>
      </c>
      <c r="F2743" s="27">
        <v>8812.74</v>
      </c>
      <c r="G2743" s="27">
        <v>466.28</v>
      </c>
      <c r="H2743" s="27">
        <v>227.02</v>
      </c>
      <c r="I2743" s="27">
        <v>1586.88</v>
      </c>
      <c r="J2743" s="27">
        <v>27591.02</v>
      </c>
      <c r="K2743" s="47">
        <f t="shared" si="337"/>
        <v>0.58008149028198308</v>
      </c>
      <c r="L2743" s="47">
        <f t="shared" si="338"/>
        <v>0.31940609662129199</v>
      </c>
      <c r="M2743" s="84">
        <f t="shared" si="339"/>
        <v>0.89948758690327502</v>
      </c>
      <c r="N2743" s="47">
        <f t="shared" si="340"/>
        <v>1.6899701424593943E-2</v>
      </c>
      <c r="O2743" s="47">
        <f t="shared" si="341"/>
        <v>8.2280394128234485E-3</v>
      </c>
      <c r="P2743" s="47">
        <f t="shared" si="342"/>
        <v>5.7514365181135021E-2</v>
      </c>
      <c r="Q2743" s="47">
        <f t="shared" si="343"/>
        <v>1</v>
      </c>
    </row>
    <row r="2744" spans="1:17" x14ac:dyDescent="0.35">
      <c r="A2744" s="82">
        <v>2741</v>
      </c>
      <c r="B2744" s="83" t="str">
        <f>_xlfn.XLOOKUP(A2744,'TAZs by City - CCAG Model'!$A:$A,'TAZs by City - CCAG Model'!$B:$B,"Unknown")</f>
        <v>Novato</v>
      </c>
      <c r="C2744" s="82">
        <f>_xlfn.XLOOKUP(A2744,'TAZs by City - CCAG Model'!$A:$A,'TAZs by City - CCAG Model'!$C:$C,999)</f>
        <v>9</v>
      </c>
      <c r="D2744" s="82" t="str">
        <f t="shared" si="336"/>
        <v>NO</v>
      </c>
      <c r="E2744" s="27">
        <v>22151.7</v>
      </c>
      <c r="F2744" s="27">
        <v>12501.7</v>
      </c>
      <c r="G2744" s="27">
        <v>695.08</v>
      </c>
      <c r="H2744" s="27">
        <v>426.58</v>
      </c>
      <c r="I2744" s="27">
        <v>3505.96</v>
      </c>
      <c r="J2744" s="27">
        <v>40000.980000000003</v>
      </c>
      <c r="K2744" s="47">
        <f t="shared" si="337"/>
        <v>0.55377893241615583</v>
      </c>
      <c r="L2744" s="47">
        <f t="shared" si="338"/>
        <v>0.31253484289634903</v>
      </c>
      <c r="M2744" s="84">
        <f t="shared" si="339"/>
        <v>0.86631377531250486</v>
      </c>
      <c r="N2744" s="47">
        <f t="shared" si="340"/>
        <v>1.7376574273930287E-2</v>
      </c>
      <c r="O2744" s="47">
        <f t="shared" si="341"/>
        <v>1.0664238726151208E-2</v>
      </c>
      <c r="P2744" s="47">
        <f t="shared" si="342"/>
        <v>8.7646852652110016E-2</v>
      </c>
      <c r="Q2744" s="47">
        <f t="shared" si="343"/>
        <v>1</v>
      </c>
    </row>
    <row r="2745" spans="1:17" x14ac:dyDescent="0.35">
      <c r="A2745" s="82">
        <v>2742</v>
      </c>
      <c r="B2745" s="83" t="str">
        <f>_xlfn.XLOOKUP(A2745,'TAZs by City - CCAG Model'!$A:$A,'TAZs by City - CCAG Model'!$B:$B,"Unknown")</f>
        <v>Novato</v>
      </c>
      <c r="C2745" s="82">
        <f>_xlfn.XLOOKUP(A2745,'TAZs by City - CCAG Model'!$A:$A,'TAZs by City - CCAG Model'!$C:$C,999)</f>
        <v>9</v>
      </c>
      <c r="D2745" s="82" t="str">
        <f t="shared" si="336"/>
        <v>NO</v>
      </c>
      <c r="E2745" s="27">
        <v>13240.12</v>
      </c>
      <c r="F2745" s="27">
        <v>7385.92</v>
      </c>
      <c r="G2745" s="27">
        <v>317.77999999999997</v>
      </c>
      <c r="H2745" s="27">
        <v>224.98</v>
      </c>
      <c r="I2745" s="27">
        <v>1665.66</v>
      </c>
      <c r="J2745" s="27">
        <v>23175.42</v>
      </c>
      <c r="K2745" s="47">
        <f t="shared" si="337"/>
        <v>0.57130011020296512</v>
      </c>
      <c r="L2745" s="47">
        <f t="shared" si="338"/>
        <v>0.31869627389708582</v>
      </c>
      <c r="M2745" s="84">
        <f t="shared" si="339"/>
        <v>0.88999638410005089</v>
      </c>
      <c r="N2745" s="47">
        <f t="shared" si="340"/>
        <v>1.371194135856006E-2</v>
      </c>
      <c r="O2745" s="47">
        <f t="shared" si="341"/>
        <v>9.707698932748577E-3</v>
      </c>
      <c r="P2745" s="47">
        <f t="shared" si="342"/>
        <v>7.1871836626909033E-2</v>
      </c>
      <c r="Q2745" s="47">
        <f t="shared" si="343"/>
        <v>1</v>
      </c>
    </row>
    <row r="2746" spans="1:17" x14ac:dyDescent="0.35">
      <c r="A2746" s="82">
        <v>2743</v>
      </c>
      <c r="B2746" s="83" t="str">
        <f>_xlfn.XLOOKUP(A2746,'TAZs by City - CCAG Model'!$A:$A,'TAZs by City - CCAG Model'!$B:$B,"Unknown")</f>
        <v>Novato</v>
      </c>
      <c r="C2746" s="82">
        <f>_xlfn.XLOOKUP(A2746,'TAZs by City - CCAG Model'!$A:$A,'TAZs by City - CCAG Model'!$C:$C,999)</f>
        <v>9</v>
      </c>
      <c r="D2746" s="82" t="str">
        <f t="shared" si="336"/>
        <v>NO</v>
      </c>
      <c r="E2746" s="27">
        <v>16791.919999999998</v>
      </c>
      <c r="F2746" s="27">
        <v>9000.68</v>
      </c>
      <c r="G2746" s="27">
        <v>295.60000000000002</v>
      </c>
      <c r="H2746" s="27">
        <v>309.06</v>
      </c>
      <c r="I2746" s="27">
        <v>2245.98</v>
      </c>
      <c r="J2746" s="27">
        <v>28962.26</v>
      </c>
      <c r="K2746" s="47">
        <f t="shared" si="337"/>
        <v>0.57978624596284956</v>
      </c>
      <c r="L2746" s="47">
        <f t="shared" si="338"/>
        <v>0.31077270903582804</v>
      </c>
      <c r="M2746" s="84">
        <f t="shared" si="339"/>
        <v>0.89055895499867754</v>
      </c>
      <c r="N2746" s="47">
        <f t="shared" si="340"/>
        <v>1.0206385827625331E-2</v>
      </c>
      <c r="O2746" s="47">
        <f t="shared" si="341"/>
        <v>1.0671128565243182E-2</v>
      </c>
      <c r="P2746" s="47">
        <f t="shared" si="342"/>
        <v>7.7548506228450415E-2</v>
      </c>
      <c r="Q2746" s="47">
        <f t="shared" si="343"/>
        <v>1</v>
      </c>
    </row>
    <row r="2747" spans="1:17" x14ac:dyDescent="0.35">
      <c r="A2747" s="82">
        <v>2744</v>
      </c>
      <c r="B2747" s="83" t="str">
        <f>_xlfn.XLOOKUP(A2747,'TAZs by City - CCAG Model'!$A:$A,'TAZs by City - CCAG Model'!$B:$B,"Unknown")</f>
        <v>Novato</v>
      </c>
      <c r="C2747" s="82">
        <f>_xlfn.XLOOKUP(A2747,'TAZs by City - CCAG Model'!$A:$A,'TAZs by City - CCAG Model'!$C:$C,999)</f>
        <v>9</v>
      </c>
      <c r="D2747" s="82" t="str">
        <f t="shared" si="336"/>
        <v>NO</v>
      </c>
      <c r="E2747" s="27">
        <v>32719.119999999999</v>
      </c>
      <c r="F2747" s="27">
        <v>17988.580000000002</v>
      </c>
      <c r="G2747" s="27">
        <v>522.44000000000005</v>
      </c>
      <c r="H2747" s="27">
        <v>561.98</v>
      </c>
      <c r="I2747" s="27">
        <v>6377.24</v>
      </c>
      <c r="J2747" s="27">
        <v>58719.839999999997</v>
      </c>
      <c r="K2747" s="47">
        <f t="shared" si="337"/>
        <v>0.55720724034670399</v>
      </c>
      <c r="L2747" s="47">
        <f t="shared" si="338"/>
        <v>0.3063458619778256</v>
      </c>
      <c r="M2747" s="84">
        <f t="shared" si="339"/>
        <v>0.86355310232452953</v>
      </c>
      <c r="N2747" s="47">
        <f t="shared" si="340"/>
        <v>8.8971632075291775E-3</v>
      </c>
      <c r="O2747" s="47">
        <f t="shared" si="341"/>
        <v>9.5705301649323306E-3</v>
      </c>
      <c r="P2747" s="47">
        <f t="shared" si="342"/>
        <v>0.10860451935836338</v>
      </c>
      <c r="Q2747" s="47">
        <f t="shared" si="343"/>
        <v>1</v>
      </c>
    </row>
    <row r="2748" spans="1:17" x14ac:dyDescent="0.35">
      <c r="A2748" s="82">
        <v>2745</v>
      </c>
      <c r="B2748" s="83" t="str">
        <f>_xlfn.XLOOKUP(A2748,'TAZs by City - CCAG Model'!$A:$A,'TAZs by City - CCAG Model'!$B:$B,"Unknown")</f>
        <v>Novato</v>
      </c>
      <c r="C2748" s="82">
        <f>_xlfn.XLOOKUP(A2748,'TAZs by City - CCAG Model'!$A:$A,'TAZs by City - CCAG Model'!$C:$C,999)</f>
        <v>9</v>
      </c>
      <c r="D2748" s="82" t="str">
        <f t="shared" si="336"/>
        <v>NO</v>
      </c>
      <c r="E2748" s="27">
        <v>13886.44</v>
      </c>
      <c r="F2748" s="27">
        <v>5750.84</v>
      </c>
      <c r="G2748" s="27">
        <v>154.18</v>
      </c>
      <c r="H2748" s="27">
        <v>200.44</v>
      </c>
      <c r="I2748" s="27">
        <v>1952.82</v>
      </c>
      <c r="J2748" s="27">
        <v>22121.54</v>
      </c>
      <c r="K2748" s="47">
        <f t="shared" si="337"/>
        <v>0.62773387386230795</v>
      </c>
      <c r="L2748" s="47">
        <f t="shared" si="338"/>
        <v>0.25996562626290937</v>
      </c>
      <c r="M2748" s="84">
        <f t="shared" si="339"/>
        <v>0.88769950012521726</v>
      </c>
      <c r="N2748" s="47">
        <f t="shared" si="340"/>
        <v>6.9696775179304881E-3</v>
      </c>
      <c r="O2748" s="47">
        <f t="shared" si="341"/>
        <v>9.0608520021662146E-3</v>
      </c>
      <c r="P2748" s="47">
        <f t="shared" si="342"/>
        <v>8.8276855951258365E-2</v>
      </c>
      <c r="Q2748" s="47">
        <f t="shared" si="343"/>
        <v>1</v>
      </c>
    </row>
    <row r="2749" spans="1:17" x14ac:dyDescent="0.35">
      <c r="A2749" s="82">
        <v>2746</v>
      </c>
      <c r="B2749" s="83" t="str">
        <f>_xlfn.XLOOKUP(A2749,'TAZs by City - CCAG Model'!$A:$A,'TAZs by City - CCAG Model'!$B:$B,"Unknown")</f>
        <v>Unincorporated</v>
      </c>
      <c r="C2749" s="82">
        <f>_xlfn.XLOOKUP(A2749,'TAZs by City - CCAG Model'!$A:$A,'TAZs by City - CCAG Model'!$C:$C,999)</f>
        <v>9</v>
      </c>
      <c r="D2749" s="82" t="str">
        <f t="shared" si="336"/>
        <v>NO</v>
      </c>
      <c r="E2749" s="27">
        <v>15254.08</v>
      </c>
      <c r="F2749" s="27">
        <v>10196.06</v>
      </c>
      <c r="G2749" s="27">
        <v>242</v>
      </c>
      <c r="H2749" s="27">
        <v>253.74</v>
      </c>
      <c r="I2749" s="27">
        <v>1642.42</v>
      </c>
      <c r="J2749" s="27">
        <v>27851.16</v>
      </c>
      <c r="K2749" s="47">
        <f t="shared" si="337"/>
        <v>0.54769998807949116</v>
      </c>
      <c r="L2749" s="47">
        <f t="shared" si="338"/>
        <v>0.36609103534646309</v>
      </c>
      <c r="M2749" s="84">
        <f t="shared" si="339"/>
        <v>0.9137910234259542</v>
      </c>
      <c r="N2749" s="47">
        <f t="shared" si="340"/>
        <v>8.6890456268248796E-3</v>
      </c>
      <c r="O2749" s="47">
        <f t="shared" si="341"/>
        <v>9.1105720551675415E-3</v>
      </c>
      <c r="P2749" s="47">
        <f t="shared" si="342"/>
        <v>5.8971331894255033E-2</v>
      </c>
      <c r="Q2749" s="47">
        <f t="shared" si="343"/>
        <v>1</v>
      </c>
    </row>
    <row r="2750" spans="1:17" x14ac:dyDescent="0.35">
      <c r="A2750" s="82">
        <v>2747</v>
      </c>
      <c r="B2750" s="83" t="str">
        <f>_xlfn.XLOOKUP(A2750,'TAZs by City - CCAG Model'!$A:$A,'TAZs by City - CCAG Model'!$B:$B,"Unknown")</f>
        <v>Unincorporated</v>
      </c>
      <c r="C2750" s="82">
        <f>_xlfn.XLOOKUP(A2750,'TAZs by City - CCAG Model'!$A:$A,'TAZs by City - CCAG Model'!$C:$C,999)</f>
        <v>9</v>
      </c>
      <c r="D2750" s="82" t="str">
        <f t="shared" si="336"/>
        <v>NO</v>
      </c>
      <c r="E2750" s="27">
        <v>14854.94</v>
      </c>
      <c r="F2750" s="27">
        <v>6318.28</v>
      </c>
      <c r="G2750" s="27">
        <v>65.540000000000006</v>
      </c>
      <c r="H2750" s="27">
        <v>92.24</v>
      </c>
      <c r="I2750" s="27">
        <v>2899.38</v>
      </c>
      <c r="J2750" s="27">
        <v>24322.6</v>
      </c>
      <c r="K2750" s="47">
        <f t="shared" si="337"/>
        <v>0.6107463840214451</v>
      </c>
      <c r="L2750" s="47">
        <f t="shared" si="338"/>
        <v>0.25976992591252579</v>
      </c>
      <c r="M2750" s="84">
        <f t="shared" si="339"/>
        <v>0.870516309933971</v>
      </c>
      <c r="N2750" s="47">
        <f t="shared" si="340"/>
        <v>2.694613240360817E-3</v>
      </c>
      <c r="O2750" s="47">
        <f t="shared" si="341"/>
        <v>3.7923577249142771E-3</v>
      </c>
      <c r="P2750" s="47">
        <f t="shared" si="342"/>
        <v>0.11920518365635253</v>
      </c>
      <c r="Q2750" s="47">
        <f t="shared" si="343"/>
        <v>1</v>
      </c>
    </row>
    <row r="2751" spans="1:17" x14ac:dyDescent="0.35">
      <c r="A2751" s="82">
        <v>2748</v>
      </c>
      <c r="B2751" s="83" t="str">
        <f>_xlfn.XLOOKUP(A2751,'TAZs by City - CCAG Model'!$A:$A,'TAZs by City - CCAG Model'!$B:$B,"Unknown")</f>
        <v>Unincorporated</v>
      </c>
      <c r="C2751" s="82">
        <f>_xlfn.XLOOKUP(A2751,'TAZs by City - CCAG Model'!$A:$A,'TAZs by City - CCAG Model'!$C:$C,999)</f>
        <v>9</v>
      </c>
      <c r="D2751" s="82" t="str">
        <f t="shared" si="336"/>
        <v>NO</v>
      </c>
      <c r="E2751" s="27">
        <v>7177.86</v>
      </c>
      <c r="F2751" s="27">
        <v>3261.32</v>
      </c>
      <c r="G2751" s="27">
        <v>32.78</v>
      </c>
      <c r="H2751" s="27">
        <v>28.68</v>
      </c>
      <c r="I2751" s="27">
        <v>402.22</v>
      </c>
      <c r="J2751" s="27">
        <v>10953.54</v>
      </c>
      <c r="K2751" s="47">
        <f t="shared" si="337"/>
        <v>0.65530047820156767</v>
      </c>
      <c r="L2751" s="47">
        <f t="shared" si="338"/>
        <v>0.29774118686744194</v>
      </c>
      <c r="M2751" s="84">
        <f t="shared" si="339"/>
        <v>0.95304166506900956</v>
      </c>
      <c r="N2751" s="47">
        <f t="shared" si="340"/>
        <v>2.992639822377058E-3</v>
      </c>
      <c r="O2751" s="47">
        <f t="shared" si="341"/>
        <v>2.6183316078637587E-3</v>
      </c>
      <c r="P2751" s="47">
        <f t="shared" si="342"/>
        <v>3.6720548790619291E-2</v>
      </c>
      <c r="Q2751" s="47">
        <f t="shared" si="343"/>
        <v>1</v>
      </c>
    </row>
    <row r="2752" spans="1:17" x14ac:dyDescent="0.35">
      <c r="A2752" s="82">
        <v>2749</v>
      </c>
      <c r="B2752" s="83" t="str">
        <f>_xlfn.XLOOKUP(A2752,'TAZs by City - CCAG Model'!$A:$A,'TAZs by City - CCAG Model'!$B:$B,"Unknown")</f>
        <v>Unincorporated</v>
      </c>
      <c r="C2752" s="82">
        <f>_xlfn.XLOOKUP(A2752,'TAZs by City - CCAG Model'!$A:$A,'TAZs by City - CCAG Model'!$C:$C,999)</f>
        <v>9</v>
      </c>
      <c r="D2752" s="82" t="str">
        <f t="shared" si="336"/>
        <v>NO</v>
      </c>
      <c r="E2752" s="27">
        <v>1616.34</v>
      </c>
      <c r="F2752" s="27">
        <v>839.92</v>
      </c>
      <c r="G2752" s="27">
        <v>22.22</v>
      </c>
      <c r="H2752" s="27">
        <v>5.36</v>
      </c>
      <c r="I2752" s="27">
        <v>41.92</v>
      </c>
      <c r="J2752" s="27">
        <v>2560.8000000000002</v>
      </c>
      <c r="K2752" s="47">
        <f t="shared" si="337"/>
        <v>0.63118556701030926</v>
      </c>
      <c r="L2752" s="47">
        <f t="shared" si="338"/>
        <v>0.32799125273352076</v>
      </c>
      <c r="M2752" s="84">
        <f t="shared" si="339"/>
        <v>0.95917681974382984</v>
      </c>
      <c r="N2752" s="47">
        <f t="shared" si="340"/>
        <v>8.6769759450171808E-3</v>
      </c>
      <c r="O2752" s="47">
        <f t="shared" si="341"/>
        <v>2.0930959075288972E-3</v>
      </c>
      <c r="P2752" s="47">
        <f t="shared" si="342"/>
        <v>1.6369884411121523E-2</v>
      </c>
      <c r="Q2752" s="47">
        <f t="shared" si="343"/>
        <v>1</v>
      </c>
    </row>
    <row r="2753" spans="1:17" x14ac:dyDescent="0.35">
      <c r="A2753" s="82">
        <v>2750</v>
      </c>
      <c r="B2753" s="83" t="str">
        <f>_xlfn.XLOOKUP(A2753,'TAZs by City - CCAG Model'!$A:$A,'TAZs by City - CCAG Model'!$B:$B,"Unknown")</f>
        <v>Unincorporated</v>
      </c>
      <c r="C2753" s="82">
        <f>_xlfn.XLOOKUP(A2753,'TAZs by City - CCAG Model'!$A:$A,'TAZs by City - CCAG Model'!$C:$C,999)</f>
        <v>9</v>
      </c>
      <c r="D2753" s="82" t="str">
        <f t="shared" si="336"/>
        <v>NO</v>
      </c>
      <c r="E2753" s="27">
        <v>10582.38</v>
      </c>
      <c r="F2753" s="27">
        <v>5304.82</v>
      </c>
      <c r="G2753" s="27">
        <v>244.56</v>
      </c>
      <c r="H2753" s="27">
        <v>69.260000000000005</v>
      </c>
      <c r="I2753" s="27">
        <v>1758.28</v>
      </c>
      <c r="J2753" s="27">
        <v>18223.62</v>
      </c>
      <c r="K2753" s="47">
        <f t="shared" si="337"/>
        <v>0.5806958222350993</v>
      </c>
      <c r="L2753" s="47">
        <f t="shared" si="338"/>
        <v>0.29109584155069079</v>
      </c>
      <c r="M2753" s="84">
        <f t="shared" si="339"/>
        <v>0.87179166378579009</v>
      </c>
      <c r="N2753" s="47">
        <f t="shared" si="340"/>
        <v>1.34199462016877E-2</v>
      </c>
      <c r="O2753" s="47">
        <f t="shared" si="341"/>
        <v>3.8005621276124067E-3</v>
      </c>
      <c r="P2753" s="47">
        <f t="shared" si="342"/>
        <v>9.6483574613605863E-2</v>
      </c>
      <c r="Q2753" s="47">
        <f t="shared" si="343"/>
        <v>1</v>
      </c>
    </row>
    <row r="2754" spans="1:17" x14ac:dyDescent="0.35">
      <c r="A2754" s="82">
        <v>2751</v>
      </c>
      <c r="B2754" s="83" t="str">
        <f>_xlfn.XLOOKUP(A2754,'TAZs by City - CCAG Model'!$A:$A,'TAZs by City - CCAG Model'!$B:$B,"Unknown")</f>
        <v>Unincorporated</v>
      </c>
      <c r="C2754" s="82">
        <f>_xlfn.XLOOKUP(A2754,'TAZs by City - CCAG Model'!$A:$A,'TAZs by City - CCAG Model'!$C:$C,999)</f>
        <v>9</v>
      </c>
      <c r="D2754" s="82" t="str">
        <f t="shared" si="336"/>
        <v>NO</v>
      </c>
      <c r="E2754" s="27">
        <v>7807</v>
      </c>
      <c r="F2754" s="27">
        <v>4468.84</v>
      </c>
      <c r="G2754" s="27">
        <v>195.04</v>
      </c>
      <c r="H2754" s="27">
        <v>136.84</v>
      </c>
      <c r="I2754" s="27">
        <v>1035.1400000000001</v>
      </c>
      <c r="J2754" s="27">
        <v>13859.36</v>
      </c>
      <c r="K2754" s="47">
        <f t="shared" si="337"/>
        <v>0.56330162431742881</v>
      </c>
      <c r="L2754" s="47">
        <f t="shared" si="338"/>
        <v>0.32244201752461876</v>
      </c>
      <c r="M2754" s="84">
        <f t="shared" si="339"/>
        <v>0.88574364184204757</v>
      </c>
      <c r="N2754" s="47">
        <f t="shared" si="340"/>
        <v>1.4072799898408006E-2</v>
      </c>
      <c r="O2754" s="47">
        <f t="shared" si="341"/>
        <v>9.8734717909052076E-3</v>
      </c>
      <c r="P2754" s="47">
        <f t="shared" si="342"/>
        <v>7.4688874522344476E-2</v>
      </c>
      <c r="Q2754" s="47">
        <f t="shared" si="343"/>
        <v>1</v>
      </c>
    </row>
    <row r="2755" spans="1:17" x14ac:dyDescent="0.35">
      <c r="A2755" s="82">
        <v>2752</v>
      </c>
      <c r="B2755" s="83" t="str">
        <f>_xlfn.XLOOKUP(A2755,'TAZs by City - CCAG Model'!$A:$A,'TAZs by City - CCAG Model'!$B:$B,"Unknown")</f>
        <v>Unincorporated</v>
      </c>
      <c r="C2755" s="82">
        <f>_xlfn.XLOOKUP(A2755,'TAZs by City - CCAG Model'!$A:$A,'TAZs by City - CCAG Model'!$C:$C,999)</f>
        <v>9</v>
      </c>
      <c r="D2755" s="82" t="str">
        <f t="shared" si="336"/>
        <v>NO</v>
      </c>
      <c r="E2755" s="27">
        <v>17991.560000000001</v>
      </c>
      <c r="F2755" s="27">
        <v>10591.34</v>
      </c>
      <c r="G2755" s="27">
        <v>367.4</v>
      </c>
      <c r="H2755" s="27">
        <v>401.54</v>
      </c>
      <c r="I2755" s="27">
        <v>3231.58</v>
      </c>
      <c r="J2755" s="27">
        <v>32976</v>
      </c>
      <c r="K2755" s="47">
        <f t="shared" si="337"/>
        <v>0.54559558466763713</v>
      </c>
      <c r="L2755" s="47">
        <f t="shared" si="338"/>
        <v>0.32118328481319747</v>
      </c>
      <c r="M2755" s="84">
        <f t="shared" si="339"/>
        <v>0.8667788694808346</v>
      </c>
      <c r="N2755" s="47">
        <f t="shared" si="340"/>
        <v>1.1141436196021348E-2</v>
      </c>
      <c r="O2755" s="47">
        <f t="shared" si="341"/>
        <v>1.2176734594856867E-2</v>
      </c>
      <c r="P2755" s="47">
        <f t="shared" si="342"/>
        <v>9.7997937894226103E-2</v>
      </c>
      <c r="Q2755" s="47">
        <f t="shared" si="343"/>
        <v>1</v>
      </c>
    </row>
    <row r="2756" spans="1:17" x14ac:dyDescent="0.35">
      <c r="A2756" s="82">
        <v>2753</v>
      </c>
      <c r="B2756" s="83" t="str">
        <f>_xlfn.XLOOKUP(A2756,'TAZs by City - CCAG Model'!$A:$A,'TAZs by City - CCAG Model'!$B:$B,"Unknown")</f>
        <v>San Rafael</v>
      </c>
      <c r="C2756" s="82">
        <f>_xlfn.XLOOKUP(A2756,'TAZs by City - CCAG Model'!$A:$A,'TAZs by City - CCAG Model'!$C:$C,999)</f>
        <v>9</v>
      </c>
      <c r="D2756" s="82" t="str">
        <f t="shared" si="336"/>
        <v>NO</v>
      </c>
      <c r="E2756" s="27">
        <v>30734.799999999999</v>
      </c>
      <c r="F2756" s="27">
        <v>14588.04</v>
      </c>
      <c r="G2756" s="27">
        <v>579.54</v>
      </c>
      <c r="H2756" s="27">
        <v>539.46</v>
      </c>
      <c r="I2756" s="27">
        <v>4218.5200000000004</v>
      </c>
      <c r="J2756" s="27">
        <v>51266.9</v>
      </c>
      <c r="K2756" s="47">
        <f t="shared" si="337"/>
        <v>0.59950572396614576</v>
      </c>
      <c r="L2756" s="47">
        <f t="shared" si="338"/>
        <v>0.28455085054879464</v>
      </c>
      <c r="M2756" s="84">
        <f t="shared" si="339"/>
        <v>0.88405657451494035</v>
      </c>
      <c r="N2756" s="47">
        <f t="shared" si="340"/>
        <v>1.1304369876079887E-2</v>
      </c>
      <c r="O2756" s="47">
        <f t="shared" si="341"/>
        <v>1.0522578895934805E-2</v>
      </c>
      <c r="P2756" s="47">
        <f t="shared" si="342"/>
        <v>8.2285451236567844E-2</v>
      </c>
      <c r="Q2756" s="47">
        <f t="shared" si="343"/>
        <v>1</v>
      </c>
    </row>
    <row r="2757" spans="1:17" x14ac:dyDescent="0.35">
      <c r="A2757" s="82">
        <v>2754</v>
      </c>
      <c r="B2757" s="83" t="str">
        <f>_xlfn.XLOOKUP(A2757,'TAZs by City - CCAG Model'!$A:$A,'TAZs by City - CCAG Model'!$B:$B,"Unknown")</f>
        <v>San Rafael</v>
      </c>
      <c r="C2757" s="82">
        <f>_xlfn.XLOOKUP(A2757,'TAZs by City - CCAG Model'!$A:$A,'TAZs by City - CCAG Model'!$C:$C,999)</f>
        <v>9</v>
      </c>
      <c r="D2757" s="82" t="str">
        <f t="shared" ref="D2757:D2820" si="344">IF(C2757=2,"YES","NO")</f>
        <v>NO</v>
      </c>
      <c r="E2757" s="27">
        <v>22653.18</v>
      </c>
      <c r="F2757" s="27">
        <v>11696.32</v>
      </c>
      <c r="G2757" s="27">
        <v>537.84</v>
      </c>
      <c r="H2757" s="27">
        <v>329.74</v>
      </c>
      <c r="I2757" s="27">
        <v>2303.1</v>
      </c>
      <c r="J2757" s="27">
        <v>38085.46</v>
      </c>
      <c r="K2757" s="47">
        <f t="shared" ref="K2757:K2820" si="345">IFERROR(E2757/$J2757,0)</f>
        <v>0.59479864494219059</v>
      </c>
      <c r="L2757" s="47">
        <f t="shared" ref="L2757:L2820" si="346">IFERROR(F2757/$J2757,0)</f>
        <v>0.30710722674742541</v>
      </c>
      <c r="M2757" s="84">
        <f t="shared" ref="M2757:M2820" si="347">IFERROR((E2757+F2757)/J2757,0)</f>
        <v>0.901905871689616</v>
      </c>
      <c r="N2757" s="47">
        <f t="shared" ref="N2757:N2820" si="348">IFERROR(G2757/$J2757,0)</f>
        <v>1.4121924745033933E-2</v>
      </c>
      <c r="O2757" s="47">
        <f t="shared" ref="O2757:O2820" si="349">IFERROR(H2757/$J2757,0)</f>
        <v>8.6578972657806955E-3</v>
      </c>
      <c r="P2757" s="47">
        <f t="shared" ref="P2757:P2820" si="350">IFERROR(I2757/$J2757,0)</f>
        <v>6.0471896624065984E-2</v>
      </c>
      <c r="Q2757" s="47">
        <f t="shared" ref="Q2757:Q2820" si="351">IFERROR(J2757/$J2757,0)</f>
        <v>1</v>
      </c>
    </row>
    <row r="2758" spans="1:17" x14ac:dyDescent="0.35">
      <c r="A2758" s="82">
        <v>2755</v>
      </c>
      <c r="B2758" s="83" t="str">
        <f>_xlfn.XLOOKUP(A2758,'TAZs by City - CCAG Model'!$A:$A,'TAZs by City - CCAG Model'!$B:$B,"Unknown")</f>
        <v>Unincorporated</v>
      </c>
      <c r="C2758" s="82">
        <f>_xlfn.XLOOKUP(A2758,'TAZs by City - CCAG Model'!$A:$A,'TAZs by City - CCAG Model'!$C:$C,999)</f>
        <v>9</v>
      </c>
      <c r="D2758" s="82" t="str">
        <f t="shared" si="344"/>
        <v>NO</v>
      </c>
      <c r="E2758" s="27">
        <v>13800.8</v>
      </c>
      <c r="F2758" s="27">
        <v>9159.7000000000007</v>
      </c>
      <c r="G2758" s="27">
        <v>364.92</v>
      </c>
      <c r="H2758" s="27">
        <v>212.08</v>
      </c>
      <c r="I2758" s="27">
        <v>1460.88</v>
      </c>
      <c r="J2758" s="27">
        <v>25385.84</v>
      </c>
      <c r="K2758" s="47">
        <f t="shared" si="345"/>
        <v>0.54364165219665761</v>
      </c>
      <c r="L2758" s="47">
        <f t="shared" si="346"/>
        <v>0.36081925987085717</v>
      </c>
      <c r="M2758" s="84">
        <f t="shared" si="347"/>
        <v>0.90446091206751478</v>
      </c>
      <c r="N2758" s="47">
        <f t="shared" si="348"/>
        <v>1.4374942881543413E-2</v>
      </c>
      <c r="O2758" s="47">
        <f t="shared" si="349"/>
        <v>8.3542636367360708E-3</v>
      </c>
      <c r="P2758" s="47">
        <f t="shared" si="350"/>
        <v>5.7547041973005426E-2</v>
      </c>
      <c r="Q2758" s="47">
        <f t="shared" si="351"/>
        <v>1</v>
      </c>
    </row>
    <row r="2759" spans="1:17" x14ac:dyDescent="0.35">
      <c r="A2759" s="82">
        <v>2756</v>
      </c>
      <c r="B2759" s="83" t="str">
        <f>_xlfn.XLOOKUP(A2759,'TAZs by City - CCAG Model'!$A:$A,'TAZs by City - CCAG Model'!$B:$B,"Unknown")</f>
        <v>Unincorporated</v>
      </c>
      <c r="C2759" s="82">
        <f>_xlfn.XLOOKUP(A2759,'TAZs by City - CCAG Model'!$A:$A,'TAZs by City - CCAG Model'!$C:$C,999)</f>
        <v>9</v>
      </c>
      <c r="D2759" s="82" t="str">
        <f t="shared" si="344"/>
        <v>NO</v>
      </c>
      <c r="E2759" s="27">
        <v>25593.82</v>
      </c>
      <c r="F2759" s="27">
        <v>10527.18</v>
      </c>
      <c r="G2759" s="27">
        <v>506.78</v>
      </c>
      <c r="H2759" s="27">
        <v>299.16000000000003</v>
      </c>
      <c r="I2759" s="27">
        <v>1970.46</v>
      </c>
      <c r="J2759" s="27">
        <v>39434.26</v>
      </c>
      <c r="K2759" s="47">
        <f t="shared" si="345"/>
        <v>0.6490249848735592</v>
      </c>
      <c r="L2759" s="47">
        <f t="shared" si="346"/>
        <v>0.26695518059677042</v>
      </c>
      <c r="M2759" s="84">
        <f t="shared" si="347"/>
        <v>0.91598016547032957</v>
      </c>
      <c r="N2759" s="47">
        <f t="shared" si="348"/>
        <v>1.2851261821573423E-2</v>
      </c>
      <c r="O2759" s="47">
        <f t="shared" si="349"/>
        <v>7.5862967886299888E-3</v>
      </c>
      <c r="P2759" s="47">
        <f t="shared" si="350"/>
        <v>4.9968225598756001E-2</v>
      </c>
      <c r="Q2759" s="47">
        <f t="shared" si="351"/>
        <v>1</v>
      </c>
    </row>
    <row r="2760" spans="1:17" x14ac:dyDescent="0.35">
      <c r="A2760" s="82">
        <v>2757</v>
      </c>
      <c r="B2760" s="83" t="str">
        <f>_xlfn.XLOOKUP(A2760,'TAZs by City - CCAG Model'!$A:$A,'TAZs by City - CCAG Model'!$B:$B,"Unknown")</f>
        <v>Unincorporated</v>
      </c>
      <c r="C2760" s="82">
        <f>_xlfn.XLOOKUP(A2760,'TAZs by City - CCAG Model'!$A:$A,'TAZs by City - CCAG Model'!$C:$C,999)</f>
        <v>9</v>
      </c>
      <c r="D2760" s="82" t="str">
        <f t="shared" si="344"/>
        <v>NO</v>
      </c>
      <c r="E2760" s="27">
        <v>20716.14</v>
      </c>
      <c r="F2760" s="27">
        <v>10225.06</v>
      </c>
      <c r="G2760" s="27">
        <v>270.02</v>
      </c>
      <c r="H2760" s="27">
        <v>327.98</v>
      </c>
      <c r="I2760" s="27">
        <v>1422.36</v>
      </c>
      <c r="J2760" s="27">
        <v>33254.26</v>
      </c>
      <c r="K2760" s="47">
        <f t="shared" si="345"/>
        <v>0.62296199043370681</v>
      </c>
      <c r="L2760" s="47">
        <f t="shared" si="346"/>
        <v>0.30748120691905334</v>
      </c>
      <c r="M2760" s="84">
        <f t="shared" si="347"/>
        <v>0.93044319735276004</v>
      </c>
      <c r="N2760" s="47">
        <f t="shared" si="348"/>
        <v>8.11986193648573E-3</v>
      </c>
      <c r="O2760" s="47">
        <f t="shared" si="349"/>
        <v>9.8627965259187843E-3</v>
      </c>
      <c r="P2760" s="47">
        <f t="shared" si="350"/>
        <v>4.2772264365527897E-2</v>
      </c>
      <c r="Q2760" s="47">
        <f t="shared" si="351"/>
        <v>1</v>
      </c>
    </row>
    <row r="2761" spans="1:17" x14ac:dyDescent="0.35">
      <c r="A2761" s="82">
        <v>2758</v>
      </c>
      <c r="B2761" s="83" t="str">
        <f>_xlfn.XLOOKUP(A2761,'TAZs by City - CCAG Model'!$A:$A,'TAZs by City - CCAG Model'!$B:$B,"Unknown")</f>
        <v>San Rafael</v>
      </c>
      <c r="C2761" s="82">
        <f>_xlfn.XLOOKUP(A2761,'TAZs by City - CCAG Model'!$A:$A,'TAZs by City - CCAG Model'!$C:$C,999)</f>
        <v>9</v>
      </c>
      <c r="D2761" s="82" t="str">
        <f t="shared" si="344"/>
        <v>NO</v>
      </c>
      <c r="E2761" s="27">
        <v>14016.5</v>
      </c>
      <c r="F2761" s="27">
        <v>8233.44</v>
      </c>
      <c r="G2761" s="27">
        <v>302.52</v>
      </c>
      <c r="H2761" s="27">
        <v>249.52</v>
      </c>
      <c r="I2761" s="27">
        <v>1367.9</v>
      </c>
      <c r="J2761" s="27">
        <v>24490.66</v>
      </c>
      <c r="K2761" s="47">
        <f t="shared" si="345"/>
        <v>0.57232022330145449</v>
      </c>
      <c r="L2761" s="47">
        <f t="shared" si="346"/>
        <v>0.33618693820419704</v>
      </c>
      <c r="M2761" s="84">
        <f t="shared" si="347"/>
        <v>0.90850716150565169</v>
      </c>
      <c r="N2761" s="47">
        <f t="shared" si="348"/>
        <v>1.2352464163889416E-2</v>
      </c>
      <c r="O2761" s="47">
        <f t="shared" si="349"/>
        <v>1.0188373853542534E-2</v>
      </c>
      <c r="P2761" s="47">
        <f t="shared" si="350"/>
        <v>5.5853945953273622E-2</v>
      </c>
      <c r="Q2761" s="47">
        <f t="shared" si="351"/>
        <v>1</v>
      </c>
    </row>
    <row r="2762" spans="1:17" x14ac:dyDescent="0.35">
      <c r="A2762" s="82">
        <v>2759</v>
      </c>
      <c r="B2762" s="83" t="str">
        <f>_xlfn.XLOOKUP(A2762,'TAZs by City - CCAG Model'!$A:$A,'TAZs by City - CCAG Model'!$B:$B,"Unknown")</f>
        <v>San Rafael</v>
      </c>
      <c r="C2762" s="82">
        <f>_xlfn.XLOOKUP(A2762,'TAZs by City - CCAG Model'!$A:$A,'TAZs by City - CCAG Model'!$C:$C,999)</f>
        <v>9</v>
      </c>
      <c r="D2762" s="82" t="str">
        <f t="shared" si="344"/>
        <v>NO</v>
      </c>
      <c r="E2762" s="27">
        <v>24235.34</v>
      </c>
      <c r="F2762" s="27">
        <v>11448.18</v>
      </c>
      <c r="G2762" s="27">
        <v>687.86</v>
      </c>
      <c r="H2762" s="27">
        <v>473.32</v>
      </c>
      <c r="I2762" s="27">
        <v>3870.28</v>
      </c>
      <c r="J2762" s="27">
        <v>41430.400000000001</v>
      </c>
      <c r="K2762" s="47">
        <f t="shared" si="345"/>
        <v>0.58496514636595354</v>
      </c>
      <c r="L2762" s="47">
        <f t="shared" si="346"/>
        <v>0.27632318297675135</v>
      </c>
      <c r="M2762" s="84">
        <f t="shared" si="347"/>
        <v>0.86128832934270494</v>
      </c>
      <c r="N2762" s="47">
        <f t="shared" si="348"/>
        <v>1.660278442882521E-2</v>
      </c>
      <c r="O2762" s="47">
        <f t="shared" si="349"/>
        <v>1.1424461265157951E-2</v>
      </c>
      <c r="P2762" s="47">
        <f t="shared" si="350"/>
        <v>9.3416428516258601E-2</v>
      </c>
      <c r="Q2762" s="47">
        <f t="shared" si="351"/>
        <v>1</v>
      </c>
    </row>
    <row r="2763" spans="1:17" x14ac:dyDescent="0.35">
      <c r="A2763" s="82">
        <v>2760</v>
      </c>
      <c r="B2763" s="83" t="str">
        <f>_xlfn.XLOOKUP(A2763,'TAZs by City - CCAG Model'!$A:$A,'TAZs by City - CCAG Model'!$B:$B,"Unknown")</f>
        <v>San Rafael</v>
      </c>
      <c r="C2763" s="82">
        <f>_xlfn.XLOOKUP(A2763,'TAZs by City - CCAG Model'!$A:$A,'TAZs by City - CCAG Model'!$C:$C,999)</f>
        <v>9</v>
      </c>
      <c r="D2763" s="82" t="str">
        <f t="shared" si="344"/>
        <v>NO</v>
      </c>
      <c r="E2763" s="27">
        <v>39409.599999999999</v>
      </c>
      <c r="F2763" s="27">
        <v>20488.099999999999</v>
      </c>
      <c r="G2763" s="27">
        <v>1717.62</v>
      </c>
      <c r="H2763" s="27">
        <v>915.34</v>
      </c>
      <c r="I2763" s="27">
        <v>7266.86</v>
      </c>
      <c r="J2763" s="27">
        <v>71547.28</v>
      </c>
      <c r="K2763" s="47">
        <f t="shared" si="345"/>
        <v>0.55081898291591236</v>
      </c>
      <c r="L2763" s="47">
        <f t="shared" si="346"/>
        <v>0.2863574967490029</v>
      </c>
      <c r="M2763" s="84">
        <f t="shared" si="347"/>
        <v>0.83717647966491526</v>
      </c>
      <c r="N2763" s="47">
        <f t="shared" si="348"/>
        <v>2.4006782647781996E-2</v>
      </c>
      <c r="O2763" s="47">
        <f t="shared" si="349"/>
        <v>1.2793498229422559E-2</v>
      </c>
      <c r="P2763" s="47">
        <f t="shared" si="350"/>
        <v>0.10156724336690368</v>
      </c>
      <c r="Q2763" s="47">
        <f t="shared" si="351"/>
        <v>1</v>
      </c>
    </row>
    <row r="2764" spans="1:17" x14ac:dyDescent="0.35">
      <c r="A2764" s="82">
        <v>2761</v>
      </c>
      <c r="B2764" s="83" t="str">
        <f>_xlfn.XLOOKUP(A2764,'TAZs by City - CCAG Model'!$A:$A,'TAZs by City - CCAG Model'!$B:$B,"Unknown")</f>
        <v>San Rafael</v>
      </c>
      <c r="C2764" s="82">
        <f>_xlfn.XLOOKUP(A2764,'TAZs by City - CCAG Model'!$A:$A,'TAZs by City - CCAG Model'!$C:$C,999)</f>
        <v>9</v>
      </c>
      <c r="D2764" s="82" t="str">
        <f t="shared" si="344"/>
        <v>NO</v>
      </c>
      <c r="E2764" s="27">
        <v>18859.580000000002</v>
      </c>
      <c r="F2764" s="27">
        <v>8825.82</v>
      </c>
      <c r="G2764" s="27">
        <v>610.17999999999995</v>
      </c>
      <c r="H2764" s="27">
        <v>335.24</v>
      </c>
      <c r="I2764" s="27">
        <v>1677.28</v>
      </c>
      <c r="J2764" s="27">
        <v>30947.26</v>
      </c>
      <c r="K2764" s="47">
        <f t="shared" si="345"/>
        <v>0.60941033228789887</v>
      </c>
      <c r="L2764" s="47">
        <f t="shared" si="346"/>
        <v>0.28518906035623187</v>
      </c>
      <c r="M2764" s="84">
        <f t="shared" si="347"/>
        <v>0.8945993926441308</v>
      </c>
      <c r="N2764" s="47">
        <f t="shared" si="348"/>
        <v>1.9716769756030098E-2</v>
      </c>
      <c r="O2764" s="47">
        <f t="shared" si="349"/>
        <v>1.083262298503971E-2</v>
      </c>
      <c r="P2764" s="47">
        <f t="shared" si="350"/>
        <v>5.4198013006644209E-2</v>
      </c>
      <c r="Q2764" s="47">
        <f t="shared" si="351"/>
        <v>1</v>
      </c>
    </row>
    <row r="2765" spans="1:17" x14ac:dyDescent="0.35">
      <c r="A2765" s="82">
        <v>2762</v>
      </c>
      <c r="B2765" s="83" t="str">
        <f>_xlfn.XLOOKUP(A2765,'TAZs by City - CCAG Model'!$A:$A,'TAZs by City - CCAG Model'!$B:$B,"Unknown")</f>
        <v>San Rafael</v>
      </c>
      <c r="C2765" s="82">
        <f>_xlfn.XLOOKUP(A2765,'TAZs by City - CCAG Model'!$A:$A,'TAZs by City - CCAG Model'!$C:$C,999)</f>
        <v>9</v>
      </c>
      <c r="D2765" s="82" t="str">
        <f t="shared" si="344"/>
        <v>NO</v>
      </c>
      <c r="E2765" s="27">
        <v>35699.440000000002</v>
      </c>
      <c r="F2765" s="27">
        <v>14522.7</v>
      </c>
      <c r="G2765" s="27">
        <v>251.46</v>
      </c>
      <c r="H2765" s="27">
        <v>706.98</v>
      </c>
      <c r="I2765" s="27">
        <v>4684.04</v>
      </c>
      <c r="J2765" s="27">
        <v>56139.78</v>
      </c>
      <c r="K2765" s="47">
        <f t="shared" si="345"/>
        <v>0.635902741336001</v>
      </c>
      <c r="L2765" s="47">
        <f t="shared" si="346"/>
        <v>0.25868822428588073</v>
      </c>
      <c r="M2765" s="84">
        <f t="shared" si="347"/>
        <v>0.89459096562188167</v>
      </c>
      <c r="N2765" s="47">
        <f t="shared" si="348"/>
        <v>4.4791767976290614E-3</v>
      </c>
      <c r="O2765" s="47">
        <f t="shared" si="349"/>
        <v>1.2593209307197144E-2</v>
      </c>
      <c r="P2765" s="47">
        <f t="shared" si="350"/>
        <v>8.3435310932818044E-2</v>
      </c>
      <c r="Q2765" s="47">
        <f t="shared" si="351"/>
        <v>1</v>
      </c>
    </row>
    <row r="2766" spans="1:17" x14ac:dyDescent="0.35">
      <c r="A2766" s="82">
        <v>2763</v>
      </c>
      <c r="B2766" s="83" t="str">
        <f>_xlfn.XLOOKUP(A2766,'TAZs by City - CCAG Model'!$A:$A,'TAZs by City - CCAG Model'!$B:$B,"Unknown")</f>
        <v>San Rafael</v>
      </c>
      <c r="C2766" s="82">
        <f>_xlfn.XLOOKUP(A2766,'TAZs by City - CCAG Model'!$A:$A,'TAZs by City - CCAG Model'!$C:$C,999)</f>
        <v>9</v>
      </c>
      <c r="D2766" s="82" t="str">
        <f t="shared" si="344"/>
        <v>NO</v>
      </c>
      <c r="E2766" s="27">
        <v>22191.84</v>
      </c>
      <c r="F2766" s="27">
        <v>12144.84</v>
      </c>
      <c r="G2766" s="27">
        <v>428.92</v>
      </c>
      <c r="H2766" s="27">
        <v>455.74</v>
      </c>
      <c r="I2766" s="27">
        <v>1961.02</v>
      </c>
      <c r="J2766" s="27">
        <v>37634.86</v>
      </c>
      <c r="K2766" s="47">
        <f t="shared" si="345"/>
        <v>0.58966181885624125</v>
      </c>
      <c r="L2766" s="47">
        <f t="shared" si="346"/>
        <v>0.3227018779929034</v>
      </c>
      <c r="M2766" s="84">
        <f t="shared" si="347"/>
        <v>0.91236369684914465</v>
      </c>
      <c r="N2766" s="47">
        <f t="shared" si="348"/>
        <v>1.139688044541683E-2</v>
      </c>
      <c r="O2766" s="47">
        <f t="shared" si="349"/>
        <v>1.2109517612128756E-2</v>
      </c>
      <c r="P2766" s="47">
        <f t="shared" si="350"/>
        <v>5.2106477877159635E-2</v>
      </c>
      <c r="Q2766" s="47">
        <f t="shared" si="351"/>
        <v>1</v>
      </c>
    </row>
    <row r="2767" spans="1:17" x14ac:dyDescent="0.35">
      <c r="A2767" s="82">
        <v>2764</v>
      </c>
      <c r="B2767" s="83" t="str">
        <f>_xlfn.XLOOKUP(A2767,'TAZs by City - CCAG Model'!$A:$A,'TAZs by City - CCAG Model'!$B:$B,"Unknown")</f>
        <v>San Anselmo</v>
      </c>
      <c r="C2767" s="82">
        <f>_xlfn.XLOOKUP(A2767,'TAZs by City - CCAG Model'!$A:$A,'TAZs by City - CCAG Model'!$C:$C,999)</f>
        <v>9</v>
      </c>
      <c r="D2767" s="82" t="str">
        <f t="shared" si="344"/>
        <v>NO</v>
      </c>
      <c r="E2767" s="27">
        <v>21231.38</v>
      </c>
      <c r="F2767" s="27">
        <v>10392.02</v>
      </c>
      <c r="G2767" s="27">
        <v>433.56</v>
      </c>
      <c r="H2767" s="27">
        <v>436.7</v>
      </c>
      <c r="I2767" s="27">
        <v>2679.32</v>
      </c>
      <c r="J2767" s="27">
        <v>35635.1</v>
      </c>
      <c r="K2767" s="47">
        <f t="shared" si="345"/>
        <v>0.59579964697727805</v>
      </c>
      <c r="L2767" s="47">
        <f t="shared" si="346"/>
        <v>0.2916231468411763</v>
      </c>
      <c r="M2767" s="84">
        <f t="shared" si="347"/>
        <v>0.88742279381845435</v>
      </c>
      <c r="N2767" s="47">
        <f t="shared" si="348"/>
        <v>1.2166655909482505E-2</v>
      </c>
      <c r="O2767" s="47">
        <f t="shared" si="349"/>
        <v>1.2254771278879532E-2</v>
      </c>
      <c r="P2767" s="47">
        <f t="shared" si="350"/>
        <v>7.5187666093261982E-2</v>
      </c>
      <c r="Q2767" s="47">
        <f t="shared" si="351"/>
        <v>1</v>
      </c>
    </row>
    <row r="2768" spans="1:17" x14ac:dyDescent="0.35">
      <c r="A2768" s="82">
        <v>2765</v>
      </c>
      <c r="B2768" s="83" t="str">
        <f>_xlfn.XLOOKUP(A2768,'TAZs by City - CCAG Model'!$A:$A,'TAZs by City - CCAG Model'!$B:$B,"Unknown")</f>
        <v>San Anselmo</v>
      </c>
      <c r="C2768" s="82">
        <f>_xlfn.XLOOKUP(A2768,'TAZs by City - CCAG Model'!$A:$A,'TAZs by City - CCAG Model'!$C:$C,999)</f>
        <v>9</v>
      </c>
      <c r="D2768" s="82" t="str">
        <f t="shared" si="344"/>
        <v>NO</v>
      </c>
      <c r="E2768" s="27">
        <v>7718.6</v>
      </c>
      <c r="F2768" s="27">
        <v>4824.84</v>
      </c>
      <c r="G2768" s="27">
        <v>214.22</v>
      </c>
      <c r="H2768" s="27">
        <v>194.76</v>
      </c>
      <c r="I2768" s="27">
        <v>1039.8399999999999</v>
      </c>
      <c r="J2768" s="27">
        <v>14228.26</v>
      </c>
      <c r="K2768" s="47">
        <f t="shared" si="345"/>
        <v>0.54248376119075703</v>
      </c>
      <c r="L2768" s="47">
        <f t="shared" si="346"/>
        <v>0.33910260284813465</v>
      </c>
      <c r="M2768" s="84">
        <f t="shared" si="347"/>
        <v>0.88158636403889168</v>
      </c>
      <c r="N2768" s="47">
        <f t="shared" si="348"/>
        <v>1.5055952027865669E-2</v>
      </c>
      <c r="O2768" s="47">
        <f t="shared" si="349"/>
        <v>1.3688251409518801E-2</v>
      </c>
      <c r="P2768" s="47">
        <f t="shared" si="350"/>
        <v>7.3082724099784502E-2</v>
      </c>
      <c r="Q2768" s="47">
        <f t="shared" si="351"/>
        <v>1</v>
      </c>
    </row>
    <row r="2769" spans="1:17" x14ac:dyDescent="0.35">
      <c r="A2769" s="82">
        <v>2766</v>
      </c>
      <c r="B2769" s="83" t="str">
        <f>_xlfn.XLOOKUP(A2769,'TAZs by City - CCAG Model'!$A:$A,'TAZs by City - CCAG Model'!$B:$B,"Unknown")</f>
        <v>Unincorporated</v>
      </c>
      <c r="C2769" s="82">
        <f>_xlfn.XLOOKUP(A2769,'TAZs by City - CCAG Model'!$A:$A,'TAZs by City - CCAG Model'!$C:$C,999)</f>
        <v>9</v>
      </c>
      <c r="D2769" s="82" t="str">
        <f t="shared" si="344"/>
        <v>NO</v>
      </c>
      <c r="E2769" s="27">
        <v>15852.74</v>
      </c>
      <c r="F2769" s="27">
        <v>8255.1</v>
      </c>
      <c r="G2769" s="27">
        <v>283.06</v>
      </c>
      <c r="H2769" s="27">
        <v>279.56</v>
      </c>
      <c r="I2769" s="27">
        <v>2183.58</v>
      </c>
      <c r="J2769" s="27">
        <v>27157.54</v>
      </c>
      <c r="K2769" s="47">
        <f t="shared" si="345"/>
        <v>0.58373254720420187</v>
      </c>
      <c r="L2769" s="47">
        <f t="shared" si="346"/>
        <v>0.3039708309368227</v>
      </c>
      <c r="M2769" s="84">
        <f t="shared" si="347"/>
        <v>0.88770337814102451</v>
      </c>
      <c r="N2769" s="47">
        <f t="shared" si="348"/>
        <v>1.0422888081910216E-2</v>
      </c>
      <c r="O2769" s="47">
        <f t="shared" si="349"/>
        <v>1.0294010429516075E-2</v>
      </c>
      <c r="P2769" s="47">
        <f t="shared" si="350"/>
        <v>8.0404189775657137E-2</v>
      </c>
      <c r="Q2769" s="47">
        <f t="shared" si="351"/>
        <v>1</v>
      </c>
    </row>
    <row r="2770" spans="1:17" x14ac:dyDescent="0.35">
      <c r="A2770" s="82">
        <v>2767</v>
      </c>
      <c r="B2770" s="83" t="str">
        <f>_xlfn.XLOOKUP(A2770,'TAZs by City - CCAG Model'!$A:$A,'TAZs by City - CCAG Model'!$B:$B,"Unknown")</f>
        <v>Ross</v>
      </c>
      <c r="C2770" s="82">
        <f>_xlfn.XLOOKUP(A2770,'TAZs by City - CCAG Model'!$A:$A,'TAZs by City - CCAG Model'!$C:$C,999)</f>
        <v>9</v>
      </c>
      <c r="D2770" s="82" t="str">
        <f t="shared" si="344"/>
        <v>NO</v>
      </c>
      <c r="E2770" s="27">
        <v>5414.54</v>
      </c>
      <c r="F2770" s="27">
        <v>4034.86</v>
      </c>
      <c r="G2770" s="27">
        <v>166.64</v>
      </c>
      <c r="H2770" s="27">
        <v>132.24</v>
      </c>
      <c r="I2770" s="27">
        <v>415.28</v>
      </c>
      <c r="J2770" s="27">
        <v>10352.200000000001</v>
      </c>
      <c r="K2770" s="47">
        <f t="shared" si="345"/>
        <v>0.52303278530167496</v>
      </c>
      <c r="L2770" s="47">
        <f t="shared" si="346"/>
        <v>0.38975869863410673</v>
      </c>
      <c r="M2770" s="84">
        <f t="shared" si="347"/>
        <v>0.91279148393578169</v>
      </c>
      <c r="N2770" s="47">
        <f t="shared" si="348"/>
        <v>1.6097061494175148E-2</v>
      </c>
      <c r="O2770" s="47">
        <f t="shared" si="349"/>
        <v>1.2774096327350708E-2</v>
      </c>
      <c r="P2770" s="47">
        <f t="shared" si="350"/>
        <v>4.0115144606943445E-2</v>
      </c>
      <c r="Q2770" s="47">
        <f t="shared" si="351"/>
        <v>1</v>
      </c>
    </row>
    <row r="2771" spans="1:17" x14ac:dyDescent="0.35">
      <c r="A2771" s="82">
        <v>2768</v>
      </c>
      <c r="B2771" s="83" t="str">
        <f>_xlfn.XLOOKUP(A2771,'TAZs by City - CCAG Model'!$A:$A,'TAZs by City - CCAG Model'!$B:$B,"Unknown")</f>
        <v>Unincorporated</v>
      </c>
      <c r="C2771" s="82">
        <f>_xlfn.XLOOKUP(A2771,'TAZs by City - CCAG Model'!$A:$A,'TAZs by City - CCAG Model'!$C:$C,999)</f>
        <v>9</v>
      </c>
      <c r="D2771" s="82" t="str">
        <f t="shared" si="344"/>
        <v>NO</v>
      </c>
      <c r="E2771" s="27">
        <v>16868.66</v>
      </c>
      <c r="F2771" s="27">
        <v>9001.56</v>
      </c>
      <c r="G2771" s="27">
        <v>482.16</v>
      </c>
      <c r="H2771" s="27">
        <v>321.94</v>
      </c>
      <c r="I2771" s="27">
        <v>1387.54</v>
      </c>
      <c r="J2771" s="27">
        <v>28569.46</v>
      </c>
      <c r="K2771" s="47">
        <f t="shared" si="345"/>
        <v>0.59044378157655064</v>
      </c>
      <c r="L2771" s="47">
        <f t="shared" si="346"/>
        <v>0.3150763087576734</v>
      </c>
      <c r="M2771" s="84">
        <f t="shared" si="347"/>
        <v>0.90552009033422409</v>
      </c>
      <c r="N2771" s="47">
        <f t="shared" si="348"/>
        <v>1.687676280895754E-2</v>
      </c>
      <c r="O2771" s="47">
        <f t="shared" si="349"/>
        <v>1.1268676411804774E-2</v>
      </c>
      <c r="P2771" s="47">
        <f t="shared" si="350"/>
        <v>4.8567246283268917E-2</v>
      </c>
      <c r="Q2771" s="47">
        <f t="shared" si="351"/>
        <v>1</v>
      </c>
    </row>
    <row r="2772" spans="1:17" x14ac:dyDescent="0.35">
      <c r="A2772" s="82">
        <v>2769</v>
      </c>
      <c r="B2772" s="83" t="str">
        <f>_xlfn.XLOOKUP(A2772,'TAZs by City - CCAG Model'!$A:$A,'TAZs by City - CCAG Model'!$B:$B,"Unknown")</f>
        <v>Larkspur</v>
      </c>
      <c r="C2772" s="82">
        <f>_xlfn.XLOOKUP(A2772,'TAZs by City - CCAG Model'!$A:$A,'TAZs by City - CCAG Model'!$C:$C,999)</f>
        <v>9</v>
      </c>
      <c r="D2772" s="82" t="str">
        <f t="shared" si="344"/>
        <v>NO</v>
      </c>
      <c r="E2772" s="27">
        <v>23416.32</v>
      </c>
      <c r="F2772" s="27">
        <v>10761.92</v>
      </c>
      <c r="G2772" s="27">
        <v>793.7</v>
      </c>
      <c r="H2772" s="27">
        <v>387.44</v>
      </c>
      <c r="I2772" s="27">
        <v>1958.32</v>
      </c>
      <c r="J2772" s="27">
        <v>38139.660000000003</v>
      </c>
      <c r="K2772" s="47">
        <f t="shared" si="345"/>
        <v>0.61396247370847035</v>
      </c>
      <c r="L2772" s="47">
        <f t="shared" si="346"/>
        <v>0.28217136702319839</v>
      </c>
      <c r="M2772" s="84">
        <f t="shared" si="347"/>
        <v>0.89613384073166868</v>
      </c>
      <c r="N2772" s="47">
        <f t="shared" si="348"/>
        <v>2.0810358561140815E-2</v>
      </c>
      <c r="O2772" s="47">
        <f t="shared" si="349"/>
        <v>1.0158454480192008E-2</v>
      </c>
      <c r="P2772" s="47">
        <f t="shared" si="350"/>
        <v>5.1346026681936857E-2</v>
      </c>
      <c r="Q2772" s="47">
        <f t="shared" si="351"/>
        <v>1</v>
      </c>
    </row>
    <row r="2773" spans="1:17" x14ac:dyDescent="0.35">
      <c r="A2773" s="82">
        <v>2770</v>
      </c>
      <c r="B2773" s="83" t="str">
        <f>_xlfn.XLOOKUP(A2773,'TAZs by City - CCAG Model'!$A:$A,'TAZs by City - CCAG Model'!$B:$B,"Unknown")</f>
        <v>Corte Madera</v>
      </c>
      <c r="C2773" s="82">
        <f>_xlfn.XLOOKUP(A2773,'TAZs by City - CCAG Model'!$A:$A,'TAZs by City - CCAG Model'!$C:$C,999)</f>
        <v>9</v>
      </c>
      <c r="D2773" s="82" t="str">
        <f t="shared" si="344"/>
        <v>NO</v>
      </c>
      <c r="E2773" s="27">
        <v>50171.32</v>
      </c>
      <c r="F2773" s="27">
        <v>20883.740000000002</v>
      </c>
      <c r="G2773" s="27">
        <v>471.8</v>
      </c>
      <c r="H2773" s="27">
        <v>522.67999999999995</v>
      </c>
      <c r="I2773" s="27">
        <v>3400.82</v>
      </c>
      <c r="J2773" s="27">
        <v>75949.88</v>
      </c>
      <c r="K2773" s="47">
        <f t="shared" si="345"/>
        <v>0.66058458551876575</v>
      </c>
      <c r="L2773" s="47">
        <f t="shared" si="346"/>
        <v>0.27496738638691726</v>
      </c>
      <c r="M2773" s="84">
        <f t="shared" si="347"/>
        <v>0.93555197190568296</v>
      </c>
      <c r="N2773" s="47">
        <f t="shared" si="348"/>
        <v>6.2119913816848686E-3</v>
      </c>
      <c r="O2773" s="47">
        <f t="shared" si="349"/>
        <v>6.8819068575223545E-3</v>
      </c>
      <c r="P2773" s="47">
        <f t="shared" si="350"/>
        <v>4.4777160938239795E-2</v>
      </c>
      <c r="Q2773" s="47">
        <f t="shared" si="351"/>
        <v>1</v>
      </c>
    </row>
    <row r="2774" spans="1:17" x14ac:dyDescent="0.35">
      <c r="A2774" s="82">
        <v>2771</v>
      </c>
      <c r="B2774" s="83" t="str">
        <f>_xlfn.XLOOKUP(A2774,'TAZs by City - CCAG Model'!$A:$A,'TAZs by City - CCAG Model'!$B:$B,"Unknown")</f>
        <v>Unincorporated</v>
      </c>
      <c r="C2774" s="82">
        <f>_xlfn.XLOOKUP(A2774,'TAZs by City - CCAG Model'!$A:$A,'TAZs by City - CCAG Model'!$C:$C,999)</f>
        <v>9</v>
      </c>
      <c r="D2774" s="82" t="str">
        <f t="shared" si="344"/>
        <v>NO</v>
      </c>
      <c r="E2774" s="27">
        <v>682.18</v>
      </c>
      <c r="F2774" s="27">
        <v>119.14</v>
      </c>
      <c r="G2774" s="27">
        <v>37.799999999999997</v>
      </c>
      <c r="H2774" s="27">
        <v>7.1</v>
      </c>
      <c r="I2774" s="27">
        <v>3.64</v>
      </c>
      <c r="J2774" s="27">
        <v>904.66</v>
      </c>
      <c r="K2774" s="47">
        <f t="shared" si="345"/>
        <v>0.7540733535250812</v>
      </c>
      <c r="L2774" s="47">
        <f t="shared" si="346"/>
        <v>0.13169588574713154</v>
      </c>
      <c r="M2774" s="84">
        <f t="shared" si="347"/>
        <v>0.88576923927221274</v>
      </c>
      <c r="N2774" s="47">
        <f t="shared" si="348"/>
        <v>4.178365352729202E-2</v>
      </c>
      <c r="O2774" s="47">
        <f t="shared" si="349"/>
        <v>7.8482523821104058E-3</v>
      </c>
      <c r="P2774" s="47">
        <f t="shared" si="350"/>
        <v>4.0236110804058988E-3</v>
      </c>
      <c r="Q2774" s="47">
        <f t="shared" si="351"/>
        <v>1</v>
      </c>
    </row>
    <row r="2775" spans="1:17" x14ac:dyDescent="0.35">
      <c r="A2775" s="82">
        <v>2772</v>
      </c>
      <c r="B2775" s="83" t="str">
        <f>_xlfn.XLOOKUP(A2775,'TAZs by City - CCAG Model'!$A:$A,'TAZs by City - CCAG Model'!$B:$B,"Unknown")</f>
        <v>Larkspur</v>
      </c>
      <c r="C2775" s="82">
        <f>_xlfn.XLOOKUP(A2775,'TAZs by City - CCAG Model'!$A:$A,'TAZs by City - CCAG Model'!$C:$C,999)</f>
        <v>9</v>
      </c>
      <c r="D2775" s="82" t="str">
        <f t="shared" si="344"/>
        <v>NO</v>
      </c>
      <c r="E2775" s="27">
        <v>18932.740000000002</v>
      </c>
      <c r="F2775" s="27">
        <v>10801.2</v>
      </c>
      <c r="G2775" s="27">
        <v>611.55999999999995</v>
      </c>
      <c r="H2775" s="27">
        <v>377.3</v>
      </c>
      <c r="I2775" s="27">
        <v>2362.2399999999998</v>
      </c>
      <c r="J2775" s="27">
        <v>33722.120000000003</v>
      </c>
      <c r="K2775" s="47">
        <f t="shared" si="345"/>
        <v>0.56143386003015228</v>
      </c>
      <c r="L2775" s="47">
        <f t="shared" si="346"/>
        <v>0.32030014720308214</v>
      </c>
      <c r="M2775" s="84">
        <f t="shared" si="347"/>
        <v>0.88173400723323447</v>
      </c>
      <c r="N2775" s="47">
        <f t="shared" si="348"/>
        <v>1.8135277378765031E-2</v>
      </c>
      <c r="O2775" s="47">
        <f t="shared" si="349"/>
        <v>1.1188501790516135E-2</v>
      </c>
      <c r="P2775" s="47">
        <f t="shared" si="350"/>
        <v>7.0050162919768968E-2</v>
      </c>
      <c r="Q2775" s="47">
        <f t="shared" si="351"/>
        <v>1</v>
      </c>
    </row>
    <row r="2776" spans="1:17" x14ac:dyDescent="0.35">
      <c r="A2776" s="82">
        <v>2773</v>
      </c>
      <c r="B2776" s="83" t="str">
        <f>_xlfn.XLOOKUP(A2776,'TAZs by City - CCAG Model'!$A:$A,'TAZs by City - CCAG Model'!$B:$B,"Unknown")</f>
        <v>Corte Madera</v>
      </c>
      <c r="C2776" s="82">
        <f>_xlfn.XLOOKUP(A2776,'TAZs by City - CCAG Model'!$A:$A,'TAZs by City - CCAG Model'!$C:$C,999)</f>
        <v>9</v>
      </c>
      <c r="D2776" s="82" t="str">
        <f t="shared" si="344"/>
        <v>NO</v>
      </c>
      <c r="E2776" s="27">
        <v>32338.2</v>
      </c>
      <c r="F2776" s="27">
        <v>15696.72</v>
      </c>
      <c r="G2776" s="27">
        <v>490.24</v>
      </c>
      <c r="H2776" s="27">
        <v>457.16</v>
      </c>
      <c r="I2776" s="27">
        <v>2058.92</v>
      </c>
      <c r="J2776" s="27">
        <v>51561.58</v>
      </c>
      <c r="K2776" s="47">
        <f t="shared" si="345"/>
        <v>0.62717628125437586</v>
      </c>
      <c r="L2776" s="47">
        <f t="shared" si="346"/>
        <v>0.3044266680733988</v>
      </c>
      <c r="M2776" s="84">
        <f t="shared" si="347"/>
        <v>0.93160294932777465</v>
      </c>
      <c r="N2776" s="47">
        <f t="shared" si="348"/>
        <v>9.507854491658323E-3</v>
      </c>
      <c r="O2776" s="47">
        <f t="shared" si="349"/>
        <v>8.8662915294682593E-3</v>
      </c>
      <c r="P2776" s="47">
        <f t="shared" si="350"/>
        <v>3.9931282167846679E-2</v>
      </c>
      <c r="Q2776" s="47">
        <f t="shared" si="351"/>
        <v>1</v>
      </c>
    </row>
    <row r="2777" spans="1:17" x14ac:dyDescent="0.35">
      <c r="A2777" s="82">
        <v>2774</v>
      </c>
      <c r="B2777" s="83" t="str">
        <f>_xlfn.XLOOKUP(A2777,'TAZs by City - CCAG Model'!$A:$A,'TAZs by City - CCAG Model'!$B:$B,"Unknown")</f>
        <v>Mill Valley</v>
      </c>
      <c r="C2777" s="82">
        <f>_xlfn.XLOOKUP(A2777,'TAZs by City - CCAG Model'!$A:$A,'TAZs by City - CCAG Model'!$C:$C,999)</f>
        <v>9</v>
      </c>
      <c r="D2777" s="82" t="str">
        <f t="shared" si="344"/>
        <v>NO</v>
      </c>
      <c r="E2777" s="27">
        <v>17901.02</v>
      </c>
      <c r="F2777" s="27">
        <v>10743.4</v>
      </c>
      <c r="G2777" s="27">
        <v>351.92</v>
      </c>
      <c r="H2777" s="27">
        <v>273.94</v>
      </c>
      <c r="I2777" s="27">
        <v>1987.02</v>
      </c>
      <c r="J2777" s="27">
        <v>31635.84</v>
      </c>
      <c r="K2777" s="47">
        <f t="shared" si="345"/>
        <v>0.56584620481074632</v>
      </c>
      <c r="L2777" s="47">
        <f t="shared" si="346"/>
        <v>0.33959585078189797</v>
      </c>
      <c r="M2777" s="84">
        <f t="shared" si="347"/>
        <v>0.90544205559264423</v>
      </c>
      <c r="N2777" s="47">
        <f t="shared" si="348"/>
        <v>1.1124092168881876E-2</v>
      </c>
      <c r="O2777" s="47">
        <f t="shared" si="349"/>
        <v>8.6591663126378178E-3</v>
      </c>
      <c r="P2777" s="47">
        <f t="shared" si="350"/>
        <v>6.280914304788493E-2</v>
      </c>
      <c r="Q2777" s="47">
        <f t="shared" si="351"/>
        <v>1</v>
      </c>
    </row>
    <row r="2778" spans="1:17" x14ac:dyDescent="0.35">
      <c r="A2778" s="82">
        <v>2775</v>
      </c>
      <c r="B2778" s="83" t="str">
        <f>_xlfn.XLOOKUP(A2778,'TAZs by City - CCAG Model'!$A:$A,'TAZs by City - CCAG Model'!$B:$B,"Unknown")</f>
        <v>Mill Valley</v>
      </c>
      <c r="C2778" s="82">
        <f>_xlfn.XLOOKUP(A2778,'TAZs by City - CCAG Model'!$A:$A,'TAZs by City - CCAG Model'!$C:$C,999)</f>
        <v>9</v>
      </c>
      <c r="D2778" s="82" t="str">
        <f t="shared" si="344"/>
        <v>NO</v>
      </c>
      <c r="E2778" s="27">
        <v>18006.98</v>
      </c>
      <c r="F2778" s="27">
        <v>9523.2999999999993</v>
      </c>
      <c r="G2778" s="27">
        <v>596.38</v>
      </c>
      <c r="H2778" s="27">
        <v>293.76</v>
      </c>
      <c r="I2778" s="27">
        <v>2208.52</v>
      </c>
      <c r="J2778" s="27">
        <v>31255.24</v>
      </c>
      <c r="K2778" s="47">
        <f t="shared" si="345"/>
        <v>0.57612675506571054</v>
      </c>
      <c r="L2778" s="47">
        <f t="shared" si="346"/>
        <v>0.30469450882476024</v>
      </c>
      <c r="M2778" s="84">
        <f t="shared" si="347"/>
        <v>0.88082126389047077</v>
      </c>
      <c r="N2778" s="47">
        <f t="shared" si="348"/>
        <v>1.9080960504542596E-2</v>
      </c>
      <c r="O2778" s="47">
        <f t="shared" si="349"/>
        <v>9.39874401860296E-3</v>
      </c>
      <c r="P2778" s="47">
        <f t="shared" si="350"/>
        <v>7.0660791598464764E-2</v>
      </c>
      <c r="Q2778" s="47">
        <f t="shared" si="351"/>
        <v>1</v>
      </c>
    </row>
    <row r="2779" spans="1:17" x14ac:dyDescent="0.35">
      <c r="A2779" s="82">
        <v>2776</v>
      </c>
      <c r="B2779" s="83" t="str">
        <f>_xlfn.XLOOKUP(A2779,'TAZs by City - CCAG Model'!$A:$A,'TAZs by City - CCAG Model'!$B:$B,"Unknown")</f>
        <v>Unincorporated</v>
      </c>
      <c r="C2779" s="82">
        <f>_xlfn.XLOOKUP(A2779,'TAZs by City - CCAG Model'!$A:$A,'TAZs by City - CCAG Model'!$C:$C,999)</f>
        <v>9</v>
      </c>
      <c r="D2779" s="82" t="str">
        <f t="shared" si="344"/>
        <v>NO</v>
      </c>
      <c r="E2779" s="27">
        <v>14244.2</v>
      </c>
      <c r="F2779" s="27">
        <v>7614.5</v>
      </c>
      <c r="G2779" s="27">
        <v>622.96</v>
      </c>
      <c r="H2779" s="27">
        <v>207.46</v>
      </c>
      <c r="I2779" s="27">
        <v>1063.48</v>
      </c>
      <c r="J2779" s="27">
        <v>24404.799999999999</v>
      </c>
      <c r="K2779" s="47">
        <f t="shared" si="345"/>
        <v>0.58366386940274051</v>
      </c>
      <c r="L2779" s="47">
        <f t="shared" si="346"/>
        <v>0.31200829345046877</v>
      </c>
      <c r="M2779" s="84">
        <f t="shared" si="347"/>
        <v>0.89567216285320927</v>
      </c>
      <c r="N2779" s="47">
        <f t="shared" si="348"/>
        <v>2.5526126007998428E-2</v>
      </c>
      <c r="O2779" s="47">
        <f t="shared" si="349"/>
        <v>8.5007867304792498E-3</v>
      </c>
      <c r="P2779" s="47">
        <f t="shared" si="350"/>
        <v>4.3576673441290237E-2</v>
      </c>
      <c r="Q2779" s="47">
        <f t="shared" si="351"/>
        <v>1</v>
      </c>
    </row>
    <row r="2780" spans="1:17" x14ac:dyDescent="0.35">
      <c r="A2780" s="82">
        <v>2777</v>
      </c>
      <c r="B2780" s="83" t="str">
        <f>_xlfn.XLOOKUP(A2780,'TAZs by City - CCAG Model'!$A:$A,'TAZs by City - CCAG Model'!$B:$B,"Unknown")</f>
        <v>Tiburon</v>
      </c>
      <c r="C2780" s="82">
        <f>_xlfn.XLOOKUP(A2780,'TAZs by City - CCAG Model'!$A:$A,'TAZs by City - CCAG Model'!$C:$C,999)</f>
        <v>9</v>
      </c>
      <c r="D2780" s="82" t="str">
        <f t="shared" si="344"/>
        <v>NO</v>
      </c>
      <c r="E2780" s="27">
        <v>14391.26</v>
      </c>
      <c r="F2780" s="27">
        <v>9330.6</v>
      </c>
      <c r="G2780" s="27">
        <v>249.32</v>
      </c>
      <c r="H2780" s="27">
        <v>214.06</v>
      </c>
      <c r="I2780" s="27">
        <v>1218.5</v>
      </c>
      <c r="J2780" s="27">
        <v>25676.38</v>
      </c>
      <c r="K2780" s="47">
        <f t="shared" si="345"/>
        <v>0.56048633023814098</v>
      </c>
      <c r="L2780" s="47">
        <f t="shared" si="346"/>
        <v>0.36339234736360809</v>
      </c>
      <c r="M2780" s="84">
        <f t="shared" si="347"/>
        <v>0.92387867760174913</v>
      </c>
      <c r="N2780" s="47">
        <f t="shared" si="348"/>
        <v>9.7100915315944062E-3</v>
      </c>
      <c r="O2780" s="47">
        <f t="shared" si="349"/>
        <v>8.3368449913889722E-3</v>
      </c>
      <c r="P2780" s="47">
        <f t="shared" si="350"/>
        <v>4.745606662621444E-2</v>
      </c>
      <c r="Q2780" s="47">
        <f t="shared" si="351"/>
        <v>1</v>
      </c>
    </row>
    <row r="2781" spans="1:17" x14ac:dyDescent="0.35">
      <c r="A2781" s="82">
        <v>2778</v>
      </c>
      <c r="B2781" s="83" t="str">
        <f>_xlfn.XLOOKUP(A2781,'TAZs by City - CCAG Model'!$A:$A,'TAZs by City - CCAG Model'!$B:$B,"Unknown")</f>
        <v>Tiburon</v>
      </c>
      <c r="C2781" s="82">
        <f>_xlfn.XLOOKUP(A2781,'TAZs by City - CCAG Model'!$A:$A,'TAZs by City - CCAG Model'!$C:$C,999)</f>
        <v>9</v>
      </c>
      <c r="D2781" s="82" t="str">
        <f t="shared" si="344"/>
        <v>NO</v>
      </c>
      <c r="E2781" s="27">
        <v>18578.02</v>
      </c>
      <c r="F2781" s="27">
        <v>10257.4</v>
      </c>
      <c r="G2781" s="27">
        <v>217.68</v>
      </c>
      <c r="H2781" s="27">
        <v>259.98</v>
      </c>
      <c r="I2781" s="27">
        <v>2739.52</v>
      </c>
      <c r="J2781" s="27">
        <v>32296.28</v>
      </c>
      <c r="K2781" s="47">
        <f t="shared" si="345"/>
        <v>0.57523714805544168</v>
      </c>
      <c r="L2781" s="47">
        <f t="shared" si="346"/>
        <v>0.31760314190984223</v>
      </c>
      <c r="M2781" s="84">
        <f t="shared" si="347"/>
        <v>0.89284028996528386</v>
      </c>
      <c r="N2781" s="47">
        <f t="shared" si="348"/>
        <v>6.7400951440847066E-3</v>
      </c>
      <c r="O2781" s="47">
        <f t="shared" si="349"/>
        <v>8.0498435113889287E-3</v>
      </c>
      <c r="P2781" s="47">
        <f t="shared" si="350"/>
        <v>8.4824629957382089E-2</v>
      </c>
      <c r="Q2781" s="47">
        <f t="shared" si="351"/>
        <v>1</v>
      </c>
    </row>
    <row r="2782" spans="1:17" x14ac:dyDescent="0.35">
      <c r="A2782" s="82">
        <v>2779</v>
      </c>
      <c r="B2782" s="83" t="str">
        <f>_xlfn.XLOOKUP(A2782,'TAZs by City - CCAG Model'!$A:$A,'TAZs by City - CCAG Model'!$B:$B,"Unknown")</f>
        <v>Belvedere</v>
      </c>
      <c r="C2782" s="82">
        <f>_xlfn.XLOOKUP(A2782,'TAZs by City - CCAG Model'!$A:$A,'TAZs by City - CCAG Model'!$C:$C,999)</f>
        <v>9</v>
      </c>
      <c r="D2782" s="82" t="str">
        <f t="shared" si="344"/>
        <v>NO</v>
      </c>
      <c r="E2782" s="27">
        <v>5231.1000000000004</v>
      </c>
      <c r="F2782" s="27">
        <v>3299.72</v>
      </c>
      <c r="G2782" s="27">
        <v>94.18</v>
      </c>
      <c r="H2782" s="27">
        <v>74.739999999999995</v>
      </c>
      <c r="I2782" s="27">
        <v>511.36</v>
      </c>
      <c r="J2782" s="27">
        <v>9328.7999999999993</v>
      </c>
      <c r="K2782" s="47">
        <f t="shared" si="345"/>
        <v>0.56074736300488814</v>
      </c>
      <c r="L2782" s="47">
        <f t="shared" si="346"/>
        <v>0.35371323214132577</v>
      </c>
      <c r="M2782" s="84">
        <f t="shared" si="347"/>
        <v>0.91446059514621392</v>
      </c>
      <c r="N2782" s="47">
        <f t="shared" si="348"/>
        <v>1.0095617871537605E-2</v>
      </c>
      <c r="O2782" s="47">
        <f t="shared" si="349"/>
        <v>8.0117485635880278E-3</v>
      </c>
      <c r="P2782" s="47">
        <f t="shared" si="350"/>
        <v>5.4815195952319706E-2</v>
      </c>
      <c r="Q2782" s="47">
        <f t="shared" si="351"/>
        <v>1</v>
      </c>
    </row>
    <row r="2783" spans="1:17" x14ac:dyDescent="0.35">
      <c r="A2783" s="82">
        <v>2780</v>
      </c>
      <c r="B2783" s="83" t="str">
        <f>_xlfn.XLOOKUP(A2783,'TAZs by City - CCAG Model'!$A:$A,'TAZs by City - CCAG Model'!$B:$B,"Unknown")</f>
        <v>Sausalito</v>
      </c>
      <c r="C2783" s="82">
        <f>_xlfn.XLOOKUP(A2783,'TAZs by City - CCAG Model'!$A:$A,'TAZs by City - CCAG Model'!$C:$C,999)</f>
        <v>9</v>
      </c>
      <c r="D2783" s="82" t="str">
        <f t="shared" si="344"/>
        <v>NO</v>
      </c>
      <c r="E2783" s="27">
        <v>50074.28</v>
      </c>
      <c r="F2783" s="27">
        <v>22363.24</v>
      </c>
      <c r="G2783" s="27">
        <v>981.82</v>
      </c>
      <c r="H2783" s="27">
        <v>0</v>
      </c>
      <c r="I2783" s="27">
        <v>0</v>
      </c>
      <c r="J2783" s="27">
        <v>74430.080000000002</v>
      </c>
      <c r="K2783" s="47">
        <f t="shared" si="345"/>
        <v>0.67276939645906597</v>
      </c>
      <c r="L2783" s="47">
        <f t="shared" si="346"/>
        <v>0.30045970661324023</v>
      </c>
      <c r="M2783" s="84">
        <f t="shared" si="347"/>
        <v>0.97322910307230626</v>
      </c>
      <c r="N2783" s="47">
        <f t="shared" si="348"/>
        <v>1.3191172171251193E-2</v>
      </c>
      <c r="O2783" s="47">
        <f t="shared" si="349"/>
        <v>0</v>
      </c>
      <c r="P2783" s="47">
        <f t="shared" si="350"/>
        <v>0</v>
      </c>
      <c r="Q2783" s="47">
        <f t="shared" si="351"/>
        <v>1</v>
      </c>
    </row>
    <row r="2784" spans="1:17" x14ac:dyDescent="0.35">
      <c r="A2784" s="82">
        <v>2781</v>
      </c>
      <c r="B2784" s="83" t="str">
        <f>_xlfn.XLOOKUP(A2784,'TAZs by City - CCAG Model'!$A:$A,'TAZs by City - CCAG Model'!$B:$B,"Unknown")</f>
        <v>Unincorporated</v>
      </c>
      <c r="C2784" s="82">
        <f>_xlfn.XLOOKUP(A2784,'TAZs by City - CCAG Model'!$A:$A,'TAZs by City - CCAG Model'!$C:$C,999)</f>
        <v>9</v>
      </c>
      <c r="D2784" s="82" t="str">
        <f t="shared" si="344"/>
        <v>NO</v>
      </c>
      <c r="E2784" s="27">
        <v>6184.16</v>
      </c>
      <c r="F2784" s="27">
        <v>4093.74</v>
      </c>
      <c r="G2784" s="27">
        <v>240.42</v>
      </c>
      <c r="H2784" s="27">
        <v>0</v>
      </c>
      <c r="I2784" s="27">
        <v>0</v>
      </c>
      <c r="J2784" s="27">
        <v>10785.6</v>
      </c>
      <c r="K2784" s="47">
        <f t="shared" si="345"/>
        <v>0.57337190327844534</v>
      </c>
      <c r="L2784" s="47">
        <f t="shared" si="346"/>
        <v>0.37955607476635511</v>
      </c>
      <c r="M2784" s="84">
        <f t="shared" si="347"/>
        <v>0.95292797804480045</v>
      </c>
      <c r="N2784" s="47">
        <f t="shared" si="348"/>
        <v>2.2290832220738761E-2</v>
      </c>
      <c r="O2784" s="47">
        <f t="shared" si="349"/>
        <v>0</v>
      </c>
      <c r="P2784" s="47">
        <f t="shared" si="350"/>
        <v>0</v>
      </c>
      <c r="Q2784" s="47">
        <f t="shared" si="351"/>
        <v>1</v>
      </c>
    </row>
    <row r="2785" spans="1:17" x14ac:dyDescent="0.35">
      <c r="A2785" s="82">
        <v>2782</v>
      </c>
      <c r="B2785" s="83" t="str">
        <f>_xlfn.XLOOKUP(A2785,'TAZs by City - CCAG Model'!$A:$A,'TAZs by City - CCAG Model'!$B:$B,"Unknown")</f>
        <v>Unincorporated</v>
      </c>
      <c r="C2785" s="82">
        <f>_xlfn.XLOOKUP(A2785,'TAZs by City - CCAG Model'!$A:$A,'TAZs by City - CCAG Model'!$C:$C,999)</f>
        <v>9</v>
      </c>
      <c r="D2785" s="82" t="str">
        <f t="shared" si="344"/>
        <v>NO</v>
      </c>
      <c r="E2785" s="27">
        <v>18820.8</v>
      </c>
      <c r="F2785" s="27">
        <v>10946.64</v>
      </c>
      <c r="G2785" s="27">
        <v>887.5</v>
      </c>
      <c r="H2785" s="27">
        <v>270.18</v>
      </c>
      <c r="I2785" s="27">
        <v>2182.98</v>
      </c>
      <c r="J2785" s="27">
        <v>34019.839999999997</v>
      </c>
      <c r="K2785" s="47">
        <f t="shared" si="345"/>
        <v>0.55323011513281661</v>
      </c>
      <c r="L2785" s="47">
        <f t="shared" si="346"/>
        <v>0.32177223643615022</v>
      </c>
      <c r="M2785" s="84">
        <f t="shared" si="347"/>
        <v>0.87500235156896689</v>
      </c>
      <c r="N2785" s="47">
        <f t="shared" si="348"/>
        <v>2.6087718225600125E-2</v>
      </c>
      <c r="O2785" s="47">
        <f t="shared" si="349"/>
        <v>7.9418362931748081E-3</v>
      </c>
      <c r="P2785" s="47">
        <f t="shared" si="350"/>
        <v>6.4167850289713307E-2</v>
      </c>
      <c r="Q2785" s="47">
        <f t="shared" si="351"/>
        <v>1</v>
      </c>
    </row>
    <row r="2786" spans="1:17" x14ac:dyDescent="0.35">
      <c r="A2786" s="82">
        <v>2783</v>
      </c>
      <c r="B2786" s="83" t="str">
        <f>_xlfn.XLOOKUP(A2786,'TAZs by City - CCAG Model'!$A:$A,'TAZs by City - CCAG Model'!$B:$B,"Unknown")</f>
        <v>Unincorporated</v>
      </c>
      <c r="C2786" s="82">
        <f>_xlfn.XLOOKUP(A2786,'TAZs by City - CCAG Model'!$A:$A,'TAZs by City - CCAG Model'!$C:$C,999)</f>
        <v>9</v>
      </c>
      <c r="D2786" s="82" t="str">
        <f t="shared" si="344"/>
        <v>NO</v>
      </c>
      <c r="E2786" s="27">
        <v>12228.74</v>
      </c>
      <c r="F2786" s="27">
        <v>7472.02</v>
      </c>
      <c r="G2786" s="27">
        <v>520.72</v>
      </c>
      <c r="H2786" s="27">
        <v>194.56</v>
      </c>
      <c r="I2786" s="27">
        <v>1500</v>
      </c>
      <c r="J2786" s="27">
        <v>22460.48</v>
      </c>
      <c r="K2786" s="47">
        <f t="shared" si="345"/>
        <v>0.54445586202966278</v>
      </c>
      <c r="L2786" s="47">
        <f t="shared" si="346"/>
        <v>0.33267410135491321</v>
      </c>
      <c r="M2786" s="84">
        <f t="shared" si="347"/>
        <v>0.87712996338457605</v>
      </c>
      <c r="N2786" s="47">
        <f t="shared" si="348"/>
        <v>2.3183832224422631E-2</v>
      </c>
      <c r="O2786" s="47">
        <f t="shared" si="349"/>
        <v>8.6623260054994374E-3</v>
      </c>
      <c r="P2786" s="47">
        <f t="shared" si="350"/>
        <v>6.6783968997991133E-2</v>
      </c>
      <c r="Q2786" s="47">
        <f t="shared" si="351"/>
        <v>1</v>
      </c>
    </row>
    <row r="2787" spans="1:17" x14ac:dyDescent="0.35">
      <c r="A2787" s="82">
        <v>2784</v>
      </c>
      <c r="B2787" s="83" t="str">
        <f>_xlfn.XLOOKUP(A2787,'TAZs by City - CCAG Model'!$A:$A,'TAZs by City - CCAG Model'!$B:$B,"Unknown")</f>
        <v>Mill Valley</v>
      </c>
      <c r="C2787" s="82">
        <f>_xlfn.XLOOKUP(A2787,'TAZs by City - CCAG Model'!$A:$A,'TAZs by City - CCAG Model'!$C:$C,999)</f>
        <v>9</v>
      </c>
      <c r="D2787" s="82" t="str">
        <f t="shared" si="344"/>
        <v>NO</v>
      </c>
      <c r="E2787" s="27">
        <v>17247.240000000002</v>
      </c>
      <c r="F2787" s="27">
        <v>9278.2199999999993</v>
      </c>
      <c r="G2787" s="27">
        <v>335.98</v>
      </c>
      <c r="H2787" s="27">
        <v>230.96</v>
      </c>
      <c r="I2787" s="27">
        <v>1545.56</v>
      </c>
      <c r="J2787" s="27">
        <v>28999.919999999998</v>
      </c>
      <c r="K2787" s="47">
        <f t="shared" si="345"/>
        <v>0.59473405443877092</v>
      </c>
      <c r="L2787" s="47">
        <f t="shared" si="346"/>
        <v>0.31993950328138837</v>
      </c>
      <c r="M2787" s="84">
        <f t="shared" si="347"/>
        <v>0.91467355772015924</v>
      </c>
      <c r="N2787" s="47">
        <f t="shared" si="348"/>
        <v>1.158554920151504E-2</v>
      </c>
      <c r="O2787" s="47">
        <f t="shared" si="349"/>
        <v>7.9641599011307622E-3</v>
      </c>
      <c r="P2787" s="47">
        <f t="shared" si="350"/>
        <v>5.3295319435363961E-2</v>
      </c>
      <c r="Q2787" s="47">
        <f t="shared" si="351"/>
        <v>1</v>
      </c>
    </row>
    <row r="2788" spans="1:17" x14ac:dyDescent="0.35">
      <c r="A2788" s="82">
        <v>2785</v>
      </c>
      <c r="B2788" s="83" t="str">
        <f>_xlfn.XLOOKUP(A2788,'TAZs by City - CCAG Model'!$A:$A,'TAZs by City - CCAG Model'!$B:$B,"Unknown")</f>
        <v>Unincorporated</v>
      </c>
      <c r="C2788" s="82">
        <f>_xlfn.XLOOKUP(A2788,'TAZs by City - CCAG Model'!$A:$A,'TAZs by City - CCAG Model'!$C:$C,999)</f>
        <v>9</v>
      </c>
      <c r="D2788" s="82" t="str">
        <f t="shared" si="344"/>
        <v>NO</v>
      </c>
      <c r="E2788" s="27">
        <v>3617.18</v>
      </c>
      <c r="F2788" s="27">
        <v>1468.32</v>
      </c>
      <c r="G2788" s="27">
        <v>0</v>
      </c>
      <c r="H2788" s="27">
        <v>5.68</v>
      </c>
      <c r="I2788" s="27">
        <v>125.38</v>
      </c>
      <c r="J2788" s="27">
        <v>5237.58</v>
      </c>
      <c r="K2788" s="47">
        <f t="shared" si="345"/>
        <v>0.69062047739604926</v>
      </c>
      <c r="L2788" s="47">
        <f t="shared" si="346"/>
        <v>0.28034321194139278</v>
      </c>
      <c r="M2788" s="84">
        <f t="shared" si="347"/>
        <v>0.97096368933744215</v>
      </c>
      <c r="N2788" s="47">
        <f t="shared" si="348"/>
        <v>0</v>
      </c>
      <c r="O2788" s="47">
        <f t="shared" si="349"/>
        <v>1.084470308806739E-3</v>
      </c>
      <c r="P2788" s="47">
        <f t="shared" si="350"/>
        <v>2.393853649968115E-2</v>
      </c>
      <c r="Q2788" s="47">
        <f t="shared" si="351"/>
        <v>1</v>
      </c>
    </row>
    <row r="2789" spans="1:17" x14ac:dyDescent="0.35">
      <c r="A2789" s="82">
        <v>2786</v>
      </c>
      <c r="B2789" s="83" t="str">
        <f>_xlfn.XLOOKUP(A2789,'TAZs by City - CCAG Model'!$A:$A,'TAZs by City - CCAG Model'!$B:$B,"Unknown")</f>
        <v>Unincorporated</v>
      </c>
      <c r="C2789" s="82">
        <f>_xlfn.XLOOKUP(A2789,'TAZs by City - CCAG Model'!$A:$A,'TAZs by City - CCAG Model'!$C:$C,999)</f>
        <v>9</v>
      </c>
      <c r="D2789" s="82" t="str">
        <f t="shared" si="344"/>
        <v>NO</v>
      </c>
      <c r="E2789" s="27">
        <v>9634.4599999999991</v>
      </c>
      <c r="F2789" s="27">
        <v>4442.7</v>
      </c>
      <c r="G2789" s="27">
        <v>0</v>
      </c>
      <c r="H2789" s="27">
        <v>67.94</v>
      </c>
      <c r="I2789" s="27">
        <v>2370.7199999999998</v>
      </c>
      <c r="J2789" s="27">
        <v>16534.740000000002</v>
      </c>
      <c r="K2789" s="47">
        <f t="shared" si="345"/>
        <v>0.58267986070539957</v>
      </c>
      <c r="L2789" s="47">
        <f t="shared" si="346"/>
        <v>0.26868883332909976</v>
      </c>
      <c r="M2789" s="84">
        <f t="shared" si="347"/>
        <v>0.85136869403449944</v>
      </c>
      <c r="N2789" s="47">
        <f t="shared" si="348"/>
        <v>0</v>
      </c>
      <c r="O2789" s="47">
        <f t="shared" si="349"/>
        <v>4.1089246035921935E-3</v>
      </c>
      <c r="P2789" s="47">
        <f t="shared" si="350"/>
        <v>0.14337812387736362</v>
      </c>
      <c r="Q2789" s="47">
        <f t="shared" si="351"/>
        <v>1</v>
      </c>
    </row>
    <row r="2790" spans="1:17" x14ac:dyDescent="0.35">
      <c r="A2790" s="82">
        <v>2787</v>
      </c>
      <c r="B2790" s="83" t="str">
        <f>_xlfn.XLOOKUP(A2790,'TAZs by City - CCAG Model'!$A:$A,'TAZs by City - CCAG Model'!$B:$B,"Unknown")</f>
        <v>Unknown</v>
      </c>
      <c r="C2790" s="82">
        <f>_xlfn.XLOOKUP(A2790,'TAZs by City - CCAG Model'!$A:$A,'TAZs by City - CCAG Model'!$C:$C,999)</f>
        <v>999</v>
      </c>
      <c r="D2790" s="82" t="str">
        <f t="shared" si="344"/>
        <v>NO</v>
      </c>
      <c r="E2790" s="27">
        <v>0</v>
      </c>
      <c r="F2790" s="27">
        <v>0</v>
      </c>
      <c r="G2790" s="27">
        <v>0</v>
      </c>
      <c r="H2790" s="27">
        <v>0</v>
      </c>
      <c r="I2790" s="27">
        <v>0</v>
      </c>
      <c r="J2790" s="27">
        <v>0</v>
      </c>
      <c r="K2790" s="47">
        <f t="shared" si="345"/>
        <v>0</v>
      </c>
      <c r="L2790" s="47">
        <f t="shared" si="346"/>
        <v>0</v>
      </c>
      <c r="M2790" s="84">
        <f t="shared" si="347"/>
        <v>0</v>
      </c>
      <c r="N2790" s="47">
        <f t="shared" si="348"/>
        <v>0</v>
      </c>
      <c r="O2790" s="47">
        <f t="shared" si="349"/>
        <v>0</v>
      </c>
      <c r="P2790" s="47">
        <f t="shared" si="350"/>
        <v>0</v>
      </c>
      <c r="Q2790" s="47">
        <f t="shared" si="351"/>
        <v>0</v>
      </c>
    </row>
    <row r="2791" spans="1:17" x14ac:dyDescent="0.35">
      <c r="A2791" s="82">
        <v>2788</v>
      </c>
      <c r="B2791" s="83" t="str">
        <f>_xlfn.XLOOKUP(A2791,'TAZs by City - CCAG Model'!$A:$A,'TAZs by City - CCAG Model'!$B:$B,"Unknown")</f>
        <v>Unknown</v>
      </c>
      <c r="C2791" s="82">
        <f>_xlfn.XLOOKUP(A2791,'TAZs by City - CCAG Model'!$A:$A,'TAZs by City - CCAG Model'!$C:$C,999)</f>
        <v>999</v>
      </c>
      <c r="D2791" s="82" t="str">
        <f t="shared" si="344"/>
        <v>NO</v>
      </c>
      <c r="E2791" s="27">
        <v>0</v>
      </c>
      <c r="F2791" s="27">
        <v>0</v>
      </c>
      <c r="G2791" s="27">
        <v>0</v>
      </c>
      <c r="H2791" s="27">
        <v>0</v>
      </c>
      <c r="I2791" s="27">
        <v>0</v>
      </c>
      <c r="J2791" s="27">
        <v>0</v>
      </c>
      <c r="K2791" s="47">
        <f t="shared" si="345"/>
        <v>0</v>
      </c>
      <c r="L2791" s="47">
        <f t="shared" si="346"/>
        <v>0</v>
      </c>
      <c r="M2791" s="84">
        <f t="shared" si="347"/>
        <v>0</v>
      </c>
      <c r="N2791" s="47">
        <f t="shared" si="348"/>
        <v>0</v>
      </c>
      <c r="O2791" s="47">
        <f t="shared" si="349"/>
        <v>0</v>
      </c>
      <c r="P2791" s="47">
        <f t="shared" si="350"/>
        <v>0</v>
      </c>
      <c r="Q2791" s="47">
        <f t="shared" si="351"/>
        <v>0</v>
      </c>
    </row>
    <row r="2792" spans="1:17" x14ac:dyDescent="0.35">
      <c r="A2792" s="82">
        <v>2789</v>
      </c>
      <c r="B2792" s="83" t="str">
        <f>_xlfn.XLOOKUP(A2792,'TAZs by City - CCAG Model'!$A:$A,'TAZs by City - CCAG Model'!$B:$B,"Unknown")</f>
        <v>Unknown</v>
      </c>
      <c r="C2792" s="82">
        <f>_xlfn.XLOOKUP(A2792,'TAZs by City - CCAG Model'!$A:$A,'TAZs by City - CCAG Model'!$C:$C,999)</f>
        <v>999</v>
      </c>
      <c r="D2792" s="82" t="str">
        <f t="shared" si="344"/>
        <v>NO</v>
      </c>
      <c r="E2792" s="27">
        <v>0</v>
      </c>
      <c r="F2792" s="27">
        <v>0</v>
      </c>
      <c r="G2792" s="27">
        <v>0</v>
      </c>
      <c r="H2792" s="27">
        <v>0</v>
      </c>
      <c r="I2792" s="27">
        <v>0</v>
      </c>
      <c r="J2792" s="27">
        <v>0</v>
      </c>
      <c r="K2792" s="47">
        <f t="shared" si="345"/>
        <v>0</v>
      </c>
      <c r="L2792" s="47">
        <f t="shared" si="346"/>
        <v>0</v>
      </c>
      <c r="M2792" s="84">
        <f t="shared" si="347"/>
        <v>0</v>
      </c>
      <c r="N2792" s="47">
        <f t="shared" si="348"/>
        <v>0</v>
      </c>
      <c r="O2792" s="47">
        <f t="shared" si="349"/>
        <v>0</v>
      </c>
      <c r="P2792" s="47">
        <f t="shared" si="350"/>
        <v>0</v>
      </c>
      <c r="Q2792" s="47">
        <f t="shared" si="351"/>
        <v>0</v>
      </c>
    </row>
    <row r="2793" spans="1:17" x14ac:dyDescent="0.35">
      <c r="A2793" s="82">
        <v>2790</v>
      </c>
      <c r="B2793" s="83" t="str">
        <f>_xlfn.XLOOKUP(A2793,'TAZs by City - CCAG Model'!$A:$A,'TAZs by City - CCAG Model'!$B:$B,"Unknown")</f>
        <v>Unknown</v>
      </c>
      <c r="C2793" s="82">
        <f>_xlfn.XLOOKUP(A2793,'TAZs by City - CCAG Model'!$A:$A,'TAZs by City - CCAG Model'!$C:$C,999)</f>
        <v>999</v>
      </c>
      <c r="D2793" s="82" t="str">
        <f t="shared" si="344"/>
        <v>NO</v>
      </c>
      <c r="E2793" s="27">
        <v>0</v>
      </c>
      <c r="F2793" s="27">
        <v>0</v>
      </c>
      <c r="G2793" s="27">
        <v>0</v>
      </c>
      <c r="H2793" s="27">
        <v>0</v>
      </c>
      <c r="I2793" s="27">
        <v>0</v>
      </c>
      <c r="J2793" s="27">
        <v>0</v>
      </c>
      <c r="K2793" s="47">
        <f t="shared" si="345"/>
        <v>0</v>
      </c>
      <c r="L2793" s="47">
        <f t="shared" si="346"/>
        <v>0</v>
      </c>
      <c r="M2793" s="84">
        <f t="shared" si="347"/>
        <v>0</v>
      </c>
      <c r="N2793" s="47">
        <f t="shared" si="348"/>
        <v>0</v>
      </c>
      <c r="O2793" s="47">
        <f t="shared" si="349"/>
        <v>0</v>
      </c>
      <c r="P2793" s="47">
        <f t="shared" si="350"/>
        <v>0</v>
      </c>
      <c r="Q2793" s="47">
        <f t="shared" si="351"/>
        <v>0</v>
      </c>
    </row>
    <row r="2794" spans="1:17" x14ac:dyDescent="0.35">
      <c r="A2794" s="82">
        <v>2791</v>
      </c>
      <c r="B2794" s="83" t="str">
        <f>_xlfn.XLOOKUP(A2794,'TAZs by City - CCAG Model'!$A:$A,'TAZs by City - CCAG Model'!$B:$B,"Unknown")</f>
        <v>Unknown</v>
      </c>
      <c r="C2794" s="82">
        <f>_xlfn.XLOOKUP(A2794,'TAZs by City - CCAG Model'!$A:$A,'TAZs by City - CCAG Model'!$C:$C,999)</f>
        <v>999</v>
      </c>
      <c r="D2794" s="82" t="str">
        <f t="shared" si="344"/>
        <v>NO</v>
      </c>
      <c r="E2794" s="27">
        <v>0</v>
      </c>
      <c r="F2794" s="27">
        <v>0</v>
      </c>
      <c r="G2794" s="27">
        <v>0</v>
      </c>
      <c r="H2794" s="27">
        <v>0</v>
      </c>
      <c r="I2794" s="27">
        <v>0</v>
      </c>
      <c r="J2794" s="27">
        <v>0</v>
      </c>
      <c r="K2794" s="47">
        <f t="shared" si="345"/>
        <v>0</v>
      </c>
      <c r="L2794" s="47">
        <f t="shared" si="346"/>
        <v>0</v>
      </c>
      <c r="M2794" s="84">
        <f t="shared" si="347"/>
        <v>0</v>
      </c>
      <c r="N2794" s="47">
        <f t="shared" si="348"/>
        <v>0</v>
      </c>
      <c r="O2794" s="47">
        <f t="shared" si="349"/>
        <v>0</v>
      </c>
      <c r="P2794" s="47">
        <f t="shared" si="350"/>
        <v>0</v>
      </c>
      <c r="Q2794" s="47">
        <f t="shared" si="351"/>
        <v>0</v>
      </c>
    </row>
    <row r="2795" spans="1:17" x14ac:dyDescent="0.35">
      <c r="A2795" s="82">
        <v>2792</v>
      </c>
      <c r="B2795" s="83" t="str">
        <f>_xlfn.XLOOKUP(A2795,'TAZs by City - CCAG Model'!$A:$A,'TAZs by City - CCAG Model'!$B:$B,"Unknown")</f>
        <v>Unknown</v>
      </c>
      <c r="C2795" s="82">
        <f>_xlfn.XLOOKUP(A2795,'TAZs by City - CCAG Model'!$A:$A,'TAZs by City - CCAG Model'!$C:$C,999)</f>
        <v>999</v>
      </c>
      <c r="D2795" s="82" t="str">
        <f t="shared" si="344"/>
        <v>NO</v>
      </c>
      <c r="E2795" s="27">
        <v>0</v>
      </c>
      <c r="F2795" s="27">
        <v>0</v>
      </c>
      <c r="G2795" s="27">
        <v>0</v>
      </c>
      <c r="H2795" s="27">
        <v>0</v>
      </c>
      <c r="I2795" s="27">
        <v>0</v>
      </c>
      <c r="J2795" s="27">
        <v>0</v>
      </c>
      <c r="K2795" s="47">
        <f t="shared" si="345"/>
        <v>0</v>
      </c>
      <c r="L2795" s="47">
        <f t="shared" si="346"/>
        <v>0</v>
      </c>
      <c r="M2795" s="84">
        <f t="shared" si="347"/>
        <v>0</v>
      </c>
      <c r="N2795" s="47">
        <f t="shared" si="348"/>
        <v>0</v>
      </c>
      <c r="O2795" s="47">
        <f t="shared" si="349"/>
        <v>0</v>
      </c>
      <c r="P2795" s="47">
        <f t="shared" si="350"/>
        <v>0</v>
      </c>
      <c r="Q2795" s="47">
        <f t="shared" si="351"/>
        <v>0</v>
      </c>
    </row>
    <row r="2796" spans="1:17" x14ac:dyDescent="0.35">
      <c r="A2796" s="82">
        <v>2793</v>
      </c>
      <c r="B2796" s="83" t="str">
        <f>_xlfn.XLOOKUP(A2796,'TAZs by City - CCAG Model'!$A:$A,'TAZs by City - CCAG Model'!$B:$B,"Unknown")</f>
        <v>Unknown</v>
      </c>
      <c r="C2796" s="82">
        <f>_xlfn.XLOOKUP(A2796,'TAZs by City - CCAG Model'!$A:$A,'TAZs by City - CCAG Model'!$C:$C,999)</f>
        <v>999</v>
      </c>
      <c r="D2796" s="82" t="str">
        <f t="shared" si="344"/>
        <v>NO</v>
      </c>
      <c r="E2796" s="27">
        <v>0</v>
      </c>
      <c r="F2796" s="27">
        <v>0</v>
      </c>
      <c r="G2796" s="27">
        <v>0</v>
      </c>
      <c r="H2796" s="27">
        <v>0</v>
      </c>
      <c r="I2796" s="27">
        <v>0</v>
      </c>
      <c r="J2796" s="27">
        <v>0</v>
      </c>
      <c r="K2796" s="47">
        <f t="shared" si="345"/>
        <v>0</v>
      </c>
      <c r="L2796" s="47">
        <f t="shared" si="346"/>
        <v>0</v>
      </c>
      <c r="M2796" s="84">
        <f t="shared" si="347"/>
        <v>0</v>
      </c>
      <c r="N2796" s="47">
        <f t="shared" si="348"/>
        <v>0</v>
      </c>
      <c r="O2796" s="47">
        <f t="shared" si="349"/>
        <v>0</v>
      </c>
      <c r="P2796" s="47">
        <f t="shared" si="350"/>
        <v>0</v>
      </c>
      <c r="Q2796" s="47">
        <f t="shared" si="351"/>
        <v>0</v>
      </c>
    </row>
    <row r="2797" spans="1:17" x14ac:dyDescent="0.35">
      <c r="A2797" s="82">
        <v>2794</v>
      </c>
      <c r="B2797" s="83" t="str">
        <f>_xlfn.XLOOKUP(A2797,'TAZs by City - CCAG Model'!$A:$A,'TAZs by City - CCAG Model'!$B:$B,"Unknown")</f>
        <v>Unknown</v>
      </c>
      <c r="C2797" s="82">
        <f>_xlfn.XLOOKUP(A2797,'TAZs by City - CCAG Model'!$A:$A,'TAZs by City - CCAG Model'!$C:$C,999)</f>
        <v>999</v>
      </c>
      <c r="D2797" s="82" t="str">
        <f t="shared" si="344"/>
        <v>NO</v>
      </c>
      <c r="E2797" s="27">
        <v>0</v>
      </c>
      <c r="F2797" s="27">
        <v>0</v>
      </c>
      <c r="G2797" s="27">
        <v>0</v>
      </c>
      <c r="H2797" s="27">
        <v>0</v>
      </c>
      <c r="I2797" s="27">
        <v>0</v>
      </c>
      <c r="J2797" s="27">
        <v>0</v>
      </c>
      <c r="K2797" s="47">
        <f t="shared" si="345"/>
        <v>0</v>
      </c>
      <c r="L2797" s="47">
        <f t="shared" si="346"/>
        <v>0</v>
      </c>
      <c r="M2797" s="84">
        <f t="shared" si="347"/>
        <v>0</v>
      </c>
      <c r="N2797" s="47">
        <f t="shared" si="348"/>
        <v>0</v>
      </c>
      <c r="O2797" s="47">
        <f t="shared" si="349"/>
        <v>0</v>
      </c>
      <c r="P2797" s="47">
        <f t="shared" si="350"/>
        <v>0</v>
      </c>
      <c r="Q2797" s="47">
        <f t="shared" si="351"/>
        <v>0</v>
      </c>
    </row>
    <row r="2798" spans="1:17" x14ac:dyDescent="0.35">
      <c r="A2798" s="82">
        <v>2795</v>
      </c>
      <c r="B2798" s="83" t="str">
        <f>_xlfn.XLOOKUP(A2798,'TAZs by City - CCAG Model'!$A:$A,'TAZs by City - CCAG Model'!$B:$B,"Unknown")</f>
        <v>Unknown</v>
      </c>
      <c r="C2798" s="82">
        <f>_xlfn.XLOOKUP(A2798,'TAZs by City - CCAG Model'!$A:$A,'TAZs by City - CCAG Model'!$C:$C,999)</f>
        <v>999</v>
      </c>
      <c r="D2798" s="82" t="str">
        <f t="shared" si="344"/>
        <v>NO</v>
      </c>
      <c r="E2798" s="27">
        <v>0</v>
      </c>
      <c r="F2798" s="27">
        <v>0</v>
      </c>
      <c r="G2798" s="27">
        <v>0</v>
      </c>
      <c r="H2798" s="27">
        <v>0</v>
      </c>
      <c r="I2798" s="27">
        <v>0</v>
      </c>
      <c r="J2798" s="27">
        <v>0</v>
      </c>
      <c r="K2798" s="47">
        <f t="shared" si="345"/>
        <v>0</v>
      </c>
      <c r="L2798" s="47">
        <f t="shared" si="346"/>
        <v>0</v>
      </c>
      <c r="M2798" s="84">
        <f t="shared" si="347"/>
        <v>0</v>
      </c>
      <c r="N2798" s="47">
        <f t="shared" si="348"/>
        <v>0</v>
      </c>
      <c r="O2798" s="47">
        <f t="shared" si="349"/>
        <v>0</v>
      </c>
      <c r="P2798" s="47">
        <f t="shared" si="350"/>
        <v>0</v>
      </c>
      <c r="Q2798" s="47">
        <f t="shared" si="351"/>
        <v>0</v>
      </c>
    </row>
    <row r="2799" spans="1:17" x14ac:dyDescent="0.35">
      <c r="A2799" s="82">
        <v>2796</v>
      </c>
      <c r="B2799" s="83" t="str">
        <f>_xlfn.XLOOKUP(A2799,'TAZs by City - CCAG Model'!$A:$A,'TAZs by City - CCAG Model'!$B:$B,"Unknown")</f>
        <v>Unknown</v>
      </c>
      <c r="C2799" s="82">
        <f>_xlfn.XLOOKUP(A2799,'TAZs by City - CCAG Model'!$A:$A,'TAZs by City - CCAG Model'!$C:$C,999)</f>
        <v>999</v>
      </c>
      <c r="D2799" s="82" t="str">
        <f t="shared" si="344"/>
        <v>NO</v>
      </c>
      <c r="E2799" s="27">
        <v>0</v>
      </c>
      <c r="F2799" s="27">
        <v>0</v>
      </c>
      <c r="G2799" s="27">
        <v>0</v>
      </c>
      <c r="H2799" s="27">
        <v>0</v>
      </c>
      <c r="I2799" s="27">
        <v>0</v>
      </c>
      <c r="J2799" s="27">
        <v>0</v>
      </c>
      <c r="K2799" s="47">
        <f t="shared" si="345"/>
        <v>0</v>
      </c>
      <c r="L2799" s="47">
        <f t="shared" si="346"/>
        <v>0</v>
      </c>
      <c r="M2799" s="84">
        <f t="shared" si="347"/>
        <v>0</v>
      </c>
      <c r="N2799" s="47">
        <f t="shared" si="348"/>
        <v>0</v>
      </c>
      <c r="O2799" s="47">
        <f t="shared" si="349"/>
        <v>0</v>
      </c>
      <c r="P2799" s="47">
        <f t="shared" si="350"/>
        <v>0</v>
      </c>
      <c r="Q2799" s="47">
        <f t="shared" si="351"/>
        <v>0</v>
      </c>
    </row>
    <row r="2800" spans="1:17" x14ac:dyDescent="0.35">
      <c r="A2800" s="82">
        <v>2797</v>
      </c>
      <c r="B2800" s="83" t="str">
        <f>_xlfn.XLOOKUP(A2800,'TAZs by City - CCAG Model'!$A:$A,'TAZs by City - CCAG Model'!$B:$B,"Unknown")</f>
        <v>Unknown</v>
      </c>
      <c r="C2800" s="82">
        <f>_xlfn.XLOOKUP(A2800,'TAZs by City - CCAG Model'!$A:$A,'TAZs by City - CCAG Model'!$C:$C,999)</f>
        <v>999</v>
      </c>
      <c r="D2800" s="82" t="str">
        <f t="shared" si="344"/>
        <v>NO</v>
      </c>
      <c r="E2800" s="27">
        <v>0</v>
      </c>
      <c r="F2800" s="27">
        <v>0</v>
      </c>
      <c r="G2800" s="27">
        <v>0</v>
      </c>
      <c r="H2800" s="27">
        <v>0</v>
      </c>
      <c r="I2800" s="27">
        <v>0</v>
      </c>
      <c r="J2800" s="27">
        <v>0</v>
      </c>
      <c r="K2800" s="47">
        <f t="shared" si="345"/>
        <v>0</v>
      </c>
      <c r="L2800" s="47">
        <f t="shared" si="346"/>
        <v>0</v>
      </c>
      <c r="M2800" s="84">
        <f t="shared" si="347"/>
        <v>0</v>
      </c>
      <c r="N2800" s="47">
        <f t="shared" si="348"/>
        <v>0</v>
      </c>
      <c r="O2800" s="47">
        <f t="shared" si="349"/>
        <v>0</v>
      </c>
      <c r="P2800" s="47">
        <f t="shared" si="350"/>
        <v>0</v>
      </c>
      <c r="Q2800" s="47">
        <f t="shared" si="351"/>
        <v>0</v>
      </c>
    </row>
    <row r="2801" spans="1:17" x14ac:dyDescent="0.35">
      <c r="A2801" s="82">
        <v>2798</v>
      </c>
      <c r="B2801" s="83" t="str">
        <f>_xlfn.XLOOKUP(A2801,'TAZs by City - CCAG Model'!$A:$A,'TAZs by City - CCAG Model'!$B:$B,"Unknown")</f>
        <v>Unknown</v>
      </c>
      <c r="C2801" s="82">
        <f>_xlfn.XLOOKUP(A2801,'TAZs by City - CCAG Model'!$A:$A,'TAZs by City - CCAG Model'!$C:$C,999)</f>
        <v>999</v>
      </c>
      <c r="D2801" s="82" t="str">
        <f t="shared" si="344"/>
        <v>NO</v>
      </c>
      <c r="E2801" s="27">
        <v>0</v>
      </c>
      <c r="F2801" s="27">
        <v>0</v>
      </c>
      <c r="G2801" s="27">
        <v>0</v>
      </c>
      <c r="H2801" s="27">
        <v>0</v>
      </c>
      <c r="I2801" s="27">
        <v>0</v>
      </c>
      <c r="J2801" s="27">
        <v>0</v>
      </c>
      <c r="K2801" s="47">
        <f t="shared" si="345"/>
        <v>0</v>
      </c>
      <c r="L2801" s="47">
        <f t="shared" si="346"/>
        <v>0</v>
      </c>
      <c r="M2801" s="84">
        <f t="shared" si="347"/>
        <v>0</v>
      </c>
      <c r="N2801" s="47">
        <f t="shared" si="348"/>
        <v>0</v>
      </c>
      <c r="O2801" s="47">
        <f t="shared" si="349"/>
        <v>0</v>
      </c>
      <c r="P2801" s="47">
        <f t="shared" si="350"/>
        <v>0</v>
      </c>
      <c r="Q2801" s="47">
        <f t="shared" si="351"/>
        <v>0</v>
      </c>
    </row>
    <row r="2802" spans="1:17" x14ac:dyDescent="0.35">
      <c r="A2802" s="82">
        <v>2799</v>
      </c>
      <c r="B2802" s="83" t="str">
        <f>_xlfn.XLOOKUP(A2802,'TAZs by City - CCAG Model'!$A:$A,'TAZs by City - CCAG Model'!$B:$B,"Unknown")</f>
        <v>Unknown</v>
      </c>
      <c r="C2802" s="82">
        <f>_xlfn.XLOOKUP(A2802,'TAZs by City - CCAG Model'!$A:$A,'TAZs by City - CCAG Model'!$C:$C,999)</f>
        <v>999</v>
      </c>
      <c r="D2802" s="82" t="str">
        <f t="shared" si="344"/>
        <v>NO</v>
      </c>
      <c r="E2802" s="27">
        <v>0</v>
      </c>
      <c r="F2802" s="27">
        <v>0</v>
      </c>
      <c r="G2802" s="27">
        <v>0</v>
      </c>
      <c r="H2802" s="27">
        <v>0</v>
      </c>
      <c r="I2802" s="27">
        <v>0</v>
      </c>
      <c r="J2802" s="27">
        <v>0</v>
      </c>
      <c r="K2802" s="47">
        <f t="shared" si="345"/>
        <v>0</v>
      </c>
      <c r="L2802" s="47">
        <f t="shared" si="346"/>
        <v>0</v>
      </c>
      <c r="M2802" s="84">
        <f t="shared" si="347"/>
        <v>0</v>
      </c>
      <c r="N2802" s="47">
        <f t="shared" si="348"/>
        <v>0</v>
      </c>
      <c r="O2802" s="47">
        <f t="shared" si="349"/>
        <v>0</v>
      </c>
      <c r="P2802" s="47">
        <f t="shared" si="350"/>
        <v>0</v>
      </c>
      <c r="Q2802" s="47">
        <f t="shared" si="351"/>
        <v>0</v>
      </c>
    </row>
    <row r="2803" spans="1:17" x14ac:dyDescent="0.35">
      <c r="A2803" s="82">
        <v>2800</v>
      </c>
      <c r="B2803" s="83" t="str">
        <f>_xlfn.XLOOKUP(A2803,'TAZs by City - CCAG Model'!$A:$A,'TAZs by City - CCAG Model'!$B:$B,"Unknown")</f>
        <v>Unknown</v>
      </c>
      <c r="C2803" s="82">
        <f>_xlfn.XLOOKUP(A2803,'TAZs by City - CCAG Model'!$A:$A,'TAZs by City - CCAG Model'!$C:$C,999)</f>
        <v>999</v>
      </c>
      <c r="D2803" s="82" t="str">
        <f t="shared" si="344"/>
        <v>NO</v>
      </c>
      <c r="E2803" s="27">
        <v>0</v>
      </c>
      <c r="F2803" s="27">
        <v>0</v>
      </c>
      <c r="G2803" s="27">
        <v>0</v>
      </c>
      <c r="H2803" s="27">
        <v>0</v>
      </c>
      <c r="I2803" s="27">
        <v>0</v>
      </c>
      <c r="J2803" s="27">
        <v>0</v>
      </c>
      <c r="K2803" s="47">
        <f t="shared" si="345"/>
        <v>0</v>
      </c>
      <c r="L2803" s="47">
        <f t="shared" si="346"/>
        <v>0</v>
      </c>
      <c r="M2803" s="84">
        <f t="shared" si="347"/>
        <v>0</v>
      </c>
      <c r="N2803" s="47">
        <f t="shared" si="348"/>
        <v>0</v>
      </c>
      <c r="O2803" s="47">
        <f t="shared" si="349"/>
        <v>0</v>
      </c>
      <c r="P2803" s="47">
        <f t="shared" si="350"/>
        <v>0</v>
      </c>
      <c r="Q2803" s="47">
        <f t="shared" si="351"/>
        <v>0</v>
      </c>
    </row>
    <row r="2804" spans="1:17" x14ac:dyDescent="0.35">
      <c r="A2804" s="82">
        <v>2801</v>
      </c>
      <c r="B2804" s="83" t="str">
        <f>_xlfn.XLOOKUP(A2804,'TAZs by City - CCAG Model'!$A:$A,'TAZs by City - CCAG Model'!$B:$B,"Unknown")</f>
        <v>Unknown</v>
      </c>
      <c r="C2804" s="82">
        <f>_xlfn.XLOOKUP(A2804,'TAZs by City - CCAG Model'!$A:$A,'TAZs by City - CCAG Model'!$C:$C,999)</f>
        <v>999</v>
      </c>
      <c r="D2804" s="82" t="str">
        <f t="shared" si="344"/>
        <v>NO</v>
      </c>
      <c r="E2804" s="27">
        <v>0</v>
      </c>
      <c r="F2804" s="27">
        <v>0</v>
      </c>
      <c r="G2804" s="27">
        <v>0</v>
      </c>
      <c r="H2804" s="27">
        <v>0</v>
      </c>
      <c r="I2804" s="27">
        <v>0</v>
      </c>
      <c r="J2804" s="27">
        <v>0</v>
      </c>
      <c r="K2804" s="47">
        <f t="shared" si="345"/>
        <v>0</v>
      </c>
      <c r="L2804" s="47">
        <f t="shared" si="346"/>
        <v>0</v>
      </c>
      <c r="M2804" s="84">
        <f t="shared" si="347"/>
        <v>0</v>
      </c>
      <c r="N2804" s="47">
        <f t="shared" si="348"/>
        <v>0</v>
      </c>
      <c r="O2804" s="47">
        <f t="shared" si="349"/>
        <v>0</v>
      </c>
      <c r="P2804" s="47">
        <f t="shared" si="350"/>
        <v>0</v>
      </c>
      <c r="Q2804" s="47">
        <f t="shared" si="351"/>
        <v>0</v>
      </c>
    </row>
    <row r="2805" spans="1:17" x14ac:dyDescent="0.35">
      <c r="A2805" s="82">
        <v>2802</v>
      </c>
      <c r="B2805" s="83" t="str">
        <f>_xlfn.XLOOKUP(A2805,'TAZs by City - CCAG Model'!$A:$A,'TAZs by City - CCAG Model'!$B:$B,"Unknown")</f>
        <v>Unknown</v>
      </c>
      <c r="C2805" s="82">
        <f>_xlfn.XLOOKUP(A2805,'TAZs by City - CCAG Model'!$A:$A,'TAZs by City - CCAG Model'!$C:$C,999)</f>
        <v>999</v>
      </c>
      <c r="D2805" s="82" t="str">
        <f t="shared" si="344"/>
        <v>NO</v>
      </c>
      <c r="E2805" s="27">
        <v>0</v>
      </c>
      <c r="F2805" s="27">
        <v>0</v>
      </c>
      <c r="G2805" s="27">
        <v>0</v>
      </c>
      <c r="H2805" s="27">
        <v>0</v>
      </c>
      <c r="I2805" s="27">
        <v>0</v>
      </c>
      <c r="J2805" s="27">
        <v>0</v>
      </c>
      <c r="K2805" s="47">
        <f t="shared" si="345"/>
        <v>0</v>
      </c>
      <c r="L2805" s="47">
        <f t="shared" si="346"/>
        <v>0</v>
      </c>
      <c r="M2805" s="84">
        <f t="shared" si="347"/>
        <v>0</v>
      </c>
      <c r="N2805" s="47">
        <f t="shared" si="348"/>
        <v>0</v>
      </c>
      <c r="O2805" s="47">
        <f t="shared" si="349"/>
        <v>0</v>
      </c>
      <c r="P2805" s="47">
        <f t="shared" si="350"/>
        <v>0</v>
      </c>
      <c r="Q2805" s="47">
        <f t="shared" si="351"/>
        <v>0</v>
      </c>
    </row>
    <row r="2806" spans="1:17" x14ac:dyDescent="0.35">
      <c r="A2806" s="82">
        <v>2803</v>
      </c>
      <c r="B2806" s="83" t="str">
        <f>_xlfn.XLOOKUP(A2806,'TAZs by City - CCAG Model'!$A:$A,'TAZs by City - CCAG Model'!$B:$B,"Unknown")</f>
        <v>Unknown</v>
      </c>
      <c r="C2806" s="82">
        <f>_xlfn.XLOOKUP(A2806,'TAZs by City - CCAG Model'!$A:$A,'TAZs by City - CCAG Model'!$C:$C,999)</f>
        <v>999</v>
      </c>
      <c r="D2806" s="82" t="str">
        <f t="shared" si="344"/>
        <v>NO</v>
      </c>
      <c r="E2806" s="27">
        <v>0</v>
      </c>
      <c r="F2806" s="27">
        <v>0</v>
      </c>
      <c r="G2806" s="27">
        <v>0</v>
      </c>
      <c r="H2806" s="27">
        <v>0</v>
      </c>
      <c r="I2806" s="27">
        <v>0</v>
      </c>
      <c r="J2806" s="27">
        <v>0</v>
      </c>
      <c r="K2806" s="47">
        <f t="shared" si="345"/>
        <v>0</v>
      </c>
      <c r="L2806" s="47">
        <f t="shared" si="346"/>
        <v>0</v>
      </c>
      <c r="M2806" s="84">
        <f t="shared" si="347"/>
        <v>0</v>
      </c>
      <c r="N2806" s="47">
        <f t="shared" si="348"/>
        <v>0</v>
      </c>
      <c r="O2806" s="47">
        <f t="shared" si="349"/>
        <v>0</v>
      </c>
      <c r="P2806" s="47">
        <f t="shared" si="350"/>
        <v>0</v>
      </c>
      <c r="Q2806" s="47">
        <f t="shared" si="351"/>
        <v>0</v>
      </c>
    </row>
    <row r="2807" spans="1:17" x14ac:dyDescent="0.35">
      <c r="A2807" s="82">
        <v>2804</v>
      </c>
      <c r="B2807" s="83" t="str">
        <f>_xlfn.XLOOKUP(A2807,'TAZs by City - CCAG Model'!$A:$A,'TAZs by City - CCAG Model'!$B:$B,"Unknown")</f>
        <v>Unknown</v>
      </c>
      <c r="C2807" s="82">
        <f>_xlfn.XLOOKUP(A2807,'TAZs by City - CCAG Model'!$A:$A,'TAZs by City - CCAG Model'!$C:$C,999)</f>
        <v>999</v>
      </c>
      <c r="D2807" s="82" t="str">
        <f t="shared" si="344"/>
        <v>NO</v>
      </c>
      <c r="E2807" s="27">
        <v>0</v>
      </c>
      <c r="F2807" s="27">
        <v>0</v>
      </c>
      <c r="G2807" s="27">
        <v>0</v>
      </c>
      <c r="H2807" s="27">
        <v>0</v>
      </c>
      <c r="I2807" s="27">
        <v>0</v>
      </c>
      <c r="J2807" s="27">
        <v>0</v>
      </c>
      <c r="K2807" s="47">
        <f t="shared" si="345"/>
        <v>0</v>
      </c>
      <c r="L2807" s="47">
        <f t="shared" si="346"/>
        <v>0</v>
      </c>
      <c r="M2807" s="84">
        <f t="shared" si="347"/>
        <v>0</v>
      </c>
      <c r="N2807" s="47">
        <f t="shared" si="348"/>
        <v>0</v>
      </c>
      <c r="O2807" s="47">
        <f t="shared" si="349"/>
        <v>0</v>
      </c>
      <c r="P2807" s="47">
        <f t="shared" si="350"/>
        <v>0</v>
      </c>
      <c r="Q2807" s="47">
        <f t="shared" si="351"/>
        <v>0</v>
      </c>
    </row>
    <row r="2808" spans="1:17" x14ac:dyDescent="0.35">
      <c r="A2808" s="82">
        <v>2805</v>
      </c>
      <c r="B2808" s="83" t="str">
        <f>_xlfn.XLOOKUP(A2808,'TAZs by City - CCAG Model'!$A:$A,'TAZs by City - CCAG Model'!$B:$B,"Unknown")</f>
        <v>Unknown</v>
      </c>
      <c r="C2808" s="82">
        <f>_xlfn.XLOOKUP(A2808,'TAZs by City - CCAG Model'!$A:$A,'TAZs by City - CCAG Model'!$C:$C,999)</f>
        <v>999</v>
      </c>
      <c r="D2808" s="82" t="str">
        <f t="shared" si="344"/>
        <v>NO</v>
      </c>
      <c r="E2808" s="27">
        <v>0</v>
      </c>
      <c r="F2808" s="27">
        <v>0</v>
      </c>
      <c r="G2808" s="27">
        <v>0</v>
      </c>
      <c r="H2808" s="27">
        <v>0</v>
      </c>
      <c r="I2808" s="27">
        <v>0</v>
      </c>
      <c r="J2808" s="27">
        <v>0</v>
      </c>
      <c r="K2808" s="47">
        <f t="shared" si="345"/>
        <v>0</v>
      </c>
      <c r="L2808" s="47">
        <f t="shared" si="346"/>
        <v>0</v>
      </c>
      <c r="M2808" s="84">
        <f t="shared" si="347"/>
        <v>0</v>
      </c>
      <c r="N2808" s="47">
        <f t="shared" si="348"/>
        <v>0</v>
      </c>
      <c r="O2808" s="47">
        <f t="shared" si="349"/>
        <v>0</v>
      </c>
      <c r="P2808" s="47">
        <f t="shared" si="350"/>
        <v>0</v>
      </c>
      <c r="Q2808" s="47">
        <f t="shared" si="351"/>
        <v>0</v>
      </c>
    </row>
    <row r="2809" spans="1:17" x14ac:dyDescent="0.35">
      <c r="A2809" s="82">
        <v>2806</v>
      </c>
      <c r="B2809" s="83" t="str">
        <f>_xlfn.XLOOKUP(A2809,'TAZs by City - CCAG Model'!$A:$A,'TAZs by City - CCAG Model'!$B:$B,"Unknown")</f>
        <v>Unknown</v>
      </c>
      <c r="C2809" s="82">
        <f>_xlfn.XLOOKUP(A2809,'TAZs by City - CCAG Model'!$A:$A,'TAZs by City - CCAG Model'!$C:$C,999)</f>
        <v>999</v>
      </c>
      <c r="D2809" s="82" t="str">
        <f t="shared" si="344"/>
        <v>NO</v>
      </c>
      <c r="E2809" s="27">
        <v>0</v>
      </c>
      <c r="F2809" s="27">
        <v>0</v>
      </c>
      <c r="G2809" s="27">
        <v>0</v>
      </c>
      <c r="H2809" s="27">
        <v>0</v>
      </c>
      <c r="I2809" s="27">
        <v>0</v>
      </c>
      <c r="J2809" s="27">
        <v>0</v>
      </c>
      <c r="K2809" s="47">
        <f t="shared" si="345"/>
        <v>0</v>
      </c>
      <c r="L2809" s="47">
        <f t="shared" si="346"/>
        <v>0</v>
      </c>
      <c r="M2809" s="84">
        <f t="shared" si="347"/>
        <v>0</v>
      </c>
      <c r="N2809" s="47">
        <f t="shared" si="348"/>
        <v>0</v>
      </c>
      <c r="O2809" s="47">
        <f t="shared" si="349"/>
        <v>0</v>
      </c>
      <c r="P2809" s="47">
        <f t="shared" si="350"/>
        <v>0</v>
      </c>
      <c r="Q2809" s="47">
        <f t="shared" si="351"/>
        <v>0</v>
      </c>
    </row>
    <row r="2810" spans="1:17" x14ac:dyDescent="0.35">
      <c r="A2810" s="82">
        <v>2807</v>
      </c>
      <c r="B2810" s="83" t="str">
        <f>_xlfn.XLOOKUP(A2810,'TAZs by City - CCAG Model'!$A:$A,'TAZs by City - CCAG Model'!$B:$B,"Unknown")</f>
        <v>Unknown</v>
      </c>
      <c r="C2810" s="82">
        <f>_xlfn.XLOOKUP(A2810,'TAZs by City - CCAG Model'!$A:$A,'TAZs by City - CCAG Model'!$C:$C,999)</f>
        <v>999</v>
      </c>
      <c r="D2810" s="82" t="str">
        <f t="shared" si="344"/>
        <v>NO</v>
      </c>
      <c r="E2810" s="27">
        <v>0</v>
      </c>
      <c r="F2810" s="27">
        <v>0</v>
      </c>
      <c r="G2810" s="27">
        <v>0</v>
      </c>
      <c r="H2810" s="27">
        <v>0</v>
      </c>
      <c r="I2810" s="27">
        <v>0</v>
      </c>
      <c r="J2810" s="27">
        <v>0</v>
      </c>
      <c r="K2810" s="47">
        <f t="shared" si="345"/>
        <v>0</v>
      </c>
      <c r="L2810" s="47">
        <f t="shared" si="346"/>
        <v>0</v>
      </c>
      <c r="M2810" s="84">
        <f t="shared" si="347"/>
        <v>0</v>
      </c>
      <c r="N2810" s="47">
        <f t="shared" si="348"/>
        <v>0</v>
      </c>
      <c r="O2810" s="47">
        <f t="shared" si="349"/>
        <v>0</v>
      </c>
      <c r="P2810" s="47">
        <f t="shared" si="350"/>
        <v>0</v>
      </c>
      <c r="Q2810" s="47">
        <f t="shared" si="351"/>
        <v>0</v>
      </c>
    </row>
    <row r="2811" spans="1:17" x14ac:dyDescent="0.35">
      <c r="A2811" s="82">
        <v>2808</v>
      </c>
      <c r="B2811" s="83" t="str">
        <f>_xlfn.XLOOKUP(A2811,'TAZs by City - CCAG Model'!$A:$A,'TAZs by City - CCAG Model'!$B:$B,"Unknown")</f>
        <v>Unknown</v>
      </c>
      <c r="C2811" s="82">
        <f>_xlfn.XLOOKUP(A2811,'TAZs by City - CCAG Model'!$A:$A,'TAZs by City - CCAG Model'!$C:$C,999)</f>
        <v>999</v>
      </c>
      <c r="D2811" s="82" t="str">
        <f t="shared" si="344"/>
        <v>NO</v>
      </c>
      <c r="E2811" s="27">
        <v>0</v>
      </c>
      <c r="F2811" s="27">
        <v>0</v>
      </c>
      <c r="G2811" s="27">
        <v>0</v>
      </c>
      <c r="H2811" s="27">
        <v>0</v>
      </c>
      <c r="I2811" s="27">
        <v>0</v>
      </c>
      <c r="J2811" s="27">
        <v>0</v>
      </c>
      <c r="K2811" s="47">
        <f t="shared" si="345"/>
        <v>0</v>
      </c>
      <c r="L2811" s="47">
        <f t="shared" si="346"/>
        <v>0</v>
      </c>
      <c r="M2811" s="84">
        <f t="shared" si="347"/>
        <v>0</v>
      </c>
      <c r="N2811" s="47">
        <f t="shared" si="348"/>
        <v>0</v>
      </c>
      <c r="O2811" s="47">
        <f t="shared" si="349"/>
        <v>0</v>
      </c>
      <c r="P2811" s="47">
        <f t="shared" si="350"/>
        <v>0</v>
      </c>
      <c r="Q2811" s="47">
        <f t="shared" si="351"/>
        <v>0</v>
      </c>
    </row>
    <row r="2812" spans="1:17" x14ac:dyDescent="0.35">
      <c r="A2812" s="82">
        <v>2809</v>
      </c>
      <c r="B2812" s="83" t="str">
        <f>_xlfn.XLOOKUP(A2812,'TAZs by City - CCAG Model'!$A:$A,'TAZs by City - CCAG Model'!$B:$B,"Unknown")</f>
        <v>Unknown</v>
      </c>
      <c r="C2812" s="82">
        <f>_xlfn.XLOOKUP(A2812,'TAZs by City - CCAG Model'!$A:$A,'TAZs by City - CCAG Model'!$C:$C,999)</f>
        <v>999</v>
      </c>
      <c r="D2812" s="82" t="str">
        <f t="shared" si="344"/>
        <v>NO</v>
      </c>
      <c r="E2812" s="27">
        <v>0</v>
      </c>
      <c r="F2812" s="27">
        <v>0</v>
      </c>
      <c r="G2812" s="27">
        <v>0</v>
      </c>
      <c r="H2812" s="27">
        <v>0</v>
      </c>
      <c r="I2812" s="27">
        <v>0</v>
      </c>
      <c r="J2812" s="27">
        <v>0</v>
      </c>
      <c r="K2812" s="47">
        <f t="shared" si="345"/>
        <v>0</v>
      </c>
      <c r="L2812" s="47">
        <f t="shared" si="346"/>
        <v>0</v>
      </c>
      <c r="M2812" s="84">
        <f t="shared" si="347"/>
        <v>0</v>
      </c>
      <c r="N2812" s="47">
        <f t="shared" si="348"/>
        <v>0</v>
      </c>
      <c r="O2812" s="47">
        <f t="shared" si="349"/>
        <v>0</v>
      </c>
      <c r="P2812" s="47">
        <f t="shared" si="350"/>
        <v>0</v>
      </c>
      <c r="Q2812" s="47">
        <f t="shared" si="351"/>
        <v>0</v>
      </c>
    </row>
    <row r="2813" spans="1:17" x14ac:dyDescent="0.35">
      <c r="A2813" s="82">
        <v>2810</v>
      </c>
      <c r="B2813" s="83" t="str">
        <f>_xlfn.XLOOKUP(A2813,'TAZs by City - CCAG Model'!$A:$A,'TAZs by City - CCAG Model'!$B:$B,"Unknown")</f>
        <v>Unknown</v>
      </c>
      <c r="C2813" s="82">
        <f>_xlfn.XLOOKUP(A2813,'TAZs by City - CCAG Model'!$A:$A,'TAZs by City - CCAG Model'!$C:$C,999)</f>
        <v>999</v>
      </c>
      <c r="D2813" s="82" t="str">
        <f t="shared" si="344"/>
        <v>NO</v>
      </c>
      <c r="E2813" s="27">
        <v>0</v>
      </c>
      <c r="F2813" s="27">
        <v>0</v>
      </c>
      <c r="G2813" s="27">
        <v>0</v>
      </c>
      <c r="H2813" s="27">
        <v>0</v>
      </c>
      <c r="I2813" s="27">
        <v>0</v>
      </c>
      <c r="J2813" s="27">
        <v>0</v>
      </c>
      <c r="K2813" s="47">
        <f t="shared" si="345"/>
        <v>0</v>
      </c>
      <c r="L2813" s="47">
        <f t="shared" si="346"/>
        <v>0</v>
      </c>
      <c r="M2813" s="84">
        <f t="shared" si="347"/>
        <v>0</v>
      </c>
      <c r="N2813" s="47">
        <f t="shared" si="348"/>
        <v>0</v>
      </c>
      <c r="O2813" s="47">
        <f t="shared" si="349"/>
        <v>0</v>
      </c>
      <c r="P2813" s="47">
        <f t="shared" si="350"/>
        <v>0</v>
      </c>
      <c r="Q2813" s="47">
        <f t="shared" si="351"/>
        <v>0</v>
      </c>
    </row>
    <row r="2814" spans="1:17" x14ac:dyDescent="0.35">
      <c r="A2814" s="82">
        <v>2811</v>
      </c>
      <c r="B2814" s="83" t="str">
        <f>_xlfn.XLOOKUP(A2814,'TAZs by City - CCAG Model'!$A:$A,'TAZs by City - CCAG Model'!$B:$B,"Unknown")</f>
        <v>Unknown</v>
      </c>
      <c r="C2814" s="82">
        <f>_xlfn.XLOOKUP(A2814,'TAZs by City - CCAG Model'!$A:$A,'TAZs by City - CCAG Model'!$C:$C,999)</f>
        <v>999</v>
      </c>
      <c r="D2814" s="82" t="str">
        <f t="shared" si="344"/>
        <v>NO</v>
      </c>
      <c r="E2814" s="27">
        <v>0</v>
      </c>
      <c r="F2814" s="27">
        <v>0</v>
      </c>
      <c r="G2814" s="27">
        <v>0</v>
      </c>
      <c r="H2814" s="27">
        <v>0</v>
      </c>
      <c r="I2814" s="27">
        <v>0</v>
      </c>
      <c r="J2814" s="27">
        <v>0</v>
      </c>
      <c r="K2814" s="47">
        <f t="shared" si="345"/>
        <v>0</v>
      </c>
      <c r="L2814" s="47">
        <f t="shared" si="346"/>
        <v>0</v>
      </c>
      <c r="M2814" s="84">
        <f t="shared" si="347"/>
        <v>0</v>
      </c>
      <c r="N2814" s="47">
        <f t="shared" si="348"/>
        <v>0</v>
      </c>
      <c r="O2814" s="47">
        <f t="shared" si="349"/>
        <v>0</v>
      </c>
      <c r="P2814" s="47">
        <f t="shared" si="350"/>
        <v>0</v>
      </c>
      <c r="Q2814" s="47">
        <f t="shared" si="351"/>
        <v>0</v>
      </c>
    </row>
    <row r="2815" spans="1:17" x14ac:dyDescent="0.35">
      <c r="A2815" s="82">
        <v>2812</v>
      </c>
      <c r="B2815" s="83" t="str">
        <f>_xlfn.XLOOKUP(A2815,'TAZs by City - CCAG Model'!$A:$A,'TAZs by City - CCAG Model'!$B:$B,"Unknown")</f>
        <v>Unknown</v>
      </c>
      <c r="C2815" s="82">
        <f>_xlfn.XLOOKUP(A2815,'TAZs by City - CCAG Model'!$A:$A,'TAZs by City - CCAG Model'!$C:$C,999)</f>
        <v>999</v>
      </c>
      <c r="D2815" s="82" t="str">
        <f t="shared" si="344"/>
        <v>NO</v>
      </c>
      <c r="E2815" s="27">
        <v>0</v>
      </c>
      <c r="F2815" s="27">
        <v>0</v>
      </c>
      <c r="G2815" s="27">
        <v>0</v>
      </c>
      <c r="H2815" s="27">
        <v>0</v>
      </c>
      <c r="I2815" s="27">
        <v>0</v>
      </c>
      <c r="J2815" s="27">
        <v>0</v>
      </c>
      <c r="K2815" s="47">
        <f t="shared" si="345"/>
        <v>0</v>
      </c>
      <c r="L2815" s="47">
        <f t="shared" si="346"/>
        <v>0</v>
      </c>
      <c r="M2815" s="84">
        <f t="shared" si="347"/>
        <v>0</v>
      </c>
      <c r="N2815" s="47">
        <f t="shared" si="348"/>
        <v>0</v>
      </c>
      <c r="O2815" s="47">
        <f t="shared" si="349"/>
        <v>0</v>
      </c>
      <c r="P2815" s="47">
        <f t="shared" si="350"/>
        <v>0</v>
      </c>
      <c r="Q2815" s="47">
        <f t="shared" si="351"/>
        <v>0</v>
      </c>
    </row>
    <row r="2816" spans="1:17" x14ac:dyDescent="0.35">
      <c r="A2816" s="82">
        <v>2813</v>
      </c>
      <c r="B2816" s="83" t="str">
        <f>_xlfn.XLOOKUP(A2816,'TAZs by City - CCAG Model'!$A:$A,'TAZs by City - CCAG Model'!$B:$B,"Unknown")</f>
        <v>Unknown</v>
      </c>
      <c r="C2816" s="82">
        <f>_xlfn.XLOOKUP(A2816,'TAZs by City - CCAG Model'!$A:$A,'TAZs by City - CCAG Model'!$C:$C,999)</f>
        <v>999</v>
      </c>
      <c r="D2816" s="82" t="str">
        <f t="shared" si="344"/>
        <v>NO</v>
      </c>
      <c r="E2816" s="27">
        <v>0</v>
      </c>
      <c r="F2816" s="27">
        <v>0</v>
      </c>
      <c r="G2816" s="27">
        <v>0</v>
      </c>
      <c r="H2816" s="27">
        <v>0</v>
      </c>
      <c r="I2816" s="27">
        <v>0</v>
      </c>
      <c r="J2816" s="27">
        <v>0</v>
      </c>
      <c r="K2816" s="47">
        <f t="shared" si="345"/>
        <v>0</v>
      </c>
      <c r="L2816" s="47">
        <f t="shared" si="346"/>
        <v>0</v>
      </c>
      <c r="M2816" s="84">
        <f t="shared" si="347"/>
        <v>0</v>
      </c>
      <c r="N2816" s="47">
        <f t="shared" si="348"/>
        <v>0</v>
      </c>
      <c r="O2816" s="47">
        <f t="shared" si="349"/>
        <v>0</v>
      </c>
      <c r="P2816" s="47">
        <f t="shared" si="350"/>
        <v>0</v>
      </c>
      <c r="Q2816" s="47">
        <f t="shared" si="351"/>
        <v>0</v>
      </c>
    </row>
    <row r="2817" spans="1:17" x14ac:dyDescent="0.35">
      <c r="A2817" s="82">
        <v>2814</v>
      </c>
      <c r="B2817" s="83" t="str">
        <f>_xlfn.XLOOKUP(A2817,'TAZs by City - CCAG Model'!$A:$A,'TAZs by City - CCAG Model'!$B:$B,"Unknown")</f>
        <v>Unknown</v>
      </c>
      <c r="C2817" s="82">
        <f>_xlfn.XLOOKUP(A2817,'TAZs by City - CCAG Model'!$A:$A,'TAZs by City - CCAG Model'!$C:$C,999)</f>
        <v>999</v>
      </c>
      <c r="D2817" s="82" t="str">
        <f t="shared" si="344"/>
        <v>NO</v>
      </c>
      <c r="E2817" s="27">
        <v>0</v>
      </c>
      <c r="F2817" s="27">
        <v>0</v>
      </c>
      <c r="G2817" s="27">
        <v>0</v>
      </c>
      <c r="H2817" s="27">
        <v>0</v>
      </c>
      <c r="I2817" s="27">
        <v>0</v>
      </c>
      <c r="J2817" s="27">
        <v>0</v>
      </c>
      <c r="K2817" s="47">
        <f t="shared" si="345"/>
        <v>0</v>
      </c>
      <c r="L2817" s="47">
        <f t="shared" si="346"/>
        <v>0</v>
      </c>
      <c r="M2817" s="84">
        <f t="shared" si="347"/>
        <v>0</v>
      </c>
      <c r="N2817" s="47">
        <f t="shared" si="348"/>
        <v>0</v>
      </c>
      <c r="O2817" s="47">
        <f t="shared" si="349"/>
        <v>0</v>
      </c>
      <c r="P2817" s="47">
        <f t="shared" si="350"/>
        <v>0</v>
      </c>
      <c r="Q2817" s="47">
        <f t="shared" si="351"/>
        <v>0</v>
      </c>
    </row>
    <row r="2818" spans="1:17" x14ac:dyDescent="0.35">
      <c r="A2818" s="82">
        <v>2815</v>
      </c>
      <c r="B2818" s="83" t="str">
        <f>_xlfn.XLOOKUP(A2818,'TAZs by City - CCAG Model'!$A:$A,'TAZs by City - CCAG Model'!$B:$B,"Unknown")</f>
        <v>Unknown</v>
      </c>
      <c r="C2818" s="82">
        <f>_xlfn.XLOOKUP(A2818,'TAZs by City - CCAG Model'!$A:$A,'TAZs by City - CCAG Model'!$C:$C,999)</f>
        <v>999</v>
      </c>
      <c r="D2818" s="82" t="str">
        <f t="shared" si="344"/>
        <v>NO</v>
      </c>
      <c r="E2818" s="27">
        <v>0</v>
      </c>
      <c r="F2818" s="27">
        <v>0</v>
      </c>
      <c r="G2818" s="27">
        <v>0</v>
      </c>
      <c r="H2818" s="27">
        <v>0</v>
      </c>
      <c r="I2818" s="27">
        <v>0</v>
      </c>
      <c r="J2818" s="27">
        <v>0</v>
      </c>
      <c r="K2818" s="47">
        <f t="shared" si="345"/>
        <v>0</v>
      </c>
      <c r="L2818" s="47">
        <f t="shared" si="346"/>
        <v>0</v>
      </c>
      <c r="M2818" s="84">
        <f t="shared" si="347"/>
        <v>0</v>
      </c>
      <c r="N2818" s="47">
        <f t="shared" si="348"/>
        <v>0</v>
      </c>
      <c r="O2818" s="47">
        <f t="shared" si="349"/>
        <v>0</v>
      </c>
      <c r="P2818" s="47">
        <f t="shared" si="350"/>
        <v>0</v>
      </c>
      <c r="Q2818" s="47">
        <f t="shared" si="351"/>
        <v>0</v>
      </c>
    </row>
    <row r="2819" spans="1:17" x14ac:dyDescent="0.35">
      <c r="A2819" s="82">
        <v>2816</v>
      </c>
      <c r="B2819" s="83" t="str">
        <f>_xlfn.XLOOKUP(A2819,'TAZs by City - CCAG Model'!$A:$A,'TAZs by City - CCAG Model'!$B:$B,"Unknown")</f>
        <v>Unknown</v>
      </c>
      <c r="C2819" s="82">
        <f>_xlfn.XLOOKUP(A2819,'TAZs by City - CCAG Model'!$A:$A,'TAZs by City - CCAG Model'!$C:$C,999)</f>
        <v>999</v>
      </c>
      <c r="D2819" s="82" t="str">
        <f t="shared" si="344"/>
        <v>NO</v>
      </c>
      <c r="E2819" s="27">
        <v>0</v>
      </c>
      <c r="F2819" s="27">
        <v>0</v>
      </c>
      <c r="G2819" s="27">
        <v>0</v>
      </c>
      <c r="H2819" s="27">
        <v>0</v>
      </c>
      <c r="I2819" s="27">
        <v>0</v>
      </c>
      <c r="J2819" s="27">
        <v>0</v>
      </c>
      <c r="K2819" s="47">
        <f t="shared" si="345"/>
        <v>0</v>
      </c>
      <c r="L2819" s="47">
        <f t="shared" si="346"/>
        <v>0</v>
      </c>
      <c r="M2819" s="84">
        <f t="shared" si="347"/>
        <v>0</v>
      </c>
      <c r="N2819" s="47">
        <f t="shared" si="348"/>
        <v>0</v>
      </c>
      <c r="O2819" s="47">
        <f t="shared" si="349"/>
        <v>0</v>
      </c>
      <c r="P2819" s="47">
        <f t="shared" si="350"/>
        <v>0</v>
      </c>
      <c r="Q2819" s="47">
        <f t="shared" si="351"/>
        <v>0</v>
      </c>
    </row>
    <row r="2820" spans="1:17" x14ac:dyDescent="0.35">
      <c r="A2820" s="82">
        <v>2817</v>
      </c>
      <c r="B2820" s="83" t="str">
        <f>_xlfn.XLOOKUP(A2820,'TAZs by City - CCAG Model'!$A:$A,'TAZs by City - CCAG Model'!$B:$B,"Unknown")</f>
        <v>Unknown</v>
      </c>
      <c r="C2820" s="82">
        <f>_xlfn.XLOOKUP(A2820,'TAZs by City - CCAG Model'!$A:$A,'TAZs by City - CCAG Model'!$C:$C,999)</f>
        <v>999</v>
      </c>
      <c r="D2820" s="82" t="str">
        <f t="shared" si="344"/>
        <v>NO</v>
      </c>
      <c r="E2820" s="27">
        <v>0</v>
      </c>
      <c r="F2820" s="27">
        <v>0</v>
      </c>
      <c r="G2820" s="27">
        <v>0</v>
      </c>
      <c r="H2820" s="27">
        <v>0</v>
      </c>
      <c r="I2820" s="27">
        <v>0</v>
      </c>
      <c r="J2820" s="27">
        <v>0</v>
      </c>
      <c r="K2820" s="47">
        <f t="shared" si="345"/>
        <v>0</v>
      </c>
      <c r="L2820" s="47">
        <f t="shared" si="346"/>
        <v>0</v>
      </c>
      <c r="M2820" s="84">
        <f t="shared" si="347"/>
        <v>0</v>
      </c>
      <c r="N2820" s="47">
        <f t="shared" si="348"/>
        <v>0</v>
      </c>
      <c r="O2820" s="47">
        <f t="shared" si="349"/>
        <v>0</v>
      </c>
      <c r="P2820" s="47">
        <f t="shared" si="350"/>
        <v>0</v>
      </c>
      <c r="Q2820" s="47">
        <f t="shared" si="351"/>
        <v>0</v>
      </c>
    </row>
    <row r="2821" spans="1:17" x14ac:dyDescent="0.35">
      <c r="A2821" s="82">
        <v>2818</v>
      </c>
      <c r="B2821" s="83" t="str">
        <f>_xlfn.XLOOKUP(A2821,'TAZs by City - CCAG Model'!$A:$A,'TAZs by City - CCAG Model'!$B:$B,"Unknown")</f>
        <v>Unknown</v>
      </c>
      <c r="C2821" s="82">
        <f>_xlfn.XLOOKUP(A2821,'TAZs by City - CCAG Model'!$A:$A,'TAZs by City - CCAG Model'!$C:$C,999)</f>
        <v>999</v>
      </c>
      <c r="D2821" s="82" t="str">
        <f t="shared" ref="D2821:D2884" si="352">IF(C2821=2,"YES","NO")</f>
        <v>NO</v>
      </c>
      <c r="E2821" s="27">
        <v>0</v>
      </c>
      <c r="F2821" s="27">
        <v>0</v>
      </c>
      <c r="G2821" s="27">
        <v>0</v>
      </c>
      <c r="H2821" s="27">
        <v>0</v>
      </c>
      <c r="I2821" s="27">
        <v>0</v>
      </c>
      <c r="J2821" s="27">
        <v>0</v>
      </c>
      <c r="K2821" s="47">
        <f t="shared" ref="K2821:K2884" si="353">IFERROR(E2821/$J2821,0)</f>
        <v>0</v>
      </c>
      <c r="L2821" s="47">
        <f t="shared" ref="L2821:L2884" si="354">IFERROR(F2821/$J2821,0)</f>
        <v>0</v>
      </c>
      <c r="M2821" s="84">
        <f t="shared" ref="M2821:M2884" si="355">IFERROR((E2821+F2821)/J2821,0)</f>
        <v>0</v>
      </c>
      <c r="N2821" s="47">
        <f t="shared" ref="N2821:N2884" si="356">IFERROR(G2821/$J2821,0)</f>
        <v>0</v>
      </c>
      <c r="O2821" s="47">
        <f t="shared" ref="O2821:O2884" si="357">IFERROR(H2821/$J2821,0)</f>
        <v>0</v>
      </c>
      <c r="P2821" s="47">
        <f t="shared" ref="P2821:P2884" si="358">IFERROR(I2821/$J2821,0)</f>
        <v>0</v>
      </c>
      <c r="Q2821" s="47">
        <f t="shared" ref="Q2821:Q2884" si="359">IFERROR(J2821/$J2821,0)</f>
        <v>0</v>
      </c>
    </row>
    <row r="2822" spans="1:17" x14ac:dyDescent="0.35">
      <c r="A2822" s="82">
        <v>2819</v>
      </c>
      <c r="B2822" s="83" t="str">
        <f>_xlfn.XLOOKUP(A2822,'TAZs by City - CCAG Model'!$A:$A,'TAZs by City - CCAG Model'!$B:$B,"Unknown")</f>
        <v>Unknown</v>
      </c>
      <c r="C2822" s="82">
        <f>_xlfn.XLOOKUP(A2822,'TAZs by City - CCAG Model'!$A:$A,'TAZs by City - CCAG Model'!$C:$C,999)</f>
        <v>999</v>
      </c>
      <c r="D2822" s="82" t="str">
        <f t="shared" si="352"/>
        <v>NO</v>
      </c>
      <c r="E2822" s="27">
        <v>0</v>
      </c>
      <c r="F2822" s="27">
        <v>0</v>
      </c>
      <c r="G2822" s="27">
        <v>0</v>
      </c>
      <c r="H2822" s="27">
        <v>0</v>
      </c>
      <c r="I2822" s="27">
        <v>0</v>
      </c>
      <c r="J2822" s="27">
        <v>0</v>
      </c>
      <c r="K2822" s="47">
        <f t="shared" si="353"/>
        <v>0</v>
      </c>
      <c r="L2822" s="47">
        <f t="shared" si="354"/>
        <v>0</v>
      </c>
      <c r="M2822" s="84">
        <f t="shared" si="355"/>
        <v>0</v>
      </c>
      <c r="N2822" s="47">
        <f t="shared" si="356"/>
        <v>0</v>
      </c>
      <c r="O2822" s="47">
        <f t="shared" si="357"/>
        <v>0</v>
      </c>
      <c r="P2822" s="47">
        <f t="shared" si="358"/>
        <v>0</v>
      </c>
      <c r="Q2822" s="47">
        <f t="shared" si="359"/>
        <v>0</v>
      </c>
    </row>
    <row r="2823" spans="1:17" x14ac:dyDescent="0.35">
      <c r="A2823" s="82">
        <v>2820</v>
      </c>
      <c r="B2823" s="83" t="str">
        <f>_xlfn.XLOOKUP(A2823,'TAZs by City - CCAG Model'!$A:$A,'TAZs by City - CCAG Model'!$B:$B,"Unknown")</f>
        <v>Unknown</v>
      </c>
      <c r="C2823" s="82">
        <f>_xlfn.XLOOKUP(A2823,'TAZs by City - CCAG Model'!$A:$A,'TAZs by City - CCAG Model'!$C:$C,999)</f>
        <v>999</v>
      </c>
      <c r="D2823" s="82" t="str">
        <f t="shared" si="352"/>
        <v>NO</v>
      </c>
      <c r="E2823" s="27">
        <v>0</v>
      </c>
      <c r="F2823" s="27">
        <v>0</v>
      </c>
      <c r="G2823" s="27">
        <v>0</v>
      </c>
      <c r="H2823" s="27">
        <v>0</v>
      </c>
      <c r="I2823" s="27">
        <v>0</v>
      </c>
      <c r="J2823" s="27">
        <v>0</v>
      </c>
      <c r="K2823" s="47">
        <f t="shared" si="353"/>
        <v>0</v>
      </c>
      <c r="L2823" s="47">
        <f t="shared" si="354"/>
        <v>0</v>
      </c>
      <c r="M2823" s="84">
        <f t="shared" si="355"/>
        <v>0</v>
      </c>
      <c r="N2823" s="47">
        <f t="shared" si="356"/>
        <v>0</v>
      </c>
      <c r="O2823" s="47">
        <f t="shared" si="357"/>
        <v>0</v>
      </c>
      <c r="P2823" s="47">
        <f t="shared" si="358"/>
        <v>0</v>
      </c>
      <c r="Q2823" s="47">
        <f t="shared" si="359"/>
        <v>0</v>
      </c>
    </row>
    <row r="2824" spans="1:17" x14ac:dyDescent="0.35">
      <c r="A2824" s="82">
        <v>2821</v>
      </c>
      <c r="B2824" s="83" t="str">
        <f>_xlfn.XLOOKUP(A2824,'TAZs by City - CCAG Model'!$A:$A,'TAZs by City - CCAG Model'!$B:$B,"Unknown")</f>
        <v>Unknown</v>
      </c>
      <c r="C2824" s="82">
        <f>_xlfn.XLOOKUP(A2824,'TAZs by City - CCAG Model'!$A:$A,'TAZs by City - CCAG Model'!$C:$C,999)</f>
        <v>999</v>
      </c>
      <c r="D2824" s="82" t="str">
        <f t="shared" si="352"/>
        <v>NO</v>
      </c>
      <c r="E2824" s="27">
        <v>0</v>
      </c>
      <c r="F2824" s="27">
        <v>0</v>
      </c>
      <c r="G2824" s="27">
        <v>0</v>
      </c>
      <c r="H2824" s="27">
        <v>0</v>
      </c>
      <c r="I2824" s="27">
        <v>0</v>
      </c>
      <c r="J2824" s="27">
        <v>0</v>
      </c>
      <c r="K2824" s="47">
        <f t="shared" si="353"/>
        <v>0</v>
      </c>
      <c r="L2824" s="47">
        <f t="shared" si="354"/>
        <v>0</v>
      </c>
      <c r="M2824" s="84">
        <f t="shared" si="355"/>
        <v>0</v>
      </c>
      <c r="N2824" s="47">
        <f t="shared" si="356"/>
        <v>0</v>
      </c>
      <c r="O2824" s="47">
        <f t="shared" si="357"/>
        <v>0</v>
      </c>
      <c r="P2824" s="47">
        <f t="shared" si="358"/>
        <v>0</v>
      </c>
      <c r="Q2824" s="47">
        <f t="shared" si="359"/>
        <v>0</v>
      </c>
    </row>
    <row r="2825" spans="1:17" x14ac:dyDescent="0.35">
      <c r="A2825" s="82">
        <v>2822</v>
      </c>
      <c r="B2825" s="83" t="str">
        <f>_xlfn.XLOOKUP(A2825,'TAZs by City - CCAG Model'!$A:$A,'TAZs by City - CCAG Model'!$B:$B,"Unknown")</f>
        <v>Unknown</v>
      </c>
      <c r="C2825" s="82">
        <f>_xlfn.XLOOKUP(A2825,'TAZs by City - CCAG Model'!$A:$A,'TAZs by City - CCAG Model'!$C:$C,999)</f>
        <v>999</v>
      </c>
      <c r="D2825" s="82" t="str">
        <f t="shared" si="352"/>
        <v>NO</v>
      </c>
      <c r="E2825" s="27">
        <v>0</v>
      </c>
      <c r="F2825" s="27">
        <v>0</v>
      </c>
      <c r="G2825" s="27">
        <v>0</v>
      </c>
      <c r="H2825" s="27">
        <v>0</v>
      </c>
      <c r="I2825" s="27">
        <v>0</v>
      </c>
      <c r="J2825" s="27">
        <v>0</v>
      </c>
      <c r="K2825" s="47">
        <f t="shared" si="353"/>
        <v>0</v>
      </c>
      <c r="L2825" s="47">
        <f t="shared" si="354"/>
        <v>0</v>
      </c>
      <c r="M2825" s="84">
        <f t="shared" si="355"/>
        <v>0</v>
      </c>
      <c r="N2825" s="47">
        <f t="shared" si="356"/>
        <v>0</v>
      </c>
      <c r="O2825" s="47">
        <f t="shared" si="357"/>
        <v>0</v>
      </c>
      <c r="P2825" s="47">
        <f t="shared" si="358"/>
        <v>0</v>
      </c>
      <c r="Q2825" s="47">
        <f t="shared" si="359"/>
        <v>0</v>
      </c>
    </row>
    <row r="2826" spans="1:17" x14ac:dyDescent="0.35">
      <c r="A2826" s="82">
        <v>2823</v>
      </c>
      <c r="B2826" s="83" t="str">
        <f>_xlfn.XLOOKUP(A2826,'TAZs by City - CCAG Model'!$A:$A,'TAZs by City - CCAG Model'!$B:$B,"Unknown")</f>
        <v>Unknown</v>
      </c>
      <c r="C2826" s="82">
        <f>_xlfn.XLOOKUP(A2826,'TAZs by City - CCAG Model'!$A:$A,'TAZs by City - CCAG Model'!$C:$C,999)</f>
        <v>999</v>
      </c>
      <c r="D2826" s="82" t="str">
        <f t="shared" si="352"/>
        <v>NO</v>
      </c>
      <c r="E2826" s="27">
        <v>0</v>
      </c>
      <c r="F2826" s="27">
        <v>0</v>
      </c>
      <c r="G2826" s="27">
        <v>0</v>
      </c>
      <c r="H2826" s="27">
        <v>0</v>
      </c>
      <c r="I2826" s="27">
        <v>0</v>
      </c>
      <c r="J2826" s="27">
        <v>0</v>
      </c>
      <c r="K2826" s="47">
        <f t="shared" si="353"/>
        <v>0</v>
      </c>
      <c r="L2826" s="47">
        <f t="shared" si="354"/>
        <v>0</v>
      </c>
      <c r="M2826" s="84">
        <f t="shared" si="355"/>
        <v>0</v>
      </c>
      <c r="N2826" s="47">
        <f t="shared" si="356"/>
        <v>0</v>
      </c>
      <c r="O2826" s="47">
        <f t="shared" si="357"/>
        <v>0</v>
      </c>
      <c r="P2826" s="47">
        <f t="shared" si="358"/>
        <v>0</v>
      </c>
      <c r="Q2826" s="47">
        <f t="shared" si="359"/>
        <v>0</v>
      </c>
    </row>
    <row r="2827" spans="1:17" x14ac:dyDescent="0.35">
      <c r="A2827" s="82">
        <v>2824</v>
      </c>
      <c r="B2827" s="83" t="str">
        <f>_xlfn.XLOOKUP(A2827,'TAZs by City - CCAG Model'!$A:$A,'TAZs by City - CCAG Model'!$B:$B,"Unknown")</f>
        <v>Unknown</v>
      </c>
      <c r="C2827" s="82">
        <f>_xlfn.XLOOKUP(A2827,'TAZs by City - CCAG Model'!$A:$A,'TAZs by City - CCAG Model'!$C:$C,999)</f>
        <v>999</v>
      </c>
      <c r="D2827" s="82" t="str">
        <f t="shared" si="352"/>
        <v>NO</v>
      </c>
      <c r="E2827" s="27">
        <v>0</v>
      </c>
      <c r="F2827" s="27">
        <v>0</v>
      </c>
      <c r="G2827" s="27">
        <v>0</v>
      </c>
      <c r="H2827" s="27">
        <v>0</v>
      </c>
      <c r="I2827" s="27">
        <v>0</v>
      </c>
      <c r="J2827" s="27">
        <v>0</v>
      </c>
      <c r="K2827" s="47">
        <f t="shared" si="353"/>
        <v>0</v>
      </c>
      <c r="L2827" s="47">
        <f t="shared" si="354"/>
        <v>0</v>
      </c>
      <c r="M2827" s="84">
        <f t="shared" si="355"/>
        <v>0</v>
      </c>
      <c r="N2827" s="47">
        <f t="shared" si="356"/>
        <v>0</v>
      </c>
      <c r="O2827" s="47">
        <f t="shared" si="357"/>
        <v>0</v>
      </c>
      <c r="P2827" s="47">
        <f t="shared" si="358"/>
        <v>0</v>
      </c>
      <c r="Q2827" s="47">
        <f t="shared" si="359"/>
        <v>0</v>
      </c>
    </row>
    <row r="2828" spans="1:17" x14ac:dyDescent="0.35">
      <c r="A2828" s="82">
        <v>2825</v>
      </c>
      <c r="B2828" s="83" t="str">
        <f>_xlfn.XLOOKUP(A2828,'TAZs by City - CCAG Model'!$A:$A,'TAZs by City - CCAG Model'!$B:$B,"Unknown")</f>
        <v>Unknown</v>
      </c>
      <c r="C2828" s="82">
        <f>_xlfn.XLOOKUP(A2828,'TAZs by City - CCAG Model'!$A:$A,'TAZs by City - CCAG Model'!$C:$C,999)</f>
        <v>999</v>
      </c>
      <c r="D2828" s="82" t="str">
        <f t="shared" si="352"/>
        <v>NO</v>
      </c>
      <c r="E2828" s="27">
        <v>0</v>
      </c>
      <c r="F2828" s="27">
        <v>0</v>
      </c>
      <c r="G2828" s="27">
        <v>0</v>
      </c>
      <c r="H2828" s="27">
        <v>0</v>
      </c>
      <c r="I2828" s="27">
        <v>0</v>
      </c>
      <c r="J2828" s="27">
        <v>0</v>
      </c>
      <c r="K2828" s="47">
        <f t="shared" si="353"/>
        <v>0</v>
      </c>
      <c r="L2828" s="47">
        <f t="shared" si="354"/>
        <v>0</v>
      </c>
      <c r="M2828" s="84">
        <f t="shared" si="355"/>
        <v>0</v>
      </c>
      <c r="N2828" s="47">
        <f t="shared" si="356"/>
        <v>0</v>
      </c>
      <c r="O2828" s="47">
        <f t="shared" si="357"/>
        <v>0</v>
      </c>
      <c r="P2828" s="47">
        <f t="shared" si="358"/>
        <v>0</v>
      </c>
      <c r="Q2828" s="47">
        <f t="shared" si="359"/>
        <v>0</v>
      </c>
    </row>
    <row r="2829" spans="1:17" x14ac:dyDescent="0.35">
      <c r="A2829" s="82">
        <v>2826</v>
      </c>
      <c r="B2829" s="83" t="str">
        <f>_xlfn.XLOOKUP(A2829,'TAZs by City - CCAG Model'!$A:$A,'TAZs by City - CCAG Model'!$B:$B,"Unknown")</f>
        <v>Unknown</v>
      </c>
      <c r="C2829" s="82">
        <f>_xlfn.XLOOKUP(A2829,'TAZs by City - CCAG Model'!$A:$A,'TAZs by City - CCAG Model'!$C:$C,999)</f>
        <v>999</v>
      </c>
      <c r="D2829" s="82" t="str">
        <f t="shared" si="352"/>
        <v>NO</v>
      </c>
      <c r="E2829" s="27">
        <v>0</v>
      </c>
      <c r="F2829" s="27">
        <v>0</v>
      </c>
      <c r="G2829" s="27">
        <v>0</v>
      </c>
      <c r="H2829" s="27">
        <v>0</v>
      </c>
      <c r="I2829" s="27">
        <v>0</v>
      </c>
      <c r="J2829" s="27">
        <v>0</v>
      </c>
      <c r="K2829" s="47">
        <f t="shared" si="353"/>
        <v>0</v>
      </c>
      <c r="L2829" s="47">
        <f t="shared" si="354"/>
        <v>0</v>
      </c>
      <c r="M2829" s="84">
        <f t="shared" si="355"/>
        <v>0</v>
      </c>
      <c r="N2829" s="47">
        <f t="shared" si="356"/>
        <v>0</v>
      </c>
      <c r="O2829" s="47">
        <f t="shared" si="357"/>
        <v>0</v>
      </c>
      <c r="P2829" s="47">
        <f t="shared" si="358"/>
        <v>0</v>
      </c>
      <c r="Q2829" s="47">
        <f t="shared" si="359"/>
        <v>0</v>
      </c>
    </row>
    <row r="2830" spans="1:17" x14ac:dyDescent="0.35">
      <c r="A2830" s="82">
        <v>2827</v>
      </c>
      <c r="B2830" s="83" t="str">
        <f>_xlfn.XLOOKUP(A2830,'TAZs by City - CCAG Model'!$A:$A,'TAZs by City - CCAG Model'!$B:$B,"Unknown")</f>
        <v>Unknown</v>
      </c>
      <c r="C2830" s="82">
        <f>_xlfn.XLOOKUP(A2830,'TAZs by City - CCAG Model'!$A:$A,'TAZs by City - CCAG Model'!$C:$C,999)</f>
        <v>999</v>
      </c>
      <c r="D2830" s="82" t="str">
        <f t="shared" si="352"/>
        <v>NO</v>
      </c>
      <c r="E2830" s="27">
        <v>0</v>
      </c>
      <c r="F2830" s="27">
        <v>0</v>
      </c>
      <c r="G2830" s="27">
        <v>0</v>
      </c>
      <c r="H2830" s="27">
        <v>0</v>
      </c>
      <c r="I2830" s="27">
        <v>0</v>
      </c>
      <c r="J2830" s="27">
        <v>0</v>
      </c>
      <c r="K2830" s="47">
        <f t="shared" si="353"/>
        <v>0</v>
      </c>
      <c r="L2830" s="47">
        <f t="shared" si="354"/>
        <v>0</v>
      </c>
      <c r="M2830" s="84">
        <f t="shared" si="355"/>
        <v>0</v>
      </c>
      <c r="N2830" s="47">
        <f t="shared" si="356"/>
        <v>0</v>
      </c>
      <c r="O2830" s="47">
        <f t="shared" si="357"/>
        <v>0</v>
      </c>
      <c r="P2830" s="47">
        <f t="shared" si="358"/>
        <v>0</v>
      </c>
      <c r="Q2830" s="47">
        <f t="shared" si="359"/>
        <v>0</v>
      </c>
    </row>
    <row r="2831" spans="1:17" x14ac:dyDescent="0.35">
      <c r="A2831" s="82">
        <v>2828</v>
      </c>
      <c r="B2831" s="83" t="str">
        <f>_xlfn.XLOOKUP(A2831,'TAZs by City - CCAG Model'!$A:$A,'TAZs by City - CCAG Model'!$B:$B,"Unknown")</f>
        <v>Unknown</v>
      </c>
      <c r="C2831" s="82">
        <f>_xlfn.XLOOKUP(A2831,'TAZs by City - CCAG Model'!$A:$A,'TAZs by City - CCAG Model'!$C:$C,999)</f>
        <v>999</v>
      </c>
      <c r="D2831" s="82" t="str">
        <f t="shared" si="352"/>
        <v>NO</v>
      </c>
      <c r="E2831" s="27">
        <v>0</v>
      </c>
      <c r="F2831" s="27">
        <v>0</v>
      </c>
      <c r="G2831" s="27">
        <v>0</v>
      </c>
      <c r="H2831" s="27">
        <v>0</v>
      </c>
      <c r="I2831" s="27">
        <v>0</v>
      </c>
      <c r="J2831" s="27">
        <v>0</v>
      </c>
      <c r="K2831" s="47">
        <f t="shared" si="353"/>
        <v>0</v>
      </c>
      <c r="L2831" s="47">
        <f t="shared" si="354"/>
        <v>0</v>
      </c>
      <c r="M2831" s="84">
        <f t="shared" si="355"/>
        <v>0</v>
      </c>
      <c r="N2831" s="47">
        <f t="shared" si="356"/>
        <v>0</v>
      </c>
      <c r="O2831" s="47">
        <f t="shared" si="357"/>
        <v>0</v>
      </c>
      <c r="P2831" s="47">
        <f t="shared" si="358"/>
        <v>0</v>
      </c>
      <c r="Q2831" s="47">
        <f t="shared" si="359"/>
        <v>0</v>
      </c>
    </row>
    <row r="2832" spans="1:17" x14ac:dyDescent="0.35">
      <c r="A2832" s="82">
        <v>2829</v>
      </c>
      <c r="B2832" s="83" t="str">
        <f>_xlfn.XLOOKUP(A2832,'TAZs by City - CCAG Model'!$A:$A,'TAZs by City - CCAG Model'!$B:$B,"Unknown")</f>
        <v>Unknown</v>
      </c>
      <c r="C2832" s="82">
        <f>_xlfn.XLOOKUP(A2832,'TAZs by City - CCAG Model'!$A:$A,'TAZs by City - CCAG Model'!$C:$C,999)</f>
        <v>999</v>
      </c>
      <c r="D2832" s="82" t="str">
        <f t="shared" si="352"/>
        <v>NO</v>
      </c>
      <c r="E2832" s="27">
        <v>0</v>
      </c>
      <c r="F2832" s="27">
        <v>0</v>
      </c>
      <c r="G2832" s="27">
        <v>0</v>
      </c>
      <c r="H2832" s="27">
        <v>0</v>
      </c>
      <c r="I2832" s="27">
        <v>0</v>
      </c>
      <c r="J2832" s="27">
        <v>0</v>
      </c>
      <c r="K2832" s="47">
        <f t="shared" si="353"/>
        <v>0</v>
      </c>
      <c r="L2832" s="47">
        <f t="shared" si="354"/>
        <v>0</v>
      </c>
      <c r="M2832" s="84">
        <f t="shared" si="355"/>
        <v>0</v>
      </c>
      <c r="N2832" s="47">
        <f t="shared" si="356"/>
        <v>0</v>
      </c>
      <c r="O2832" s="47">
        <f t="shared" si="357"/>
        <v>0</v>
      </c>
      <c r="P2832" s="47">
        <f t="shared" si="358"/>
        <v>0</v>
      </c>
      <c r="Q2832" s="47">
        <f t="shared" si="359"/>
        <v>0</v>
      </c>
    </row>
    <row r="2833" spans="1:17" x14ac:dyDescent="0.35">
      <c r="A2833" s="82">
        <v>2830</v>
      </c>
      <c r="B2833" s="83" t="str">
        <f>_xlfn.XLOOKUP(A2833,'TAZs by City - CCAG Model'!$A:$A,'TAZs by City - CCAG Model'!$B:$B,"Unknown")</f>
        <v>Unknown</v>
      </c>
      <c r="C2833" s="82">
        <f>_xlfn.XLOOKUP(A2833,'TAZs by City - CCAG Model'!$A:$A,'TAZs by City - CCAG Model'!$C:$C,999)</f>
        <v>999</v>
      </c>
      <c r="D2833" s="82" t="str">
        <f t="shared" si="352"/>
        <v>NO</v>
      </c>
      <c r="E2833" s="27">
        <v>0</v>
      </c>
      <c r="F2833" s="27">
        <v>0</v>
      </c>
      <c r="G2833" s="27">
        <v>0</v>
      </c>
      <c r="H2833" s="27">
        <v>0</v>
      </c>
      <c r="I2833" s="27">
        <v>0</v>
      </c>
      <c r="J2833" s="27">
        <v>0</v>
      </c>
      <c r="K2833" s="47">
        <f t="shared" si="353"/>
        <v>0</v>
      </c>
      <c r="L2833" s="47">
        <f t="shared" si="354"/>
        <v>0</v>
      </c>
      <c r="M2833" s="84">
        <f t="shared" si="355"/>
        <v>0</v>
      </c>
      <c r="N2833" s="47">
        <f t="shared" si="356"/>
        <v>0</v>
      </c>
      <c r="O2833" s="47">
        <f t="shared" si="357"/>
        <v>0</v>
      </c>
      <c r="P2833" s="47">
        <f t="shared" si="358"/>
        <v>0</v>
      </c>
      <c r="Q2833" s="47">
        <f t="shared" si="359"/>
        <v>0</v>
      </c>
    </row>
    <row r="2834" spans="1:17" x14ac:dyDescent="0.35">
      <c r="A2834" s="82">
        <v>2831</v>
      </c>
      <c r="B2834" s="83" t="str">
        <f>_xlfn.XLOOKUP(A2834,'TAZs by City - CCAG Model'!$A:$A,'TAZs by City - CCAG Model'!$B:$B,"Unknown")</f>
        <v>Unknown</v>
      </c>
      <c r="C2834" s="82">
        <f>_xlfn.XLOOKUP(A2834,'TAZs by City - CCAG Model'!$A:$A,'TAZs by City - CCAG Model'!$C:$C,999)</f>
        <v>999</v>
      </c>
      <c r="D2834" s="82" t="str">
        <f t="shared" si="352"/>
        <v>NO</v>
      </c>
      <c r="E2834" s="27">
        <v>0</v>
      </c>
      <c r="F2834" s="27">
        <v>0</v>
      </c>
      <c r="G2834" s="27">
        <v>0</v>
      </c>
      <c r="H2834" s="27">
        <v>0</v>
      </c>
      <c r="I2834" s="27">
        <v>0</v>
      </c>
      <c r="J2834" s="27">
        <v>0</v>
      </c>
      <c r="K2834" s="47">
        <f t="shared" si="353"/>
        <v>0</v>
      </c>
      <c r="L2834" s="47">
        <f t="shared" si="354"/>
        <v>0</v>
      </c>
      <c r="M2834" s="84">
        <f t="shared" si="355"/>
        <v>0</v>
      </c>
      <c r="N2834" s="47">
        <f t="shared" si="356"/>
        <v>0</v>
      </c>
      <c r="O2834" s="47">
        <f t="shared" si="357"/>
        <v>0</v>
      </c>
      <c r="P2834" s="47">
        <f t="shared" si="358"/>
        <v>0</v>
      </c>
      <c r="Q2834" s="47">
        <f t="shared" si="359"/>
        <v>0</v>
      </c>
    </row>
    <row r="2835" spans="1:17" x14ac:dyDescent="0.35">
      <c r="A2835" s="82">
        <v>2832</v>
      </c>
      <c r="B2835" s="83" t="str">
        <f>_xlfn.XLOOKUP(A2835,'TAZs by City - CCAG Model'!$A:$A,'TAZs by City - CCAG Model'!$B:$B,"Unknown")</f>
        <v>Unknown</v>
      </c>
      <c r="C2835" s="82">
        <f>_xlfn.XLOOKUP(A2835,'TAZs by City - CCAG Model'!$A:$A,'TAZs by City - CCAG Model'!$C:$C,999)</f>
        <v>999</v>
      </c>
      <c r="D2835" s="82" t="str">
        <f t="shared" si="352"/>
        <v>NO</v>
      </c>
      <c r="E2835" s="27">
        <v>0</v>
      </c>
      <c r="F2835" s="27">
        <v>0</v>
      </c>
      <c r="G2835" s="27">
        <v>0</v>
      </c>
      <c r="H2835" s="27">
        <v>0</v>
      </c>
      <c r="I2835" s="27">
        <v>0</v>
      </c>
      <c r="J2835" s="27">
        <v>0</v>
      </c>
      <c r="K2835" s="47">
        <f t="shared" si="353"/>
        <v>0</v>
      </c>
      <c r="L2835" s="47">
        <f t="shared" si="354"/>
        <v>0</v>
      </c>
      <c r="M2835" s="84">
        <f t="shared" si="355"/>
        <v>0</v>
      </c>
      <c r="N2835" s="47">
        <f t="shared" si="356"/>
        <v>0</v>
      </c>
      <c r="O2835" s="47">
        <f t="shared" si="357"/>
        <v>0</v>
      </c>
      <c r="P2835" s="47">
        <f t="shared" si="358"/>
        <v>0</v>
      </c>
      <c r="Q2835" s="47">
        <f t="shared" si="359"/>
        <v>0</v>
      </c>
    </row>
    <row r="2836" spans="1:17" x14ac:dyDescent="0.35">
      <c r="A2836" s="82">
        <v>2833</v>
      </c>
      <c r="B2836" s="83" t="str">
        <f>_xlfn.XLOOKUP(A2836,'TAZs by City - CCAG Model'!$A:$A,'TAZs by City - CCAG Model'!$B:$B,"Unknown")</f>
        <v>Unknown</v>
      </c>
      <c r="C2836" s="82">
        <f>_xlfn.XLOOKUP(A2836,'TAZs by City - CCAG Model'!$A:$A,'TAZs by City - CCAG Model'!$C:$C,999)</f>
        <v>999</v>
      </c>
      <c r="D2836" s="82" t="str">
        <f t="shared" si="352"/>
        <v>NO</v>
      </c>
      <c r="E2836" s="27">
        <v>0</v>
      </c>
      <c r="F2836" s="27">
        <v>0</v>
      </c>
      <c r="G2836" s="27">
        <v>0</v>
      </c>
      <c r="H2836" s="27">
        <v>0</v>
      </c>
      <c r="I2836" s="27">
        <v>0</v>
      </c>
      <c r="J2836" s="27">
        <v>0</v>
      </c>
      <c r="K2836" s="47">
        <f t="shared" si="353"/>
        <v>0</v>
      </c>
      <c r="L2836" s="47">
        <f t="shared" si="354"/>
        <v>0</v>
      </c>
      <c r="M2836" s="84">
        <f t="shared" si="355"/>
        <v>0</v>
      </c>
      <c r="N2836" s="47">
        <f t="shared" si="356"/>
        <v>0</v>
      </c>
      <c r="O2836" s="47">
        <f t="shared" si="357"/>
        <v>0</v>
      </c>
      <c r="P2836" s="47">
        <f t="shared" si="358"/>
        <v>0</v>
      </c>
      <c r="Q2836" s="47">
        <f t="shared" si="359"/>
        <v>0</v>
      </c>
    </row>
    <row r="2837" spans="1:17" x14ac:dyDescent="0.35">
      <c r="A2837" s="82">
        <v>2834</v>
      </c>
      <c r="B2837" s="83" t="str">
        <f>_xlfn.XLOOKUP(A2837,'TAZs by City - CCAG Model'!$A:$A,'TAZs by City - CCAG Model'!$B:$B,"Unknown")</f>
        <v>Unknown</v>
      </c>
      <c r="C2837" s="82">
        <f>_xlfn.XLOOKUP(A2837,'TAZs by City - CCAG Model'!$A:$A,'TAZs by City - CCAG Model'!$C:$C,999)</f>
        <v>999</v>
      </c>
      <c r="D2837" s="82" t="str">
        <f t="shared" si="352"/>
        <v>NO</v>
      </c>
      <c r="E2837" s="27">
        <v>0</v>
      </c>
      <c r="F2837" s="27">
        <v>0</v>
      </c>
      <c r="G2837" s="27">
        <v>0</v>
      </c>
      <c r="H2837" s="27">
        <v>0</v>
      </c>
      <c r="I2837" s="27">
        <v>0</v>
      </c>
      <c r="J2837" s="27">
        <v>0</v>
      </c>
      <c r="K2837" s="47">
        <f t="shared" si="353"/>
        <v>0</v>
      </c>
      <c r="L2837" s="47">
        <f t="shared" si="354"/>
        <v>0</v>
      </c>
      <c r="M2837" s="84">
        <f t="shared" si="355"/>
        <v>0</v>
      </c>
      <c r="N2837" s="47">
        <f t="shared" si="356"/>
        <v>0</v>
      </c>
      <c r="O2837" s="47">
        <f t="shared" si="357"/>
        <v>0</v>
      </c>
      <c r="P2837" s="47">
        <f t="shared" si="358"/>
        <v>0</v>
      </c>
      <c r="Q2837" s="47">
        <f t="shared" si="359"/>
        <v>0</v>
      </c>
    </row>
    <row r="2838" spans="1:17" x14ac:dyDescent="0.35">
      <c r="A2838" s="82">
        <v>2835</v>
      </c>
      <c r="B2838" s="83" t="str">
        <f>_xlfn.XLOOKUP(A2838,'TAZs by City - CCAG Model'!$A:$A,'TAZs by City - CCAG Model'!$B:$B,"Unknown")</f>
        <v>Unknown</v>
      </c>
      <c r="C2838" s="82">
        <f>_xlfn.XLOOKUP(A2838,'TAZs by City - CCAG Model'!$A:$A,'TAZs by City - CCAG Model'!$C:$C,999)</f>
        <v>999</v>
      </c>
      <c r="D2838" s="82" t="str">
        <f t="shared" si="352"/>
        <v>NO</v>
      </c>
      <c r="E2838" s="27">
        <v>0</v>
      </c>
      <c r="F2838" s="27">
        <v>0</v>
      </c>
      <c r="G2838" s="27">
        <v>0</v>
      </c>
      <c r="H2838" s="27">
        <v>0</v>
      </c>
      <c r="I2838" s="27">
        <v>0</v>
      </c>
      <c r="J2838" s="27">
        <v>0</v>
      </c>
      <c r="K2838" s="47">
        <f t="shared" si="353"/>
        <v>0</v>
      </c>
      <c r="L2838" s="47">
        <f t="shared" si="354"/>
        <v>0</v>
      </c>
      <c r="M2838" s="84">
        <f t="shared" si="355"/>
        <v>0</v>
      </c>
      <c r="N2838" s="47">
        <f t="shared" si="356"/>
        <v>0</v>
      </c>
      <c r="O2838" s="47">
        <f t="shared" si="357"/>
        <v>0</v>
      </c>
      <c r="P2838" s="47">
        <f t="shared" si="358"/>
        <v>0</v>
      </c>
      <c r="Q2838" s="47">
        <f t="shared" si="359"/>
        <v>0</v>
      </c>
    </row>
    <row r="2839" spans="1:17" x14ac:dyDescent="0.35">
      <c r="A2839" s="82">
        <v>2836</v>
      </c>
      <c r="B2839" s="83" t="str">
        <f>_xlfn.XLOOKUP(A2839,'TAZs by City - CCAG Model'!$A:$A,'TAZs by City - CCAG Model'!$B:$B,"Unknown")</f>
        <v>Unknown</v>
      </c>
      <c r="C2839" s="82">
        <f>_xlfn.XLOOKUP(A2839,'TAZs by City - CCAG Model'!$A:$A,'TAZs by City - CCAG Model'!$C:$C,999)</f>
        <v>999</v>
      </c>
      <c r="D2839" s="82" t="str">
        <f t="shared" si="352"/>
        <v>NO</v>
      </c>
      <c r="E2839" s="27">
        <v>0</v>
      </c>
      <c r="F2839" s="27">
        <v>0</v>
      </c>
      <c r="G2839" s="27">
        <v>0</v>
      </c>
      <c r="H2839" s="27">
        <v>0</v>
      </c>
      <c r="I2839" s="27">
        <v>0</v>
      </c>
      <c r="J2839" s="27">
        <v>0</v>
      </c>
      <c r="K2839" s="47">
        <f t="shared" si="353"/>
        <v>0</v>
      </c>
      <c r="L2839" s="47">
        <f t="shared" si="354"/>
        <v>0</v>
      </c>
      <c r="M2839" s="84">
        <f t="shared" si="355"/>
        <v>0</v>
      </c>
      <c r="N2839" s="47">
        <f t="shared" si="356"/>
        <v>0</v>
      </c>
      <c r="O2839" s="47">
        <f t="shared" si="357"/>
        <v>0</v>
      </c>
      <c r="P2839" s="47">
        <f t="shared" si="358"/>
        <v>0</v>
      </c>
      <c r="Q2839" s="47">
        <f t="shared" si="359"/>
        <v>0</v>
      </c>
    </row>
    <row r="2840" spans="1:17" x14ac:dyDescent="0.35">
      <c r="A2840" s="82">
        <v>2837</v>
      </c>
      <c r="B2840" s="83" t="str">
        <f>_xlfn.XLOOKUP(A2840,'TAZs by City - CCAG Model'!$A:$A,'TAZs by City - CCAG Model'!$B:$B,"Unknown")</f>
        <v>Unknown</v>
      </c>
      <c r="C2840" s="82">
        <f>_xlfn.XLOOKUP(A2840,'TAZs by City - CCAG Model'!$A:$A,'TAZs by City - CCAG Model'!$C:$C,999)</f>
        <v>999</v>
      </c>
      <c r="D2840" s="82" t="str">
        <f t="shared" si="352"/>
        <v>NO</v>
      </c>
      <c r="E2840" s="27">
        <v>0</v>
      </c>
      <c r="F2840" s="27">
        <v>0</v>
      </c>
      <c r="G2840" s="27">
        <v>0</v>
      </c>
      <c r="H2840" s="27">
        <v>0</v>
      </c>
      <c r="I2840" s="27">
        <v>0</v>
      </c>
      <c r="J2840" s="27">
        <v>0</v>
      </c>
      <c r="K2840" s="47">
        <f t="shared" si="353"/>
        <v>0</v>
      </c>
      <c r="L2840" s="47">
        <f t="shared" si="354"/>
        <v>0</v>
      </c>
      <c r="M2840" s="84">
        <f t="shared" si="355"/>
        <v>0</v>
      </c>
      <c r="N2840" s="47">
        <f t="shared" si="356"/>
        <v>0</v>
      </c>
      <c r="O2840" s="47">
        <f t="shared" si="357"/>
        <v>0</v>
      </c>
      <c r="P2840" s="47">
        <f t="shared" si="358"/>
        <v>0</v>
      </c>
      <c r="Q2840" s="47">
        <f t="shared" si="359"/>
        <v>0</v>
      </c>
    </row>
    <row r="2841" spans="1:17" x14ac:dyDescent="0.35">
      <c r="A2841" s="82">
        <v>2838</v>
      </c>
      <c r="B2841" s="83" t="str">
        <f>_xlfn.XLOOKUP(A2841,'TAZs by City - CCAG Model'!$A:$A,'TAZs by City - CCAG Model'!$B:$B,"Unknown")</f>
        <v>Unknown</v>
      </c>
      <c r="C2841" s="82">
        <f>_xlfn.XLOOKUP(A2841,'TAZs by City - CCAG Model'!$A:$A,'TAZs by City - CCAG Model'!$C:$C,999)</f>
        <v>999</v>
      </c>
      <c r="D2841" s="82" t="str">
        <f t="shared" si="352"/>
        <v>NO</v>
      </c>
      <c r="E2841" s="27">
        <v>0</v>
      </c>
      <c r="F2841" s="27">
        <v>0</v>
      </c>
      <c r="G2841" s="27">
        <v>0</v>
      </c>
      <c r="H2841" s="27">
        <v>0</v>
      </c>
      <c r="I2841" s="27">
        <v>0</v>
      </c>
      <c r="J2841" s="27">
        <v>0</v>
      </c>
      <c r="K2841" s="47">
        <f t="shared" si="353"/>
        <v>0</v>
      </c>
      <c r="L2841" s="47">
        <f t="shared" si="354"/>
        <v>0</v>
      </c>
      <c r="M2841" s="84">
        <f t="shared" si="355"/>
        <v>0</v>
      </c>
      <c r="N2841" s="47">
        <f t="shared" si="356"/>
        <v>0</v>
      </c>
      <c r="O2841" s="47">
        <f t="shared" si="357"/>
        <v>0</v>
      </c>
      <c r="P2841" s="47">
        <f t="shared" si="358"/>
        <v>0</v>
      </c>
      <c r="Q2841" s="47">
        <f t="shared" si="359"/>
        <v>0</v>
      </c>
    </row>
    <row r="2842" spans="1:17" x14ac:dyDescent="0.35">
      <c r="A2842" s="82">
        <v>2839</v>
      </c>
      <c r="B2842" s="83" t="str">
        <f>_xlfn.XLOOKUP(A2842,'TAZs by City - CCAG Model'!$A:$A,'TAZs by City - CCAG Model'!$B:$B,"Unknown")</f>
        <v>Unknown</v>
      </c>
      <c r="C2842" s="82">
        <f>_xlfn.XLOOKUP(A2842,'TAZs by City - CCAG Model'!$A:$A,'TAZs by City - CCAG Model'!$C:$C,999)</f>
        <v>999</v>
      </c>
      <c r="D2842" s="82" t="str">
        <f t="shared" si="352"/>
        <v>NO</v>
      </c>
      <c r="E2842" s="27">
        <v>0</v>
      </c>
      <c r="F2842" s="27">
        <v>0</v>
      </c>
      <c r="G2842" s="27">
        <v>0</v>
      </c>
      <c r="H2842" s="27">
        <v>0</v>
      </c>
      <c r="I2842" s="27">
        <v>0</v>
      </c>
      <c r="J2842" s="27">
        <v>0</v>
      </c>
      <c r="K2842" s="47">
        <f t="shared" si="353"/>
        <v>0</v>
      </c>
      <c r="L2842" s="47">
        <f t="shared" si="354"/>
        <v>0</v>
      </c>
      <c r="M2842" s="84">
        <f t="shared" si="355"/>
        <v>0</v>
      </c>
      <c r="N2842" s="47">
        <f t="shared" si="356"/>
        <v>0</v>
      </c>
      <c r="O2842" s="47">
        <f t="shared" si="357"/>
        <v>0</v>
      </c>
      <c r="P2842" s="47">
        <f t="shared" si="358"/>
        <v>0</v>
      </c>
      <c r="Q2842" s="47">
        <f t="shared" si="359"/>
        <v>0</v>
      </c>
    </row>
    <row r="2843" spans="1:17" x14ac:dyDescent="0.35">
      <c r="A2843" s="82">
        <v>2840</v>
      </c>
      <c r="B2843" s="83" t="str">
        <f>_xlfn.XLOOKUP(A2843,'TAZs by City - CCAG Model'!$A:$A,'TAZs by City - CCAG Model'!$B:$B,"Unknown")</f>
        <v>Unknown</v>
      </c>
      <c r="C2843" s="82">
        <f>_xlfn.XLOOKUP(A2843,'TAZs by City - CCAG Model'!$A:$A,'TAZs by City - CCAG Model'!$C:$C,999)</f>
        <v>999</v>
      </c>
      <c r="D2843" s="82" t="str">
        <f t="shared" si="352"/>
        <v>NO</v>
      </c>
      <c r="E2843" s="27">
        <v>0</v>
      </c>
      <c r="F2843" s="27">
        <v>0</v>
      </c>
      <c r="G2843" s="27">
        <v>0</v>
      </c>
      <c r="H2843" s="27">
        <v>0</v>
      </c>
      <c r="I2843" s="27">
        <v>0</v>
      </c>
      <c r="J2843" s="27">
        <v>0</v>
      </c>
      <c r="K2843" s="47">
        <f t="shared" si="353"/>
        <v>0</v>
      </c>
      <c r="L2843" s="47">
        <f t="shared" si="354"/>
        <v>0</v>
      </c>
      <c r="M2843" s="84">
        <f t="shared" si="355"/>
        <v>0</v>
      </c>
      <c r="N2843" s="47">
        <f t="shared" si="356"/>
        <v>0</v>
      </c>
      <c r="O2843" s="47">
        <f t="shared" si="357"/>
        <v>0</v>
      </c>
      <c r="P2843" s="47">
        <f t="shared" si="358"/>
        <v>0</v>
      </c>
      <c r="Q2843" s="47">
        <f t="shared" si="359"/>
        <v>0</v>
      </c>
    </row>
    <row r="2844" spans="1:17" x14ac:dyDescent="0.35">
      <c r="A2844" s="82">
        <v>2841</v>
      </c>
      <c r="B2844" s="83" t="str">
        <f>_xlfn.XLOOKUP(A2844,'TAZs by City - CCAG Model'!$A:$A,'TAZs by City - CCAG Model'!$B:$B,"Unknown")</f>
        <v>Unknown</v>
      </c>
      <c r="C2844" s="82">
        <f>_xlfn.XLOOKUP(A2844,'TAZs by City - CCAG Model'!$A:$A,'TAZs by City - CCAG Model'!$C:$C,999)</f>
        <v>999</v>
      </c>
      <c r="D2844" s="82" t="str">
        <f t="shared" si="352"/>
        <v>NO</v>
      </c>
      <c r="E2844" s="27">
        <v>0</v>
      </c>
      <c r="F2844" s="27">
        <v>0</v>
      </c>
      <c r="G2844" s="27">
        <v>0</v>
      </c>
      <c r="H2844" s="27">
        <v>0</v>
      </c>
      <c r="I2844" s="27">
        <v>0</v>
      </c>
      <c r="J2844" s="27">
        <v>0</v>
      </c>
      <c r="K2844" s="47">
        <f t="shared" si="353"/>
        <v>0</v>
      </c>
      <c r="L2844" s="47">
        <f t="shared" si="354"/>
        <v>0</v>
      </c>
      <c r="M2844" s="84">
        <f t="shared" si="355"/>
        <v>0</v>
      </c>
      <c r="N2844" s="47">
        <f t="shared" si="356"/>
        <v>0</v>
      </c>
      <c r="O2844" s="47">
        <f t="shared" si="357"/>
        <v>0</v>
      </c>
      <c r="P2844" s="47">
        <f t="shared" si="358"/>
        <v>0</v>
      </c>
      <c r="Q2844" s="47">
        <f t="shared" si="359"/>
        <v>0</v>
      </c>
    </row>
    <row r="2845" spans="1:17" x14ac:dyDescent="0.35">
      <c r="A2845" s="82">
        <v>2842</v>
      </c>
      <c r="B2845" s="83" t="str">
        <f>_xlfn.XLOOKUP(A2845,'TAZs by City - CCAG Model'!$A:$A,'TAZs by City - CCAG Model'!$B:$B,"Unknown")</f>
        <v>Unknown</v>
      </c>
      <c r="C2845" s="82">
        <f>_xlfn.XLOOKUP(A2845,'TAZs by City - CCAG Model'!$A:$A,'TAZs by City - CCAG Model'!$C:$C,999)</f>
        <v>999</v>
      </c>
      <c r="D2845" s="82" t="str">
        <f t="shared" si="352"/>
        <v>NO</v>
      </c>
      <c r="E2845" s="27">
        <v>0</v>
      </c>
      <c r="F2845" s="27">
        <v>0</v>
      </c>
      <c r="G2845" s="27">
        <v>0</v>
      </c>
      <c r="H2845" s="27">
        <v>0</v>
      </c>
      <c r="I2845" s="27">
        <v>0</v>
      </c>
      <c r="J2845" s="27">
        <v>0</v>
      </c>
      <c r="K2845" s="47">
        <f t="shared" si="353"/>
        <v>0</v>
      </c>
      <c r="L2845" s="47">
        <f t="shared" si="354"/>
        <v>0</v>
      </c>
      <c r="M2845" s="84">
        <f t="shared" si="355"/>
        <v>0</v>
      </c>
      <c r="N2845" s="47">
        <f t="shared" si="356"/>
        <v>0</v>
      </c>
      <c r="O2845" s="47">
        <f t="shared" si="357"/>
        <v>0</v>
      </c>
      <c r="P2845" s="47">
        <f t="shared" si="358"/>
        <v>0</v>
      </c>
      <c r="Q2845" s="47">
        <f t="shared" si="359"/>
        <v>0</v>
      </c>
    </row>
    <row r="2846" spans="1:17" x14ac:dyDescent="0.35">
      <c r="A2846" s="82">
        <v>2843</v>
      </c>
      <c r="B2846" s="83" t="str">
        <f>_xlfn.XLOOKUP(A2846,'TAZs by City - CCAG Model'!$A:$A,'TAZs by City - CCAG Model'!$B:$B,"Unknown")</f>
        <v>Unknown</v>
      </c>
      <c r="C2846" s="82">
        <f>_xlfn.XLOOKUP(A2846,'TAZs by City - CCAG Model'!$A:$A,'TAZs by City - CCAG Model'!$C:$C,999)</f>
        <v>999</v>
      </c>
      <c r="D2846" s="82" t="str">
        <f t="shared" si="352"/>
        <v>NO</v>
      </c>
      <c r="E2846" s="27">
        <v>0</v>
      </c>
      <c r="F2846" s="27">
        <v>0</v>
      </c>
      <c r="G2846" s="27">
        <v>0</v>
      </c>
      <c r="H2846" s="27">
        <v>0</v>
      </c>
      <c r="I2846" s="27">
        <v>0</v>
      </c>
      <c r="J2846" s="27">
        <v>0</v>
      </c>
      <c r="K2846" s="47">
        <f t="shared" si="353"/>
        <v>0</v>
      </c>
      <c r="L2846" s="47">
        <f t="shared" si="354"/>
        <v>0</v>
      </c>
      <c r="M2846" s="84">
        <f t="shared" si="355"/>
        <v>0</v>
      </c>
      <c r="N2846" s="47">
        <f t="shared" si="356"/>
        <v>0</v>
      </c>
      <c r="O2846" s="47">
        <f t="shared" si="357"/>
        <v>0</v>
      </c>
      <c r="P2846" s="47">
        <f t="shared" si="358"/>
        <v>0</v>
      </c>
      <c r="Q2846" s="47">
        <f t="shared" si="359"/>
        <v>0</v>
      </c>
    </row>
    <row r="2847" spans="1:17" x14ac:dyDescent="0.35">
      <c r="A2847" s="82">
        <v>2844</v>
      </c>
      <c r="B2847" s="83" t="str">
        <f>_xlfn.XLOOKUP(A2847,'TAZs by City - CCAG Model'!$A:$A,'TAZs by City - CCAG Model'!$B:$B,"Unknown")</f>
        <v>Unknown</v>
      </c>
      <c r="C2847" s="82">
        <f>_xlfn.XLOOKUP(A2847,'TAZs by City - CCAG Model'!$A:$A,'TAZs by City - CCAG Model'!$C:$C,999)</f>
        <v>999</v>
      </c>
      <c r="D2847" s="82" t="str">
        <f t="shared" si="352"/>
        <v>NO</v>
      </c>
      <c r="E2847" s="27">
        <v>0</v>
      </c>
      <c r="F2847" s="27">
        <v>0</v>
      </c>
      <c r="G2847" s="27">
        <v>0</v>
      </c>
      <c r="H2847" s="27">
        <v>0</v>
      </c>
      <c r="I2847" s="27">
        <v>0</v>
      </c>
      <c r="J2847" s="27">
        <v>0</v>
      </c>
      <c r="K2847" s="47">
        <f t="shared" si="353"/>
        <v>0</v>
      </c>
      <c r="L2847" s="47">
        <f t="shared" si="354"/>
        <v>0</v>
      </c>
      <c r="M2847" s="84">
        <f t="shared" si="355"/>
        <v>0</v>
      </c>
      <c r="N2847" s="47">
        <f t="shared" si="356"/>
        <v>0</v>
      </c>
      <c r="O2847" s="47">
        <f t="shared" si="357"/>
        <v>0</v>
      </c>
      <c r="P2847" s="47">
        <f t="shared" si="358"/>
        <v>0</v>
      </c>
      <c r="Q2847" s="47">
        <f t="shared" si="359"/>
        <v>0</v>
      </c>
    </row>
    <row r="2848" spans="1:17" x14ac:dyDescent="0.35">
      <c r="A2848" s="82">
        <v>2845</v>
      </c>
      <c r="B2848" s="83" t="str">
        <f>_xlfn.XLOOKUP(A2848,'TAZs by City - CCAG Model'!$A:$A,'TAZs by City - CCAG Model'!$B:$B,"Unknown")</f>
        <v>Unknown</v>
      </c>
      <c r="C2848" s="82">
        <f>_xlfn.XLOOKUP(A2848,'TAZs by City - CCAG Model'!$A:$A,'TAZs by City - CCAG Model'!$C:$C,999)</f>
        <v>999</v>
      </c>
      <c r="D2848" s="82" t="str">
        <f t="shared" si="352"/>
        <v>NO</v>
      </c>
      <c r="E2848" s="27">
        <v>0</v>
      </c>
      <c r="F2848" s="27">
        <v>0</v>
      </c>
      <c r="G2848" s="27">
        <v>0</v>
      </c>
      <c r="H2848" s="27">
        <v>0</v>
      </c>
      <c r="I2848" s="27">
        <v>0</v>
      </c>
      <c r="J2848" s="27">
        <v>0</v>
      </c>
      <c r="K2848" s="47">
        <f t="shared" si="353"/>
        <v>0</v>
      </c>
      <c r="L2848" s="47">
        <f t="shared" si="354"/>
        <v>0</v>
      </c>
      <c r="M2848" s="84">
        <f t="shared" si="355"/>
        <v>0</v>
      </c>
      <c r="N2848" s="47">
        <f t="shared" si="356"/>
        <v>0</v>
      </c>
      <c r="O2848" s="47">
        <f t="shared" si="357"/>
        <v>0</v>
      </c>
      <c r="P2848" s="47">
        <f t="shared" si="358"/>
        <v>0</v>
      </c>
      <c r="Q2848" s="47">
        <f t="shared" si="359"/>
        <v>0</v>
      </c>
    </row>
    <row r="2849" spans="1:17" x14ac:dyDescent="0.35">
      <c r="A2849" s="82">
        <v>2846</v>
      </c>
      <c r="B2849" s="83" t="str">
        <f>_xlfn.XLOOKUP(A2849,'TAZs by City - CCAG Model'!$A:$A,'TAZs by City - CCAG Model'!$B:$B,"Unknown")</f>
        <v>Unknown</v>
      </c>
      <c r="C2849" s="82">
        <f>_xlfn.XLOOKUP(A2849,'TAZs by City - CCAG Model'!$A:$A,'TAZs by City - CCAG Model'!$C:$C,999)</f>
        <v>999</v>
      </c>
      <c r="D2849" s="82" t="str">
        <f t="shared" si="352"/>
        <v>NO</v>
      </c>
      <c r="E2849" s="27">
        <v>0</v>
      </c>
      <c r="F2849" s="27">
        <v>0</v>
      </c>
      <c r="G2849" s="27">
        <v>0</v>
      </c>
      <c r="H2849" s="27">
        <v>0</v>
      </c>
      <c r="I2849" s="27">
        <v>0</v>
      </c>
      <c r="J2849" s="27">
        <v>0</v>
      </c>
      <c r="K2849" s="47">
        <f t="shared" si="353"/>
        <v>0</v>
      </c>
      <c r="L2849" s="47">
        <f t="shared" si="354"/>
        <v>0</v>
      </c>
      <c r="M2849" s="84">
        <f t="shared" si="355"/>
        <v>0</v>
      </c>
      <c r="N2849" s="47">
        <f t="shared" si="356"/>
        <v>0</v>
      </c>
      <c r="O2849" s="47">
        <f t="shared" si="357"/>
        <v>0</v>
      </c>
      <c r="P2849" s="47">
        <f t="shared" si="358"/>
        <v>0</v>
      </c>
      <c r="Q2849" s="47">
        <f t="shared" si="359"/>
        <v>0</v>
      </c>
    </row>
    <row r="2850" spans="1:17" x14ac:dyDescent="0.35">
      <c r="A2850" s="82">
        <v>2847</v>
      </c>
      <c r="B2850" s="83" t="str">
        <f>_xlfn.XLOOKUP(A2850,'TAZs by City - CCAG Model'!$A:$A,'TAZs by City - CCAG Model'!$B:$B,"Unknown")</f>
        <v>Unknown</v>
      </c>
      <c r="C2850" s="82">
        <f>_xlfn.XLOOKUP(A2850,'TAZs by City - CCAG Model'!$A:$A,'TAZs by City - CCAG Model'!$C:$C,999)</f>
        <v>999</v>
      </c>
      <c r="D2850" s="82" t="str">
        <f t="shared" si="352"/>
        <v>NO</v>
      </c>
      <c r="E2850" s="27">
        <v>0</v>
      </c>
      <c r="F2850" s="27">
        <v>0</v>
      </c>
      <c r="G2850" s="27">
        <v>0</v>
      </c>
      <c r="H2850" s="27">
        <v>0</v>
      </c>
      <c r="I2850" s="27">
        <v>0</v>
      </c>
      <c r="J2850" s="27">
        <v>0</v>
      </c>
      <c r="K2850" s="47">
        <f t="shared" si="353"/>
        <v>0</v>
      </c>
      <c r="L2850" s="47">
        <f t="shared" si="354"/>
        <v>0</v>
      </c>
      <c r="M2850" s="84">
        <f t="shared" si="355"/>
        <v>0</v>
      </c>
      <c r="N2850" s="47">
        <f t="shared" si="356"/>
        <v>0</v>
      </c>
      <c r="O2850" s="47">
        <f t="shared" si="357"/>
        <v>0</v>
      </c>
      <c r="P2850" s="47">
        <f t="shared" si="358"/>
        <v>0</v>
      </c>
      <c r="Q2850" s="47">
        <f t="shared" si="359"/>
        <v>0</v>
      </c>
    </row>
    <row r="2851" spans="1:17" x14ac:dyDescent="0.35">
      <c r="A2851" s="82">
        <v>2848</v>
      </c>
      <c r="B2851" s="83" t="str">
        <f>_xlfn.XLOOKUP(A2851,'TAZs by City - CCAG Model'!$A:$A,'TAZs by City - CCAG Model'!$B:$B,"Unknown")</f>
        <v>Unknown</v>
      </c>
      <c r="C2851" s="82">
        <f>_xlfn.XLOOKUP(A2851,'TAZs by City - CCAG Model'!$A:$A,'TAZs by City - CCAG Model'!$C:$C,999)</f>
        <v>999</v>
      </c>
      <c r="D2851" s="82" t="str">
        <f t="shared" si="352"/>
        <v>NO</v>
      </c>
      <c r="E2851" s="27">
        <v>0</v>
      </c>
      <c r="F2851" s="27">
        <v>0</v>
      </c>
      <c r="G2851" s="27">
        <v>0</v>
      </c>
      <c r="H2851" s="27">
        <v>0</v>
      </c>
      <c r="I2851" s="27">
        <v>0</v>
      </c>
      <c r="J2851" s="27">
        <v>0</v>
      </c>
      <c r="K2851" s="47">
        <f t="shared" si="353"/>
        <v>0</v>
      </c>
      <c r="L2851" s="47">
        <f t="shared" si="354"/>
        <v>0</v>
      </c>
      <c r="M2851" s="84">
        <f t="shared" si="355"/>
        <v>0</v>
      </c>
      <c r="N2851" s="47">
        <f t="shared" si="356"/>
        <v>0</v>
      </c>
      <c r="O2851" s="47">
        <f t="shared" si="357"/>
        <v>0</v>
      </c>
      <c r="P2851" s="47">
        <f t="shared" si="358"/>
        <v>0</v>
      </c>
      <c r="Q2851" s="47">
        <f t="shared" si="359"/>
        <v>0</v>
      </c>
    </row>
    <row r="2852" spans="1:17" x14ac:dyDescent="0.35">
      <c r="A2852" s="82">
        <v>2849</v>
      </c>
      <c r="B2852" s="83" t="str">
        <f>_xlfn.XLOOKUP(A2852,'TAZs by City - CCAG Model'!$A:$A,'TAZs by City - CCAG Model'!$B:$B,"Unknown")</f>
        <v>Unknown</v>
      </c>
      <c r="C2852" s="82">
        <f>_xlfn.XLOOKUP(A2852,'TAZs by City - CCAG Model'!$A:$A,'TAZs by City - CCAG Model'!$C:$C,999)</f>
        <v>999</v>
      </c>
      <c r="D2852" s="82" t="str">
        <f t="shared" si="352"/>
        <v>NO</v>
      </c>
      <c r="E2852" s="27">
        <v>0</v>
      </c>
      <c r="F2852" s="27">
        <v>0</v>
      </c>
      <c r="G2852" s="27">
        <v>0</v>
      </c>
      <c r="H2852" s="27">
        <v>0</v>
      </c>
      <c r="I2852" s="27">
        <v>0</v>
      </c>
      <c r="J2852" s="27">
        <v>0</v>
      </c>
      <c r="K2852" s="47">
        <f t="shared" si="353"/>
        <v>0</v>
      </c>
      <c r="L2852" s="47">
        <f t="shared" si="354"/>
        <v>0</v>
      </c>
      <c r="M2852" s="84">
        <f t="shared" si="355"/>
        <v>0</v>
      </c>
      <c r="N2852" s="47">
        <f t="shared" si="356"/>
        <v>0</v>
      </c>
      <c r="O2852" s="47">
        <f t="shared" si="357"/>
        <v>0</v>
      </c>
      <c r="P2852" s="47">
        <f t="shared" si="358"/>
        <v>0</v>
      </c>
      <c r="Q2852" s="47">
        <f t="shared" si="359"/>
        <v>0</v>
      </c>
    </row>
    <row r="2853" spans="1:17" x14ac:dyDescent="0.35">
      <c r="A2853" s="82">
        <v>2850</v>
      </c>
      <c r="B2853" s="83" t="str">
        <f>_xlfn.XLOOKUP(A2853,'TAZs by City - CCAG Model'!$A:$A,'TAZs by City - CCAG Model'!$B:$B,"Unknown")</f>
        <v>Unknown</v>
      </c>
      <c r="C2853" s="82">
        <f>_xlfn.XLOOKUP(A2853,'TAZs by City - CCAG Model'!$A:$A,'TAZs by City - CCAG Model'!$C:$C,999)</f>
        <v>999</v>
      </c>
      <c r="D2853" s="82" t="str">
        <f t="shared" si="352"/>
        <v>NO</v>
      </c>
      <c r="E2853" s="27">
        <v>0</v>
      </c>
      <c r="F2853" s="27">
        <v>0</v>
      </c>
      <c r="G2853" s="27">
        <v>0</v>
      </c>
      <c r="H2853" s="27">
        <v>0</v>
      </c>
      <c r="I2853" s="27">
        <v>0</v>
      </c>
      <c r="J2853" s="27">
        <v>0</v>
      </c>
      <c r="K2853" s="47">
        <f t="shared" si="353"/>
        <v>0</v>
      </c>
      <c r="L2853" s="47">
        <f t="shared" si="354"/>
        <v>0</v>
      </c>
      <c r="M2853" s="84">
        <f t="shared" si="355"/>
        <v>0</v>
      </c>
      <c r="N2853" s="47">
        <f t="shared" si="356"/>
        <v>0</v>
      </c>
      <c r="O2853" s="47">
        <f t="shared" si="357"/>
        <v>0</v>
      </c>
      <c r="P2853" s="47">
        <f t="shared" si="358"/>
        <v>0</v>
      </c>
      <c r="Q2853" s="47">
        <f t="shared" si="359"/>
        <v>0</v>
      </c>
    </row>
    <row r="2854" spans="1:17" x14ac:dyDescent="0.35">
      <c r="A2854" s="82">
        <v>2851</v>
      </c>
      <c r="B2854" s="83" t="str">
        <f>_xlfn.XLOOKUP(A2854,'TAZs by City - CCAG Model'!$A:$A,'TAZs by City - CCAG Model'!$B:$B,"Unknown")</f>
        <v>Unknown</v>
      </c>
      <c r="C2854" s="82">
        <f>_xlfn.XLOOKUP(A2854,'TAZs by City - CCAG Model'!$A:$A,'TAZs by City - CCAG Model'!$C:$C,999)</f>
        <v>999</v>
      </c>
      <c r="D2854" s="82" t="str">
        <f t="shared" si="352"/>
        <v>NO</v>
      </c>
      <c r="E2854" s="27">
        <v>0</v>
      </c>
      <c r="F2854" s="27">
        <v>0</v>
      </c>
      <c r="G2854" s="27">
        <v>0</v>
      </c>
      <c r="H2854" s="27">
        <v>0</v>
      </c>
      <c r="I2854" s="27">
        <v>0</v>
      </c>
      <c r="J2854" s="27">
        <v>0</v>
      </c>
      <c r="K2854" s="47">
        <f t="shared" si="353"/>
        <v>0</v>
      </c>
      <c r="L2854" s="47">
        <f t="shared" si="354"/>
        <v>0</v>
      </c>
      <c r="M2854" s="84">
        <f t="shared" si="355"/>
        <v>0</v>
      </c>
      <c r="N2854" s="47">
        <f t="shared" si="356"/>
        <v>0</v>
      </c>
      <c r="O2854" s="47">
        <f t="shared" si="357"/>
        <v>0</v>
      </c>
      <c r="P2854" s="47">
        <f t="shared" si="358"/>
        <v>0</v>
      </c>
      <c r="Q2854" s="47">
        <f t="shared" si="359"/>
        <v>0</v>
      </c>
    </row>
    <row r="2855" spans="1:17" x14ac:dyDescent="0.35">
      <c r="A2855" s="82">
        <v>2852</v>
      </c>
      <c r="B2855" s="83" t="str">
        <f>_xlfn.XLOOKUP(A2855,'TAZs by City - CCAG Model'!$A:$A,'TAZs by City - CCAG Model'!$B:$B,"Unknown")</f>
        <v>Unknown</v>
      </c>
      <c r="C2855" s="82">
        <f>_xlfn.XLOOKUP(A2855,'TAZs by City - CCAG Model'!$A:$A,'TAZs by City - CCAG Model'!$C:$C,999)</f>
        <v>999</v>
      </c>
      <c r="D2855" s="82" t="str">
        <f t="shared" si="352"/>
        <v>NO</v>
      </c>
      <c r="E2855" s="27">
        <v>0</v>
      </c>
      <c r="F2855" s="27">
        <v>0</v>
      </c>
      <c r="G2855" s="27">
        <v>0</v>
      </c>
      <c r="H2855" s="27">
        <v>0</v>
      </c>
      <c r="I2855" s="27">
        <v>0</v>
      </c>
      <c r="J2855" s="27">
        <v>0</v>
      </c>
      <c r="K2855" s="47">
        <f t="shared" si="353"/>
        <v>0</v>
      </c>
      <c r="L2855" s="47">
        <f t="shared" si="354"/>
        <v>0</v>
      </c>
      <c r="M2855" s="84">
        <f t="shared" si="355"/>
        <v>0</v>
      </c>
      <c r="N2855" s="47">
        <f t="shared" si="356"/>
        <v>0</v>
      </c>
      <c r="O2855" s="47">
        <f t="shared" si="357"/>
        <v>0</v>
      </c>
      <c r="P2855" s="47">
        <f t="shared" si="358"/>
        <v>0</v>
      </c>
      <c r="Q2855" s="47">
        <f t="shared" si="359"/>
        <v>0</v>
      </c>
    </row>
    <row r="2856" spans="1:17" x14ac:dyDescent="0.35">
      <c r="A2856" s="82">
        <v>2853</v>
      </c>
      <c r="B2856" s="83" t="str">
        <f>_xlfn.XLOOKUP(A2856,'TAZs by City - CCAG Model'!$A:$A,'TAZs by City - CCAG Model'!$B:$B,"Unknown")</f>
        <v>Unknown</v>
      </c>
      <c r="C2856" s="82">
        <f>_xlfn.XLOOKUP(A2856,'TAZs by City - CCAG Model'!$A:$A,'TAZs by City - CCAG Model'!$C:$C,999)</f>
        <v>999</v>
      </c>
      <c r="D2856" s="82" t="str">
        <f t="shared" si="352"/>
        <v>NO</v>
      </c>
      <c r="E2856" s="27">
        <v>0</v>
      </c>
      <c r="F2856" s="27">
        <v>0</v>
      </c>
      <c r="G2856" s="27">
        <v>0</v>
      </c>
      <c r="H2856" s="27">
        <v>0</v>
      </c>
      <c r="I2856" s="27">
        <v>0</v>
      </c>
      <c r="J2856" s="27">
        <v>0</v>
      </c>
      <c r="K2856" s="47">
        <f t="shared" si="353"/>
        <v>0</v>
      </c>
      <c r="L2856" s="47">
        <f t="shared" si="354"/>
        <v>0</v>
      </c>
      <c r="M2856" s="84">
        <f t="shared" si="355"/>
        <v>0</v>
      </c>
      <c r="N2856" s="47">
        <f t="shared" si="356"/>
        <v>0</v>
      </c>
      <c r="O2856" s="47">
        <f t="shared" si="357"/>
        <v>0</v>
      </c>
      <c r="P2856" s="47">
        <f t="shared" si="358"/>
        <v>0</v>
      </c>
      <c r="Q2856" s="47">
        <f t="shared" si="359"/>
        <v>0</v>
      </c>
    </row>
    <row r="2857" spans="1:17" x14ac:dyDescent="0.35">
      <c r="A2857" s="82">
        <v>2854</v>
      </c>
      <c r="B2857" s="83" t="str">
        <f>_xlfn.XLOOKUP(A2857,'TAZs by City - CCAG Model'!$A:$A,'TAZs by City - CCAG Model'!$B:$B,"Unknown")</f>
        <v>Unknown</v>
      </c>
      <c r="C2857" s="82">
        <f>_xlfn.XLOOKUP(A2857,'TAZs by City - CCAG Model'!$A:$A,'TAZs by City - CCAG Model'!$C:$C,999)</f>
        <v>999</v>
      </c>
      <c r="D2857" s="82" t="str">
        <f t="shared" si="352"/>
        <v>NO</v>
      </c>
      <c r="E2857" s="27">
        <v>0</v>
      </c>
      <c r="F2857" s="27">
        <v>0</v>
      </c>
      <c r="G2857" s="27">
        <v>0</v>
      </c>
      <c r="H2857" s="27">
        <v>0</v>
      </c>
      <c r="I2857" s="27">
        <v>0</v>
      </c>
      <c r="J2857" s="27">
        <v>0</v>
      </c>
      <c r="K2857" s="47">
        <f t="shared" si="353"/>
        <v>0</v>
      </c>
      <c r="L2857" s="47">
        <f t="shared" si="354"/>
        <v>0</v>
      </c>
      <c r="M2857" s="84">
        <f t="shared" si="355"/>
        <v>0</v>
      </c>
      <c r="N2857" s="47">
        <f t="shared" si="356"/>
        <v>0</v>
      </c>
      <c r="O2857" s="47">
        <f t="shared" si="357"/>
        <v>0</v>
      </c>
      <c r="P2857" s="47">
        <f t="shared" si="358"/>
        <v>0</v>
      </c>
      <c r="Q2857" s="47">
        <f t="shared" si="359"/>
        <v>0</v>
      </c>
    </row>
    <row r="2858" spans="1:17" x14ac:dyDescent="0.35">
      <c r="A2858" s="82">
        <v>2855</v>
      </c>
      <c r="B2858" s="83" t="str">
        <f>_xlfn.XLOOKUP(A2858,'TAZs by City - CCAG Model'!$A:$A,'TAZs by City - CCAG Model'!$B:$B,"Unknown")</f>
        <v>Unknown</v>
      </c>
      <c r="C2858" s="82">
        <f>_xlfn.XLOOKUP(A2858,'TAZs by City - CCAG Model'!$A:$A,'TAZs by City - CCAG Model'!$C:$C,999)</f>
        <v>999</v>
      </c>
      <c r="D2858" s="82" t="str">
        <f t="shared" si="352"/>
        <v>NO</v>
      </c>
      <c r="E2858" s="27">
        <v>0</v>
      </c>
      <c r="F2858" s="27">
        <v>0</v>
      </c>
      <c r="G2858" s="27">
        <v>0</v>
      </c>
      <c r="H2858" s="27">
        <v>0</v>
      </c>
      <c r="I2858" s="27">
        <v>0</v>
      </c>
      <c r="J2858" s="27">
        <v>0</v>
      </c>
      <c r="K2858" s="47">
        <f t="shared" si="353"/>
        <v>0</v>
      </c>
      <c r="L2858" s="47">
        <f t="shared" si="354"/>
        <v>0</v>
      </c>
      <c r="M2858" s="84">
        <f t="shared" si="355"/>
        <v>0</v>
      </c>
      <c r="N2858" s="47">
        <f t="shared" si="356"/>
        <v>0</v>
      </c>
      <c r="O2858" s="47">
        <f t="shared" si="357"/>
        <v>0</v>
      </c>
      <c r="P2858" s="47">
        <f t="shared" si="358"/>
        <v>0</v>
      </c>
      <c r="Q2858" s="47">
        <f t="shared" si="359"/>
        <v>0</v>
      </c>
    </row>
    <row r="2859" spans="1:17" x14ac:dyDescent="0.35">
      <c r="A2859" s="82">
        <v>2856</v>
      </c>
      <c r="B2859" s="83" t="str">
        <f>_xlfn.XLOOKUP(A2859,'TAZs by City - CCAG Model'!$A:$A,'TAZs by City - CCAG Model'!$B:$B,"Unknown")</f>
        <v>Unknown</v>
      </c>
      <c r="C2859" s="82">
        <f>_xlfn.XLOOKUP(A2859,'TAZs by City - CCAG Model'!$A:$A,'TAZs by City - CCAG Model'!$C:$C,999)</f>
        <v>999</v>
      </c>
      <c r="D2859" s="82" t="str">
        <f t="shared" si="352"/>
        <v>NO</v>
      </c>
      <c r="E2859" s="27">
        <v>0</v>
      </c>
      <c r="F2859" s="27">
        <v>0</v>
      </c>
      <c r="G2859" s="27">
        <v>0</v>
      </c>
      <c r="H2859" s="27">
        <v>0</v>
      </c>
      <c r="I2859" s="27">
        <v>0</v>
      </c>
      <c r="J2859" s="27">
        <v>0</v>
      </c>
      <c r="K2859" s="47">
        <f t="shared" si="353"/>
        <v>0</v>
      </c>
      <c r="L2859" s="47">
        <f t="shared" si="354"/>
        <v>0</v>
      </c>
      <c r="M2859" s="84">
        <f t="shared" si="355"/>
        <v>0</v>
      </c>
      <c r="N2859" s="47">
        <f t="shared" si="356"/>
        <v>0</v>
      </c>
      <c r="O2859" s="47">
        <f t="shared" si="357"/>
        <v>0</v>
      </c>
      <c r="P2859" s="47">
        <f t="shared" si="358"/>
        <v>0</v>
      </c>
      <c r="Q2859" s="47">
        <f t="shared" si="359"/>
        <v>0</v>
      </c>
    </row>
    <row r="2860" spans="1:17" x14ac:dyDescent="0.35">
      <c r="A2860" s="82">
        <v>2857</v>
      </c>
      <c r="B2860" s="83" t="str">
        <f>_xlfn.XLOOKUP(A2860,'TAZs by City - CCAG Model'!$A:$A,'TAZs by City - CCAG Model'!$B:$B,"Unknown")</f>
        <v>Unknown</v>
      </c>
      <c r="C2860" s="82">
        <f>_xlfn.XLOOKUP(A2860,'TAZs by City - CCAG Model'!$A:$A,'TAZs by City - CCAG Model'!$C:$C,999)</f>
        <v>999</v>
      </c>
      <c r="D2860" s="82" t="str">
        <f t="shared" si="352"/>
        <v>NO</v>
      </c>
      <c r="E2860" s="27">
        <v>0</v>
      </c>
      <c r="F2860" s="27">
        <v>0</v>
      </c>
      <c r="G2860" s="27">
        <v>0</v>
      </c>
      <c r="H2860" s="27">
        <v>0</v>
      </c>
      <c r="I2860" s="27">
        <v>0</v>
      </c>
      <c r="J2860" s="27">
        <v>0</v>
      </c>
      <c r="K2860" s="47">
        <f t="shared" si="353"/>
        <v>0</v>
      </c>
      <c r="L2860" s="47">
        <f t="shared" si="354"/>
        <v>0</v>
      </c>
      <c r="M2860" s="84">
        <f t="shared" si="355"/>
        <v>0</v>
      </c>
      <c r="N2860" s="47">
        <f t="shared" si="356"/>
        <v>0</v>
      </c>
      <c r="O2860" s="47">
        <f t="shared" si="357"/>
        <v>0</v>
      </c>
      <c r="P2860" s="47">
        <f t="shared" si="358"/>
        <v>0</v>
      </c>
      <c r="Q2860" s="47">
        <f t="shared" si="359"/>
        <v>0</v>
      </c>
    </row>
    <row r="2861" spans="1:17" x14ac:dyDescent="0.35">
      <c r="A2861" s="82">
        <v>2858</v>
      </c>
      <c r="B2861" s="83" t="str">
        <f>_xlfn.XLOOKUP(A2861,'TAZs by City - CCAG Model'!$A:$A,'TAZs by City - CCAG Model'!$B:$B,"Unknown")</f>
        <v>Unknown</v>
      </c>
      <c r="C2861" s="82">
        <f>_xlfn.XLOOKUP(A2861,'TAZs by City - CCAG Model'!$A:$A,'TAZs by City - CCAG Model'!$C:$C,999)</f>
        <v>999</v>
      </c>
      <c r="D2861" s="82" t="str">
        <f t="shared" si="352"/>
        <v>NO</v>
      </c>
      <c r="E2861" s="27">
        <v>0</v>
      </c>
      <c r="F2861" s="27">
        <v>0</v>
      </c>
      <c r="G2861" s="27">
        <v>0</v>
      </c>
      <c r="H2861" s="27">
        <v>0</v>
      </c>
      <c r="I2861" s="27">
        <v>0</v>
      </c>
      <c r="J2861" s="27">
        <v>0</v>
      </c>
      <c r="K2861" s="47">
        <f t="shared" si="353"/>
        <v>0</v>
      </c>
      <c r="L2861" s="47">
        <f t="shared" si="354"/>
        <v>0</v>
      </c>
      <c r="M2861" s="84">
        <f t="shared" si="355"/>
        <v>0</v>
      </c>
      <c r="N2861" s="47">
        <f t="shared" si="356"/>
        <v>0</v>
      </c>
      <c r="O2861" s="47">
        <f t="shared" si="357"/>
        <v>0</v>
      </c>
      <c r="P2861" s="47">
        <f t="shared" si="358"/>
        <v>0</v>
      </c>
      <c r="Q2861" s="47">
        <f t="shared" si="359"/>
        <v>0</v>
      </c>
    </row>
    <row r="2862" spans="1:17" x14ac:dyDescent="0.35">
      <c r="A2862" s="82">
        <v>2859</v>
      </c>
      <c r="B2862" s="83" t="str">
        <f>_xlfn.XLOOKUP(A2862,'TAZs by City - CCAG Model'!$A:$A,'TAZs by City - CCAG Model'!$B:$B,"Unknown")</f>
        <v>Unknown</v>
      </c>
      <c r="C2862" s="82">
        <f>_xlfn.XLOOKUP(A2862,'TAZs by City - CCAG Model'!$A:$A,'TAZs by City - CCAG Model'!$C:$C,999)</f>
        <v>999</v>
      </c>
      <c r="D2862" s="82" t="str">
        <f t="shared" si="352"/>
        <v>NO</v>
      </c>
      <c r="E2862" s="27">
        <v>0</v>
      </c>
      <c r="F2862" s="27">
        <v>0</v>
      </c>
      <c r="G2862" s="27">
        <v>0</v>
      </c>
      <c r="H2862" s="27">
        <v>0</v>
      </c>
      <c r="I2862" s="27">
        <v>0</v>
      </c>
      <c r="J2862" s="27">
        <v>0</v>
      </c>
      <c r="K2862" s="47">
        <f t="shared" si="353"/>
        <v>0</v>
      </c>
      <c r="L2862" s="47">
        <f t="shared" si="354"/>
        <v>0</v>
      </c>
      <c r="M2862" s="84">
        <f t="shared" si="355"/>
        <v>0</v>
      </c>
      <c r="N2862" s="47">
        <f t="shared" si="356"/>
        <v>0</v>
      </c>
      <c r="O2862" s="47">
        <f t="shared" si="357"/>
        <v>0</v>
      </c>
      <c r="P2862" s="47">
        <f t="shared" si="358"/>
        <v>0</v>
      </c>
      <c r="Q2862" s="47">
        <f t="shared" si="359"/>
        <v>0</v>
      </c>
    </row>
    <row r="2863" spans="1:17" x14ac:dyDescent="0.35">
      <c r="A2863" s="82">
        <v>2860</v>
      </c>
      <c r="B2863" s="83" t="str">
        <f>_xlfn.XLOOKUP(A2863,'TAZs by City - CCAG Model'!$A:$A,'TAZs by City - CCAG Model'!$B:$B,"Unknown")</f>
        <v>Unknown</v>
      </c>
      <c r="C2863" s="82">
        <f>_xlfn.XLOOKUP(A2863,'TAZs by City - CCAG Model'!$A:$A,'TAZs by City - CCAG Model'!$C:$C,999)</f>
        <v>999</v>
      </c>
      <c r="D2863" s="82" t="str">
        <f t="shared" si="352"/>
        <v>NO</v>
      </c>
      <c r="E2863" s="27">
        <v>0</v>
      </c>
      <c r="F2863" s="27">
        <v>0</v>
      </c>
      <c r="G2863" s="27">
        <v>0</v>
      </c>
      <c r="H2863" s="27">
        <v>0</v>
      </c>
      <c r="I2863" s="27">
        <v>0</v>
      </c>
      <c r="J2863" s="27">
        <v>0</v>
      </c>
      <c r="K2863" s="47">
        <f t="shared" si="353"/>
        <v>0</v>
      </c>
      <c r="L2863" s="47">
        <f t="shared" si="354"/>
        <v>0</v>
      </c>
      <c r="M2863" s="84">
        <f t="shared" si="355"/>
        <v>0</v>
      </c>
      <c r="N2863" s="47">
        <f t="shared" si="356"/>
        <v>0</v>
      </c>
      <c r="O2863" s="47">
        <f t="shared" si="357"/>
        <v>0</v>
      </c>
      <c r="P2863" s="47">
        <f t="shared" si="358"/>
        <v>0</v>
      </c>
      <c r="Q2863" s="47">
        <f t="shared" si="359"/>
        <v>0</v>
      </c>
    </row>
    <row r="2864" spans="1:17" x14ac:dyDescent="0.35">
      <c r="A2864" s="82">
        <v>2861</v>
      </c>
      <c r="B2864" s="83" t="str">
        <f>_xlfn.XLOOKUP(A2864,'TAZs by City - CCAG Model'!$A:$A,'TAZs by City - CCAG Model'!$B:$B,"Unknown")</f>
        <v>Unknown</v>
      </c>
      <c r="C2864" s="82">
        <f>_xlfn.XLOOKUP(A2864,'TAZs by City - CCAG Model'!$A:$A,'TAZs by City - CCAG Model'!$C:$C,999)</f>
        <v>999</v>
      </c>
      <c r="D2864" s="82" t="str">
        <f t="shared" si="352"/>
        <v>NO</v>
      </c>
      <c r="E2864" s="27">
        <v>0</v>
      </c>
      <c r="F2864" s="27">
        <v>0</v>
      </c>
      <c r="G2864" s="27">
        <v>0</v>
      </c>
      <c r="H2864" s="27">
        <v>0</v>
      </c>
      <c r="I2864" s="27">
        <v>0</v>
      </c>
      <c r="J2864" s="27">
        <v>0</v>
      </c>
      <c r="K2864" s="47">
        <f t="shared" si="353"/>
        <v>0</v>
      </c>
      <c r="L2864" s="47">
        <f t="shared" si="354"/>
        <v>0</v>
      </c>
      <c r="M2864" s="84">
        <f t="shared" si="355"/>
        <v>0</v>
      </c>
      <c r="N2864" s="47">
        <f t="shared" si="356"/>
        <v>0</v>
      </c>
      <c r="O2864" s="47">
        <f t="shared" si="357"/>
        <v>0</v>
      </c>
      <c r="P2864" s="47">
        <f t="shared" si="358"/>
        <v>0</v>
      </c>
      <c r="Q2864" s="47">
        <f t="shared" si="359"/>
        <v>0</v>
      </c>
    </row>
    <row r="2865" spans="1:17" x14ac:dyDescent="0.35">
      <c r="A2865" s="82">
        <v>2862</v>
      </c>
      <c r="B2865" s="83" t="str">
        <f>_xlfn.XLOOKUP(A2865,'TAZs by City - CCAG Model'!$A:$A,'TAZs by City - CCAG Model'!$B:$B,"Unknown")</f>
        <v>Unknown</v>
      </c>
      <c r="C2865" s="82">
        <f>_xlfn.XLOOKUP(A2865,'TAZs by City - CCAG Model'!$A:$A,'TAZs by City - CCAG Model'!$C:$C,999)</f>
        <v>999</v>
      </c>
      <c r="D2865" s="82" t="str">
        <f t="shared" si="352"/>
        <v>NO</v>
      </c>
      <c r="E2865" s="27">
        <v>0</v>
      </c>
      <c r="F2865" s="27">
        <v>0</v>
      </c>
      <c r="G2865" s="27">
        <v>0</v>
      </c>
      <c r="H2865" s="27">
        <v>0</v>
      </c>
      <c r="I2865" s="27">
        <v>0</v>
      </c>
      <c r="J2865" s="27">
        <v>0</v>
      </c>
      <c r="K2865" s="47">
        <f t="shared" si="353"/>
        <v>0</v>
      </c>
      <c r="L2865" s="47">
        <f t="shared" si="354"/>
        <v>0</v>
      </c>
      <c r="M2865" s="84">
        <f t="shared" si="355"/>
        <v>0</v>
      </c>
      <c r="N2865" s="47">
        <f t="shared" si="356"/>
        <v>0</v>
      </c>
      <c r="O2865" s="47">
        <f t="shared" si="357"/>
        <v>0</v>
      </c>
      <c r="P2865" s="47">
        <f t="shared" si="358"/>
        <v>0</v>
      </c>
      <c r="Q2865" s="47">
        <f t="shared" si="359"/>
        <v>0</v>
      </c>
    </row>
    <row r="2866" spans="1:17" x14ac:dyDescent="0.35">
      <c r="A2866" s="82">
        <v>2863</v>
      </c>
      <c r="B2866" s="83" t="str">
        <f>_xlfn.XLOOKUP(A2866,'TAZs by City - CCAG Model'!$A:$A,'TAZs by City - CCAG Model'!$B:$B,"Unknown")</f>
        <v>Unknown</v>
      </c>
      <c r="C2866" s="82">
        <f>_xlfn.XLOOKUP(A2866,'TAZs by City - CCAG Model'!$A:$A,'TAZs by City - CCAG Model'!$C:$C,999)</f>
        <v>999</v>
      </c>
      <c r="D2866" s="82" t="str">
        <f t="shared" si="352"/>
        <v>NO</v>
      </c>
      <c r="E2866" s="27">
        <v>0</v>
      </c>
      <c r="F2866" s="27">
        <v>0</v>
      </c>
      <c r="G2866" s="27">
        <v>0</v>
      </c>
      <c r="H2866" s="27">
        <v>0</v>
      </c>
      <c r="I2866" s="27">
        <v>0</v>
      </c>
      <c r="J2866" s="27">
        <v>0</v>
      </c>
      <c r="K2866" s="47">
        <f t="shared" si="353"/>
        <v>0</v>
      </c>
      <c r="L2866" s="47">
        <f t="shared" si="354"/>
        <v>0</v>
      </c>
      <c r="M2866" s="84">
        <f t="shared" si="355"/>
        <v>0</v>
      </c>
      <c r="N2866" s="47">
        <f t="shared" si="356"/>
        <v>0</v>
      </c>
      <c r="O2866" s="47">
        <f t="shared" si="357"/>
        <v>0</v>
      </c>
      <c r="P2866" s="47">
        <f t="shared" si="358"/>
        <v>0</v>
      </c>
      <c r="Q2866" s="47">
        <f t="shared" si="359"/>
        <v>0</v>
      </c>
    </row>
    <row r="2867" spans="1:17" x14ac:dyDescent="0.35">
      <c r="A2867" s="82">
        <v>2864</v>
      </c>
      <c r="B2867" s="83" t="str">
        <f>_xlfn.XLOOKUP(A2867,'TAZs by City - CCAG Model'!$A:$A,'TAZs by City - CCAG Model'!$B:$B,"Unknown")</f>
        <v>Unknown</v>
      </c>
      <c r="C2867" s="82">
        <f>_xlfn.XLOOKUP(A2867,'TAZs by City - CCAG Model'!$A:$A,'TAZs by City - CCAG Model'!$C:$C,999)</f>
        <v>999</v>
      </c>
      <c r="D2867" s="82" t="str">
        <f t="shared" si="352"/>
        <v>NO</v>
      </c>
      <c r="E2867" s="27">
        <v>0</v>
      </c>
      <c r="F2867" s="27">
        <v>0</v>
      </c>
      <c r="G2867" s="27">
        <v>0</v>
      </c>
      <c r="H2867" s="27">
        <v>0</v>
      </c>
      <c r="I2867" s="27">
        <v>0</v>
      </c>
      <c r="J2867" s="27">
        <v>0</v>
      </c>
      <c r="K2867" s="47">
        <f t="shared" si="353"/>
        <v>0</v>
      </c>
      <c r="L2867" s="47">
        <f t="shared" si="354"/>
        <v>0</v>
      </c>
      <c r="M2867" s="84">
        <f t="shared" si="355"/>
        <v>0</v>
      </c>
      <c r="N2867" s="47">
        <f t="shared" si="356"/>
        <v>0</v>
      </c>
      <c r="O2867" s="47">
        <f t="shared" si="357"/>
        <v>0</v>
      </c>
      <c r="P2867" s="47">
        <f t="shared" si="358"/>
        <v>0</v>
      </c>
      <c r="Q2867" s="47">
        <f t="shared" si="359"/>
        <v>0</v>
      </c>
    </row>
    <row r="2868" spans="1:17" x14ac:dyDescent="0.35">
      <c r="A2868" s="82">
        <v>2865</v>
      </c>
      <c r="B2868" s="83" t="str">
        <f>_xlfn.XLOOKUP(A2868,'TAZs by City - CCAG Model'!$A:$A,'TAZs by City - CCAG Model'!$B:$B,"Unknown")</f>
        <v>Unknown</v>
      </c>
      <c r="C2868" s="82">
        <f>_xlfn.XLOOKUP(A2868,'TAZs by City - CCAG Model'!$A:$A,'TAZs by City - CCAG Model'!$C:$C,999)</f>
        <v>999</v>
      </c>
      <c r="D2868" s="82" t="str">
        <f t="shared" si="352"/>
        <v>NO</v>
      </c>
      <c r="E2868" s="27">
        <v>0</v>
      </c>
      <c r="F2868" s="27">
        <v>0</v>
      </c>
      <c r="G2868" s="27">
        <v>0</v>
      </c>
      <c r="H2868" s="27">
        <v>0</v>
      </c>
      <c r="I2868" s="27">
        <v>0</v>
      </c>
      <c r="J2868" s="27">
        <v>0</v>
      </c>
      <c r="K2868" s="47">
        <f t="shared" si="353"/>
        <v>0</v>
      </c>
      <c r="L2868" s="47">
        <f t="shared" si="354"/>
        <v>0</v>
      </c>
      <c r="M2868" s="84">
        <f t="shared" si="355"/>
        <v>0</v>
      </c>
      <c r="N2868" s="47">
        <f t="shared" si="356"/>
        <v>0</v>
      </c>
      <c r="O2868" s="47">
        <f t="shared" si="357"/>
        <v>0</v>
      </c>
      <c r="P2868" s="47">
        <f t="shared" si="358"/>
        <v>0</v>
      </c>
      <c r="Q2868" s="47">
        <f t="shared" si="359"/>
        <v>0</v>
      </c>
    </row>
    <row r="2869" spans="1:17" x14ac:dyDescent="0.35">
      <c r="A2869" s="82">
        <v>2866</v>
      </c>
      <c r="B2869" s="83" t="str">
        <f>_xlfn.XLOOKUP(A2869,'TAZs by City - CCAG Model'!$A:$A,'TAZs by City - CCAG Model'!$B:$B,"Unknown")</f>
        <v>Unknown</v>
      </c>
      <c r="C2869" s="82">
        <f>_xlfn.XLOOKUP(A2869,'TAZs by City - CCAG Model'!$A:$A,'TAZs by City - CCAG Model'!$C:$C,999)</f>
        <v>999</v>
      </c>
      <c r="D2869" s="82" t="str">
        <f t="shared" si="352"/>
        <v>NO</v>
      </c>
      <c r="E2869" s="27">
        <v>0</v>
      </c>
      <c r="F2869" s="27">
        <v>0</v>
      </c>
      <c r="G2869" s="27">
        <v>0</v>
      </c>
      <c r="H2869" s="27">
        <v>0</v>
      </c>
      <c r="I2869" s="27">
        <v>0</v>
      </c>
      <c r="J2869" s="27">
        <v>0</v>
      </c>
      <c r="K2869" s="47">
        <f t="shared" si="353"/>
        <v>0</v>
      </c>
      <c r="L2869" s="47">
        <f t="shared" si="354"/>
        <v>0</v>
      </c>
      <c r="M2869" s="84">
        <f t="shared" si="355"/>
        <v>0</v>
      </c>
      <c r="N2869" s="47">
        <f t="shared" si="356"/>
        <v>0</v>
      </c>
      <c r="O2869" s="47">
        <f t="shared" si="357"/>
        <v>0</v>
      </c>
      <c r="P2869" s="47">
        <f t="shared" si="358"/>
        <v>0</v>
      </c>
      <c r="Q2869" s="47">
        <f t="shared" si="359"/>
        <v>0</v>
      </c>
    </row>
    <row r="2870" spans="1:17" x14ac:dyDescent="0.35">
      <c r="A2870" s="82">
        <v>2867</v>
      </c>
      <c r="B2870" s="83" t="str">
        <f>_xlfn.XLOOKUP(A2870,'TAZs by City - CCAG Model'!$A:$A,'TAZs by City - CCAG Model'!$B:$B,"Unknown")</f>
        <v>Unknown</v>
      </c>
      <c r="C2870" s="82">
        <f>_xlfn.XLOOKUP(A2870,'TAZs by City - CCAG Model'!$A:$A,'TAZs by City - CCAG Model'!$C:$C,999)</f>
        <v>999</v>
      </c>
      <c r="D2870" s="82" t="str">
        <f t="shared" si="352"/>
        <v>NO</v>
      </c>
      <c r="E2870" s="27">
        <v>0</v>
      </c>
      <c r="F2870" s="27">
        <v>0</v>
      </c>
      <c r="G2870" s="27">
        <v>0</v>
      </c>
      <c r="H2870" s="27">
        <v>0</v>
      </c>
      <c r="I2870" s="27">
        <v>0</v>
      </c>
      <c r="J2870" s="27">
        <v>0</v>
      </c>
      <c r="K2870" s="47">
        <f t="shared" si="353"/>
        <v>0</v>
      </c>
      <c r="L2870" s="47">
        <f t="shared" si="354"/>
        <v>0</v>
      </c>
      <c r="M2870" s="84">
        <f t="shared" si="355"/>
        <v>0</v>
      </c>
      <c r="N2870" s="47">
        <f t="shared" si="356"/>
        <v>0</v>
      </c>
      <c r="O2870" s="47">
        <f t="shared" si="357"/>
        <v>0</v>
      </c>
      <c r="P2870" s="47">
        <f t="shared" si="358"/>
        <v>0</v>
      </c>
      <c r="Q2870" s="47">
        <f t="shared" si="359"/>
        <v>0</v>
      </c>
    </row>
    <row r="2871" spans="1:17" x14ac:dyDescent="0.35">
      <c r="A2871" s="82">
        <v>2868</v>
      </c>
      <c r="B2871" s="83" t="str">
        <f>_xlfn.XLOOKUP(A2871,'TAZs by City - CCAG Model'!$A:$A,'TAZs by City - CCAG Model'!$B:$B,"Unknown")</f>
        <v>Unknown</v>
      </c>
      <c r="C2871" s="82">
        <f>_xlfn.XLOOKUP(A2871,'TAZs by City - CCAG Model'!$A:$A,'TAZs by City - CCAG Model'!$C:$C,999)</f>
        <v>999</v>
      </c>
      <c r="D2871" s="82" t="str">
        <f t="shared" si="352"/>
        <v>NO</v>
      </c>
      <c r="E2871" s="27">
        <v>0</v>
      </c>
      <c r="F2871" s="27">
        <v>0</v>
      </c>
      <c r="G2871" s="27">
        <v>0</v>
      </c>
      <c r="H2871" s="27">
        <v>0</v>
      </c>
      <c r="I2871" s="27">
        <v>0</v>
      </c>
      <c r="J2871" s="27">
        <v>0</v>
      </c>
      <c r="K2871" s="47">
        <f t="shared" si="353"/>
        <v>0</v>
      </c>
      <c r="L2871" s="47">
        <f t="shared" si="354"/>
        <v>0</v>
      </c>
      <c r="M2871" s="84">
        <f t="shared" si="355"/>
        <v>0</v>
      </c>
      <c r="N2871" s="47">
        <f t="shared" si="356"/>
        <v>0</v>
      </c>
      <c r="O2871" s="47">
        <f t="shared" si="357"/>
        <v>0</v>
      </c>
      <c r="P2871" s="47">
        <f t="shared" si="358"/>
        <v>0</v>
      </c>
      <c r="Q2871" s="47">
        <f t="shared" si="359"/>
        <v>0</v>
      </c>
    </row>
    <row r="2872" spans="1:17" x14ac:dyDescent="0.35">
      <c r="A2872" s="82">
        <v>2869</v>
      </c>
      <c r="B2872" s="83" t="str">
        <f>_xlfn.XLOOKUP(A2872,'TAZs by City - CCAG Model'!$A:$A,'TAZs by City - CCAG Model'!$B:$B,"Unknown")</f>
        <v>Unknown</v>
      </c>
      <c r="C2872" s="82">
        <f>_xlfn.XLOOKUP(A2872,'TAZs by City - CCAG Model'!$A:$A,'TAZs by City - CCAG Model'!$C:$C,999)</f>
        <v>999</v>
      </c>
      <c r="D2872" s="82" t="str">
        <f t="shared" si="352"/>
        <v>NO</v>
      </c>
      <c r="E2872" s="27">
        <v>0</v>
      </c>
      <c r="F2872" s="27">
        <v>0</v>
      </c>
      <c r="G2872" s="27">
        <v>0</v>
      </c>
      <c r="H2872" s="27">
        <v>0</v>
      </c>
      <c r="I2872" s="27">
        <v>0</v>
      </c>
      <c r="J2872" s="27">
        <v>0</v>
      </c>
      <c r="K2872" s="47">
        <f t="shared" si="353"/>
        <v>0</v>
      </c>
      <c r="L2872" s="47">
        <f t="shared" si="354"/>
        <v>0</v>
      </c>
      <c r="M2872" s="84">
        <f t="shared" si="355"/>
        <v>0</v>
      </c>
      <c r="N2872" s="47">
        <f t="shared" si="356"/>
        <v>0</v>
      </c>
      <c r="O2872" s="47">
        <f t="shared" si="357"/>
        <v>0</v>
      </c>
      <c r="P2872" s="47">
        <f t="shared" si="358"/>
        <v>0</v>
      </c>
      <c r="Q2872" s="47">
        <f t="shared" si="359"/>
        <v>0</v>
      </c>
    </row>
    <row r="2873" spans="1:17" x14ac:dyDescent="0.35">
      <c r="A2873" s="82">
        <v>2870</v>
      </c>
      <c r="B2873" s="83" t="str">
        <f>_xlfn.XLOOKUP(A2873,'TAZs by City - CCAG Model'!$A:$A,'TAZs by City - CCAG Model'!$B:$B,"Unknown")</f>
        <v>Unknown</v>
      </c>
      <c r="C2873" s="82">
        <f>_xlfn.XLOOKUP(A2873,'TAZs by City - CCAG Model'!$A:$A,'TAZs by City - CCAG Model'!$C:$C,999)</f>
        <v>999</v>
      </c>
      <c r="D2873" s="82" t="str">
        <f t="shared" si="352"/>
        <v>NO</v>
      </c>
      <c r="E2873" s="27">
        <v>0</v>
      </c>
      <c r="F2873" s="27">
        <v>0</v>
      </c>
      <c r="G2873" s="27">
        <v>0</v>
      </c>
      <c r="H2873" s="27">
        <v>0</v>
      </c>
      <c r="I2873" s="27">
        <v>0</v>
      </c>
      <c r="J2873" s="27">
        <v>0</v>
      </c>
      <c r="K2873" s="47">
        <f t="shared" si="353"/>
        <v>0</v>
      </c>
      <c r="L2873" s="47">
        <f t="shared" si="354"/>
        <v>0</v>
      </c>
      <c r="M2873" s="84">
        <f t="shared" si="355"/>
        <v>0</v>
      </c>
      <c r="N2873" s="47">
        <f t="shared" si="356"/>
        <v>0</v>
      </c>
      <c r="O2873" s="47">
        <f t="shared" si="357"/>
        <v>0</v>
      </c>
      <c r="P2873" s="47">
        <f t="shared" si="358"/>
        <v>0</v>
      </c>
      <c r="Q2873" s="47">
        <f t="shared" si="359"/>
        <v>0</v>
      </c>
    </row>
    <row r="2874" spans="1:17" x14ac:dyDescent="0.35">
      <c r="A2874" s="82">
        <v>2871</v>
      </c>
      <c r="B2874" s="83" t="str">
        <f>_xlfn.XLOOKUP(A2874,'TAZs by City - CCAG Model'!$A:$A,'TAZs by City - CCAG Model'!$B:$B,"Unknown")</f>
        <v>Unknown</v>
      </c>
      <c r="C2874" s="82">
        <f>_xlfn.XLOOKUP(A2874,'TAZs by City - CCAG Model'!$A:$A,'TAZs by City - CCAG Model'!$C:$C,999)</f>
        <v>999</v>
      </c>
      <c r="D2874" s="82" t="str">
        <f t="shared" si="352"/>
        <v>NO</v>
      </c>
      <c r="E2874" s="27">
        <v>0</v>
      </c>
      <c r="F2874" s="27">
        <v>0</v>
      </c>
      <c r="G2874" s="27">
        <v>0</v>
      </c>
      <c r="H2874" s="27">
        <v>0</v>
      </c>
      <c r="I2874" s="27">
        <v>0</v>
      </c>
      <c r="J2874" s="27">
        <v>0</v>
      </c>
      <c r="K2874" s="47">
        <f t="shared" si="353"/>
        <v>0</v>
      </c>
      <c r="L2874" s="47">
        <f t="shared" si="354"/>
        <v>0</v>
      </c>
      <c r="M2874" s="84">
        <f t="shared" si="355"/>
        <v>0</v>
      </c>
      <c r="N2874" s="47">
        <f t="shared" si="356"/>
        <v>0</v>
      </c>
      <c r="O2874" s="47">
        <f t="shared" si="357"/>
        <v>0</v>
      </c>
      <c r="P2874" s="47">
        <f t="shared" si="358"/>
        <v>0</v>
      </c>
      <c r="Q2874" s="47">
        <f t="shared" si="359"/>
        <v>0</v>
      </c>
    </row>
    <row r="2875" spans="1:17" x14ac:dyDescent="0.35">
      <c r="A2875" s="82">
        <v>2872</v>
      </c>
      <c r="B2875" s="83" t="str">
        <f>_xlfn.XLOOKUP(A2875,'TAZs by City - CCAG Model'!$A:$A,'TAZs by City - CCAG Model'!$B:$B,"Unknown")</f>
        <v>Unknown</v>
      </c>
      <c r="C2875" s="82">
        <f>_xlfn.XLOOKUP(A2875,'TAZs by City - CCAG Model'!$A:$A,'TAZs by City - CCAG Model'!$C:$C,999)</f>
        <v>999</v>
      </c>
      <c r="D2875" s="82" t="str">
        <f t="shared" si="352"/>
        <v>NO</v>
      </c>
      <c r="E2875" s="27">
        <v>0</v>
      </c>
      <c r="F2875" s="27">
        <v>0</v>
      </c>
      <c r="G2875" s="27">
        <v>0</v>
      </c>
      <c r="H2875" s="27">
        <v>0</v>
      </c>
      <c r="I2875" s="27">
        <v>0</v>
      </c>
      <c r="J2875" s="27">
        <v>0</v>
      </c>
      <c r="K2875" s="47">
        <f t="shared" si="353"/>
        <v>0</v>
      </c>
      <c r="L2875" s="47">
        <f t="shared" si="354"/>
        <v>0</v>
      </c>
      <c r="M2875" s="84">
        <f t="shared" si="355"/>
        <v>0</v>
      </c>
      <c r="N2875" s="47">
        <f t="shared" si="356"/>
        <v>0</v>
      </c>
      <c r="O2875" s="47">
        <f t="shared" si="357"/>
        <v>0</v>
      </c>
      <c r="P2875" s="47">
        <f t="shared" si="358"/>
        <v>0</v>
      </c>
      <c r="Q2875" s="47">
        <f t="shared" si="359"/>
        <v>0</v>
      </c>
    </row>
    <row r="2876" spans="1:17" x14ac:dyDescent="0.35">
      <c r="A2876" s="82">
        <v>2873</v>
      </c>
      <c r="B2876" s="83" t="str">
        <f>_xlfn.XLOOKUP(A2876,'TAZs by City - CCAG Model'!$A:$A,'TAZs by City - CCAG Model'!$B:$B,"Unknown")</f>
        <v>Unknown</v>
      </c>
      <c r="C2876" s="82">
        <f>_xlfn.XLOOKUP(A2876,'TAZs by City - CCAG Model'!$A:$A,'TAZs by City - CCAG Model'!$C:$C,999)</f>
        <v>999</v>
      </c>
      <c r="D2876" s="82" t="str">
        <f t="shared" si="352"/>
        <v>NO</v>
      </c>
      <c r="E2876" s="27">
        <v>0</v>
      </c>
      <c r="F2876" s="27">
        <v>0</v>
      </c>
      <c r="G2876" s="27">
        <v>0</v>
      </c>
      <c r="H2876" s="27">
        <v>0</v>
      </c>
      <c r="I2876" s="27">
        <v>0</v>
      </c>
      <c r="J2876" s="27">
        <v>0</v>
      </c>
      <c r="K2876" s="47">
        <f t="shared" si="353"/>
        <v>0</v>
      </c>
      <c r="L2876" s="47">
        <f t="shared" si="354"/>
        <v>0</v>
      </c>
      <c r="M2876" s="84">
        <f t="shared" si="355"/>
        <v>0</v>
      </c>
      <c r="N2876" s="47">
        <f t="shared" si="356"/>
        <v>0</v>
      </c>
      <c r="O2876" s="47">
        <f t="shared" si="357"/>
        <v>0</v>
      </c>
      <c r="P2876" s="47">
        <f t="shared" si="358"/>
        <v>0</v>
      </c>
      <c r="Q2876" s="47">
        <f t="shared" si="359"/>
        <v>0</v>
      </c>
    </row>
    <row r="2877" spans="1:17" x14ac:dyDescent="0.35">
      <c r="A2877" s="82">
        <v>2874</v>
      </c>
      <c r="B2877" s="83" t="str">
        <f>_xlfn.XLOOKUP(A2877,'TAZs by City - CCAG Model'!$A:$A,'TAZs by City - CCAG Model'!$B:$B,"Unknown")</f>
        <v>Unknown</v>
      </c>
      <c r="C2877" s="82">
        <f>_xlfn.XLOOKUP(A2877,'TAZs by City - CCAG Model'!$A:$A,'TAZs by City - CCAG Model'!$C:$C,999)</f>
        <v>999</v>
      </c>
      <c r="D2877" s="82" t="str">
        <f t="shared" si="352"/>
        <v>NO</v>
      </c>
      <c r="E2877" s="27">
        <v>0</v>
      </c>
      <c r="F2877" s="27">
        <v>0</v>
      </c>
      <c r="G2877" s="27">
        <v>0</v>
      </c>
      <c r="H2877" s="27">
        <v>0</v>
      </c>
      <c r="I2877" s="27">
        <v>0</v>
      </c>
      <c r="J2877" s="27">
        <v>0</v>
      </c>
      <c r="K2877" s="47">
        <f t="shared" si="353"/>
        <v>0</v>
      </c>
      <c r="L2877" s="47">
        <f t="shared" si="354"/>
        <v>0</v>
      </c>
      <c r="M2877" s="84">
        <f t="shared" si="355"/>
        <v>0</v>
      </c>
      <c r="N2877" s="47">
        <f t="shared" si="356"/>
        <v>0</v>
      </c>
      <c r="O2877" s="47">
        <f t="shared" si="357"/>
        <v>0</v>
      </c>
      <c r="P2877" s="47">
        <f t="shared" si="358"/>
        <v>0</v>
      </c>
      <c r="Q2877" s="47">
        <f t="shared" si="359"/>
        <v>0</v>
      </c>
    </row>
    <row r="2878" spans="1:17" x14ac:dyDescent="0.35">
      <c r="A2878" s="82">
        <v>2875</v>
      </c>
      <c r="B2878" s="83" t="str">
        <f>_xlfn.XLOOKUP(A2878,'TAZs by City - CCAG Model'!$A:$A,'TAZs by City - CCAG Model'!$B:$B,"Unknown")</f>
        <v>Unknown</v>
      </c>
      <c r="C2878" s="82">
        <f>_xlfn.XLOOKUP(A2878,'TAZs by City - CCAG Model'!$A:$A,'TAZs by City - CCAG Model'!$C:$C,999)</f>
        <v>999</v>
      </c>
      <c r="D2878" s="82" t="str">
        <f t="shared" si="352"/>
        <v>NO</v>
      </c>
      <c r="E2878" s="27">
        <v>0</v>
      </c>
      <c r="F2878" s="27">
        <v>0</v>
      </c>
      <c r="G2878" s="27">
        <v>0</v>
      </c>
      <c r="H2878" s="27">
        <v>0</v>
      </c>
      <c r="I2878" s="27">
        <v>0</v>
      </c>
      <c r="J2878" s="27">
        <v>0</v>
      </c>
      <c r="K2878" s="47">
        <f t="shared" si="353"/>
        <v>0</v>
      </c>
      <c r="L2878" s="47">
        <f t="shared" si="354"/>
        <v>0</v>
      </c>
      <c r="M2878" s="84">
        <f t="shared" si="355"/>
        <v>0</v>
      </c>
      <c r="N2878" s="47">
        <f t="shared" si="356"/>
        <v>0</v>
      </c>
      <c r="O2878" s="47">
        <f t="shared" si="357"/>
        <v>0</v>
      </c>
      <c r="P2878" s="47">
        <f t="shared" si="358"/>
        <v>0</v>
      </c>
      <c r="Q2878" s="47">
        <f t="shared" si="359"/>
        <v>0</v>
      </c>
    </row>
    <row r="2879" spans="1:17" x14ac:dyDescent="0.35">
      <c r="A2879" s="82">
        <v>2876</v>
      </c>
      <c r="B2879" s="83" t="str">
        <f>_xlfn.XLOOKUP(A2879,'TAZs by City - CCAG Model'!$A:$A,'TAZs by City - CCAG Model'!$B:$B,"Unknown")</f>
        <v>Unknown</v>
      </c>
      <c r="C2879" s="82">
        <f>_xlfn.XLOOKUP(A2879,'TAZs by City - CCAG Model'!$A:$A,'TAZs by City - CCAG Model'!$C:$C,999)</f>
        <v>999</v>
      </c>
      <c r="D2879" s="82" t="str">
        <f t="shared" si="352"/>
        <v>NO</v>
      </c>
      <c r="E2879" s="27">
        <v>0</v>
      </c>
      <c r="F2879" s="27">
        <v>0</v>
      </c>
      <c r="G2879" s="27">
        <v>0</v>
      </c>
      <c r="H2879" s="27">
        <v>0</v>
      </c>
      <c r="I2879" s="27">
        <v>0</v>
      </c>
      <c r="J2879" s="27">
        <v>0</v>
      </c>
      <c r="K2879" s="47">
        <f t="shared" si="353"/>
        <v>0</v>
      </c>
      <c r="L2879" s="47">
        <f t="shared" si="354"/>
        <v>0</v>
      </c>
      <c r="M2879" s="84">
        <f t="shared" si="355"/>
        <v>0</v>
      </c>
      <c r="N2879" s="47">
        <f t="shared" si="356"/>
        <v>0</v>
      </c>
      <c r="O2879" s="47">
        <f t="shared" si="357"/>
        <v>0</v>
      </c>
      <c r="P2879" s="47">
        <f t="shared" si="358"/>
        <v>0</v>
      </c>
      <c r="Q2879" s="47">
        <f t="shared" si="359"/>
        <v>0</v>
      </c>
    </row>
    <row r="2880" spans="1:17" x14ac:dyDescent="0.35">
      <c r="A2880" s="82">
        <v>2877</v>
      </c>
      <c r="B2880" s="83" t="str">
        <f>_xlfn.XLOOKUP(A2880,'TAZs by City - CCAG Model'!$A:$A,'TAZs by City - CCAG Model'!$B:$B,"Unknown")</f>
        <v>Unknown</v>
      </c>
      <c r="C2880" s="82">
        <f>_xlfn.XLOOKUP(A2880,'TAZs by City - CCAG Model'!$A:$A,'TAZs by City - CCAG Model'!$C:$C,999)</f>
        <v>999</v>
      </c>
      <c r="D2880" s="82" t="str">
        <f t="shared" si="352"/>
        <v>NO</v>
      </c>
      <c r="E2880" s="27">
        <v>0</v>
      </c>
      <c r="F2880" s="27">
        <v>0</v>
      </c>
      <c r="G2880" s="27">
        <v>0</v>
      </c>
      <c r="H2880" s="27">
        <v>0</v>
      </c>
      <c r="I2880" s="27">
        <v>0</v>
      </c>
      <c r="J2880" s="27">
        <v>0</v>
      </c>
      <c r="K2880" s="47">
        <f t="shared" si="353"/>
        <v>0</v>
      </c>
      <c r="L2880" s="47">
        <f t="shared" si="354"/>
        <v>0</v>
      </c>
      <c r="M2880" s="84">
        <f t="shared" si="355"/>
        <v>0</v>
      </c>
      <c r="N2880" s="47">
        <f t="shared" si="356"/>
        <v>0</v>
      </c>
      <c r="O2880" s="47">
        <f t="shared" si="357"/>
        <v>0</v>
      </c>
      <c r="P2880" s="47">
        <f t="shared" si="358"/>
        <v>0</v>
      </c>
      <c r="Q2880" s="47">
        <f t="shared" si="359"/>
        <v>0</v>
      </c>
    </row>
    <row r="2881" spans="1:17" x14ac:dyDescent="0.35">
      <c r="A2881" s="82">
        <v>2878</v>
      </c>
      <c r="B2881" s="83" t="str">
        <f>_xlfn.XLOOKUP(A2881,'TAZs by City - CCAG Model'!$A:$A,'TAZs by City - CCAG Model'!$B:$B,"Unknown")</f>
        <v>Unknown</v>
      </c>
      <c r="C2881" s="82">
        <f>_xlfn.XLOOKUP(A2881,'TAZs by City - CCAG Model'!$A:$A,'TAZs by City - CCAG Model'!$C:$C,999)</f>
        <v>999</v>
      </c>
      <c r="D2881" s="82" t="str">
        <f t="shared" si="352"/>
        <v>NO</v>
      </c>
      <c r="E2881" s="27">
        <v>0</v>
      </c>
      <c r="F2881" s="27">
        <v>0</v>
      </c>
      <c r="G2881" s="27">
        <v>0</v>
      </c>
      <c r="H2881" s="27">
        <v>0</v>
      </c>
      <c r="I2881" s="27">
        <v>0</v>
      </c>
      <c r="J2881" s="27">
        <v>0</v>
      </c>
      <c r="K2881" s="47">
        <f t="shared" si="353"/>
        <v>0</v>
      </c>
      <c r="L2881" s="47">
        <f t="shared" si="354"/>
        <v>0</v>
      </c>
      <c r="M2881" s="84">
        <f t="shared" si="355"/>
        <v>0</v>
      </c>
      <c r="N2881" s="47">
        <f t="shared" si="356"/>
        <v>0</v>
      </c>
      <c r="O2881" s="47">
        <f t="shared" si="357"/>
        <v>0</v>
      </c>
      <c r="P2881" s="47">
        <f t="shared" si="358"/>
        <v>0</v>
      </c>
      <c r="Q2881" s="47">
        <f t="shared" si="359"/>
        <v>0</v>
      </c>
    </row>
    <row r="2882" spans="1:17" x14ac:dyDescent="0.35">
      <c r="A2882" s="82">
        <v>2879</v>
      </c>
      <c r="B2882" s="83" t="str">
        <f>_xlfn.XLOOKUP(A2882,'TAZs by City - CCAG Model'!$A:$A,'TAZs by City - CCAG Model'!$B:$B,"Unknown")</f>
        <v>Unknown</v>
      </c>
      <c r="C2882" s="82">
        <f>_xlfn.XLOOKUP(A2882,'TAZs by City - CCAG Model'!$A:$A,'TAZs by City - CCAG Model'!$C:$C,999)</f>
        <v>999</v>
      </c>
      <c r="D2882" s="82" t="str">
        <f t="shared" si="352"/>
        <v>NO</v>
      </c>
      <c r="E2882" s="27">
        <v>0</v>
      </c>
      <c r="F2882" s="27">
        <v>0</v>
      </c>
      <c r="G2882" s="27">
        <v>0</v>
      </c>
      <c r="H2882" s="27">
        <v>0</v>
      </c>
      <c r="I2882" s="27">
        <v>0</v>
      </c>
      <c r="J2882" s="27">
        <v>0</v>
      </c>
      <c r="K2882" s="47">
        <f t="shared" si="353"/>
        <v>0</v>
      </c>
      <c r="L2882" s="47">
        <f t="shared" si="354"/>
        <v>0</v>
      </c>
      <c r="M2882" s="84">
        <f t="shared" si="355"/>
        <v>0</v>
      </c>
      <c r="N2882" s="47">
        <f t="shared" si="356"/>
        <v>0</v>
      </c>
      <c r="O2882" s="47">
        <f t="shared" si="357"/>
        <v>0</v>
      </c>
      <c r="P2882" s="47">
        <f t="shared" si="358"/>
        <v>0</v>
      </c>
      <c r="Q2882" s="47">
        <f t="shared" si="359"/>
        <v>0</v>
      </c>
    </row>
    <row r="2883" spans="1:17" x14ac:dyDescent="0.35">
      <c r="A2883" s="82">
        <v>2880</v>
      </c>
      <c r="B2883" s="83" t="str">
        <f>_xlfn.XLOOKUP(A2883,'TAZs by City - CCAG Model'!$A:$A,'TAZs by City - CCAG Model'!$B:$B,"Unknown")</f>
        <v>Unknown</v>
      </c>
      <c r="C2883" s="82">
        <f>_xlfn.XLOOKUP(A2883,'TAZs by City - CCAG Model'!$A:$A,'TAZs by City - CCAG Model'!$C:$C,999)</f>
        <v>999</v>
      </c>
      <c r="D2883" s="82" t="str">
        <f t="shared" si="352"/>
        <v>NO</v>
      </c>
      <c r="E2883" s="27">
        <v>0</v>
      </c>
      <c r="F2883" s="27">
        <v>0</v>
      </c>
      <c r="G2883" s="27">
        <v>0</v>
      </c>
      <c r="H2883" s="27">
        <v>0</v>
      </c>
      <c r="I2883" s="27">
        <v>0</v>
      </c>
      <c r="J2883" s="27">
        <v>0</v>
      </c>
      <c r="K2883" s="47">
        <f t="shared" si="353"/>
        <v>0</v>
      </c>
      <c r="L2883" s="47">
        <f t="shared" si="354"/>
        <v>0</v>
      </c>
      <c r="M2883" s="84">
        <f t="shared" si="355"/>
        <v>0</v>
      </c>
      <c r="N2883" s="47">
        <f t="shared" si="356"/>
        <v>0</v>
      </c>
      <c r="O2883" s="47">
        <f t="shared" si="357"/>
        <v>0</v>
      </c>
      <c r="P2883" s="47">
        <f t="shared" si="358"/>
        <v>0</v>
      </c>
      <c r="Q2883" s="47">
        <f t="shared" si="359"/>
        <v>0</v>
      </c>
    </row>
    <row r="2884" spans="1:17" x14ac:dyDescent="0.35">
      <c r="A2884" s="82">
        <v>2881</v>
      </c>
      <c r="B2884" s="83" t="str">
        <f>_xlfn.XLOOKUP(A2884,'TAZs by City - CCAG Model'!$A:$A,'TAZs by City - CCAG Model'!$B:$B,"Unknown")</f>
        <v>Unknown</v>
      </c>
      <c r="C2884" s="82">
        <f>_xlfn.XLOOKUP(A2884,'TAZs by City - CCAG Model'!$A:$A,'TAZs by City - CCAG Model'!$C:$C,999)</f>
        <v>999</v>
      </c>
      <c r="D2884" s="82" t="str">
        <f t="shared" si="352"/>
        <v>NO</v>
      </c>
      <c r="E2884" s="27">
        <v>0</v>
      </c>
      <c r="F2884" s="27">
        <v>0</v>
      </c>
      <c r="G2884" s="27">
        <v>0</v>
      </c>
      <c r="H2884" s="27">
        <v>0</v>
      </c>
      <c r="I2884" s="27">
        <v>0</v>
      </c>
      <c r="J2884" s="27">
        <v>0</v>
      </c>
      <c r="K2884" s="47">
        <f t="shared" si="353"/>
        <v>0</v>
      </c>
      <c r="L2884" s="47">
        <f t="shared" si="354"/>
        <v>0</v>
      </c>
      <c r="M2884" s="84">
        <f t="shared" si="355"/>
        <v>0</v>
      </c>
      <c r="N2884" s="47">
        <f t="shared" si="356"/>
        <v>0</v>
      </c>
      <c r="O2884" s="47">
        <f t="shared" si="357"/>
        <v>0</v>
      </c>
      <c r="P2884" s="47">
        <f t="shared" si="358"/>
        <v>0</v>
      </c>
      <c r="Q2884" s="47">
        <f t="shared" si="359"/>
        <v>0</v>
      </c>
    </row>
    <row r="2885" spans="1:17" x14ac:dyDescent="0.35">
      <c r="A2885" s="82">
        <v>2882</v>
      </c>
      <c r="B2885" s="83" t="str">
        <f>_xlfn.XLOOKUP(A2885,'TAZs by City - CCAG Model'!$A:$A,'TAZs by City - CCAG Model'!$B:$B,"Unknown")</f>
        <v>Unknown</v>
      </c>
      <c r="C2885" s="82">
        <f>_xlfn.XLOOKUP(A2885,'TAZs by City - CCAG Model'!$A:$A,'TAZs by City - CCAG Model'!$C:$C,999)</f>
        <v>999</v>
      </c>
      <c r="D2885" s="82" t="str">
        <f t="shared" ref="D2885:D2948" si="360">IF(C2885=2,"YES","NO")</f>
        <v>NO</v>
      </c>
      <c r="E2885" s="27">
        <v>0</v>
      </c>
      <c r="F2885" s="27">
        <v>0</v>
      </c>
      <c r="G2885" s="27">
        <v>0</v>
      </c>
      <c r="H2885" s="27">
        <v>0</v>
      </c>
      <c r="I2885" s="27">
        <v>0</v>
      </c>
      <c r="J2885" s="27">
        <v>0</v>
      </c>
      <c r="K2885" s="47">
        <f t="shared" ref="K2885:K2948" si="361">IFERROR(E2885/$J2885,0)</f>
        <v>0</v>
      </c>
      <c r="L2885" s="47">
        <f t="shared" ref="L2885:L2948" si="362">IFERROR(F2885/$J2885,0)</f>
        <v>0</v>
      </c>
      <c r="M2885" s="84">
        <f t="shared" ref="M2885:M2948" si="363">IFERROR((E2885+F2885)/J2885,0)</f>
        <v>0</v>
      </c>
      <c r="N2885" s="47">
        <f t="shared" ref="N2885:N2948" si="364">IFERROR(G2885/$J2885,0)</f>
        <v>0</v>
      </c>
      <c r="O2885" s="47">
        <f t="shared" ref="O2885:O2948" si="365">IFERROR(H2885/$J2885,0)</f>
        <v>0</v>
      </c>
      <c r="P2885" s="47">
        <f t="shared" ref="P2885:P2948" si="366">IFERROR(I2885/$J2885,0)</f>
        <v>0</v>
      </c>
      <c r="Q2885" s="47">
        <f t="shared" ref="Q2885:Q2948" si="367">IFERROR(J2885/$J2885,0)</f>
        <v>0</v>
      </c>
    </row>
    <row r="2886" spans="1:17" x14ac:dyDescent="0.35">
      <c r="A2886" s="82">
        <v>2883</v>
      </c>
      <c r="B2886" s="83" t="str">
        <f>_xlfn.XLOOKUP(A2886,'TAZs by City - CCAG Model'!$A:$A,'TAZs by City - CCAG Model'!$B:$B,"Unknown")</f>
        <v>Unknown</v>
      </c>
      <c r="C2886" s="82">
        <f>_xlfn.XLOOKUP(A2886,'TAZs by City - CCAG Model'!$A:$A,'TAZs by City - CCAG Model'!$C:$C,999)</f>
        <v>999</v>
      </c>
      <c r="D2886" s="82" t="str">
        <f t="shared" si="360"/>
        <v>NO</v>
      </c>
      <c r="E2886" s="27">
        <v>0</v>
      </c>
      <c r="F2886" s="27">
        <v>0</v>
      </c>
      <c r="G2886" s="27">
        <v>0</v>
      </c>
      <c r="H2886" s="27">
        <v>0</v>
      </c>
      <c r="I2886" s="27">
        <v>0</v>
      </c>
      <c r="J2886" s="27">
        <v>0</v>
      </c>
      <c r="K2886" s="47">
        <f t="shared" si="361"/>
        <v>0</v>
      </c>
      <c r="L2886" s="47">
        <f t="shared" si="362"/>
        <v>0</v>
      </c>
      <c r="M2886" s="84">
        <f t="shared" si="363"/>
        <v>0</v>
      </c>
      <c r="N2886" s="47">
        <f t="shared" si="364"/>
        <v>0</v>
      </c>
      <c r="O2886" s="47">
        <f t="shared" si="365"/>
        <v>0</v>
      </c>
      <c r="P2886" s="47">
        <f t="shared" si="366"/>
        <v>0</v>
      </c>
      <c r="Q2886" s="47">
        <f t="shared" si="367"/>
        <v>0</v>
      </c>
    </row>
    <row r="2887" spans="1:17" x14ac:dyDescent="0.35">
      <c r="A2887" s="82">
        <v>2884</v>
      </c>
      <c r="B2887" s="83" t="str">
        <f>_xlfn.XLOOKUP(A2887,'TAZs by City - CCAG Model'!$A:$A,'TAZs by City - CCAG Model'!$B:$B,"Unknown")</f>
        <v>Unknown</v>
      </c>
      <c r="C2887" s="82">
        <f>_xlfn.XLOOKUP(A2887,'TAZs by City - CCAG Model'!$A:$A,'TAZs by City - CCAG Model'!$C:$C,999)</f>
        <v>999</v>
      </c>
      <c r="D2887" s="82" t="str">
        <f t="shared" si="360"/>
        <v>NO</v>
      </c>
      <c r="E2887" s="27">
        <v>0</v>
      </c>
      <c r="F2887" s="27">
        <v>0</v>
      </c>
      <c r="G2887" s="27">
        <v>0</v>
      </c>
      <c r="H2887" s="27">
        <v>0</v>
      </c>
      <c r="I2887" s="27">
        <v>0</v>
      </c>
      <c r="J2887" s="27">
        <v>0</v>
      </c>
      <c r="K2887" s="47">
        <f t="shared" si="361"/>
        <v>0</v>
      </c>
      <c r="L2887" s="47">
        <f t="shared" si="362"/>
        <v>0</v>
      </c>
      <c r="M2887" s="84">
        <f t="shared" si="363"/>
        <v>0</v>
      </c>
      <c r="N2887" s="47">
        <f t="shared" si="364"/>
        <v>0</v>
      </c>
      <c r="O2887" s="47">
        <f t="shared" si="365"/>
        <v>0</v>
      </c>
      <c r="P2887" s="47">
        <f t="shared" si="366"/>
        <v>0</v>
      </c>
      <c r="Q2887" s="47">
        <f t="shared" si="367"/>
        <v>0</v>
      </c>
    </row>
    <row r="2888" spans="1:17" x14ac:dyDescent="0.35">
      <c r="A2888" s="82">
        <v>2885</v>
      </c>
      <c r="B2888" s="83" t="str">
        <f>_xlfn.XLOOKUP(A2888,'TAZs by City - CCAG Model'!$A:$A,'TAZs by City - CCAG Model'!$B:$B,"Unknown")</f>
        <v>Unknown</v>
      </c>
      <c r="C2888" s="82">
        <f>_xlfn.XLOOKUP(A2888,'TAZs by City - CCAG Model'!$A:$A,'TAZs by City - CCAG Model'!$C:$C,999)</f>
        <v>999</v>
      </c>
      <c r="D2888" s="82" t="str">
        <f t="shared" si="360"/>
        <v>NO</v>
      </c>
      <c r="E2888" s="27">
        <v>0</v>
      </c>
      <c r="F2888" s="27">
        <v>0</v>
      </c>
      <c r="G2888" s="27">
        <v>0</v>
      </c>
      <c r="H2888" s="27">
        <v>0</v>
      </c>
      <c r="I2888" s="27">
        <v>0</v>
      </c>
      <c r="J2888" s="27">
        <v>0</v>
      </c>
      <c r="K2888" s="47">
        <f t="shared" si="361"/>
        <v>0</v>
      </c>
      <c r="L2888" s="47">
        <f t="shared" si="362"/>
        <v>0</v>
      </c>
      <c r="M2888" s="84">
        <f t="shared" si="363"/>
        <v>0</v>
      </c>
      <c r="N2888" s="47">
        <f t="shared" si="364"/>
        <v>0</v>
      </c>
      <c r="O2888" s="47">
        <f t="shared" si="365"/>
        <v>0</v>
      </c>
      <c r="P2888" s="47">
        <f t="shared" si="366"/>
        <v>0</v>
      </c>
      <c r="Q2888" s="47">
        <f t="shared" si="367"/>
        <v>0</v>
      </c>
    </row>
    <row r="2889" spans="1:17" x14ac:dyDescent="0.35">
      <c r="A2889" s="82">
        <v>2886</v>
      </c>
      <c r="B2889" s="83" t="str">
        <f>_xlfn.XLOOKUP(A2889,'TAZs by City - CCAG Model'!$A:$A,'TAZs by City - CCAG Model'!$B:$B,"Unknown")</f>
        <v>Unknown</v>
      </c>
      <c r="C2889" s="82">
        <f>_xlfn.XLOOKUP(A2889,'TAZs by City - CCAG Model'!$A:$A,'TAZs by City - CCAG Model'!$C:$C,999)</f>
        <v>999</v>
      </c>
      <c r="D2889" s="82" t="str">
        <f t="shared" si="360"/>
        <v>NO</v>
      </c>
      <c r="E2889" s="27">
        <v>0</v>
      </c>
      <c r="F2889" s="27">
        <v>0</v>
      </c>
      <c r="G2889" s="27">
        <v>0</v>
      </c>
      <c r="H2889" s="27">
        <v>0</v>
      </c>
      <c r="I2889" s="27">
        <v>0</v>
      </c>
      <c r="J2889" s="27">
        <v>0</v>
      </c>
      <c r="K2889" s="47">
        <f t="shared" si="361"/>
        <v>0</v>
      </c>
      <c r="L2889" s="47">
        <f t="shared" si="362"/>
        <v>0</v>
      </c>
      <c r="M2889" s="84">
        <f t="shared" si="363"/>
        <v>0</v>
      </c>
      <c r="N2889" s="47">
        <f t="shared" si="364"/>
        <v>0</v>
      </c>
      <c r="O2889" s="47">
        <f t="shared" si="365"/>
        <v>0</v>
      </c>
      <c r="P2889" s="47">
        <f t="shared" si="366"/>
        <v>0</v>
      </c>
      <c r="Q2889" s="47">
        <f t="shared" si="367"/>
        <v>0</v>
      </c>
    </row>
    <row r="2890" spans="1:17" x14ac:dyDescent="0.35">
      <c r="A2890" s="82">
        <v>2887</v>
      </c>
      <c r="B2890" s="83" t="str">
        <f>_xlfn.XLOOKUP(A2890,'TAZs by City - CCAG Model'!$A:$A,'TAZs by City - CCAG Model'!$B:$B,"Unknown")</f>
        <v>Unknown</v>
      </c>
      <c r="C2890" s="82">
        <f>_xlfn.XLOOKUP(A2890,'TAZs by City - CCAG Model'!$A:$A,'TAZs by City - CCAG Model'!$C:$C,999)</f>
        <v>999</v>
      </c>
      <c r="D2890" s="82" t="str">
        <f t="shared" si="360"/>
        <v>NO</v>
      </c>
      <c r="E2890" s="27">
        <v>0</v>
      </c>
      <c r="F2890" s="27">
        <v>0</v>
      </c>
      <c r="G2890" s="27">
        <v>0</v>
      </c>
      <c r="H2890" s="27">
        <v>0</v>
      </c>
      <c r="I2890" s="27">
        <v>0</v>
      </c>
      <c r="J2890" s="27">
        <v>0</v>
      </c>
      <c r="K2890" s="47">
        <f t="shared" si="361"/>
        <v>0</v>
      </c>
      <c r="L2890" s="47">
        <f t="shared" si="362"/>
        <v>0</v>
      </c>
      <c r="M2890" s="84">
        <f t="shared" si="363"/>
        <v>0</v>
      </c>
      <c r="N2890" s="47">
        <f t="shared" si="364"/>
        <v>0</v>
      </c>
      <c r="O2890" s="47">
        <f t="shared" si="365"/>
        <v>0</v>
      </c>
      <c r="P2890" s="47">
        <f t="shared" si="366"/>
        <v>0</v>
      </c>
      <c r="Q2890" s="47">
        <f t="shared" si="367"/>
        <v>0</v>
      </c>
    </row>
    <row r="2891" spans="1:17" x14ac:dyDescent="0.35">
      <c r="A2891" s="82">
        <v>2888</v>
      </c>
      <c r="B2891" s="83" t="str">
        <f>_xlfn.XLOOKUP(A2891,'TAZs by City - CCAG Model'!$A:$A,'TAZs by City - CCAG Model'!$B:$B,"Unknown")</f>
        <v>Unknown</v>
      </c>
      <c r="C2891" s="82">
        <f>_xlfn.XLOOKUP(A2891,'TAZs by City - CCAG Model'!$A:$A,'TAZs by City - CCAG Model'!$C:$C,999)</f>
        <v>999</v>
      </c>
      <c r="D2891" s="82" t="str">
        <f t="shared" si="360"/>
        <v>NO</v>
      </c>
      <c r="E2891" s="27">
        <v>0</v>
      </c>
      <c r="F2891" s="27">
        <v>0</v>
      </c>
      <c r="G2891" s="27">
        <v>0</v>
      </c>
      <c r="H2891" s="27">
        <v>0</v>
      </c>
      <c r="I2891" s="27">
        <v>0</v>
      </c>
      <c r="J2891" s="27">
        <v>0</v>
      </c>
      <c r="K2891" s="47">
        <f t="shared" si="361"/>
        <v>0</v>
      </c>
      <c r="L2891" s="47">
        <f t="shared" si="362"/>
        <v>0</v>
      </c>
      <c r="M2891" s="84">
        <f t="shared" si="363"/>
        <v>0</v>
      </c>
      <c r="N2891" s="47">
        <f t="shared" si="364"/>
        <v>0</v>
      </c>
      <c r="O2891" s="47">
        <f t="shared" si="365"/>
        <v>0</v>
      </c>
      <c r="P2891" s="47">
        <f t="shared" si="366"/>
        <v>0</v>
      </c>
      <c r="Q2891" s="47">
        <f t="shared" si="367"/>
        <v>0</v>
      </c>
    </row>
    <row r="2892" spans="1:17" x14ac:dyDescent="0.35">
      <c r="A2892" s="82">
        <v>2889</v>
      </c>
      <c r="B2892" s="83" t="str">
        <f>_xlfn.XLOOKUP(A2892,'TAZs by City - CCAG Model'!$A:$A,'TAZs by City - CCAG Model'!$B:$B,"Unknown")</f>
        <v>Unknown</v>
      </c>
      <c r="C2892" s="82">
        <f>_xlfn.XLOOKUP(A2892,'TAZs by City - CCAG Model'!$A:$A,'TAZs by City - CCAG Model'!$C:$C,999)</f>
        <v>999</v>
      </c>
      <c r="D2892" s="82" t="str">
        <f t="shared" si="360"/>
        <v>NO</v>
      </c>
      <c r="E2892" s="27">
        <v>0</v>
      </c>
      <c r="F2892" s="27">
        <v>0</v>
      </c>
      <c r="G2892" s="27">
        <v>0</v>
      </c>
      <c r="H2892" s="27">
        <v>0</v>
      </c>
      <c r="I2892" s="27">
        <v>0</v>
      </c>
      <c r="J2892" s="27">
        <v>0</v>
      </c>
      <c r="K2892" s="47">
        <f t="shared" si="361"/>
        <v>0</v>
      </c>
      <c r="L2892" s="47">
        <f t="shared" si="362"/>
        <v>0</v>
      </c>
      <c r="M2892" s="84">
        <f t="shared" si="363"/>
        <v>0</v>
      </c>
      <c r="N2892" s="47">
        <f t="shared" si="364"/>
        <v>0</v>
      </c>
      <c r="O2892" s="47">
        <f t="shared" si="365"/>
        <v>0</v>
      </c>
      <c r="P2892" s="47">
        <f t="shared" si="366"/>
        <v>0</v>
      </c>
      <c r="Q2892" s="47">
        <f t="shared" si="367"/>
        <v>0</v>
      </c>
    </row>
    <row r="2893" spans="1:17" x14ac:dyDescent="0.35">
      <c r="A2893" s="82">
        <v>2890</v>
      </c>
      <c r="B2893" s="83" t="str">
        <f>_xlfn.XLOOKUP(A2893,'TAZs by City - CCAG Model'!$A:$A,'TAZs by City - CCAG Model'!$B:$B,"Unknown")</f>
        <v>Unknown</v>
      </c>
      <c r="C2893" s="82">
        <f>_xlfn.XLOOKUP(A2893,'TAZs by City - CCAG Model'!$A:$A,'TAZs by City - CCAG Model'!$C:$C,999)</f>
        <v>999</v>
      </c>
      <c r="D2893" s="82" t="str">
        <f t="shared" si="360"/>
        <v>NO</v>
      </c>
      <c r="E2893" s="27">
        <v>0</v>
      </c>
      <c r="F2893" s="27">
        <v>0</v>
      </c>
      <c r="G2893" s="27">
        <v>0</v>
      </c>
      <c r="H2893" s="27">
        <v>0</v>
      </c>
      <c r="I2893" s="27">
        <v>0</v>
      </c>
      <c r="J2893" s="27">
        <v>0</v>
      </c>
      <c r="K2893" s="47">
        <f t="shared" si="361"/>
        <v>0</v>
      </c>
      <c r="L2893" s="47">
        <f t="shared" si="362"/>
        <v>0</v>
      </c>
      <c r="M2893" s="84">
        <f t="shared" si="363"/>
        <v>0</v>
      </c>
      <c r="N2893" s="47">
        <f t="shared" si="364"/>
        <v>0</v>
      </c>
      <c r="O2893" s="47">
        <f t="shared" si="365"/>
        <v>0</v>
      </c>
      <c r="P2893" s="47">
        <f t="shared" si="366"/>
        <v>0</v>
      </c>
      <c r="Q2893" s="47">
        <f t="shared" si="367"/>
        <v>0</v>
      </c>
    </row>
    <row r="2894" spans="1:17" x14ac:dyDescent="0.35">
      <c r="A2894" s="82">
        <v>2891</v>
      </c>
      <c r="B2894" s="83" t="str">
        <f>_xlfn.XLOOKUP(A2894,'TAZs by City - CCAG Model'!$A:$A,'TAZs by City - CCAG Model'!$B:$B,"Unknown")</f>
        <v>Unknown</v>
      </c>
      <c r="C2894" s="82">
        <f>_xlfn.XLOOKUP(A2894,'TAZs by City - CCAG Model'!$A:$A,'TAZs by City - CCAG Model'!$C:$C,999)</f>
        <v>999</v>
      </c>
      <c r="D2894" s="82" t="str">
        <f t="shared" si="360"/>
        <v>NO</v>
      </c>
      <c r="E2894" s="27">
        <v>0</v>
      </c>
      <c r="F2894" s="27">
        <v>0</v>
      </c>
      <c r="G2894" s="27">
        <v>0</v>
      </c>
      <c r="H2894" s="27">
        <v>0</v>
      </c>
      <c r="I2894" s="27">
        <v>0</v>
      </c>
      <c r="J2894" s="27">
        <v>0</v>
      </c>
      <c r="K2894" s="47">
        <f t="shared" si="361"/>
        <v>0</v>
      </c>
      <c r="L2894" s="47">
        <f t="shared" si="362"/>
        <v>0</v>
      </c>
      <c r="M2894" s="84">
        <f t="shared" si="363"/>
        <v>0</v>
      </c>
      <c r="N2894" s="47">
        <f t="shared" si="364"/>
        <v>0</v>
      </c>
      <c r="O2894" s="47">
        <f t="shared" si="365"/>
        <v>0</v>
      </c>
      <c r="P2894" s="47">
        <f t="shared" si="366"/>
        <v>0</v>
      </c>
      <c r="Q2894" s="47">
        <f t="shared" si="367"/>
        <v>0</v>
      </c>
    </row>
    <row r="2895" spans="1:17" x14ac:dyDescent="0.35">
      <c r="A2895" s="82">
        <v>2892</v>
      </c>
      <c r="B2895" s="83" t="str">
        <f>_xlfn.XLOOKUP(A2895,'TAZs by City - CCAG Model'!$A:$A,'TAZs by City - CCAG Model'!$B:$B,"Unknown")</f>
        <v>Unknown</v>
      </c>
      <c r="C2895" s="82">
        <f>_xlfn.XLOOKUP(A2895,'TAZs by City - CCAG Model'!$A:$A,'TAZs by City - CCAG Model'!$C:$C,999)</f>
        <v>999</v>
      </c>
      <c r="D2895" s="82" t="str">
        <f t="shared" si="360"/>
        <v>NO</v>
      </c>
      <c r="E2895" s="27">
        <v>0</v>
      </c>
      <c r="F2895" s="27">
        <v>0</v>
      </c>
      <c r="G2895" s="27">
        <v>0</v>
      </c>
      <c r="H2895" s="27">
        <v>0</v>
      </c>
      <c r="I2895" s="27">
        <v>0</v>
      </c>
      <c r="J2895" s="27">
        <v>0</v>
      </c>
      <c r="K2895" s="47">
        <f t="shared" si="361"/>
        <v>0</v>
      </c>
      <c r="L2895" s="47">
        <f t="shared" si="362"/>
        <v>0</v>
      </c>
      <c r="M2895" s="84">
        <f t="shared" si="363"/>
        <v>0</v>
      </c>
      <c r="N2895" s="47">
        <f t="shared" si="364"/>
        <v>0</v>
      </c>
      <c r="O2895" s="47">
        <f t="shared" si="365"/>
        <v>0</v>
      </c>
      <c r="P2895" s="47">
        <f t="shared" si="366"/>
        <v>0</v>
      </c>
      <c r="Q2895" s="47">
        <f t="shared" si="367"/>
        <v>0</v>
      </c>
    </row>
    <row r="2896" spans="1:17" x14ac:dyDescent="0.35">
      <c r="A2896" s="82">
        <v>2893</v>
      </c>
      <c r="B2896" s="83" t="str">
        <f>_xlfn.XLOOKUP(A2896,'TAZs by City - CCAG Model'!$A:$A,'TAZs by City - CCAG Model'!$B:$B,"Unknown")</f>
        <v>Unknown</v>
      </c>
      <c r="C2896" s="82">
        <f>_xlfn.XLOOKUP(A2896,'TAZs by City - CCAG Model'!$A:$A,'TAZs by City - CCAG Model'!$C:$C,999)</f>
        <v>999</v>
      </c>
      <c r="D2896" s="82" t="str">
        <f t="shared" si="360"/>
        <v>NO</v>
      </c>
      <c r="E2896" s="27">
        <v>0</v>
      </c>
      <c r="F2896" s="27">
        <v>0</v>
      </c>
      <c r="G2896" s="27">
        <v>0</v>
      </c>
      <c r="H2896" s="27">
        <v>0</v>
      </c>
      <c r="I2896" s="27">
        <v>0</v>
      </c>
      <c r="J2896" s="27">
        <v>0</v>
      </c>
      <c r="K2896" s="47">
        <f t="shared" si="361"/>
        <v>0</v>
      </c>
      <c r="L2896" s="47">
        <f t="shared" si="362"/>
        <v>0</v>
      </c>
      <c r="M2896" s="84">
        <f t="shared" si="363"/>
        <v>0</v>
      </c>
      <c r="N2896" s="47">
        <f t="shared" si="364"/>
        <v>0</v>
      </c>
      <c r="O2896" s="47">
        <f t="shared" si="365"/>
        <v>0</v>
      </c>
      <c r="P2896" s="47">
        <f t="shared" si="366"/>
        <v>0</v>
      </c>
      <c r="Q2896" s="47">
        <f t="shared" si="367"/>
        <v>0</v>
      </c>
    </row>
    <row r="2897" spans="1:17" x14ac:dyDescent="0.35">
      <c r="A2897" s="82">
        <v>2894</v>
      </c>
      <c r="B2897" s="83" t="str">
        <f>_xlfn.XLOOKUP(A2897,'TAZs by City - CCAG Model'!$A:$A,'TAZs by City - CCAG Model'!$B:$B,"Unknown")</f>
        <v>Unknown</v>
      </c>
      <c r="C2897" s="82">
        <f>_xlfn.XLOOKUP(A2897,'TAZs by City - CCAG Model'!$A:$A,'TAZs by City - CCAG Model'!$C:$C,999)</f>
        <v>999</v>
      </c>
      <c r="D2897" s="82" t="str">
        <f t="shared" si="360"/>
        <v>NO</v>
      </c>
      <c r="E2897" s="27">
        <v>0</v>
      </c>
      <c r="F2897" s="27">
        <v>0</v>
      </c>
      <c r="G2897" s="27">
        <v>0</v>
      </c>
      <c r="H2897" s="27">
        <v>0</v>
      </c>
      <c r="I2897" s="27">
        <v>0</v>
      </c>
      <c r="J2897" s="27">
        <v>0</v>
      </c>
      <c r="K2897" s="47">
        <f t="shared" si="361"/>
        <v>0</v>
      </c>
      <c r="L2897" s="47">
        <f t="shared" si="362"/>
        <v>0</v>
      </c>
      <c r="M2897" s="84">
        <f t="shared" si="363"/>
        <v>0</v>
      </c>
      <c r="N2897" s="47">
        <f t="shared" si="364"/>
        <v>0</v>
      </c>
      <c r="O2897" s="47">
        <f t="shared" si="365"/>
        <v>0</v>
      </c>
      <c r="P2897" s="47">
        <f t="shared" si="366"/>
        <v>0</v>
      </c>
      <c r="Q2897" s="47">
        <f t="shared" si="367"/>
        <v>0</v>
      </c>
    </row>
    <row r="2898" spans="1:17" x14ac:dyDescent="0.35">
      <c r="A2898" s="82">
        <v>2895</v>
      </c>
      <c r="B2898" s="83" t="str">
        <f>_xlfn.XLOOKUP(A2898,'TAZs by City - CCAG Model'!$A:$A,'TAZs by City - CCAG Model'!$B:$B,"Unknown")</f>
        <v>Unknown</v>
      </c>
      <c r="C2898" s="82">
        <f>_xlfn.XLOOKUP(A2898,'TAZs by City - CCAG Model'!$A:$A,'TAZs by City - CCAG Model'!$C:$C,999)</f>
        <v>999</v>
      </c>
      <c r="D2898" s="82" t="str">
        <f t="shared" si="360"/>
        <v>NO</v>
      </c>
      <c r="E2898" s="27">
        <v>0</v>
      </c>
      <c r="F2898" s="27">
        <v>0</v>
      </c>
      <c r="G2898" s="27">
        <v>0</v>
      </c>
      <c r="H2898" s="27">
        <v>0</v>
      </c>
      <c r="I2898" s="27">
        <v>0</v>
      </c>
      <c r="J2898" s="27">
        <v>0</v>
      </c>
      <c r="K2898" s="47">
        <f t="shared" si="361"/>
        <v>0</v>
      </c>
      <c r="L2898" s="47">
        <f t="shared" si="362"/>
        <v>0</v>
      </c>
      <c r="M2898" s="84">
        <f t="shared" si="363"/>
        <v>0</v>
      </c>
      <c r="N2898" s="47">
        <f t="shared" si="364"/>
        <v>0</v>
      </c>
      <c r="O2898" s="47">
        <f t="shared" si="365"/>
        <v>0</v>
      </c>
      <c r="P2898" s="47">
        <f t="shared" si="366"/>
        <v>0</v>
      </c>
      <c r="Q2898" s="47">
        <f t="shared" si="367"/>
        <v>0</v>
      </c>
    </row>
    <row r="2899" spans="1:17" x14ac:dyDescent="0.35">
      <c r="A2899" s="82">
        <v>2896</v>
      </c>
      <c r="B2899" s="83" t="str">
        <f>_xlfn.XLOOKUP(A2899,'TAZs by City - CCAG Model'!$A:$A,'TAZs by City - CCAG Model'!$B:$B,"Unknown")</f>
        <v>Unknown</v>
      </c>
      <c r="C2899" s="82">
        <f>_xlfn.XLOOKUP(A2899,'TAZs by City - CCAG Model'!$A:$A,'TAZs by City - CCAG Model'!$C:$C,999)</f>
        <v>999</v>
      </c>
      <c r="D2899" s="82" t="str">
        <f t="shared" si="360"/>
        <v>NO</v>
      </c>
      <c r="E2899" s="27">
        <v>0</v>
      </c>
      <c r="F2899" s="27">
        <v>0</v>
      </c>
      <c r="G2899" s="27">
        <v>0</v>
      </c>
      <c r="H2899" s="27">
        <v>0</v>
      </c>
      <c r="I2899" s="27">
        <v>0</v>
      </c>
      <c r="J2899" s="27">
        <v>0</v>
      </c>
      <c r="K2899" s="47">
        <f t="shared" si="361"/>
        <v>0</v>
      </c>
      <c r="L2899" s="47">
        <f t="shared" si="362"/>
        <v>0</v>
      </c>
      <c r="M2899" s="84">
        <f t="shared" si="363"/>
        <v>0</v>
      </c>
      <c r="N2899" s="47">
        <f t="shared" si="364"/>
        <v>0</v>
      </c>
      <c r="O2899" s="47">
        <f t="shared" si="365"/>
        <v>0</v>
      </c>
      <c r="P2899" s="47">
        <f t="shared" si="366"/>
        <v>0</v>
      </c>
      <c r="Q2899" s="47">
        <f t="shared" si="367"/>
        <v>0</v>
      </c>
    </row>
    <row r="2900" spans="1:17" x14ac:dyDescent="0.35">
      <c r="A2900" s="82">
        <v>2897</v>
      </c>
      <c r="B2900" s="83" t="str">
        <f>_xlfn.XLOOKUP(A2900,'TAZs by City - CCAG Model'!$A:$A,'TAZs by City - CCAG Model'!$B:$B,"Unknown")</f>
        <v>Unknown</v>
      </c>
      <c r="C2900" s="82">
        <f>_xlfn.XLOOKUP(A2900,'TAZs by City - CCAG Model'!$A:$A,'TAZs by City - CCAG Model'!$C:$C,999)</f>
        <v>999</v>
      </c>
      <c r="D2900" s="82" t="str">
        <f t="shared" si="360"/>
        <v>NO</v>
      </c>
      <c r="E2900" s="27">
        <v>0</v>
      </c>
      <c r="F2900" s="27">
        <v>0</v>
      </c>
      <c r="G2900" s="27">
        <v>0</v>
      </c>
      <c r="H2900" s="27">
        <v>0</v>
      </c>
      <c r="I2900" s="27">
        <v>0</v>
      </c>
      <c r="J2900" s="27">
        <v>0</v>
      </c>
      <c r="K2900" s="47">
        <f t="shared" si="361"/>
        <v>0</v>
      </c>
      <c r="L2900" s="47">
        <f t="shared" si="362"/>
        <v>0</v>
      </c>
      <c r="M2900" s="84">
        <f t="shared" si="363"/>
        <v>0</v>
      </c>
      <c r="N2900" s="47">
        <f t="shared" si="364"/>
        <v>0</v>
      </c>
      <c r="O2900" s="47">
        <f t="shared" si="365"/>
        <v>0</v>
      </c>
      <c r="P2900" s="47">
        <f t="shared" si="366"/>
        <v>0</v>
      </c>
      <c r="Q2900" s="47">
        <f t="shared" si="367"/>
        <v>0</v>
      </c>
    </row>
    <row r="2901" spans="1:17" x14ac:dyDescent="0.35">
      <c r="A2901" s="82">
        <v>2898</v>
      </c>
      <c r="B2901" s="83" t="str">
        <f>_xlfn.XLOOKUP(A2901,'TAZs by City - CCAG Model'!$A:$A,'TAZs by City - CCAG Model'!$B:$B,"Unknown")</f>
        <v>Unknown</v>
      </c>
      <c r="C2901" s="82">
        <f>_xlfn.XLOOKUP(A2901,'TAZs by City - CCAG Model'!$A:$A,'TAZs by City - CCAG Model'!$C:$C,999)</f>
        <v>999</v>
      </c>
      <c r="D2901" s="82" t="str">
        <f t="shared" si="360"/>
        <v>NO</v>
      </c>
      <c r="E2901" s="27">
        <v>0</v>
      </c>
      <c r="F2901" s="27">
        <v>0</v>
      </c>
      <c r="G2901" s="27">
        <v>0</v>
      </c>
      <c r="H2901" s="27">
        <v>0</v>
      </c>
      <c r="I2901" s="27">
        <v>0</v>
      </c>
      <c r="J2901" s="27">
        <v>0</v>
      </c>
      <c r="K2901" s="47">
        <f t="shared" si="361"/>
        <v>0</v>
      </c>
      <c r="L2901" s="47">
        <f t="shared" si="362"/>
        <v>0</v>
      </c>
      <c r="M2901" s="84">
        <f t="shared" si="363"/>
        <v>0</v>
      </c>
      <c r="N2901" s="47">
        <f t="shared" si="364"/>
        <v>0</v>
      </c>
      <c r="O2901" s="47">
        <f t="shared" si="365"/>
        <v>0</v>
      </c>
      <c r="P2901" s="47">
        <f t="shared" si="366"/>
        <v>0</v>
      </c>
      <c r="Q2901" s="47">
        <f t="shared" si="367"/>
        <v>0</v>
      </c>
    </row>
    <row r="2902" spans="1:17" x14ac:dyDescent="0.35">
      <c r="A2902" s="82">
        <v>2899</v>
      </c>
      <c r="B2902" s="83" t="str">
        <f>_xlfn.XLOOKUP(A2902,'TAZs by City - CCAG Model'!$A:$A,'TAZs by City - CCAG Model'!$B:$B,"Unknown")</f>
        <v>Unknown</v>
      </c>
      <c r="C2902" s="82">
        <f>_xlfn.XLOOKUP(A2902,'TAZs by City - CCAG Model'!$A:$A,'TAZs by City - CCAG Model'!$C:$C,999)</f>
        <v>999</v>
      </c>
      <c r="D2902" s="82" t="str">
        <f t="shared" si="360"/>
        <v>NO</v>
      </c>
      <c r="E2902" s="27">
        <v>0</v>
      </c>
      <c r="F2902" s="27">
        <v>0</v>
      </c>
      <c r="G2902" s="27">
        <v>0</v>
      </c>
      <c r="H2902" s="27">
        <v>0</v>
      </c>
      <c r="I2902" s="27">
        <v>0</v>
      </c>
      <c r="J2902" s="27">
        <v>0</v>
      </c>
      <c r="K2902" s="47">
        <f t="shared" si="361"/>
        <v>0</v>
      </c>
      <c r="L2902" s="47">
        <f t="shared" si="362"/>
        <v>0</v>
      </c>
      <c r="M2902" s="84">
        <f t="shared" si="363"/>
        <v>0</v>
      </c>
      <c r="N2902" s="47">
        <f t="shared" si="364"/>
        <v>0</v>
      </c>
      <c r="O2902" s="47">
        <f t="shared" si="365"/>
        <v>0</v>
      </c>
      <c r="P2902" s="47">
        <f t="shared" si="366"/>
        <v>0</v>
      </c>
      <c r="Q2902" s="47">
        <f t="shared" si="367"/>
        <v>0</v>
      </c>
    </row>
    <row r="2903" spans="1:17" x14ac:dyDescent="0.35">
      <c r="A2903" s="82">
        <v>2900</v>
      </c>
      <c r="B2903" s="83" t="str">
        <f>_xlfn.XLOOKUP(A2903,'TAZs by City - CCAG Model'!$A:$A,'TAZs by City - CCAG Model'!$B:$B,"Unknown")</f>
        <v>Unknown</v>
      </c>
      <c r="C2903" s="82">
        <f>_xlfn.XLOOKUP(A2903,'TAZs by City - CCAG Model'!$A:$A,'TAZs by City - CCAG Model'!$C:$C,999)</f>
        <v>999</v>
      </c>
      <c r="D2903" s="82" t="str">
        <f t="shared" si="360"/>
        <v>NO</v>
      </c>
      <c r="E2903" s="27">
        <v>0</v>
      </c>
      <c r="F2903" s="27">
        <v>0</v>
      </c>
      <c r="G2903" s="27">
        <v>0</v>
      </c>
      <c r="H2903" s="27">
        <v>0</v>
      </c>
      <c r="I2903" s="27">
        <v>0</v>
      </c>
      <c r="J2903" s="27">
        <v>0</v>
      </c>
      <c r="K2903" s="47">
        <f t="shared" si="361"/>
        <v>0</v>
      </c>
      <c r="L2903" s="47">
        <f t="shared" si="362"/>
        <v>0</v>
      </c>
      <c r="M2903" s="84">
        <f t="shared" si="363"/>
        <v>0</v>
      </c>
      <c r="N2903" s="47">
        <f t="shared" si="364"/>
        <v>0</v>
      </c>
      <c r="O2903" s="47">
        <f t="shared" si="365"/>
        <v>0</v>
      </c>
      <c r="P2903" s="47">
        <f t="shared" si="366"/>
        <v>0</v>
      </c>
      <c r="Q2903" s="47">
        <f t="shared" si="367"/>
        <v>0</v>
      </c>
    </row>
    <row r="2904" spans="1:17" x14ac:dyDescent="0.35">
      <c r="A2904" s="82">
        <v>2901</v>
      </c>
      <c r="B2904" s="83" t="str">
        <f>_xlfn.XLOOKUP(A2904,'TAZs by City - CCAG Model'!$A:$A,'TAZs by City - CCAG Model'!$B:$B,"Unknown")</f>
        <v>Unincorporated</v>
      </c>
      <c r="C2904" s="82">
        <f>_xlfn.XLOOKUP(A2904,'TAZs by City - CCAG Model'!$A:$A,'TAZs by City - CCAG Model'!$C:$C,999)</f>
        <v>10</v>
      </c>
      <c r="D2904" s="82" t="str">
        <f t="shared" si="360"/>
        <v>NO</v>
      </c>
      <c r="E2904" s="27">
        <v>10928.08</v>
      </c>
      <c r="F2904" s="27">
        <v>7291.94</v>
      </c>
      <c r="G2904" s="27">
        <v>614.67999999999995</v>
      </c>
      <c r="H2904" s="27">
        <v>250.12</v>
      </c>
      <c r="I2904" s="27">
        <v>1825.88</v>
      </c>
      <c r="J2904" s="27">
        <v>20934.86</v>
      </c>
      <c r="K2904" s="47">
        <f t="shared" si="361"/>
        <v>0.52200396850038644</v>
      </c>
      <c r="L2904" s="47">
        <f t="shared" si="362"/>
        <v>0.34831568016217923</v>
      </c>
      <c r="M2904" s="84">
        <f t="shared" si="363"/>
        <v>0.87031964866256573</v>
      </c>
      <c r="N2904" s="47">
        <f t="shared" si="364"/>
        <v>2.93615529313308E-2</v>
      </c>
      <c r="O2904" s="47">
        <f t="shared" si="365"/>
        <v>1.1947536310249985E-2</v>
      </c>
      <c r="P2904" s="47">
        <f t="shared" si="366"/>
        <v>8.7217206133692798E-2</v>
      </c>
      <c r="Q2904" s="47">
        <f t="shared" si="367"/>
        <v>1</v>
      </c>
    </row>
    <row r="2905" spans="1:17" x14ac:dyDescent="0.35">
      <c r="A2905" s="82">
        <v>2902</v>
      </c>
      <c r="B2905" s="83" t="str">
        <f>_xlfn.XLOOKUP(A2905,'TAZs by City - CCAG Model'!$A:$A,'TAZs by City - CCAG Model'!$B:$B,"Unknown")</f>
        <v>Unincorporated</v>
      </c>
      <c r="C2905" s="82">
        <f>_xlfn.XLOOKUP(A2905,'TAZs by City - CCAG Model'!$A:$A,'TAZs by City - CCAG Model'!$C:$C,999)</f>
        <v>10</v>
      </c>
      <c r="D2905" s="82" t="str">
        <f t="shared" si="360"/>
        <v>NO</v>
      </c>
      <c r="E2905" s="27">
        <v>41777.72</v>
      </c>
      <c r="F2905" s="27">
        <v>24508.240000000002</v>
      </c>
      <c r="G2905" s="27">
        <v>1592.9</v>
      </c>
      <c r="H2905" s="27">
        <v>453.66</v>
      </c>
      <c r="I2905" s="27">
        <v>4440.9399999999996</v>
      </c>
      <c r="J2905" s="27">
        <v>72784.5</v>
      </c>
      <c r="K2905" s="47">
        <f t="shared" si="361"/>
        <v>0.57399199005282719</v>
      </c>
      <c r="L2905" s="47">
        <f t="shared" si="362"/>
        <v>0.33672334082119137</v>
      </c>
      <c r="M2905" s="84">
        <f t="shared" si="363"/>
        <v>0.91071533087401857</v>
      </c>
      <c r="N2905" s="47">
        <f t="shared" si="364"/>
        <v>2.1885154119352337E-2</v>
      </c>
      <c r="O2905" s="47">
        <f t="shared" si="365"/>
        <v>6.2329204707046145E-3</v>
      </c>
      <c r="P2905" s="47">
        <f t="shared" si="366"/>
        <v>6.1014913889633086E-2</v>
      </c>
      <c r="Q2905" s="47">
        <f t="shared" si="367"/>
        <v>1</v>
      </c>
    </row>
    <row r="2906" spans="1:17" x14ac:dyDescent="0.35">
      <c r="A2906" s="82">
        <v>2903</v>
      </c>
      <c r="B2906" s="83" t="str">
        <f>_xlfn.XLOOKUP(A2906,'TAZs by City - CCAG Model'!$A:$A,'TAZs by City - CCAG Model'!$B:$B,"Unknown")</f>
        <v>Unincorporated</v>
      </c>
      <c r="C2906" s="82">
        <f>_xlfn.XLOOKUP(A2906,'TAZs by City - CCAG Model'!$A:$A,'TAZs by City - CCAG Model'!$C:$C,999)</f>
        <v>10</v>
      </c>
      <c r="D2906" s="82" t="str">
        <f t="shared" si="360"/>
        <v>NO</v>
      </c>
      <c r="E2906" s="27">
        <v>15624.46</v>
      </c>
      <c r="F2906" s="27">
        <v>10465.66</v>
      </c>
      <c r="G2906" s="27">
        <v>193.86</v>
      </c>
      <c r="H2906" s="27">
        <v>58.62</v>
      </c>
      <c r="I2906" s="27">
        <v>487.06</v>
      </c>
      <c r="J2906" s="27">
        <v>26842.82</v>
      </c>
      <c r="K2906" s="47">
        <f t="shared" si="361"/>
        <v>0.58207222639052081</v>
      </c>
      <c r="L2906" s="47">
        <f t="shared" si="362"/>
        <v>0.38988675556443025</v>
      </c>
      <c r="M2906" s="84">
        <f t="shared" si="363"/>
        <v>0.97195898195495101</v>
      </c>
      <c r="N2906" s="47">
        <f t="shared" si="364"/>
        <v>7.2220429895219658E-3</v>
      </c>
      <c r="O2906" s="47">
        <f t="shared" si="365"/>
        <v>2.1838242032692539E-3</v>
      </c>
      <c r="P2906" s="47">
        <f t="shared" si="366"/>
        <v>1.8144889396866648E-2</v>
      </c>
      <c r="Q2906" s="47">
        <f t="shared" si="367"/>
        <v>1</v>
      </c>
    </row>
    <row r="2907" spans="1:17" x14ac:dyDescent="0.35">
      <c r="A2907" s="82">
        <v>2904</v>
      </c>
      <c r="B2907" s="83" t="str">
        <f>_xlfn.XLOOKUP(A2907,'TAZs by City - CCAG Model'!$A:$A,'TAZs by City - CCAG Model'!$B:$B,"Unknown")</f>
        <v>Unincorporated</v>
      </c>
      <c r="C2907" s="82">
        <f>_xlfn.XLOOKUP(A2907,'TAZs by City - CCAG Model'!$A:$A,'TAZs by City - CCAG Model'!$C:$C,999)</f>
        <v>10</v>
      </c>
      <c r="D2907" s="82" t="str">
        <f t="shared" si="360"/>
        <v>NO</v>
      </c>
      <c r="E2907" s="27">
        <v>49505.68</v>
      </c>
      <c r="F2907" s="27">
        <v>26077.279999999999</v>
      </c>
      <c r="G2907" s="27">
        <v>2471.08</v>
      </c>
      <c r="H2907" s="27">
        <v>735.68</v>
      </c>
      <c r="I2907" s="27">
        <v>7711.54</v>
      </c>
      <c r="J2907" s="27">
        <v>86510.78</v>
      </c>
      <c r="K2907" s="47">
        <f t="shared" si="361"/>
        <v>0.57224868392124084</v>
      </c>
      <c r="L2907" s="47">
        <f t="shared" si="362"/>
        <v>0.3014338791073205</v>
      </c>
      <c r="M2907" s="84">
        <f t="shared" si="363"/>
        <v>0.87368256302856118</v>
      </c>
      <c r="N2907" s="47">
        <f t="shared" si="364"/>
        <v>2.8563839096121892E-2</v>
      </c>
      <c r="O2907" s="47">
        <f t="shared" si="365"/>
        <v>8.5039113044640211E-3</v>
      </c>
      <c r="P2907" s="47">
        <f t="shared" si="366"/>
        <v>8.9139642481549694E-2</v>
      </c>
      <c r="Q2907" s="47">
        <f t="shared" si="367"/>
        <v>1</v>
      </c>
    </row>
    <row r="2908" spans="1:17" x14ac:dyDescent="0.35">
      <c r="A2908" s="82">
        <v>2905</v>
      </c>
      <c r="B2908" s="83" t="str">
        <f>_xlfn.XLOOKUP(A2908,'TAZs by City - CCAG Model'!$A:$A,'TAZs by City - CCAG Model'!$B:$B,"Unknown")</f>
        <v>Unincorporated</v>
      </c>
      <c r="C2908" s="82">
        <f>_xlfn.XLOOKUP(A2908,'TAZs by City - CCAG Model'!$A:$A,'TAZs by City - CCAG Model'!$C:$C,999)</f>
        <v>10</v>
      </c>
      <c r="D2908" s="82" t="str">
        <f t="shared" si="360"/>
        <v>NO</v>
      </c>
      <c r="E2908" s="27">
        <v>88202.02</v>
      </c>
      <c r="F2908" s="27">
        <v>46838.54</v>
      </c>
      <c r="G2908" s="27">
        <v>4586.3999999999996</v>
      </c>
      <c r="H2908" s="27">
        <v>1403.84</v>
      </c>
      <c r="I2908" s="27">
        <v>12208.78</v>
      </c>
      <c r="J2908" s="27">
        <v>153247.88</v>
      </c>
      <c r="K2908" s="47">
        <f t="shared" si="361"/>
        <v>0.57555132247180185</v>
      </c>
      <c r="L2908" s="47">
        <f t="shared" si="362"/>
        <v>0.30563907311474714</v>
      </c>
      <c r="M2908" s="84">
        <f t="shared" si="363"/>
        <v>0.88119039558654899</v>
      </c>
      <c r="N2908" s="47">
        <f t="shared" si="364"/>
        <v>2.9927983343064839E-2</v>
      </c>
      <c r="O2908" s="47">
        <f t="shared" si="365"/>
        <v>9.160583493879328E-3</v>
      </c>
      <c r="P2908" s="47">
        <f t="shared" si="366"/>
        <v>7.9666876957775856E-2</v>
      </c>
      <c r="Q2908" s="47">
        <f t="shared" si="367"/>
        <v>1</v>
      </c>
    </row>
    <row r="2909" spans="1:17" x14ac:dyDescent="0.35">
      <c r="A2909" s="82">
        <v>2906</v>
      </c>
      <c r="B2909" s="83" t="str">
        <f>_xlfn.XLOOKUP(A2909,'TAZs by City - CCAG Model'!$A:$A,'TAZs by City - CCAG Model'!$B:$B,"Unknown")</f>
        <v>Santa Cruz</v>
      </c>
      <c r="C2909" s="82">
        <f>_xlfn.XLOOKUP(A2909,'TAZs by City - CCAG Model'!$A:$A,'TAZs by City - CCAG Model'!$C:$C,999)</f>
        <v>10</v>
      </c>
      <c r="D2909" s="82" t="str">
        <f t="shared" si="360"/>
        <v>NO</v>
      </c>
      <c r="E2909" s="27">
        <v>106634.92</v>
      </c>
      <c r="F2909" s="27">
        <v>58963.88</v>
      </c>
      <c r="G2909" s="27">
        <v>5135.54</v>
      </c>
      <c r="H2909" s="27">
        <v>1438.78</v>
      </c>
      <c r="I2909" s="27">
        <v>16568.28</v>
      </c>
      <c r="J2909" s="27">
        <v>188752.22</v>
      </c>
      <c r="K2909" s="47">
        <f t="shared" si="361"/>
        <v>0.5649465738734093</v>
      </c>
      <c r="L2909" s="47">
        <f t="shared" si="362"/>
        <v>0.31238774304217454</v>
      </c>
      <c r="M2909" s="84">
        <f t="shared" si="363"/>
        <v>0.87733431691558372</v>
      </c>
      <c r="N2909" s="47">
        <f t="shared" si="364"/>
        <v>2.720783893296725E-2</v>
      </c>
      <c r="O2909" s="47">
        <f t="shared" si="365"/>
        <v>7.6225858429638605E-3</v>
      </c>
      <c r="P2909" s="47">
        <f t="shared" si="366"/>
        <v>8.7777934479393138E-2</v>
      </c>
      <c r="Q2909" s="47">
        <f t="shared" si="367"/>
        <v>1</v>
      </c>
    </row>
    <row r="2910" spans="1:17" x14ac:dyDescent="0.35">
      <c r="A2910" s="82">
        <v>2907</v>
      </c>
      <c r="B2910" s="83" t="str">
        <f>_xlfn.XLOOKUP(A2910,'TAZs by City - CCAG Model'!$A:$A,'TAZs by City - CCAG Model'!$B:$B,"Unknown")</f>
        <v>Santa Cruz</v>
      </c>
      <c r="C2910" s="82">
        <f>_xlfn.XLOOKUP(A2910,'TAZs by City - CCAG Model'!$A:$A,'TAZs by City - CCAG Model'!$C:$C,999)</f>
        <v>10</v>
      </c>
      <c r="D2910" s="82" t="str">
        <f t="shared" si="360"/>
        <v>NO</v>
      </c>
      <c r="E2910" s="27">
        <v>140270.82</v>
      </c>
      <c r="F2910" s="27">
        <v>75838.320000000007</v>
      </c>
      <c r="G2910" s="27">
        <v>7034.36</v>
      </c>
      <c r="H2910" s="27">
        <v>2037.78</v>
      </c>
      <c r="I2910" s="27">
        <v>22029.3</v>
      </c>
      <c r="J2910" s="27">
        <v>247217.62</v>
      </c>
      <c r="K2910" s="47">
        <f t="shared" si="361"/>
        <v>0.5673981490477904</v>
      </c>
      <c r="L2910" s="47">
        <f t="shared" si="362"/>
        <v>0.3067674545204343</v>
      </c>
      <c r="M2910" s="84">
        <f t="shared" si="363"/>
        <v>0.8741656035682247</v>
      </c>
      <c r="N2910" s="47">
        <f t="shared" si="364"/>
        <v>2.8454120705473988E-2</v>
      </c>
      <c r="O2910" s="47">
        <f t="shared" si="365"/>
        <v>8.2428590648190858E-3</v>
      </c>
      <c r="P2910" s="47">
        <f t="shared" si="366"/>
        <v>8.910893972686898E-2</v>
      </c>
      <c r="Q2910" s="47">
        <f t="shared" si="367"/>
        <v>1</v>
      </c>
    </row>
    <row r="2911" spans="1:17" x14ac:dyDescent="0.35">
      <c r="A2911" s="82">
        <v>2908</v>
      </c>
      <c r="B2911" s="83" t="str">
        <f>_xlfn.XLOOKUP(A2911,'TAZs by City - CCAG Model'!$A:$A,'TAZs by City - CCAG Model'!$B:$B,"Unknown")</f>
        <v>Capitola</v>
      </c>
      <c r="C2911" s="82">
        <f>_xlfn.XLOOKUP(A2911,'TAZs by City - CCAG Model'!$A:$A,'TAZs by City - CCAG Model'!$C:$C,999)</f>
        <v>10</v>
      </c>
      <c r="D2911" s="82" t="str">
        <f t="shared" si="360"/>
        <v>NO</v>
      </c>
      <c r="E2911" s="27">
        <v>121754.2</v>
      </c>
      <c r="F2911" s="27">
        <v>71078.460000000006</v>
      </c>
      <c r="G2911" s="27">
        <v>5923.72</v>
      </c>
      <c r="H2911" s="27">
        <v>1685.52</v>
      </c>
      <c r="I2911" s="27">
        <v>18832.2</v>
      </c>
      <c r="J2911" s="27">
        <v>219285.8</v>
      </c>
      <c r="K2911" s="47">
        <f t="shared" si="361"/>
        <v>0.55523066245055541</v>
      </c>
      <c r="L2911" s="47">
        <f t="shared" si="362"/>
        <v>0.32413617297608877</v>
      </c>
      <c r="M2911" s="84">
        <f t="shared" si="363"/>
        <v>0.87936683542664418</v>
      </c>
      <c r="N2911" s="47">
        <f t="shared" si="364"/>
        <v>2.7013696281291358E-2</v>
      </c>
      <c r="O2911" s="47">
        <f t="shared" si="365"/>
        <v>7.6864074189938432E-3</v>
      </c>
      <c r="P2911" s="47">
        <f t="shared" si="366"/>
        <v>8.5879705845066129E-2</v>
      </c>
      <c r="Q2911" s="47">
        <f t="shared" si="367"/>
        <v>1</v>
      </c>
    </row>
    <row r="2912" spans="1:17" x14ac:dyDescent="0.35">
      <c r="A2912" s="82">
        <v>2909</v>
      </c>
      <c r="B2912" s="83" t="str">
        <f>_xlfn.XLOOKUP(A2912,'TAZs by City - CCAG Model'!$A:$A,'TAZs by City - CCAG Model'!$B:$B,"Unknown")</f>
        <v>Unincorporated</v>
      </c>
      <c r="C2912" s="82">
        <f>_xlfn.XLOOKUP(A2912,'TAZs by City - CCAG Model'!$A:$A,'TAZs by City - CCAG Model'!$C:$C,999)</f>
        <v>10</v>
      </c>
      <c r="D2912" s="82" t="str">
        <f t="shared" si="360"/>
        <v>NO</v>
      </c>
      <c r="E2912" s="27">
        <v>125959.86</v>
      </c>
      <c r="F2912" s="27">
        <v>65969.460000000006</v>
      </c>
      <c r="G2912" s="27">
        <v>6934.28</v>
      </c>
      <c r="H2912" s="27">
        <v>2077.94</v>
      </c>
      <c r="I2912" s="27">
        <v>19827.88</v>
      </c>
      <c r="J2912" s="27">
        <v>220776.34</v>
      </c>
      <c r="K2912" s="47">
        <f t="shared" si="361"/>
        <v>0.57053151619417186</v>
      </c>
      <c r="L2912" s="47">
        <f t="shared" si="362"/>
        <v>0.29880674713603828</v>
      </c>
      <c r="M2912" s="84">
        <f t="shared" si="363"/>
        <v>0.86933826333021014</v>
      </c>
      <c r="N2912" s="47">
        <f t="shared" si="364"/>
        <v>3.1408619238818797E-2</v>
      </c>
      <c r="O2912" s="47">
        <f t="shared" si="365"/>
        <v>9.4119686919350142E-3</v>
      </c>
      <c r="P2912" s="47">
        <f t="shared" si="366"/>
        <v>8.9809804800641241E-2</v>
      </c>
      <c r="Q2912" s="47">
        <f t="shared" si="367"/>
        <v>1</v>
      </c>
    </row>
    <row r="2913" spans="1:17" x14ac:dyDescent="0.35">
      <c r="A2913" s="82">
        <v>2910</v>
      </c>
      <c r="B2913" s="83" t="str">
        <f>_xlfn.XLOOKUP(A2913,'TAZs by City - CCAG Model'!$A:$A,'TAZs by City - CCAG Model'!$B:$B,"Unknown")</f>
        <v>Unincorporated</v>
      </c>
      <c r="C2913" s="82">
        <f>_xlfn.XLOOKUP(A2913,'TAZs by City - CCAG Model'!$A:$A,'TAZs by City - CCAG Model'!$C:$C,999)</f>
        <v>10</v>
      </c>
      <c r="D2913" s="82" t="str">
        <f t="shared" si="360"/>
        <v>NO</v>
      </c>
      <c r="E2913" s="27">
        <v>8069.14</v>
      </c>
      <c r="F2913" s="27">
        <v>5577.48</v>
      </c>
      <c r="G2913" s="27">
        <v>412.84</v>
      </c>
      <c r="H2913" s="27">
        <v>142.28</v>
      </c>
      <c r="I2913" s="27">
        <v>1183.6400000000001</v>
      </c>
      <c r="J2913" s="27">
        <v>15406.54</v>
      </c>
      <c r="K2913" s="47">
        <f t="shared" si="361"/>
        <v>0.52374770714255114</v>
      </c>
      <c r="L2913" s="47">
        <f t="shared" si="362"/>
        <v>0.36202028489200039</v>
      </c>
      <c r="M2913" s="84">
        <f t="shared" si="363"/>
        <v>0.88576799203455148</v>
      </c>
      <c r="N2913" s="47">
        <f t="shared" si="364"/>
        <v>2.679641243264224E-2</v>
      </c>
      <c r="O2913" s="47">
        <f t="shared" si="365"/>
        <v>9.2350391457134435E-3</v>
      </c>
      <c r="P2913" s="47">
        <f t="shared" si="366"/>
        <v>7.6827113680294212E-2</v>
      </c>
      <c r="Q2913" s="47">
        <f t="shared" si="367"/>
        <v>1</v>
      </c>
    </row>
    <row r="2914" spans="1:17" x14ac:dyDescent="0.35">
      <c r="A2914" s="82">
        <v>2911</v>
      </c>
      <c r="B2914" s="83" t="str">
        <f>_xlfn.XLOOKUP(A2914,'TAZs by City - CCAG Model'!$A:$A,'TAZs by City - CCAG Model'!$B:$B,"Unknown")</f>
        <v>Unincorporated</v>
      </c>
      <c r="C2914" s="82">
        <f>_xlfn.XLOOKUP(A2914,'TAZs by City - CCAG Model'!$A:$A,'TAZs by City - CCAG Model'!$C:$C,999)</f>
        <v>10</v>
      </c>
      <c r="D2914" s="82" t="str">
        <f t="shared" si="360"/>
        <v>NO</v>
      </c>
      <c r="E2914" s="27">
        <v>36793.5</v>
      </c>
      <c r="F2914" s="27">
        <v>22168.52</v>
      </c>
      <c r="G2914" s="27">
        <v>1989.54</v>
      </c>
      <c r="H2914" s="27">
        <v>673.46</v>
      </c>
      <c r="I2914" s="27">
        <v>5904.82</v>
      </c>
      <c r="J2914" s="27">
        <v>67550.94</v>
      </c>
      <c r="K2914" s="47">
        <f t="shared" si="361"/>
        <v>0.54467783867996511</v>
      </c>
      <c r="L2914" s="47">
        <f t="shared" si="362"/>
        <v>0.32817485589393725</v>
      </c>
      <c r="M2914" s="84">
        <f t="shared" si="363"/>
        <v>0.87285269457390235</v>
      </c>
      <c r="N2914" s="47">
        <f t="shared" si="364"/>
        <v>2.9452439892028146E-2</v>
      </c>
      <c r="O2914" s="47">
        <f t="shared" si="365"/>
        <v>9.9696614140380585E-3</v>
      </c>
      <c r="P2914" s="47">
        <f t="shared" si="366"/>
        <v>8.7412847252754722E-2</v>
      </c>
      <c r="Q2914" s="47">
        <f t="shared" si="367"/>
        <v>1</v>
      </c>
    </row>
    <row r="2915" spans="1:17" x14ac:dyDescent="0.35">
      <c r="A2915" s="82">
        <v>2912</v>
      </c>
      <c r="B2915" s="83" t="str">
        <f>_xlfn.XLOOKUP(A2915,'TAZs by City - CCAG Model'!$A:$A,'TAZs by City - CCAG Model'!$B:$B,"Unknown")</f>
        <v>Unincorporated</v>
      </c>
      <c r="C2915" s="82">
        <f>_xlfn.XLOOKUP(A2915,'TAZs by City - CCAG Model'!$A:$A,'TAZs by City - CCAG Model'!$C:$C,999)</f>
        <v>10</v>
      </c>
      <c r="D2915" s="82" t="str">
        <f t="shared" si="360"/>
        <v>NO</v>
      </c>
      <c r="E2915" s="27">
        <v>39837.78</v>
      </c>
      <c r="F2915" s="27">
        <v>22718.22</v>
      </c>
      <c r="G2915" s="27">
        <v>1901.16</v>
      </c>
      <c r="H2915" s="27">
        <v>663.3</v>
      </c>
      <c r="I2915" s="27">
        <v>5656.04</v>
      </c>
      <c r="J2915" s="27">
        <v>70800.38</v>
      </c>
      <c r="K2915" s="47">
        <f t="shared" si="361"/>
        <v>0.56267748845415799</v>
      </c>
      <c r="L2915" s="47">
        <f t="shared" si="362"/>
        <v>0.32087709133764536</v>
      </c>
      <c r="M2915" s="84">
        <f t="shared" si="363"/>
        <v>0.8835545797918033</v>
      </c>
      <c r="N2915" s="47">
        <f t="shared" si="364"/>
        <v>2.6852398249839902E-2</v>
      </c>
      <c r="O2915" s="47">
        <f t="shared" si="365"/>
        <v>9.3685937843836411E-3</v>
      </c>
      <c r="P2915" s="47">
        <f t="shared" si="366"/>
        <v>7.9887141848673682E-2</v>
      </c>
      <c r="Q2915" s="47">
        <f t="shared" si="367"/>
        <v>1</v>
      </c>
    </row>
    <row r="2916" spans="1:17" x14ac:dyDescent="0.35">
      <c r="A2916" s="82">
        <v>2913</v>
      </c>
      <c r="B2916" s="83" t="str">
        <f>_xlfn.XLOOKUP(A2916,'TAZs by City - CCAG Model'!$A:$A,'TAZs by City - CCAG Model'!$B:$B,"Unknown")</f>
        <v>Watsonville</v>
      </c>
      <c r="C2916" s="82">
        <f>_xlfn.XLOOKUP(A2916,'TAZs by City - CCAG Model'!$A:$A,'TAZs by City - CCAG Model'!$C:$C,999)</f>
        <v>10</v>
      </c>
      <c r="D2916" s="82" t="str">
        <f t="shared" si="360"/>
        <v>NO</v>
      </c>
      <c r="E2916" s="27">
        <v>199068.62</v>
      </c>
      <c r="F2916" s="27">
        <v>113888.86</v>
      </c>
      <c r="G2916" s="27">
        <v>9530.0400000000009</v>
      </c>
      <c r="H2916" s="27">
        <v>2785.06</v>
      </c>
      <c r="I2916" s="27">
        <v>28299.58</v>
      </c>
      <c r="J2916" s="27">
        <v>353578.48</v>
      </c>
      <c r="K2916" s="47">
        <f t="shared" si="361"/>
        <v>0.56301113122042945</v>
      </c>
      <c r="L2916" s="47">
        <f t="shared" si="362"/>
        <v>0.32210348322103766</v>
      </c>
      <c r="M2916" s="84">
        <f t="shared" si="363"/>
        <v>0.88511461444146711</v>
      </c>
      <c r="N2916" s="47">
        <f t="shared" si="364"/>
        <v>2.6953110947249961E-2</v>
      </c>
      <c r="O2916" s="47">
        <f t="shared" si="365"/>
        <v>7.8767802836869488E-3</v>
      </c>
      <c r="P2916" s="47">
        <f t="shared" si="366"/>
        <v>8.0037619936597956E-2</v>
      </c>
      <c r="Q2916" s="47">
        <f t="shared" si="367"/>
        <v>1</v>
      </c>
    </row>
    <row r="2917" spans="1:17" x14ac:dyDescent="0.35">
      <c r="A2917" s="82">
        <v>2914</v>
      </c>
      <c r="B2917" s="83" t="str">
        <f>_xlfn.XLOOKUP(A2917,'TAZs by City - CCAG Model'!$A:$A,'TAZs by City - CCAG Model'!$B:$B,"Unknown")</f>
        <v>Unincorporated</v>
      </c>
      <c r="C2917" s="82">
        <f>_xlfn.XLOOKUP(A2917,'TAZs by City - CCAG Model'!$A:$A,'TAZs by City - CCAG Model'!$C:$C,999)</f>
        <v>10</v>
      </c>
      <c r="D2917" s="82" t="str">
        <f t="shared" si="360"/>
        <v>NO</v>
      </c>
      <c r="E2917" s="27">
        <v>6895.22</v>
      </c>
      <c r="F2917" s="27">
        <v>3173.6</v>
      </c>
      <c r="G2917" s="27">
        <v>93.24</v>
      </c>
      <c r="H2917" s="27">
        <v>23.9</v>
      </c>
      <c r="I2917" s="27">
        <v>240.28</v>
      </c>
      <c r="J2917" s="27">
        <v>10453.040000000001</v>
      </c>
      <c r="K2917" s="47">
        <f t="shared" si="361"/>
        <v>0.65963777044764005</v>
      </c>
      <c r="L2917" s="47">
        <f t="shared" si="362"/>
        <v>0.30360545831643232</v>
      </c>
      <c r="M2917" s="84">
        <f t="shared" si="363"/>
        <v>0.96324322876407231</v>
      </c>
      <c r="N2917" s="47">
        <f t="shared" si="364"/>
        <v>8.9198931602672508E-3</v>
      </c>
      <c r="O2917" s="47">
        <f t="shared" si="365"/>
        <v>2.2864162004546042E-3</v>
      </c>
      <c r="P2917" s="47">
        <f t="shared" si="366"/>
        <v>2.2986614420302608E-2</v>
      </c>
      <c r="Q2917" s="47">
        <f t="shared" si="367"/>
        <v>1</v>
      </c>
    </row>
    <row r="2918" spans="1:17" x14ac:dyDescent="0.35">
      <c r="A2918" s="82">
        <v>2915</v>
      </c>
      <c r="B2918" s="83" t="str">
        <f>_xlfn.XLOOKUP(A2918,'TAZs by City - CCAG Model'!$A:$A,'TAZs by City - CCAG Model'!$B:$B,"Unknown")</f>
        <v>Unincorporated</v>
      </c>
      <c r="C2918" s="82">
        <f>_xlfn.XLOOKUP(A2918,'TAZs by City - CCAG Model'!$A:$A,'TAZs by City - CCAG Model'!$C:$C,999)</f>
        <v>12</v>
      </c>
      <c r="D2918" s="82" t="str">
        <f t="shared" si="360"/>
        <v>NO</v>
      </c>
      <c r="E2918" s="27">
        <v>16264.62</v>
      </c>
      <c r="F2918" s="27">
        <v>10018.34</v>
      </c>
      <c r="G2918" s="27">
        <v>408.46</v>
      </c>
      <c r="H2918" s="27">
        <v>160.1</v>
      </c>
      <c r="I2918" s="27">
        <v>1313.84</v>
      </c>
      <c r="J2918" s="27">
        <v>28186.42</v>
      </c>
      <c r="K2918" s="47">
        <f t="shared" si="361"/>
        <v>0.57703745278754814</v>
      </c>
      <c r="L2918" s="47">
        <f t="shared" si="362"/>
        <v>0.35543144535560034</v>
      </c>
      <c r="M2918" s="84">
        <f t="shared" si="363"/>
        <v>0.93246889814314837</v>
      </c>
      <c r="N2918" s="47">
        <f t="shared" si="364"/>
        <v>1.4491375634081944E-2</v>
      </c>
      <c r="O2918" s="47">
        <f t="shared" si="365"/>
        <v>5.6800402463313892E-3</v>
      </c>
      <c r="P2918" s="47">
        <f t="shared" si="366"/>
        <v>4.6612517659213197E-2</v>
      </c>
      <c r="Q2918" s="47">
        <f t="shared" si="367"/>
        <v>1</v>
      </c>
    </row>
    <row r="2919" spans="1:17" x14ac:dyDescent="0.35">
      <c r="A2919" s="82">
        <v>2916</v>
      </c>
      <c r="B2919" s="83" t="str">
        <f>_xlfn.XLOOKUP(A2919,'TAZs by City - CCAG Model'!$A:$A,'TAZs by City - CCAG Model'!$B:$B,"Unknown")</f>
        <v>Unincorporated</v>
      </c>
      <c r="C2919" s="82">
        <f>_xlfn.XLOOKUP(A2919,'TAZs by City - CCAG Model'!$A:$A,'TAZs by City - CCAG Model'!$C:$C,999)</f>
        <v>12</v>
      </c>
      <c r="D2919" s="82" t="str">
        <f t="shared" si="360"/>
        <v>NO</v>
      </c>
      <c r="E2919" s="27">
        <v>24401.84</v>
      </c>
      <c r="F2919" s="27">
        <v>11910.48</v>
      </c>
      <c r="G2919" s="27">
        <v>735.48</v>
      </c>
      <c r="H2919" s="27">
        <v>219.3</v>
      </c>
      <c r="I2919" s="27">
        <v>2345.2800000000002</v>
      </c>
      <c r="J2919" s="27">
        <v>39627.42</v>
      </c>
      <c r="K2919" s="47">
        <f t="shared" si="361"/>
        <v>0.6157816986319069</v>
      </c>
      <c r="L2919" s="47">
        <f t="shared" si="362"/>
        <v>0.30056158084477869</v>
      </c>
      <c r="M2919" s="84">
        <f t="shared" si="363"/>
        <v>0.91634327947668559</v>
      </c>
      <c r="N2919" s="47">
        <f t="shared" si="364"/>
        <v>1.8559875964672949E-2</v>
      </c>
      <c r="O2919" s="47">
        <f t="shared" si="365"/>
        <v>5.5340468796605995E-3</v>
      </c>
      <c r="P2919" s="47">
        <f t="shared" si="366"/>
        <v>5.9183262498542687E-2</v>
      </c>
      <c r="Q2919" s="47">
        <f t="shared" si="367"/>
        <v>1</v>
      </c>
    </row>
    <row r="2920" spans="1:17" x14ac:dyDescent="0.35">
      <c r="A2920" s="82">
        <v>2917</v>
      </c>
      <c r="B2920" s="83" t="str">
        <f>_xlfn.XLOOKUP(A2920,'TAZs by City - CCAG Model'!$A:$A,'TAZs by City - CCAG Model'!$B:$B,"Unknown")</f>
        <v>Unincorporated</v>
      </c>
      <c r="C2920" s="82">
        <f>_xlfn.XLOOKUP(A2920,'TAZs by City - CCAG Model'!$A:$A,'TAZs by City - CCAG Model'!$C:$C,999)</f>
        <v>12</v>
      </c>
      <c r="D2920" s="82" t="str">
        <f t="shared" si="360"/>
        <v>NO</v>
      </c>
      <c r="E2920" s="27">
        <v>61886.7</v>
      </c>
      <c r="F2920" s="27">
        <v>36290.06</v>
      </c>
      <c r="G2920" s="27">
        <v>3422.1</v>
      </c>
      <c r="H2920" s="27">
        <v>1005.34</v>
      </c>
      <c r="I2920" s="27">
        <v>10724.52</v>
      </c>
      <c r="J2920" s="27">
        <v>113346.84</v>
      </c>
      <c r="K2920" s="47">
        <f t="shared" si="361"/>
        <v>0.54599404800345563</v>
      </c>
      <c r="L2920" s="47">
        <f t="shared" si="362"/>
        <v>0.32016825524205172</v>
      </c>
      <c r="M2920" s="84">
        <f t="shared" si="363"/>
        <v>0.86616230324550736</v>
      </c>
      <c r="N2920" s="47">
        <f t="shared" si="364"/>
        <v>3.019140189528001E-2</v>
      </c>
      <c r="O2920" s="47">
        <f t="shared" si="365"/>
        <v>8.8695900123902886E-3</v>
      </c>
      <c r="P2920" s="47">
        <f t="shared" si="366"/>
        <v>9.4616841545825198E-2</v>
      </c>
      <c r="Q2920" s="47">
        <f t="shared" si="367"/>
        <v>1</v>
      </c>
    </row>
    <row r="2921" spans="1:17" x14ac:dyDescent="0.35">
      <c r="A2921" s="82">
        <v>2918</v>
      </c>
      <c r="B2921" s="83" t="str">
        <f>_xlfn.XLOOKUP(A2921,'TAZs by City - CCAG Model'!$A:$A,'TAZs by City - CCAG Model'!$B:$B,"Unknown")</f>
        <v>Hollister</v>
      </c>
      <c r="C2921" s="82">
        <f>_xlfn.XLOOKUP(A2921,'TAZs by City - CCAG Model'!$A:$A,'TAZs by City - CCAG Model'!$C:$C,999)</f>
        <v>12</v>
      </c>
      <c r="D2921" s="82" t="str">
        <f t="shared" si="360"/>
        <v>NO</v>
      </c>
      <c r="E2921" s="27">
        <v>44317.26</v>
      </c>
      <c r="F2921" s="27">
        <v>28601.26</v>
      </c>
      <c r="G2921" s="27">
        <v>2451.2600000000002</v>
      </c>
      <c r="H2921" s="27">
        <v>821.34</v>
      </c>
      <c r="I2921" s="27">
        <v>7479.48</v>
      </c>
      <c r="J2921" s="27">
        <v>83694.8</v>
      </c>
      <c r="K2921" s="47">
        <f t="shared" si="361"/>
        <v>0.52951031605308818</v>
      </c>
      <c r="L2921" s="47">
        <f t="shared" si="362"/>
        <v>0.34173281972117742</v>
      </c>
      <c r="M2921" s="84">
        <f t="shared" si="363"/>
        <v>0.8712431357742656</v>
      </c>
      <c r="N2921" s="47">
        <f t="shared" si="364"/>
        <v>2.9288080024087521E-2</v>
      </c>
      <c r="O2921" s="47">
        <f t="shared" si="365"/>
        <v>9.8135129064171253E-3</v>
      </c>
      <c r="P2921" s="47">
        <f t="shared" si="366"/>
        <v>8.9366125494056967E-2</v>
      </c>
      <c r="Q2921" s="47">
        <f t="shared" si="367"/>
        <v>1</v>
      </c>
    </row>
    <row r="2922" spans="1:17" x14ac:dyDescent="0.35">
      <c r="A2922" s="82">
        <v>2919</v>
      </c>
      <c r="B2922" s="83" t="str">
        <f>_xlfn.XLOOKUP(A2922,'TAZs by City - CCAG Model'!$A:$A,'TAZs by City - CCAG Model'!$B:$B,"Unknown")</f>
        <v>Unincorporated</v>
      </c>
      <c r="C2922" s="82">
        <f>_xlfn.XLOOKUP(A2922,'TAZs by City - CCAG Model'!$A:$A,'TAZs by City - CCAG Model'!$C:$C,999)</f>
        <v>12</v>
      </c>
      <c r="D2922" s="82" t="str">
        <f t="shared" si="360"/>
        <v>NO</v>
      </c>
      <c r="E2922" s="27">
        <v>17855.78</v>
      </c>
      <c r="F2922" s="27">
        <v>10246.4</v>
      </c>
      <c r="G2922" s="27">
        <v>255.38</v>
      </c>
      <c r="H2922" s="27">
        <v>113.26</v>
      </c>
      <c r="I2922" s="27">
        <v>906.84</v>
      </c>
      <c r="J2922" s="27">
        <v>29403.68</v>
      </c>
      <c r="K2922" s="47">
        <f t="shared" si="361"/>
        <v>0.60726344457564496</v>
      </c>
      <c r="L2922" s="47">
        <f t="shared" si="362"/>
        <v>0.34847338836499375</v>
      </c>
      <c r="M2922" s="84">
        <f t="shared" si="363"/>
        <v>0.95573683294063871</v>
      </c>
      <c r="N2922" s="47">
        <f t="shared" si="364"/>
        <v>8.6853074173028674E-3</v>
      </c>
      <c r="O2922" s="47">
        <f t="shared" si="365"/>
        <v>3.851898809944878E-3</v>
      </c>
      <c r="P2922" s="47">
        <f t="shared" si="366"/>
        <v>3.0841037584411205E-2</v>
      </c>
      <c r="Q2922" s="47">
        <f t="shared" si="367"/>
        <v>1</v>
      </c>
    </row>
    <row r="2923" spans="1:17" x14ac:dyDescent="0.35">
      <c r="A2923" s="82">
        <v>2920</v>
      </c>
      <c r="B2923" s="83" t="str">
        <f>_xlfn.XLOOKUP(A2923,'TAZs by City - CCAG Model'!$A:$A,'TAZs by City - CCAG Model'!$B:$B,"Unknown")</f>
        <v>Unincorporated</v>
      </c>
      <c r="C2923" s="82">
        <f>_xlfn.XLOOKUP(A2923,'TAZs by City - CCAG Model'!$A:$A,'TAZs by City - CCAG Model'!$C:$C,999)</f>
        <v>11</v>
      </c>
      <c r="D2923" s="82" t="str">
        <f t="shared" si="360"/>
        <v>NO</v>
      </c>
      <c r="E2923" s="27">
        <v>81992.399999999994</v>
      </c>
      <c r="F2923" s="27">
        <v>50499.18</v>
      </c>
      <c r="G2923" s="27">
        <v>3225.24</v>
      </c>
      <c r="H2923" s="27">
        <v>1174.78</v>
      </c>
      <c r="I2923" s="27">
        <v>9742.1200000000008</v>
      </c>
      <c r="J2923" s="27">
        <v>146651.76</v>
      </c>
      <c r="K2923" s="47">
        <f t="shared" si="361"/>
        <v>0.55909591538485448</v>
      </c>
      <c r="L2923" s="47">
        <f t="shared" si="362"/>
        <v>0.34434758914587865</v>
      </c>
      <c r="M2923" s="84">
        <f t="shared" si="363"/>
        <v>0.90344350453073308</v>
      </c>
      <c r="N2923" s="47">
        <f t="shared" si="364"/>
        <v>2.1992507965809614E-2</v>
      </c>
      <c r="O2923" s="47">
        <f t="shared" si="365"/>
        <v>8.0106778125267637E-3</v>
      </c>
      <c r="P2923" s="47">
        <f t="shared" si="366"/>
        <v>6.6430297188386972E-2</v>
      </c>
      <c r="Q2923" s="47">
        <f t="shared" si="367"/>
        <v>1</v>
      </c>
    </row>
    <row r="2924" spans="1:17" x14ac:dyDescent="0.35">
      <c r="A2924" s="82">
        <v>2921</v>
      </c>
      <c r="B2924" s="83" t="str">
        <f>_xlfn.XLOOKUP(A2924,'TAZs by City - CCAG Model'!$A:$A,'TAZs by City - CCAG Model'!$B:$B,"Unknown")</f>
        <v>Unincorporated</v>
      </c>
      <c r="C2924" s="82">
        <f>_xlfn.XLOOKUP(A2924,'TAZs by City - CCAG Model'!$A:$A,'TAZs by City - CCAG Model'!$C:$C,999)</f>
        <v>11</v>
      </c>
      <c r="D2924" s="82" t="str">
        <f t="shared" si="360"/>
        <v>NO</v>
      </c>
      <c r="E2924" s="27">
        <v>31250.3</v>
      </c>
      <c r="F2924" s="27">
        <v>17137.52</v>
      </c>
      <c r="G2924" s="27">
        <v>1432.24</v>
      </c>
      <c r="H2924" s="27">
        <v>446.18</v>
      </c>
      <c r="I2924" s="27">
        <v>4507.72</v>
      </c>
      <c r="J2924" s="27">
        <v>54793.3</v>
      </c>
      <c r="K2924" s="47">
        <f t="shared" si="361"/>
        <v>0.57033067911587731</v>
      </c>
      <c r="L2924" s="47">
        <f t="shared" si="362"/>
        <v>0.31276670687839569</v>
      </c>
      <c r="M2924" s="84">
        <f t="shared" si="363"/>
        <v>0.88309738599427301</v>
      </c>
      <c r="N2924" s="47">
        <f t="shared" si="364"/>
        <v>2.6138962245384013E-2</v>
      </c>
      <c r="O2924" s="47">
        <f t="shared" si="365"/>
        <v>8.1429663845762161E-3</v>
      </c>
      <c r="P2924" s="47">
        <f t="shared" si="366"/>
        <v>8.2267722513518993E-2</v>
      </c>
      <c r="Q2924" s="47">
        <f t="shared" si="367"/>
        <v>1</v>
      </c>
    </row>
    <row r="2925" spans="1:17" x14ac:dyDescent="0.35">
      <c r="A2925" s="82">
        <v>2922</v>
      </c>
      <c r="B2925" s="83" t="str">
        <f>_xlfn.XLOOKUP(A2925,'TAZs by City - CCAG Model'!$A:$A,'TAZs by City - CCAG Model'!$B:$B,"Unknown")</f>
        <v>Unincorporated</v>
      </c>
      <c r="C2925" s="82">
        <f>_xlfn.XLOOKUP(A2925,'TAZs by City - CCAG Model'!$A:$A,'TAZs by City - CCAG Model'!$C:$C,999)</f>
        <v>11</v>
      </c>
      <c r="D2925" s="82" t="str">
        <f t="shared" si="360"/>
        <v>NO</v>
      </c>
      <c r="E2925" s="27">
        <v>55664.74</v>
      </c>
      <c r="F2925" s="27">
        <v>29444.04</v>
      </c>
      <c r="G2925" s="27">
        <v>2968.14</v>
      </c>
      <c r="H2925" s="27">
        <v>808.64</v>
      </c>
      <c r="I2925" s="27">
        <v>9278.18</v>
      </c>
      <c r="J2925" s="27">
        <v>98194.7</v>
      </c>
      <c r="K2925" s="47">
        <f t="shared" si="361"/>
        <v>0.56688130825798133</v>
      </c>
      <c r="L2925" s="47">
        <f t="shared" si="362"/>
        <v>0.29985365808948955</v>
      </c>
      <c r="M2925" s="84">
        <f t="shared" si="363"/>
        <v>0.86673496634747094</v>
      </c>
      <c r="N2925" s="47">
        <f t="shared" si="364"/>
        <v>3.0227089649441364E-2</v>
      </c>
      <c r="O2925" s="47">
        <f t="shared" si="365"/>
        <v>8.2350676767687057E-3</v>
      </c>
      <c r="P2925" s="47">
        <f t="shared" si="366"/>
        <v>9.4487584360459384E-2</v>
      </c>
      <c r="Q2925" s="47">
        <f t="shared" si="367"/>
        <v>1</v>
      </c>
    </row>
    <row r="2926" spans="1:17" x14ac:dyDescent="0.35">
      <c r="A2926" s="82">
        <v>2923</v>
      </c>
      <c r="B2926" s="83" t="str">
        <f>_xlfn.XLOOKUP(A2926,'TAZs by City - CCAG Model'!$A:$A,'TAZs by City - CCAG Model'!$B:$B,"Unknown")</f>
        <v>Unincorporated</v>
      </c>
      <c r="C2926" s="82">
        <f>_xlfn.XLOOKUP(A2926,'TAZs by City - CCAG Model'!$A:$A,'TAZs by City - CCAG Model'!$C:$C,999)</f>
        <v>11</v>
      </c>
      <c r="D2926" s="82" t="str">
        <f t="shared" si="360"/>
        <v>NO</v>
      </c>
      <c r="E2926" s="27">
        <v>61197.5</v>
      </c>
      <c r="F2926" s="27">
        <v>34776.14</v>
      </c>
      <c r="G2926" s="27">
        <v>3071.26</v>
      </c>
      <c r="H2926" s="27">
        <v>1008.9</v>
      </c>
      <c r="I2926" s="27">
        <v>9098.42</v>
      </c>
      <c r="J2926" s="27">
        <v>109186.82</v>
      </c>
      <c r="K2926" s="47">
        <f t="shared" si="361"/>
        <v>0.56048431486510919</v>
      </c>
      <c r="L2926" s="47">
        <f t="shared" si="362"/>
        <v>0.3185012623318455</v>
      </c>
      <c r="M2926" s="84">
        <f t="shared" si="363"/>
        <v>0.87898557719695469</v>
      </c>
      <c r="N2926" s="47">
        <f t="shared" si="364"/>
        <v>2.8128486570082361E-2</v>
      </c>
      <c r="O2926" s="47">
        <f t="shared" si="365"/>
        <v>9.2401262350162768E-3</v>
      </c>
      <c r="P2926" s="47">
        <f t="shared" si="366"/>
        <v>8.3328921933984335E-2</v>
      </c>
      <c r="Q2926" s="47">
        <f t="shared" si="367"/>
        <v>1</v>
      </c>
    </row>
    <row r="2927" spans="1:17" x14ac:dyDescent="0.35">
      <c r="A2927" s="82">
        <v>2924</v>
      </c>
      <c r="B2927" s="83" t="str">
        <f>_xlfn.XLOOKUP(A2927,'TAZs by City - CCAG Model'!$A:$A,'TAZs by City - CCAG Model'!$B:$B,"Unknown")</f>
        <v>Salinas</v>
      </c>
      <c r="C2927" s="82">
        <f>_xlfn.XLOOKUP(A2927,'TAZs by City - CCAG Model'!$A:$A,'TAZs by City - CCAG Model'!$C:$C,999)</f>
        <v>11</v>
      </c>
      <c r="D2927" s="82" t="str">
        <f t="shared" si="360"/>
        <v>NO</v>
      </c>
      <c r="E2927" s="27">
        <v>242819.3</v>
      </c>
      <c r="F2927" s="27">
        <v>155949.82</v>
      </c>
      <c r="G2927" s="27">
        <v>13627.82</v>
      </c>
      <c r="H2927" s="27">
        <v>4458.62</v>
      </c>
      <c r="I2927" s="27">
        <v>40550.800000000003</v>
      </c>
      <c r="J2927" s="27">
        <v>457426.3</v>
      </c>
      <c r="K2927" s="47">
        <f t="shared" si="361"/>
        <v>0.53083808255012888</v>
      </c>
      <c r="L2927" s="47">
        <f t="shared" si="362"/>
        <v>0.34092884471225204</v>
      </c>
      <c r="M2927" s="84">
        <f t="shared" si="363"/>
        <v>0.87176692726238081</v>
      </c>
      <c r="N2927" s="47">
        <f t="shared" si="364"/>
        <v>2.9792384040882653E-2</v>
      </c>
      <c r="O2927" s="47">
        <f t="shared" si="365"/>
        <v>9.7471876890331838E-3</v>
      </c>
      <c r="P2927" s="47">
        <f t="shared" si="366"/>
        <v>8.8649909285933068E-2</v>
      </c>
      <c r="Q2927" s="47">
        <f t="shared" si="367"/>
        <v>1</v>
      </c>
    </row>
    <row r="2928" spans="1:17" x14ac:dyDescent="0.35">
      <c r="A2928" s="82">
        <v>2925</v>
      </c>
      <c r="B2928" s="83" t="str">
        <f>_xlfn.XLOOKUP(A2928,'TAZs by City - CCAG Model'!$A:$A,'TAZs by City - CCAG Model'!$B:$B,"Unknown")</f>
        <v>Unincorporated</v>
      </c>
      <c r="C2928" s="82">
        <f>_xlfn.XLOOKUP(A2928,'TAZs by City - CCAG Model'!$A:$A,'TAZs by City - CCAG Model'!$C:$C,999)</f>
        <v>11</v>
      </c>
      <c r="D2928" s="82" t="str">
        <f t="shared" si="360"/>
        <v>NO</v>
      </c>
      <c r="E2928" s="27">
        <v>18928.759999999998</v>
      </c>
      <c r="F2928" s="27">
        <v>12141.8</v>
      </c>
      <c r="G2928" s="27">
        <v>851.68</v>
      </c>
      <c r="H2928" s="27">
        <v>322.98</v>
      </c>
      <c r="I2928" s="27">
        <v>2506.2399999999998</v>
      </c>
      <c r="J2928" s="27">
        <v>34776.800000000003</v>
      </c>
      <c r="K2928" s="47">
        <f t="shared" si="361"/>
        <v>0.54429274688873031</v>
      </c>
      <c r="L2928" s="47">
        <f t="shared" si="362"/>
        <v>0.34913505555427754</v>
      </c>
      <c r="M2928" s="84">
        <f t="shared" si="363"/>
        <v>0.89342780244300779</v>
      </c>
      <c r="N2928" s="47">
        <f t="shared" si="364"/>
        <v>2.4489889811598532E-2</v>
      </c>
      <c r="O2928" s="47">
        <f t="shared" si="365"/>
        <v>9.287225966736444E-3</v>
      </c>
      <c r="P2928" s="47">
        <f t="shared" si="366"/>
        <v>7.2066435094660791E-2</v>
      </c>
      <c r="Q2928" s="47">
        <f t="shared" si="367"/>
        <v>1</v>
      </c>
    </row>
    <row r="2929" spans="1:17" x14ac:dyDescent="0.35">
      <c r="A2929" s="82">
        <v>2926</v>
      </c>
      <c r="B2929" s="83" t="str">
        <f>_xlfn.XLOOKUP(A2929,'TAZs by City - CCAG Model'!$A:$A,'TAZs by City - CCAG Model'!$B:$B,"Unknown")</f>
        <v>Unincorporated</v>
      </c>
      <c r="C2929" s="82">
        <f>_xlfn.XLOOKUP(A2929,'TAZs by City - CCAG Model'!$A:$A,'TAZs by City - CCAG Model'!$C:$C,999)</f>
        <v>11</v>
      </c>
      <c r="D2929" s="82" t="str">
        <f t="shared" si="360"/>
        <v>NO</v>
      </c>
      <c r="E2929" s="27">
        <v>173017.14</v>
      </c>
      <c r="F2929" s="27">
        <v>82000</v>
      </c>
      <c r="G2929" s="27">
        <v>8279.98</v>
      </c>
      <c r="H2929" s="27">
        <v>2195.6999999999998</v>
      </c>
      <c r="I2929" s="27">
        <v>26894.400000000001</v>
      </c>
      <c r="J2929" s="27">
        <v>292413.58</v>
      </c>
      <c r="K2929" s="47">
        <f t="shared" si="361"/>
        <v>0.59168640526202654</v>
      </c>
      <c r="L2929" s="47">
        <f t="shared" si="362"/>
        <v>0.28042473266802448</v>
      </c>
      <c r="M2929" s="84">
        <f t="shared" si="363"/>
        <v>0.87211113793005102</v>
      </c>
      <c r="N2929" s="47">
        <f t="shared" si="364"/>
        <v>2.8315989975568164E-2</v>
      </c>
      <c r="O2929" s="47">
        <f t="shared" si="365"/>
        <v>7.5088851892583094E-3</v>
      </c>
      <c r="P2929" s="47">
        <f t="shared" si="366"/>
        <v>9.1973840613011199E-2</v>
      </c>
      <c r="Q2929" s="47">
        <f t="shared" si="367"/>
        <v>1</v>
      </c>
    </row>
    <row r="2930" spans="1:17" x14ac:dyDescent="0.35">
      <c r="A2930" s="82">
        <v>2927</v>
      </c>
      <c r="B2930" s="83" t="str">
        <f>_xlfn.XLOOKUP(A2930,'TAZs by City - CCAG Model'!$A:$A,'TAZs by City - CCAG Model'!$B:$B,"Unknown")</f>
        <v>Unincorporated</v>
      </c>
      <c r="C2930" s="82">
        <f>_xlfn.XLOOKUP(A2930,'TAZs by City - CCAG Model'!$A:$A,'TAZs by City - CCAG Model'!$C:$C,999)</f>
        <v>11</v>
      </c>
      <c r="D2930" s="82" t="str">
        <f t="shared" si="360"/>
        <v>NO</v>
      </c>
      <c r="E2930" s="27">
        <v>26116.7</v>
      </c>
      <c r="F2930" s="27">
        <v>15432</v>
      </c>
      <c r="G2930" s="27">
        <v>1241.1600000000001</v>
      </c>
      <c r="H2930" s="27">
        <v>437.18</v>
      </c>
      <c r="I2930" s="27">
        <v>3654.74</v>
      </c>
      <c r="J2930" s="27">
        <v>46911.56</v>
      </c>
      <c r="K2930" s="47">
        <f t="shared" si="361"/>
        <v>0.55672205315704704</v>
      </c>
      <c r="L2930" s="47">
        <f t="shared" si="362"/>
        <v>0.32895942918973492</v>
      </c>
      <c r="M2930" s="84">
        <f t="shared" si="363"/>
        <v>0.8856814823467819</v>
      </c>
      <c r="N2930" s="47">
        <f t="shared" si="364"/>
        <v>2.6457444604272382E-2</v>
      </c>
      <c r="O2930" s="47">
        <f t="shared" si="365"/>
        <v>9.3192381579295172E-3</v>
      </c>
      <c r="P2930" s="47">
        <f t="shared" si="366"/>
        <v>7.7907023343499984E-2</v>
      </c>
      <c r="Q2930" s="47">
        <f t="shared" si="367"/>
        <v>1</v>
      </c>
    </row>
    <row r="2931" spans="1:17" x14ac:dyDescent="0.35">
      <c r="A2931" s="82">
        <v>2928</v>
      </c>
      <c r="B2931" s="83" t="str">
        <f>_xlfn.XLOOKUP(A2931,'TAZs by City - CCAG Model'!$A:$A,'TAZs by City - CCAG Model'!$B:$B,"Unknown")</f>
        <v>Unincorporated</v>
      </c>
      <c r="C2931" s="82">
        <f>_xlfn.XLOOKUP(A2931,'TAZs by City - CCAG Model'!$A:$A,'TAZs by City - CCAG Model'!$C:$C,999)</f>
        <v>11</v>
      </c>
      <c r="D2931" s="82" t="str">
        <f t="shared" si="360"/>
        <v>NO</v>
      </c>
      <c r="E2931" s="27">
        <v>182116.08</v>
      </c>
      <c r="F2931" s="27">
        <v>96911.52</v>
      </c>
      <c r="G2931" s="27">
        <v>10159.82</v>
      </c>
      <c r="H2931" s="27">
        <v>3073.48</v>
      </c>
      <c r="I2931" s="27">
        <v>27003.42</v>
      </c>
      <c r="J2931" s="27">
        <v>319290.44</v>
      </c>
      <c r="K2931" s="47">
        <f t="shared" si="361"/>
        <v>0.57037749078863742</v>
      </c>
      <c r="L2931" s="47">
        <f t="shared" si="362"/>
        <v>0.30352152103269991</v>
      </c>
      <c r="M2931" s="84">
        <f t="shared" si="363"/>
        <v>0.87389901182133722</v>
      </c>
      <c r="N2931" s="47">
        <f t="shared" si="364"/>
        <v>3.181999435999399E-2</v>
      </c>
      <c r="O2931" s="47">
        <f t="shared" si="365"/>
        <v>9.6259693838625423E-3</v>
      </c>
      <c r="P2931" s="47">
        <f t="shared" si="366"/>
        <v>8.4573218039350001E-2</v>
      </c>
      <c r="Q2931" s="47">
        <f t="shared" si="367"/>
        <v>1</v>
      </c>
    </row>
    <row r="2932" spans="1:17" x14ac:dyDescent="0.35">
      <c r="A2932" s="82">
        <v>2929</v>
      </c>
      <c r="B2932" s="83" t="str">
        <f>_xlfn.XLOOKUP(A2932,'TAZs by City - CCAG Model'!$A:$A,'TAZs by City - CCAG Model'!$B:$B,"Unknown")</f>
        <v>Unincorporated</v>
      </c>
      <c r="C2932" s="82">
        <f>_xlfn.XLOOKUP(A2932,'TAZs by City - CCAG Model'!$A:$A,'TAZs by City - CCAG Model'!$C:$C,999)</f>
        <v>11</v>
      </c>
      <c r="D2932" s="82" t="str">
        <f t="shared" si="360"/>
        <v>NO</v>
      </c>
      <c r="E2932" s="27">
        <v>275271.08</v>
      </c>
      <c r="F2932" s="27">
        <v>145672.07999999999</v>
      </c>
      <c r="G2932" s="27">
        <v>13707.3</v>
      </c>
      <c r="H2932" s="27">
        <v>3705.64</v>
      </c>
      <c r="I2932" s="27">
        <v>42840.36</v>
      </c>
      <c r="J2932" s="27">
        <v>481221.44</v>
      </c>
      <c r="K2932" s="47">
        <f t="shared" si="361"/>
        <v>0.57202580167666683</v>
      </c>
      <c r="L2932" s="47">
        <f t="shared" si="362"/>
        <v>0.30271319582103406</v>
      </c>
      <c r="M2932" s="84">
        <f t="shared" si="363"/>
        <v>0.8747389974977009</v>
      </c>
      <c r="N2932" s="47">
        <f t="shared" si="364"/>
        <v>2.8484391717875247E-2</v>
      </c>
      <c r="O2932" s="47">
        <f t="shared" si="365"/>
        <v>7.7004881578011152E-3</v>
      </c>
      <c r="P2932" s="47">
        <f t="shared" si="366"/>
        <v>8.9024213052519022E-2</v>
      </c>
      <c r="Q2932" s="47">
        <f t="shared" si="367"/>
        <v>1</v>
      </c>
    </row>
    <row r="2933" spans="1:17" x14ac:dyDescent="0.35">
      <c r="A2933" s="82">
        <v>2930</v>
      </c>
      <c r="B2933" s="83" t="str">
        <f>_xlfn.XLOOKUP(A2933,'TAZs by City - CCAG Model'!$A:$A,'TAZs by City - CCAG Model'!$B:$B,"Unknown")</f>
        <v>Unincorporated</v>
      </c>
      <c r="C2933" s="82">
        <f>_xlfn.XLOOKUP(A2933,'TAZs by City - CCAG Model'!$A:$A,'TAZs by City - CCAG Model'!$C:$C,999)</f>
        <v>11</v>
      </c>
      <c r="D2933" s="82" t="str">
        <f t="shared" si="360"/>
        <v>NO</v>
      </c>
      <c r="E2933" s="27">
        <v>73158.52</v>
      </c>
      <c r="F2933" s="27">
        <v>39717.800000000003</v>
      </c>
      <c r="G2933" s="27">
        <v>3693.18</v>
      </c>
      <c r="H2933" s="27">
        <v>1063.68</v>
      </c>
      <c r="I2933" s="27">
        <v>11462.16</v>
      </c>
      <c r="J2933" s="27">
        <v>129127.02</v>
      </c>
      <c r="K2933" s="47">
        <f t="shared" si="361"/>
        <v>0.56656244370852826</v>
      </c>
      <c r="L2933" s="47">
        <f t="shared" si="362"/>
        <v>0.30758705652775076</v>
      </c>
      <c r="M2933" s="84">
        <f t="shared" si="363"/>
        <v>0.87414950023627902</v>
      </c>
      <c r="N2933" s="47">
        <f t="shared" si="364"/>
        <v>2.8601140179646364E-2</v>
      </c>
      <c r="O2933" s="47">
        <f t="shared" si="365"/>
        <v>8.2374703605798388E-3</v>
      </c>
      <c r="P2933" s="47">
        <f t="shared" si="366"/>
        <v>8.8766549402286204E-2</v>
      </c>
      <c r="Q2933" s="47">
        <f t="shared" si="367"/>
        <v>1</v>
      </c>
    </row>
    <row r="2934" spans="1:17" x14ac:dyDescent="0.35">
      <c r="A2934" s="82">
        <v>2931</v>
      </c>
      <c r="B2934" s="83" t="str">
        <f>_xlfn.XLOOKUP(A2934,'TAZs by City - CCAG Model'!$A:$A,'TAZs by City - CCAG Model'!$B:$B,"Unknown")</f>
        <v>Unincorporated</v>
      </c>
      <c r="C2934" s="82">
        <f>_xlfn.XLOOKUP(A2934,'TAZs by City - CCAG Model'!$A:$A,'TAZs by City - CCAG Model'!$C:$C,999)</f>
        <v>11</v>
      </c>
      <c r="D2934" s="82" t="str">
        <f t="shared" si="360"/>
        <v>NO</v>
      </c>
      <c r="E2934" s="27">
        <v>116766.2</v>
      </c>
      <c r="F2934" s="27">
        <v>67253.08</v>
      </c>
      <c r="G2934" s="27">
        <v>5255.38</v>
      </c>
      <c r="H2934" s="27">
        <v>1759.5</v>
      </c>
      <c r="I2934" s="27">
        <v>15838.36</v>
      </c>
      <c r="J2934" s="27">
        <v>206904.2</v>
      </c>
      <c r="K2934" s="47">
        <f t="shared" si="361"/>
        <v>0.56434910456143461</v>
      </c>
      <c r="L2934" s="47">
        <f t="shared" si="362"/>
        <v>0.32504453752026297</v>
      </c>
      <c r="M2934" s="84">
        <f t="shared" si="363"/>
        <v>0.88939364208169769</v>
      </c>
      <c r="N2934" s="47">
        <f t="shared" si="364"/>
        <v>2.5400064377620175E-2</v>
      </c>
      <c r="O2934" s="47">
        <f t="shared" si="365"/>
        <v>8.5039356378459208E-3</v>
      </c>
      <c r="P2934" s="47">
        <f t="shared" si="366"/>
        <v>7.6549243562962957E-2</v>
      </c>
      <c r="Q2934" s="47">
        <f t="shared" si="367"/>
        <v>1</v>
      </c>
    </row>
    <row r="2935" spans="1:17" x14ac:dyDescent="0.35">
      <c r="A2935" s="82">
        <v>2932</v>
      </c>
      <c r="B2935" s="83" t="str">
        <f>_xlfn.XLOOKUP(A2935,'TAZs by City - CCAG Model'!$A:$A,'TAZs by City - CCAG Model'!$B:$B,"Unknown")</f>
        <v>Unincorporated</v>
      </c>
      <c r="C2935" s="82">
        <f>_xlfn.XLOOKUP(A2935,'TAZs by City - CCAG Model'!$A:$A,'TAZs by City - CCAG Model'!$C:$C,999)</f>
        <v>11</v>
      </c>
      <c r="D2935" s="82" t="str">
        <f t="shared" si="360"/>
        <v>NO</v>
      </c>
      <c r="E2935" s="27">
        <v>60932.1</v>
      </c>
      <c r="F2935" s="27">
        <v>33487.379999999997</v>
      </c>
      <c r="G2935" s="27">
        <v>2962.48</v>
      </c>
      <c r="H2935" s="27">
        <v>937.1</v>
      </c>
      <c r="I2935" s="27">
        <v>9270.76</v>
      </c>
      <c r="J2935" s="27">
        <v>107618.28</v>
      </c>
      <c r="K2935" s="47">
        <f t="shared" si="361"/>
        <v>0.56618726855697754</v>
      </c>
      <c r="L2935" s="47">
        <f t="shared" si="362"/>
        <v>0.31116813983646641</v>
      </c>
      <c r="M2935" s="84">
        <f t="shared" si="363"/>
        <v>0.87735540839344395</v>
      </c>
      <c r="N2935" s="47">
        <f t="shared" si="364"/>
        <v>2.7527665374321168E-2</v>
      </c>
      <c r="O2935" s="47">
        <f t="shared" si="365"/>
        <v>8.7076284809606691E-3</v>
      </c>
      <c r="P2935" s="47">
        <f t="shared" si="366"/>
        <v>8.61448445375637E-2</v>
      </c>
      <c r="Q2935" s="47">
        <f t="shared" si="367"/>
        <v>1</v>
      </c>
    </row>
    <row r="2936" spans="1:17" x14ac:dyDescent="0.35">
      <c r="A2936" s="82">
        <v>2933</v>
      </c>
      <c r="B2936" s="83" t="str">
        <f>_xlfn.XLOOKUP(A2936,'TAZs by City - CCAG Model'!$A:$A,'TAZs by City - CCAG Model'!$B:$B,"Unknown")</f>
        <v>Tracy</v>
      </c>
      <c r="C2936" s="82">
        <f>_xlfn.XLOOKUP(A2936,'TAZs by City - CCAG Model'!$A:$A,'TAZs by City - CCAG Model'!$C:$C,999)</f>
        <v>13</v>
      </c>
      <c r="D2936" s="82" t="str">
        <f t="shared" si="360"/>
        <v>NO</v>
      </c>
      <c r="E2936" s="27">
        <v>29581.3</v>
      </c>
      <c r="F2936" s="27">
        <v>17268.38</v>
      </c>
      <c r="G2936" s="27">
        <v>1532.48</v>
      </c>
      <c r="H2936" s="27">
        <v>494.44</v>
      </c>
      <c r="I2936" s="27">
        <v>4616.32</v>
      </c>
      <c r="J2936" s="27">
        <v>53509.72</v>
      </c>
      <c r="K2936" s="47">
        <f t="shared" si="361"/>
        <v>0.5528210575573933</v>
      </c>
      <c r="L2936" s="47">
        <f t="shared" si="362"/>
        <v>0.32271482639042032</v>
      </c>
      <c r="M2936" s="84">
        <f t="shared" si="363"/>
        <v>0.87553588394781356</v>
      </c>
      <c r="N2936" s="47">
        <f t="shared" si="364"/>
        <v>2.8639282732183986E-2</v>
      </c>
      <c r="O2936" s="47">
        <f t="shared" si="365"/>
        <v>9.240190380364539E-3</v>
      </c>
      <c r="P2936" s="47">
        <f t="shared" si="366"/>
        <v>8.6270681289305942E-2</v>
      </c>
      <c r="Q2936" s="47">
        <f t="shared" si="367"/>
        <v>1</v>
      </c>
    </row>
    <row r="2937" spans="1:17" x14ac:dyDescent="0.35">
      <c r="A2937" s="82">
        <v>2934</v>
      </c>
      <c r="B2937" s="83" t="str">
        <f>_xlfn.XLOOKUP(A2937,'TAZs by City - CCAG Model'!$A:$A,'TAZs by City - CCAG Model'!$B:$B,"Unknown")</f>
        <v>Unincorporated</v>
      </c>
      <c r="C2937" s="82">
        <f>_xlfn.XLOOKUP(A2937,'TAZs by City - CCAG Model'!$A:$A,'TAZs by City - CCAG Model'!$C:$C,999)</f>
        <v>13</v>
      </c>
      <c r="D2937" s="82" t="str">
        <f t="shared" si="360"/>
        <v>NO</v>
      </c>
      <c r="E2937" s="27">
        <v>38656.36</v>
      </c>
      <c r="F2937" s="27">
        <v>22748.92</v>
      </c>
      <c r="G2937" s="27">
        <v>2087.2399999999998</v>
      </c>
      <c r="H2937" s="27">
        <v>680.1</v>
      </c>
      <c r="I2937" s="27">
        <v>6125.94</v>
      </c>
      <c r="J2937" s="27">
        <v>70322.320000000007</v>
      </c>
      <c r="K2937" s="47">
        <f t="shared" si="361"/>
        <v>0.54970256953979901</v>
      </c>
      <c r="L2937" s="47">
        <f t="shared" si="362"/>
        <v>0.32349501552280979</v>
      </c>
      <c r="M2937" s="84">
        <f t="shared" si="363"/>
        <v>0.87319758506260881</v>
      </c>
      <c r="N2937" s="47">
        <f t="shared" si="364"/>
        <v>2.9681045790298153E-2</v>
      </c>
      <c r="O2937" s="47">
        <f t="shared" si="365"/>
        <v>9.6711826344750857E-3</v>
      </c>
      <c r="P2937" s="47">
        <f t="shared" si="366"/>
        <v>8.7112313700685631E-2</v>
      </c>
      <c r="Q2937" s="47">
        <f t="shared" si="367"/>
        <v>1</v>
      </c>
    </row>
    <row r="2938" spans="1:17" x14ac:dyDescent="0.35">
      <c r="A2938" s="82">
        <v>2935</v>
      </c>
      <c r="B2938" s="83" t="str">
        <f>_xlfn.XLOOKUP(A2938,'TAZs by City - CCAG Model'!$A:$A,'TAZs by City - CCAG Model'!$B:$B,"Unknown")</f>
        <v>Unincorporated</v>
      </c>
      <c r="C2938" s="82">
        <f>_xlfn.XLOOKUP(A2938,'TAZs by City - CCAG Model'!$A:$A,'TAZs by City - CCAG Model'!$C:$C,999)</f>
        <v>13</v>
      </c>
      <c r="D2938" s="82" t="str">
        <f t="shared" si="360"/>
        <v>NO</v>
      </c>
      <c r="E2938" s="27">
        <v>54795.94</v>
      </c>
      <c r="F2938" s="27">
        <v>32727.08</v>
      </c>
      <c r="G2938" s="27">
        <v>2268.64</v>
      </c>
      <c r="H2938" s="27">
        <v>723.82</v>
      </c>
      <c r="I2938" s="27">
        <v>6857.3</v>
      </c>
      <c r="J2938" s="27">
        <v>97391.28</v>
      </c>
      <c r="K2938" s="47">
        <f t="shared" si="361"/>
        <v>0.56263702458782761</v>
      </c>
      <c r="L2938" s="47">
        <f t="shared" si="362"/>
        <v>0.3360370661521237</v>
      </c>
      <c r="M2938" s="84">
        <f t="shared" si="363"/>
        <v>0.8986740907399513</v>
      </c>
      <c r="N2938" s="47">
        <f t="shared" si="364"/>
        <v>2.329407725209074E-2</v>
      </c>
      <c r="O2938" s="47">
        <f t="shared" si="365"/>
        <v>7.4320822151634118E-3</v>
      </c>
      <c r="P2938" s="47">
        <f t="shared" si="366"/>
        <v>7.0409794388162888E-2</v>
      </c>
      <c r="Q2938" s="47">
        <f t="shared" si="367"/>
        <v>1</v>
      </c>
    </row>
    <row r="2939" spans="1:17" x14ac:dyDescent="0.35">
      <c r="A2939" s="82">
        <v>2936</v>
      </c>
      <c r="B2939" s="83" t="str">
        <f>_xlfn.XLOOKUP(A2939,'TAZs by City - CCAG Model'!$A:$A,'TAZs by City - CCAG Model'!$B:$B,"Unknown")</f>
        <v>Unincorporated</v>
      </c>
      <c r="C2939" s="82">
        <f>_xlfn.XLOOKUP(A2939,'TAZs by City - CCAG Model'!$A:$A,'TAZs by City - CCAG Model'!$C:$C,999)</f>
        <v>13</v>
      </c>
      <c r="D2939" s="82" t="str">
        <f t="shared" si="360"/>
        <v>NO</v>
      </c>
      <c r="E2939" s="27">
        <v>35052.54</v>
      </c>
      <c r="F2939" s="27">
        <v>20440.8</v>
      </c>
      <c r="G2939" s="27">
        <v>1726.7</v>
      </c>
      <c r="H2939" s="27">
        <v>545.70000000000005</v>
      </c>
      <c r="I2939" s="27">
        <v>5176.0600000000004</v>
      </c>
      <c r="J2939" s="27">
        <v>62963.66</v>
      </c>
      <c r="K2939" s="47">
        <f t="shared" si="361"/>
        <v>0.55671064865034847</v>
      </c>
      <c r="L2939" s="47">
        <f t="shared" si="362"/>
        <v>0.3246444059954583</v>
      </c>
      <c r="M2939" s="84">
        <f t="shared" si="363"/>
        <v>0.88135505464580666</v>
      </c>
      <c r="N2939" s="47">
        <f t="shared" si="364"/>
        <v>2.7423755226427433E-2</v>
      </c>
      <c r="O2939" s="47">
        <f t="shared" si="365"/>
        <v>8.6669040522739625E-3</v>
      </c>
      <c r="P2939" s="47">
        <f t="shared" si="366"/>
        <v>8.220710168373313E-2</v>
      </c>
      <c r="Q2939" s="47">
        <f t="shared" si="367"/>
        <v>1</v>
      </c>
    </row>
    <row r="2940" spans="1:17" x14ac:dyDescent="0.35">
      <c r="A2940" s="82">
        <v>2937</v>
      </c>
      <c r="B2940" s="83" t="str">
        <f>_xlfn.XLOOKUP(A2940,'TAZs by City - CCAG Model'!$A:$A,'TAZs by City - CCAG Model'!$B:$B,"Unknown")</f>
        <v>Unincorporated</v>
      </c>
      <c r="C2940" s="82">
        <f>_xlfn.XLOOKUP(A2940,'TAZs by City - CCAG Model'!$A:$A,'TAZs by City - CCAG Model'!$C:$C,999)</f>
        <v>13</v>
      </c>
      <c r="D2940" s="82" t="str">
        <f t="shared" si="360"/>
        <v>NO</v>
      </c>
      <c r="E2940" s="27">
        <v>143916.72</v>
      </c>
      <c r="F2940" s="27">
        <v>82114.720000000001</v>
      </c>
      <c r="G2940" s="27">
        <v>7874.94</v>
      </c>
      <c r="H2940" s="27">
        <v>2536.34</v>
      </c>
      <c r="I2940" s="27">
        <v>24035.5</v>
      </c>
      <c r="J2940" s="27">
        <v>260498.94</v>
      </c>
      <c r="K2940" s="47">
        <f t="shared" si="361"/>
        <v>0.55246566454358703</v>
      </c>
      <c r="L2940" s="47">
        <f t="shared" si="362"/>
        <v>0.31522093717540656</v>
      </c>
      <c r="M2940" s="84">
        <f t="shared" si="363"/>
        <v>0.86768660171899359</v>
      </c>
      <c r="N2940" s="47">
        <f t="shared" si="364"/>
        <v>3.0230218979010046E-2</v>
      </c>
      <c r="O2940" s="47">
        <f t="shared" si="365"/>
        <v>9.7364695610661599E-3</v>
      </c>
      <c r="P2940" s="47">
        <f t="shared" si="366"/>
        <v>9.2267170069866691E-2</v>
      </c>
      <c r="Q2940" s="47">
        <f t="shared" si="367"/>
        <v>1</v>
      </c>
    </row>
    <row r="2941" spans="1:17" x14ac:dyDescent="0.35">
      <c r="A2941" s="82">
        <v>2938</v>
      </c>
      <c r="B2941" s="83" t="str">
        <f>_xlfn.XLOOKUP(A2941,'TAZs by City - CCAG Model'!$A:$A,'TAZs by City - CCAG Model'!$B:$B,"Unknown")</f>
        <v>Manteca</v>
      </c>
      <c r="C2941" s="82">
        <f>_xlfn.XLOOKUP(A2941,'TAZs by City - CCAG Model'!$A:$A,'TAZs by City - CCAG Model'!$C:$C,999)</f>
        <v>13</v>
      </c>
      <c r="D2941" s="82" t="str">
        <f t="shared" si="360"/>
        <v>NO</v>
      </c>
      <c r="E2941" s="27">
        <v>28388.6</v>
      </c>
      <c r="F2941" s="27">
        <v>15967.24</v>
      </c>
      <c r="G2941" s="27">
        <v>1554.8</v>
      </c>
      <c r="H2941" s="27">
        <v>500.72</v>
      </c>
      <c r="I2941" s="27">
        <v>4642.3999999999996</v>
      </c>
      <c r="J2941" s="27">
        <v>51080.480000000003</v>
      </c>
      <c r="K2941" s="47">
        <f t="shared" si="361"/>
        <v>0.55576220113828212</v>
      </c>
      <c r="L2941" s="47">
        <f t="shared" si="362"/>
        <v>0.31258985820023616</v>
      </c>
      <c r="M2941" s="84">
        <f t="shared" si="363"/>
        <v>0.86835205933851822</v>
      </c>
      <c r="N2941" s="47">
        <f t="shared" si="364"/>
        <v>3.0438241770633319E-2</v>
      </c>
      <c r="O2941" s="47">
        <f t="shared" si="365"/>
        <v>9.802570375219654E-3</v>
      </c>
      <c r="P2941" s="47">
        <f t="shared" si="366"/>
        <v>9.0884032413164464E-2</v>
      </c>
      <c r="Q2941" s="47">
        <f t="shared" si="367"/>
        <v>1</v>
      </c>
    </row>
    <row r="2942" spans="1:17" x14ac:dyDescent="0.35">
      <c r="A2942" s="82">
        <v>2939</v>
      </c>
      <c r="B2942" s="83" t="str">
        <f>_xlfn.XLOOKUP(A2942,'TAZs by City - CCAG Model'!$A:$A,'TAZs by City - CCAG Model'!$B:$B,"Unknown")</f>
        <v>Lathrop</v>
      </c>
      <c r="C2942" s="82">
        <f>_xlfn.XLOOKUP(A2942,'TAZs by City - CCAG Model'!$A:$A,'TAZs by City - CCAG Model'!$C:$C,999)</f>
        <v>13</v>
      </c>
      <c r="D2942" s="82" t="str">
        <f t="shared" si="360"/>
        <v>NO</v>
      </c>
      <c r="E2942" s="27">
        <v>31212.22</v>
      </c>
      <c r="F2942" s="27">
        <v>18399.72</v>
      </c>
      <c r="G2942" s="27">
        <v>1763.54</v>
      </c>
      <c r="H2942" s="27">
        <v>574.4</v>
      </c>
      <c r="I2942" s="27">
        <v>5145.3599999999997</v>
      </c>
      <c r="J2942" s="27">
        <v>57122.04</v>
      </c>
      <c r="K2942" s="47">
        <f t="shared" si="361"/>
        <v>0.54641290822246547</v>
      </c>
      <c r="L2942" s="47">
        <f t="shared" si="362"/>
        <v>0.32211244556391894</v>
      </c>
      <c r="M2942" s="84">
        <f t="shared" si="363"/>
        <v>0.8685253537863844</v>
      </c>
      <c r="N2942" s="47">
        <f t="shared" si="364"/>
        <v>3.0873197105705609E-2</v>
      </c>
      <c r="O2942" s="47">
        <f t="shared" si="365"/>
        <v>1.0055663278132223E-2</v>
      </c>
      <c r="P2942" s="47">
        <f t="shared" si="366"/>
        <v>9.0076614910812008E-2</v>
      </c>
      <c r="Q2942" s="47">
        <f t="shared" si="367"/>
        <v>1</v>
      </c>
    </row>
    <row r="2943" spans="1:17" x14ac:dyDescent="0.35">
      <c r="A2943" s="82">
        <v>2940</v>
      </c>
      <c r="B2943" s="83" t="str">
        <f>_xlfn.XLOOKUP(A2943,'TAZs by City - CCAG Model'!$A:$A,'TAZs by City - CCAG Model'!$B:$B,"Unknown")</f>
        <v>Unincorporated</v>
      </c>
      <c r="C2943" s="82">
        <f>_xlfn.XLOOKUP(A2943,'TAZs by City - CCAG Model'!$A:$A,'TAZs by City - CCAG Model'!$C:$C,999)</f>
        <v>13</v>
      </c>
      <c r="D2943" s="82" t="str">
        <f t="shared" si="360"/>
        <v>NO</v>
      </c>
      <c r="E2943" s="27">
        <v>33448.800000000003</v>
      </c>
      <c r="F2943" s="27">
        <v>19888.12</v>
      </c>
      <c r="G2943" s="27">
        <v>1864.96</v>
      </c>
      <c r="H2943" s="27">
        <v>610.02</v>
      </c>
      <c r="I2943" s="27">
        <v>5460.72</v>
      </c>
      <c r="J2943" s="27">
        <v>61293.68</v>
      </c>
      <c r="K2943" s="47">
        <f t="shared" si="361"/>
        <v>0.54571368532612174</v>
      </c>
      <c r="L2943" s="47">
        <f t="shared" si="362"/>
        <v>0.32447260467963418</v>
      </c>
      <c r="M2943" s="84">
        <f t="shared" si="363"/>
        <v>0.87018629000575587</v>
      </c>
      <c r="N2943" s="47">
        <f t="shared" si="364"/>
        <v>3.0426627998188394E-2</v>
      </c>
      <c r="O2943" s="47">
        <f t="shared" si="365"/>
        <v>9.9524127120447E-3</v>
      </c>
      <c r="P2943" s="47">
        <f t="shared" si="366"/>
        <v>8.9091077579287137E-2</v>
      </c>
      <c r="Q2943" s="47">
        <f t="shared" si="367"/>
        <v>1</v>
      </c>
    </row>
    <row r="2944" spans="1:17" x14ac:dyDescent="0.35">
      <c r="A2944" s="82">
        <v>2941</v>
      </c>
      <c r="B2944" s="83" t="str">
        <f>_xlfn.XLOOKUP(A2944,'TAZs by City - CCAG Model'!$A:$A,'TAZs by City - CCAG Model'!$B:$B,"Unknown")</f>
        <v>Unincorporated</v>
      </c>
      <c r="C2944" s="82">
        <f>_xlfn.XLOOKUP(A2944,'TAZs by City - CCAG Model'!$A:$A,'TAZs by City - CCAG Model'!$C:$C,999)</f>
        <v>13</v>
      </c>
      <c r="D2944" s="82" t="str">
        <f t="shared" si="360"/>
        <v>NO</v>
      </c>
      <c r="E2944" s="27">
        <v>17790.599999999999</v>
      </c>
      <c r="F2944" s="27">
        <v>10262.68</v>
      </c>
      <c r="G2944" s="27">
        <v>982.48</v>
      </c>
      <c r="H2944" s="27">
        <v>318.95999999999998</v>
      </c>
      <c r="I2944" s="27">
        <v>2928.16</v>
      </c>
      <c r="J2944" s="27">
        <v>32307.74</v>
      </c>
      <c r="K2944" s="47">
        <f t="shared" si="361"/>
        <v>0.55066061569147196</v>
      </c>
      <c r="L2944" s="47">
        <f t="shared" si="362"/>
        <v>0.31765391203470128</v>
      </c>
      <c r="M2944" s="84">
        <f t="shared" si="363"/>
        <v>0.86831452772617324</v>
      </c>
      <c r="N2944" s="47">
        <f t="shared" si="364"/>
        <v>3.0410050347068535E-2</v>
      </c>
      <c r="O2944" s="47">
        <f t="shared" si="365"/>
        <v>9.8725568547970224E-3</v>
      </c>
      <c r="P2944" s="47">
        <f t="shared" si="366"/>
        <v>9.0633390017376636E-2</v>
      </c>
      <c r="Q2944" s="47">
        <f t="shared" si="367"/>
        <v>1</v>
      </c>
    </row>
    <row r="2945" spans="1:17" x14ac:dyDescent="0.35">
      <c r="A2945" s="82">
        <v>2942</v>
      </c>
      <c r="B2945" s="83" t="str">
        <f>_xlfn.XLOOKUP(A2945,'TAZs by City - CCAG Model'!$A:$A,'TAZs by City - CCAG Model'!$B:$B,"Unknown")</f>
        <v>Stockton</v>
      </c>
      <c r="C2945" s="82">
        <f>_xlfn.XLOOKUP(A2945,'TAZs by City - CCAG Model'!$A:$A,'TAZs by City - CCAG Model'!$C:$C,999)</f>
        <v>13</v>
      </c>
      <c r="D2945" s="82" t="str">
        <f t="shared" si="360"/>
        <v>NO</v>
      </c>
      <c r="E2945" s="27">
        <v>23619.16</v>
      </c>
      <c r="F2945" s="27">
        <v>13964.42</v>
      </c>
      <c r="G2945" s="27">
        <v>1306.76</v>
      </c>
      <c r="H2945" s="27">
        <v>428.1</v>
      </c>
      <c r="I2945" s="27">
        <v>3848.78</v>
      </c>
      <c r="J2945" s="27">
        <v>43192.800000000003</v>
      </c>
      <c r="K2945" s="47">
        <f t="shared" si="361"/>
        <v>0.54683095330703257</v>
      </c>
      <c r="L2945" s="47">
        <f t="shared" si="362"/>
        <v>0.32330434702079974</v>
      </c>
      <c r="M2945" s="84">
        <f t="shared" si="363"/>
        <v>0.87013530032783237</v>
      </c>
      <c r="N2945" s="47">
        <f t="shared" si="364"/>
        <v>3.0254116426811875E-2</v>
      </c>
      <c r="O2945" s="47">
        <f t="shared" si="365"/>
        <v>9.9113741179085394E-3</v>
      </c>
      <c r="P2945" s="47">
        <f t="shared" si="366"/>
        <v>8.9106980793095147E-2</v>
      </c>
      <c r="Q2945" s="47">
        <f t="shared" si="367"/>
        <v>1</v>
      </c>
    </row>
    <row r="2946" spans="1:17" x14ac:dyDescent="0.35">
      <c r="A2946" s="82">
        <v>2943</v>
      </c>
      <c r="B2946" s="83" t="str">
        <f>_xlfn.XLOOKUP(A2946,'TAZs by City - CCAG Model'!$A:$A,'TAZs by City - CCAG Model'!$B:$B,"Unknown")</f>
        <v>Stockton</v>
      </c>
      <c r="C2946" s="82">
        <f>_xlfn.XLOOKUP(A2946,'TAZs by City - CCAG Model'!$A:$A,'TAZs by City - CCAG Model'!$C:$C,999)</f>
        <v>13</v>
      </c>
      <c r="D2946" s="82" t="str">
        <f t="shared" si="360"/>
        <v>NO</v>
      </c>
      <c r="E2946" s="27">
        <v>51256.24</v>
      </c>
      <c r="F2946" s="27">
        <v>27765.68</v>
      </c>
      <c r="G2946" s="27">
        <v>4414.3599999999997</v>
      </c>
      <c r="H2946" s="27">
        <v>1500.12</v>
      </c>
      <c r="I2946" s="27">
        <v>8467.6</v>
      </c>
      <c r="J2946" s="27">
        <v>93432.92</v>
      </c>
      <c r="K2946" s="47">
        <f t="shared" si="361"/>
        <v>0.54858865590415029</v>
      </c>
      <c r="L2946" s="47">
        <f t="shared" si="362"/>
        <v>0.29717234567858952</v>
      </c>
      <c r="M2946" s="84">
        <f t="shared" si="363"/>
        <v>0.84576100158273981</v>
      </c>
      <c r="N2946" s="47">
        <f t="shared" si="364"/>
        <v>4.724630248096709E-2</v>
      </c>
      <c r="O2946" s="47">
        <f t="shared" si="365"/>
        <v>1.6055582978676038E-2</v>
      </c>
      <c r="P2946" s="47">
        <f t="shared" si="366"/>
        <v>9.0627586079938427E-2</v>
      </c>
      <c r="Q2946" s="47">
        <f t="shared" si="367"/>
        <v>1</v>
      </c>
    </row>
    <row r="2947" spans="1:17" x14ac:dyDescent="0.35">
      <c r="A2947" s="82">
        <v>2944</v>
      </c>
      <c r="B2947" s="83" t="str">
        <f>_xlfn.XLOOKUP(A2947,'TAZs by City - CCAG Model'!$A:$A,'TAZs by City - CCAG Model'!$B:$B,"Unknown")</f>
        <v>Stockton</v>
      </c>
      <c r="C2947" s="82">
        <f>_xlfn.XLOOKUP(A2947,'TAZs by City - CCAG Model'!$A:$A,'TAZs by City - CCAG Model'!$C:$C,999)</f>
        <v>13</v>
      </c>
      <c r="D2947" s="82" t="str">
        <f t="shared" si="360"/>
        <v>NO</v>
      </c>
      <c r="E2947" s="27">
        <v>26600.68</v>
      </c>
      <c r="F2947" s="27">
        <v>15783.56</v>
      </c>
      <c r="G2947" s="27">
        <v>1376.9</v>
      </c>
      <c r="H2947" s="27">
        <v>446.38</v>
      </c>
      <c r="I2947" s="27">
        <v>4078.56</v>
      </c>
      <c r="J2947" s="27">
        <v>48308.18</v>
      </c>
      <c r="K2947" s="47">
        <f t="shared" si="361"/>
        <v>0.55064546004424098</v>
      </c>
      <c r="L2947" s="47">
        <f t="shared" si="362"/>
        <v>0.32672644674255996</v>
      </c>
      <c r="M2947" s="84">
        <f t="shared" si="363"/>
        <v>0.87737190678680088</v>
      </c>
      <c r="N2947" s="47">
        <f t="shared" si="364"/>
        <v>2.8502419259015761E-2</v>
      </c>
      <c r="O2947" s="47">
        <f t="shared" si="365"/>
        <v>9.2402570330739012E-3</v>
      </c>
      <c r="P2947" s="47">
        <f t="shared" si="366"/>
        <v>8.4427937463179115E-2</v>
      </c>
      <c r="Q2947" s="47">
        <f t="shared" si="367"/>
        <v>1</v>
      </c>
    </row>
    <row r="2948" spans="1:17" x14ac:dyDescent="0.35">
      <c r="A2948" s="82">
        <v>2945</v>
      </c>
      <c r="B2948" s="83" t="str">
        <f>_xlfn.XLOOKUP(A2948,'TAZs by City - CCAG Model'!$A:$A,'TAZs by City - CCAG Model'!$B:$B,"Unknown")</f>
        <v>Stockton</v>
      </c>
      <c r="C2948" s="82">
        <f>_xlfn.XLOOKUP(A2948,'TAZs by City - CCAG Model'!$A:$A,'TAZs by City - CCAG Model'!$C:$C,999)</f>
        <v>13</v>
      </c>
      <c r="D2948" s="82" t="str">
        <f t="shared" si="360"/>
        <v>NO</v>
      </c>
      <c r="E2948" s="27">
        <v>35844.379999999997</v>
      </c>
      <c r="F2948" s="27">
        <v>20926.580000000002</v>
      </c>
      <c r="G2948" s="27">
        <v>1998.88</v>
      </c>
      <c r="H2948" s="27">
        <v>650</v>
      </c>
      <c r="I2948" s="27">
        <v>5954.32</v>
      </c>
      <c r="J2948" s="27">
        <v>65400.26</v>
      </c>
      <c r="K2948" s="47">
        <f t="shared" si="361"/>
        <v>0.54807702599347463</v>
      </c>
      <c r="L2948" s="47">
        <f t="shared" si="362"/>
        <v>0.31997701538189605</v>
      </c>
      <c r="M2948" s="84">
        <f t="shared" si="363"/>
        <v>0.86805404137537068</v>
      </c>
      <c r="N2948" s="47">
        <f t="shared" si="364"/>
        <v>3.0563792865655276E-2</v>
      </c>
      <c r="O2948" s="47">
        <f t="shared" si="365"/>
        <v>9.9387984084466936E-3</v>
      </c>
      <c r="P2948" s="47">
        <f t="shared" si="366"/>
        <v>9.1044286368280491E-2</v>
      </c>
      <c r="Q2948" s="47">
        <f t="shared" si="367"/>
        <v>1</v>
      </c>
    </row>
    <row r="2949" spans="1:17" x14ac:dyDescent="0.35">
      <c r="A2949" s="82">
        <v>2946</v>
      </c>
      <c r="B2949" s="83" t="str">
        <f>_xlfn.XLOOKUP(A2949,'TAZs by City - CCAG Model'!$A:$A,'TAZs by City - CCAG Model'!$B:$B,"Unknown")</f>
        <v>Stockton</v>
      </c>
      <c r="C2949" s="82">
        <f>_xlfn.XLOOKUP(A2949,'TAZs by City - CCAG Model'!$A:$A,'TAZs by City - CCAG Model'!$C:$C,999)</f>
        <v>13</v>
      </c>
      <c r="D2949" s="82" t="str">
        <f t="shared" ref="D2949:D2983" si="368">IF(C2949=2,"YES","NO")</f>
        <v>NO</v>
      </c>
      <c r="E2949" s="27">
        <v>41803.279999999999</v>
      </c>
      <c r="F2949" s="27">
        <v>21602.66</v>
      </c>
      <c r="G2949" s="27">
        <v>3894.34</v>
      </c>
      <c r="H2949" s="27">
        <v>1324.54</v>
      </c>
      <c r="I2949" s="27">
        <v>6974.58</v>
      </c>
      <c r="J2949" s="27">
        <v>75625</v>
      </c>
      <c r="K2949" s="47">
        <f t="shared" ref="K2949:K2983" si="369">IFERROR(E2949/$J2949,0)</f>
        <v>0.55277064462809911</v>
      </c>
      <c r="L2949" s="47">
        <f t="shared" ref="L2949:L2983" si="370">IFERROR(F2949/$J2949,0)</f>
        <v>0.28565500826446283</v>
      </c>
      <c r="M2949" s="84">
        <f t="shared" ref="M2949:M2983" si="371">IFERROR((E2949+F2949)/J2949,0)</f>
        <v>0.83842565289256199</v>
      </c>
      <c r="N2949" s="47">
        <f t="shared" ref="N2949:N2983" si="372">IFERROR(G2949/$J2949,0)</f>
        <v>5.1495404958677687E-2</v>
      </c>
      <c r="O2949" s="47">
        <f t="shared" ref="O2949:O2983" si="373">IFERROR(H2949/$J2949,0)</f>
        <v>1.7514578512396694E-2</v>
      </c>
      <c r="P2949" s="47">
        <f t="shared" ref="P2949:P2983" si="374">IFERROR(I2949/$J2949,0)</f>
        <v>9.2225851239669421E-2</v>
      </c>
      <c r="Q2949" s="47">
        <f t="shared" ref="Q2949:Q2983" si="375">IFERROR(J2949/$J2949,0)</f>
        <v>1</v>
      </c>
    </row>
    <row r="2950" spans="1:17" x14ac:dyDescent="0.35">
      <c r="A2950" s="82">
        <v>2947</v>
      </c>
      <c r="B2950" s="83" t="str">
        <f>_xlfn.XLOOKUP(A2950,'TAZs by City - CCAG Model'!$A:$A,'TAZs by City - CCAG Model'!$B:$B,"Unknown")</f>
        <v>Stockton</v>
      </c>
      <c r="C2950" s="82">
        <f>_xlfn.XLOOKUP(A2950,'TAZs by City - CCAG Model'!$A:$A,'TAZs by City - CCAG Model'!$C:$C,999)</f>
        <v>13</v>
      </c>
      <c r="D2950" s="82" t="str">
        <f t="shared" si="368"/>
        <v>NO</v>
      </c>
      <c r="E2950" s="27">
        <v>59979.88</v>
      </c>
      <c r="F2950" s="27">
        <v>33429.54</v>
      </c>
      <c r="G2950" s="27">
        <v>4036.54</v>
      </c>
      <c r="H2950" s="27">
        <v>1332.48</v>
      </c>
      <c r="I2950" s="27">
        <v>10093.02</v>
      </c>
      <c r="J2950" s="27">
        <v>108902.1</v>
      </c>
      <c r="K2950" s="47">
        <f t="shared" si="369"/>
        <v>0.55076880978420062</v>
      </c>
      <c r="L2950" s="47">
        <f t="shared" si="370"/>
        <v>0.30696873614007442</v>
      </c>
      <c r="M2950" s="84">
        <f t="shared" si="371"/>
        <v>0.85773754592427509</v>
      </c>
      <c r="N2950" s="47">
        <f t="shared" si="372"/>
        <v>3.7065768245056793E-2</v>
      </c>
      <c r="O2950" s="47">
        <f t="shared" si="373"/>
        <v>1.2235576724415782E-2</v>
      </c>
      <c r="P2950" s="47">
        <f t="shared" si="374"/>
        <v>9.267975548680879E-2</v>
      </c>
      <c r="Q2950" s="47">
        <f t="shared" si="375"/>
        <v>1</v>
      </c>
    </row>
    <row r="2951" spans="1:17" x14ac:dyDescent="0.35">
      <c r="A2951" s="82">
        <v>2948</v>
      </c>
      <c r="B2951" s="83" t="str">
        <f>_xlfn.XLOOKUP(A2951,'TAZs by City - CCAG Model'!$A:$A,'TAZs by City - CCAG Model'!$B:$B,"Unknown")</f>
        <v>Stockton</v>
      </c>
      <c r="C2951" s="82">
        <f>_xlfn.XLOOKUP(A2951,'TAZs by City - CCAG Model'!$A:$A,'TAZs by City - CCAG Model'!$C:$C,999)</f>
        <v>13</v>
      </c>
      <c r="D2951" s="82" t="str">
        <f t="shared" si="368"/>
        <v>NO</v>
      </c>
      <c r="E2951" s="27">
        <v>93886.02</v>
      </c>
      <c r="F2951" s="27">
        <v>54556.26</v>
      </c>
      <c r="G2951" s="27">
        <v>5040.22</v>
      </c>
      <c r="H2951" s="27">
        <v>1632.84</v>
      </c>
      <c r="I2951" s="27">
        <v>15210.78</v>
      </c>
      <c r="J2951" s="27">
        <v>170350.86</v>
      </c>
      <c r="K2951" s="47">
        <f t="shared" si="369"/>
        <v>0.55113323173126338</v>
      </c>
      <c r="L2951" s="47">
        <f t="shared" si="370"/>
        <v>0.3202582012207042</v>
      </c>
      <c r="M2951" s="84">
        <f t="shared" si="371"/>
        <v>0.87139143295196753</v>
      </c>
      <c r="N2951" s="47">
        <f t="shared" si="372"/>
        <v>2.9587288259067202E-2</v>
      </c>
      <c r="O2951" s="47">
        <f t="shared" si="373"/>
        <v>9.5851585369161035E-3</v>
      </c>
      <c r="P2951" s="47">
        <f t="shared" si="374"/>
        <v>8.929089057724747E-2</v>
      </c>
      <c r="Q2951" s="47">
        <f t="shared" si="375"/>
        <v>1</v>
      </c>
    </row>
    <row r="2952" spans="1:17" x14ac:dyDescent="0.35">
      <c r="A2952" s="82">
        <v>2949</v>
      </c>
      <c r="B2952" s="83" t="str">
        <f>_xlfn.XLOOKUP(A2952,'TAZs by City - CCAG Model'!$A:$A,'TAZs by City - CCAG Model'!$B:$B,"Unknown")</f>
        <v>Unincorporated</v>
      </c>
      <c r="C2952" s="82">
        <f>_xlfn.XLOOKUP(A2952,'TAZs by City - CCAG Model'!$A:$A,'TAZs by City - CCAG Model'!$C:$C,999)</f>
        <v>13</v>
      </c>
      <c r="D2952" s="82" t="str">
        <f t="shared" si="368"/>
        <v>NO</v>
      </c>
      <c r="E2952" s="27">
        <v>154393.82</v>
      </c>
      <c r="F2952" s="27">
        <v>89702.24</v>
      </c>
      <c r="G2952" s="27">
        <v>8648.1200000000008</v>
      </c>
      <c r="H2952" s="27">
        <v>2806.86</v>
      </c>
      <c r="I2952" s="27">
        <v>25832.22</v>
      </c>
      <c r="J2952" s="27">
        <v>281403.7</v>
      </c>
      <c r="K2952" s="47">
        <f t="shared" si="369"/>
        <v>0.54865597005298794</v>
      </c>
      <c r="L2952" s="47">
        <f t="shared" si="370"/>
        <v>0.31876709510216106</v>
      </c>
      <c r="M2952" s="84">
        <f t="shared" si="371"/>
        <v>0.867423065155149</v>
      </c>
      <c r="N2952" s="47">
        <f t="shared" si="372"/>
        <v>3.073207637284087E-2</v>
      </c>
      <c r="O2952" s="47">
        <f t="shared" si="373"/>
        <v>9.9744957155858301E-3</v>
      </c>
      <c r="P2952" s="47">
        <f t="shared" si="374"/>
        <v>9.179772689555965E-2</v>
      </c>
      <c r="Q2952" s="47">
        <f t="shared" si="375"/>
        <v>1</v>
      </c>
    </row>
    <row r="2953" spans="1:17" x14ac:dyDescent="0.35">
      <c r="A2953" s="82">
        <v>2950</v>
      </c>
      <c r="B2953" s="83" t="str">
        <f>_xlfn.XLOOKUP(A2953,'TAZs by City - CCAG Model'!$A:$A,'TAZs by City - CCAG Model'!$B:$B,"Unknown")</f>
        <v>Unincorporated</v>
      </c>
      <c r="C2953" s="82">
        <f>_xlfn.XLOOKUP(A2953,'TAZs by City - CCAG Model'!$A:$A,'TAZs by City - CCAG Model'!$C:$C,999)</f>
        <v>13</v>
      </c>
      <c r="D2953" s="82" t="str">
        <f t="shared" si="368"/>
        <v>NO</v>
      </c>
      <c r="E2953" s="27">
        <v>149163.62</v>
      </c>
      <c r="F2953" s="27">
        <v>86186.22</v>
      </c>
      <c r="G2953" s="27">
        <v>8201.5400000000009</v>
      </c>
      <c r="H2953" s="27">
        <v>2654.04</v>
      </c>
      <c r="I2953" s="27">
        <v>24691.4</v>
      </c>
      <c r="J2953" s="27">
        <v>270921.36</v>
      </c>
      <c r="K2953" s="47">
        <f t="shared" si="369"/>
        <v>0.55057903149460052</v>
      </c>
      <c r="L2953" s="47">
        <f t="shared" si="370"/>
        <v>0.31812264636498211</v>
      </c>
      <c r="M2953" s="84">
        <f t="shared" si="371"/>
        <v>0.86870167785958263</v>
      </c>
      <c r="N2953" s="47">
        <f t="shared" si="372"/>
        <v>3.0272769928513577E-2</v>
      </c>
      <c r="O2953" s="47">
        <f t="shared" si="373"/>
        <v>9.7963482835018989E-3</v>
      </c>
      <c r="P2953" s="47">
        <f t="shared" si="374"/>
        <v>9.1138624138015559E-2</v>
      </c>
      <c r="Q2953" s="47">
        <f t="shared" si="375"/>
        <v>1</v>
      </c>
    </row>
    <row r="2954" spans="1:17" x14ac:dyDescent="0.35">
      <c r="A2954" s="82">
        <v>2951</v>
      </c>
      <c r="B2954" s="83" t="str">
        <f>_xlfn.XLOOKUP(A2954,'TAZs by City - CCAG Model'!$A:$A,'TAZs by City - CCAG Model'!$B:$B,"Unknown")</f>
        <v>Tracy</v>
      </c>
      <c r="C2954" s="82">
        <f>_xlfn.XLOOKUP(A2954,'TAZs by City - CCAG Model'!$A:$A,'TAZs by City - CCAG Model'!$C:$C,999)</f>
        <v>13</v>
      </c>
      <c r="D2954" s="82" t="str">
        <f t="shared" si="368"/>
        <v>NO</v>
      </c>
      <c r="E2954" s="27">
        <v>48265.88</v>
      </c>
      <c r="F2954" s="27">
        <v>28055.9</v>
      </c>
      <c r="G2954" s="27">
        <v>2484.38</v>
      </c>
      <c r="H2954" s="27">
        <v>795.36</v>
      </c>
      <c r="I2954" s="27">
        <v>7565.7</v>
      </c>
      <c r="J2954" s="27">
        <v>87184.6</v>
      </c>
      <c r="K2954" s="47">
        <f t="shared" si="369"/>
        <v>0.55360556795580862</v>
      </c>
      <c r="L2954" s="47">
        <f t="shared" si="370"/>
        <v>0.32179880391720556</v>
      </c>
      <c r="M2954" s="84">
        <f t="shared" si="371"/>
        <v>0.87540437187301423</v>
      </c>
      <c r="N2954" s="47">
        <f t="shared" si="372"/>
        <v>2.8495628815180661E-2</v>
      </c>
      <c r="O2954" s="47">
        <f t="shared" si="373"/>
        <v>9.1227120385939716E-3</v>
      </c>
      <c r="P2954" s="47">
        <f t="shared" si="374"/>
        <v>8.6777940140804671E-2</v>
      </c>
      <c r="Q2954" s="47">
        <f t="shared" si="375"/>
        <v>1</v>
      </c>
    </row>
    <row r="2955" spans="1:17" x14ac:dyDescent="0.35">
      <c r="A2955" s="82">
        <v>2952</v>
      </c>
      <c r="B2955" s="83" t="str">
        <f>_xlfn.XLOOKUP(A2955,'TAZs by City - CCAG Model'!$A:$A,'TAZs by City - CCAG Model'!$B:$B,"Unknown")</f>
        <v>Stockton</v>
      </c>
      <c r="C2955" s="82">
        <f>_xlfn.XLOOKUP(A2955,'TAZs by City - CCAG Model'!$A:$A,'TAZs by City - CCAG Model'!$C:$C,999)</f>
        <v>13</v>
      </c>
      <c r="D2955" s="82" t="str">
        <f t="shared" si="368"/>
        <v>NO</v>
      </c>
      <c r="E2955" s="27">
        <v>240559.7</v>
      </c>
      <c r="F2955" s="27">
        <v>139474.22</v>
      </c>
      <c r="G2955" s="27">
        <v>13117.44</v>
      </c>
      <c r="H2955" s="27">
        <v>4237.46</v>
      </c>
      <c r="I2955" s="27">
        <v>39435.64</v>
      </c>
      <c r="J2955" s="27">
        <v>436843.08</v>
      </c>
      <c r="K2955" s="47">
        <f t="shared" si="369"/>
        <v>0.55067760258443377</v>
      </c>
      <c r="L2955" s="47">
        <f t="shared" si="370"/>
        <v>0.31927762252752179</v>
      </c>
      <c r="M2955" s="84">
        <f t="shared" si="371"/>
        <v>0.86995522511195555</v>
      </c>
      <c r="N2955" s="47">
        <f t="shared" si="372"/>
        <v>3.0027807696988127E-2</v>
      </c>
      <c r="O2955" s="47">
        <f t="shared" si="373"/>
        <v>9.7001879942793193E-3</v>
      </c>
      <c r="P2955" s="47">
        <f t="shared" si="374"/>
        <v>9.0274155195499486E-2</v>
      </c>
      <c r="Q2955" s="47">
        <f t="shared" si="375"/>
        <v>1</v>
      </c>
    </row>
    <row r="2956" spans="1:17" x14ac:dyDescent="0.35">
      <c r="A2956" s="82">
        <v>2953</v>
      </c>
      <c r="B2956" s="83" t="str">
        <f>_xlfn.XLOOKUP(A2956,'TAZs by City - CCAG Model'!$A:$A,'TAZs by City - CCAG Model'!$B:$B,"Unknown")</f>
        <v>Unincorporated</v>
      </c>
      <c r="C2956" s="82">
        <f>_xlfn.XLOOKUP(A2956,'TAZs by City - CCAG Model'!$A:$A,'TAZs by City - CCAG Model'!$C:$C,999)</f>
        <v>13</v>
      </c>
      <c r="D2956" s="82" t="str">
        <f t="shared" si="368"/>
        <v>NO</v>
      </c>
      <c r="E2956" s="27">
        <v>62652.2</v>
      </c>
      <c r="F2956" s="27">
        <v>37558.92</v>
      </c>
      <c r="G2956" s="27">
        <v>3347.98</v>
      </c>
      <c r="H2956" s="27">
        <v>1090.68</v>
      </c>
      <c r="I2956" s="27">
        <v>10135.76</v>
      </c>
      <c r="J2956" s="27">
        <v>114811.36</v>
      </c>
      <c r="K2956" s="47">
        <f t="shared" si="369"/>
        <v>0.54569687180780713</v>
      </c>
      <c r="L2956" s="47">
        <f t="shared" si="370"/>
        <v>0.32713592104474676</v>
      </c>
      <c r="M2956" s="84">
        <f t="shared" si="371"/>
        <v>0.87283279285255388</v>
      </c>
      <c r="N2956" s="47">
        <f t="shared" si="372"/>
        <v>2.9160703261419427E-2</v>
      </c>
      <c r="O2956" s="47">
        <f t="shared" si="373"/>
        <v>9.499756818489042E-3</v>
      </c>
      <c r="P2956" s="47">
        <f t="shared" si="374"/>
        <v>8.828185642953798E-2</v>
      </c>
      <c r="Q2956" s="47">
        <f t="shared" si="375"/>
        <v>1</v>
      </c>
    </row>
    <row r="2957" spans="1:17" x14ac:dyDescent="0.35">
      <c r="A2957" s="82">
        <v>2954</v>
      </c>
      <c r="B2957" s="83" t="str">
        <f>_xlfn.XLOOKUP(A2957,'TAZs by City - CCAG Model'!$A:$A,'TAZs by City - CCAG Model'!$B:$B,"Unknown")</f>
        <v>Unincorporated</v>
      </c>
      <c r="C2957" s="82">
        <f>_xlfn.XLOOKUP(A2957,'TAZs by City - CCAG Model'!$A:$A,'TAZs by City - CCAG Model'!$C:$C,999)</f>
        <v>13</v>
      </c>
      <c r="D2957" s="82" t="str">
        <f t="shared" si="368"/>
        <v>NO</v>
      </c>
      <c r="E2957" s="27">
        <v>188620.86</v>
      </c>
      <c r="F2957" s="27">
        <v>109636.58</v>
      </c>
      <c r="G2957" s="27">
        <v>10374</v>
      </c>
      <c r="H2957" s="27">
        <v>3368.4</v>
      </c>
      <c r="I2957" s="27">
        <v>31066.86</v>
      </c>
      <c r="J2957" s="27">
        <v>343086.56</v>
      </c>
      <c r="K2957" s="47">
        <f t="shared" si="369"/>
        <v>0.5497763013508894</v>
      </c>
      <c r="L2957" s="47">
        <f t="shared" si="370"/>
        <v>0.31955953039955864</v>
      </c>
      <c r="M2957" s="84">
        <f t="shared" si="371"/>
        <v>0.86933583175044804</v>
      </c>
      <c r="N2957" s="47">
        <f t="shared" si="372"/>
        <v>3.0237267236583095E-2</v>
      </c>
      <c r="O2957" s="47">
        <f t="shared" si="373"/>
        <v>9.8179304954411507E-3</v>
      </c>
      <c r="P2957" s="47">
        <f t="shared" si="374"/>
        <v>9.055108425115807E-2</v>
      </c>
      <c r="Q2957" s="47">
        <f t="shared" si="375"/>
        <v>1</v>
      </c>
    </row>
    <row r="2958" spans="1:17" x14ac:dyDescent="0.35">
      <c r="A2958" s="82">
        <v>2955</v>
      </c>
      <c r="B2958" s="83" t="str">
        <f>_xlfn.XLOOKUP(A2958,'TAZs by City - CCAG Model'!$A:$A,'TAZs by City - CCAG Model'!$B:$B,"Unknown")</f>
        <v>Unincorporated</v>
      </c>
      <c r="C2958" s="82">
        <f>_xlfn.XLOOKUP(A2958,'TAZs by City - CCAG Model'!$A:$A,'TAZs by City - CCAG Model'!$C:$C,999)</f>
        <v>13</v>
      </c>
      <c r="D2958" s="82" t="str">
        <f t="shared" si="368"/>
        <v>NO</v>
      </c>
      <c r="E2958" s="27">
        <v>80698.38</v>
      </c>
      <c r="F2958" s="27">
        <v>47679.58</v>
      </c>
      <c r="G2958" s="27">
        <v>4351.82</v>
      </c>
      <c r="H2958" s="27">
        <v>1412.62</v>
      </c>
      <c r="I2958" s="27">
        <v>13287.74</v>
      </c>
      <c r="J2958" s="27">
        <v>147457.88</v>
      </c>
      <c r="K2958" s="47">
        <f t="shared" si="369"/>
        <v>0.54726393733586842</v>
      </c>
      <c r="L2958" s="47">
        <f t="shared" si="370"/>
        <v>0.32334372364501646</v>
      </c>
      <c r="M2958" s="84">
        <f t="shared" si="371"/>
        <v>0.87060766098088482</v>
      </c>
      <c r="N2958" s="47">
        <f t="shared" si="372"/>
        <v>2.9512291916851102E-2</v>
      </c>
      <c r="O2958" s="47">
        <f t="shared" si="373"/>
        <v>9.5798203527678542E-3</v>
      </c>
      <c r="P2958" s="47">
        <f t="shared" si="374"/>
        <v>9.0112105233033327E-2</v>
      </c>
      <c r="Q2958" s="47">
        <f t="shared" si="375"/>
        <v>1</v>
      </c>
    </row>
    <row r="2959" spans="1:17" x14ac:dyDescent="0.35">
      <c r="A2959" s="82">
        <v>2956</v>
      </c>
      <c r="B2959" s="83" t="str">
        <f>_xlfn.XLOOKUP(A2959,'TAZs by City - CCAG Model'!$A:$A,'TAZs by City - CCAG Model'!$B:$B,"Unknown")</f>
        <v>Unincorporated</v>
      </c>
      <c r="C2959" s="82">
        <f>_xlfn.XLOOKUP(A2959,'TAZs by City - CCAG Model'!$A:$A,'TAZs by City - CCAG Model'!$C:$C,999)</f>
        <v>13</v>
      </c>
      <c r="D2959" s="82" t="str">
        <f t="shared" si="368"/>
        <v>NO</v>
      </c>
      <c r="E2959" s="27">
        <v>47725.440000000002</v>
      </c>
      <c r="F2959" s="27">
        <v>27543.3</v>
      </c>
      <c r="G2959" s="27">
        <v>2544.8000000000002</v>
      </c>
      <c r="H2959" s="27">
        <v>819.84</v>
      </c>
      <c r="I2959" s="27">
        <v>7832.02</v>
      </c>
      <c r="J2959" s="27">
        <v>86483.64</v>
      </c>
      <c r="K2959" s="47">
        <f t="shared" si="369"/>
        <v>0.55184356255125255</v>
      </c>
      <c r="L2959" s="47">
        <f t="shared" si="370"/>
        <v>0.31847988821932099</v>
      </c>
      <c r="M2959" s="84">
        <f t="shared" si="371"/>
        <v>0.8703234507705736</v>
      </c>
      <c r="N2959" s="47">
        <f t="shared" si="372"/>
        <v>2.9425218457502483E-2</v>
      </c>
      <c r="O2959" s="47">
        <f t="shared" si="373"/>
        <v>9.4797120010212347E-3</v>
      </c>
      <c r="P2959" s="47">
        <f t="shared" si="374"/>
        <v>9.0560711829428098E-2</v>
      </c>
      <c r="Q2959" s="47">
        <f t="shared" si="375"/>
        <v>1</v>
      </c>
    </row>
    <row r="2960" spans="1:17" x14ac:dyDescent="0.35">
      <c r="A2960" s="82">
        <v>2957</v>
      </c>
      <c r="B2960" s="83" t="str">
        <f>_xlfn.XLOOKUP(A2960,'TAZs by City - CCAG Model'!$A:$A,'TAZs by City - CCAG Model'!$B:$B,"Unknown")</f>
        <v>Unincorporated</v>
      </c>
      <c r="C2960" s="82">
        <f>_xlfn.XLOOKUP(A2960,'TAZs by City - CCAG Model'!$A:$A,'TAZs by City - CCAG Model'!$C:$C,999)</f>
        <v>13</v>
      </c>
      <c r="D2960" s="82" t="str">
        <f t="shared" si="368"/>
        <v>NO</v>
      </c>
      <c r="E2960" s="27">
        <v>72671.62</v>
      </c>
      <c r="F2960" s="27">
        <v>42214.94</v>
      </c>
      <c r="G2960" s="27">
        <v>3849.9</v>
      </c>
      <c r="H2960" s="27">
        <v>1250.96</v>
      </c>
      <c r="I2960" s="27">
        <v>11603.42</v>
      </c>
      <c r="J2960" s="27">
        <v>131614.20000000001</v>
      </c>
      <c r="K2960" s="47">
        <f t="shared" si="369"/>
        <v>0.55215637826313568</v>
      </c>
      <c r="L2960" s="47">
        <f t="shared" si="370"/>
        <v>0.32074760930051621</v>
      </c>
      <c r="M2960" s="84">
        <f t="shared" si="371"/>
        <v>0.87290398756365184</v>
      </c>
      <c r="N2960" s="47">
        <f t="shared" si="372"/>
        <v>2.9251402964117851E-2</v>
      </c>
      <c r="O2960" s="47">
        <f t="shared" si="373"/>
        <v>9.5047494875173041E-3</v>
      </c>
      <c r="P2960" s="47">
        <f t="shared" si="374"/>
        <v>8.8162371537417683E-2</v>
      </c>
      <c r="Q2960" s="47">
        <f t="shared" si="375"/>
        <v>1</v>
      </c>
    </row>
    <row r="2961" spans="1:17" x14ac:dyDescent="0.35">
      <c r="A2961" s="82">
        <v>2958</v>
      </c>
      <c r="B2961" s="83" t="str">
        <f>_xlfn.XLOOKUP(A2961,'TAZs by City - CCAG Model'!$A:$A,'TAZs by City - CCAG Model'!$B:$B,"Unknown")</f>
        <v>Unincorporated</v>
      </c>
      <c r="C2961" s="82">
        <f>_xlfn.XLOOKUP(A2961,'TAZs by City - CCAG Model'!$A:$A,'TAZs by City - CCAG Model'!$C:$C,999)</f>
        <v>13</v>
      </c>
      <c r="D2961" s="82" t="str">
        <f t="shared" si="368"/>
        <v>NO</v>
      </c>
      <c r="E2961" s="27">
        <v>44446.559999999998</v>
      </c>
      <c r="F2961" s="27">
        <v>26000.84</v>
      </c>
      <c r="G2961" s="27">
        <v>2483.48</v>
      </c>
      <c r="H2961" s="27">
        <v>810.4</v>
      </c>
      <c r="I2961" s="27">
        <v>7312.22</v>
      </c>
      <c r="J2961" s="27">
        <v>81078.460000000006</v>
      </c>
      <c r="K2961" s="47">
        <f t="shared" si="369"/>
        <v>0.54819196121879954</v>
      </c>
      <c r="L2961" s="47">
        <f t="shared" si="370"/>
        <v>0.32068739342113795</v>
      </c>
      <c r="M2961" s="84">
        <f t="shared" si="371"/>
        <v>0.86887935463993748</v>
      </c>
      <c r="N2961" s="47">
        <f t="shared" si="372"/>
        <v>3.0630576851114338E-2</v>
      </c>
      <c r="O2961" s="47">
        <f t="shared" si="373"/>
        <v>9.9952564466567317E-3</v>
      </c>
      <c r="P2961" s="47">
        <f t="shared" si="374"/>
        <v>9.0186962110528485E-2</v>
      </c>
      <c r="Q2961" s="47">
        <f t="shared" si="375"/>
        <v>1</v>
      </c>
    </row>
    <row r="2962" spans="1:17" x14ac:dyDescent="0.35">
      <c r="A2962" s="82">
        <v>2959</v>
      </c>
      <c r="B2962" s="83" t="str">
        <f>_xlfn.XLOOKUP(A2962,'TAZs by City - CCAG Model'!$A:$A,'TAZs by City - CCAG Model'!$B:$B,"Unknown")</f>
        <v>Unknown</v>
      </c>
      <c r="C2962" s="82">
        <f>_xlfn.XLOOKUP(A2962,'TAZs by City - CCAG Model'!$A:$A,'TAZs by City - CCAG Model'!$C:$C,999)</f>
        <v>999</v>
      </c>
      <c r="D2962" s="82" t="str">
        <f t="shared" si="368"/>
        <v>NO</v>
      </c>
      <c r="E2962" s="27">
        <v>2273.04</v>
      </c>
      <c r="F2962" s="27">
        <v>1365.84</v>
      </c>
      <c r="G2962" s="27">
        <v>0</v>
      </c>
      <c r="H2962" s="27">
        <v>0</v>
      </c>
      <c r="I2962" s="27">
        <v>0</v>
      </c>
      <c r="J2962" s="27">
        <v>3644.28</v>
      </c>
      <c r="K2962" s="47">
        <f t="shared" si="369"/>
        <v>0.62372814383088016</v>
      </c>
      <c r="L2962" s="47">
        <f t="shared" si="370"/>
        <v>0.37479008199150443</v>
      </c>
      <c r="M2962" s="84">
        <f t="shared" si="371"/>
        <v>0.9985182258223847</v>
      </c>
      <c r="N2962" s="47">
        <f t="shared" si="372"/>
        <v>0</v>
      </c>
      <c r="O2962" s="47">
        <f t="shared" si="373"/>
        <v>0</v>
      </c>
      <c r="P2962" s="47">
        <f t="shared" si="374"/>
        <v>0</v>
      </c>
      <c r="Q2962" s="47">
        <f t="shared" si="375"/>
        <v>1</v>
      </c>
    </row>
    <row r="2963" spans="1:17" x14ac:dyDescent="0.35">
      <c r="A2963" s="82">
        <v>2960</v>
      </c>
      <c r="B2963" s="83" t="str">
        <f>_xlfn.XLOOKUP(A2963,'TAZs by City - CCAG Model'!$A:$A,'TAZs by City - CCAG Model'!$B:$B,"Unknown")</f>
        <v>Unknown</v>
      </c>
      <c r="C2963" s="82">
        <f>_xlfn.XLOOKUP(A2963,'TAZs by City - CCAG Model'!$A:$A,'TAZs by City - CCAG Model'!$C:$C,999)</f>
        <v>999</v>
      </c>
      <c r="D2963" s="82" t="str">
        <f t="shared" si="368"/>
        <v>NO</v>
      </c>
      <c r="E2963" s="27">
        <v>2059.84</v>
      </c>
      <c r="F2963" s="27">
        <v>1270.72</v>
      </c>
      <c r="G2963" s="27">
        <v>0</v>
      </c>
      <c r="H2963" s="27">
        <v>0</v>
      </c>
      <c r="I2963" s="27">
        <v>0</v>
      </c>
      <c r="J2963" s="27">
        <v>3340.28</v>
      </c>
      <c r="K2963" s="47">
        <f t="shared" si="369"/>
        <v>0.61666686625073353</v>
      </c>
      <c r="L2963" s="47">
        <f t="shared" si="370"/>
        <v>0.38042319805525282</v>
      </c>
      <c r="M2963" s="84">
        <f t="shared" si="371"/>
        <v>0.99709006430598635</v>
      </c>
      <c r="N2963" s="47">
        <f t="shared" si="372"/>
        <v>0</v>
      </c>
      <c r="O2963" s="47">
        <f t="shared" si="373"/>
        <v>0</v>
      </c>
      <c r="P2963" s="47">
        <f t="shared" si="374"/>
        <v>0</v>
      </c>
      <c r="Q2963" s="47">
        <f t="shared" si="375"/>
        <v>1</v>
      </c>
    </row>
    <row r="2964" spans="1:17" x14ac:dyDescent="0.35">
      <c r="A2964" s="82">
        <v>2961</v>
      </c>
      <c r="B2964" s="83" t="str">
        <f>_xlfn.XLOOKUP(A2964,'TAZs by City - CCAG Model'!$A:$A,'TAZs by City - CCAG Model'!$B:$B,"Unknown")</f>
        <v>Unknown</v>
      </c>
      <c r="C2964" s="82">
        <f>_xlfn.XLOOKUP(A2964,'TAZs by City - CCAG Model'!$A:$A,'TAZs by City - CCAG Model'!$C:$C,999)</f>
        <v>999</v>
      </c>
      <c r="D2964" s="82" t="str">
        <f t="shared" si="368"/>
        <v>NO</v>
      </c>
      <c r="E2964" s="27">
        <v>9456.2800000000007</v>
      </c>
      <c r="F2964" s="27">
        <v>5721.64</v>
      </c>
      <c r="G2964" s="27">
        <v>0</v>
      </c>
      <c r="H2964" s="27">
        <v>0</v>
      </c>
      <c r="I2964" s="27">
        <v>0</v>
      </c>
      <c r="J2964" s="27">
        <v>15181.56</v>
      </c>
      <c r="K2964" s="47">
        <f t="shared" si="369"/>
        <v>0.62287933519348482</v>
      </c>
      <c r="L2964" s="47">
        <f t="shared" si="370"/>
        <v>0.37688090025004023</v>
      </c>
      <c r="M2964" s="84">
        <f t="shared" si="371"/>
        <v>0.9997602354435251</v>
      </c>
      <c r="N2964" s="47">
        <f t="shared" si="372"/>
        <v>0</v>
      </c>
      <c r="O2964" s="47">
        <f t="shared" si="373"/>
        <v>0</v>
      </c>
      <c r="P2964" s="47">
        <f t="shared" si="374"/>
        <v>0</v>
      </c>
      <c r="Q2964" s="47">
        <f t="shared" si="375"/>
        <v>1</v>
      </c>
    </row>
    <row r="2965" spans="1:17" x14ac:dyDescent="0.35">
      <c r="A2965" s="82">
        <v>2962</v>
      </c>
      <c r="B2965" s="83" t="str">
        <f>_xlfn.XLOOKUP(A2965,'TAZs by City - CCAG Model'!$A:$A,'TAZs by City - CCAG Model'!$B:$B,"Unknown")</f>
        <v>Unknown</v>
      </c>
      <c r="C2965" s="82">
        <f>_xlfn.XLOOKUP(A2965,'TAZs by City - CCAG Model'!$A:$A,'TAZs by City - CCAG Model'!$C:$C,999)</f>
        <v>999</v>
      </c>
      <c r="D2965" s="82" t="str">
        <f t="shared" si="368"/>
        <v>NO</v>
      </c>
      <c r="E2965" s="27">
        <v>6020.96</v>
      </c>
      <c r="F2965" s="27">
        <v>3693.84</v>
      </c>
      <c r="G2965" s="27">
        <v>0</v>
      </c>
      <c r="H2965" s="27">
        <v>0</v>
      </c>
      <c r="I2965" s="27">
        <v>0</v>
      </c>
      <c r="J2965" s="27">
        <v>9715.36</v>
      </c>
      <c r="K2965" s="47">
        <f t="shared" si="369"/>
        <v>0.61973617035292561</v>
      </c>
      <c r="L2965" s="47">
        <f t="shared" si="370"/>
        <v>0.38020618896263236</v>
      </c>
      <c r="M2965" s="84">
        <f t="shared" si="371"/>
        <v>0.99994235931555786</v>
      </c>
      <c r="N2965" s="47">
        <f t="shared" si="372"/>
        <v>0</v>
      </c>
      <c r="O2965" s="47">
        <f t="shared" si="373"/>
        <v>0</v>
      </c>
      <c r="P2965" s="47">
        <f t="shared" si="374"/>
        <v>0</v>
      </c>
      <c r="Q2965" s="47">
        <f t="shared" si="375"/>
        <v>1</v>
      </c>
    </row>
    <row r="2966" spans="1:17" x14ac:dyDescent="0.35">
      <c r="A2966" s="82">
        <v>2963</v>
      </c>
      <c r="B2966" s="83" t="str">
        <f>_xlfn.XLOOKUP(A2966,'TAZs by City - CCAG Model'!$A:$A,'TAZs by City - CCAG Model'!$B:$B,"Unknown")</f>
        <v>Unknown</v>
      </c>
      <c r="C2966" s="82">
        <f>_xlfn.XLOOKUP(A2966,'TAZs by City - CCAG Model'!$A:$A,'TAZs by City - CCAG Model'!$C:$C,999)</f>
        <v>999</v>
      </c>
      <c r="D2966" s="82" t="str">
        <f t="shared" si="368"/>
        <v>NO</v>
      </c>
      <c r="E2966" s="27">
        <v>2237.2399999999998</v>
      </c>
      <c r="F2966" s="27">
        <v>1400.16</v>
      </c>
      <c r="G2966" s="27">
        <v>0</v>
      </c>
      <c r="H2966" s="27">
        <v>0</v>
      </c>
      <c r="I2966" s="27">
        <v>0</v>
      </c>
      <c r="J2966" s="27">
        <v>3642.04</v>
      </c>
      <c r="K2966" s="47">
        <f t="shared" si="369"/>
        <v>0.6142821056331067</v>
      </c>
      <c r="L2966" s="47">
        <f t="shared" si="370"/>
        <v>0.38444388309848332</v>
      </c>
      <c r="M2966" s="84">
        <f t="shared" si="371"/>
        <v>0.99872598873158991</v>
      </c>
      <c r="N2966" s="47">
        <f t="shared" si="372"/>
        <v>0</v>
      </c>
      <c r="O2966" s="47">
        <f t="shared" si="373"/>
        <v>0</v>
      </c>
      <c r="P2966" s="47">
        <f t="shared" si="374"/>
        <v>0</v>
      </c>
      <c r="Q2966" s="47">
        <f t="shared" si="375"/>
        <v>1</v>
      </c>
    </row>
    <row r="2967" spans="1:17" x14ac:dyDescent="0.35">
      <c r="A2967" s="82">
        <v>2964</v>
      </c>
      <c r="B2967" s="83" t="str">
        <f>_xlfn.XLOOKUP(A2967,'TAZs by City - CCAG Model'!$A:$A,'TAZs by City - CCAG Model'!$B:$B,"Unknown")</f>
        <v>Unknown</v>
      </c>
      <c r="C2967" s="82">
        <f>_xlfn.XLOOKUP(A2967,'TAZs by City - CCAG Model'!$A:$A,'TAZs by City - CCAG Model'!$C:$C,999)</f>
        <v>999</v>
      </c>
      <c r="D2967" s="82" t="str">
        <f t="shared" si="368"/>
        <v>NO</v>
      </c>
      <c r="E2967" s="27">
        <v>14512.52</v>
      </c>
      <c r="F2967" s="27">
        <v>8715.2800000000007</v>
      </c>
      <c r="G2967" s="27">
        <v>0</v>
      </c>
      <c r="H2967" s="27">
        <v>0</v>
      </c>
      <c r="I2967" s="27">
        <v>0</v>
      </c>
      <c r="J2967" s="27">
        <v>23226.44</v>
      </c>
      <c r="K2967" s="47">
        <f t="shared" si="369"/>
        <v>0.62482756720358357</v>
      </c>
      <c r="L2967" s="47">
        <f t="shared" si="370"/>
        <v>0.37523098675475025</v>
      </c>
      <c r="M2967" s="84">
        <f t="shared" si="371"/>
        <v>1.000058553958334</v>
      </c>
      <c r="N2967" s="47">
        <f t="shared" si="372"/>
        <v>0</v>
      </c>
      <c r="O2967" s="47">
        <f t="shared" si="373"/>
        <v>0</v>
      </c>
      <c r="P2967" s="47">
        <f t="shared" si="374"/>
        <v>0</v>
      </c>
      <c r="Q2967" s="47">
        <f t="shared" si="375"/>
        <v>1</v>
      </c>
    </row>
    <row r="2968" spans="1:17" x14ac:dyDescent="0.35">
      <c r="A2968" s="82">
        <v>2965</v>
      </c>
      <c r="B2968" s="83" t="str">
        <f>_xlfn.XLOOKUP(A2968,'TAZs by City - CCAG Model'!$A:$A,'TAZs by City - CCAG Model'!$B:$B,"Unknown")</f>
        <v>Unknown</v>
      </c>
      <c r="C2968" s="82">
        <f>_xlfn.XLOOKUP(A2968,'TAZs by City - CCAG Model'!$A:$A,'TAZs by City - CCAG Model'!$C:$C,999)</f>
        <v>999</v>
      </c>
      <c r="D2968" s="82" t="str">
        <f t="shared" si="368"/>
        <v>NO</v>
      </c>
      <c r="E2968" s="27">
        <v>18991.52</v>
      </c>
      <c r="F2968" s="27">
        <v>12271</v>
      </c>
      <c r="G2968" s="27">
        <v>0</v>
      </c>
      <c r="H2968" s="27">
        <v>0</v>
      </c>
      <c r="I2968" s="27">
        <v>0</v>
      </c>
      <c r="J2968" s="27">
        <v>31260.2</v>
      </c>
      <c r="K2968" s="47">
        <f t="shared" si="369"/>
        <v>0.60753034209633971</v>
      </c>
      <c r="L2968" s="47">
        <f t="shared" si="370"/>
        <v>0.39254387367963095</v>
      </c>
      <c r="M2968" s="84">
        <f t="shared" si="371"/>
        <v>1.0000742157759708</v>
      </c>
      <c r="N2968" s="47">
        <f t="shared" si="372"/>
        <v>0</v>
      </c>
      <c r="O2968" s="47">
        <f t="shared" si="373"/>
        <v>0</v>
      </c>
      <c r="P2968" s="47">
        <f t="shared" si="374"/>
        <v>0</v>
      </c>
      <c r="Q2968" s="47">
        <f t="shared" si="375"/>
        <v>1</v>
      </c>
    </row>
    <row r="2969" spans="1:17" x14ac:dyDescent="0.35">
      <c r="A2969" s="82">
        <v>2966</v>
      </c>
      <c r="B2969" s="83" t="str">
        <f>_xlfn.XLOOKUP(A2969,'TAZs by City - CCAG Model'!$A:$A,'TAZs by City - CCAG Model'!$B:$B,"Unknown")</f>
        <v>Unknown</v>
      </c>
      <c r="C2969" s="82">
        <f>_xlfn.XLOOKUP(A2969,'TAZs by City - CCAG Model'!$A:$A,'TAZs by City - CCAG Model'!$C:$C,999)</f>
        <v>999</v>
      </c>
      <c r="D2969" s="82" t="str">
        <f t="shared" si="368"/>
        <v>NO</v>
      </c>
      <c r="E2969" s="27">
        <v>57158.84</v>
      </c>
      <c r="F2969" s="27">
        <v>36352.959999999999</v>
      </c>
      <c r="G2969" s="27">
        <v>0</v>
      </c>
      <c r="H2969" s="27">
        <v>0</v>
      </c>
      <c r="I2969" s="27">
        <v>0</v>
      </c>
      <c r="J2969" s="27">
        <v>93508.08</v>
      </c>
      <c r="K2969" s="47">
        <f t="shared" si="369"/>
        <v>0.61127166764626106</v>
      </c>
      <c r="L2969" s="47">
        <f t="shared" si="370"/>
        <v>0.38876811501209307</v>
      </c>
      <c r="M2969" s="84">
        <f t="shared" si="371"/>
        <v>1.000039782658354</v>
      </c>
      <c r="N2969" s="47">
        <f t="shared" si="372"/>
        <v>0</v>
      </c>
      <c r="O2969" s="47">
        <f t="shared" si="373"/>
        <v>0</v>
      </c>
      <c r="P2969" s="47">
        <f t="shared" si="374"/>
        <v>0</v>
      </c>
      <c r="Q2969" s="47">
        <f t="shared" si="375"/>
        <v>1</v>
      </c>
    </row>
    <row r="2970" spans="1:17" x14ac:dyDescent="0.35">
      <c r="A2970" s="82">
        <v>2967</v>
      </c>
      <c r="B2970" s="83" t="str">
        <f>_xlfn.XLOOKUP(A2970,'TAZs by City - CCAG Model'!$A:$A,'TAZs by City - CCAG Model'!$B:$B,"Unknown")</f>
        <v>Unknown</v>
      </c>
      <c r="C2970" s="82">
        <f>_xlfn.XLOOKUP(A2970,'TAZs by City - CCAG Model'!$A:$A,'TAZs by City - CCAG Model'!$C:$C,999)</f>
        <v>999</v>
      </c>
      <c r="D2970" s="82" t="str">
        <f t="shared" si="368"/>
        <v>NO</v>
      </c>
      <c r="E2970" s="27">
        <v>34682.879999999997</v>
      </c>
      <c r="F2970" s="27">
        <v>21485.96</v>
      </c>
      <c r="G2970" s="27">
        <v>0</v>
      </c>
      <c r="H2970" s="27">
        <v>0</v>
      </c>
      <c r="I2970" s="27">
        <v>0</v>
      </c>
      <c r="J2970" s="27">
        <v>56165.16</v>
      </c>
      <c r="K2970" s="47">
        <f t="shared" si="369"/>
        <v>0.61751591199953837</v>
      </c>
      <c r="L2970" s="47">
        <f t="shared" si="370"/>
        <v>0.38254960904589247</v>
      </c>
      <c r="M2970" s="84">
        <f t="shared" si="371"/>
        <v>1.0000655210454308</v>
      </c>
      <c r="N2970" s="47">
        <f t="shared" si="372"/>
        <v>0</v>
      </c>
      <c r="O2970" s="47">
        <f t="shared" si="373"/>
        <v>0</v>
      </c>
      <c r="P2970" s="47">
        <f t="shared" si="374"/>
        <v>0</v>
      </c>
      <c r="Q2970" s="47">
        <f t="shared" si="375"/>
        <v>1</v>
      </c>
    </row>
    <row r="2971" spans="1:17" x14ac:dyDescent="0.35">
      <c r="A2971" s="82">
        <v>2968</v>
      </c>
      <c r="B2971" s="83" t="str">
        <f>_xlfn.XLOOKUP(A2971,'TAZs by City - CCAG Model'!$A:$A,'TAZs by City - CCAG Model'!$B:$B,"Unknown")</f>
        <v>Unknown</v>
      </c>
      <c r="C2971" s="82">
        <f>_xlfn.XLOOKUP(A2971,'TAZs by City - CCAG Model'!$A:$A,'TAZs by City - CCAG Model'!$C:$C,999)</f>
        <v>999</v>
      </c>
      <c r="D2971" s="82" t="str">
        <f t="shared" si="368"/>
        <v>NO</v>
      </c>
      <c r="E2971" s="27">
        <v>24104.400000000001</v>
      </c>
      <c r="F2971" s="27">
        <v>15367.28</v>
      </c>
      <c r="G2971" s="27">
        <v>0</v>
      </c>
      <c r="H2971" s="27">
        <v>0</v>
      </c>
      <c r="I2971" s="27">
        <v>0</v>
      </c>
      <c r="J2971" s="27">
        <v>39467.360000000001</v>
      </c>
      <c r="K2971" s="47">
        <f t="shared" si="369"/>
        <v>0.6107426491156237</v>
      </c>
      <c r="L2971" s="47">
        <f t="shared" si="370"/>
        <v>0.38936680842093313</v>
      </c>
      <c r="M2971" s="84">
        <f t="shared" si="371"/>
        <v>1.0001094575365568</v>
      </c>
      <c r="N2971" s="47">
        <f t="shared" si="372"/>
        <v>0</v>
      </c>
      <c r="O2971" s="47">
        <f t="shared" si="373"/>
        <v>0</v>
      </c>
      <c r="P2971" s="47">
        <f t="shared" si="374"/>
        <v>0</v>
      </c>
      <c r="Q2971" s="47">
        <f t="shared" si="375"/>
        <v>1</v>
      </c>
    </row>
    <row r="2972" spans="1:17" x14ac:dyDescent="0.35">
      <c r="A2972" s="82">
        <v>2969</v>
      </c>
      <c r="B2972" s="83" t="str">
        <f>_xlfn.XLOOKUP(A2972,'TAZs by City - CCAG Model'!$A:$A,'TAZs by City - CCAG Model'!$B:$B,"Unknown")</f>
        <v>Unknown</v>
      </c>
      <c r="C2972" s="82">
        <f>_xlfn.XLOOKUP(A2972,'TAZs by City - CCAG Model'!$A:$A,'TAZs by City - CCAG Model'!$C:$C,999)</f>
        <v>999</v>
      </c>
      <c r="D2972" s="82" t="str">
        <f t="shared" si="368"/>
        <v>NO</v>
      </c>
      <c r="E2972" s="27">
        <v>6617.48</v>
      </c>
      <c r="F2972" s="27">
        <v>4160.32</v>
      </c>
      <c r="G2972" s="27">
        <v>0</v>
      </c>
      <c r="H2972" s="27">
        <v>0</v>
      </c>
      <c r="I2972" s="27">
        <v>0</v>
      </c>
      <c r="J2972" s="27">
        <v>10778.68</v>
      </c>
      <c r="K2972" s="47">
        <f t="shared" si="369"/>
        <v>0.61394159581692742</v>
      </c>
      <c r="L2972" s="47">
        <f t="shared" si="370"/>
        <v>0.38597676153295207</v>
      </c>
      <c r="M2972" s="84">
        <f t="shared" si="371"/>
        <v>0.99991835734987944</v>
      </c>
      <c r="N2972" s="47">
        <f t="shared" si="372"/>
        <v>0</v>
      </c>
      <c r="O2972" s="47">
        <f t="shared" si="373"/>
        <v>0</v>
      </c>
      <c r="P2972" s="47">
        <f t="shared" si="374"/>
        <v>0</v>
      </c>
      <c r="Q2972" s="47">
        <f t="shared" si="375"/>
        <v>1</v>
      </c>
    </row>
    <row r="2973" spans="1:17" x14ac:dyDescent="0.35">
      <c r="A2973" s="82">
        <v>2970</v>
      </c>
      <c r="B2973" s="83" t="str">
        <f>_xlfn.XLOOKUP(A2973,'TAZs by City - CCAG Model'!$A:$A,'TAZs by City - CCAG Model'!$B:$B,"Unknown")</f>
        <v>Unknown</v>
      </c>
      <c r="C2973" s="82">
        <f>_xlfn.XLOOKUP(A2973,'TAZs by City - CCAG Model'!$A:$A,'TAZs by City - CCAG Model'!$C:$C,999)</f>
        <v>999</v>
      </c>
      <c r="D2973" s="82" t="str">
        <f t="shared" si="368"/>
        <v>NO</v>
      </c>
      <c r="E2973" s="27">
        <v>6106.92</v>
      </c>
      <c r="F2973" s="27">
        <v>3911.72</v>
      </c>
      <c r="G2973" s="27">
        <v>0</v>
      </c>
      <c r="H2973" s="27">
        <v>0</v>
      </c>
      <c r="I2973" s="27">
        <v>0</v>
      </c>
      <c r="J2973" s="27">
        <v>10020.44</v>
      </c>
      <c r="K2973" s="47">
        <f t="shared" si="369"/>
        <v>0.60944629177960252</v>
      </c>
      <c r="L2973" s="47">
        <f t="shared" si="370"/>
        <v>0.39037407538990299</v>
      </c>
      <c r="M2973" s="84">
        <f t="shared" si="371"/>
        <v>0.9998203671695054</v>
      </c>
      <c r="N2973" s="47">
        <f t="shared" si="372"/>
        <v>0</v>
      </c>
      <c r="O2973" s="47">
        <f t="shared" si="373"/>
        <v>0</v>
      </c>
      <c r="P2973" s="47">
        <f t="shared" si="374"/>
        <v>0</v>
      </c>
      <c r="Q2973" s="47">
        <f t="shared" si="375"/>
        <v>1</v>
      </c>
    </row>
    <row r="2974" spans="1:17" x14ac:dyDescent="0.35">
      <c r="A2974" s="82">
        <v>2971</v>
      </c>
      <c r="B2974" s="83" t="str">
        <f>_xlfn.XLOOKUP(A2974,'TAZs by City - CCAG Model'!$A:$A,'TAZs by City - CCAG Model'!$B:$B,"Unknown")</f>
        <v>Unknown</v>
      </c>
      <c r="C2974" s="82">
        <f>_xlfn.XLOOKUP(A2974,'TAZs by City - CCAG Model'!$A:$A,'TAZs by City - CCAG Model'!$C:$C,999)</f>
        <v>999</v>
      </c>
      <c r="D2974" s="82" t="str">
        <f t="shared" si="368"/>
        <v>NO</v>
      </c>
      <c r="E2974" s="27">
        <v>3524.44</v>
      </c>
      <c r="F2974" s="27">
        <v>2241.56</v>
      </c>
      <c r="G2974" s="27">
        <v>0</v>
      </c>
      <c r="H2974" s="27">
        <v>0</v>
      </c>
      <c r="I2974" s="27">
        <v>0</v>
      </c>
      <c r="J2974" s="27">
        <v>5767.64</v>
      </c>
      <c r="K2974" s="47">
        <f t="shared" si="369"/>
        <v>0.61107142609455511</v>
      </c>
      <c r="L2974" s="47">
        <f t="shared" si="370"/>
        <v>0.38864422883536415</v>
      </c>
      <c r="M2974" s="84">
        <f t="shared" si="371"/>
        <v>0.99971565492991932</v>
      </c>
      <c r="N2974" s="47">
        <f t="shared" si="372"/>
        <v>0</v>
      </c>
      <c r="O2974" s="47">
        <f t="shared" si="373"/>
        <v>0</v>
      </c>
      <c r="P2974" s="47">
        <f t="shared" si="374"/>
        <v>0</v>
      </c>
      <c r="Q2974" s="47">
        <f t="shared" si="375"/>
        <v>1</v>
      </c>
    </row>
    <row r="2975" spans="1:17" x14ac:dyDescent="0.35">
      <c r="A2975" s="82">
        <v>2972</v>
      </c>
      <c r="B2975" s="83" t="str">
        <f>_xlfn.XLOOKUP(A2975,'TAZs by City - CCAG Model'!$A:$A,'TAZs by City - CCAG Model'!$B:$B,"Unknown")</f>
        <v>Unknown</v>
      </c>
      <c r="C2975" s="82">
        <f>_xlfn.XLOOKUP(A2975,'TAZs by City - CCAG Model'!$A:$A,'TAZs by City - CCAG Model'!$C:$C,999)</f>
        <v>999</v>
      </c>
      <c r="D2975" s="82" t="str">
        <f t="shared" si="368"/>
        <v>NO</v>
      </c>
      <c r="E2975" s="27">
        <v>3607.04</v>
      </c>
      <c r="F2975" s="27">
        <v>2310.1999999999998</v>
      </c>
      <c r="G2975" s="27">
        <v>0</v>
      </c>
      <c r="H2975" s="27">
        <v>0</v>
      </c>
      <c r="I2975" s="27">
        <v>0</v>
      </c>
      <c r="J2975" s="27">
        <v>5919.64</v>
      </c>
      <c r="K2975" s="47">
        <f t="shared" si="369"/>
        <v>0.60933435141326153</v>
      </c>
      <c r="L2975" s="47">
        <f t="shared" si="370"/>
        <v>0.39026021852680226</v>
      </c>
      <c r="M2975" s="84">
        <f t="shared" si="371"/>
        <v>0.99959456994006379</v>
      </c>
      <c r="N2975" s="47">
        <f t="shared" si="372"/>
        <v>0</v>
      </c>
      <c r="O2975" s="47">
        <f t="shared" si="373"/>
        <v>0</v>
      </c>
      <c r="P2975" s="47">
        <f t="shared" si="374"/>
        <v>0</v>
      </c>
      <c r="Q2975" s="47">
        <f t="shared" si="375"/>
        <v>1</v>
      </c>
    </row>
    <row r="2976" spans="1:17" x14ac:dyDescent="0.35">
      <c r="A2976" s="82">
        <v>2973</v>
      </c>
      <c r="B2976" s="83" t="str">
        <f>_xlfn.XLOOKUP(A2976,'TAZs by City - CCAG Model'!$A:$A,'TAZs by City - CCAG Model'!$B:$B,"Unknown")</f>
        <v>Unknown</v>
      </c>
      <c r="C2976" s="82">
        <f>_xlfn.XLOOKUP(A2976,'TAZs by City - CCAG Model'!$A:$A,'TAZs by City - CCAG Model'!$C:$C,999)</f>
        <v>999</v>
      </c>
      <c r="D2976" s="82" t="str">
        <f t="shared" si="368"/>
        <v>NO</v>
      </c>
      <c r="E2976" s="27">
        <v>11618.92</v>
      </c>
      <c r="F2976" s="27">
        <v>7360.48</v>
      </c>
      <c r="G2976" s="27">
        <v>0</v>
      </c>
      <c r="H2976" s="27">
        <v>0</v>
      </c>
      <c r="I2976" s="27">
        <v>0</v>
      </c>
      <c r="J2976" s="27">
        <v>18976.16</v>
      </c>
      <c r="K2976" s="47">
        <f t="shared" si="369"/>
        <v>0.61229036854663954</v>
      </c>
      <c r="L2976" s="47">
        <f t="shared" si="370"/>
        <v>0.3878803720036087</v>
      </c>
      <c r="M2976" s="84">
        <f t="shared" si="371"/>
        <v>1.0001707405502485</v>
      </c>
      <c r="N2976" s="47">
        <f t="shared" si="372"/>
        <v>0</v>
      </c>
      <c r="O2976" s="47">
        <f t="shared" si="373"/>
        <v>0</v>
      </c>
      <c r="P2976" s="47">
        <f t="shared" si="374"/>
        <v>0</v>
      </c>
      <c r="Q2976" s="47">
        <f t="shared" si="375"/>
        <v>1</v>
      </c>
    </row>
    <row r="2977" spans="1:17" x14ac:dyDescent="0.35">
      <c r="A2977" s="82">
        <v>2974</v>
      </c>
      <c r="B2977" s="83" t="str">
        <f>_xlfn.XLOOKUP(A2977,'TAZs by City - CCAG Model'!$A:$A,'TAZs by City - CCAG Model'!$B:$B,"Unknown")</f>
        <v>Unknown</v>
      </c>
      <c r="C2977" s="82">
        <f>_xlfn.XLOOKUP(A2977,'TAZs by City - CCAG Model'!$A:$A,'TAZs by City - CCAG Model'!$C:$C,999)</f>
        <v>999</v>
      </c>
      <c r="D2977" s="82" t="str">
        <f t="shared" si="368"/>
        <v>NO</v>
      </c>
      <c r="E2977" s="27">
        <v>16496.12</v>
      </c>
      <c r="F2977" s="27">
        <v>10192.08</v>
      </c>
      <c r="G2977" s="27">
        <v>0</v>
      </c>
      <c r="H2977" s="27">
        <v>0</v>
      </c>
      <c r="I2977" s="27">
        <v>0</v>
      </c>
      <c r="J2977" s="27">
        <v>26686.6</v>
      </c>
      <c r="K2977" s="47">
        <f t="shared" si="369"/>
        <v>0.61814243852720097</v>
      </c>
      <c r="L2977" s="47">
        <f t="shared" si="370"/>
        <v>0.38191751665629942</v>
      </c>
      <c r="M2977" s="84">
        <f t="shared" si="371"/>
        <v>1.0000599551835003</v>
      </c>
      <c r="N2977" s="47">
        <f t="shared" si="372"/>
        <v>0</v>
      </c>
      <c r="O2977" s="47">
        <f t="shared" si="373"/>
        <v>0</v>
      </c>
      <c r="P2977" s="47">
        <f t="shared" si="374"/>
        <v>0</v>
      </c>
      <c r="Q2977" s="47">
        <f t="shared" si="375"/>
        <v>1</v>
      </c>
    </row>
    <row r="2978" spans="1:17" x14ac:dyDescent="0.35">
      <c r="A2978" s="82">
        <v>2975</v>
      </c>
      <c r="B2978" s="83" t="str">
        <f>_xlfn.XLOOKUP(A2978,'TAZs by City - CCAG Model'!$A:$A,'TAZs by City - CCAG Model'!$B:$B,"Unknown")</f>
        <v>Unknown</v>
      </c>
      <c r="C2978" s="82">
        <f>_xlfn.XLOOKUP(A2978,'TAZs by City - CCAG Model'!$A:$A,'TAZs by City - CCAG Model'!$C:$C,999)</f>
        <v>999</v>
      </c>
      <c r="D2978" s="82" t="str">
        <f t="shared" si="368"/>
        <v>NO</v>
      </c>
      <c r="E2978" s="27">
        <v>6819.36</v>
      </c>
      <c r="F2978" s="27">
        <v>3808.64</v>
      </c>
      <c r="G2978" s="27">
        <v>0</v>
      </c>
      <c r="H2978" s="27">
        <v>0</v>
      </c>
      <c r="I2978" s="27">
        <v>0</v>
      </c>
      <c r="J2978" s="27">
        <v>10626.6</v>
      </c>
      <c r="K2978" s="47">
        <f t="shared" si="369"/>
        <v>0.64172548133928065</v>
      </c>
      <c r="L2978" s="47">
        <f t="shared" si="370"/>
        <v>0.3584062635273747</v>
      </c>
      <c r="M2978" s="84">
        <f t="shared" si="371"/>
        <v>1.0001317448666553</v>
      </c>
      <c r="N2978" s="47">
        <f t="shared" si="372"/>
        <v>0</v>
      </c>
      <c r="O2978" s="47">
        <f t="shared" si="373"/>
        <v>0</v>
      </c>
      <c r="P2978" s="47">
        <f t="shared" si="374"/>
        <v>0</v>
      </c>
      <c r="Q2978" s="47">
        <f t="shared" si="375"/>
        <v>1</v>
      </c>
    </row>
    <row r="2979" spans="1:17" x14ac:dyDescent="0.35">
      <c r="A2979" s="82">
        <v>2976</v>
      </c>
      <c r="B2979" s="83" t="str">
        <f>_xlfn.XLOOKUP(A2979,'TAZs by City - CCAG Model'!$A:$A,'TAZs by City - CCAG Model'!$B:$B,"Unknown")</f>
        <v>Unknown</v>
      </c>
      <c r="C2979" s="82">
        <f>_xlfn.XLOOKUP(A2979,'TAZs by City - CCAG Model'!$A:$A,'TAZs by City - CCAG Model'!$C:$C,999)</f>
        <v>999</v>
      </c>
      <c r="D2979" s="82" t="str">
        <f t="shared" si="368"/>
        <v>NO</v>
      </c>
      <c r="E2979" s="27">
        <v>9828.8799999999992</v>
      </c>
      <c r="F2979" s="27">
        <v>5351.48</v>
      </c>
      <c r="G2979" s="27">
        <v>0</v>
      </c>
      <c r="H2979" s="27">
        <v>0</v>
      </c>
      <c r="I2979" s="27">
        <v>0</v>
      </c>
      <c r="J2979" s="27">
        <v>15180</v>
      </c>
      <c r="K2979" s="47">
        <f t="shared" si="369"/>
        <v>0.6474888010540184</v>
      </c>
      <c r="L2979" s="47">
        <f t="shared" si="370"/>
        <v>0.35253491436100126</v>
      </c>
      <c r="M2979" s="84">
        <f t="shared" si="371"/>
        <v>1.0000237154150198</v>
      </c>
      <c r="N2979" s="47">
        <f t="shared" si="372"/>
        <v>0</v>
      </c>
      <c r="O2979" s="47">
        <f t="shared" si="373"/>
        <v>0</v>
      </c>
      <c r="P2979" s="47">
        <f t="shared" si="374"/>
        <v>0</v>
      </c>
      <c r="Q2979" s="47">
        <f t="shared" si="375"/>
        <v>1</v>
      </c>
    </row>
    <row r="2980" spans="1:17" x14ac:dyDescent="0.35">
      <c r="A2980" s="82">
        <v>2977</v>
      </c>
      <c r="B2980" s="83" t="str">
        <f>_xlfn.XLOOKUP(A2980,'TAZs by City - CCAG Model'!$A:$A,'TAZs by City - CCAG Model'!$B:$B,"Unknown")</f>
        <v>Unknown</v>
      </c>
      <c r="C2980" s="82">
        <f>_xlfn.XLOOKUP(A2980,'TAZs by City - CCAG Model'!$A:$A,'TAZs by City - CCAG Model'!$C:$C,999)</f>
        <v>999</v>
      </c>
      <c r="D2980" s="82" t="str">
        <f t="shared" si="368"/>
        <v>NO</v>
      </c>
      <c r="E2980" s="27">
        <v>26380.76</v>
      </c>
      <c r="F2980" s="27">
        <v>14609.24</v>
      </c>
      <c r="G2980" s="27">
        <v>0</v>
      </c>
      <c r="H2980" s="27">
        <v>0</v>
      </c>
      <c r="I2980" s="27">
        <v>0</v>
      </c>
      <c r="J2980" s="27">
        <v>40987.24</v>
      </c>
      <c r="K2980" s="47">
        <f t="shared" si="369"/>
        <v>0.64363348203001713</v>
      </c>
      <c r="L2980" s="47">
        <f t="shared" si="370"/>
        <v>0.35643385600006244</v>
      </c>
      <c r="M2980" s="84">
        <f t="shared" si="371"/>
        <v>1.0000673380300797</v>
      </c>
      <c r="N2980" s="47">
        <f t="shared" si="372"/>
        <v>0</v>
      </c>
      <c r="O2980" s="47">
        <f t="shared" si="373"/>
        <v>0</v>
      </c>
      <c r="P2980" s="47">
        <f t="shared" si="374"/>
        <v>0</v>
      </c>
      <c r="Q2980" s="47">
        <f t="shared" si="375"/>
        <v>1</v>
      </c>
    </row>
    <row r="2981" spans="1:17" x14ac:dyDescent="0.35">
      <c r="A2981" s="82">
        <v>2978</v>
      </c>
      <c r="B2981" s="83" t="str">
        <f>_xlfn.XLOOKUP(A2981,'TAZs by City - CCAG Model'!$A:$A,'TAZs by City - CCAG Model'!$B:$B,"Unknown")</f>
        <v>Unknown</v>
      </c>
      <c r="C2981" s="82">
        <f>_xlfn.XLOOKUP(A2981,'TAZs by City - CCAG Model'!$A:$A,'TAZs by City - CCAG Model'!$C:$C,999)</f>
        <v>999</v>
      </c>
      <c r="D2981" s="82" t="str">
        <f t="shared" si="368"/>
        <v>NO</v>
      </c>
      <c r="E2981" s="27">
        <v>925.8</v>
      </c>
      <c r="F2981" s="27">
        <v>580.44000000000005</v>
      </c>
      <c r="G2981" s="27">
        <v>0</v>
      </c>
      <c r="H2981" s="27">
        <v>0</v>
      </c>
      <c r="I2981" s="27">
        <v>0</v>
      </c>
      <c r="J2981" s="27">
        <v>1517.72</v>
      </c>
      <c r="K2981" s="47">
        <f t="shared" si="369"/>
        <v>0.60999393827583481</v>
      </c>
      <c r="L2981" s="47">
        <f t="shared" si="370"/>
        <v>0.38244208417889997</v>
      </c>
      <c r="M2981" s="84">
        <f t="shared" si="371"/>
        <v>0.99243602245473472</v>
      </c>
      <c r="N2981" s="47">
        <f t="shared" si="372"/>
        <v>0</v>
      </c>
      <c r="O2981" s="47">
        <f t="shared" si="373"/>
        <v>0</v>
      </c>
      <c r="P2981" s="47">
        <f t="shared" si="374"/>
        <v>0</v>
      </c>
      <c r="Q2981" s="47">
        <f t="shared" si="375"/>
        <v>1</v>
      </c>
    </row>
    <row r="2982" spans="1:17" x14ac:dyDescent="0.35">
      <c r="A2982" s="82">
        <v>2979</v>
      </c>
      <c r="B2982" s="83" t="str">
        <f>_xlfn.XLOOKUP(A2982,'TAZs by City - CCAG Model'!$A:$A,'TAZs by City - CCAG Model'!$B:$B,"Unknown")</f>
        <v>Unknown</v>
      </c>
      <c r="C2982" s="82">
        <f>_xlfn.XLOOKUP(A2982,'TAZs by City - CCAG Model'!$A:$A,'TAZs by City - CCAG Model'!$C:$C,999)</f>
        <v>999</v>
      </c>
      <c r="D2982" s="82" t="str">
        <f t="shared" si="368"/>
        <v>NO</v>
      </c>
      <c r="E2982" s="27">
        <v>16366.36</v>
      </c>
      <c r="F2982" s="27">
        <v>9440.84</v>
      </c>
      <c r="G2982" s="27">
        <v>0</v>
      </c>
      <c r="H2982" s="27">
        <v>0</v>
      </c>
      <c r="I2982" s="27">
        <v>0</v>
      </c>
      <c r="J2982" s="27">
        <v>25807.16</v>
      </c>
      <c r="K2982" s="47">
        <f t="shared" si="369"/>
        <v>0.63417904178530304</v>
      </c>
      <c r="L2982" s="47">
        <f t="shared" si="370"/>
        <v>0.36582250817215067</v>
      </c>
      <c r="M2982" s="84">
        <f t="shared" si="371"/>
        <v>1.0000015499574537</v>
      </c>
      <c r="N2982" s="47">
        <f t="shared" si="372"/>
        <v>0</v>
      </c>
      <c r="O2982" s="47">
        <f t="shared" si="373"/>
        <v>0</v>
      </c>
      <c r="P2982" s="47">
        <f t="shared" si="374"/>
        <v>0</v>
      </c>
      <c r="Q2982" s="47">
        <f t="shared" si="375"/>
        <v>1</v>
      </c>
    </row>
    <row r="2983" spans="1:17" x14ac:dyDescent="0.35">
      <c r="A2983" s="82">
        <v>2980</v>
      </c>
      <c r="B2983" s="83" t="str">
        <f>_xlfn.XLOOKUP(A2983,'TAZs by City - CCAG Model'!$A:$A,'TAZs by City - CCAG Model'!$B:$B,"Unknown")</f>
        <v>Unknown</v>
      </c>
      <c r="C2983" s="82">
        <f>_xlfn.XLOOKUP(A2983,'TAZs by City - CCAG Model'!$A:$A,'TAZs by City - CCAG Model'!$C:$C,999)</f>
        <v>999</v>
      </c>
      <c r="D2983" s="82" t="str">
        <f t="shared" si="368"/>
        <v>NO</v>
      </c>
      <c r="E2983" s="27">
        <v>2309.44</v>
      </c>
      <c r="F2983" s="27">
        <v>1628.2</v>
      </c>
      <c r="G2983" s="27">
        <v>0</v>
      </c>
      <c r="H2983" s="27">
        <v>0</v>
      </c>
      <c r="I2983" s="27">
        <v>0</v>
      </c>
      <c r="J2983" s="27">
        <v>3948.04</v>
      </c>
      <c r="K2983" s="47">
        <f t="shared" si="369"/>
        <v>0.584958612374748</v>
      </c>
      <c r="L2983" s="47">
        <f t="shared" si="370"/>
        <v>0.41240716912695924</v>
      </c>
      <c r="M2983" s="84">
        <f t="shared" si="371"/>
        <v>0.99736578150170729</v>
      </c>
      <c r="N2983" s="47">
        <f t="shared" si="372"/>
        <v>0</v>
      </c>
      <c r="O2983" s="47">
        <f t="shared" si="373"/>
        <v>0</v>
      </c>
      <c r="P2983" s="47">
        <f t="shared" si="374"/>
        <v>0</v>
      </c>
      <c r="Q2983" s="47">
        <f t="shared" si="375"/>
        <v>1</v>
      </c>
    </row>
  </sheetData>
  <autoFilter ref="A3:Q2983" xr:uid="{12A6F5DB-4C63-486E-A22D-C6A0EC8E3209}"/>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A55DB-4C30-4AFC-92C9-15BF9C2C226C}">
  <sheetPr>
    <tabColor theme="1"/>
  </sheetPr>
  <dimension ref="A1:AH2983"/>
  <sheetViews>
    <sheetView topLeftCell="A2946" workbookViewId="0">
      <selection activeCell="C3" sqref="C3"/>
    </sheetView>
  </sheetViews>
  <sheetFormatPr defaultRowHeight="14.5" x14ac:dyDescent="0.35"/>
  <cols>
    <col min="1" max="1" width="8.26953125" style="52" customWidth="1"/>
    <col min="2" max="2" width="10.54296875" style="52" customWidth="1"/>
    <col min="3" max="3" width="15.26953125" style="52" customWidth="1"/>
    <col min="4" max="4" width="10.7265625" style="30" customWidth="1"/>
    <col min="5" max="5" width="11.81640625" style="30" bestFit="1" customWidth="1"/>
    <col min="6" max="6" width="12.26953125" bestFit="1" customWidth="1"/>
    <col min="7" max="7" width="14.1796875" bestFit="1" customWidth="1"/>
    <col min="8" max="8" width="14.26953125" bestFit="1" customWidth="1"/>
    <col min="9" max="9" width="16.26953125" bestFit="1" customWidth="1"/>
    <col min="10" max="11" width="15.7265625" customWidth="1"/>
    <col min="12" max="12" width="11.7265625" customWidth="1"/>
    <col min="13" max="13" width="10.81640625" customWidth="1"/>
    <col min="14" max="14" width="10.54296875" customWidth="1"/>
    <col min="26" max="26" width="10" bestFit="1" customWidth="1"/>
    <col min="27" max="27" width="12.54296875" bestFit="1" customWidth="1"/>
    <col min="28" max="28" width="11.26953125" bestFit="1" customWidth="1"/>
    <col min="29" max="29" width="10" bestFit="1" customWidth="1"/>
    <col min="30" max="30" width="14.1796875" bestFit="1" customWidth="1"/>
    <col min="31" max="31" width="11.453125" bestFit="1" customWidth="1"/>
    <col min="32" max="32" width="10" bestFit="1" customWidth="1"/>
    <col min="33" max="33" width="13.26953125" bestFit="1" customWidth="1"/>
  </cols>
  <sheetData>
    <row r="1" spans="1:34" x14ac:dyDescent="0.35">
      <c r="A1" s="54" t="s">
        <v>405</v>
      </c>
      <c r="B1" s="54"/>
      <c r="C1"/>
    </row>
    <row r="2" spans="1:34" x14ac:dyDescent="0.35">
      <c r="A2" s="54" t="s">
        <v>425</v>
      </c>
      <c r="B2" s="54"/>
      <c r="C2" s="54"/>
      <c r="D2" s="80" t="s">
        <v>426</v>
      </c>
      <c r="E2" s="80"/>
      <c r="F2" s="80"/>
      <c r="G2" s="80"/>
      <c r="H2" s="80"/>
      <c r="I2" s="80"/>
      <c r="J2" s="86" t="s">
        <v>427</v>
      </c>
      <c r="K2" s="87"/>
      <c r="L2" s="88" t="s">
        <v>428</v>
      </c>
      <c r="M2" s="97"/>
      <c r="N2" s="97"/>
    </row>
    <row r="3" spans="1:34" ht="43.5" x14ac:dyDescent="0.35">
      <c r="A3" s="95" t="s">
        <v>408</v>
      </c>
      <c r="B3" s="95" t="s">
        <v>409</v>
      </c>
      <c r="C3" s="95" t="s">
        <v>411</v>
      </c>
      <c r="D3" s="91" t="s">
        <v>429</v>
      </c>
      <c r="E3" s="92" t="s">
        <v>430</v>
      </c>
      <c r="F3" s="93" t="s">
        <v>431</v>
      </c>
      <c r="G3" s="93" t="s">
        <v>432</v>
      </c>
      <c r="H3" s="93" t="s">
        <v>433</v>
      </c>
      <c r="I3" s="93" t="s">
        <v>434</v>
      </c>
      <c r="J3" s="94" t="s">
        <v>435</v>
      </c>
      <c r="K3" s="94" t="s">
        <v>436</v>
      </c>
      <c r="L3" s="37" t="s">
        <v>437</v>
      </c>
      <c r="M3" s="37" t="s">
        <v>438</v>
      </c>
      <c r="N3" s="37" t="s">
        <v>439</v>
      </c>
    </row>
    <row r="4" spans="1:34" x14ac:dyDescent="0.35">
      <c r="A4" s="89">
        <v>1</v>
      </c>
      <c r="B4" s="89" t="str">
        <f>_xlfn.XLOOKUP(A4,'Model Modeshare by TAZ'!A:A,'Model Modeshare by TAZ'!B:B)</f>
        <v>Campbell</v>
      </c>
      <c r="C4" s="90" t="str">
        <f>_xlfn.XLOOKUP(A4,'Model Modeshare by TAZ'!A:A,'Model Modeshare by TAZ'!D:D)</f>
        <v>NO</v>
      </c>
      <c r="D4" s="27">
        <v>3575.38</v>
      </c>
      <c r="E4" s="27">
        <v>66323.31</v>
      </c>
      <c r="F4" s="27">
        <v>2636.25</v>
      </c>
      <c r="G4" s="27">
        <v>19478.509999999998</v>
      </c>
      <c r="H4" s="27">
        <v>770.74</v>
      </c>
      <c r="I4" s="27">
        <v>9340.8799999999992</v>
      </c>
      <c r="J4" s="6">
        <v>1610</v>
      </c>
      <c r="K4" s="6">
        <v>531</v>
      </c>
      <c r="L4" s="27">
        <v>12.098453416149066</v>
      </c>
      <c r="M4" s="27">
        <v>17.591111111111111</v>
      </c>
      <c r="N4" s="34">
        <v>28.770289584306401</v>
      </c>
      <c r="AH4" s="50"/>
    </row>
    <row r="5" spans="1:34" x14ac:dyDescent="0.35">
      <c r="A5" s="82">
        <v>2</v>
      </c>
      <c r="B5" s="89" t="str">
        <f>_xlfn.XLOOKUP(A5,'Model Modeshare by TAZ'!A:A,'Model Modeshare by TAZ'!B:B)</f>
        <v>Campbell</v>
      </c>
      <c r="C5" s="90" t="str">
        <f>_xlfn.XLOOKUP(A5,'Model Modeshare by TAZ'!A:A,'Model Modeshare by TAZ'!D:D)</f>
        <v>NO</v>
      </c>
      <c r="D5" s="27">
        <v>1448.24</v>
      </c>
      <c r="E5" s="27">
        <v>31542.06</v>
      </c>
      <c r="F5" s="27">
        <v>426.6</v>
      </c>
      <c r="G5" s="27">
        <v>3084.73</v>
      </c>
      <c r="H5" s="27">
        <v>649.69000000000005</v>
      </c>
      <c r="I5" s="27">
        <v>8123.34</v>
      </c>
      <c r="J5" s="6">
        <v>254</v>
      </c>
      <c r="K5" s="6">
        <v>568</v>
      </c>
      <c r="L5" s="27">
        <v>12.144606299212599</v>
      </c>
      <c r="M5" s="27">
        <v>14.301654929577465</v>
      </c>
      <c r="N5" s="34">
        <v>39.242189781021899</v>
      </c>
      <c r="S5" s="51"/>
      <c r="T5" s="51"/>
      <c r="AH5" s="50"/>
    </row>
    <row r="6" spans="1:34" x14ac:dyDescent="0.35">
      <c r="A6" s="82">
        <v>3</v>
      </c>
      <c r="B6" s="89" t="str">
        <f>_xlfn.XLOOKUP(A6,'Model Modeshare by TAZ'!A:A,'Model Modeshare by TAZ'!B:B)</f>
        <v>Campbell</v>
      </c>
      <c r="C6" s="90" t="str">
        <f>_xlfn.XLOOKUP(A6,'Model Modeshare by TAZ'!A:A,'Model Modeshare by TAZ'!D:D)</f>
        <v>NO</v>
      </c>
      <c r="D6" s="27">
        <v>5030.8100000000004</v>
      </c>
      <c r="E6" s="27">
        <v>89686.96</v>
      </c>
      <c r="F6" s="27">
        <v>2663.62</v>
      </c>
      <c r="G6" s="27">
        <v>17048.79</v>
      </c>
      <c r="H6" s="27">
        <v>1175.79</v>
      </c>
      <c r="I6" s="27">
        <v>13319.12</v>
      </c>
      <c r="J6" s="6">
        <v>1764</v>
      </c>
      <c r="K6" s="6">
        <v>1022</v>
      </c>
      <c r="L6" s="27">
        <v>9.6648469387755114</v>
      </c>
      <c r="M6" s="27">
        <v>13.032407045009785</v>
      </c>
      <c r="N6" s="34">
        <v>30.377480258435032</v>
      </c>
      <c r="O6" s="51"/>
      <c r="S6" s="51"/>
      <c r="T6" s="51"/>
      <c r="AH6" s="50"/>
    </row>
    <row r="7" spans="1:34" x14ac:dyDescent="0.35">
      <c r="A7" s="82">
        <v>4</v>
      </c>
      <c r="B7" s="89" t="str">
        <f>_xlfn.XLOOKUP(A7,'Model Modeshare by TAZ'!A:A,'Model Modeshare by TAZ'!B:B)</f>
        <v>Campbell</v>
      </c>
      <c r="C7" s="90" t="str">
        <f>_xlfn.XLOOKUP(A7,'Model Modeshare by TAZ'!A:A,'Model Modeshare by TAZ'!D:D)</f>
        <v>NO</v>
      </c>
      <c r="D7" s="27">
        <v>1431.72</v>
      </c>
      <c r="E7" s="27">
        <v>30065.43</v>
      </c>
      <c r="F7" s="27">
        <v>749.1</v>
      </c>
      <c r="G7" s="27">
        <v>5529.02</v>
      </c>
      <c r="H7" s="27">
        <v>502.48</v>
      </c>
      <c r="I7" s="27">
        <v>6289.87</v>
      </c>
      <c r="J7" s="6">
        <v>439</v>
      </c>
      <c r="K7" s="6">
        <v>429</v>
      </c>
      <c r="L7" s="27">
        <v>12.594578587699317</v>
      </c>
      <c r="M7" s="27">
        <v>14.661701631701632</v>
      </c>
      <c r="N7" s="34">
        <v>33.674608294930877</v>
      </c>
      <c r="O7" s="51"/>
      <c r="R7" s="51"/>
      <c r="S7" s="51"/>
      <c r="T7" s="51"/>
      <c r="X7" s="51"/>
      <c r="AH7" s="50"/>
    </row>
    <row r="8" spans="1:34" x14ac:dyDescent="0.35">
      <c r="A8" s="82">
        <v>5</v>
      </c>
      <c r="B8" s="89" t="str">
        <f>_xlfn.XLOOKUP(A8,'Model Modeshare by TAZ'!A:A,'Model Modeshare by TAZ'!B:B)</f>
        <v>Campbell</v>
      </c>
      <c r="C8" s="90" t="str">
        <f>_xlfn.XLOOKUP(A8,'Model Modeshare by TAZ'!A:A,'Model Modeshare by TAZ'!D:D)</f>
        <v>NO</v>
      </c>
      <c r="D8" s="27">
        <v>8326.2000000000007</v>
      </c>
      <c r="E8" s="27">
        <v>107293.7</v>
      </c>
      <c r="F8" s="27">
        <v>6707.76</v>
      </c>
      <c r="G8" s="27">
        <v>37204.43</v>
      </c>
      <c r="H8" s="27">
        <v>1551.79</v>
      </c>
      <c r="I8" s="27">
        <v>16942.91</v>
      </c>
      <c r="J8" s="6">
        <v>4476</v>
      </c>
      <c r="K8" s="6">
        <v>1041</v>
      </c>
      <c r="L8" s="27">
        <v>8.3119816800714919</v>
      </c>
      <c r="M8" s="27">
        <v>16.275609990393853</v>
      </c>
      <c r="N8" s="34">
        <v>19.349646547036432</v>
      </c>
      <c r="AH8" s="50"/>
    </row>
    <row r="9" spans="1:34" x14ac:dyDescent="0.35">
      <c r="A9" s="82">
        <v>6</v>
      </c>
      <c r="B9" s="89" t="str">
        <f>_xlfn.XLOOKUP(A9,'Model Modeshare by TAZ'!A:A,'Model Modeshare by TAZ'!B:B)</f>
        <v>Campbell</v>
      </c>
      <c r="C9" s="90" t="str">
        <f>_xlfn.XLOOKUP(A9,'Model Modeshare by TAZ'!A:A,'Model Modeshare by TAZ'!D:D)</f>
        <v>NO</v>
      </c>
      <c r="D9" s="27">
        <v>3344.83</v>
      </c>
      <c r="E9" s="27">
        <v>54654.77</v>
      </c>
      <c r="F9" s="27">
        <v>3852.16</v>
      </c>
      <c r="G9" s="27">
        <v>26375.27</v>
      </c>
      <c r="H9" s="27">
        <v>76.180000000000007</v>
      </c>
      <c r="I9" s="27">
        <v>906.78</v>
      </c>
      <c r="J9" s="6">
        <v>2203</v>
      </c>
      <c r="K9" s="6">
        <v>40</v>
      </c>
      <c r="L9" s="27">
        <v>11.972433045846573</v>
      </c>
      <c r="M9" s="27">
        <v>22.669499999999999</v>
      </c>
      <c r="N9" s="34">
        <v>21.750254123941151</v>
      </c>
      <c r="S9" s="51"/>
      <c r="T9" s="51"/>
      <c r="AH9" s="50"/>
    </row>
    <row r="10" spans="1:34" x14ac:dyDescent="0.35">
      <c r="A10" s="82">
        <v>7</v>
      </c>
      <c r="B10" s="89" t="str">
        <f>_xlfn.XLOOKUP(A10,'Model Modeshare by TAZ'!A:A,'Model Modeshare by TAZ'!B:B)</f>
        <v>Campbell</v>
      </c>
      <c r="C10" s="90" t="str">
        <f>_xlfn.XLOOKUP(A10,'Model Modeshare by TAZ'!A:A,'Model Modeshare by TAZ'!D:D)</f>
        <v>NO</v>
      </c>
      <c r="D10" s="27">
        <v>5956.01</v>
      </c>
      <c r="E10" s="27">
        <v>117155.72</v>
      </c>
      <c r="F10" s="27">
        <v>3050.4</v>
      </c>
      <c r="G10" s="27">
        <v>22589.23</v>
      </c>
      <c r="H10" s="27">
        <v>2055.16</v>
      </c>
      <c r="I10" s="27">
        <v>25740.68</v>
      </c>
      <c r="J10" s="6">
        <v>1879</v>
      </c>
      <c r="K10" s="6">
        <v>1736</v>
      </c>
      <c r="L10" s="27">
        <v>12.021942522618414</v>
      </c>
      <c r="M10" s="27">
        <v>14.827580645161291</v>
      </c>
      <c r="N10" s="34">
        <v>31.694738589211617</v>
      </c>
      <c r="AH10" s="50"/>
    </row>
    <row r="11" spans="1:34" x14ac:dyDescent="0.35">
      <c r="A11" s="82">
        <v>8</v>
      </c>
      <c r="B11" s="89" t="str">
        <f>_xlfn.XLOOKUP(A11,'Model Modeshare by TAZ'!A:A,'Model Modeshare by TAZ'!B:B)</f>
        <v>Campbell</v>
      </c>
      <c r="C11" s="90" t="str">
        <f>_xlfn.XLOOKUP(A11,'Model Modeshare by TAZ'!A:A,'Model Modeshare by TAZ'!D:D)</f>
        <v>NO</v>
      </c>
      <c r="D11" s="27">
        <v>2248.42</v>
      </c>
      <c r="E11" s="27">
        <v>37923.68</v>
      </c>
      <c r="F11" s="27">
        <v>1406.45</v>
      </c>
      <c r="G11" s="27">
        <v>9143.7800000000007</v>
      </c>
      <c r="H11" s="27">
        <v>329.11</v>
      </c>
      <c r="I11" s="27">
        <v>3495.34</v>
      </c>
      <c r="J11" s="6">
        <v>837</v>
      </c>
      <c r="K11" s="6">
        <v>209</v>
      </c>
      <c r="L11" s="27">
        <v>10.924468339307049</v>
      </c>
      <c r="M11" s="27">
        <v>16.724114832535886</v>
      </c>
      <c r="N11" s="34">
        <v>30.748967495219883</v>
      </c>
      <c r="S11" s="51"/>
      <c r="AH11" s="50"/>
    </row>
    <row r="12" spans="1:34" x14ac:dyDescent="0.35">
      <c r="A12" s="82">
        <v>9</v>
      </c>
      <c r="B12" s="89" t="str">
        <f>_xlfn.XLOOKUP(A12,'Model Modeshare by TAZ'!A:A,'Model Modeshare by TAZ'!B:B)</f>
        <v>Campbell</v>
      </c>
      <c r="C12" s="90" t="str">
        <f>_xlfn.XLOOKUP(A12,'Model Modeshare by TAZ'!A:A,'Model Modeshare by TAZ'!D:D)</f>
        <v>NO</v>
      </c>
      <c r="D12" s="27">
        <v>7067.59</v>
      </c>
      <c r="E12" s="27">
        <v>126103.62</v>
      </c>
      <c r="F12" s="27">
        <v>5084.58</v>
      </c>
      <c r="G12" s="27">
        <v>33444.07</v>
      </c>
      <c r="H12" s="27">
        <v>1638.46</v>
      </c>
      <c r="I12" s="27">
        <v>19189.91</v>
      </c>
      <c r="J12" s="6">
        <v>3391</v>
      </c>
      <c r="K12" s="6">
        <v>1429</v>
      </c>
      <c r="L12" s="27">
        <v>9.8625980536714835</v>
      </c>
      <c r="M12" s="27">
        <v>13.42890832750175</v>
      </c>
      <c r="N12" s="34">
        <v>31.597601659751039</v>
      </c>
      <c r="S12" s="51"/>
      <c r="AH12" s="50"/>
    </row>
    <row r="13" spans="1:34" x14ac:dyDescent="0.35">
      <c r="A13" s="82">
        <v>10</v>
      </c>
      <c r="B13" s="89" t="str">
        <f>_xlfn.XLOOKUP(A13,'Model Modeshare by TAZ'!A:A,'Model Modeshare by TAZ'!B:B)</f>
        <v>Campbell</v>
      </c>
      <c r="C13" s="90" t="str">
        <f>_xlfn.XLOOKUP(A13,'Model Modeshare by TAZ'!A:A,'Model Modeshare by TAZ'!D:D)</f>
        <v>NO</v>
      </c>
      <c r="D13" s="27">
        <v>3140.13</v>
      </c>
      <c r="E13" s="27">
        <v>51601.7</v>
      </c>
      <c r="F13" s="27">
        <v>2192.39</v>
      </c>
      <c r="G13" s="27">
        <v>13709.05</v>
      </c>
      <c r="H13" s="27">
        <v>484.59</v>
      </c>
      <c r="I13" s="27">
        <v>5062.7700000000004</v>
      </c>
      <c r="J13" s="6">
        <v>1348</v>
      </c>
      <c r="K13" s="6">
        <v>310</v>
      </c>
      <c r="L13" s="27">
        <v>10.169918397626112</v>
      </c>
      <c r="M13" s="27">
        <v>16.331516129032259</v>
      </c>
      <c r="N13" s="34">
        <v>25.95711097708082</v>
      </c>
      <c r="O13" s="51"/>
      <c r="S13" s="51"/>
      <c r="T13" s="51"/>
      <c r="AH13" s="50"/>
    </row>
    <row r="14" spans="1:34" x14ac:dyDescent="0.35">
      <c r="A14" s="82">
        <v>11</v>
      </c>
      <c r="B14" s="89" t="str">
        <f>_xlfn.XLOOKUP(A14,'Model Modeshare by TAZ'!A:A,'Model Modeshare by TAZ'!B:B)</f>
        <v>Campbell</v>
      </c>
      <c r="C14" s="90" t="str">
        <f>_xlfn.XLOOKUP(A14,'Model Modeshare by TAZ'!A:A,'Model Modeshare by TAZ'!D:D)</f>
        <v>NO</v>
      </c>
      <c r="D14" s="27">
        <v>12366.15</v>
      </c>
      <c r="E14" s="27">
        <v>258776.21</v>
      </c>
      <c r="F14" s="27">
        <v>431.29</v>
      </c>
      <c r="G14" s="27">
        <v>2840.65</v>
      </c>
      <c r="H14" s="27">
        <v>4492.1499999999996</v>
      </c>
      <c r="I14" s="27">
        <v>49517.54</v>
      </c>
      <c r="J14" s="6">
        <v>265</v>
      </c>
      <c r="K14" s="6">
        <v>4112</v>
      </c>
      <c r="L14" s="27">
        <v>10.719433962264151</v>
      </c>
      <c r="M14" s="27">
        <v>12.042203307392997</v>
      </c>
      <c r="N14" s="34">
        <v>48.19910440941284</v>
      </c>
      <c r="S14" s="51"/>
      <c r="T14" s="51"/>
      <c r="AH14" s="50"/>
    </row>
    <row r="15" spans="1:34" x14ac:dyDescent="0.35">
      <c r="A15" s="82">
        <v>12</v>
      </c>
      <c r="B15" s="89" t="str">
        <f>_xlfn.XLOOKUP(A15,'Model Modeshare by TAZ'!A:A,'Model Modeshare by TAZ'!B:B)</f>
        <v>Campbell</v>
      </c>
      <c r="C15" s="90" t="str">
        <f>_xlfn.XLOOKUP(A15,'Model Modeshare by TAZ'!A:A,'Model Modeshare by TAZ'!D:D)</f>
        <v>NO</v>
      </c>
      <c r="D15" s="27">
        <v>3151.84</v>
      </c>
      <c r="E15" s="27">
        <v>53771.82</v>
      </c>
      <c r="F15" s="27">
        <v>3610.94</v>
      </c>
      <c r="G15" s="27">
        <v>25476.880000000001</v>
      </c>
      <c r="H15" s="27">
        <v>8.93</v>
      </c>
      <c r="I15" s="27">
        <v>107.43</v>
      </c>
      <c r="J15" s="6">
        <v>2278</v>
      </c>
      <c r="K15" s="6">
        <v>4</v>
      </c>
      <c r="L15" s="27">
        <v>11.183880597014927</v>
      </c>
      <c r="M15" s="27">
        <v>26.857500000000002</v>
      </c>
      <c r="N15" s="34">
        <v>18.23849255039439</v>
      </c>
      <c r="S15" s="51"/>
      <c r="AH15" s="50"/>
    </row>
    <row r="16" spans="1:34" x14ac:dyDescent="0.35">
      <c r="A16" s="82">
        <v>13</v>
      </c>
      <c r="B16" s="89" t="str">
        <f>_xlfn.XLOOKUP(A16,'Model Modeshare by TAZ'!A:A,'Model Modeshare by TAZ'!B:B)</f>
        <v>Campbell</v>
      </c>
      <c r="C16" s="90" t="str">
        <f>_xlfn.XLOOKUP(A16,'Model Modeshare by TAZ'!A:A,'Model Modeshare by TAZ'!D:D)</f>
        <v>NO</v>
      </c>
      <c r="D16" s="27">
        <v>3161.02</v>
      </c>
      <c r="E16" s="27">
        <v>59048.55</v>
      </c>
      <c r="F16" s="27">
        <v>1604</v>
      </c>
      <c r="G16" s="27">
        <v>11248.28</v>
      </c>
      <c r="H16" s="27">
        <v>426.3</v>
      </c>
      <c r="I16" s="27">
        <v>5247.07</v>
      </c>
      <c r="J16" s="6">
        <v>1025</v>
      </c>
      <c r="K16" s="6">
        <v>281</v>
      </c>
      <c r="L16" s="27">
        <v>10.973931707317075</v>
      </c>
      <c r="M16" s="27">
        <v>18.672846975088966</v>
      </c>
      <c r="N16" s="34">
        <v>31.587993874425727</v>
      </c>
      <c r="O16" s="51"/>
      <c r="S16" s="51"/>
      <c r="T16" s="51"/>
      <c r="AH16" s="50"/>
    </row>
    <row r="17" spans="1:34" x14ac:dyDescent="0.35">
      <c r="A17" s="82">
        <v>14</v>
      </c>
      <c r="B17" s="89" t="str">
        <f>_xlfn.XLOOKUP(A17,'Model Modeshare by TAZ'!A:A,'Model Modeshare by TAZ'!B:B)</f>
        <v>Campbell</v>
      </c>
      <c r="C17" s="90" t="str">
        <f>_xlfn.XLOOKUP(A17,'Model Modeshare by TAZ'!A:A,'Model Modeshare by TAZ'!D:D)</f>
        <v>NO</v>
      </c>
      <c r="D17" s="27">
        <v>2981.46</v>
      </c>
      <c r="E17" s="27">
        <v>48770.17</v>
      </c>
      <c r="F17" s="27">
        <v>3283.83</v>
      </c>
      <c r="G17" s="27">
        <v>22907.46</v>
      </c>
      <c r="H17" s="27">
        <v>128.16</v>
      </c>
      <c r="I17" s="27">
        <v>1544.5</v>
      </c>
      <c r="J17" s="6">
        <v>1909</v>
      </c>
      <c r="K17" s="6">
        <v>68</v>
      </c>
      <c r="L17" s="27">
        <v>11.999717129387113</v>
      </c>
      <c r="M17" s="27">
        <v>22.713235294117649</v>
      </c>
      <c r="N17" s="34">
        <v>22.132832574607992</v>
      </c>
      <c r="AH17" s="50"/>
    </row>
    <row r="18" spans="1:34" x14ac:dyDescent="0.35">
      <c r="A18" s="82">
        <v>15</v>
      </c>
      <c r="B18" s="89" t="str">
        <f>_xlfn.XLOOKUP(A18,'Model Modeshare by TAZ'!A:A,'Model Modeshare by TAZ'!B:B)</f>
        <v>Campbell</v>
      </c>
      <c r="C18" s="90" t="str">
        <f>_xlfn.XLOOKUP(A18,'Model Modeshare by TAZ'!A:A,'Model Modeshare by TAZ'!D:D)</f>
        <v>NO</v>
      </c>
      <c r="D18" s="27">
        <v>10672.44</v>
      </c>
      <c r="E18" s="27">
        <v>213596.57</v>
      </c>
      <c r="F18" s="27">
        <v>4505.75</v>
      </c>
      <c r="G18" s="27">
        <v>31832.48</v>
      </c>
      <c r="H18" s="27">
        <v>3532.81</v>
      </c>
      <c r="I18" s="27">
        <v>40244.19</v>
      </c>
      <c r="J18" s="6">
        <v>2726</v>
      </c>
      <c r="K18" s="6">
        <v>3065</v>
      </c>
      <c r="L18" s="27">
        <v>11.677358767424797</v>
      </c>
      <c r="M18" s="27">
        <v>13.130241435562807</v>
      </c>
      <c r="N18" s="34">
        <v>30.901359005353132</v>
      </c>
      <c r="S18" s="51"/>
      <c r="AH18" s="50"/>
    </row>
    <row r="19" spans="1:34" x14ac:dyDescent="0.35">
      <c r="A19" s="82">
        <v>16</v>
      </c>
      <c r="B19" s="89" t="str">
        <f>_xlfn.XLOOKUP(A19,'Model Modeshare by TAZ'!A:A,'Model Modeshare by TAZ'!B:B)</f>
        <v>Campbell</v>
      </c>
      <c r="C19" s="90" t="str">
        <f>_xlfn.XLOOKUP(A19,'Model Modeshare by TAZ'!A:A,'Model Modeshare by TAZ'!D:D)</f>
        <v>NO</v>
      </c>
      <c r="D19" s="27">
        <v>2060.3200000000002</v>
      </c>
      <c r="E19" s="27">
        <v>40610.61</v>
      </c>
      <c r="F19" s="27">
        <v>632.91999999999996</v>
      </c>
      <c r="G19" s="27">
        <v>4690.29</v>
      </c>
      <c r="H19" s="27">
        <v>669.08</v>
      </c>
      <c r="I19" s="27">
        <v>8267.51</v>
      </c>
      <c r="J19" s="6">
        <v>393</v>
      </c>
      <c r="K19" s="6">
        <v>563</v>
      </c>
      <c r="L19" s="27">
        <v>11.934580152671755</v>
      </c>
      <c r="M19" s="27">
        <v>14.684742451154529</v>
      </c>
      <c r="N19" s="34">
        <v>42.605868200836817</v>
      </c>
      <c r="AH19" s="50"/>
    </row>
    <row r="20" spans="1:34" x14ac:dyDescent="0.35">
      <c r="A20" s="82">
        <v>17</v>
      </c>
      <c r="B20" s="89" t="str">
        <f>_xlfn.XLOOKUP(A20,'Model Modeshare by TAZ'!A:A,'Model Modeshare by TAZ'!B:B)</f>
        <v>Campbell</v>
      </c>
      <c r="C20" s="90" t="str">
        <f>_xlfn.XLOOKUP(A20,'Model Modeshare by TAZ'!A:A,'Model Modeshare by TAZ'!D:D)</f>
        <v>NO</v>
      </c>
      <c r="D20" s="27">
        <v>7149.38</v>
      </c>
      <c r="E20" s="27">
        <v>137241.22</v>
      </c>
      <c r="F20" s="27">
        <v>3265.73</v>
      </c>
      <c r="G20" s="27">
        <v>23242.63</v>
      </c>
      <c r="H20" s="27">
        <v>1025.1600000000001</v>
      </c>
      <c r="I20" s="27">
        <v>12106.11</v>
      </c>
      <c r="J20" s="6">
        <v>2301</v>
      </c>
      <c r="K20" s="6">
        <v>908</v>
      </c>
      <c r="L20" s="27">
        <v>10.101099521946979</v>
      </c>
      <c r="M20" s="27">
        <v>13.332720264317182</v>
      </c>
      <c r="N20" s="34">
        <v>40.609579308195698</v>
      </c>
      <c r="AH20" s="50"/>
    </row>
    <row r="21" spans="1:34" x14ac:dyDescent="0.35">
      <c r="A21" s="82">
        <v>18</v>
      </c>
      <c r="B21" s="89" t="str">
        <f>_xlfn.XLOOKUP(A21,'Model Modeshare by TAZ'!A:A,'Model Modeshare by TAZ'!B:B)</f>
        <v>Campbell</v>
      </c>
      <c r="C21" s="90" t="str">
        <f>_xlfn.XLOOKUP(A21,'Model Modeshare by TAZ'!A:A,'Model Modeshare by TAZ'!D:D)</f>
        <v>NO</v>
      </c>
      <c r="D21" s="27">
        <v>1248.68</v>
      </c>
      <c r="E21" s="27">
        <v>24930.21</v>
      </c>
      <c r="F21" s="27">
        <v>786.1</v>
      </c>
      <c r="G21" s="27">
        <v>5824.42</v>
      </c>
      <c r="H21" s="27">
        <v>341.58</v>
      </c>
      <c r="I21" s="27">
        <v>4458.41</v>
      </c>
      <c r="J21" s="6">
        <v>455</v>
      </c>
      <c r="K21" s="6">
        <v>273</v>
      </c>
      <c r="L21" s="27">
        <v>12.800923076923077</v>
      </c>
      <c r="M21" s="27">
        <v>16.331172161172162</v>
      </c>
      <c r="N21" s="34">
        <v>29.526936813186815</v>
      </c>
      <c r="S21" s="51"/>
      <c r="AH21" s="50"/>
    </row>
    <row r="22" spans="1:34" x14ac:dyDescent="0.35">
      <c r="A22" s="82">
        <v>19</v>
      </c>
      <c r="B22" s="89" t="str">
        <f>_xlfn.XLOOKUP(A22,'Model Modeshare by TAZ'!A:A,'Model Modeshare by TAZ'!B:B)</f>
        <v>Campbell</v>
      </c>
      <c r="C22" s="90" t="str">
        <f>_xlfn.XLOOKUP(A22,'Model Modeshare by TAZ'!A:A,'Model Modeshare by TAZ'!D:D)</f>
        <v>NO</v>
      </c>
      <c r="D22" s="27">
        <v>1909.17</v>
      </c>
      <c r="E22" s="27">
        <v>52259.63</v>
      </c>
      <c r="F22" s="27">
        <v>0.04</v>
      </c>
      <c r="G22" s="27">
        <v>0.06</v>
      </c>
      <c r="H22" s="27">
        <v>2015.44</v>
      </c>
      <c r="I22" s="27">
        <v>27296.95</v>
      </c>
      <c r="J22" s="6">
        <v>4</v>
      </c>
      <c r="K22" s="6">
        <v>1660</v>
      </c>
      <c r="L22" s="27">
        <v>1.4999999999999999E-2</v>
      </c>
      <c r="M22" s="27">
        <v>16.443945783132531</v>
      </c>
      <c r="N22" s="34">
        <v>34.504987980769229</v>
      </c>
      <c r="S22" s="51"/>
      <c r="AH22" s="50"/>
    </row>
    <row r="23" spans="1:34" x14ac:dyDescent="0.35">
      <c r="A23" s="82">
        <v>20</v>
      </c>
      <c r="B23" s="89" t="str">
        <f>_xlfn.XLOOKUP(A23,'Model Modeshare by TAZ'!A:A,'Model Modeshare by TAZ'!B:B)</f>
        <v>Campbell</v>
      </c>
      <c r="C23" s="90" t="str">
        <f>_xlfn.XLOOKUP(A23,'Model Modeshare by TAZ'!A:A,'Model Modeshare by TAZ'!D:D)</f>
        <v>NO</v>
      </c>
      <c r="D23" s="27">
        <v>2033.92</v>
      </c>
      <c r="E23" s="27">
        <v>31351.52</v>
      </c>
      <c r="F23" s="27">
        <v>1081.92</v>
      </c>
      <c r="G23" s="27">
        <v>7805.03</v>
      </c>
      <c r="H23" s="27">
        <v>131.79</v>
      </c>
      <c r="I23" s="27">
        <v>1664.68</v>
      </c>
      <c r="J23" s="6">
        <v>677</v>
      </c>
      <c r="K23" s="6">
        <v>72</v>
      </c>
      <c r="L23" s="27">
        <v>11.528847858197931</v>
      </c>
      <c r="M23" s="27">
        <v>23.120555555555555</v>
      </c>
      <c r="N23" s="34">
        <v>34.772950600801067</v>
      </c>
      <c r="R23" s="51"/>
      <c r="S23" s="51"/>
      <c r="T23" s="51"/>
      <c r="X23" s="51"/>
      <c r="AH23" s="50"/>
    </row>
    <row r="24" spans="1:34" x14ac:dyDescent="0.35">
      <c r="A24" s="82">
        <v>21</v>
      </c>
      <c r="B24" s="89" t="str">
        <f>_xlfn.XLOOKUP(A24,'Model Modeshare by TAZ'!A:A,'Model Modeshare by TAZ'!B:B)</f>
        <v>Campbell</v>
      </c>
      <c r="C24" s="90" t="str">
        <f>_xlfn.XLOOKUP(A24,'Model Modeshare by TAZ'!A:A,'Model Modeshare by TAZ'!D:D)</f>
        <v>NO</v>
      </c>
      <c r="D24" s="27">
        <v>1225.43</v>
      </c>
      <c r="E24" s="27">
        <v>24996.03</v>
      </c>
      <c r="F24" s="27">
        <v>828.02</v>
      </c>
      <c r="G24" s="27">
        <v>6046.88</v>
      </c>
      <c r="H24" s="27">
        <v>301.45</v>
      </c>
      <c r="I24" s="27">
        <v>3863.33</v>
      </c>
      <c r="J24" s="6">
        <v>498</v>
      </c>
      <c r="K24" s="6">
        <v>251</v>
      </c>
      <c r="L24" s="27">
        <v>12.142329317269077</v>
      </c>
      <c r="M24" s="27">
        <v>15.391752988047809</v>
      </c>
      <c r="N24" s="34">
        <v>30.371121495327106</v>
      </c>
      <c r="S24" s="51"/>
      <c r="AH24" s="50"/>
    </row>
    <row r="25" spans="1:34" x14ac:dyDescent="0.35">
      <c r="A25" s="82">
        <v>22</v>
      </c>
      <c r="B25" s="89" t="str">
        <f>_xlfn.XLOOKUP(A25,'Model Modeshare by TAZ'!A:A,'Model Modeshare by TAZ'!B:B)</f>
        <v>Campbell</v>
      </c>
      <c r="C25" s="90" t="str">
        <f>_xlfn.XLOOKUP(A25,'Model Modeshare by TAZ'!A:A,'Model Modeshare by TAZ'!D:D)</f>
        <v>NO</v>
      </c>
      <c r="D25" s="27">
        <v>3531.16</v>
      </c>
      <c r="E25" s="27">
        <v>70692.7</v>
      </c>
      <c r="F25" s="27">
        <v>2055.92</v>
      </c>
      <c r="G25" s="27">
        <v>14568.2</v>
      </c>
      <c r="H25" s="27">
        <v>936.51</v>
      </c>
      <c r="I25" s="27">
        <v>11596.16</v>
      </c>
      <c r="J25" s="6">
        <v>1237</v>
      </c>
      <c r="K25" s="6">
        <v>807</v>
      </c>
      <c r="L25" s="27">
        <v>11.777041228779305</v>
      </c>
      <c r="M25" s="27">
        <v>14.369467162329615</v>
      </c>
      <c r="N25" s="34">
        <v>36.356105675146772</v>
      </c>
      <c r="AH25" s="50"/>
    </row>
    <row r="26" spans="1:34" x14ac:dyDescent="0.35">
      <c r="A26" s="82">
        <v>23</v>
      </c>
      <c r="B26" s="89" t="str">
        <f>_xlfn.XLOOKUP(A26,'Model Modeshare by TAZ'!A:A,'Model Modeshare by TAZ'!B:B)</f>
        <v>Campbell</v>
      </c>
      <c r="C26" s="90" t="str">
        <f>_xlfn.XLOOKUP(A26,'Model Modeshare by TAZ'!A:A,'Model Modeshare by TAZ'!D:D)</f>
        <v>NO</v>
      </c>
      <c r="D26" s="27">
        <v>1317.9</v>
      </c>
      <c r="E26" s="27">
        <v>33778.67</v>
      </c>
      <c r="F26" s="27">
        <v>0</v>
      </c>
      <c r="G26" s="27">
        <v>0</v>
      </c>
      <c r="H26" s="27">
        <v>1308.1099999999999</v>
      </c>
      <c r="I26" s="27">
        <v>16734.72</v>
      </c>
      <c r="J26" s="6">
        <v>6</v>
      </c>
      <c r="K26" s="6">
        <v>1115</v>
      </c>
      <c r="L26" s="27">
        <v>0</v>
      </c>
      <c r="M26" s="27">
        <v>15.008717488789239</v>
      </c>
      <c r="N26" s="34">
        <v>32.357743086529887</v>
      </c>
      <c r="S26" s="51"/>
      <c r="AH26" s="50"/>
    </row>
    <row r="27" spans="1:34" x14ac:dyDescent="0.35">
      <c r="A27" s="82">
        <v>24</v>
      </c>
      <c r="B27" s="89" t="str">
        <f>_xlfn.XLOOKUP(A27,'Model Modeshare by TAZ'!A:A,'Model Modeshare by TAZ'!B:B)</f>
        <v>Campbell</v>
      </c>
      <c r="C27" s="90" t="str">
        <f>_xlfn.XLOOKUP(A27,'Model Modeshare by TAZ'!A:A,'Model Modeshare by TAZ'!D:D)</f>
        <v>NO</v>
      </c>
      <c r="D27" s="27">
        <v>7146.48</v>
      </c>
      <c r="E27" s="27">
        <v>133349.22</v>
      </c>
      <c r="F27" s="27">
        <v>4366.17</v>
      </c>
      <c r="G27" s="27">
        <v>32602.51</v>
      </c>
      <c r="H27" s="27">
        <v>2557.0500000000002</v>
      </c>
      <c r="I27" s="27">
        <v>29357.94</v>
      </c>
      <c r="J27" s="6">
        <v>2585</v>
      </c>
      <c r="K27" s="6">
        <v>2159</v>
      </c>
      <c r="L27" s="27">
        <v>12.612189555125724</v>
      </c>
      <c r="M27" s="27">
        <v>13.597934228809633</v>
      </c>
      <c r="N27" s="34">
        <v>30.550661888701516</v>
      </c>
      <c r="AH27" s="50"/>
    </row>
    <row r="28" spans="1:34" x14ac:dyDescent="0.35">
      <c r="A28" s="82">
        <v>25</v>
      </c>
      <c r="B28" s="89" t="str">
        <f>_xlfn.XLOOKUP(A28,'Model Modeshare by TAZ'!A:A,'Model Modeshare by TAZ'!B:B)</f>
        <v>Campbell</v>
      </c>
      <c r="C28" s="90" t="str">
        <f>_xlfn.XLOOKUP(A28,'Model Modeshare by TAZ'!A:A,'Model Modeshare by TAZ'!D:D)</f>
        <v>NO</v>
      </c>
      <c r="D28" s="27">
        <v>1978.75</v>
      </c>
      <c r="E28" s="27">
        <v>45690.06</v>
      </c>
      <c r="F28" s="27">
        <v>537.58000000000004</v>
      </c>
      <c r="G28" s="27">
        <v>3947.76</v>
      </c>
      <c r="H28" s="27">
        <v>1428.75</v>
      </c>
      <c r="I28" s="27">
        <v>18144.97</v>
      </c>
      <c r="J28" s="6">
        <v>323</v>
      </c>
      <c r="K28" s="6">
        <v>1254</v>
      </c>
      <c r="L28" s="27">
        <v>12.22216718266254</v>
      </c>
      <c r="M28" s="27">
        <v>14.469673046251994</v>
      </c>
      <c r="N28" s="34">
        <v>30.189980976537729</v>
      </c>
      <c r="AH28" s="50"/>
    </row>
    <row r="29" spans="1:34" x14ac:dyDescent="0.35">
      <c r="A29" s="82">
        <v>26</v>
      </c>
      <c r="B29" s="89" t="str">
        <f>_xlfn.XLOOKUP(A29,'Model Modeshare by TAZ'!A:A,'Model Modeshare by TAZ'!B:B)</f>
        <v>Campbell</v>
      </c>
      <c r="C29" s="90" t="str">
        <f>_xlfn.XLOOKUP(A29,'Model Modeshare by TAZ'!A:A,'Model Modeshare by TAZ'!D:D)</f>
        <v>NO</v>
      </c>
      <c r="D29" s="27">
        <v>3208.59</v>
      </c>
      <c r="E29" s="27">
        <v>69361.990000000005</v>
      </c>
      <c r="F29" s="27">
        <v>1877.62</v>
      </c>
      <c r="G29" s="27">
        <v>14306.74</v>
      </c>
      <c r="H29" s="27">
        <v>1283.25</v>
      </c>
      <c r="I29" s="27">
        <v>16222.7</v>
      </c>
      <c r="J29" s="6">
        <v>1100</v>
      </c>
      <c r="K29" s="6">
        <v>1109</v>
      </c>
      <c r="L29" s="27">
        <v>13.006127272727273</v>
      </c>
      <c r="M29" s="27">
        <v>14.628223624887287</v>
      </c>
      <c r="N29" s="34">
        <v>29.728632865550026</v>
      </c>
      <c r="S29" s="51"/>
      <c r="T29" s="51"/>
      <c r="X29" s="51"/>
      <c r="AH29" s="50"/>
    </row>
    <row r="30" spans="1:34" x14ac:dyDescent="0.35">
      <c r="A30" s="82">
        <v>27</v>
      </c>
      <c r="B30" s="89" t="str">
        <f>_xlfn.XLOOKUP(A30,'Model Modeshare by TAZ'!A:A,'Model Modeshare by TAZ'!B:B)</f>
        <v>Campbell</v>
      </c>
      <c r="C30" s="90" t="str">
        <f>_xlfn.XLOOKUP(A30,'Model Modeshare by TAZ'!A:A,'Model Modeshare by TAZ'!D:D)</f>
        <v>NO</v>
      </c>
      <c r="D30" s="27">
        <v>2104.77</v>
      </c>
      <c r="E30" s="27">
        <v>42085.5</v>
      </c>
      <c r="F30" s="27">
        <v>1378.95</v>
      </c>
      <c r="G30" s="27">
        <v>10327.42</v>
      </c>
      <c r="H30" s="27">
        <v>411.65</v>
      </c>
      <c r="I30" s="27">
        <v>5171.33</v>
      </c>
      <c r="J30" s="6">
        <v>908</v>
      </c>
      <c r="K30" s="6">
        <v>342</v>
      </c>
      <c r="L30" s="27">
        <v>11.373810572687225</v>
      </c>
      <c r="M30" s="27">
        <v>15.120847953216375</v>
      </c>
      <c r="N30" s="34">
        <v>30.152888000000001</v>
      </c>
      <c r="S30" s="51"/>
      <c r="AH30" s="50"/>
    </row>
    <row r="31" spans="1:34" x14ac:dyDescent="0.35">
      <c r="A31" s="82">
        <v>28</v>
      </c>
      <c r="B31" s="89" t="str">
        <f>_xlfn.XLOOKUP(A31,'Model Modeshare by TAZ'!A:A,'Model Modeshare by TAZ'!B:B)</f>
        <v>Campbell</v>
      </c>
      <c r="C31" s="90" t="str">
        <f>_xlfn.XLOOKUP(A31,'Model Modeshare by TAZ'!A:A,'Model Modeshare by TAZ'!D:D)</f>
        <v>NO</v>
      </c>
      <c r="D31" s="27">
        <v>2440.63</v>
      </c>
      <c r="E31" s="27">
        <v>42678.46</v>
      </c>
      <c r="F31" s="27">
        <v>1732.59</v>
      </c>
      <c r="G31" s="27">
        <v>11609.94</v>
      </c>
      <c r="H31" s="27">
        <v>368</v>
      </c>
      <c r="I31" s="27">
        <v>4247.53</v>
      </c>
      <c r="J31" s="6">
        <v>1170</v>
      </c>
      <c r="K31" s="6">
        <v>204</v>
      </c>
      <c r="L31" s="27">
        <v>9.9230256410256423</v>
      </c>
      <c r="M31" s="27">
        <v>20.821225490196078</v>
      </c>
      <c r="N31" s="34">
        <v>27.394097525473068</v>
      </c>
      <c r="AH31" s="50"/>
    </row>
    <row r="32" spans="1:34" x14ac:dyDescent="0.35">
      <c r="A32" s="82">
        <v>29</v>
      </c>
      <c r="B32" s="89" t="str">
        <f>_xlfn.XLOOKUP(A32,'Model Modeshare by TAZ'!A:A,'Model Modeshare by TAZ'!B:B)</f>
        <v>San Jose</v>
      </c>
      <c r="C32" s="90" t="str">
        <f>_xlfn.XLOOKUP(A32,'Model Modeshare by TAZ'!A:A,'Model Modeshare by TAZ'!D:D)</f>
        <v>NO</v>
      </c>
      <c r="D32" s="27">
        <v>2632.07</v>
      </c>
      <c r="E32" s="27">
        <v>35336.78</v>
      </c>
      <c r="F32" s="27">
        <v>1800.33</v>
      </c>
      <c r="G32" s="27">
        <v>10263.620000000001</v>
      </c>
      <c r="H32" s="27">
        <v>390.26</v>
      </c>
      <c r="I32" s="27">
        <v>4243.8999999999996</v>
      </c>
      <c r="J32" s="6">
        <v>1192</v>
      </c>
      <c r="K32" s="6">
        <v>284</v>
      </c>
      <c r="L32" s="27">
        <v>8.6104194630872488</v>
      </c>
      <c r="M32" s="27">
        <v>14.943309859154928</v>
      </c>
      <c r="N32" s="34">
        <v>19.573536585365854</v>
      </c>
      <c r="S32" s="51"/>
      <c r="AH32" s="50"/>
    </row>
    <row r="33" spans="1:34" x14ac:dyDescent="0.35">
      <c r="A33" s="82">
        <v>30</v>
      </c>
      <c r="B33" s="89" t="str">
        <f>_xlfn.XLOOKUP(A33,'Model Modeshare by TAZ'!A:A,'Model Modeshare by TAZ'!B:B)</f>
        <v>Campbell</v>
      </c>
      <c r="C33" s="90" t="str">
        <f>_xlfn.XLOOKUP(A33,'Model Modeshare by TAZ'!A:A,'Model Modeshare by TAZ'!D:D)</f>
        <v>NO</v>
      </c>
      <c r="D33" s="27">
        <v>4235.62</v>
      </c>
      <c r="E33" s="27">
        <v>75293.59</v>
      </c>
      <c r="F33" s="27">
        <v>2868.75</v>
      </c>
      <c r="G33" s="27">
        <v>19562.98</v>
      </c>
      <c r="H33" s="27">
        <v>889.43</v>
      </c>
      <c r="I33" s="27">
        <v>9909.25</v>
      </c>
      <c r="J33" s="6">
        <v>1785</v>
      </c>
      <c r="K33" s="6">
        <v>646</v>
      </c>
      <c r="L33" s="27">
        <v>10.959652661064425</v>
      </c>
      <c r="M33" s="27">
        <v>15.339396284829721</v>
      </c>
      <c r="N33" s="34">
        <v>28.13416700946113</v>
      </c>
      <c r="S33" s="51"/>
      <c r="T33" s="51"/>
      <c r="AH33" s="50"/>
    </row>
    <row r="34" spans="1:34" x14ac:dyDescent="0.35">
      <c r="A34" s="82">
        <v>31</v>
      </c>
      <c r="B34" s="89" t="str">
        <f>_xlfn.XLOOKUP(A34,'Model Modeshare by TAZ'!A:A,'Model Modeshare by TAZ'!B:B)</f>
        <v>San Jose</v>
      </c>
      <c r="C34" s="90" t="str">
        <f>_xlfn.XLOOKUP(A34,'Model Modeshare by TAZ'!A:A,'Model Modeshare by TAZ'!D:D)</f>
        <v>NO</v>
      </c>
      <c r="D34" s="27">
        <v>4137.6000000000004</v>
      </c>
      <c r="E34" s="27">
        <v>61235.86</v>
      </c>
      <c r="F34" s="27">
        <v>4571.7299999999996</v>
      </c>
      <c r="G34" s="27">
        <v>29553.23</v>
      </c>
      <c r="H34" s="27">
        <v>74.28</v>
      </c>
      <c r="I34" s="27">
        <v>830.93</v>
      </c>
      <c r="J34" s="6">
        <v>2872</v>
      </c>
      <c r="K34" s="6">
        <v>42</v>
      </c>
      <c r="L34" s="27">
        <v>10.290121866295264</v>
      </c>
      <c r="M34" s="27">
        <v>19.78404761904762</v>
      </c>
      <c r="N34" s="34">
        <v>17.905535346602608</v>
      </c>
      <c r="S34" s="51"/>
      <c r="AH34" s="50"/>
    </row>
    <row r="35" spans="1:34" x14ac:dyDescent="0.35">
      <c r="A35" s="82">
        <v>32</v>
      </c>
      <c r="B35" s="89" t="str">
        <f>_xlfn.XLOOKUP(A35,'Model Modeshare by TAZ'!A:A,'Model Modeshare by TAZ'!B:B)</f>
        <v>Campbell</v>
      </c>
      <c r="C35" s="90" t="str">
        <f>_xlfn.XLOOKUP(A35,'Model Modeshare by TAZ'!A:A,'Model Modeshare by TAZ'!D:D)</f>
        <v>NO</v>
      </c>
      <c r="D35" s="27">
        <v>2743.68</v>
      </c>
      <c r="E35" s="27">
        <v>61108.72</v>
      </c>
      <c r="F35" s="27">
        <v>615.88</v>
      </c>
      <c r="G35" s="27">
        <v>4426.9399999999996</v>
      </c>
      <c r="H35" s="27">
        <v>1362.79</v>
      </c>
      <c r="I35" s="27">
        <v>17020.86</v>
      </c>
      <c r="J35" s="6">
        <v>367</v>
      </c>
      <c r="K35" s="6">
        <v>1202</v>
      </c>
      <c r="L35" s="27">
        <v>12.062506811989099</v>
      </c>
      <c r="M35" s="27">
        <v>14.16044925124792</v>
      </c>
      <c r="N35" s="34">
        <v>40.731363926067559</v>
      </c>
      <c r="S35" s="51"/>
      <c r="AH35" s="50"/>
    </row>
    <row r="36" spans="1:34" x14ac:dyDescent="0.35">
      <c r="A36" s="82">
        <v>33</v>
      </c>
      <c r="B36" s="89" t="str">
        <f>_xlfn.XLOOKUP(A36,'Model Modeshare by TAZ'!A:A,'Model Modeshare by TAZ'!B:B)</f>
        <v>Gilroy</v>
      </c>
      <c r="C36" s="90" t="str">
        <f>_xlfn.XLOOKUP(A36,'Model Modeshare by TAZ'!A:A,'Model Modeshare by TAZ'!D:D)</f>
        <v>NO</v>
      </c>
      <c r="D36" s="27">
        <v>3652.49</v>
      </c>
      <c r="E36" s="27">
        <v>72192.039999999994</v>
      </c>
      <c r="F36" s="27">
        <v>1873.08</v>
      </c>
      <c r="G36" s="27">
        <v>17745.32</v>
      </c>
      <c r="H36" s="27">
        <v>637.66</v>
      </c>
      <c r="I36" s="27">
        <v>8130.91</v>
      </c>
      <c r="J36" s="6">
        <v>1620</v>
      </c>
      <c r="K36" s="6">
        <v>633</v>
      </c>
      <c r="L36" s="27">
        <v>10.953901234567901</v>
      </c>
      <c r="M36" s="27">
        <v>12.845039494470774</v>
      </c>
      <c r="N36" s="34">
        <v>20.945920994229919</v>
      </c>
      <c r="S36" s="51"/>
      <c r="AH36" s="50"/>
    </row>
    <row r="37" spans="1:34" x14ac:dyDescent="0.35">
      <c r="A37" s="82">
        <v>34</v>
      </c>
      <c r="B37" s="89" t="str">
        <f>_xlfn.XLOOKUP(A37,'Model Modeshare by TAZ'!A:A,'Model Modeshare by TAZ'!B:B)</f>
        <v>Campbell</v>
      </c>
      <c r="C37" s="90" t="str">
        <f>_xlfn.XLOOKUP(A37,'Model Modeshare by TAZ'!A:A,'Model Modeshare by TAZ'!D:D)</f>
        <v>NO</v>
      </c>
      <c r="D37" s="27">
        <v>949.51</v>
      </c>
      <c r="E37" s="27">
        <v>18575.060000000001</v>
      </c>
      <c r="F37" s="27">
        <v>655.5</v>
      </c>
      <c r="G37" s="27">
        <v>4668.41</v>
      </c>
      <c r="H37" s="27">
        <v>189.55</v>
      </c>
      <c r="I37" s="27">
        <v>2356.8000000000002</v>
      </c>
      <c r="J37" s="6">
        <v>390</v>
      </c>
      <c r="K37" s="6">
        <v>124</v>
      </c>
      <c r="L37" s="27">
        <v>11.970282051282052</v>
      </c>
      <c r="M37" s="27">
        <v>19.006451612903227</v>
      </c>
      <c r="N37" s="34">
        <v>34.343540856031133</v>
      </c>
      <c r="R37" s="51"/>
      <c r="S37" s="51"/>
      <c r="T37" s="51"/>
      <c r="X37" s="51"/>
      <c r="AH37" s="50"/>
    </row>
    <row r="38" spans="1:34" x14ac:dyDescent="0.35">
      <c r="A38" s="82">
        <v>35</v>
      </c>
      <c r="B38" s="89" t="str">
        <f>_xlfn.XLOOKUP(A38,'Model Modeshare by TAZ'!A:A,'Model Modeshare by TAZ'!B:B)</f>
        <v>Milpitas</v>
      </c>
      <c r="C38" s="90" t="str">
        <f>_xlfn.XLOOKUP(A38,'Model Modeshare by TAZ'!A:A,'Model Modeshare by TAZ'!D:D)</f>
        <v>NO</v>
      </c>
      <c r="D38" s="27">
        <v>119.36</v>
      </c>
      <c r="E38" s="27">
        <v>2747.73</v>
      </c>
      <c r="F38" s="27">
        <v>0</v>
      </c>
      <c r="G38" s="27">
        <v>0</v>
      </c>
      <c r="H38" s="27">
        <v>37.28</v>
      </c>
      <c r="I38" s="27">
        <v>529.14</v>
      </c>
      <c r="J38" s="6">
        <v>0</v>
      </c>
      <c r="K38" s="6">
        <v>29</v>
      </c>
      <c r="L38" s="27">
        <v>0</v>
      </c>
      <c r="M38" s="27">
        <v>18.246206896551723</v>
      </c>
      <c r="N38" s="34">
        <v>34.24758620689655</v>
      </c>
      <c r="S38" s="51"/>
      <c r="AH38" s="50"/>
    </row>
    <row r="39" spans="1:34" x14ac:dyDescent="0.35">
      <c r="A39" s="82">
        <v>36</v>
      </c>
      <c r="B39" s="89" t="str">
        <f>_xlfn.XLOOKUP(A39,'Model Modeshare by TAZ'!A:A,'Model Modeshare by TAZ'!B:B)</f>
        <v>Unincorporated</v>
      </c>
      <c r="C39" s="90" t="str">
        <f>_xlfn.XLOOKUP(A39,'Model Modeshare by TAZ'!A:A,'Model Modeshare by TAZ'!D:D)</f>
        <v>NO</v>
      </c>
      <c r="D39" s="27">
        <v>9.6999999999999993</v>
      </c>
      <c r="E39" s="27">
        <v>259.97000000000003</v>
      </c>
      <c r="F39" s="27">
        <v>2.1800000000000002</v>
      </c>
      <c r="G39" s="27">
        <v>26.06</v>
      </c>
      <c r="H39" s="27">
        <v>1.91</v>
      </c>
      <c r="I39" s="27">
        <v>29.35</v>
      </c>
      <c r="J39" s="6">
        <v>10</v>
      </c>
      <c r="K39" s="6">
        <v>1</v>
      </c>
      <c r="L39" s="27">
        <v>2.6059999999999999</v>
      </c>
      <c r="M39" s="27">
        <v>29.35</v>
      </c>
      <c r="N39" s="34">
        <v>17.46</v>
      </c>
      <c r="S39" s="51"/>
      <c r="AH39" s="50"/>
    </row>
    <row r="40" spans="1:34" x14ac:dyDescent="0.35">
      <c r="A40" s="82">
        <v>37</v>
      </c>
      <c r="B40" s="89" t="str">
        <f>_xlfn.XLOOKUP(A40,'Model Modeshare by TAZ'!A:A,'Model Modeshare by TAZ'!B:B)</f>
        <v>Unincorporated</v>
      </c>
      <c r="C40" s="90" t="str">
        <f>_xlfn.XLOOKUP(A40,'Model Modeshare by TAZ'!A:A,'Model Modeshare by TAZ'!D:D)</f>
        <v>NO</v>
      </c>
      <c r="D40" s="27">
        <v>99.52</v>
      </c>
      <c r="E40" s="27">
        <v>3074.92</v>
      </c>
      <c r="F40" s="27">
        <v>104.27</v>
      </c>
      <c r="G40" s="27">
        <v>1687.98</v>
      </c>
      <c r="H40" s="27">
        <v>35.75</v>
      </c>
      <c r="I40" s="27">
        <v>565.63</v>
      </c>
      <c r="J40" s="6">
        <v>62</v>
      </c>
      <c r="K40" s="6">
        <v>26</v>
      </c>
      <c r="L40" s="27">
        <v>27.225483870967743</v>
      </c>
      <c r="M40" s="27">
        <v>21.754999999999999</v>
      </c>
      <c r="N40" s="34">
        <v>31.183636363636364</v>
      </c>
      <c r="S40" s="51"/>
      <c r="T40" s="51"/>
      <c r="AH40" s="50"/>
    </row>
    <row r="41" spans="1:34" x14ac:dyDescent="0.35">
      <c r="A41" s="82">
        <v>38</v>
      </c>
      <c r="B41" s="89" t="str">
        <f>_xlfn.XLOOKUP(A41,'Model Modeshare by TAZ'!A:A,'Model Modeshare by TAZ'!B:B)</f>
        <v>Unincorporated</v>
      </c>
      <c r="C41" s="90" t="str">
        <f>_xlfn.XLOOKUP(A41,'Model Modeshare by TAZ'!A:A,'Model Modeshare by TAZ'!D:D)</f>
        <v>NO</v>
      </c>
      <c r="D41" s="27">
        <v>289.82</v>
      </c>
      <c r="E41" s="27">
        <v>10346.26</v>
      </c>
      <c r="F41" s="27">
        <v>135.58000000000001</v>
      </c>
      <c r="G41" s="27">
        <v>2332.91</v>
      </c>
      <c r="H41" s="27">
        <v>278.14</v>
      </c>
      <c r="I41" s="27">
        <v>4856.13</v>
      </c>
      <c r="J41" s="6">
        <v>84</v>
      </c>
      <c r="K41" s="6">
        <v>201</v>
      </c>
      <c r="L41" s="27">
        <v>27.772738095238093</v>
      </c>
      <c r="M41" s="27">
        <v>24.159850746268656</v>
      </c>
      <c r="N41" s="34">
        <v>35.803403508771929</v>
      </c>
      <c r="AH41" s="50"/>
    </row>
    <row r="42" spans="1:34" x14ac:dyDescent="0.35">
      <c r="A42" s="82">
        <v>39</v>
      </c>
      <c r="B42" s="89" t="str">
        <f>_xlfn.XLOOKUP(A42,'Model Modeshare by TAZ'!A:A,'Model Modeshare by TAZ'!B:B)</f>
        <v>Unincorporated</v>
      </c>
      <c r="C42" s="90" t="str">
        <f>_xlfn.XLOOKUP(A42,'Model Modeshare by TAZ'!A:A,'Model Modeshare by TAZ'!D:D)</f>
        <v>NO</v>
      </c>
      <c r="D42" s="27">
        <v>234.42</v>
      </c>
      <c r="E42" s="27">
        <v>8240.4699999999993</v>
      </c>
      <c r="F42" s="27">
        <v>273.82</v>
      </c>
      <c r="G42" s="27">
        <v>5080.96</v>
      </c>
      <c r="H42" s="27">
        <v>3.01</v>
      </c>
      <c r="I42" s="27">
        <v>50.07</v>
      </c>
      <c r="J42" s="6">
        <v>173</v>
      </c>
      <c r="K42" s="6">
        <v>1</v>
      </c>
      <c r="L42" s="27">
        <v>29.369710982658958</v>
      </c>
      <c r="M42" s="27">
        <v>50.07</v>
      </c>
      <c r="N42" s="34">
        <v>41.28551724137931</v>
      </c>
      <c r="S42" s="51"/>
      <c r="T42" s="51"/>
      <c r="X42" s="51"/>
      <c r="AH42" s="50"/>
    </row>
    <row r="43" spans="1:34" x14ac:dyDescent="0.35">
      <c r="A43" s="82">
        <v>40</v>
      </c>
      <c r="B43" s="89" t="str">
        <f>_xlfn.XLOOKUP(A43,'Model Modeshare by TAZ'!A:A,'Model Modeshare by TAZ'!B:B)</f>
        <v>Unincorporated</v>
      </c>
      <c r="C43" s="90" t="str">
        <f>_xlfn.XLOOKUP(A43,'Model Modeshare by TAZ'!A:A,'Model Modeshare by TAZ'!D:D)</f>
        <v>NO</v>
      </c>
      <c r="D43" s="27">
        <v>16.850000000000001</v>
      </c>
      <c r="E43" s="27">
        <v>587.98</v>
      </c>
      <c r="F43" s="27">
        <v>13.99</v>
      </c>
      <c r="G43" s="27">
        <v>259.23</v>
      </c>
      <c r="H43" s="27">
        <v>0</v>
      </c>
      <c r="I43" s="27">
        <v>0</v>
      </c>
      <c r="J43" s="6">
        <v>16</v>
      </c>
      <c r="K43" s="6">
        <v>0</v>
      </c>
      <c r="L43" s="27">
        <v>16.201875000000001</v>
      </c>
      <c r="M43" s="27">
        <v>0</v>
      </c>
      <c r="N43" s="34">
        <v>26.02</v>
      </c>
      <c r="R43" s="51"/>
      <c r="S43" s="51"/>
      <c r="T43" s="51"/>
      <c r="U43" s="51"/>
      <c r="X43" s="51"/>
      <c r="AH43" s="50"/>
    </row>
    <row r="44" spans="1:34" x14ac:dyDescent="0.35">
      <c r="A44" s="82">
        <v>41</v>
      </c>
      <c r="B44" s="89" t="str">
        <f>_xlfn.XLOOKUP(A44,'Model Modeshare by TAZ'!A:A,'Model Modeshare by TAZ'!B:B)</f>
        <v>Unincorporated</v>
      </c>
      <c r="C44" s="90" t="str">
        <f>_xlfn.XLOOKUP(A44,'Model Modeshare by TAZ'!A:A,'Model Modeshare by TAZ'!D:D)</f>
        <v>NO</v>
      </c>
      <c r="D44" s="27">
        <v>90.56</v>
      </c>
      <c r="E44" s="27">
        <v>3059.21</v>
      </c>
      <c r="F44" s="27">
        <v>105.05</v>
      </c>
      <c r="G44" s="27">
        <v>1707.06</v>
      </c>
      <c r="H44" s="27">
        <v>9.4</v>
      </c>
      <c r="I44" s="27">
        <v>169.39</v>
      </c>
      <c r="J44" s="6">
        <v>66</v>
      </c>
      <c r="K44" s="6">
        <v>5</v>
      </c>
      <c r="L44" s="27">
        <v>25.864545454545453</v>
      </c>
      <c r="M44" s="27">
        <v>33.878</v>
      </c>
      <c r="N44" s="34">
        <v>36.906478873239436</v>
      </c>
      <c r="AH44" s="50"/>
    </row>
    <row r="45" spans="1:34" x14ac:dyDescent="0.35">
      <c r="A45" s="82">
        <v>42</v>
      </c>
      <c r="B45" s="89" t="str">
        <f>_xlfn.XLOOKUP(A45,'Model Modeshare by TAZ'!A:A,'Model Modeshare by TAZ'!B:B)</f>
        <v>Unincorporated</v>
      </c>
      <c r="C45" s="90" t="str">
        <f>_xlfn.XLOOKUP(A45,'Model Modeshare by TAZ'!A:A,'Model Modeshare by TAZ'!D:D)</f>
        <v>NO</v>
      </c>
      <c r="D45" s="27">
        <v>648.5</v>
      </c>
      <c r="E45" s="27">
        <v>19898.64</v>
      </c>
      <c r="F45" s="27">
        <v>0</v>
      </c>
      <c r="G45" s="27">
        <v>0</v>
      </c>
      <c r="H45" s="27">
        <v>1014.04</v>
      </c>
      <c r="I45" s="27">
        <v>15223.98</v>
      </c>
      <c r="J45" s="6">
        <v>0</v>
      </c>
      <c r="K45" s="6">
        <v>574</v>
      </c>
      <c r="L45" s="27">
        <v>0</v>
      </c>
      <c r="M45" s="27">
        <v>26.522613240418117</v>
      </c>
      <c r="N45" s="34">
        <v>43.621341463414637</v>
      </c>
      <c r="S45" s="51"/>
      <c r="AH45" s="50"/>
    </row>
    <row r="46" spans="1:34" x14ac:dyDescent="0.35">
      <c r="A46" s="82">
        <v>43</v>
      </c>
      <c r="B46" s="89" t="str">
        <f>_xlfn.XLOOKUP(A46,'Model Modeshare by TAZ'!A:A,'Model Modeshare by TAZ'!B:B)</f>
        <v>Unincorporated</v>
      </c>
      <c r="C46" s="90" t="str">
        <f>_xlfn.XLOOKUP(A46,'Model Modeshare by TAZ'!A:A,'Model Modeshare by TAZ'!D:D)</f>
        <v>NO</v>
      </c>
      <c r="D46" s="27">
        <v>1394.39</v>
      </c>
      <c r="E46" s="27">
        <v>33141.980000000003</v>
      </c>
      <c r="F46" s="27">
        <v>983.93</v>
      </c>
      <c r="G46" s="27">
        <v>7716.56</v>
      </c>
      <c r="H46" s="27">
        <v>898.31</v>
      </c>
      <c r="I46" s="27">
        <v>14127.98</v>
      </c>
      <c r="J46" s="6">
        <v>724</v>
      </c>
      <c r="K46" s="6">
        <v>502</v>
      </c>
      <c r="L46" s="27">
        <v>10.658232044198895</v>
      </c>
      <c r="M46" s="27">
        <v>28.143386454183265</v>
      </c>
      <c r="N46" s="34">
        <v>30.832732463295269</v>
      </c>
      <c r="S46" s="51"/>
      <c r="T46" s="51"/>
      <c r="AH46" s="50"/>
    </row>
    <row r="47" spans="1:34" x14ac:dyDescent="0.35">
      <c r="A47" s="82">
        <v>44</v>
      </c>
      <c r="B47" s="89" t="str">
        <f>_xlfn.XLOOKUP(A47,'Model Modeshare by TAZ'!A:A,'Model Modeshare by TAZ'!B:B)</f>
        <v>Unincorporated</v>
      </c>
      <c r="C47" s="90" t="str">
        <f>_xlfn.XLOOKUP(A47,'Model Modeshare by TAZ'!A:A,'Model Modeshare by TAZ'!D:D)</f>
        <v>NO</v>
      </c>
      <c r="D47" s="27">
        <v>3392.05</v>
      </c>
      <c r="E47" s="27">
        <v>94309.47</v>
      </c>
      <c r="F47" s="27">
        <v>0</v>
      </c>
      <c r="G47" s="27">
        <v>0</v>
      </c>
      <c r="H47" s="27">
        <v>3192.48</v>
      </c>
      <c r="I47" s="27">
        <v>49966.75</v>
      </c>
      <c r="J47" s="6">
        <v>0</v>
      </c>
      <c r="K47" s="6">
        <v>2698</v>
      </c>
      <c r="L47" s="27">
        <v>0</v>
      </c>
      <c r="M47" s="27">
        <v>18.519922164566346</v>
      </c>
      <c r="N47" s="34">
        <v>44.343543365455893</v>
      </c>
      <c r="S47" s="51"/>
      <c r="T47" s="51"/>
      <c r="AH47" s="50"/>
    </row>
    <row r="48" spans="1:34" x14ac:dyDescent="0.35">
      <c r="A48" s="82">
        <v>45</v>
      </c>
      <c r="B48" s="89" t="str">
        <f>_xlfn.XLOOKUP(A48,'Model Modeshare by TAZ'!A:A,'Model Modeshare by TAZ'!B:B)</f>
        <v>Unincorporated</v>
      </c>
      <c r="C48" s="90" t="str">
        <f>_xlfn.XLOOKUP(A48,'Model Modeshare by TAZ'!A:A,'Model Modeshare by TAZ'!D:D)</f>
        <v>NO</v>
      </c>
      <c r="D48" s="27">
        <v>214.26</v>
      </c>
      <c r="E48" s="27">
        <v>4009.08</v>
      </c>
      <c r="F48" s="27">
        <v>345.38</v>
      </c>
      <c r="G48" s="27">
        <v>2769.09</v>
      </c>
      <c r="H48" s="27">
        <v>37.619999999999997</v>
      </c>
      <c r="I48" s="27">
        <v>612.77</v>
      </c>
      <c r="J48" s="6">
        <v>236</v>
      </c>
      <c r="K48" s="6">
        <v>16</v>
      </c>
      <c r="L48" s="27">
        <v>11.733432203389832</v>
      </c>
      <c r="M48" s="27">
        <v>38.298124999999999</v>
      </c>
      <c r="N48" s="34">
        <v>25.089642857142859</v>
      </c>
      <c r="AH48" s="50"/>
    </row>
    <row r="49" spans="1:34" x14ac:dyDescent="0.35">
      <c r="A49" s="82">
        <v>46</v>
      </c>
      <c r="B49" s="89" t="str">
        <f>_xlfn.XLOOKUP(A49,'Model Modeshare by TAZ'!A:A,'Model Modeshare by TAZ'!B:B)</f>
        <v>Unincorporated</v>
      </c>
      <c r="C49" s="90" t="str">
        <f>_xlfn.XLOOKUP(A49,'Model Modeshare by TAZ'!A:A,'Model Modeshare by TAZ'!D:D)</f>
        <v>NO</v>
      </c>
      <c r="D49" s="27">
        <v>1013.19</v>
      </c>
      <c r="E49" s="27">
        <v>29492.87</v>
      </c>
      <c r="F49" s="27">
        <v>41.94</v>
      </c>
      <c r="G49" s="27">
        <v>632.72</v>
      </c>
      <c r="H49" s="27">
        <v>714.03</v>
      </c>
      <c r="I49" s="27">
        <v>11229.77</v>
      </c>
      <c r="J49" s="6">
        <v>30</v>
      </c>
      <c r="K49" s="6">
        <v>608</v>
      </c>
      <c r="L49" s="27">
        <v>21.090666666666667</v>
      </c>
      <c r="M49" s="27">
        <v>18.470016447368423</v>
      </c>
      <c r="N49" s="34">
        <v>39.008542319749218</v>
      </c>
      <c r="S49" s="51"/>
      <c r="AH49" s="50"/>
    </row>
    <row r="50" spans="1:34" x14ac:dyDescent="0.35">
      <c r="A50" s="82">
        <v>47</v>
      </c>
      <c r="B50" s="89" t="str">
        <f>_xlfn.XLOOKUP(A50,'Model Modeshare by TAZ'!A:A,'Model Modeshare by TAZ'!B:B)</f>
        <v>Unincorporated</v>
      </c>
      <c r="C50" s="90" t="str">
        <f>_xlfn.XLOOKUP(A50,'Model Modeshare by TAZ'!A:A,'Model Modeshare by TAZ'!D:D)</f>
        <v>NO</v>
      </c>
      <c r="D50" s="27">
        <v>813.5</v>
      </c>
      <c r="E50" s="27">
        <v>27938.78</v>
      </c>
      <c r="F50" s="27">
        <v>497.98</v>
      </c>
      <c r="G50" s="27">
        <v>8589.1</v>
      </c>
      <c r="H50" s="27">
        <v>181.84</v>
      </c>
      <c r="I50" s="27">
        <v>3060.59</v>
      </c>
      <c r="J50" s="6">
        <v>325</v>
      </c>
      <c r="K50" s="6">
        <v>139</v>
      </c>
      <c r="L50" s="27">
        <v>26.428000000000001</v>
      </c>
      <c r="M50" s="27">
        <v>22.018633093525182</v>
      </c>
      <c r="N50" s="34">
        <v>41.187737068965518</v>
      </c>
      <c r="S50" s="51"/>
      <c r="AH50" s="50"/>
    </row>
    <row r="51" spans="1:34" x14ac:dyDescent="0.35">
      <c r="A51" s="82">
        <v>48</v>
      </c>
      <c r="B51" s="89" t="str">
        <f>_xlfn.XLOOKUP(A51,'Model Modeshare by TAZ'!A:A,'Model Modeshare by TAZ'!B:B)</f>
        <v>Unincorporated</v>
      </c>
      <c r="C51" s="90" t="str">
        <f>_xlfn.XLOOKUP(A51,'Model Modeshare by TAZ'!A:A,'Model Modeshare by TAZ'!D:D)</f>
        <v>NO</v>
      </c>
      <c r="D51" s="27">
        <v>553.53</v>
      </c>
      <c r="E51" s="27">
        <v>20008.78</v>
      </c>
      <c r="F51" s="27">
        <v>535.71</v>
      </c>
      <c r="G51" s="27">
        <v>9366.08</v>
      </c>
      <c r="H51" s="27">
        <v>110.91</v>
      </c>
      <c r="I51" s="27">
        <v>1952.68</v>
      </c>
      <c r="J51" s="6">
        <v>320</v>
      </c>
      <c r="K51" s="6">
        <v>66</v>
      </c>
      <c r="L51" s="27">
        <v>29.268999999999998</v>
      </c>
      <c r="M51" s="27">
        <v>29.586060606060606</v>
      </c>
      <c r="N51" s="34">
        <v>46.281062176165804</v>
      </c>
      <c r="S51" s="51"/>
      <c r="AH51" s="50"/>
    </row>
    <row r="52" spans="1:34" x14ac:dyDescent="0.35">
      <c r="A52" s="82">
        <v>49</v>
      </c>
      <c r="B52" s="89" t="str">
        <f>_xlfn.XLOOKUP(A52,'Model Modeshare by TAZ'!A:A,'Model Modeshare by TAZ'!B:B)</f>
        <v>Unincorporated</v>
      </c>
      <c r="C52" s="90" t="str">
        <f>_xlfn.XLOOKUP(A52,'Model Modeshare by TAZ'!A:A,'Model Modeshare by TAZ'!D:D)</f>
        <v>NO</v>
      </c>
      <c r="D52" s="27">
        <v>219.57</v>
      </c>
      <c r="E52" s="27">
        <v>7217.4</v>
      </c>
      <c r="F52" s="27">
        <v>272.47000000000003</v>
      </c>
      <c r="G52" s="27">
        <v>4338.84</v>
      </c>
      <c r="H52" s="27">
        <v>5.64</v>
      </c>
      <c r="I52" s="27">
        <v>92.49</v>
      </c>
      <c r="J52" s="6">
        <v>172</v>
      </c>
      <c r="K52" s="6">
        <v>3</v>
      </c>
      <c r="L52" s="27">
        <v>25.225813953488373</v>
      </c>
      <c r="M52" s="27">
        <v>30.83</v>
      </c>
      <c r="N52" s="34">
        <v>35.249028571428568</v>
      </c>
      <c r="S52" s="51"/>
      <c r="T52" s="51"/>
      <c r="AH52" s="50"/>
    </row>
    <row r="53" spans="1:34" x14ac:dyDescent="0.35">
      <c r="A53" s="82">
        <v>50</v>
      </c>
      <c r="B53" s="89" t="str">
        <f>_xlfn.XLOOKUP(A53,'Model Modeshare by TAZ'!A:A,'Model Modeshare by TAZ'!B:B)</f>
        <v>Unincorporated</v>
      </c>
      <c r="C53" s="90" t="str">
        <f>_xlfn.XLOOKUP(A53,'Model Modeshare by TAZ'!A:A,'Model Modeshare by TAZ'!D:D)</f>
        <v>NO</v>
      </c>
      <c r="D53" s="27">
        <v>392.82</v>
      </c>
      <c r="E53" s="27">
        <v>12139.74</v>
      </c>
      <c r="F53" s="27">
        <v>473.77</v>
      </c>
      <c r="G53" s="27">
        <v>7631.11</v>
      </c>
      <c r="H53" s="27">
        <v>1.89</v>
      </c>
      <c r="I53" s="27">
        <v>28.49</v>
      </c>
      <c r="J53" s="6">
        <v>298</v>
      </c>
      <c r="K53" s="6">
        <v>1</v>
      </c>
      <c r="L53" s="27">
        <v>25.607751677852349</v>
      </c>
      <c r="M53" s="27">
        <v>28.49</v>
      </c>
      <c r="N53" s="34">
        <v>37.759297658862877</v>
      </c>
      <c r="S53" s="51"/>
      <c r="AH53" s="50"/>
    </row>
    <row r="54" spans="1:34" x14ac:dyDescent="0.35">
      <c r="A54" s="82">
        <v>51</v>
      </c>
      <c r="B54" s="89" t="str">
        <f>_xlfn.XLOOKUP(A54,'Model Modeshare by TAZ'!A:A,'Model Modeshare by TAZ'!B:B)</f>
        <v>Unincorporated</v>
      </c>
      <c r="C54" s="90" t="str">
        <f>_xlfn.XLOOKUP(A54,'Model Modeshare by TAZ'!A:A,'Model Modeshare by TAZ'!D:D)</f>
        <v>NO</v>
      </c>
      <c r="D54" s="27">
        <v>360.54</v>
      </c>
      <c r="E54" s="27">
        <v>12255.96</v>
      </c>
      <c r="F54" s="27">
        <v>406.55</v>
      </c>
      <c r="G54" s="27">
        <v>6838.75</v>
      </c>
      <c r="H54" s="27">
        <v>11.35</v>
      </c>
      <c r="I54" s="27">
        <v>194.37</v>
      </c>
      <c r="J54" s="6">
        <v>253</v>
      </c>
      <c r="K54" s="6">
        <v>6</v>
      </c>
      <c r="L54" s="27">
        <v>27.030632411067195</v>
      </c>
      <c r="M54" s="27">
        <v>32.395000000000003</v>
      </c>
      <c r="N54" s="34">
        <v>40.191119691119688</v>
      </c>
      <c r="S54" s="51"/>
      <c r="AH54" s="50"/>
    </row>
    <row r="55" spans="1:34" x14ac:dyDescent="0.35">
      <c r="A55" s="82">
        <v>52</v>
      </c>
      <c r="B55" s="89" t="str">
        <f>_xlfn.XLOOKUP(A55,'Model Modeshare by TAZ'!A:A,'Model Modeshare by TAZ'!B:B)</f>
        <v>Unincorporated</v>
      </c>
      <c r="C55" s="90" t="str">
        <f>_xlfn.XLOOKUP(A55,'Model Modeshare by TAZ'!A:A,'Model Modeshare by TAZ'!D:D)</f>
        <v>NO</v>
      </c>
      <c r="D55" s="27">
        <v>732.45</v>
      </c>
      <c r="E55" s="27">
        <v>25423.65</v>
      </c>
      <c r="F55" s="27">
        <v>553.01</v>
      </c>
      <c r="G55" s="27">
        <v>9613.41</v>
      </c>
      <c r="H55" s="27">
        <v>137.08000000000001</v>
      </c>
      <c r="I55" s="27">
        <v>2319.41</v>
      </c>
      <c r="J55" s="6">
        <v>352</v>
      </c>
      <c r="K55" s="6">
        <v>98</v>
      </c>
      <c r="L55" s="27">
        <v>27.310823863636362</v>
      </c>
      <c r="M55" s="27">
        <v>23.667448979591835</v>
      </c>
      <c r="N55" s="34">
        <v>42.515133333333338</v>
      </c>
      <c r="S55" s="51"/>
      <c r="T55" s="51"/>
      <c r="AH55" s="50"/>
    </row>
    <row r="56" spans="1:34" x14ac:dyDescent="0.35">
      <c r="A56" s="82">
        <v>53</v>
      </c>
      <c r="B56" s="89" t="str">
        <f>_xlfn.XLOOKUP(A56,'Model Modeshare by TAZ'!A:A,'Model Modeshare by TAZ'!B:B)</f>
        <v>Unincorporated</v>
      </c>
      <c r="C56" s="90" t="str">
        <f>_xlfn.XLOOKUP(A56,'Model Modeshare by TAZ'!A:A,'Model Modeshare by TAZ'!D:D)</f>
        <v>NO</v>
      </c>
      <c r="D56" s="27">
        <v>331.19</v>
      </c>
      <c r="E56" s="27">
        <v>11870.15</v>
      </c>
      <c r="F56" s="27">
        <v>404.58</v>
      </c>
      <c r="G56" s="27">
        <v>7207.1</v>
      </c>
      <c r="H56" s="27">
        <v>2.92</v>
      </c>
      <c r="I56" s="27">
        <v>51.65</v>
      </c>
      <c r="J56" s="6">
        <v>261</v>
      </c>
      <c r="K56" s="6">
        <v>1</v>
      </c>
      <c r="L56" s="27">
        <v>27.613409961685825</v>
      </c>
      <c r="M56" s="27">
        <v>51.65</v>
      </c>
      <c r="N56" s="34">
        <v>38.405076335877858</v>
      </c>
      <c r="S56" s="51"/>
      <c r="T56" s="51"/>
      <c r="AH56" s="50"/>
    </row>
    <row r="57" spans="1:34" x14ac:dyDescent="0.35">
      <c r="A57" s="82">
        <v>54</v>
      </c>
      <c r="B57" s="89" t="str">
        <f>_xlfn.XLOOKUP(A57,'Model Modeshare by TAZ'!A:A,'Model Modeshare by TAZ'!B:B)</f>
        <v>Unincorporated</v>
      </c>
      <c r="C57" s="90" t="str">
        <f>_xlfn.XLOOKUP(A57,'Model Modeshare by TAZ'!A:A,'Model Modeshare by TAZ'!D:D)</f>
        <v>NO</v>
      </c>
      <c r="D57" s="27">
        <v>875.99</v>
      </c>
      <c r="E57" s="27">
        <v>33461.269999999997</v>
      </c>
      <c r="F57" s="27">
        <v>930.79</v>
      </c>
      <c r="G57" s="27">
        <v>17767.84</v>
      </c>
      <c r="H57" s="27">
        <v>27.7</v>
      </c>
      <c r="I57" s="27">
        <v>498.23</v>
      </c>
      <c r="J57" s="6">
        <v>601</v>
      </c>
      <c r="K57" s="6">
        <v>14</v>
      </c>
      <c r="L57" s="27">
        <v>29.563793677204661</v>
      </c>
      <c r="M57" s="27">
        <v>35.587857142857146</v>
      </c>
      <c r="N57" s="34">
        <v>45.154731707317076</v>
      </c>
      <c r="S57" s="51"/>
      <c r="T57" s="51"/>
      <c r="AH57" s="50"/>
    </row>
    <row r="58" spans="1:34" x14ac:dyDescent="0.35">
      <c r="A58" s="82">
        <v>55</v>
      </c>
      <c r="B58" s="89" t="str">
        <f>_xlfn.XLOOKUP(A58,'Model Modeshare by TAZ'!A:A,'Model Modeshare by TAZ'!B:B)</f>
        <v>Unincorporated</v>
      </c>
      <c r="C58" s="90" t="str">
        <f>_xlfn.XLOOKUP(A58,'Model Modeshare by TAZ'!A:A,'Model Modeshare by TAZ'!D:D)</f>
        <v>NO</v>
      </c>
      <c r="D58" s="27">
        <v>313.81</v>
      </c>
      <c r="E58" s="27">
        <v>9393.23</v>
      </c>
      <c r="F58" s="27">
        <v>329.36</v>
      </c>
      <c r="G58" s="27">
        <v>5110.08</v>
      </c>
      <c r="H58" s="27">
        <v>25.48</v>
      </c>
      <c r="I58" s="27">
        <v>404.94</v>
      </c>
      <c r="J58" s="6">
        <v>268</v>
      </c>
      <c r="K58" s="6">
        <v>14</v>
      </c>
      <c r="L58" s="27">
        <v>19.067462686567165</v>
      </c>
      <c r="M58" s="27">
        <v>28.924285714285713</v>
      </c>
      <c r="N58" s="34">
        <v>31.174397163120567</v>
      </c>
      <c r="S58" s="51"/>
      <c r="T58" s="51"/>
      <c r="AH58" s="50"/>
    </row>
    <row r="59" spans="1:34" x14ac:dyDescent="0.35">
      <c r="A59" s="82">
        <v>56</v>
      </c>
      <c r="B59" s="89" t="str">
        <f>_xlfn.XLOOKUP(A59,'Model Modeshare by TAZ'!A:A,'Model Modeshare by TAZ'!B:B)</f>
        <v>Unincorporated</v>
      </c>
      <c r="C59" s="90" t="str">
        <f>_xlfn.XLOOKUP(A59,'Model Modeshare by TAZ'!A:A,'Model Modeshare by TAZ'!D:D)</f>
        <v>NO</v>
      </c>
      <c r="D59" s="27">
        <v>358.67</v>
      </c>
      <c r="E59" s="27">
        <v>9828.1200000000008</v>
      </c>
      <c r="F59" s="27">
        <v>161.65</v>
      </c>
      <c r="G59" s="27">
        <v>2544.9499999999998</v>
      </c>
      <c r="H59" s="27">
        <v>114.63</v>
      </c>
      <c r="I59" s="27">
        <v>1819.75</v>
      </c>
      <c r="J59" s="6">
        <v>106</v>
      </c>
      <c r="K59" s="6">
        <v>97</v>
      </c>
      <c r="L59" s="27">
        <v>24.008962264150941</v>
      </c>
      <c r="M59" s="27">
        <v>18.760309278350515</v>
      </c>
      <c r="N59" s="34">
        <v>42.105467980295565</v>
      </c>
      <c r="S59" s="51"/>
      <c r="T59" s="51"/>
      <c r="AH59" s="50"/>
    </row>
    <row r="60" spans="1:34" x14ac:dyDescent="0.35">
      <c r="A60" s="82">
        <v>57</v>
      </c>
      <c r="B60" s="89" t="str">
        <f>_xlfn.XLOOKUP(A60,'Model Modeshare by TAZ'!A:A,'Model Modeshare by TAZ'!B:B)</f>
        <v>Unincorporated</v>
      </c>
      <c r="C60" s="90" t="str">
        <f>_xlfn.XLOOKUP(A60,'Model Modeshare by TAZ'!A:A,'Model Modeshare by TAZ'!D:D)</f>
        <v>NO</v>
      </c>
      <c r="D60" s="27">
        <v>1979.03</v>
      </c>
      <c r="E60" s="27">
        <v>75505.929999999993</v>
      </c>
      <c r="F60" s="27">
        <v>2075.89</v>
      </c>
      <c r="G60" s="27">
        <v>40277.68</v>
      </c>
      <c r="H60" s="27">
        <v>147.79</v>
      </c>
      <c r="I60" s="27">
        <v>2699.39</v>
      </c>
      <c r="J60" s="6">
        <v>1297</v>
      </c>
      <c r="K60" s="6">
        <v>80</v>
      </c>
      <c r="L60" s="27">
        <v>31.05449498843485</v>
      </c>
      <c r="M60" s="27">
        <v>33.742374999999996</v>
      </c>
      <c r="N60" s="34">
        <v>47.353863471314448</v>
      </c>
      <c r="S60" s="51"/>
      <c r="T60" s="51"/>
      <c r="AH60" s="50"/>
    </row>
    <row r="61" spans="1:34" x14ac:dyDescent="0.35">
      <c r="A61" s="82">
        <v>58</v>
      </c>
      <c r="B61" s="89" t="str">
        <f>_xlfn.XLOOKUP(A61,'Model Modeshare by TAZ'!A:A,'Model Modeshare by TAZ'!B:B)</f>
        <v>Unincorporated</v>
      </c>
      <c r="C61" s="90" t="str">
        <f>_xlfn.XLOOKUP(A61,'Model Modeshare by TAZ'!A:A,'Model Modeshare by TAZ'!D:D)</f>
        <v>NO</v>
      </c>
      <c r="D61" s="27">
        <v>253</v>
      </c>
      <c r="E61" s="27">
        <v>7577.65</v>
      </c>
      <c r="F61" s="27">
        <v>272</v>
      </c>
      <c r="G61" s="27">
        <v>4336.51</v>
      </c>
      <c r="H61" s="27">
        <v>19.37</v>
      </c>
      <c r="I61" s="27">
        <v>295.23</v>
      </c>
      <c r="J61" s="6">
        <v>176</v>
      </c>
      <c r="K61" s="6">
        <v>10</v>
      </c>
      <c r="L61" s="27">
        <v>24.639261363636365</v>
      </c>
      <c r="M61" s="27">
        <v>29.523000000000003</v>
      </c>
      <c r="N61" s="34">
        <v>37.007634408602151</v>
      </c>
      <c r="R61" s="51"/>
      <c r="S61" s="51"/>
      <c r="T61" s="51"/>
      <c r="X61" s="51"/>
      <c r="AH61" s="50"/>
    </row>
    <row r="62" spans="1:34" x14ac:dyDescent="0.35">
      <c r="A62" s="82">
        <v>59</v>
      </c>
      <c r="B62" s="89" t="str">
        <f>_xlfn.XLOOKUP(A62,'Model Modeshare by TAZ'!A:A,'Model Modeshare by TAZ'!B:B)</f>
        <v>Unincorporated</v>
      </c>
      <c r="C62" s="90" t="str">
        <f>_xlfn.XLOOKUP(A62,'Model Modeshare by TAZ'!A:A,'Model Modeshare by TAZ'!D:D)</f>
        <v>NO</v>
      </c>
      <c r="D62" s="27">
        <v>241.69</v>
      </c>
      <c r="E62" s="27">
        <v>7217.41</v>
      </c>
      <c r="F62" s="27">
        <v>208.12</v>
      </c>
      <c r="G62" s="27">
        <v>3358.12</v>
      </c>
      <c r="H62" s="27">
        <v>53.42</v>
      </c>
      <c r="I62" s="27">
        <v>826.82</v>
      </c>
      <c r="J62" s="6">
        <v>132</v>
      </c>
      <c r="K62" s="6">
        <v>33</v>
      </c>
      <c r="L62" s="27">
        <v>25.440303030303028</v>
      </c>
      <c r="M62" s="27">
        <v>25.055151515151518</v>
      </c>
      <c r="N62" s="34">
        <v>39.322909090909093</v>
      </c>
      <c r="S62" s="51"/>
      <c r="AH62" s="50"/>
    </row>
    <row r="63" spans="1:34" x14ac:dyDescent="0.35">
      <c r="A63" s="82">
        <v>60</v>
      </c>
      <c r="B63" s="89" t="str">
        <f>_xlfn.XLOOKUP(A63,'Model Modeshare by TAZ'!A:A,'Model Modeshare by TAZ'!B:B)</f>
        <v>Unincorporated</v>
      </c>
      <c r="C63" s="90" t="str">
        <f>_xlfn.XLOOKUP(A63,'Model Modeshare by TAZ'!A:A,'Model Modeshare by TAZ'!D:D)</f>
        <v>NO</v>
      </c>
      <c r="D63" s="27">
        <v>808.44</v>
      </c>
      <c r="E63" s="27">
        <v>30360.55</v>
      </c>
      <c r="F63" s="27">
        <v>470.51</v>
      </c>
      <c r="G63" s="27">
        <v>9142.33</v>
      </c>
      <c r="H63" s="27">
        <v>208.39</v>
      </c>
      <c r="I63" s="27">
        <v>3647.6</v>
      </c>
      <c r="J63" s="6">
        <v>298</v>
      </c>
      <c r="K63" s="6">
        <v>158</v>
      </c>
      <c r="L63" s="27">
        <v>30.678959731543625</v>
      </c>
      <c r="M63" s="27">
        <v>23.086075949367089</v>
      </c>
      <c r="N63" s="34">
        <v>48.903793859649127</v>
      </c>
      <c r="R63" s="51"/>
      <c r="S63" s="51"/>
      <c r="T63" s="51"/>
      <c r="U63" s="51"/>
      <c r="V63" s="51"/>
      <c r="X63" s="51"/>
      <c r="AH63" s="50"/>
    </row>
    <row r="64" spans="1:34" x14ac:dyDescent="0.35">
      <c r="A64" s="82">
        <v>61</v>
      </c>
      <c r="B64" s="89" t="str">
        <f>_xlfn.XLOOKUP(A64,'Model Modeshare by TAZ'!A:A,'Model Modeshare by TAZ'!B:B)</f>
        <v>Unincorporated</v>
      </c>
      <c r="C64" s="90" t="str">
        <f>_xlfn.XLOOKUP(A64,'Model Modeshare by TAZ'!A:A,'Model Modeshare by TAZ'!D:D)</f>
        <v>NO</v>
      </c>
      <c r="D64" s="27">
        <v>1155.72</v>
      </c>
      <c r="E64" s="27">
        <v>43702.76</v>
      </c>
      <c r="F64" s="27">
        <v>1284.18</v>
      </c>
      <c r="G64" s="27">
        <v>24536.959999999999</v>
      </c>
      <c r="H64" s="27">
        <v>35.049999999999997</v>
      </c>
      <c r="I64" s="27">
        <v>621.54999999999995</v>
      </c>
      <c r="J64" s="6">
        <v>799</v>
      </c>
      <c r="K64" s="6">
        <v>18</v>
      </c>
      <c r="L64" s="27">
        <v>30.709586983729661</v>
      </c>
      <c r="M64" s="27">
        <v>34.530555555555551</v>
      </c>
      <c r="N64" s="34">
        <v>45.8164993880049</v>
      </c>
      <c r="S64" s="51"/>
      <c r="AH64" s="50"/>
    </row>
    <row r="65" spans="1:34" x14ac:dyDescent="0.35">
      <c r="A65" s="82">
        <v>62</v>
      </c>
      <c r="B65" s="89" t="str">
        <f>_xlfn.XLOOKUP(A65,'Model Modeshare by TAZ'!A:A,'Model Modeshare by TAZ'!B:B)</f>
        <v>Unincorporated</v>
      </c>
      <c r="C65" s="90" t="str">
        <f>_xlfn.XLOOKUP(A65,'Model Modeshare by TAZ'!A:A,'Model Modeshare by TAZ'!D:D)</f>
        <v>NO</v>
      </c>
      <c r="D65" s="27">
        <v>962.39</v>
      </c>
      <c r="E65" s="27">
        <v>38132.559999999998</v>
      </c>
      <c r="F65" s="27">
        <v>989.26</v>
      </c>
      <c r="G65" s="27">
        <v>19366.79</v>
      </c>
      <c r="H65" s="27">
        <v>170.42</v>
      </c>
      <c r="I65" s="27">
        <v>3011.51</v>
      </c>
      <c r="J65" s="6">
        <v>618</v>
      </c>
      <c r="K65" s="6">
        <v>103</v>
      </c>
      <c r="L65" s="27">
        <v>31.337847896440131</v>
      </c>
      <c r="M65" s="27">
        <v>29.237961165048546</v>
      </c>
      <c r="N65" s="34">
        <v>42.416823855755894</v>
      </c>
      <c r="S65" s="51"/>
      <c r="AH65" s="50"/>
    </row>
    <row r="66" spans="1:34" x14ac:dyDescent="0.35">
      <c r="A66" s="82">
        <v>63</v>
      </c>
      <c r="B66" s="89" t="str">
        <f>_xlfn.XLOOKUP(A66,'Model Modeshare by TAZ'!A:A,'Model Modeshare by TAZ'!B:B)</f>
        <v>Unincorporated</v>
      </c>
      <c r="C66" s="90" t="str">
        <f>_xlfn.XLOOKUP(A66,'Model Modeshare by TAZ'!A:A,'Model Modeshare by TAZ'!D:D)</f>
        <v>NO</v>
      </c>
      <c r="D66" s="27">
        <v>221.81</v>
      </c>
      <c r="E66" s="27">
        <v>7903.45</v>
      </c>
      <c r="F66" s="27">
        <v>296.23</v>
      </c>
      <c r="G66" s="27">
        <v>5669.95</v>
      </c>
      <c r="H66" s="27">
        <v>0</v>
      </c>
      <c r="I66" s="27">
        <v>0</v>
      </c>
      <c r="J66" s="6">
        <v>184</v>
      </c>
      <c r="K66" s="6">
        <v>0</v>
      </c>
      <c r="L66" s="27">
        <v>30.814945652173911</v>
      </c>
      <c r="M66" s="27">
        <v>0</v>
      </c>
      <c r="N66" s="34">
        <v>40.994510869565218</v>
      </c>
      <c r="O66" s="51"/>
      <c r="R66" s="51"/>
      <c r="S66" s="51"/>
      <c r="T66" s="51"/>
      <c r="U66" s="51"/>
      <c r="X66" s="51"/>
      <c r="AH66" s="50"/>
    </row>
    <row r="67" spans="1:34" x14ac:dyDescent="0.35">
      <c r="A67" s="82">
        <v>64</v>
      </c>
      <c r="B67" s="89" t="str">
        <f>_xlfn.XLOOKUP(A67,'Model Modeshare by TAZ'!A:A,'Model Modeshare by TAZ'!B:B)</f>
        <v>Unincorporated</v>
      </c>
      <c r="C67" s="90" t="str">
        <f>_xlfn.XLOOKUP(A67,'Model Modeshare by TAZ'!A:A,'Model Modeshare by TAZ'!D:D)</f>
        <v>NO</v>
      </c>
      <c r="D67" s="27">
        <v>792.84</v>
      </c>
      <c r="E67" s="27">
        <v>28507.27</v>
      </c>
      <c r="F67" s="27">
        <v>366.39</v>
      </c>
      <c r="G67" s="27">
        <v>6717.81</v>
      </c>
      <c r="H67" s="27">
        <v>279.81</v>
      </c>
      <c r="I67" s="27">
        <v>4620.17</v>
      </c>
      <c r="J67" s="6">
        <v>237</v>
      </c>
      <c r="K67" s="6">
        <v>214</v>
      </c>
      <c r="L67" s="27">
        <v>28.345189873417723</v>
      </c>
      <c r="M67" s="27">
        <v>21.589579439252336</v>
      </c>
      <c r="N67" s="34">
        <v>42.278891352549884</v>
      </c>
      <c r="S67" s="51"/>
      <c r="AH67" s="50"/>
    </row>
    <row r="68" spans="1:34" x14ac:dyDescent="0.35">
      <c r="A68" s="82">
        <v>65</v>
      </c>
      <c r="B68" s="89" t="str">
        <f>_xlfn.XLOOKUP(A68,'Model Modeshare by TAZ'!A:A,'Model Modeshare by TAZ'!B:B)</f>
        <v>Unincorporated</v>
      </c>
      <c r="C68" s="90" t="str">
        <f>_xlfn.XLOOKUP(A68,'Model Modeshare by TAZ'!A:A,'Model Modeshare by TAZ'!D:D)</f>
        <v>NO</v>
      </c>
      <c r="D68" s="27">
        <v>461.67</v>
      </c>
      <c r="E68" s="27">
        <v>15806.82</v>
      </c>
      <c r="F68" s="27">
        <v>420.69</v>
      </c>
      <c r="G68" s="27">
        <v>7406.01</v>
      </c>
      <c r="H68" s="27">
        <v>41.66</v>
      </c>
      <c r="I68" s="27">
        <v>641.72</v>
      </c>
      <c r="J68" s="6">
        <v>270</v>
      </c>
      <c r="K68" s="6">
        <v>22</v>
      </c>
      <c r="L68" s="27">
        <v>27.429666666666666</v>
      </c>
      <c r="M68" s="27">
        <v>29.169090909090912</v>
      </c>
      <c r="N68" s="34">
        <v>43.124075342465751</v>
      </c>
      <c r="S68" s="51"/>
      <c r="T68" s="51"/>
      <c r="AH68" s="50"/>
    </row>
    <row r="69" spans="1:34" x14ac:dyDescent="0.35">
      <c r="A69" s="82">
        <v>66</v>
      </c>
      <c r="B69" s="89" t="str">
        <f>_xlfn.XLOOKUP(A69,'Model Modeshare by TAZ'!A:A,'Model Modeshare by TAZ'!B:B)</f>
        <v>Unincorporated</v>
      </c>
      <c r="C69" s="90" t="str">
        <f>_xlfn.XLOOKUP(A69,'Model Modeshare by TAZ'!A:A,'Model Modeshare by TAZ'!D:D)</f>
        <v>NO</v>
      </c>
      <c r="D69" s="27">
        <v>179.63</v>
      </c>
      <c r="E69" s="27">
        <v>5388.01</v>
      </c>
      <c r="F69" s="27">
        <v>198.72</v>
      </c>
      <c r="G69" s="27">
        <v>3372.16</v>
      </c>
      <c r="H69" s="27">
        <v>29.37</v>
      </c>
      <c r="I69" s="27">
        <v>459.95</v>
      </c>
      <c r="J69" s="6">
        <v>123</v>
      </c>
      <c r="K69" s="6">
        <v>15</v>
      </c>
      <c r="L69" s="27">
        <v>27.415934959349592</v>
      </c>
      <c r="M69" s="27">
        <v>30.663333333333334</v>
      </c>
      <c r="N69" s="34">
        <v>38.013043478260869</v>
      </c>
      <c r="AH69" s="50"/>
    </row>
    <row r="70" spans="1:34" x14ac:dyDescent="0.35">
      <c r="A70" s="82">
        <v>67</v>
      </c>
      <c r="B70" s="89" t="str">
        <f>_xlfn.XLOOKUP(A70,'Model Modeshare by TAZ'!A:A,'Model Modeshare by TAZ'!B:B)</f>
        <v>Unincorporated</v>
      </c>
      <c r="C70" s="90" t="str">
        <f>_xlfn.XLOOKUP(A70,'Model Modeshare by TAZ'!A:A,'Model Modeshare by TAZ'!D:D)</f>
        <v>NO</v>
      </c>
      <c r="D70" s="27">
        <v>2012.26</v>
      </c>
      <c r="E70" s="27">
        <v>62758.9</v>
      </c>
      <c r="F70" s="27">
        <v>1515.73</v>
      </c>
      <c r="G70" s="27">
        <v>24853.41</v>
      </c>
      <c r="H70" s="27">
        <v>522.79999999999995</v>
      </c>
      <c r="I70" s="27">
        <v>7843.09</v>
      </c>
      <c r="J70" s="6">
        <v>948</v>
      </c>
      <c r="K70" s="6">
        <v>375</v>
      </c>
      <c r="L70" s="27">
        <v>26.216677215189872</v>
      </c>
      <c r="M70" s="27">
        <v>20.914906666666667</v>
      </c>
      <c r="N70" s="34">
        <v>40.655170068027211</v>
      </c>
      <c r="S70" s="51"/>
      <c r="AH70" s="50"/>
    </row>
    <row r="71" spans="1:34" x14ac:dyDescent="0.35">
      <c r="A71" s="82">
        <v>68</v>
      </c>
      <c r="B71" s="89" t="str">
        <f>_xlfn.XLOOKUP(A71,'Model Modeshare by TAZ'!A:A,'Model Modeshare by TAZ'!B:B)</f>
        <v>Unincorporated</v>
      </c>
      <c r="C71" s="90" t="str">
        <f>_xlfn.XLOOKUP(A71,'Model Modeshare by TAZ'!A:A,'Model Modeshare by TAZ'!D:D)</f>
        <v>NO</v>
      </c>
      <c r="D71" s="27">
        <v>417.21</v>
      </c>
      <c r="E71" s="27">
        <v>11682.37</v>
      </c>
      <c r="F71" s="27">
        <v>299.14999999999998</v>
      </c>
      <c r="G71" s="27">
        <v>4685.92</v>
      </c>
      <c r="H71" s="27">
        <v>96.51</v>
      </c>
      <c r="I71" s="27">
        <v>1442.97</v>
      </c>
      <c r="J71" s="6">
        <v>188</v>
      </c>
      <c r="K71" s="6">
        <v>68</v>
      </c>
      <c r="L71" s="27">
        <v>24.925106382978722</v>
      </c>
      <c r="M71" s="27">
        <v>21.220147058823528</v>
      </c>
      <c r="N71" s="34">
        <v>36.988515624999998</v>
      </c>
      <c r="R71" s="51"/>
      <c r="S71" s="51"/>
      <c r="T71" s="51"/>
      <c r="X71" s="51"/>
      <c r="AH71" s="50"/>
    </row>
    <row r="72" spans="1:34" x14ac:dyDescent="0.35">
      <c r="A72" s="82">
        <v>69</v>
      </c>
      <c r="B72" s="89" t="str">
        <f>_xlfn.XLOOKUP(A72,'Model Modeshare by TAZ'!A:A,'Model Modeshare by TAZ'!B:B)</f>
        <v>Unincorporated</v>
      </c>
      <c r="C72" s="90" t="str">
        <f>_xlfn.XLOOKUP(A72,'Model Modeshare by TAZ'!A:A,'Model Modeshare by TAZ'!D:D)</f>
        <v>NO</v>
      </c>
      <c r="D72" s="27">
        <v>118.54</v>
      </c>
      <c r="E72" s="27">
        <v>3939.28</v>
      </c>
      <c r="F72" s="27">
        <v>158.4</v>
      </c>
      <c r="G72" s="27">
        <v>2842.85</v>
      </c>
      <c r="H72" s="27">
        <v>0</v>
      </c>
      <c r="I72" s="27">
        <v>0</v>
      </c>
      <c r="J72" s="6">
        <v>100</v>
      </c>
      <c r="K72" s="6">
        <v>0</v>
      </c>
      <c r="L72" s="27">
        <v>28.4285</v>
      </c>
      <c r="M72" s="27">
        <v>0</v>
      </c>
      <c r="N72" s="34">
        <v>37.221499999999999</v>
      </c>
      <c r="O72" s="51"/>
      <c r="R72" s="51"/>
      <c r="S72" s="51"/>
      <c r="T72" s="51"/>
      <c r="U72" s="51"/>
      <c r="X72" s="51"/>
      <c r="AH72" s="50"/>
    </row>
    <row r="73" spans="1:34" x14ac:dyDescent="0.35">
      <c r="A73" s="82">
        <v>70</v>
      </c>
      <c r="B73" s="89" t="str">
        <f>_xlfn.XLOOKUP(A73,'Model Modeshare by TAZ'!A:A,'Model Modeshare by TAZ'!B:B)</f>
        <v>Unincorporated</v>
      </c>
      <c r="C73" s="90" t="str">
        <f>_xlfn.XLOOKUP(A73,'Model Modeshare by TAZ'!A:A,'Model Modeshare by TAZ'!D:D)</f>
        <v>NO</v>
      </c>
      <c r="D73" s="27">
        <v>537.82000000000005</v>
      </c>
      <c r="E73" s="27">
        <v>18326.18</v>
      </c>
      <c r="F73" s="27">
        <v>690.47</v>
      </c>
      <c r="G73" s="27">
        <v>12248.58</v>
      </c>
      <c r="H73" s="27">
        <v>1.79</v>
      </c>
      <c r="I73" s="27">
        <v>31.41</v>
      </c>
      <c r="J73" s="6">
        <v>441</v>
      </c>
      <c r="K73" s="6">
        <v>1</v>
      </c>
      <c r="L73" s="27">
        <v>27.77455782312925</v>
      </c>
      <c r="M73" s="27">
        <v>31.41</v>
      </c>
      <c r="N73" s="34">
        <v>38.050950226244346</v>
      </c>
      <c r="AH73" s="50"/>
    </row>
    <row r="74" spans="1:34" x14ac:dyDescent="0.35">
      <c r="A74" s="82">
        <v>71</v>
      </c>
      <c r="B74" s="89" t="str">
        <f>_xlfn.XLOOKUP(A74,'Model Modeshare by TAZ'!A:A,'Model Modeshare by TAZ'!B:B)</f>
        <v>Unincorporated</v>
      </c>
      <c r="C74" s="90" t="str">
        <f>_xlfn.XLOOKUP(A74,'Model Modeshare by TAZ'!A:A,'Model Modeshare by TAZ'!D:D)</f>
        <v>NO</v>
      </c>
      <c r="D74" s="27">
        <v>669.9</v>
      </c>
      <c r="E74" s="27">
        <v>22456.080000000002</v>
      </c>
      <c r="F74" s="27">
        <v>830</v>
      </c>
      <c r="G74" s="27">
        <v>14312.43</v>
      </c>
      <c r="H74" s="27">
        <v>53.34</v>
      </c>
      <c r="I74" s="27">
        <v>862.52</v>
      </c>
      <c r="J74" s="6">
        <v>518</v>
      </c>
      <c r="K74" s="6">
        <v>29</v>
      </c>
      <c r="L74" s="27">
        <v>27.630173745173746</v>
      </c>
      <c r="M74" s="27">
        <v>29.742068965517241</v>
      </c>
      <c r="N74" s="34">
        <v>37.918702010968921</v>
      </c>
      <c r="AH74" s="50"/>
    </row>
    <row r="75" spans="1:34" x14ac:dyDescent="0.35">
      <c r="A75" s="82">
        <v>72</v>
      </c>
      <c r="B75" s="89" t="str">
        <f>_xlfn.XLOOKUP(A75,'Model Modeshare by TAZ'!A:A,'Model Modeshare by TAZ'!B:B)</f>
        <v>Unincorporated</v>
      </c>
      <c r="C75" s="90" t="str">
        <f>_xlfn.XLOOKUP(A75,'Model Modeshare by TAZ'!A:A,'Model Modeshare by TAZ'!D:D)</f>
        <v>NO</v>
      </c>
      <c r="D75" s="27">
        <v>662.72</v>
      </c>
      <c r="E75" s="27">
        <v>20536.900000000001</v>
      </c>
      <c r="F75" s="27">
        <v>848.32</v>
      </c>
      <c r="G75" s="27">
        <v>13971.26</v>
      </c>
      <c r="H75" s="27">
        <v>28.63</v>
      </c>
      <c r="I75" s="27">
        <v>420.58</v>
      </c>
      <c r="J75" s="6">
        <v>525</v>
      </c>
      <c r="K75" s="6">
        <v>15</v>
      </c>
      <c r="L75" s="27">
        <v>26.611923809523809</v>
      </c>
      <c r="M75" s="27">
        <v>28.038666666666664</v>
      </c>
      <c r="N75" s="34">
        <v>35.951777777777778</v>
      </c>
      <c r="S75" s="51"/>
      <c r="AH75" s="50"/>
    </row>
    <row r="76" spans="1:34" x14ac:dyDescent="0.35">
      <c r="A76" s="82">
        <v>73</v>
      </c>
      <c r="B76" s="89" t="str">
        <f>_xlfn.XLOOKUP(A76,'Model Modeshare by TAZ'!A:A,'Model Modeshare by TAZ'!B:B)</f>
        <v>Unincorporated</v>
      </c>
      <c r="C76" s="90" t="str">
        <f>_xlfn.XLOOKUP(A76,'Model Modeshare by TAZ'!A:A,'Model Modeshare by TAZ'!D:D)</f>
        <v>NO</v>
      </c>
      <c r="D76" s="27">
        <v>369.13</v>
      </c>
      <c r="E76" s="27">
        <v>12834.25</v>
      </c>
      <c r="F76" s="27">
        <v>413.58</v>
      </c>
      <c r="G76" s="27">
        <v>7857.88</v>
      </c>
      <c r="H76" s="27">
        <v>18.7</v>
      </c>
      <c r="I76" s="27">
        <v>317.61</v>
      </c>
      <c r="J76" s="6">
        <v>265</v>
      </c>
      <c r="K76" s="6">
        <v>10</v>
      </c>
      <c r="L76" s="27">
        <v>29.652377358490565</v>
      </c>
      <c r="M76" s="27">
        <v>31.761000000000003</v>
      </c>
      <c r="N76" s="34">
        <v>43.509127272727277</v>
      </c>
      <c r="S76" s="51"/>
      <c r="T76" s="51"/>
      <c r="AH76" s="50"/>
    </row>
    <row r="77" spans="1:34" x14ac:dyDescent="0.35">
      <c r="A77" s="82">
        <v>74</v>
      </c>
      <c r="B77" s="89" t="str">
        <f>_xlfn.XLOOKUP(A77,'Model Modeshare by TAZ'!A:A,'Model Modeshare by TAZ'!B:B)</f>
        <v>Unincorporated</v>
      </c>
      <c r="C77" s="90" t="str">
        <f>_xlfn.XLOOKUP(A77,'Model Modeshare by TAZ'!A:A,'Model Modeshare by TAZ'!D:D)</f>
        <v>NO</v>
      </c>
      <c r="D77" s="27">
        <v>1017.21</v>
      </c>
      <c r="E77" s="27">
        <v>39285.599999999999</v>
      </c>
      <c r="F77" s="27">
        <v>1110.1600000000001</v>
      </c>
      <c r="G77" s="27">
        <v>22510.29</v>
      </c>
      <c r="H77" s="27">
        <v>14.53</v>
      </c>
      <c r="I77" s="27">
        <v>257.89999999999998</v>
      </c>
      <c r="J77" s="6">
        <v>700</v>
      </c>
      <c r="K77" s="6">
        <v>8</v>
      </c>
      <c r="L77" s="27">
        <v>32.157557142857144</v>
      </c>
      <c r="M77" s="27">
        <v>32.237499999999997</v>
      </c>
      <c r="N77" s="34">
        <v>48.624449152542375</v>
      </c>
      <c r="AH77" s="50"/>
    </row>
    <row r="78" spans="1:34" x14ac:dyDescent="0.35">
      <c r="A78" s="82">
        <v>75</v>
      </c>
      <c r="B78" s="89" t="str">
        <f>_xlfn.XLOOKUP(A78,'Model Modeshare by TAZ'!A:A,'Model Modeshare by TAZ'!B:B)</f>
        <v>Unincorporated</v>
      </c>
      <c r="C78" s="90" t="str">
        <f>_xlfn.XLOOKUP(A78,'Model Modeshare by TAZ'!A:A,'Model Modeshare by TAZ'!D:D)</f>
        <v>NO</v>
      </c>
      <c r="D78" s="27">
        <v>167.31</v>
      </c>
      <c r="E78" s="27">
        <v>7831.11</v>
      </c>
      <c r="F78" s="27">
        <v>208</v>
      </c>
      <c r="G78" s="27">
        <v>5357.67</v>
      </c>
      <c r="H78" s="27">
        <v>7.27</v>
      </c>
      <c r="I78" s="27">
        <v>122.91</v>
      </c>
      <c r="J78" s="6">
        <v>127</v>
      </c>
      <c r="K78" s="6">
        <v>4</v>
      </c>
      <c r="L78" s="27">
        <v>42.186377952755905</v>
      </c>
      <c r="M78" s="27">
        <v>30.727499999999999</v>
      </c>
      <c r="N78" s="34">
        <v>58.45328244274809</v>
      </c>
      <c r="O78" s="51"/>
      <c r="S78" s="51"/>
      <c r="T78" s="51"/>
      <c r="AH78" s="50"/>
    </row>
    <row r="79" spans="1:34" x14ac:dyDescent="0.35">
      <c r="A79" s="82">
        <v>76</v>
      </c>
      <c r="B79" s="89" t="str">
        <f>_xlfn.XLOOKUP(A79,'Model Modeshare by TAZ'!A:A,'Model Modeshare by TAZ'!B:B)</f>
        <v>Unincorporated</v>
      </c>
      <c r="C79" s="90" t="str">
        <f>_xlfn.XLOOKUP(A79,'Model Modeshare by TAZ'!A:A,'Model Modeshare by TAZ'!D:D)</f>
        <v>NO</v>
      </c>
      <c r="D79" s="27">
        <v>225.17</v>
      </c>
      <c r="E79" s="27">
        <v>10770.21</v>
      </c>
      <c r="F79" s="27">
        <v>48.53</v>
      </c>
      <c r="G79" s="27">
        <v>1291.05</v>
      </c>
      <c r="H79" s="27">
        <v>221.74</v>
      </c>
      <c r="I79" s="27">
        <v>4441.33</v>
      </c>
      <c r="J79" s="6">
        <v>29</v>
      </c>
      <c r="K79" s="6">
        <v>160</v>
      </c>
      <c r="L79" s="27">
        <v>44.518965517241377</v>
      </c>
      <c r="M79" s="27">
        <v>27.758312499999999</v>
      </c>
      <c r="N79" s="34">
        <v>46.81280423280424</v>
      </c>
      <c r="S79" s="51"/>
      <c r="AH79" s="50"/>
    </row>
    <row r="80" spans="1:34" x14ac:dyDescent="0.35">
      <c r="A80" s="82">
        <v>77</v>
      </c>
      <c r="B80" s="89" t="str">
        <f>_xlfn.XLOOKUP(A80,'Model Modeshare by TAZ'!A:A,'Model Modeshare by TAZ'!B:B)</f>
        <v>Unincorporated</v>
      </c>
      <c r="C80" s="90" t="str">
        <f>_xlfn.XLOOKUP(A80,'Model Modeshare by TAZ'!A:A,'Model Modeshare by TAZ'!D:D)</f>
        <v>NO</v>
      </c>
      <c r="D80" s="27">
        <v>364.51</v>
      </c>
      <c r="E80" s="27">
        <v>14844.9</v>
      </c>
      <c r="F80" s="27">
        <v>433.16</v>
      </c>
      <c r="G80" s="27">
        <v>9324.4</v>
      </c>
      <c r="H80" s="27">
        <v>42.13</v>
      </c>
      <c r="I80" s="27">
        <v>778.88</v>
      </c>
      <c r="J80" s="6">
        <v>263</v>
      </c>
      <c r="K80" s="6">
        <v>22</v>
      </c>
      <c r="L80" s="27">
        <v>35.453992395437261</v>
      </c>
      <c r="M80" s="27">
        <v>35.403636363636366</v>
      </c>
      <c r="N80" s="34">
        <v>50.311894736842106</v>
      </c>
      <c r="R80" s="51"/>
      <c r="S80" s="51"/>
      <c r="T80" s="51"/>
      <c r="X80" s="51"/>
      <c r="AH80" s="50"/>
    </row>
    <row r="81" spans="1:34" x14ac:dyDescent="0.35">
      <c r="A81" s="82">
        <v>78</v>
      </c>
      <c r="B81" s="89" t="str">
        <f>_xlfn.XLOOKUP(A81,'Model Modeshare by TAZ'!A:A,'Model Modeshare by TAZ'!B:B)</f>
        <v>Unincorporated</v>
      </c>
      <c r="C81" s="90" t="str">
        <f>_xlfn.XLOOKUP(A81,'Model Modeshare by TAZ'!A:A,'Model Modeshare by TAZ'!D:D)</f>
        <v>NO</v>
      </c>
      <c r="D81" s="27">
        <v>1727.46</v>
      </c>
      <c r="E81" s="27">
        <v>37514.44</v>
      </c>
      <c r="F81" s="27">
        <v>1347.16</v>
      </c>
      <c r="G81" s="27">
        <v>11545.88</v>
      </c>
      <c r="H81" s="27">
        <v>177.18</v>
      </c>
      <c r="I81" s="27">
        <v>2760.54</v>
      </c>
      <c r="J81" s="6">
        <v>799</v>
      </c>
      <c r="K81" s="6">
        <v>86</v>
      </c>
      <c r="L81" s="27">
        <v>14.450413016270337</v>
      </c>
      <c r="M81" s="27">
        <v>32.099302325581398</v>
      </c>
      <c r="N81" s="34">
        <v>37.114045197740111</v>
      </c>
      <c r="S81" s="51"/>
      <c r="T81" s="51"/>
      <c r="AH81" s="50"/>
    </row>
    <row r="82" spans="1:34" x14ac:dyDescent="0.35">
      <c r="A82" s="82">
        <v>79</v>
      </c>
      <c r="B82" s="89" t="str">
        <f>_xlfn.XLOOKUP(A82,'Model Modeshare by TAZ'!A:A,'Model Modeshare by TAZ'!B:B)</f>
        <v>Unincorporated</v>
      </c>
      <c r="C82" s="90" t="str">
        <f>_xlfn.XLOOKUP(A82,'Model Modeshare by TAZ'!A:A,'Model Modeshare by TAZ'!D:D)</f>
        <v>NO</v>
      </c>
      <c r="D82" s="27">
        <v>2655.6</v>
      </c>
      <c r="E82" s="27">
        <v>56945.17</v>
      </c>
      <c r="F82" s="27">
        <v>2213.84</v>
      </c>
      <c r="G82" s="27">
        <v>18526.55</v>
      </c>
      <c r="H82" s="27">
        <v>299.61</v>
      </c>
      <c r="I82" s="27">
        <v>4630.04</v>
      </c>
      <c r="J82" s="6">
        <v>1296</v>
      </c>
      <c r="K82" s="6">
        <v>146</v>
      </c>
      <c r="L82" s="27">
        <v>14.295177469135801</v>
      </c>
      <c r="M82" s="27">
        <v>31.712602739726027</v>
      </c>
      <c r="N82" s="34">
        <v>34.10846047156727</v>
      </c>
      <c r="S82" s="51"/>
      <c r="T82" s="51"/>
      <c r="U82" s="51"/>
      <c r="X82" s="51"/>
      <c r="AH82" s="50"/>
    </row>
    <row r="83" spans="1:34" x14ac:dyDescent="0.35">
      <c r="A83" s="82">
        <v>80</v>
      </c>
      <c r="B83" s="89" t="str">
        <f>_xlfn.XLOOKUP(A83,'Model Modeshare by TAZ'!A:A,'Model Modeshare by TAZ'!B:B)</f>
        <v>Unincorporated</v>
      </c>
      <c r="C83" s="90" t="str">
        <f>_xlfn.XLOOKUP(A83,'Model Modeshare by TAZ'!A:A,'Model Modeshare by TAZ'!D:D)</f>
        <v>NO</v>
      </c>
      <c r="D83" s="27">
        <v>43.14</v>
      </c>
      <c r="E83" s="27">
        <v>1760.63</v>
      </c>
      <c r="F83" s="27">
        <v>843.22</v>
      </c>
      <c r="G83" s="27">
        <v>15733.84</v>
      </c>
      <c r="H83" s="27">
        <v>157.24</v>
      </c>
      <c r="I83" s="27">
        <v>4613.72</v>
      </c>
      <c r="J83" s="6">
        <v>471</v>
      </c>
      <c r="K83" s="6">
        <v>92</v>
      </c>
      <c r="L83" s="27">
        <v>33.405180467091299</v>
      </c>
      <c r="M83" s="27">
        <v>50.149130434782613</v>
      </c>
      <c r="N83" s="34">
        <v>65.970817051509769</v>
      </c>
      <c r="AH83" s="50"/>
    </row>
    <row r="84" spans="1:34" x14ac:dyDescent="0.35">
      <c r="A84" s="82">
        <v>81</v>
      </c>
      <c r="B84" s="89" t="str">
        <f>_xlfn.XLOOKUP(A84,'Model Modeshare by TAZ'!A:A,'Model Modeshare by TAZ'!B:B)</f>
        <v>Unincorporated</v>
      </c>
      <c r="C84" s="90" t="str">
        <f>_xlfn.XLOOKUP(A84,'Model Modeshare by TAZ'!A:A,'Model Modeshare by TAZ'!D:D)</f>
        <v>NO</v>
      </c>
      <c r="D84" s="27">
        <v>121.58</v>
      </c>
      <c r="E84" s="27">
        <v>4832.49</v>
      </c>
      <c r="F84" s="27">
        <v>32.96</v>
      </c>
      <c r="G84" s="27">
        <v>495.01</v>
      </c>
      <c r="H84" s="27">
        <v>26.54</v>
      </c>
      <c r="I84" s="27">
        <v>643.15</v>
      </c>
      <c r="J84" s="6">
        <v>26</v>
      </c>
      <c r="K84" s="6">
        <v>17</v>
      </c>
      <c r="L84" s="27">
        <v>19.038846153846155</v>
      </c>
      <c r="M84" s="27">
        <v>37.832352941176467</v>
      </c>
      <c r="N84" s="34">
        <v>55.424186046511622</v>
      </c>
      <c r="AH84" s="50"/>
    </row>
    <row r="85" spans="1:34" x14ac:dyDescent="0.35">
      <c r="A85" s="82">
        <v>82</v>
      </c>
      <c r="B85" s="89" t="str">
        <f>_xlfn.XLOOKUP(A85,'Model Modeshare by TAZ'!A:A,'Model Modeshare by TAZ'!B:B)</f>
        <v>Unincorporated</v>
      </c>
      <c r="C85" s="90" t="str">
        <f>_xlfn.XLOOKUP(A85,'Model Modeshare by TAZ'!A:A,'Model Modeshare by TAZ'!D:D)</f>
        <v>NO</v>
      </c>
      <c r="D85" s="27">
        <v>1556.88</v>
      </c>
      <c r="E85" s="27">
        <v>61490.94</v>
      </c>
      <c r="F85" s="27">
        <v>753.06</v>
      </c>
      <c r="G85" s="27">
        <v>10916.61</v>
      </c>
      <c r="H85" s="27">
        <v>1566.93</v>
      </c>
      <c r="I85" s="27">
        <v>31565.75</v>
      </c>
      <c r="J85" s="6">
        <v>466</v>
      </c>
      <c r="K85" s="6">
        <v>1139</v>
      </c>
      <c r="L85" s="27">
        <v>23.426201716738198</v>
      </c>
      <c r="M85" s="27">
        <v>27.713564530289727</v>
      </c>
      <c r="N85" s="34">
        <v>38.026211838006233</v>
      </c>
      <c r="AH85" s="50"/>
    </row>
    <row r="86" spans="1:34" x14ac:dyDescent="0.35">
      <c r="A86" s="82">
        <v>83</v>
      </c>
      <c r="B86" s="89" t="str">
        <f>_xlfn.XLOOKUP(A86,'Model Modeshare by TAZ'!A:A,'Model Modeshare by TAZ'!B:B)</f>
        <v>Unincorporated</v>
      </c>
      <c r="C86" s="90" t="str">
        <f>_xlfn.XLOOKUP(A86,'Model Modeshare by TAZ'!A:A,'Model Modeshare by TAZ'!D:D)</f>
        <v>NO</v>
      </c>
      <c r="D86" s="27">
        <v>4780.72</v>
      </c>
      <c r="E86" s="27">
        <v>214481.09</v>
      </c>
      <c r="F86" s="27">
        <v>4214.63</v>
      </c>
      <c r="G86" s="27">
        <v>83102.600000000006</v>
      </c>
      <c r="H86" s="27">
        <v>1223.73</v>
      </c>
      <c r="I86" s="27">
        <v>26987.01</v>
      </c>
      <c r="J86" s="6">
        <v>2269</v>
      </c>
      <c r="K86" s="6">
        <v>656</v>
      </c>
      <c r="L86" s="27">
        <v>36.62520934332305</v>
      </c>
      <c r="M86" s="27">
        <v>41.138734756097556</v>
      </c>
      <c r="N86" s="34">
        <v>67.746184615384621</v>
      </c>
      <c r="AH86" s="50"/>
    </row>
    <row r="87" spans="1:34" x14ac:dyDescent="0.35">
      <c r="A87" s="82">
        <v>84</v>
      </c>
      <c r="B87" s="89" t="str">
        <f>_xlfn.XLOOKUP(A87,'Model Modeshare by TAZ'!A:A,'Model Modeshare by TAZ'!B:B)</f>
        <v>Unincorporated</v>
      </c>
      <c r="C87" s="90" t="str">
        <f>_xlfn.XLOOKUP(A87,'Model Modeshare by TAZ'!A:A,'Model Modeshare by TAZ'!D:D)</f>
        <v>NO</v>
      </c>
      <c r="D87" s="27">
        <v>3529.4</v>
      </c>
      <c r="E87" s="27">
        <v>118386.54</v>
      </c>
      <c r="F87" s="27">
        <v>3321.43</v>
      </c>
      <c r="G87" s="27">
        <v>50596.959999999999</v>
      </c>
      <c r="H87" s="27">
        <v>580.19000000000005</v>
      </c>
      <c r="I87" s="27">
        <v>10808.46</v>
      </c>
      <c r="J87" s="6">
        <v>1762</v>
      </c>
      <c r="K87" s="6">
        <v>294</v>
      </c>
      <c r="L87" s="27">
        <v>28.715641316685584</v>
      </c>
      <c r="M87" s="27">
        <v>36.763469387755102</v>
      </c>
      <c r="N87" s="34">
        <v>50.916848249027232</v>
      </c>
      <c r="S87" s="51"/>
      <c r="T87" s="51"/>
      <c r="AH87" s="50"/>
    </row>
    <row r="88" spans="1:34" x14ac:dyDescent="0.35">
      <c r="A88" s="82">
        <v>85</v>
      </c>
      <c r="B88" s="89" t="str">
        <f>_xlfn.XLOOKUP(A88,'Model Modeshare by TAZ'!A:A,'Model Modeshare by TAZ'!B:B)</f>
        <v>Unincorporated</v>
      </c>
      <c r="C88" s="90" t="str">
        <f>_xlfn.XLOOKUP(A88,'Model Modeshare by TAZ'!A:A,'Model Modeshare by TAZ'!D:D)</f>
        <v>NO</v>
      </c>
      <c r="D88" s="27">
        <v>345.19</v>
      </c>
      <c r="E88" s="27">
        <v>11077.19</v>
      </c>
      <c r="F88" s="27">
        <v>378.84</v>
      </c>
      <c r="G88" s="27">
        <v>5876.2</v>
      </c>
      <c r="H88" s="27">
        <v>158.68</v>
      </c>
      <c r="I88" s="27">
        <v>2858.04</v>
      </c>
      <c r="J88" s="6">
        <v>219</v>
      </c>
      <c r="K88" s="6">
        <v>122</v>
      </c>
      <c r="L88" s="27">
        <v>26.831963470319632</v>
      </c>
      <c r="M88" s="27">
        <v>23.426557377049178</v>
      </c>
      <c r="N88" s="34">
        <v>33.573958944281522</v>
      </c>
      <c r="AH88" s="50"/>
    </row>
    <row r="89" spans="1:34" x14ac:dyDescent="0.35">
      <c r="A89" s="82">
        <v>86</v>
      </c>
      <c r="B89" s="89" t="str">
        <f>_xlfn.XLOOKUP(A89,'Model Modeshare by TAZ'!A:A,'Model Modeshare by TAZ'!B:B)</f>
        <v>Cupertino</v>
      </c>
      <c r="C89" s="90" t="str">
        <f>_xlfn.XLOOKUP(A89,'Model Modeshare by TAZ'!A:A,'Model Modeshare by TAZ'!D:D)</f>
        <v>NO</v>
      </c>
      <c r="D89" s="27">
        <v>1665.22</v>
      </c>
      <c r="E89" s="27">
        <v>33569.81</v>
      </c>
      <c r="F89" s="27">
        <v>1708.4</v>
      </c>
      <c r="G89" s="27">
        <v>11178.42</v>
      </c>
      <c r="H89" s="27">
        <v>709.74</v>
      </c>
      <c r="I89" s="27">
        <v>9327.99</v>
      </c>
      <c r="J89" s="6">
        <v>1139</v>
      </c>
      <c r="K89" s="6">
        <v>584</v>
      </c>
      <c r="L89" s="27">
        <v>9.8142405618964013</v>
      </c>
      <c r="M89" s="27">
        <v>15.972585616438355</v>
      </c>
      <c r="N89" s="34">
        <v>40.796146256529305</v>
      </c>
      <c r="R89" s="51"/>
      <c r="S89" s="51"/>
      <c r="T89" s="51"/>
      <c r="X89" s="51"/>
      <c r="AH89" s="50"/>
    </row>
    <row r="90" spans="1:34" x14ac:dyDescent="0.35">
      <c r="A90" s="82">
        <v>87</v>
      </c>
      <c r="B90" s="89" t="str">
        <f>_xlfn.XLOOKUP(A90,'Model Modeshare by TAZ'!A:A,'Model Modeshare by TAZ'!B:B)</f>
        <v>Cupertino</v>
      </c>
      <c r="C90" s="90" t="str">
        <f>_xlfn.XLOOKUP(A90,'Model Modeshare by TAZ'!A:A,'Model Modeshare by TAZ'!D:D)</f>
        <v>NO</v>
      </c>
      <c r="D90" s="27">
        <v>6588.14</v>
      </c>
      <c r="E90" s="27">
        <v>171044.46</v>
      </c>
      <c r="F90" s="27">
        <v>0</v>
      </c>
      <c r="G90" s="27">
        <v>0</v>
      </c>
      <c r="H90" s="27">
        <v>5020.57</v>
      </c>
      <c r="I90" s="27">
        <v>65351.76</v>
      </c>
      <c r="J90" s="6">
        <v>0</v>
      </c>
      <c r="K90" s="6">
        <v>4050</v>
      </c>
      <c r="L90" s="27">
        <v>0</v>
      </c>
      <c r="M90" s="27">
        <v>16.136237037037038</v>
      </c>
      <c r="N90" s="34">
        <v>31.877437037037037</v>
      </c>
      <c r="AH90" s="50"/>
    </row>
    <row r="91" spans="1:34" x14ac:dyDescent="0.35">
      <c r="A91" s="82">
        <v>88</v>
      </c>
      <c r="B91" s="89" t="str">
        <f>_xlfn.XLOOKUP(A91,'Model Modeshare by TAZ'!A:A,'Model Modeshare by TAZ'!B:B)</f>
        <v>Cupertino</v>
      </c>
      <c r="C91" s="90" t="str">
        <f>_xlfn.XLOOKUP(A91,'Model Modeshare by TAZ'!A:A,'Model Modeshare by TAZ'!D:D)</f>
        <v>NO</v>
      </c>
      <c r="D91" s="27">
        <v>1458.76</v>
      </c>
      <c r="E91" s="27">
        <v>25807.4</v>
      </c>
      <c r="F91" s="27">
        <v>1464.48</v>
      </c>
      <c r="G91" s="27">
        <v>10297.49</v>
      </c>
      <c r="H91" s="27">
        <v>1291.97</v>
      </c>
      <c r="I91" s="27">
        <v>17485.810000000001</v>
      </c>
      <c r="J91" s="6">
        <v>898</v>
      </c>
      <c r="K91" s="6">
        <v>1026</v>
      </c>
      <c r="L91" s="27">
        <v>11.467138084632516</v>
      </c>
      <c r="M91" s="27">
        <v>17.042699805068228</v>
      </c>
      <c r="N91" s="34">
        <v>26.99947505197505</v>
      </c>
      <c r="AH91" s="50"/>
    </row>
    <row r="92" spans="1:34" x14ac:dyDescent="0.35">
      <c r="A92" s="82">
        <v>89</v>
      </c>
      <c r="B92" s="89" t="str">
        <f>_xlfn.XLOOKUP(A92,'Model Modeshare by TAZ'!A:A,'Model Modeshare by TAZ'!B:B)</f>
        <v>Cupertino</v>
      </c>
      <c r="C92" s="90" t="str">
        <f>_xlfn.XLOOKUP(A92,'Model Modeshare by TAZ'!A:A,'Model Modeshare by TAZ'!D:D)</f>
        <v>NO</v>
      </c>
      <c r="D92" s="27">
        <v>3281.12</v>
      </c>
      <c r="E92" s="27">
        <v>51434.3</v>
      </c>
      <c r="F92" s="27">
        <v>2421.8000000000002</v>
      </c>
      <c r="G92" s="27">
        <v>15420.15</v>
      </c>
      <c r="H92" s="27">
        <v>1101.5</v>
      </c>
      <c r="I92" s="27">
        <v>13801.32</v>
      </c>
      <c r="J92" s="6">
        <v>1659</v>
      </c>
      <c r="K92" s="6">
        <v>907</v>
      </c>
      <c r="L92" s="27">
        <v>9.2948462929475593</v>
      </c>
      <c r="M92" s="27">
        <v>15.216449834619624</v>
      </c>
      <c r="N92" s="34">
        <v>24.072322681215901</v>
      </c>
      <c r="AH92" s="50"/>
    </row>
    <row r="93" spans="1:34" x14ac:dyDescent="0.35">
      <c r="A93" s="82">
        <v>90</v>
      </c>
      <c r="B93" s="89" t="str">
        <f>_xlfn.XLOOKUP(A93,'Model Modeshare by TAZ'!A:A,'Model Modeshare by TAZ'!B:B)</f>
        <v>Cupertino</v>
      </c>
      <c r="C93" s="90" t="str">
        <f>_xlfn.XLOOKUP(A93,'Model Modeshare by TAZ'!A:A,'Model Modeshare by TAZ'!D:D)</f>
        <v>NO</v>
      </c>
      <c r="D93" s="27">
        <v>775.74</v>
      </c>
      <c r="E93" s="27">
        <v>13060.75</v>
      </c>
      <c r="F93" s="27">
        <v>871.89</v>
      </c>
      <c r="G93" s="27">
        <v>6525.37</v>
      </c>
      <c r="H93" s="27">
        <v>2.09</v>
      </c>
      <c r="I93" s="27">
        <v>30.54</v>
      </c>
      <c r="J93" s="6">
        <v>551</v>
      </c>
      <c r="K93" s="6">
        <v>1</v>
      </c>
      <c r="L93" s="27">
        <v>11.842776769509982</v>
      </c>
      <c r="M93" s="27">
        <v>30.54</v>
      </c>
      <c r="N93" s="34">
        <v>20.060815217391305</v>
      </c>
      <c r="S93" s="51"/>
      <c r="T93" s="51"/>
      <c r="U93" s="51"/>
      <c r="X93" s="51"/>
      <c r="AH93" s="50"/>
    </row>
    <row r="94" spans="1:34" x14ac:dyDescent="0.35">
      <c r="A94" s="82">
        <v>91</v>
      </c>
      <c r="B94" s="89" t="str">
        <f>_xlfn.XLOOKUP(A94,'Model Modeshare by TAZ'!A:A,'Model Modeshare by TAZ'!B:B)</f>
        <v>Cupertino</v>
      </c>
      <c r="C94" s="90" t="str">
        <f>_xlfn.XLOOKUP(A94,'Model Modeshare by TAZ'!A:A,'Model Modeshare by TAZ'!D:D)</f>
        <v>NO</v>
      </c>
      <c r="D94" s="27">
        <v>1868.56</v>
      </c>
      <c r="E94" s="27">
        <v>38210.31</v>
      </c>
      <c r="F94" s="27">
        <v>1160.23</v>
      </c>
      <c r="G94" s="27">
        <v>7835.61</v>
      </c>
      <c r="H94" s="27">
        <v>835.44</v>
      </c>
      <c r="I94" s="27">
        <v>11225.09</v>
      </c>
      <c r="J94" s="6">
        <v>820</v>
      </c>
      <c r="K94" s="6">
        <v>696</v>
      </c>
      <c r="L94" s="27">
        <v>9.5556219512195124</v>
      </c>
      <c r="M94" s="27">
        <v>16.128002873563219</v>
      </c>
      <c r="N94" s="34">
        <v>22.9382981530343</v>
      </c>
      <c r="O94" s="51"/>
      <c r="R94" s="51"/>
      <c r="S94" s="51"/>
      <c r="T94" s="51"/>
      <c r="X94" s="51"/>
      <c r="AH94" s="50"/>
    </row>
    <row r="95" spans="1:34" x14ac:dyDescent="0.35">
      <c r="A95" s="82">
        <v>92</v>
      </c>
      <c r="B95" s="89" t="str">
        <f>_xlfn.XLOOKUP(A95,'Model Modeshare by TAZ'!A:A,'Model Modeshare by TAZ'!B:B)</f>
        <v>Cupertino</v>
      </c>
      <c r="C95" s="90" t="str">
        <f>_xlfn.XLOOKUP(A95,'Model Modeshare by TAZ'!A:A,'Model Modeshare by TAZ'!D:D)</f>
        <v>NO</v>
      </c>
      <c r="D95" s="27">
        <v>2522.15</v>
      </c>
      <c r="E95" s="27">
        <v>38443.22</v>
      </c>
      <c r="F95" s="27">
        <v>2777.01</v>
      </c>
      <c r="G95" s="27">
        <v>18746.02</v>
      </c>
      <c r="H95" s="27">
        <v>70.430000000000007</v>
      </c>
      <c r="I95" s="27">
        <v>960.93</v>
      </c>
      <c r="J95" s="6">
        <v>1967</v>
      </c>
      <c r="K95" s="6">
        <v>36</v>
      </c>
      <c r="L95" s="27">
        <v>9.5302592780884599</v>
      </c>
      <c r="M95" s="27">
        <v>26.692499999999999</v>
      </c>
      <c r="N95" s="34">
        <v>18.839805292061907</v>
      </c>
      <c r="S95" s="51"/>
      <c r="AH95" s="50"/>
    </row>
    <row r="96" spans="1:34" x14ac:dyDescent="0.35">
      <c r="A96" s="82">
        <v>93</v>
      </c>
      <c r="B96" s="89" t="str">
        <f>_xlfn.XLOOKUP(A96,'Model Modeshare by TAZ'!A:A,'Model Modeshare by TAZ'!B:B)</f>
        <v>Cupertino</v>
      </c>
      <c r="C96" s="90" t="str">
        <f>_xlfn.XLOOKUP(A96,'Model Modeshare by TAZ'!A:A,'Model Modeshare by TAZ'!D:D)</f>
        <v>NO</v>
      </c>
      <c r="D96" s="27">
        <v>9040.76</v>
      </c>
      <c r="E96" s="27">
        <v>209374.44</v>
      </c>
      <c r="F96" s="27">
        <v>1775.31</v>
      </c>
      <c r="G96" s="27">
        <v>12199.66</v>
      </c>
      <c r="H96" s="27">
        <v>5140.8599999999997</v>
      </c>
      <c r="I96" s="27">
        <v>70669.78</v>
      </c>
      <c r="J96" s="6">
        <v>1237</v>
      </c>
      <c r="K96" s="6">
        <v>4303</v>
      </c>
      <c r="L96" s="27">
        <v>9.8622958771220688</v>
      </c>
      <c r="M96" s="27">
        <v>16.423374389960493</v>
      </c>
      <c r="N96" s="34">
        <v>27.129577617328518</v>
      </c>
      <c r="S96" s="51"/>
      <c r="AH96" s="50"/>
    </row>
    <row r="97" spans="1:34" x14ac:dyDescent="0.35">
      <c r="A97" s="82">
        <v>94</v>
      </c>
      <c r="B97" s="89" t="str">
        <f>_xlfn.XLOOKUP(A97,'Model Modeshare by TAZ'!A:A,'Model Modeshare by TAZ'!B:B)</f>
        <v>Cupertino</v>
      </c>
      <c r="C97" s="90" t="str">
        <f>_xlfn.XLOOKUP(A97,'Model Modeshare by TAZ'!A:A,'Model Modeshare by TAZ'!D:D)</f>
        <v>NO</v>
      </c>
      <c r="D97" s="27">
        <v>4159.13</v>
      </c>
      <c r="E97" s="27">
        <v>76689.42</v>
      </c>
      <c r="F97" s="27">
        <v>2950.48</v>
      </c>
      <c r="G97" s="27">
        <v>19904.3</v>
      </c>
      <c r="H97" s="27">
        <v>1665.52</v>
      </c>
      <c r="I97" s="27">
        <v>23000.28</v>
      </c>
      <c r="J97" s="6">
        <v>1966</v>
      </c>
      <c r="K97" s="6">
        <v>1378</v>
      </c>
      <c r="L97" s="27">
        <v>10.124262461851474</v>
      </c>
      <c r="M97" s="27">
        <v>16.691059506531204</v>
      </c>
      <c r="N97" s="34">
        <v>47.096707535885173</v>
      </c>
      <c r="S97" s="51"/>
      <c r="AH97" s="50"/>
    </row>
    <row r="98" spans="1:34" x14ac:dyDescent="0.35">
      <c r="A98" s="82">
        <v>95</v>
      </c>
      <c r="B98" s="89" t="str">
        <f>_xlfn.XLOOKUP(A98,'Model Modeshare by TAZ'!A:A,'Model Modeshare by TAZ'!B:B)</f>
        <v>Santa Clara</v>
      </c>
      <c r="C98" s="90" t="str">
        <f>_xlfn.XLOOKUP(A98,'Model Modeshare by TAZ'!A:A,'Model Modeshare by TAZ'!D:D)</f>
        <v>NO</v>
      </c>
      <c r="D98" s="27">
        <v>5333.95</v>
      </c>
      <c r="E98" s="27">
        <v>109892.91</v>
      </c>
      <c r="F98" s="27">
        <v>1782.14</v>
      </c>
      <c r="G98" s="27">
        <v>11276.06</v>
      </c>
      <c r="H98" s="27">
        <v>1346.21</v>
      </c>
      <c r="I98" s="27">
        <v>16696.77</v>
      </c>
      <c r="J98" s="6">
        <v>1111</v>
      </c>
      <c r="K98" s="6">
        <v>1074</v>
      </c>
      <c r="L98" s="27">
        <v>10.149468946894689</v>
      </c>
      <c r="M98" s="27">
        <v>15.546340782122906</v>
      </c>
      <c r="N98" s="34">
        <v>28.061102974828376</v>
      </c>
      <c r="AH98" s="50"/>
    </row>
    <row r="99" spans="1:34" x14ac:dyDescent="0.35">
      <c r="A99" s="82">
        <v>96</v>
      </c>
      <c r="B99" s="89" t="str">
        <f>_xlfn.XLOOKUP(A99,'Model Modeshare by TAZ'!A:A,'Model Modeshare by TAZ'!B:B)</f>
        <v>Santa Clara</v>
      </c>
      <c r="C99" s="90" t="str">
        <f>_xlfn.XLOOKUP(A99,'Model Modeshare by TAZ'!A:A,'Model Modeshare by TAZ'!D:D)</f>
        <v>NO</v>
      </c>
      <c r="D99" s="27">
        <v>3652.64</v>
      </c>
      <c r="E99" s="27">
        <v>79213.3</v>
      </c>
      <c r="F99" s="27">
        <v>1850.29</v>
      </c>
      <c r="G99" s="27">
        <v>12022.66</v>
      </c>
      <c r="H99" s="27">
        <v>1298.21</v>
      </c>
      <c r="I99" s="27">
        <v>16340.11</v>
      </c>
      <c r="J99" s="6">
        <v>1139</v>
      </c>
      <c r="K99" s="6">
        <v>1030</v>
      </c>
      <c r="L99" s="27">
        <v>10.555452151009657</v>
      </c>
      <c r="M99" s="27">
        <v>15.864184466019418</v>
      </c>
      <c r="N99" s="34">
        <v>24.813964960811433</v>
      </c>
      <c r="P99" s="51"/>
      <c r="R99" s="51"/>
      <c r="S99" s="51"/>
      <c r="T99" s="51"/>
      <c r="U99" s="51"/>
      <c r="V99" s="51"/>
      <c r="X99" s="51"/>
      <c r="AH99" s="50"/>
    </row>
    <row r="100" spans="1:34" x14ac:dyDescent="0.35">
      <c r="A100" s="82">
        <v>97</v>
      </c>
      <c r="B100" s="89" t="str">
        <f>_xlfn.XLOOKUP(A100,'Model Modeshare by TAZ'!A:A,'Model Modeshare by TAZ'!B:B)</f>
        <v>Cupertino</v>
      </c>
      <c r="C100" s="90" t="str">
        <f>_xlfn.XLOOKUP(A100,'Model Modeshare by TAZ'!A:A,'Model Modeshare by TAZ'!D:D)</f>
        <v>NO</v>
      </c>
      <c r="D100" s="27">
        <v>11545.68</v>
      </c>
      <c r="E100" s="27">
        <v>248709.45</v>
      </c>
      <c r="F100" s="27">
        <v>453.18</v>
      </c>
      <c r="G100" s="27">
        <v>3046.65</v>
      </c>
      <c r="H100" s="27">
        <v>1414.42</v>
      </c>
      <c r="I100" s="27">
        <v>18178.86</v>
      </c>
      <c r="J100" s="6">
        <v>278</v>
      </c>
      <c r="K100" s="6">
        <v>1122</v>
      </c>
      <c r="L100" s="27">
        <v>10.959172661870504</v>
      </c>
      <c r="M100" s="27">
        <v>16.202192513368985</v>
      </c>
      <c r="N100" s="34">
        <v>51.115292857142862</v>
      </c>
      <c r="S100" s="51"/>
      <c r="AH100" s="50"/>
    </row>
    <row r="101" spans="1:34" x14ac:dyDescent="0.35">
      <c r="A101" s="82">
        <v>98</v>
      </c>
      <c r="B101" s="89" t="str">
        <f>_xlfn.XLOOKUP(A101,'Model Modeshare by TAZ'!A:A,'Model Modeshare by TAZ'!B:B)</f>
        <v>Cupertino</v>
      </c>
      <c r="C101" s="90" t="str">
        <f>_xlfn.XLOOKUP(A101,'Model Modeshare by TAZ'!A:A,'Model Modeshare by TAZ'!D:D)</f>
        <v>NO</v>
      </c>
      <c r="D101" s="27">
        <v>3340.76</v>
      </c>
      <c r="E101" s="27">
        <v>63856.22</v>
      </c>
      <c r="F101" s="27">
        <v>2562.31</v>
      </c>
      <c r="G101" s="27">
        <v>17962.55</v>
      </c>
      <c r="H101" s="27">
        <v>695.44</v>
      </c>
      <c r="I101" s="27">
        <v>9629.6</v>
      </c>
      <c r="J101" s="6">
        <v>1675</v>
      </c>
      <c r="K101" s="6">
        <v>573</v>
      </c>
      <c r="L101" s="27">
        <v>10.723910447761194</v>
      </c>
      <c r="M101" s="27">
        <v>16.805584642233857</v>
      </c>
      <c r="N101" s="34">
        <v>32.64450177935943</v>
      </c>
      <c r="AH101" s="50"/>
    </row>
    <row r="102" spans="1:34" x14ac:dyDescent="0.35">
      <c r="A102" s="82">
        <v>99</v>
      </c>
      <c r="B102" s="89" t="str">
        <f>_xlfn.XLOOKUP(A102,'Model Modeshare by TAZ'!A:A,'Model Modeshare by TAZ'!B:B)</f>
        <v>Sunnyvale</v>
      </c>
      <c r="C102" s="90" t="str">
        <f>_xlfn.XLOOKUP(A102,'Model Modeshare by TAZ'!A:A,'Model Modeshare by TAZ'!D:D)</f>
        <v>NO</v>
      </c>
      <c r="D102" s="27">
        <v>2421.6999999999998</v>
      </c>
      <c r="E102" s="27">
        <v>44773.26</v>
      </c>
      <c r="F102" s="27">
        <v>2134.4499999999998</v>
      </c>
      <c r="G102" s="27">
        <v>15989</v>
      </c>
      <c r="H102" s="27">
        <v>375.19</v>
      </c>
      <c r="I102" s="27">
        <v>5464.59</v>
      </c>
      <c r="J102" s="6">
        <v>1340</v>
      </c>
      <c r="K102" s="6">
        <v>195</v>
      </c>
      <c r="L102" s="27">
        <v>11.932089552238805</v>
      </c>
      <c r="M102" s="27">
        <v>28.023538461538461</v>
      </c>
      <c r="N102" s="34">
        <v>26.682214983713354</v>
      </c>
      <c r="S102" s="51"/>
      <c r="T102" s="51"/>
      <c r="AH102" s="50"/>
    </row>
    <row r="103" spans="1:34" x14ac:dyDescent="0.35">
      <c r="A103" s="82">
        <v>100</v>
      </c>
      <c r="B103" s="89" t="str">
        <f>_xlfn.XLOOKUP(A103,'Model Modeshare by TAZ'!A:A,'Model Modeshare by TAZ'!B:B)</f>
        <v>Cupertino</v>
      </c>
      <c r="C103" s="90" t="str">
        <f>_xlfn.XLOOKUP(A103,'Model Modeshare by TAZ'!A:A,'Model Modeshare by TAZ'!D:D)</f>
        <v>NO</v>
      </c>
      <c r="D103" s="27">
        <v>377.31</v>
      </c>
      <c r="E103" s="27">
        <v>7284.72</v>
      </c>
      <c r="F103" s="27">
        <v>520.69000000000005</v>
      </c>
      <c r="G103" s="27">
        <v>4594.6899999999996</v>
      </c>
      <c r="H103" s="27">
        <v>2.02</v>
      </c>
      <c r="I103" s="27">
        <v>33.549999999999997</v>
      </c>
      <c r="J103" s="6">
        <v>317</v>
      </c>
      <c r="K103" s="6">
        <v>1</v>
      </c>
      <c r="L103" s="27">
        <v>14.494290220820188</v>
      </c>
      <c r="M103" s="27">
        <v>33.549999999999997</v>
      </c>
      <c r="N103" s="34">
        <v>24.721729559748429</v>
      </c>
      <c r="S103" s="51"/>
      <c r="AH103" s="50"/>
    </row>
    <row r="104" spans="1:34" x14ac:dyDescent="0.35">
      <c r="A104" s="82">
        <v>101</v>
      </c>
      <c r="B104" s="89" t="str">
        <f>_xlfn.XLOOKUP(A104,'Model Modeshare by TAZ'!A:A,'Model Modeshare by TAZ'!B:B)</f>
        <v>Cupertino</v>
      </c>
      <c r="C104" s="90" t="str">
        <f>_xlfn.XLOOKUP(A104,'Model Modeshare by TAZ'!A:A,'Model Modeshare by TAZ'!D:D)</f>
        <v>NO</v>
      </c>
      <c r="D104" s="27">
        <v>613.85</v>
      </c>
      <c r="E104" s="27">
        <v>15027.97</v>
      </c>
      <c r="F104" s="27">
        <v>874.89</v>
      </c>
      <c r="G104" s="27">
        <v>7672.47</v>
      </c>
      <c r="H104" s="27">
        <v>266.33999999999997</v>
      </c>
      <c r="I104" s="27">
        <v>4181.16</v>
      </c>
      <c r="J104" s="6">
        <v>552</v>
      </c>
      <c r="K104" s="6">
        <v>163</v>
      </c>
      <c r="L104" s="27">
        <v>13.899402173913044</v>
      </c>
      <c r="M104" s="27">
        <v>25.651288343558281</v>
      </c>
      <c r="N104" s="34">
        <v>25.49444755244755</v>
      </c>
      <c r="S104" s="51"/>
      <c r="AH104" s="50"/>
    </row>
    <row r="105" spans="1:34" x14ac:dyDescent="0.35">
      <c r="A105" s="82">
        <v>102</v>
      </c>
      <c r="B105" s="89" t="str">
        <f>_xlfn.XLOOKUP(A105,'Model Modeshare by TAZ'!A:A,'Model Modeshare by TAZ'!B:B)</f>
        <v>Cupertino</v>
      </c>
      <c r="C105" s="90" t="str">
        <f>_xlfn.XLOOKUP(A105,'Model Modeshare by TAZ'!A:A,'Model Modeshare by TAZ'!D:D)</f>
        <v>NO</v>
      </c>
      <c r="D105" s="27">
        <v>1217.21</v>
      </c>
      <c r="E105" s="27">
        <v>23936.86</v>
      </c>
      <c r="F105" s="27">
        <v>1108.28</v>
      </c>
      <c r="G105" s="27">
        <v>9231.1</v>
      </c>
      <c r="H105" s="27">
        <v>112.6</v>
      </c>
      <c r="I105" s="27">
        <v>1724.53</v>
      </c>
      <c r="J105" s="6">
        <v>686</v>
      </c>
      <c r="K105" s="6">
        <v>57</v>
      </c>
      <c r="L105" s="27">
        <v>13.456413994169097</v>
      </c>
      <c r="M105" s="27">
        <v>30.254912280701753</v>
      </c>
      <c r="N105" s="34">
        <v>27.910471063257067</v>
      </c>
      <c r="P105" s="51"/>
      <c r="S105" s="51"/>
      <c r="T105" s="51"/>
      <c r="AH105" s="50"/>
    </row>
    <row r="106" spans="1:34" x14ac:dyDescent="0.35">
      <c r="A106" s="82">
        <v>103</v>
      </c>
      <c r="B106" s="89" t="str">
        <f>_xlfn.XLOOKUP(A106,'Model Modeshare by TAZ'!A:A,'Model Modeshare by TAZ'!B:B)</f>
        <v>Cupertino</v>
      </c>
      <c r="C106" s="90" t="str">
        <f>_xlfn.XLOOKUP(A106,'Model Modeshare by TAZ'!A:A,'Model Modeshare by TAZ'!D:D)</f>
        <v>NO</v>
      </c>
      <c r="D106" s="27">
        <v>1008.73</v>
      </c>
      <c r="E106" s="27">
        <v>26473.84</v>
      </c>
      <c r="F106" s="27">
        <v>2454.9299999999998</v>
      </c>
      <c r="G106" s="27">
        <v>25780.22</v>
      </c>
      <c r="H106" s="27">
        <v>57.86</v>
      </c>
      <c r="I106" s="27">
        <v>1047.54</v>
      </c>
      <c r="J106" s="6">
        <v>1438</v>
      </c>
      <c r="K106" s="6">
        <v>29</v>
      </c>
      <c r="L106" s="27">
        <v>17.927830319888734</v>
      </c>
      <c r="M106" s="27">
        <v>36.122068965517244</v>
      </c>
      <c r="N106" s="34">
        <v>36.195698704839806</v>
      </c>
      <c r="S106" s="51"/>
      <c r="AH106" s="50"/>
    </row>
    <row r="107" spans="1:34" x14ac:dyDescent="0.35">
      <c r="A107" s="82">
        <v>104</v>
      </c>
      <c r="B107" s="89" t="str">
        <f>_xlfn.XLOOKUP(A107,'Model Modeshare by TAZ'!A:A,'Model Modeshare by TAZ'!B:B)</f>
        <v>Unincorporated</v>
      </c>
      <c r="C107" s="90" t="str">
        <f>_xlfn.XLOOKUP(A107,'Model Modeshare by TAZ'!A:A,'Model Modeshare by TAZ'!D:D)</f>
        <v>NO</v>
      </c>
      <c r="D107" s="27">
        <v>67.64</v>
      </c>
      <c r="E107" s="27">
        <v>1938.66</v>
      </c>
      <c r="F107" s="27">
        <v>1202.3399999999999</v>
      </c>
      <c r="G107" s="27">
        <v>14636.51</v>
      </c>
      <c r="H107" s="27">
        <v>429.8</v>
      </c>
      <c r="I107" s="27">
        <v>8568.0300000000007</v>
      </c>
      <c r="J107" s="6">
        <v>681</v>
      </c>
      <c r="K107" s="6">
        <v>320</v>
      </c>
      <c r="L107" s="27">
        <v>21.492672540381793</v>
      </c>
      <c r="M107" s="27">
        <v>26.775093750000003</v>
      </c>
      <c r="N107" s="34">
        <v>47.18885114885115</v>
      </c>
      <c r="AH107" s="50"/>
    </row>
    <row r="108" spans="1:34" x14ac:dyDescent="0.35">
      <c r="A108" s="82">
        <v>105</v>
      </c>
      <c r="B108" s="89" t="str">
        <f>_xlfn.XLOOKUP(A108,'Model Modeshare by TAZ'!A:A,'Model Modeshare by TAZ'!B:B)</f>
        <v>Cupertino</v>
      </c>
      <c r="C108" s="90" t="str">
        <f>_xlfn.XLOOKUP(A108,'Model Modeshare by TAZ'!A:A,'Model Modeshare by TAZ'!D:D)</f>
        <v>NO</v>
      </c>
      <c r="D108" s="27">
        <v>1765.42</v>
      </c>
      <c r="E108" s="27">
        <v>32464.92</v>
      </c>
      <c r="F108" s="27">
        <v>2290.91</v>
      </c>
      <c r="G108" s="27">
        <v>17744.72</v>
      </c>
      <c r="H108" s="27">
        <v>12.65</v>
      </c>
      <c r="I108" s="27">
        <v>191.4</v>
      </c>
      <c r="J108" s="6">
        <v>1343</v>
      </c>
      <c r="K108" s="6">
        <v>6</v>
      </c>
      <c r="L108" s="27">
        <v>13.212747580044677</v>
      </c>
      <c r="M108" s="27">
        <v>31.900000000000002</v>
      </c>
      <c r="N108" s="34">
        <v>20.812238695329874</v>
      </c>
      <c r="S108" s="51"/>
      <c r="T108" s="51"/>
      <c r="AH108" s="50"/>
    </row>
    <row r="109" spans="1:34" x14ac:dyDescent="0.35">
      <c r="A109" s="82">
        <v>106</v>
      </c>
      <c r="B109" s="89" t="str">
        <f>_xlfn.XLOOKUP(A109,'Model Modeshare by TAZ'!A:A,'Model Modeshare by TAZ'!B:B)</f>
        <v>Cupertino</v>
      </c>
      <c r="C109" s="90" t="str">
        <f>_xlfn.XLOOKUP(A109,'Model Modeshare by TAZ'!A:A,'Model Modeshare by TAZ'!D:D)</f>
        <v>NO</v>
      </c>
      <c r="D109" s="27">
        <v>1174.3900000000001</v>
      </c>
      <c r="E109" s="27">
        <v>14760.23</v>
      </c>
      <c r="F109" s="27">
        <v>1153.98</v>
      </c>
      <c r="G109" s="27">
        <v>6869.05</v>
      </c>
      <c r="H109" s="27">
        <v>84.91</v>
      </c>
      <c r="I109" s="27">
        <v>1059.05</v>
      </c>
      <c r="J109" s="6">
        <v>811</v>
      </c>
      <c r="K109" s="6">
        <v>44</v>
      </c>
      <c r="L109" s="27">
        <v>8.4698520345252781</v>
      </c>
      <c r="M109" s="27">
        <v>24.069318181818179</v>
      </c>
      <c r="N109" s="34">
        <v>13.861812865497077</v>
      </c>
      <c r="S109" s="51"/>
      <c r="AH109" s="50"/>
    </row>
    <row r="110" spans="1:34" x14ac:dyDescent="0.35">
      <c r="A110" s="82">
        <v>107</v>
      </c>
      <c r="B110" s="89" t="str">
        <f>_xlfn.XLOOKUP(A110,'Model Modeshare by TAZ'!A:A,'Model Modeshare by TAZ'!B:B)</f>
        <v>Cupertino</v>
      </c>
      <c r="C110" s="90" t="str">
        <f>_xlfn.XLOOKUP(A110,'Model Modeshare by TAZ'!A:A,'Model Modeshare by TAZ'!D:D)</f>
        <v>NO</v>
      </c>
      <c r="D110" s="27">
        <v>3739.01</v>
      </c>
      <c r="E110" s="27">
        <v>57209.74</v>
      </c>
      <c r="F110" s="27">
        <v>6036.49</v>
      </c>
      <c r="G110" s="27">
        <v>39756.78</v>
      </c>
      <c r="H110" s="27">
        <v>1280.97</v>
      </c>
      <c r="I110" s="27">
        <v>15494.82</v>
      </c>
      <c r="J110" s="6">
        <v>3930</v>
      </c>
      <c r="K110" s="6">
        <v>829</v>
      </c>
      <c r="L110" s="27">
        <v>10.116229007633587</v>
      </c>
      <c r="M110" s="27">
        <v>18.690977080820264</v>
      </c>
      <c r="N110" s="34">
        <v>21.161649506198781</v>
      </c>
      <c r="S110" s="51"/>
      <c r="AH110" s="50"/>
    </row>
    <row r="111" spans="1:34" x14ac:dyDescent="0.35">
      <c r="A111" s="82">
        <v>108</v>
      </c>
      <c r="B111" s="89" t="str">
        <f>_xlfn.XLOOKUP(A111,'Model Modeshare by TAZ'!A:A,'Model Modeshare by TAZ'!B:B)</f>
        <v>Cupertino</v>
      </c>
      <c r="C111" s="90" t="str">
        <f>_xlfn.XLOOKUP(A111,'Model Modeshare by TAZ'!A:A,'Model Modeshare by TAZ'!D:D)</f>
        <v>NO</v>
      </c>
      <c r="D111" s="27">
        <v>3171.18</v>
      </c>
      <c r="E111" s="27">
        <v>48717.96</v>
      </c>
      <c r="F111" s="27">
        <v>4152.24</v>
      </c>
      <c r="G111" s="27">
        <v>28482.55</v>
      </c>
      <c r="H111" s="27">
        <v>116.21</v>
      </c>
      <c r="I111" s="27">
        <v>1407.7</v>
      </c>
      <c r="J111" s="6">
        <v>2626</v>
      </c>
      <c r="K111" s="6">
        <v>60</v>
      </c>
      <c r="L111" s="27">
        <v>10.846363290175171</v>
      </c>
      <c r="M111" s="27">
        <v>23.461666666666666</v>
      </c>
      <c r="N111" s="34">
        <v>19.957021593447504</v>
      </c>
      <c r="S111" s="51"/>
      <c r="T111" s="51"/>
      <c r="AH111" s="50"/>
    </row>
    <row r="112" spans="1:34" x14ac:dyDescent="0.35">
      <c r="A112" s="82">
        <v>109</v>
      </c>
      <c r="B112" s="89" t="str">
        <f>_xlfn.XLOOKUP(A112,'Model Modeshare by TAZ'!A:A,'Model Modeshare by TAZ'!B:B)</f>
        <v>Cupertino</v>
      </c>
      <c r="C112" s="90" t="str">
        <f>_xlfn.XLOOKUP(A112,'Model Modeshare by TAZ'!A:A,'Model Modeshare by TAZ'!D:D)</f>
        <v>NO</v>
      </c>
      <c r="D112" s="27">
        <v>1397.69</v>
      </c>
      <c r="E112" s="27">
        <v>22309.31</v>
      </c>
      <c r="F112" s="27">
        <v>1793.82</v>
      </c>
      <c r="G112" s="27">
        <v>12812.52</v>
      </c>
      <c r="H112" s="27">
        <v>2.1</v>
      </c>
      <c r="I112" s="27">
        <v>32.950000000000003</v>
      </c>
      <c r="J112" s="6">
        <v>1133</v>
      </c>
      <c r="K112" s="6">
        <v>1</v>
      </c>
      <c r="L112" s="27">
        <v>11.308490732568403</v>
      </c>
      <c r="M112" s="27">
        <v>32.950000000000003</v>
      </c>
      <c r="N112" s="34">
        <v>19.118377425044095</v>
      </c>
      <c r="AH112" s="50"/>
    </row>
    <row r="113" spans="1:34" x14ac:dyDescent="0.35">
      <c r="A113" s="82">
        <v>110</v>
      </c>
      <c r="B113" s="89" t="str">
        <f>_xlfn.XLOOKUP(A113,'Model Modeshare by TAZ'!A:A,'Model Modeshare by TAZ'!B:B)</f>
        <v>Cupertino</v>
      </c>
      <c r="C113" s="90" t="str">
        <f>_xlfn.XLOOKUP(A113,'Model Modeshare by TAZ'!A:A,'Model Modeshare by TAZ'!D:D)</f>
        <v>NO</v>
      </c>
      <c r="D113" s="27">
        <v>13709.29</v>
      </c>
      <c r="E113" s="27">
        <v>281659.36</v>
      </c>
      <c r="F113" s="27">
        <v>5599.03</v>
      </c>
      <c r="G113" s="27">
        <v>38415.79</v>
      </c>
      <c r="H113" s="27">
        <v>3738.88</v>
      </c>
      <c r="I113" s="27">
        <v>50007.1</v>
      </c>
      <c r="J113" s="6">
        <v>3906</v>
      </c>
      <c r="K113" s="6">
        <v>3104</v>
      </c>
      <c r="L113" s="27">
        <v>9.8350716845878132</v>
      </c>
      <c r="M113" s="27">
        <v>16.110534793814434</v>
      </c>
      <c r="N113" s="34">
        <v>32.563960057061337</v>
      </c>
      <c r="S113" s="51"/>
      <c r="T113" s="51"/>
      <c r="AH113" s="50"/>
    </row>
    <row r="114" spans="1:34" x14ac:dyDescent="0.35">
      <c r="A114" s="82">
        <v>111</v>
      </c>
      <c r="B114" s="89" t="str">
        <f>_xlfn.XLOOKUP(A114,'Model Modeshare by TAZ'!A:A,'Model Modeshare by TAZ'!B:B)</f>
        <v>Cupertino</v>
      </c>
      <c r="C114" s="90" t="str">
        <f>_xlfn.XLOOKUP(A114,'Model Modeshare by TAZ'!A:A,'Model Modeshare by TAZ'!D:D)</f>
        <v>NO</v>
      </c>
      <c r="D114" s="27">
        <v>2522.35</v>
      </c>
      <c r="E114" s="27">
        <v>47850.27</v>
      </c>
      <c r="F114" s="27">
        <v>1056.05</v>
      </c>
      <c r="G114" s="27">
        <v>7302.97</v>
      </c>
      <c r="H114" s="27">
        <v>514.13</v>
      </c>
      <c r="I114" s="27">
        <v>6931.34</v>
      </c>
      <c r="J114" s="6">
        <v>693</v>
      </c>
      <c r="K114" s="6">
        <v>419</v>
      </c>
      <c r="L114" s="27">
        <v>10.538196248196249</v>
      </c>
      <c r="M114" s="27">
        <v>16.54257756563246</v>
      </c>
      <c r="N114" s="34">
        <v>43.595935251798558</v>
      </c>
      <c r="S114" s="51"/>
      <c r="T114" s="51"/>
      <c r="U114" s="51"/>
      <c r="AH114" s="50"/>
    </row>
    <row r="115" spans="1:34" x14ac:dyDescent="0.35">
      <c r="A115" s="82">
        <v>112</v>
      </c>
      <c r="B115" s="89" t="str">
        <f>_xlfn.XLOOKUP(A115,'Model Modeshare by TAZ'!A:A,'Model Modeshare by TAZ'!B:B)</f>
        <v>Cupertino</v>
      </c>
      <c r="C115" s="90" t="str">
        <f>_xlfn.XLOOKUP(A115,'Model Modeshare by TAZ'!A:A,'Model Modeshare by TAZ'!D:D)</f>
        <v>NO</v>
      </c>
      <c r="D115" s="27">
        <v>4700.97</v>
      </c>
      <c r="E115" s="27">
        <v>86233.22</v>
      </c>
      <c r="F115" s="27">
        <v>2405.4899999999998</v>
      </c>
      <c r="G115" s="27">
        <v>15945.26</v>
      </c>
      <c r="H115" s="27">
        <v>611.19000000000005</v>
      </c>
      <c r="I115" s="27">
        <v>7975.63</v>
      </c>
      <c r="J115" s="6">
        <v>1550</v>
      </c>
      <c r="K115" s="6">
        <v>456</v>
      </c>
      <c r="L115" s="27">
        <v>10.287264516129033</v>
      </c>
      <c r="M115" s="27">
        <v>17.490416666666668</v>
      </c>
      <c r="N115" s="34">
        <v>37.996739780658032</v>
      </c>
      <c r="AH115" s="50"/>
    </row>
    <row r="116" spans="1:34" x14ac:dyDescent="0.35">
      <c r="A116" s="82">
        <v>113</v>
      </c>
      <c r="B116" s="89" t="str">
        <f>_xlfn.XLOOKUP(A116,'Model Modeshare by TAZ'!A:A,'Model Modeshare by TAZ'!B:B)</f>
        <v>Cupertino</v>
      </c>
      <c r="C116" s="90" t="str">
        <f>_xlfn.XLOOKUP(A116,'Model Modeshare by TAZ'!A:A,'Model Modeshare by TAZ'!D:D)</f>
        <v>NO</v>
      </c>
      <c r="D116" s="27">
        <v>6206.88</v>
      </c>
      <c r="E116" s="27">
        <v>115657.26</v>
      </c>
      <c r="F116" s="27">
        <v>2023.25</v>
      </c>
      <c r="G116" s="27">
        <v>13443.29</v>
      </c>
      <c r="H116" s="27">
        <v>658.77</v>
      </c>
      <c r="I116" s="27">
        <v>8921.99</v>
      </c>
      <c r="J116" s="6">
        <v>1342</v>
      </c>
      <c r="K116" s="6">
        <v>498</v>
      </c>
      <c r="L116" s="27">
        <v>10.017354694485842</v>
      </c>
      <c r="M116" s="27">
        <v>17.915642570281126</v>
      </c>
      <c r="N116" s="34">
        <v>36.895277173913044</v>
      </c>
      <c r="AH116" s="50"/>
    </row>
    <row r="117" spans="1:34" x14ac:dyDescent="0.35">
      <c r="A117" s="82">
        <v>114</v>
      </c>
      <c r="B117" s="89" t="str">
        <f>_xlfn.XLOOKUP(A117,'Model Modeshare by TAZ'!A:A,'Model Modeshare by TAZ'!B:B)</f>
        <v>Cupertino</v>
      </c>
      <c r="C117" s="90" t="str">
        <f>_xlfn.XLOOKUP(A117,'Model Modeshare by TAZ'!A:A,'Model Modeshare by TAZ'!D:D)</f>
        <v>NO</v>
      </c>
      <c r="D117" s="27">
        <v>14088.63</v>
      </c>
      <c r="E117" s="27">
        <v>477717.44</v>
      </c>
      <c r="F117" s="27">
        <v>0.92</v>
      </c>
      <c r="G117" s="27">
        <v>2.31</v>
      </c>
      <c r="H117" s="27">
        <v>1071.1099999999999</v>
      </c>
      <c r="I117" s="27">
        <v>15221.92</v>
      </c>
      <c r="J117" s="6">
        <v>0</v>
      </c>
      <c r="K117" s="6">
        <v>878</v>
      </c>
      <c r="L117" s="27">
        <v>0</v>
      </c>
      <c r="M117" s="27">
        <v>17.337038724373578</v>
      </c>
      <c r="N117" s="34">
        <v>630.46200455580868</v>
      </c>
      <c r="AH117" s="50"/>
    </row>
    <row r="118" spans="1:34" x14ac:dyDescent="0.35">
      <c r="A118" s="82">
        <v>115</v>
      </c>
      <c r="B118" s="89" t="str">
        <f>_xlfn.XLOOKUP(A118,'Model Modeshare by TAZ'!A:A,'Model Modeshare by TAZ'!B:B)</f>
        <v>Cupertino</v>
      </c>
      <c r="C118" s="90" t="str">
        <f>_xlfn.XLOOKUP(A118,'Model Modeshare by TAZ'!A:A,'Model Modeshare by TAZ'!D:D)</f>
        <v>NO</v>
      </c>
      <c r="D118" s="27">
        <v>1981.94</v>
      </c>
      <c r="E118" s="27">
        <v>55057</v>
      </c>
      <c r="F118" s="27">
        <v>42.24</v>
      </c>
      <c r="G118" s="27">
        <v>359.92</v>
      </c>
      <c r="H118" s="27">
        <v>1981.54</v>
      </c>
      <c r="I118" s="27">
        <v>29828.45</v>
      </c>
      <c r="J118" s="6">
        <v>27</v>
      </c>
      <c r="K118" s="6">
        <v>1640</v>
      </c>
      <c r="L118" s="27">
        <v>13.330370370370371</v>
      </c>
      <c r="M118" s="27">
        <v>18.188079268292682</v>
      </c>
      <c r="N118" s="34">
        <v>37.534385122975408</v>
      </c>
      <c r="S118" s="51"/>
      <c r="AH118" s="50"/>
    </row>
    <row r="119" spans="1:34" x14ac:dyDescent="0.35">
      <c r="A119" s="82">
        <v>116</v>
      </c>
      <c r="B119" s="89" t="str">
        <f>_xlfn.XLOOKUP(A119,'Model Modeshare by TAZ'!A:A,'Model Modeshare by TAZ'!B:B)</f>
        <v>Cupertino</v>
      </c>
      <c r="C119" s="90" t="str">
        <f>_xlfn.XLOOKUP(A119,'Model Modeshare by TAZ'!A:A,'Model Modeshare by TAZ'!D:D)</f>
        <v>NO</v>
      </c>
      <c r="D119" s="27">
        <v>1516.29</v>
      </c>
      <c r="E119" s="27">
        <v>27825.45</v>
      </c>
      <c r="F119" s="27">
        <v>1461.65</v>
      </c>
      <c r="G119" s="27">
        <v>11554.03</v>
      </c>
      <c r="H119" s="27">
        <v>228.94</v>
      </c>
      <c r="I119" s="27">
        <v>3516.33</v>
      </c>
      <c r="J119" s="6">
        <v>912</v>
      </c>
      <c r="K119" s="6">
        <v>119</v>
      </c>
      <c r="L119" s="27">
        <v>12.66889254385965</v>
      </c>
      <c r="M119" s="27">
        <v>29.548991596638654</v>
      </c>
      <c r="N119" s="34">
        <v>26.8045101842871</v>
      </c>
      <c r="S119" s="51"/>
      <c r="T119" s="51"/>
      <c r="AH119" s="50"/>
    </row>
    <row r="120" spans="1:34" x14ac:dyDescent="0.35">
      <c r="A120" s="82">
        <v>117</v>
      </c>
      <c r="B120" s="89" t="str">
        <f>_xlfn.XLOOKUP(A120,'Model Modeshare by TAZ'!A:A,'Model Modeshare by TAZ'!B:B)</f>
        <v>Cupertino</v>
      </c>
      <c r="C120" s="90" t="str">
        <f>_xlfn.XLOOKUP(A120,'Model Modeshare by TAZ'!A:A,'Model Modeshare by TAZ'!D:D)</f>
        <v>NO</v>
      </c>
      <c r="D120" s="27">
        <v>5953.61</v>
      </c>
      <c r="E120" s="27">
        <v>119245.35</v>
      </c>
      <c r="F120" s="27">
        <v>2950.31</v>
      </c>
      <c r="G120" s="27">
        <v>23058.04</v>
      </c>
      <c r="H120" s="27">
        <v>2380.13</v>
      </c>
      <c r="I120" s="27">
        <v>35733.449999999997</v>
      </c>
      <c r="J120" s="6">
        <v>1889</v>
      </c>
      <c r="K120" s="6">
        <v>1947</v>
      </c>
      <c r="L120" s="27">
        <v>12.20647961884595</v>
      </c>
      <c r="M120" s="27">
        <v>18.35308166409861</v>
      </c>
      <c r="N120" s="34">
        <v>34.257007299270072</v>
      </c>
      <c r="S120" s="51"/>
      <c r="T120" s="51"/>
      <c r="AH120" s="50"/>
    </row>
    <row r="121" spans="1:34" x14ac:dyDescent="0.35">
      <c r="A121" s="82">
        <v>118</v>
      </c>
      <c r="B121" s="89" t="str">
        <f>_xlfn.XLOOKUP(A121,'Model Modeshare by TAZ'!A:A,'Model Modeshare by TAZ'!B:B)</f>
        <v>Cupertino</v>
      </c>
      <c r="C121" s="90" t="str">
        <f>_xlfn.XLOOKUP(A121,'Model Modeshare by TAZ'!A:A,'Model Modeshare by TAZ'!D:D)</f>
        <v>NO</v>
      </c>
      <c r="D121" s="27">
        <v>4882.8100000000004</v>
      </c>
      <c r="E121" s="27">
        <v>86489.8</v>
      </c>
      <c r="F121" s="27">
        <v>4643.42</v>
      </c>
      <c r="G121" s="27">
        <v>35282.74</v>
      </c>
      <c r="H121" s="27">
        <v>154.34</v>
      </c>
      <c r="I121" s="27">
        <v>2263.98</v>
      </c>
      <c r="J121" s="6">
        <v>3098</v>
      </c>
      <c r="K121" s="6">
        <v>79</v>
      </c>
      <c r="L121" s="27">
        <v>11.388876694641704</v>
      </c>
      <c r="M121" s="27">
        <v>28.657974683544303</v>
      </c>
      <c r="N121" s="34">
        <v>22.512719546742211</v>
      </c>
      <c r="S121" s="51"/>
      <c r="AH121" s="50"/>
    </row>
    <row r="122" spans="1:34" x14ac:dyDescent="0.35">
      <c r="A122" s="82">
        <v>119</v>
      </c>
      <c r="B122" s="89" t="str">
        <f>_xlfn.XLOOKUP(A122,'Model Modeshare by TAZ'!A:A,'Model Modeshare by TAZ'!B:B)</f>
        <v>Cupertino</v>
      </c>
      <c r="C122" s="90" t="str">
        <f>_xlfn.XLOOKUP(A122,'Model Modeshare by TAZ'!A:A,'Model Modeshare by TAZ'!D:D)</f>
        <v>NO</v>
      </c>
      <c r="D122" s="27">
        <v>14677.92</v>
      </c>
      <c r="E122" s="27">
        <v>327235.36</v>
      </c>
      <c r="F122" s="27">
        <v>4481.17</v>
      </c>
      <c r="G122" s="27">
        <v>31740.34</v>
      </c>
      <c r="H122" s="27">
        <v>3183.17</v>
      </c>
      <c r="I122" s="27">
        <v>44157.66</v>
      </c>
      <c r="J122" s="6">
        <v>3048</v>
      </c>
      <c r="K122" s="6">
        <v>2619</v>
      </c>
      <c r="L122" s="27">
        <v>10.413497375328085</v>
      </c>
      <c r="M122" s="27">
        <v>16.860504009163805</v>
      </c>
      <c r="N122" s="34">
        <v>35.673211575789658</v>
      </c>
      <c r="S122" s="51"/>
      <c r="AH122" s="50"/>
    </row>
    <row r="123" spans="1:34" x14ac:dyDescent="0.35">
      <c r="A123" s="82">
        <v>120</v>
      </c>
      <c r="B123" s="89" t="str">
        <f>_xlfn.XLOOKUP(A123,'Model Modeshare by TAZ'!A:A,'Model Modeshare by TAZ'!B:B)</f>
        <v>Cupertino</v>
      </c>
      <c r="C123" s="90" t="str">
        <f>_xlfn.XLOOKUP(A123,'Model Modeshare by TAZ'!A:A,'Model Modeshare by TAZ'!D:D)</f>
        <v>NO</v>
      </c>
      <c r="D123" s="27">
        <v>2388.14</v>
      </c>
      <c r="E123" s="27">
        <v>42061.98</v>
      </c>
      <c r="F123" s="27">
        <v>1964.78</v>
      </c>
      <c r="G123" s="27">
        <v>13575.25</v>
      </c>
      <c r="H123" s="27">
        <v>533.16</v>
      </c>
      <c r="I123" s="27">
        <v>7294.11</v>
      </c>
      <c r="J123" s="6">
        <v>1330</v>
      </c>
      <c r="K123" s="6">
        <v>410</v>
      </c>
      <c r="L123" s="27">
        <v>10.206954887218044</v>
      </c>
      <c r="M123" s="27">
        <v>17.790512195121952</v>
      </c>
      <c r="N123" s="34">
        <v>28.588149425287355</v>
      </c>
      <c r="S123" s="51"/>
      <c r="T123" s="51"/>
      <c r="AH123" s="50"/>
    </row>
    <row r="124" spans="1:34" x14ac:dyDescent="0.35">
      <c r="A124" s="82">
        <v>121</v>
      </c>
      <c r="B124" s="89" t="str">
        <f>_xlfn.XLOOKUP(A124,'Model Modeshare by TAZ'!A:A,'Model Modeshare by TAZ'!B:B)</f>
        <v>Cupertino</v>
      </c>
      <c r="C124" s="90" t="str">
        <f>_xlfn.XLOOKUP(A124,'Model Modeshare by TAZ'!A:A,'Model Modeshare by TAZ'!D:D)</f>
        <v>NO</v>
      </c>
      <c r="D124" s="27">
        <v>1296.6099999999999</v>
      </c>
      <c r="E124" s="27">
        <v>22274.71</v>
      </c>
      <c r="F124" s="27">
        <v>1342.05</v>
      </c>
      <c r="G124" s="27">
        <v>10153.74</v>
      </c>
      <c r="H124" s="27">
        <v>52.06</v>
      </c>
      <c r="I124" s="27">
        <v>788.81</v>
      </c>
      <c r="J124" s="6">
        <v>911</v>
      </c>
      <c r="K124" s="6">
        <v>27</v>
      </c>
      <c r="L124" s="27">
        <v>11.145708013172339</v>
      </c>
      <c r="M124" s="27">
        <v>29.215185185185184</v>
      </c>
      <c r="N124" s="34">
        <v>21.62185501066098</v>
      </c>
      <c r="S124" s="51"/>
      <c r="T124" s="51"/>
      <c r="AH124" s="50"/>
    </row>
    <row r="125" spans="1:34" x14ac:dyDescent="0.35">
      <c r="A125" s="82">
        <v>122</v>
      </c>
      <c r="B125" s="89" t="str">
        <f>_xlfn.XLOOKUP(A125,'Model Modeshare by TAZ'!A:A,'Model Modeshare by TAZ'!B:B)</f>
        <v>Cupertino</v>
      </c>
      <c r="C125" s="90" t="str">
        <f>_xlfn.XLOOKUP(A125,'Model Modeshare by TAZ'!A:A,'Model Modeshare by TAZ'!D:D)</f>
        <v>NO</v>
      </c>
      <c r="D125" s="27">
        <v>1293.21</v>
      </c>
      <c r="E125" s="27">
        <v>22866.48</v>
      </c>
      <c r="F125" s="27">
        <v>1554.66</v>
      </c>
      <c r="G125" s="27">
        <v>12758.01</v>
      </c>
      <c r="H125" s="27">
        <v>8.26</v>
      </c>
      <c r="I125" s="27">
        <v>126.93</v>
      </c>
      <c r="J125" s="6">
        <v>1031</v>
      </c>
      <c r="K125" s="6">
        <v>4</v>
      </c>
      <c r="L125" s="27">
        <v>12.374403491755578</v>
      </c>
      <c r="M125" s="27">
        <v>31.732500000000002</v>
      </c>
      <c r="N125" s="34">
        <v>22.690415458937199</v>
      </c>
      <c r="O125" s="51"/>
      <c r="R125" s="51"/>
      <c r="S125" s="51"/>
      <c r="T125" s="51"/>
      <c r="AH125" s="50"/>
    </row>
    <row r="126" spans="1:34" x14ac:dyDescent="0.35">
      <c r="A126" s="82">
        <v>123</v>
      </c>
      <c r="B126" s="89" t="str">
        <f>_xlfn.XLOOKUP(A126,'Model Modeshare by TAZ'!A:A,'Model Modeshare by TAZ'!B:B)</f>
        <v>Cupertino</v>
      </c>
      <c r="C126" s="90" t="str">
        <f>_xlfn.XLOOKUP(A126,'Model Modeshare by TAZ'!A:A,'Model Modeshare by TAZ'!D:D)</f>
        <v>NO</v>
      </c>
      <c r="D126" s="27">
        <v>1972.75</v>
      </c>
      <c r="E126" s="27">
        <v>37944.25</v>
      </c>
      <c r="F126" s="27">
        <v>2368.6999999999998</v>
      </c>
      <c r="G126" s="27">
        <v>19773.2</v>
      </c>
      <c r="H126" s="27">
        <v>23.64</v>
      </c>
      <c r="I126" s="27">
        <v>363.71</v>
      </c>
      <c r="J126" s="6">
        <v>1459</v>
      </c>
      <c r="K126" s="6">
        <v>12</v>
      </c>
      <c r="L126" s="27">
        <v>13.552570253598356</v>
      </c>
      <c r="M126" s="27">
        <v>30.309166666666666</v>
      </c>
      <c r="N126" s="34">
        <v>24.509938817131204</v>
      </c>
      <c r="S126" s="51"/>
      <c r="T126" s="51"/>
      <c r="AH126" s="50"/>
    </row>
    <row r="127" spans="1:34" x14ac:dyDescent="0.35">
      <c r="A127" s="82">
        <v>124</v>
      </c>
      <c r="B127" s="89" t="str">
        <f>_xlfn.XLOOKUP(A127,'Model Modeshare by TAZ'!A:A,'Model Modeshare by TAZ'!B:B)</f>
        <v>Cupertino</v>
      </c>
      <c r="C127" s="90" t="str">
        <f>_xlfn.XLOOKUP(A127,'Model Modeshare by TAZ'!A:A,'Model Modeshare by TAZ'!D:D)</f>
        <v>NO</v>
      </c>
      <c r="D127" s="27">
        <v>2109.4</v>
      </c>
      <c r="E127" s="27">
        <v>36725.370000000003</v>
      </c>
      <c r="F127" s="27">
        <v>2133.4699999999998</v>
      </c>
      <c r="G127" s="27">
        <v>16032.76</v>
      </c>
      <c r="H127" s="27">
        <v>444.9</v>
      </c>
      <c r="I127" s="27">
        <v>6198.71</v>
      </c>
      <c r="J127" s="6">
        <v>1343</v>
      </c>
      <c r="K127" s="6">
        <v>285</v>
      </c>
      <c r="L127" s="27">
        <v>11.938019359642592</v>
      </c>
      <c r="M127" s="27">
        <v>21.749859649122808</v>
      </c>
      <c r="N127" s="34">
        <v>34.824920147420151</v>
      </c>
      <c r="S127" s="51"/>
      <c r="T127" s="51"/>
      <c r="AH127" s="50"/>
    </row>
    <row r="128" spans="1:34" x14ac:dyDescent="0.35">
      <c r="A128" s="82">
        <v>125</v>
      </c>
      <c r="B128" s="89" t="str">
        <f>_xlfn.XLOOKUP(A128,'Model Modeshare by TAZ'!A:A,'Model Modeshare by TAZ'!B:B)</f>
        <v>Cupertino</v>
      </c>
      <c r="C128" s="90" t="str">
        <f>_xlfn.XLOOKUP(A128,'Model Modeshare by TAZ'!A:A,'Model Modeshare by TAZ'!D:D)</f>
        <v>NO</v>
      </c>
      <c r="D128" s="27">
        <v>1029.9100000000001</v>
      </c>
      <c r="E128" s="27">
        <v>18696.599999999999</v>
      </c>
      <c r="F128" s="27">
        <v>1256.58</v>
      </c>
      <c r="G128" s="27">
        <v>10277.280000000001</v>
      </c>
      <c r="H128" s="27">
        <v>5.04</v>
      </c>
      <c r="I128" s="27">
        <v>70.430000000000007</v>
      </c>
      <c r="J128" s="6">
        <v>765</v>
      </c>
      <c r="K128" s="6">
        <v>2</v>
      </c>
      <c r="L128" s="27">
        <v>13.434352941176471</v>
      </c>
      <c r="M128" s="27">
        <v>35.215000000000003</v>
      </c>
      <c r="N128" s="34">
        <v>21.334289439374185</v>
      </c>
      <c r="S128" s="51"/>
      <c r="AH128" s="50"/>
    </row>
    <row r="129" spans="1:34" x14ac:dyDescent="0.35">
      <c r="A129" s="82">
        <v>126</v>
      </c>
      <c r="B129" s="89" t="str">
        <f>_xlfn.XLOOKUP(A129,'Model Modeshare by TAZ'!A:A,'Model Modeshare by TAZ'!B:B)</f>
        <v>Cupertino</v>
      </c>
      <c r="C129" s="90" t="str">
        <f>_xlfn.XLOOKUP(A129,'Model Modeshare by TAZ'!A:A,'Model Modeshare by TAZ'!D:D)</f>
        <v>NO</v>
      </c>
      <c r="D129" s="27">
        <v>4222.43</v>
      </c>
      <c r="E129" s="27">
        <v>87649.78</v>
      </c>
      <c r="F129" s="27">
        <v>3248.14</v>
      </c>
      <c r="G129" s="27">
        <v>25734.53</v>
      </c>
      <c r="H129" s="27">
        <v>829.33</v>
      </c>
      <c r="I129" s="27">
        <v>11920.67</v>
      </c>
      <c r="J129" s="6">
        <v>2029</v>
      </c>
      <c r="K129" s="6">
        <v>528</v>
      </c>
      <c r="L129" s="27">
        <v>12.683356333169048</v>
      </c>
      <c r="M129" s="27">
        <v>22.577026515151516</v>
      </c>
      <c r="N129" s="34">
        <v>27.941384434884629</v>
      </c>
      <c r="AH129" s="50"/>
    </row>
    <row r="130" spans="1:34" x14ac:dyDescent="0.35">
      <c r="A130" s="82">
        <v>127</v>
      </c>
      <c r="B130" s="89" t="str">
        <f>_xlfn.XLOOKUP(A130,'Model Modeshare by TAZ'!A:A,'Model Modeshare by TAZ'!B:B)</f>
        <v>Cupertino</v>
      </c>
      <c r="C130" s="90" t="str">
        <f>_xlfn.XLOOKUP(A130,'Model Modeshare by TAZ'!A:A,'Model Modeshare by TAZ'!D:D)</f>
        <v>NO</v>
      </c>
      <c r="D130" s="27">
        <v>987.1</v>
      </c>
      <c r="E130" s="27">
        <v>17800.53</v>
      </c>
      <c r="F130" s="27">
        <v>1034.96</v>
      </c>
      <c r="G130" s="27">
        <v>8607.2900000000009</v>
      </c>
      <c r="H130" s="27">
        <v>551.70000000000005</v>
      </c>
      <c r="I130" s="27">
        <v>8351.3700000000008</v>
      </c>
      <c r="J130" s="6">
        <v>624</v>
      </c>
      <c r="K130" s="6">
        <v>438</v>
      </c>
      <c r="L130" s="27">
        <v>13.793733974358975</v>
      </c>
      <c r="M130" s="27">
        <v>19.067054794520551</v>
      </c>
      <c r="N130" s="34">
        <v>33.770819209039551</v>
      </c>
      <c r="O130" s="51"/>
      <c r="R130" s="51"/>
      <c r="S130" s="51"/>
      <c r="T130" s="51"/>
      <c r="X130" s="51"/>
      <c r="AH130" s="50"/>
    </row>
    <row r="131" spans="1:34" x14ac:dyDescent="0.35">
      <c r="A131" s="82">
        <v>128</v>
      </c>
      <c r="B131" s="89" t="str">
        <f>_xlfn.XLOOKUP(A131,'Model Modeshare by TAZ'!A:A,'Model Modeshare by TAZ'!B:B)</f>
        <v>Cupertino</v>
      </c>
      <c r="C131" s="90" t="str">
        <f>_xlfn.XLOOKUP(A131,'Model Modeshare by TAZ'!A:A,'Model Modeshare by TAZ'!D:D)</f>
        <v>NO</v>
      </c>
      <c r="D131" s="27">
        <v>1117.02</v>
      </c>
      <c r="E131" s="27">
        <v>20620.16</v>
      </c>
      <c r="F131" s="27">
        <v>1232.22</v>
      </c>
      <c r="G131" s="27">
        <v>10428.02</v>
      </c>
      <c r="H131" s="27">
        <v>303.47000000000003</v>
      </c>
      <c r="I131" s="27">
        <v>4615.7</v>
      </c>
      <c r="J131" s="6">
        <v>741</v>
      </c>
      <c r="K131" s="6">
        <v>184</v>
      </c>
      <c r="L131" s="27">
        <v>14.072901484480433</v>
      </c>
      <c r="M131" s="27">
        <v>25.08532608695652</v>
      </c>
      <c r="N131" s="34">
        <v>26.323783783783785</v>
      </c>
      <c r="AH131" s="50"/>
    </row>
    <row r="132" spans="1:34" x14ac:dyDescent="0.35">
      <c r="A132" s="82">
        <v>129</v>
      </c>
      <c r="B132" s="89" t="str">
        <f>_xlfn.XLOOKUP(A132,'Model Modeshare by TAZ'!A:A,'Model Modeshare by TAZ'!B:B)</f>
        <v>Cupertino</v>
      </c>
      <c r="C132" s="90" t="str">
        <f>_xlfn.XLOOKUP(A132,'Model Modeshare by TAZ'!A:A,'Model Modeshare by TAZ'!D:D)</f>
        <v>NO</v>
      </c>
      <c r="D132" s="27">
        <v>4919.76</v>
      </c>
      <c r="E132" s="27">
        <v>91822.78</v>
      </c>
      <c r="F132" s="27">
        <v>4998.63</v>
      </c>
      <c r="G132" s="27">
        <v>41130.01</v>
      </c>
      <c r="H132" s="27">
        <v>415.42</v>
      </c>
      <c r="I132" s="27">
        <v>6335.28</v>
      </c>
      <c r="J132" s="6">
        <v>2973</v>
      </c>
      <c r="K132" s="6">
        <v>212</v>
      </c>
      <c r="L132" s="27">
        <v>13.83451395896401</v>
      </c>
      <c r="M132" s="27">
        <v>29.883396226415094</v>
      </c>
      <c r="N132" s="34">
        <v>25.51549764521193</v>
      </c>
      <c r="AH132" s="50"/>
    </row>
    <row r="133" spans="1:34" x14ac:dyDescent="0.35">
      <c r="A133" s="82">
        <v>130</v>
      </c>
      <c r="B133" s="89" t="str">
        <f>_xlfn.XLOOKUP(A133,'Model Modeshare by TAZ'!A:A,'Model Modeshare by TAZ'!B:B)</f>
        <v>Unincorporated</v>
      </c>
      <c r="C133" s="90" t="str">
        <f>_xlfn.XLOOKUP(A133,'Model Modeshare by TAZ'!A:A,'Model Modeshare by TAZ'!D:D)</f>
        <v>NO</v>
      </c>
      <c r="D133" s="27">
        <v>4.3099999999999996</v>
      </c>
      <c r="E133" s="27">
        <v>45.13</v>
      </c>
      <c r="F133" s="27">
        <v>1.31</v>
      </c>
      <c r="G133" s="27">
        <v>3.68</v>
      </c>
      <c r="H133" s="27">
        <v>20.85</v>
      </c>
      <c r="I133" s="27">
        <v>334.24</v>
      </c>
      <c r="J133" s="6">
        <v>0</v>
      </c>
      <c r="K133" s="6">
        <v>16</v>
      </c>
      <c r="L133" s="27">
        <v>0</v>
      </c>
      <c r="M133" s="27">
        <v>20.89</v>
      </c>
      <c r="N133" s="34">
        <v>27.213750000000001</v>
      </c>
      <c r="AH133" s="50"/>
    </row>
    <row r="134" spans="1:34" x14ac:dyDescent="0.35">
      <c r="A134" s="82">
        <v>131</v>
      </c>
      <c r="B134" s="89" t="str">
        <f>_xlfn.XLOOKUP(A134,'Model Modeshare by TAZ'!A:A,'Model Modeshare by TAZ'!B:B)</f>
        <v>Cupertino</v>
      </c>
      <c r="C134" s="90" t="str">
        <f>_xlfn.XLOOKUP(A134,'Model Modeshare by TAZ'!A:A,'Model Modeshare by TAZ'!D:D)</f>
        <v>NO</v>
      </c>
      <c r="D134" s="27">
        <v>1305.32</v>
      </c>
      <c r="E134" s="27">
        <v>25419.73</v>
      </c>
      <c r="F134" s="27">
        <v>937.7</v>
      </c>
      <c r="G134" s="27">
        <v>8400.99</v>
      </c>
      <c r="H134" s="27">
        <v>17.989999999999998</v>
      </c>
      <c r="I134" s="27">
        <v>278.73</v>
      </c>
      <c r="J134" s="6">
        <v>545</v>
      </c>
      <c r="K134" s="6">
        <v>9</v>
      </c>
      <c r="L134" s="27">
        <v>15.414660550458715</v>
      </c>
      <c r="M134" s="27">
        <v>30.970000000000002</v>
      </c>
      <c r="N134" s="34">
        <v>26.743249097472926</v>
      </c>
      <c r="S134" s="51"/>
      <c r="T134" s="51"/>
      <c r="AH134" s="50"/>
    </row>
    <row r="135" spans="1:34" x14ac:dyDescent="0.35">
      <c r="A135" s="82">
        <v>132</v>
      </c>
      <c r="B135" s="89" t="str">
        <f>_xlfn.XLOOKUP(A135,'Model Modeshare by TAZ'!A:A,'Model Modeshare by TAZ'!B:B)</f>
        <v>Cupertino</v>
      </c>
      <c r="C135" s="90" t="str">
        <f>_xlfn.XLOOKUP(A135,'Model Modeshare by TAZ'!A:A,'Model Modeshare by TAZ'!D:D)</f>
        <v>NO</v>
      </c>
      <c r="D135" s="27">
        <v>4164.38</v>
      </c>
      <c r="E135" s="27">
        <v>68058.42</v>
      </c>
      <c r="F135" s="27">
        <v>4234.38</v>
      </c>
      <c r="G135" s="27">
        <v>31007.45</v>
      </c>
      <c r="H135" s="27">
        <v>699.29</v>
      </c>
      <c r="I135" s="27">
        <v>10400.66</v>
      </c>
      <c r="J135" s="6">
        <v>2684</v>
      </c>
      <c r="K135" s="6">
        <v>437</v>
      </c>
      <c r="L135" s="27">
        <v>11.552701192250373</v>
      </c>
      <c r="M135" s="27">
        <v>23.800137299771166</v>
      </c>
      <c r="N135" s="34">
        <v>24.234450496635695</v>
      </c>
      <c r="AH135" s="50"/>
    </row>
    <row r="136" spans="1:34" x14ac:dyDescent="0.35">
      <c r="A136" s="82">
        <v>133</v>
      </c>
      <c r="B136" s="89" t="str">
        <f>_xlfn.XLOOKUP(A136,'Model Modeshare by TAZ'!A:A,'Model Modeshare by TAZ'!B:B)</f>
        <v>Cupertino</v>
      </c>
      <c r="C136" s="90" t="str">
        <f>_xlfn.XLOOKUP(A136,'Model Modeshare by TAZ'!A:A,'Model Modeshare by TAZ'!D:D)</f>
        <v>NO</v>
      </c>
      <c r="D136" s="27">
        <v>1409.63</v>
      </c>
      <c r="E136" s="27">
        <v>18673.7</v>
      </c>
      <c r="F136" s="27">
        <v>1379.74</v>
      </c>
      <c r="G136" s="27">
        <v>8837.93</v>
      </c>
      <c r="H136" s="27">
        <v>608.04</v>
      </c>
      <c r="I136" s="27">
        <v>9386.92</v>
      </c>
      <c r="J136" s="6">
        <v>931</v>
      </c>
      <c r="K136" s="6">
        <v>497</v>
      </c>
      <c r="L136" s="27">
        <v>9.4929430719656285</v>
      </c>
      <c r="M136" s="27">
        <v>18.887162977867202</v>
      </c>
      <c r="N136" s="34">
        <v>22.606505602240897</v>
      </c>
      <c r="S136" s="51"/>
      <c r="AH136" s="50"/>
    </row>
    <row r="137" spans="1:34" x14ac:dyDescent="0.35">
      <c r="A137" s="82">
        <v>134</v>
      </c>
      <c r="B137" s="89" t="str">
        <f>_xlfn.XLOOKUP(A137,'Model Modeshare by TAZ'!A:A,'Model Modeshare by TAZ'!B:B)</f>
        <v>Cupertino</v>
      </c>
      <c r="C137" s="90" t="str">
        <f>_xlfn.XLOOKUP(A137,'Model Modeshare by TAZ'!A:A,'Model Modeshare by TAZ'!D:D)</f>
        <v>NO</v>
      </c>
      <c r="D137" s="27">
        <v>2718.68</v>
      </c>
      <c r="E137" s="27">
        <v>38320.89</v>
      </c>
      <c r="F137" s="27">
        <v>2934.47</v>
      </c>
      <c r="G137" s="27">
        <v>20516.150000000001</v>
      </c>
      <c r="H137" s="27">
        <v>109.61</v>
      </c>
      <c r="I137" s="27">
        <v>1697.41</v>
      </c>
      <c r="J137" s="6">
        <v>1858</v>
      </c>
      <c r="K137" s="6">
        <v>56</v>
      </c>
      <c r="L137" s="27">
        <v>11.042061356297095</v>
      </c>
      <c r="M137" s="27">
        <v>30.310892857142857</v>
      </c>
      <c r="N137" s="34">
        <v>18.041833855799371</v>
      </c>
      <c r="R137" s="51"/>
      <c r="S137" s="51"/>
      <c r="T137" s="51"/>
      <c r="U137" s="51"/>
      <c r="X137" s="51"/>
      <c r="AH137" s="50"/>
    </row>
    <row r="138" spans="1:34" x14ac:dyDescent="0.35">
      <c r="A138" s="82">
        <v>135</v>
      </c>
      <c r="B138" s="89" t="str">
        <f>_xlfn.XLOOKUP(A138,'Model Modeshare by TAZ'!A:A,'Model Modeshare by TAZ'!B:B)</f>
        <v>Cupertino</v>
      </c>
      <c r="C138" s="90" t="str">
        <f>_xlfn.XLOOKUP(A138,'Model Modeshare by TAZ'!A:A,'Model Modeshare by TAZ'!D:D)</f>
        <v>NO</v>
      </c>
      <c r="D138" s="27">
        <v>2677.18</v>
      </c>
      <c r="E138" s="27">
        <v>37912.519999999997</v>
      </c>
      <c r="F138" s="27">
        <v>3220.49</v>
      </c>
      <c r="G138" s="27">
        <v>22676.11</v>
      </c>
      <c r="H138" s="27">
        <v>101.82</v>
      </c>
      <c r="I138" s="27">
        <v>1613.91</v>
      </c>
      <c r="J138" s="6">
        <v>2078</v>
      </c>
      <c r="K138" s="6">
        <v>52</v>
      </c>
      <c r="L138" s="27">
        <v>10.912468719923003</v>
      </c>
      <c r="M138" s="27">
        <v>31.036730769230772</v>
      </c>
      <c r="N138" s="34">
        <v>17.945713615023475</v>
      </c>
      <c r="S138" s="51"/>
      <c r="T138" s="51"/>
      <c r="AH138" s="50"/>
    </row>
    <row r="139" spans="1:34" x14ac:dyDescent="0.35">
      <c r="A139" s="82">
        <v>136</v>
      </c>
      <c r="B139" s="89" t="str">
        <f>_xlfn.XLOOKUP(A139,'Model Modeshare by TAZ'!A:A,'Model Modeshare by TAZ'!B:B)</f>
        <v>Cupertino</v>
      </c>
      <c r="C139" s="90" t="str">
        <f>_xlfn.XLOOKUP(A139,'Model Modeshare by TAZ'!A:A,'Model Modeshare by TAZ'!D:D)</f>
        <v>NO</v>
      </c>
      <c r="D139" s="27">
        <v>344.99</v>
      </c>
      <c r="E139" s="27">
        <v>10576.96</v>
      </c>
      <c r="F139" s="27">
        <v>108.98</v>
      </c>
      <c r="G139" s="27">
        <v>1225.3</v>
      </c>
      <c r="H139" s="27">
        <v>161.97</v>
      </c>
      <c r="I139" s="27">
        <v>3062.68</v>
      </c>
      <c r="J139" s="6">
        <v>60</v>
      </c>
      <c r="K139" s="6">
        <v>109</v>
      </c>
      <c r="L139" s="27">
        <v>20.421666666666667</v>
      </c>
      <c r="M139" s="27">
        <v>28.097981651376145</v>
      </c>
      <c r="N139" s="34">
        <v>51.576804733727805</v>
      </c>
      <c r="S139" s="51"/>
      <c r="T139" s="51"/>
      <c r="AH139" s="50"/>
    </row>
    <row r="140" spans="1:34" x14ac:dyDescent="0.35">
      <c r="A140" s="82">
        <v>137</v>
      </c>
      <c r="B140" s="89" t="str">
        <f>_xlfn.XLOOKUP(A140,'Model Modeshare by TAZ'!A:A,'Model Modeshare by TAZ'!B:B)</f>
        <v>Unincorporated</v>
      </c>
      <c r="C140" s="90" t="str">
        <f>_xlfn.XLOOKUP(A140,'Model Modeshare by TAZ'!A:A,'Model Modeshare by TAZ'!D:D)</f>
        <v>NO</v>
      </c>
      <c r="D140" s="27">
        <v>205.55</v>
      </c>
      <c r="E140" s="27">
        <v>6643.69</v>
      </c>
      <c r="F140" s="27">
        <v>49.68</v>
      </c>
      <c r="G140" s="27">
        <v>894.75</v>
      </c>
      <c r="H140" s="27">
        <v>94.21</v>
      </c>
      <c r="I140" s="27">
        <v>1553.73</v>
      </c>
      <c r="J140" s="6">
        <v>33</v>
      </c>
      <c r="K140" s="6">
        <v>68</v>
      </c>
      <c r="L140" s="27">
        <v>27.113636363636363</v>
      </c>
      <c r="M140" s="27">
        <v>22.848970588235293</v>
      </c>
      <c r="N140" s="34">
        <v>58.69960396039604</v>
      </c>
      <c r="AH140" s="50"/>
    </row>
    <row r="141" spans="1:34" x14ac:dyDescent="0.35">
      <c r="A141" s="82">
        <v>138</v>
      </c>
      <c r="B141" s="89" t="str">
        <f>_xlfn.XLOOKUP(A141,'Model Modeshare by TAZ'!A:A,'Model Modeshare by TAZ'!B:B)</f>
        <v>Gilroy</v>
      </c>
      <c r="C141" s="90" t="str">
        <f>_xlfn.XLOOKUP(A141,'Model Modeshare by TAZ'!A:A,'Model Modeshare by TAZ'!D:D)</f>
        <v>NO</v>
      </c>
      <c r="D141" s="27">
        <v>0</v>
      </c>
      <c r="E141" s="27">
        <v>0</v>
      </c>
      <c r="F141" s="27">
        <v>8.36</v>
      </c>
      <c r="G141" s="27">
        <v>149.97999999999999</v>
      </c>
      <c r="H141" s="27">
        <v>8.08</v>
      </c>
      <c r="I141" s="27">
        <v>113.41</v>
      </c>
      <c r="J141" s="6">
        <v>10</v>
      </c>
      <c r="K141" s="6">
        <v>6</v>
      </c>
      <c r="L141" s="27">
        <v>14.997999999999999</v>
      </c>
      <c r="M141" s="27">
        <v>18.901666666666667</v>
      </c>
      <c r="N141" s="34">
        <v>28.611875000000001</v>
      </c>
      <c r="S141" s="51"/>
      <c r="T141" s="51"/>
      <c r="AH141" s="50"/>
    </row>
    <row r="142" spans="1:34" x14ac:dyDescent="0.35">
      <c r="A142" s="82">
        <v>139</v>
      </c>
      <c r="B142" s="89" t="str">
        <f>_xlfn.XLOOKUP(A142,'Model Modeshare by TAZ'!A:A,'Model Modeshare by TAZ'!B:B)</f>
        <v>Gilroy</v>
      </c>
      <c r="C142" s="90" t="str">
        <f>_xlfn.XLOOKUP(A142,'Model Modeshare by TAZ'!A:A,'Model Modeshare by TAZ'!D:D)</f>
        <v>NO</v>
      </c>
      <c r="D142" s="27">
        <v>1031.43</v>
      </c>
      <c r="E142" s="27">
        <v>30010.57</v>
      </c>
      <c r="F142" s="27">
        <v>0</v>
      </c>
      <c r="G142" s="27">
        <v>0</v>
      </c>
      <c r="H142" s="27">
        <v>38.03</v>
      </c>
      <c r="I142" s="27">
        <v>588.29</v>
      </c>
      <c r="J142" s="6">
        <v>0</v>
      </c>
      <c r="K142" s="6">
        <v>32</v>
      </c>
      <c r="L142" s="27">
        <v>0</v>
      </c>
      <c r="M142" s="27">
        <v>18.384062499999999</v>
      </c>
      <c r="N142" s="34">
        <v>109.47812500000001</v>
      </c>
      <c r="S142" s="51"/>
      <c r="T142" s="51"/>
      <c r="AH142" s="50"/>
    </row>
    <row r="143" spans="1:34" x14ac:dyDescent="0.35">
      <c r="A143" s="82">
        <v>140</v>
      </c>
      <c r="B143" s="89" t="str">
        <f>_xlfn.XLOOKUP(A143,'Model Modeshare by TAZ'!A:A,'Model Modeshare by TAZ'!B:B)</f>
        <v>Gilroy</v>
      </c>
      <c r="C143" s="90" t="str">
        <f>_xlfn.XLOOKUP(A143,'Model Modeshare by TAZ'!A:A,'Model Modeshare by TAZ'!D:D)</f>
        <v>NO</v>
      </c>
      <c r="D143" s="27">
        <v>1435.98</v>
      </c>
      <c r="E143" s="27">
        <v>39890.660000000003</v>
      </c>
      <c r="F143" s="27">
        <v>0</v>
      </c>
      <c r="G143" s="27">
        <v>0</v>
      </c>
      <c r="H143" s="27">
        <v>70.709999999999994</v>
      </c>
      <c r="I143" s="27">
        <v>1054.1500000000001</v>
      </c>
      <c r="J143" s="6">
        <v>0</v>
      </c>
      <c r="K143" s="6">
        <v>60</v>
      </c>
      <c r="L143" s="27">
        <v>0</v>
      </c>
      <c r="M143" s="27">
        <v>17.569166666666668</v>
      </c>
      <c r="N143" s="34">
        <v>118.45</v>
      </c>
      <c r="AH143" s="50"/>
    </row>
    <row r="144" spans="1:34" x14ac:dyDescent="0.35">
      <c r="A144" s="82">
        <v>141</v>
      </c>
      <c r="B144" s="89" t="str">
        <f>_xlfn.XLOOKUP(A144,'Model Modeshare by TAZ'!A:A,'Model Modeshare by TAZ'!B:B)</f>
        <v>Gilroy</v>
      </c>
      <c r="C144" s="90" t="str">
        <f>_xlfn.XLOOKUP(A144,'Model Modeshare by TAZ'!A:A,'Model Modeshare by TAZ'!D:D)</f>
        <v>NO</v>
      </c>
      <c r="D144" s="27">
        <v>517.27</v>
      </c>
      <c r="E144" s="27">
        <v>10993.62</v>
      </c>
      <c r="F144" s="27">
        <v>577.44000000000005</v>
      </c>
      <c r="G144" s="27">
        <v>6674.9</v>
      </c>
      <c r="H144" s="27">
        <v>15.45</v>
      </c>
      <c r="I144" s="27">
        <v>179.22</v>
      </c>
      <c r="J144" s="6">
        <v>401</v>
      </c>
      <c r="K144" s="6">
        <v>6</v>
      </c>
      <c r="L144" s="27">
        <v>16.645635910224438</v>
      </c>
      <c r="M144" s="27">
        <v>29.87</v>
      </c>
      <c r="N144" s="34">
        <v>21.193906633906636</v>
      </c>
      <c r="AH144" s="50"/>
    </row>
    <row r="145" spans="1:34" x14ac:dyDescent="0.35">
      <c r="A145" s="82">
        <v>142</v>
      </c>
      <c r="B145" s="89" t="str">
        <f>_xlfn.XLOOKUP(A145,'Model Modeshare by TAZ'!A:A,'Model Modeshare by TAZ'!B:B)</f>
        <v>Unincorporated</v>
      </c>
      <c r="C145" s="90" t="str">
        <f>_xlfn.XLOOKUP(A145,'Model Modeshare by TAZ'!A:A,'Model Modeshare by TAZ'!D:D)</f>
        <v>NO</v>
      </c>
      <c r="D145" s="27">
        <v>1838.39</v>
      </c>
      <c r="E145" s="27">
        <v>38303.42</v>
      </c>
      <c r="F145" s="27">
        <v>548.17999999999995</v>
      </c>
      <c r="G145" s="27">
        <v>6362.06</v>
      </c>
      <c r="H145" s="27">
        <v>77.27</v>
      </c>
      <c r="I145" s="27">
        <v>784.74</v>
      </c>
      <c r="J145" s="6">
        <v>361</v>
      </c>
      <c r="K145" s="6">
        <v>45</v>
      </c>
      <c r="L145" s="27">
        <v>17.623434903047091</v>
      </c>
      <c r="M145" s="27">
        <v>17.438666666666666</v>
      </c>
      <c r="N145" s="34">
        <v>23.717881773399014</v>
      </c>
      <c r="S145" s="51"/>
      <c r="T145" s="51"/>
      <c r="U145" s="51"/>
      <c r="X145" s="51"/>
      <c r="AH145" s="50"/>
    </row>
    <row r="146" spans="1:34" x14ac:dyDescent="0.35">
      <c r="A146" s="82">
        <v>143</v>
      </c>
      <c r="B146" s="89" t="str">
        <f>_xlfn.XLOOKUP(A146,'Model Modeshare by TAZ'!A:A,'Model Modeshare by TAZ'!B:B)</f>
        <v>Gilroy</v>
      </c>
      <c r="C146" s="90" t="str">
        <f>_xlfn.XLOOKUP(A146,'Model Modeshare by TAZ'!A:A,'Model Modeshare by TAZ'!D:D)</f>
        <v>NO</v>
      </c>
      <c r="D146" s="27">
        <v>861.63</v>
      </c>
      <c r="E146" s="27">
        <v>17687.71</v>
      </c>
      <c r="F146" s="27">
        <v>2797.56</v>
      </c>
      <c r="G146" s="27">
        <v>33613.53</v>
      </c>
      <c r="H146" s="27">
        <v>21.94</v>
      </c>
      <c r="I146" s="27">
        <v>246.06</v>
      </c>
      <c r="J146" s="6">
        <v>1904</v>
      </c>
      <c r="K146" s="6">
        <v>14</v>
      </c>
      <c r="L146" s="27">
        <v>17.654164915966387</v>
      </c>
      <c r="M146" s="27">
        <v>17.575714285714287</v>
      </c>
      <c r="N146" s="34">
        <v>23.803816475495307</v>
      </c>
      <c r="O146" s="51"/>
      <c r="AH146" s="50"/>
    </row>
    <row r="147" spans="1:34" x14ac:dyDescent="0.35">
      <c r="A147" s="82">
        <v>144</v>
      </c>
      <c r="B147" s="89" t="str">
        <f>_xlfn.XLOOKUP(A147,'Model Modeshare by TAZ'!A:A,'Model Modeshare by TAZ'!B:B)</f>
        <v>Gilroy</v>
      </c>
      <c r="C147" s="90" t="str">
        <f>_xlfn.XLOOKUP(A147,'Model Modeshare by TAZ'!A:A,'Model Modeshare by TAZ'!D:D)</f>
        <v>NO</v>
      </c>
      <c r="D147" s="27">
        <v>1323.19</v>
      </c>
      <c r="E147" s="27">
        <v>26354.43</v>
      </c>
      <c r="F147" s="27">
        <v>1418.45</v>
      </c>
      <c r="G147" s="27">
        <v>15400.14</v>
      </c>
      <c r="H147" s="27">
        <v>13.02</v>
      </c>
      <c r="I147" s="27">
        <v>138.22</v>
      </c>
      <c r="J147" s="6">
        <v>1086</v>
      </c>
      <c r="K147" s="6">
        <v>8</v>
      </c>
      <c r="L147" s="27">
        <v>14.18060773480663</v>
      </c>
      <c r="M147" s="27">
        <v>17.2775</v>
      </c>
      <c r="N147" s="34">
        <v>19.399908592321754</v>
      </c>
      <c r="AH147" s="50"/>
    </row>
    <row r="148" spans="1:34" x14ac:dyDescent="0.35">
      <c r="A148" s="82">
        <v>145</v>
      </c>
      <c r="B148" s="89" t="str">
        <f>_xlfn.XLOOKUP(A148,'Model Modeshare by TAZ'!A:A,'Model Modeshare by TAZ'!B:B)</f>
        <v>Gilroy</v>
      </c>
      <c r="C148" s="90" t="str">
        <f>_xlfn.XLOOKUP(A148,'Model Modeshare by TAZ'!A:A,'Model Modeshare by TAZ'!D:D)</f>
        <v>NO</v>
      </c>
      <c r="D148" s="27">
        <v>2458.15</v>
      </c>
      <c r="E148" s="27">
        <v>46118.04</v>
      </c>
      <c r="F148" s="27">
        <v>1646.57</v>
      </c>
      <c r="G148" s="27">
        <v>18162.919999999998</v>
      </c>
      <c r="H148" s="27">
        <v>375.84</v>
      </c>
      <c r="I148" s="27">
        <v>4222.33</v>
      </c>
      <c r="J148" s="6">
        <v>1267</v>
      </c>
      <c r="K148" s="6">
        <v>303</v>
      </c>
      <c r="L148" s="27">
        <v>14.335374901341751</v>
      </c>
      <c r="M148" s="27">
        <v>13.935082508250824</v>
      </c>
      <c r="N148" s="34">
        <v>30.054216560509555</v>
      </c>
      <c r="AH148" s="50"/>
    </row>
    <row r="149" spans="1:34" x14ac:dyDescent="0.35">
      <c r="A149" s="82">
        <v>146</v>
      </c>
      <c r="B149" s="89" t="str">
        <f>_xlfn.XLOOKUP(A149,'Model Modeshare by TAZ'!A:A,'Model Modeshare by TAZ'!B:B)</f>
        <v>Gilroy</v>
      </c>
      <c r="C149" s="90" t="str">
        <f>_xlfn.XLOOKUP(A149,'Model Modeshare by TAZ'!A:A,'Model Modeshare by TAZ'!D:D)</f>
        <v>NO</v>
      </c>
      <c r="D149" s="27">
        <v>2683.31</v>
      </c>
      <c r="E149" s="27">
        <v>55077.98</v>
      </c>
      <c r="F149" s="27">
        <v>1891.98</v>
      </c>
      <c r="G149" s="27">
        <v>21423.42</v>
      </c>
      <c r="H149" s="27">
        <v>444.16</v>
      </c>
      <c r="I149" s="27">
        <v>4801.95</v>
      </c>
      <c r="J149" s="6">
        <v>1361</v>
      </c>
      <c r="K149" s="6">
        <v>333</v>
      </c>
      <c r="L149" s="27">
        <v>15.740940484937544</v>
      </c>
      <c r="M149" s="27">
        <v>14.420270270270271</v>
      </c>
      <c r="N149" s="34">
        <v>23.12917945690673</v>
      </c>
      <c r="S149" s="51"/>
      <c r="T149" s="51"/>
      <c r="U149" s="51"/>
      <c r="AH149" s="50"/>
    </row>
    <row r="150" spans="1:34" x14ac:dyDescent="0.35">
      <c r="A150" s="82">
        <v>147</v>
      </c>
      <c r="B150" s="89" t="str">
        <f>_xlfn.XLOOKUP(A150,'Model Modeshare by TAZ'!A:A,'Model Modeshare by TAZ'!B:B)</f>
        <v>Gilroy</v>
      </c>
      <c r="C150" s="90" t="str">
        <f>_xlfn.XLOOKUP(A150,'Model Modeshare by TAZ'!A:A,'Model Modeshare by TAZ'!D:D)</f>
        <v>NO</v>
      </c>
      <c r="D150" s="27">
        <v>10502.76</v>
      </c>
      <c r="E150" s="27">
        <v>255942.95</v>
      </c>
      <c r="F150" s="27">
        <v>10291.030000000001</v>
      </c>
      <c r="G150" s="27">
        <v>140960.65</v>
      </c>
      <c r="H150" s="27">
        <v>56.57</v>
      </c>
      <c r="I150" s="27">
        <v>641.08000000000004</v>
      </c>
      <c r="J150" s="6">
        <v>5960</v>
      </c>
      <c r="K150" s="6">
        <v>34</v>
      </c>
      <c r="L150" s="27">
        <v>23.65111577181208</v>
      </c>
      <c r="M150" s="27">
        <v>18.855294117647059</v>
      </c>
      <c r="N150" s="34">
        <v>31.428193193193191</v>
      </c>
      <c r="S150" s="51"/>
      <c r="T150" s="51"/>
      <c r="AH150" s="50"/>
    </row>
    <row r="151" spans="1:34" x14ac:dyDescent="0.35">
      <c r="A151" s="82">
        <v>148</v>
      </c>
      <c r="B151" s="89" t="str">
        <f>_xlfn.XLOOKUP(A151,'Model Modeshare by TAZ'!A:A,'Model Modeshare by TAZ'!B:B)</f>
        <v>Gilroy</v>
      </c>
      <c r="C151" s="90" t="str">
        <f>_xlfn.XLOOKUP(A151,'Model Modeshare by TAZ'!A:A,'Model Modeshare by TAZ'!D:D)</f>
        <v>NO</v>
      </c>
      <c r="D151" s="27">
        <v>2197.5</v>
      </c>
      <c r="E151" s="27">
        <v>48451.55</v>
      </c>
      <c r="F151" s="27">
        <v>2477.83</v>
      </c>
      <c r="G151" s="27">
        <v>31658.87</v>
      </c>
      <c r="H151" s="27">
        <v>75.08</v>
      </c>
      <c r="I151" s="27">
        <v>748.45</v>
      </c>
      <c r="J151" s="6">
        <v>1443</v>
      </c>
      <c r="K151" s="6">
        <v>43</v>
      </c>
      <c r="L151" s="27">
        <v>21.939618849618849</v>
      </c>
      <c r="M151" s="27">
        <v>17.405813953488373</v>
      </c>
      <c r="N151" s="34">
        <v>28.496608344549124</v>
      </c>
      <c r="S151" s="51"/>
      <c r="T151" s="51"/>
      <c r="AH151" s="50"/>
    </row>
    <row r="152" spans="1:34" x14ac:dyDescent="0.35">
      <c r="A152" s="82">
        <v>149</v>
      </c>
      <c r="B152" s="89" t="str">
        <f>_xlfn.XLOOKUP(A152,'Model Modeshare by TAZ'!A:A,'Model Modeshare by TAZ'!B:B)</f>
        <v>Unincorporated</v>
      </c>
      <c r="C152" s="90" t="str">
        <f>_xlfn.XLOOKUP(A152,'Model Modeshare by TAZ'!A:A,'Model Modeshare by TAZ'!D:D)</f>
        <v>NO</v>
      </c>
      <c r="D152" s="27">
        <v>2109.0300000000002</v>
      </c>
      <c r="E152" s="27">
        <v>72470.179999999993</v>
      </c>
      <c r="F152" s="27">
        <v>769.87</v>
      </c>
      <c r="G152" s="27">
        <v>14568.29</v>
      </c>
      <c r="H152" s="27">
        <v>897.2</v>
      </c>
      <c r="I152" s="27">
        <v>14496.28</v>
      </c>
      <c r="J152" s="6">
        <v>428</v>
      </c>
      <c r="K152" s="6">
        <v>641</v>
      </c>
      <c r="L152" s="27">
        <v>34.03806074766355</v>
      </c>
      <c r="M152" s="27">
        <v>22.615101404056162</v>
      </c>
      <c r="N152" s="34">
        <v>54.742263797942002</v>
      </c>
      <c r="S152" s="51"/>
      <c r="AH152" s="50"/>
    </row>
    <row r="153" spans="1:34" x14ac:dyDescent="0.35">
      <c r="A153" s="82">
        <v>150</v>
      </c>
      <c r="B153" s="89" t="str">
        <f>_xlfn.XLOOKUP(A153,'Model Modeshare by TAZ'!A:A,'Model Modeshare by TAZ'!B:B)</f>
        <v>Gilroy</v>
      </c>
      <c r="C153" s="90" t="str">
        <f>_xlfn.XLOOKUP(A153,'Model Modeshare by TAZ'!A:A,'Model Modeshare by TAZ'!D:D)</f>
        <v>NO</v>
      </c>
      <c r="D153" s="27">
        <v>4310.08</v>
      </c>
      <c r="E153" s="27">
        <v>78906.289999999994</v>
      </c>
      <c r="F153" s="27">
        <v>3858.73</v>
      </c>
      <c r="G153" s="27">
        <v>38413.120000000003</v>
      </c>
      <c r="H153" s="27">
        <v>929.75</v>
      </c>
      <c r="I153" s="27">
        <v>9890.18</v>
      </c>
      <c r="J153" s="6">
        <v>2910</v>
      </c>
      <c r="K153" s="6">
        <v>927</v>
      </c>
      <c r="L153" s="27">
        <v>13.200384879725087</v>
      </c>
      <c r="M153" s="27">
        <v>10.669018338727076</v>
      </c>
      <c r="N153" s="34">
        <v>20.737190513421947</v>
      </c>
      <c r="S153" s="51"/>
      <c r="T153" s="51"/>
      <c r="AH153" s="50"/>
    </row>
    <row r="154" spans="1:34" x14ac:dyDescent="0.35">
      <c r="A154" s="82">
        <v>151</v>
      </c>
      <c r="B154" s="89" t="str">
        <f>_xlfn.XLOOKUP(A154,'Model Modeshare by TAZ'!A:A,'Model Modeshare by TAZ'!B:B)</f>
        <v>Gilroy</v>
      </c>
      <c r="C154" s="90" t="str">
        <f>_xlfn.XLOOKUP(A154,'Model Modeshare by TAZ'!A:A,'Model Modeshare by TAZ'!D:D)</f>
        <v>NO</v>
      </c>
      <c r="D154" s="27">
        <v>2215.86</v>
      </c>
      <c r="E154" s="27">
        <v>39884.15</v>
      </c>
      <c r="F154" s="27">
        <v>2225.7600000000002</v>
      </c>
      <c r="G154" s="27">
        <v>20188.64</v>
      </c>
      <c r="H154" s="27">
        <v>3.19</v>
      </c>
      <c r="I154" s="27">
        <v>27.86</v>
      </c>
      <c r="J154" s="6">
        <v>1589</v>
      </c>
      <c r="K154" s="6">
        <v>2</v>
      </c>
      <c r="L154" s="27">
        <v>12.705248584015104</v>
      </c>
      <c r="M154" s="27">
        <v>13.93</v>
      </c>
      <c r="N154" s="34">
        <v>15.918460087994973</v>
      </c>
      <c r="S154" s="51"/>
      <c r="T154" s="51"/>
      <c r="U154" s="51"/>
      <c r="AH154" s="50"/>
    </row>
    <row r="155" spans="1:34" x14ac:dyDescent="0.35">
      <c r="A155" s="82">
        <v>152</v>
      </c>
      <c r="B155" s="89" t="str">
        <f>_xlfn.XLOOKUP(A155,'Model Modeshare by TAZ'!A:A,'Model Modeshare by TAZ'!B:B)</f>
        <v>Gilroy</v>
      </c>
      <c r="C155" s="90" t="str">
        <f>_xlfn.XLOOKUP(A155,'Model Modeshare by TAZ'!A:A,'Model Modeshare by TAZ'!D:D)</f>
        <v>NO</v>
      </c>
      <c r="D155" s="27">
        <v>111.59</v>
      </c>
      <c r="E155" s="27">
        <v>2160.79</v>
      </c>
      <c r="F155" s="27">
        <v>14.67</v>
      </c>
      <c r="G155" s="27">
        <v>114.91</v>
      </c>
      <c r="H155" s="27">
        <v>104.7</v>
      </c>
      <c r="I155" s="27">
        <v>1233.18</v>
      </c>
      <c r="J155" s="6">
        <v>13</v>
      </c>
      <c r="K155" s="6">
        <v>79</v>
      </c>
      <c r="L155" s="27">
        <v>8.8392307692307686</v>
      </c>
      <c r="M155" s="27">
        <v>15.60987341772152</v>
      </c>
      <c r="N155" s="34">
        <v>32.719130434782606</v>
      </c>
      <c r="S155" s="51"/>
      <c r="T155" s="51"/>
      <c r="U155" s="51"/>
      <c r="AH155" s="50"/>
    </row>
    <row r="156" spans="1:34" x14ac:dyDescent="0.35">
      <c r="A156" s="82">
        <v>153</v>
      </c>
      <c r="B156" s="89" t="str">
        <f>_xlfn.XLOOKUP(A156,'Model Modeshare by TAZ'!A:A,'Model Modeshare by TAZ'!B:B)</f>
        <v>Gilroy</v>
      </c>
      <c r="C156" s="90" t="str">
        <f>_xlfn.XLOOKUP(A156,'Model Modeshare by TAZ'!A:A,'Model Modeshare by TAZ'!D:D)</f>
        <v>NO</v>
      </c>
      <c r="D156" s="27">
        <v>2708.27</v>
      </c>
      <c r="E156" s="27">
        <v>48499.65</v>
      </c>
      <c r="F156" s="27">
        <v>1630.06</v>
      </c>
      <c r="G156" s="27">
        <v>16162.03</v>
      </c>
      <c r="H156" s="27">
        <v>587.11</v>
      </c>
      <c r="I156" s="27">
        <v>6388.31</v>
      </c>
      <c r="J156" s="6">
        <v>1317</v>
      </c>
      <c r="K156" s="6">
        <v>589</v>
      </c>
      <c r="L156" s="27">
        <v>12.271852695520122</v>
      </c>
      <c r="M156" s="27">
        <v>10.846027164685909</v>
      </c>
      <c r="N156" s="34">
        <v>22.502759706190975</v>
      </c>
      <c r="S156" s="51"/>
      <c r="T156" s="51"/>
      <c r="AH156" s="50"/>
    </row>
    <row r="157" spans="1:34" x14ac:dyDescent="0.35">
      <c r="A157" s="82">
        <v>154</v>
      </c>
      <c r="B157" s="89" t="str">
        <f>_xlfn.XLOOKUP(A157,'Model Modeshare by TAZ'!A:A,'Model Modeshare by TAZ'!B:B)</f>
        <v>Gilroy</v>
      </c>
      <c r="C157" s="90" t="str">
        <f>_xlfn.XLOOKUP(A157,'Model Modeshare by TAZ'!A:A,'Model Modeshare by TAZ'!D:D)</f>
        <v>NO</v>
      </c>
      <c r="D157" s="27">
        <v>802.17</v>
      </c>
      <c r="E157" s="27">
        <v>11410.5</v>
      </c>
      <c r="F157" s="27">
        <v>420.78</v>
      </c>
      <c r="G157" s="27">
        <v>3729.81</v>
      </c>
      <c r="H157" s="27">
        <v>153.94</v>
      </c>
      <c r="I157" s="27">
        <v>1666.15</v>
      </c>
      <c r="J157" s="6">
        <v>326</v>
      </c>
      <c r="K157" s="6">
        <v>149</v>
      </c>
      <c r="L157" s="27">
        <v>11.441134969325153</v>
      </c>
      <c r="M157" s="27">
        <v>11.182214765100671</v>
      </c>
      <c r="N157" s="34">
        <v>18.490694736842105</v>
      </c>
      <c r="O157" s="51"/>
      <c r="R157" s="51"/>
      <c r="S157" s="51"/>
      <c r="T157" s="51"/>
      <c r="U157" s="51"/>
      <c r="X157" s="51"/>
      <c r="AH157" s="50"/>
    </row>
    <row r="158" spans="1:34" x14ac:dyDescent="0.35">
      <c r="A158" s="82">
        <v>155</v>
      </c>
      <c r="B158" s="89" t="str">
        <f>_xlfn.XLOOKUP(A158,'Model Modeshare by TAZ'!A:A,'Model Modeshare by TAZ'!B:B)</f>
        <v>Gilroy</v>
      </c>
      <c r="C158" s="90" t="str">
        <f>_xlfn.XLOOKUP(A158,'Model Modeshare by TAZ'!A:A,'Model Modeshare by TAZ'!D:D)</f>
        <v>NO</v>
      </c>
      <c r="D158" s="27">
        <v>1610.91</v>
      </c>
      <c r="E158" s="27">
        <v>24010.21</v>
      </c>
      <c r="F158" s="27">
        <v>1404.48</v>
      </c>
      <c r="G158" s="27">
        <v>11576.2</v>
      </c>
      <c r="H158" s="27">
        <v>57.65</v>
      </c>
      <c r="I158" s="27">
        <v>605.19000000000005</v>
      </c>
      <c r="J158" s="6">
        <v>1115</v>
      </c>
      <c r="K158" s="6">
        <v>36</v>
      </c>
      <c r="L158" s="27">
        <v>10.382242152466368</v>
      </c>
      <c r="M158" s="27">
        <v>16.810833333333335</v>
      </c>
      <c r="N158" s="34">
        <v>13.157549956559514</v>
      </c>
      <c r="S158" s="51"/>
      <c r="T158" s="51"/>
      <c r="AH158" s="50"/>
    </row>
    <row r="159" spans="1:34" x14ac:dyDescent="0.35">
      <c r="A159" s="82">
        <v>156</v>
      </c>
      <c r="B159" s="89" t="str">
        <f>_xlfn.XLOOKUP(A159,'Model Modeshare by TAZ'!A:A,'Model Modeshare by TAZ'!B:B)</f>
        <v>Gilroy</v>
      </c>
      <c r="C159" s="90" t="str">
        <f>_xlfn.XLOOKUP(A159,'Model Modeshare by TAZ'!A:A,'Model Modeshare by TAZ'!D:D)</f>
        <v>NO</v>
      </c>
      <c r="D159" s="27">
        <v>1775.28</v>
      </c>
      <c r="E159" s="27">
        <v>26639.85</v>
      </c>
      <c r="F159" s="27">
        <v>1581.17</v>
      </c>
      <c r="G159" s="27">
        <v>12575.79</v>
      </c>
      <c r="H159" s="27">
        <v>28.88</v>
      </c>
      <c r="I159" s="27">
        <v>313.16000000000003</v>
      </c>
      <c r="J159" s="6">
        <v>1310</v>
      </c>
      <c r="K159" s="6">
        <v>18</v>
      </c>
      <c r="L159" s="27">
        <v>9.5998396946564899</v>
      </c>
      <c r="M159" s="27">
        <v>17.39777777777778</v>
      </c>
      <c r="N159" s="34">
        <v>12.179126506024096</v>
      </c>
      <c r="AH159" s="50"/>
    </row>
    <row r="160" spans="1:34" x14ac:dyDescent="0.35">
      <c r="A160" s="82">
        <v>157</v>
      </c>
      <c r="B160" s="89" t="str">
        <f>_xlfn.XLOOKUP(A160,'Model Modeshare by TAZ'!A:A,'Model Modeshare by TAZ'!B:B)</f>
        <v>Gilroy</v>
      </c>
      <c r="C160" s="90" t="str">
        <f>_xlfn.XLOOKUP(A160,'Model Modeshare by TAZ'!A:A,'Model Modeshare by TAZ'!D:D)</f>
        <v>NO</v>
      </c>
      <c r="D160" s="27">
        <v>2914.36</v>
      </c>
      <c r="E160" s="27">
        <v>44988.29</v>
      </c>
      <c r="F160" s="27">
        <v>1671.17</v>
      </c>
      <c r="G160" s="27">
        <v>17879.28</v>
      </c>
      <c r="H160" s="27">
        <v>11.27</v>
      </c>
      <c r="I160" s="27">
        <v>123.9</v>
      </c>
      <c r="J160" s="6">
        <v>1202</v>
      </c>
      <c r="K160" s="6">
        <v>6</v>
      </c>
      <c r="L160" s="27">
        <v>14.874608985024958</v>
      </c>
      <c r="M160" s="27">
        <v>20.650000000000002</v>
      </c>
      <c r="N160" s="34">
        <v>26.092922185430464</v>
      </c>
      <c r="S160" s="51"/>
      <c r="T160" s="51"/>
      <c r="AH160" s="50"/>
    </row>
    <row r="161" spans="1:34" x14ac:dyDescent="0.35">
      <c r="A161" s="82">
        <v>158</v>
      </c>
      <c r="B161" s="89" t="str">
        <f>_xlfn.XLOOKUP(A161,'Model Modeshare by TAZ'!A:A,'Model Modeshare by TAZ'!B:B)</f>
        <v>Gilroy</v>
      </c>
      <c r="C161" s="90" t="str">
        <f>_xlfn.XLOOKUP(A161,'Model Modeshare by TAZ'!A:A,'Model Modeshare by TAZ'!D:D)</f>
        <v>NO</v>
      </c>
      <c r="D161" s="27">
        <v>1565.81</v>
      </c>
      <c r="E161" s="27">
        <v>24080.06</v>
      </c>
      <c r="F161" s="27">
        <v>1338.58</v>
      </c>
      <c r="G161" s="27">
        <v>11418.82</v>
      </c>
      <c r="H161" s="27">
        <v>386.01</v>
      </c>
      <c r="I161" s="27">
        <v>4336.4399999999996</v>
      </c>
      <c r="J161" s="6">
        <v>1041</v>
      </c>
      <c r="K161" s="6">
        <v>349</v>
      </c>
      <c r="L161" s="27">
        <v>10.969087415946206</v>
      </c>
      <c r="M161" s="27">
        <v>12.425329512893981</v>
      </c>
      <c r="N161" s="34">
        <v>16.839575539568344</v>
      </c>
      <c r="S161" s="51"/>
      <c r="T161" s="51"/>
      <c r="U161" s="51"/>
      <c r="AH161" s="50"/>
    </row>
    <row r="162" spans="1:34" x14ac:dyDescent="0.35">
      <c r="A162" s="82">
        <v>159</v>
      </c>
      <c r="B162" s="89" t="str">
        <f>_xlfn.XLOOKUP(A162,'Model Modeshare by TAZ'!A:A,'Model Modeshare by TAZ'!B:B)</f>
        <v>Gilroy</v>
      </c>
      <c r="C162" s="90" t="str">
        <f>_xlfn.XLOOKUP(A162,'Model Modeshare by TAZ'!A:A,'Model Modeshare by TAZ'!D:D)</f>
        <v>NO</v>
      </c>
      <c r="D162" s="27">
        <v>1202.67</v>
      </c>
      <c r="E162" s="27">
        <v>20342.7</v>
      </c>
      <c r="F162" s="27">
        <v>800.47</v>
      </c>
      <c r="G162" s="27">
        <v>7078.46</v>
      </c>
      <c r="H162" s="27">
        <v>349.99</v>
      </c>
      <c r="I162" s="27">
        <v>4169.47</v>
      </c>
      <c r="J162" s="6">
        <v>650</v>
      </c>
      <c r="K162" s="6">
        <v>358</v>
      </c>
      <c r="L162" s="27">
        <v>10.889938461538462</v>
      </c>
      <c r="M162" s="27">
        <v>11.646564245810056</v>
      </c>
      <c r="N162" s="34">
        <v>18.188581349206348</v>
      </c>
      <c r="S162" s="51"/>
      <c r="T162" s="51"/>
      <c r="AH162" s="50"/>
    </row>
    <row r="163" spans="1:34" x14ac:dyDescent="0.35">
      <c r="A163" s="82">
        <v>160</v>
      </c>
      <c r="B163" s="89" t="str">
        <f>_xlfn.XLOOKUP(A163,'Model Modeshare by TAZ'!A:A,'Model Modeshare by TAZ'!B:B)</f>
        <v>Gilroy</v>
      </c>
      <c r="C163" s="90" t="str">
        <f>_xlfn.XLOOKUP(A163,'Model Modeshare by TAZ'!A:A,'Model Modeshare by TAZ'!D:D)</f>
        <v>NO</v>
      </c>
      <c r="D163" s="27">
        <v>1001.43</v>
      </c>
      <c r="E163" s="27">
        <v>15150.88</v>
      </c>
      <c r="F163" s="27">
        <v>777.34</v>
      </c>
      <c r="G163" s="27">
        <v>5894.92</v>
      </c>
      <c r="H163" s="27">
        <v>51.21</v>
      </c>
      <c r="I163" s="27">
        <v>610.80999999999995</v>
      </c>
      <c r="J163" s="6">
        <v>599</v>
      </c>
      <c r="K163" s="6">
        <v>32</v>
      </c>
      <c r="L163" s="27">
        <v>9.8412687813021709</v>
      </c>
      <c r="M163" s="27">
        <v>19.087812499999998</v>
      </c>
      <c r="N163" s="34">
        <v>12.615594294770206</v>
      </c>
      <c r="S163" s="51"/>
      <c r="AH163" s="50"/>
    </row>
    <row r="164" spans="1:34" x14ac:dyDescent="0.35">
      <c r="A164" s="82">
        <v>161</v>
      </c>
      <c r="B164" s="89" t="str">
        <f>_xlfn.XLOOKUP(A164,'Model Modeshare by TAZ'!A:A,'Model Modeshare by TAZ'!B:B)</f>
        <v>Gilroy</v>
      </c>
      <c r="C164" s="90" t="str">
        <f>_xlfn.XLOOKUP(A164,'Model Modeshare by TAZ'!A:A,'Model Modeshare by TAZ'!D:D)</f>
        <v>NO</v>
      </c>
      <c r="D164" s="27">
        <v>848.48</v>
      </c>
      <c r="E164" s="27">
        <v>12524.46</v>
      </c>
      <c r="F164" s="27">
        <v>526.23</v>
      </c>
      <c r="G164" s="27">
        <v>4464.0200000000004</v>
      </c>
      <c r="H164" s="27">
        <v>240.23</v>
      </c>
      <c r="I164" s="27">
        <v>2701.8</v>
      </c>
      <c r="J164" s="6">
        <v>475</v>
      </c>
      <c r="K164" s="6">
        <v>252</v>
      </c>
      <c r="L164" s="27">
        <v>9.3979368421052634</v>
      </c>
      <c r="M164" s="27">
        <v>10.721428571428572</v>
      </c>
      <c r="N164" s="34">
        <v>15.876533700137552</v>
      </c>
      <c r="S164" s="51"/>
      <c r="T164" s="51"/>
      <c r="AH164" s="50"/>
    </row>
    <row r="165" spans="1:34" x14ac:dyDescent="0.35">
      <c r="A165" s="82">
        <v>162</v>
      </c>
      <c r="B165" s="89" t="str">
        <f>_xlfn.XLOOKUP(A165,'Model Modeshare by TAZ'!A:A,'Model Modeshare by TAZ'!B:B)</f>
        <v>Gilroy</v>
      </c>
      <c r="C165" s="90" t="str">
        <f>_xlfn.XLOOKUP(A165,'Model Modeshare by TAZ'!A:A,'Model Modeshare by TAZ'!D:D)</f>
        <v>NO</v>
      </c>
      <c r="D165" s="27">
        <v>1226.99</v>
      </c>
      <c r="E165" s="27">
        <v>21307.97</v>
      </c>
      <c r="F165" s="27">
        <v>763.68</v>
      </c>
      <c r="G165" s="27">
        <v>7065.23</v>
      </c>
      <c r="H165" s="27">
        <v>247.04</v>
      </c>
      <c r="I165" s="27">
        <v>2913.79</v>
      </c>
      <c r="J165" s="6">
        <v>739</v>
      </c>
      <c r="K165" s="6">
        <v>249</v>
      </c>
      <c r="L165" s="27">
        <v>9.5605277401894444</v>
      </c>
      <c r="M165" s="27">
        <v>11.701967871485943</v>
      </c>
      <c r="N165" s="34">
        <v>17.827419028340081</v>
      </c>
      <c r="S165" s="51"/>
      <c r="T165" s="51"/>
      <c r="U165" s="51"/>
      <c r="AH165" s="50"/>
    </row>
    <row r="166" spans="1:34" x14ac:dyDescent="0.35">
      <c r="A166" s="82">
        <v>163</v>
      </c>
      <c r="B166" s="89" t="str">
        <f>_xlfn.XLOOKUP(A166,'Model Modeshare by TAZ'!A:A,'Model Modeshare by TAZ'!B:B)</f>
        <v>Gilroy</v>
      </c>
      <c r="C166" s="90" t="str">
        <f>_xlfn.XLOOKUP(A166,'Model Modeshare by TAZ'!A:A,'Model Modeshare by TAZ'!D:D)</f>
        <v>NO</v>
      </c>
      <c r="D166" s="27">
        <v>714.94</v>
      </c>
      <c r="E166" s="27">
        <v>9016.69</v>
      </c>
      <c r="F166" s="27">
        <v>586.46</v>
      </c>
      <c r="G166" s="27">
        <v>4092.03</v>
      </c>
      <c r="H166" s="27">
        <v>9.6300000000000008</v>
      </c>
      <c r="I166" s="27">
        <v>116.4</v>
      </c>
      <c r="J166" s="6">
        <v>483</v>
      </c>
      <c r="K166" s="6">
        <v>6</v>
      </c>
      <c r="L166" s="27">
        <v>8.472111801242237</v>
      </c>
      <c r="M166" s="27">
        <v>19.400000000000002</v>
      </c>
      <c r="N166" s="34">
        <v>10.196216768916155</v>
      </c>
      <c r="S166" s="51"/>
      <c r="T166" s="51"/>
      <c r="AH166" s="50"/>
    </row>
    <row r="167" spans="1:34" x14ac:dyDescent="0.35">
      <c r="A167" s="82">
        <v>164</v>
      </c>
      <c r="B167" s="89" t="str">
        <f>_xlfn.XLOOKUP(A167,'Model Modeshare by TAZ'!A:A,'Model Modeshare by TAZ'!B:B)</f>
        <v>Gilroy</v>
      </c>
      <c r="C167" s="90" t="str">
        <f>_xlfn.XLOOKUP(A167,'Model Modeshare by TAZ'!A:A,'Model Modeshare by TAZ'!D:D)</f>
        <v>NO</v>
      </c>
      <c r="D167" s="27">
        <v>374.15</v>
      </c>
      <c r="E167" s="27">
        <v>5419.7</v>
      </c>
      <c r="F167" s="27">
        <v>322.76</v>
      </c>
      <c r="G167" s="27">
        <v>2516.5300000000002</v>
      </c>
      <c r="H167" s="27">
        <v>14.39</v>
      </c>
      <c r="I167" s="27">
        <v>183.62</v>
      </c>
      <c r="J167" s="6">
        <v>269</v>
      </c>
      <c r="K167" s="6">
        <v>12</v>
      </c>
      <c r="L167" s="27">
        <v>9.355130111524165</v>
      </c>
      <c r="M167" s="27">
        <v>15.301666666666668</v>
      </c>
      <c r="N167" s="34">
        <v>12.399252669039146</v>
      </c>
      <c r="S167" s="51"/>
      <c r="T167" s="51"/>
      <c r="AH167" s="50"/>
    </row>
    <row r="168" spans="1:34" x14ac:dyDescent="0.35">
      <c r="A168" s="82">
        <v>165</v>
      </c>
      <c r="B168" s="89" t="str">
        <f>_xlfn.XLOOKUP(A168,'Model Modeshare by TAZ'!A:A,'Model Modeshare by TAZ'!B:B)</f>
        <v>Gilroy</v>
      </c>
      <c r="C168" s="90" t="str">
        <f>_xlfn.XLOOKUP(A168,'Model Modeshare by TAZ'!A:A,'Model Modeshare by TAZ'!D:D)</f>
        <v>NO</v>
      </c>
      <c r="D168" s="27">
        <v>4006.93</v>
      </c>
      <c r="E168" s="27">
        <v>74855.63</v>
      </c>
      <c r="F168" s="27">
        <v>1632.55</v>
      </c>
      <c r="G168" s="27">
        <v>15539.88</v>
      </c>
      <c r="H168" s="27">
        <v>949.88</v>
      </c>
      <c r="I168" s="27">
        <v>11019.24</v>
      </c>
      <c r="J168" s="6">
        <v>1452</v>
      </c>
      <c r="K168" s="6">
        <v>942</v>
      </c>
      <c r="L168" s="27">
        <v>10.702396694214876</v>
      </c>
      <c r="M168" s="27">
        <v>11.697707006369427</v>
      </c>
      <c r="N168" s="34">
        <v>20.384862155388472</v>
      </c>
      <c r="R168" s="51"/>
      <c r="S168" s="51"/>
      <c r="T168" s="51"/>
      <c r="U168" s="51"/>
      <c r="X168" s="51"/>
      <c r="AH168" s="50"/>
    </row>
    <row r="169" spans="1:34" x14ac:dyDescent="0.35">
      <c r="A169" s="82">
        <v>166</v>
      </c>
      <c r="B169" s="89" t="str">
        <f>_xlfn.XLOOKUP(A169,'Model Modeshare by TAZ'!A:A,'Model Modeshare by TAZ'!B:B)</f>
        <v>Gilroy</v>
      </c>
      <c r="C169" s="90" t="str">
        <f>_xlfn.XLOOKUP(A169,'Model Modeshare by TAZ'!A:A,'Model Modeshare by TAZ'!D:D)</f>
        <v>NO</v>
      </c>
      <c r="D169" s="27">
        <v>248.36</v>
      </c>
      <c r="E169" s="27">
        <v>3789.22</v>
      </c>
      <c r="F169" s="27">
        <v>195.6</v>
      </c>
      <c r="G169" s="27">
        <v>1458.97</v>
      </c>
      <c r="H169" s="27">
        <v>16.57</v>
      </c>
      <c r="I169" s="27">
        <v>202.96</v>
      </c>
      <c r="J169" s="6">
        <v>179</v>
      </c>
      <c r="K169" s="6">
        <v>11</v>
      </c>
      <c r="L169" s="27">
        <v>8.1506703910614533</v>
      </c>
      <c r="M169" s="27">
        <v>18.450909090909093</v>
      </c>
      <c r="N169" s="34">
        <v>10.574105263157895</v>
      </c>
      <c r="R169" s="51"/>
      <c r="S169" s="51"/>
      <c r="T169" s="51"/>
      <c r="U169" s="51"/>
      <c r="X169" s="51"/>
      <c r="AH169" s="50"/>
    </row>
    <row r="170" spans="1:34" x14ac:dyDescent="0.35">
      <c r="A170" s="82">
        <v>167</v>
      </c>
      <c r="B170" s="89" t="str">
        <f>_xlfn.XLOOKUP(A170,'Model Modeshare by TAZ'!A:A,'Model Modeshare by TAZ'!B:B)</f>
        <v>Gilroy</v>
      </c>
      <c r="C170" s="90" t="str">
        <f>_xlfn.XLOOKUP(A170,'Model Modeshare by TAZ'!A:A,'Model Modeshare by TAZ'!D:D)</f>
        <v>NO</v>
      </c>
      <c r="D170" s="27">
        <v>5466.86</v>
      </c>
      <c r="E170" s="27">
        <v>134559.91</v>
      </c>
      <c r="F170" s="27">
        <v>151.19999999999999</v>
      </c>
      <c r="G170" s="27">
        <v>1627.55</v>
      </c>
      <c r="H170" s="27">
        <v>2155.39</v>
      </c>
      <c r="I170" s="27">
        <v>27992.55</v>
      </c>
      <c r="J170" s="6">
        <v>142</v>
      </c>
      <c r="K170" s="6">
        <v>1976</v>
      </c>
      <c r="L170" s="27">
        <v>11.461619718309858</v>
      </c>
      <c r="M170" s="27">
        <v>14.16627024291498</v>
      </c>
      <c r="N170" s="34">
        <v>42.599537299339005</v>
      </c>
      <c r="S170" s="51"/>
      <c r="T170" s="51"/>
      <c r="AH170" s="50"/>
    </row>
    <row r="171" spans="1:34" x14ac:dyDescent="0.35">
      <c r="A171" s="82">
        <v>168</v>
      </c>
      <c r="B171" s="89" t="str">
        <f>_xlfn.XLOOKUP(A171,'Model Modeshare by TAZ'!A:A,'Model Modeshare by TAZ'!B:B)</f>
        <v>Gilroy</v>
      </c>
      <c r="C171" s="90" t="str">
        <f>_xlfn.XLOOKUP(A171,'Model Modeshare by TAZ'!A:A,'Model Modeshare by TAZ'!D:D)</f>
        <v>NO</v>
      </c>
      <c r="D171" s="27">
        <v>3773.2</v>
      </c>
      <c r="E171" s="27">
        <v>71890.58</v>
      </c>
      <c r="F171" s="27">
        <v>2982.24</v>
      </c>
      <c r="G171" s="27">
        <v>30106.44</v>
      </c>
      <c r="H171" s="27">
        <v>483.5</v>
      </c>
      <c r="I171" s="27">
        <v>6197.58</v>
      </c>
      <c r="J171" s="6">
        <v>2157</v>
      </c>
      <c r="K171" s="6">
        <v>294</v>
      </c>
      <c r="L171" s="27">
        <v>13.957552155771905</v>
      </c>
      <c r="M171" s="27">
        <v>21.080204081632655</v>
      </c>
      <c r="N171" s="34">
        <v>23.890350877192983</v>
      </c>
      <c r="S171" s="51"/>
      <c r="T171" s="51"/>
      <c r="AH171" s="50"/>
    </row>
    <row r="172" spans="1:34" x14ac:dyDescent="0.35">
      <c r="A172" s="82">
        <v>169</v>
      </c>
      <c r="B172" s="89" t="str">
        <f>_xlfn.XLOOKUP(A172,'Model Modeshare by TAZ'!A:A,'Model Modeshare by TAZ'!B:B)</f>
        <v>Gilroy</v>
      </c>
      <c r="C172" s="90" t="str">
        <f>_xlfn.XLOOKUP(A172,'Model Modeshare by TAZ'!A:A,'Model Modeshare by TAZ'!D:D)</f>
        <v>NO</v>
      </c>
      <c r="D172" s="27">
        <v>2656.9</v>
      </c>
      <c r="E172" s="27">
        <v>56789.72</v>
      </c>
      <c r="F172" s="27">
        <v>1556.32</v>
      </c>
      <c r="G172" s="27">
        <v>17504.82</v>
      </c>
      <c r="H172" s="27">
        <v>30.43</v>
      </c>
      <c r="I172" s="27">
        <v>392.84</v>
      </c>
      <c r="J172" s="6">
        <v>1027</v>
      </c>
      <c r="K172" s="6">
        <v>17</v>
      </c>
      <c r="L172" s="27">
        <v>17.044615384615383</v>
      </c>
      <c r="M172" s="27">
        <v>23.108235294117645</v>
      </c>
      <c r="N172" s="34">
        <v>25.307892720306512</v>
      </c>
      <c r="O172" s="51"/>
      <c r="S172" s="51"/>
      <c r="T172" s="51"/>
      <c r="AH172" s="50"/>
    </row>
    <row r="173" spans="1:34" x14ac:dyDescent="0.35">
      <c r="A173" s="82">
        <v>170</v>
      </c>
      <c r="B173" s="89" t="str">
        <f>_xlfn.XLOOKUP(A173,'Model Modeshare by TAZ'!A:A,'Model Modeshare by TAZ'!B:B)</f>
        <v>Gilroy</v>
      </c>
      <c r="C173" s="90" t="str">
        <f>_xlfn.XLOOKUP(A173,'Model Modeshare by TAZ'!A:A,'Model Modeshare by TAZ'!D:D)</f>
        <v>NO</v>
      </c>
      <c r="D173" s="27">
        <v>744.52</v>
      </c>
      <c r="E173" s="27">
        <v>15281.06</v>
      </c>
      <c r="F173" s="27">
        <v>466.17</v>
      </c>
      <c r="G173" s="27">
        <v>5165.3500000000004</v>
      </c>
      <c r="H173" s="27">
        <v>116.17</v>
      </c>
      <c r="I173" s="27">
        <v>1364.16</v>
      </c>
      <c r="J173" s="6">
        <v>305</v>
      </c>
      <c r="K173" s="6">
        <v>91</v>
      </c>
      <c r="L173" s="27">
        <v>16.935573770491803</v>
      </c>
      <c r="M173" s="27">
        <v>14.990769230769232</v>
      </c>
      <c r="N173" s="34">
        <v>24.878560606060606</v>
      </c>
      <c r="S173" s="51"/>
      <c r="AH173" s="50"/>
    </row>
    <row r="174" spans="1:34" x14ac:dyDescent="0.35">
      <c r="A174" s="82">
        <v>171</v>
      </c>
      <c r="B174" s="89" t="str">
        <f>_xlfn.XLOOKUP(A174,'Model Modeshare by TAZ'!A:A,'Model Modeshare by TAZ'!B:B)</f>
        <v>Unincorporated</v>
      </c>
      <c r="C174" s="90" t="str">
        <f>_xlfn.XLOOKUP(A174,'Model Modeshare by TAZ'!A:A,'Model Modeshare by TAZ'!D:D)</f>
        <v>NO</v>
      </c>
      <c r="D174" s="27">
        <v>318.05</v>
      </c>
      <c r="E174" s="27">
        <v>9300.7199999999993</v>
      </c>
      <c r="F174" s="27">
        <v>281.97000000000003</v>
      </c>
      <c r="G174" s="27">
        <v>4221.2299999999996</v>
      </c>
      <c r="H174" s="27">
        <v>111.43</v>
      </c>
      <c r="I174" s="27">
        <v>1684.78</v>
      </c>
      <c r="J174" s="6">
        <v>153</v>
      </c>
      <c r="K174" s="6">
        <v>87</v>
      </c>
      <c r="L174" s="27">
        <v>27.589738562091501</v>
      </c>
      <c r="M174" s="27">
        <v>19.36528735632184</v>
      </c>
      <c r="N174" s="34">
        <v>37.753541666666671</v>
      </c>
      <c r="AH174" s="50"/>
    </row>
    <row r="175" spans="1:34" x14ac:dyDescent="0.35">
      <c r="A175" s="82">
        <v>172</v>
      </c>
      <c r="B175" s="89" t="str">
        <f>_xlfn.XLOOKUP(A175,'Model Modeshare by TAZ'!A:A,'Model Modeshare by TAZ'!B:B)</f>
        <v>Unincorporated</v>
      </c>
      <c r="C175" s="90" t="str">
        <f>_xlfn.XLOOKUP(A175,'Model Modeshare by TAZ'!A:A,'Model Modeshare by TAZ'!D:D)</f>
        <v>NO</v>
      </c>
      <c r="D175" s="27">
        <v>7507.24</v>
      </c>
      <c r="E175" s="27">
        <v>185725.07</v>
      </c>
      <c r="F175" s="27">
        <v>3873.28</v>
      </c>
      <c r="G175" s="27">
        <v>53280.1</v>
      </c>
      <c r="H175" s="27">
        <v>550.03</v>
      </c>
      <c r="I175" s="27">
        <v>7181.59</v>
      </c>
      <c r="J175" s="6">
        <v>2544</v>
      </c>
      <c r="K175" s="6">
        <v>300</v>
      </c>
      <c r="L175" s="27">
        <v>20.943435534591195</v>
      </c>
      <c r="M175" s="27">
        <v>23.938633333333335</v>
      </c>
      <c r="N175" s="34">
        <v>71.671687763713081</v>
      </c>
      <c r="AH175" s="50"/>
    </row>
    <row r="176" spans="1:34" x14ac:dyDescent="0.35">
      <c r="A176" s="82">
        <v>173</v>
      </c>
      <c r="B176" s="89" t="str">
        <f>_xlfn.XLOOKUP(A176,'Model Modeshare by TAZ'!A:A,'Model Modeshare by TAZ'!B:B)</f>
        <v>Unincorporated</v>
      </c>
      <c r="C176" s="90" t="str">
        <f>_xlfn.XLOOKUP(A176,'Model Modeshare by TAZ'!A:A,'Model Modeshare by TAZ'!D:D)</f>
        <v>NO</v>
      </c>
      <c r="D176" s="27">
        <v>7796.25</v>
      </c>
      <c r="E176" s="27">
        <v>223911.13</v>
      </c>
      <c r="F176" s="27">
        <v>78.31</v>
      </c>
      <c r="G176" s="27">
        <v>1192.26</v>
      </c>
      <c r="H176" s="27">
        <v>2094.58</v>
      </c>
      <c r="I176" s="27">
        <v>30834.68</v>
      </c>
      <c r="J176" s="6">
        <v>49</v>
      </c>
      <c r="K176" s="6">
        <v>1673</v>
      </c>
      <c r="L176" s="27">
        <v>24.331836734693876</v>
      </c>
      <c r="M176" s="27">
        <v>18.430771069934249</v>
      </c>
      <c r="N176" s="34">
        <v>61.41189895470383</v>
      </c>
      <c r="S176" s="51"/>
      <c r="T176" s="51"/>
      <c r="AH176" s="50"/>
    </row>
    <row r="177" spans="1:34" x14ac:dyDescent="0.35">
      <c r="A177" s="82">
        <v>174</v>
      </c>
      <c r="B177" s="89" t="str">
        <f>_xlfn.XLOOKUP(A177,'Model Modeshare by TAZ'!A:A,'Model Modeshare by TAZ'!B:B)</f>
        <v>Gilroy</v>
      </c>
      <c r="C177" s="90" t="str">
        <f>_xlfn.XLOOKUP(A177,'Model Modeshare by TAZ'!A:A,'Model Modeshare by TAZ'!D:D)</f>
        <v>NO</v>
      </c>
      <c r="D177" s="27">
        <v>4091.92</v>
      </c>
      <c r="E177" s="27">
        <v>137591.93</v>
      </c>
      <c r="F177" s="27">
        <v>246.06</v>
      </c>
      <c r="G177" s="27">
        <v>3926.96</v>
      </c>
      <c r="H177" s="27">
        <v>2808.1</v>
      </c>
      <c r="I177" s="27">
        <v>44531.11</v>
      </c>
      <c r="J177" s="6">
        <v>166</v>
      </c>
      <c r="K177" s="6">
        <v>2291</v>
      </c>
      <c r="L177" s="27">
        <v>23.656385542168675</v>
      </c>
      <c r="M177" s="27">
        <v>19.437411610650372</v>
      </c>
      <c r="N177" s="34">
        <v>58.139230769230771</v>
      </c>
      <c r="AH177" s="50"/>
    </row>
    <row r="178" spans="1:34" x14ac:dyDescent="0.35">
      <c r="A178" s="82">
        <v>175</v>
      </c>
      <c r="B178" s="89" t="str">
        <f>_xlfn.XLOOKUP(A178,'Model Modeshare by TAZ'!A:A,'Model Modeshare by TAZ'!B:B)</f>
        <v>Unincorporated</v>
      </c>
      <c r="C178" s="90" t="str">
        <f>_xlfn.XLOOKUP(A178,'Model Modeshare by TAZ'!A:A,'Model Modeshare by TAZ'!D:D)</f>
        <v>NO</v>
      </c>
      <c r="D178" s="27">
        <v>580.37</v>
      </c>
      <c r="E178" s="27">
        <v>22026.639999999999</v>
      </c>
      <c r="F178" s="27">
        <v>166.82</v>
      </c>
      <c r="G178" s="27">
        <v>3281.83</v>
      </c>
      <c r="H178" s="27">
        <v>176.94</v>
      </c>
      <c r="I178" s="27">
        <v>3114.81</v>
      </c>
      <c r="J178" s="6">
        <v>113</v>
      </c>
      <c r="K178" s="6">
        <v>133</v>
      </c>
      <c r="L178" s="27">
        <v>29.042743362831857</v>
      </c>
      <c r="M178" s="27">
        <v>23.419624060150376</v>
      </c>
      <c r="N178" s="34">
        <v>55.589878048780491</v>
      </c>
      <c r="AH178" s="50"/>
    </row>
    <row r="179" spans="1:34" x14ac:dyDescent="0.35">
      <c r="A179" s="82">
        <v>176</v>
      </c>
      <c r="B179" s="89" t="str">
        <f>_xlfn.XLOOKUP(A179,'Model Modeshare by TAZ'!A:A,'Model Modeshare by TAZ'!B:B)</f>
        <v>Gilroy</v>
      </c>
      <c r="C179" s="90" t="str">
        <f>_xlfn.XLOOKUP(A179,'Model Modeshare by TAZ'!A:A,'Model Modeshare by TAZ'!D:D)</f>
        <v>NO</v>
      </c>
      <c r="D179" s="27">
        <v>1447.59</v>
      </c>
      <c r="E179" s="27">
        <v>54610.43</v>
      </c>
      <c r="F179" s="27">
        <v>299.89</v>
      </c>
      <c r="G179" s="27">
        <v>5259.46</v>
      </c>
      <c r="H179" s="27">
        <v>2706.59</v>
      </c>
      <c r="I179" s="27">
        <v>46243.54</v>
      </c>
      <c r="J179" s="6">
        <v>195</v>
      </c>
      <c r="K179" s="6">
        <v>2124</v>
      </c>
      <c r="L179" s="27">
        <v>26.971589743589742</v>
      </c>
      <c r="M179" s="27">
        <v>21.771911487758945</v>
      </c>
      <c r="N179" s="34">
        <v>39.13808969383355</v>
      </c>
      <c r="S179" s="51"/>
      <c r="AH179" s="50"/>
    </row>
    <row r="180" spans="1:34" x14ac:dyDescent="0.35">
      <c r="A180" s="82">
        <v>177</v>
      </c>
      <c r="B180" s="89" t="str">
        <f>_xlfn.XLOOKUP(A180,'Model Modeshare by TAZ'!A:A,'Model Modeshare by TAZ'!B:B)</f>
        <v>Gilroy</v>
      </c>
      <c r="C180" s="90" t="str">
        <f>_xlfn.XLOOKUP(A180,'Model Modeshare by TAZ'!A:A,'Model Modeshare by TAZ'!D:D)</f>
        <v>NO</v>
      </c>
      <c r="D180" s="27">
        <v>3973.34</v>
      </c>
      <c r="E180" s="27">
        <v>75982.02</v>
      </c>
      <c r="F180" s="27">
        <v>3228.36</v>
      </c>
      <c r="G180" s="27">
        <v>31767.88</v>
      </c>
      <c r="H180" s="27">
        <v>455.76</v>
      </c>
      <c r="I180" s="27">
        <v>5469.12</v>
      </c>
      <c r="J180" s="6">
        <v>2851</v>
      </c>
      <c r="K180" s="6">
        <v>292</v>
      </c>
      <c r="L180" s="27">
        <v>11.142714836899334</v>
      </c>
      <c r="M180" s="27">
        <v>18.72986301369863</v>
      </c>
      <c r="N180" s="34">
        <v>17.874648425071587</v>
      </c>
      <c r="S180" s="51"/>
      <c r="AH180" s="50"/>
    </row>
    <row r="181" spans="1:34" x14ac:dyDescent="0.35">
      <c r="A181" s="82">
        <v>178</v>
      </c>
      <c r="B181" s="89" t="str">
        <f>_xlfn.XLOOKUP(A181,'Model Modeshare by TAZ'!A:A,'Model Modeshare by TAZ'!B:B)</f>
        <v>Gilroy</v>
      </c>
      <c r="C181" s="90" t="str">
        <f>_xlfn.XLOOKUP(A181,'Model Modeshare by TAZ'!A:A,'Model Modeshare by TAZ'!D:D)</f>
        <v>NO</v>
      </c>
      <c r="D181" s="27">
        <v>676.62</v>
      </c>
      <c r="E181" s="27">
        <v>11678.55</v>
      </c>
      <c r="F181" s="27">
        <v>159.46</v>
      </c>
      <c r="G181" s="27">
        <v>1381.49</v>
      </c>
      <c r="H181" s="27">
        <v>556.04</v>
      </c>
      <c r="I181" s="27">
        <v>6769.81</v>
      </c>
      <c r="J181" s="6">
        <v>151</v>
      </c>
      <c r="K181" s="6">
        <v>604</v>
      </c>
      <c r="L181" s="27">
        <v>9.1489403973509926</v>
      </c>
      <c r="M181" s="27">
        <v>11.208294701986755</v>
      </c>
      <c r="N181" s="34">
        <v>23.896503311258279</v>
      </c>
      <c r="AH181" s="50"/>
    </row>
    <row r="182" spans="1:34" x14ac:dyDescent="0.35">
      <c r="A182" s="82">
        <v>179</v>
      </c>
      <c r="B182" s="89" t="str">
        <f>_xlfn.XLOOKUP(A182,'Model Modeshare by TAZ'!A:A,'Model Modeshare by TAZ'!B:B)</f>
        <v>Gilroy</v>
      </c>
      <c r="C182" s="90" t="str">
        <f>_xlfn.XLOOKUP(A182,'Model Modeshare by TAZ'!A:A,'Model Modeshare by TAZ'!D:D)</f>
        <v>NO</v>
      </c>
      <c r="D182" s="27">
        <v>408</v>
      </c>
      <c r="E182" s="27">
        <v>6952.43</v>
      </c>
      <c r="F182" s="27">
        <v>180.54</v>
      </c>
      <c r="G182" s="27">
        <v>1724.57</v>
      </c>
      <c r="H182" s="27">
        <v>133.63999999999999</v>
      </c>
      <c r="I182" s="27">
        <v>1712.74</v>
      </c>
      <c r="J182" s="6">
        <v>179</v>
      </c>
      <c r="K182" s="6">
        <v>141</v>
      </c>
      <c r="L182" s="27">
        <v>9.6344692737430169</v>
      </c>
      <c r="M182" s="27">
        <v>12.147092198581561</v>
      </c>
      <c r="N182" s="34">
        <v>22.5383125</v>
      </c>
      <c r="AH182" s="50"/>
    </row>
    <row r="183" spans="1:34" x14ac:dyDescent="0.35">
      <c r="A183" s="82">
        <v>180</v>
      </c>
      <c r="B183" s="89" t="str">
        <f>_xlfn.XLOOKUP(A183,'Model Modeshare by TAZ'!A:A,'Model Modeshare by TAZ'!B:B)</f>
        <v>Gilroy</v>
      </c>
      <c r="C183" s="90" t="str">
        <f>_xlfn.XLOOKUP(A183,'Model Modeshare by TAZ'!A:A,'Model Modeshare by TAZ'!D:D)</f>
        <v>NO</v>
      </c>
      <c r="D183" s="27">
        <v>884.82</v>
      </c>
      <c r="E183" s="27">
        <v>14007.5</v>
      </c>
      <c r="F183" s="27">
        <v>714.4</v>
      </c>
      <c r="G183" s="27">
        <v>6175.12</v>
      </c>
      <c r="H183" s="27">
        <v>322.12</v>
      </c>
      <c r="I183" s="27">
        <v>4081.45</v>
      </c>
      <c r="J183" s="6">
        <v>656</v>
      </c>
      <c r="K183" s="6">
        <v>333</v>
      </c>
      <c r="L183" s="27">
        <v>9.41329268292683</v>
      </c>
      <c r="M183" s="27">
        <v>12.256606606606606</v>
      </c>
      <c r="N183" s="34">
        <v>18.710808897876646</v>
      </c>
      <c r="S183" s="51"/>
      <c r="AH183" s="50"/>
    </row>
    <row r="184" spans="1:34" x14ac:dyDescent="0.35">
      <c r="A184" s="82">
        <v>181</v>
      </c>
      <c r="B184" s="89" t="str">
        <f>_xlfn.XLOOKUP(A184,'Model Modeshare by TAZ'!A:A,'Model Modeshare by TAZ'!B:B)</f>
        <v>Gilroy</v>
      </c>
      <c r="C184" s="90" t="str">
        <f>_xlfn.XLOOKUP(A184,'Model Modeshare by TAZ'!A:A,'Model Modeshare by TAZ'!D:D)</f>
        <v>NO</v>
      </c>
      <c r="D184" s="27">
        <v>1512.03</v>
      </c>
      <c r="E184" s="27">
        <v>30336.12</v>
      </c>
      <c r="F184" s="27">
        <v>1411.58</v>
      </c>
      <c r="G184" s="27">
        <v>15963.58</v>
      </c>
      <c r="H184" s="27">
        <v>89.45</v>
      </c>
      <c r="I184" s="27">
        <v>972.5</v>
      </c>
      <c r="J184" s="6">
        <v>995</v>
      </c>
      <c r="K184" s="6">
        <v>55</v>
      </c>
      <c r="L184" s="27">
        <v>16.043798994974875</v>
      </c>
      <c r="M184" s="27">
        <v>17.681818181818183</v>
      </c>
      <c r="N184" s="34">
        <v>22.242466666666665</v>
      </c>
      <c r="S184" s="51"/>
      <c r="T184" s="51"/>
      <c r="AH184" s="50"/>
    </row>
    <row r="185" spans="1:34" x14ac:dyDescent="0.35">
      <c r="A185" s="82">
        <v>182</v>
      </c>
      <c r="B185" s="89" t="str">
        <f>_xlfn.XLOOKUP(A185,'Model Modeshare by TAZ'!A:A,'Model Modeshare by TAZ'!B:B)</f>
        <v>Unincorporated</v>
      </c>
      <c r="C185" s="90" t="str">
        <f>_xlfn.XLOOKUP(A185,'Model Modeshare by TAZ'!A:A,'Model Modeshare by TAZ'!D:D)</f>
        <v>NO</v>
      </c>
      <c r="D185" s="27">
        <v>617.62</v>
      </c>
      <c r="E185" s="27">
        <v>21067.38</v>
      </c>
      <c r="F185" s="27">
        <v>623.23</v>
      </c>
      <c r="G185" s="27">
        <v>10950.82</v>
      </c>
      <c r="H185" s="27">
        <v>127.16</v>
      </c>
      <c r="I185" s="27">
        <v>2102.69</v>
      </c>
      <c r="J185" s="6">
        <v>392</v>
      </c>
      <c r="K185" s="6">
        <v>78</v>
      </c>
      <c r="L185" s="27">
        <v>27.935765306122448</v>
      </c>
      <c r="M185" s="27">
        <v>26.957564102564103</v>
      </c>
      <c r="N185" s="34">
        <v>40.484531914893616</v>
      </c>
      <c r="R185" s="51"/>
      <c r="S185" s="51"/>
      <c r="T185" s="51"/>
      <c r="U185" s="51"/>
      <c r="X185" s="51"/>
      <c r="AH185" s="50"/>
    </row>
    <row r="186" spans="1:34" x14ac:dyDescent="0.35">
      <c r="A186" s="82">
        <v>183</v>
      </c>
      <c r="B186" s="89" t="str">
        <f>_xlfn.XLOOKUP(A186,'Model Modeshare by TAZ'!A:A,'Model Modeshare by TAZ'!B:B)</f>
        <v>Unincorporated</v>
      </c>
      <c r="C186" s="90" t="str">
        <f>_xlfn.XLOOKUP(A186,'Model Modeshare by TAZ'!A:A,'Model Modeshare by TAZ'!D:D)</f>
        <v>NO</v>
      </c>
      <c r="D186" s="27">
        <v>410.61</v>
      </c>
      <c r="E186" s="27">
        <v>11864.64</v>
      </c>
      <c r="F186" s="27">
        <v>348.78</v>
      </c>
      <c r="G186" s="27">
        <v>5505.06</v>
      </c>
      <c r="H186" s="27">
        <v>158.4</v>
      </c>
      <c r="I186" s="27">
        <v>2173.36</v>
      </c>
      <c r="J186" s="6">
        <v>221</v>
      </c>
      <c r="K186" s="6">
        <v>124</v>
      </c>
      <c r="L186" s="27">
        <v>24.909773755656111</v>
      </c>
      <c r="M186" s="27">
        <v>17.527096774193549</v>
      </c>
      <c r="N186" s="34">
        <v>30.873739130434785</v>
      </c>
      <c r="S186" s="51"/>
      <c r="T186" s="51"/>
      <c r="AH186" s="50"/>
    </row>
    <row r="187" spans="1:34" x14ac:dyDescent="0.35">
      <c r="A187" s="82">
        <v>184</v>
      </c>
      <c r="B187" s="89" t="str">
        <f>_xlfn.XLOOKUP(A187,'Model Modeshare by TAZ'!A:A,'Model Modeshare by TAZ'!B:B)</f>
        <v>Unincorporated</v>
      </c>
      <c r="C187" s="90" t="str">
        <f>_xlfn.XLOOKUP(A187,'Model Modeshare by TAZ'!A:A,'Model Modeshare by TAZ'!D:D)</f>
        <v>NO</v>
      </c>
      <c r="D187" s="27">
        <v>202.96</v>
      </c>
      <c r="E187" s="27">
        <v>5324.76</v>
      </c>
      <c r="F187" s="27">
        <v>207.68</v>
      </c>
      <c r="G187" s="27">
        <v>3131.38</v>
      </c>
      <c r="H187" s="27">
        <v>56.57</v>
      </c>
      <c r="I187" s="27">
        <v>713.64</v>
      </c>
      <c r="J187" s="6">
        <v>132</v>
      </c>
      <c r="K187" s="6">
        <v>40</v>
      </c>
      <c r="L187" s="27">
        <v>23.722575757575758</v>
      </c>
      <c r="M187" s="27">
        <v>17.841000000000001</v>
      </c>
      <c r="N187" s="34">
        <v>30.794593023255814</v>
      </c>
      <c r="S187" s="51"/>
      <c r="T187" s="51"/>
      <c r="U187" s="51"/>
      <c r="AH187" s="50"/>
    </row>
    <row r="188" spans="1:34" x14ac:dyDescent="0.35">
      <c r="A188" s="82">
        <v>185</v>
      </c>
      <c r="B188" s="89" t="str">
        <f>_xlfn.XLOOKUP(A188,'Model Modeshare by TAZ'!A:A,'Model Modeshare by TAZ'!B:B)</f>
        <v>Unincorporated</v>
      </c>
      <c r="C188" s="90" t="str">
        <f>_xlfn.XLOOKUP(A188,'Model Modeshare by TAZ'!A:A,'Model Modeshare by TAZ'!D:D)</f>
        <v>NO</v>
      </c>
      <c r="D188" s="27">
        <v>1122.92</v>
      </c>
      <c r="E188" s="27">
        <v>31284.89</v>
      </c>
      <c r="F188" s="27">
        <v>213.69</v>
      </c>
      <c r="G188" s="27">
        <v>3353.76</v>
      </c>
      <c r="H188" s="27">
        <v>796.94</v>
      </c>
      <c r="I188" s="27">
        <v>11172.88</v>
      </c>
      <c r="J188" s="6">
        <v>142</v>
      </c>
      <c r="K188" s="6">
        <v>591</v>
      </c>
      <c r="L188" s="27">
        <v>23.618028169014085</v>
      </c>
      <c r="M188" s="27">
        <v>18.90504230118443</v>
      </c>
      <c r="N188" s="34">
        <v>36.668881309686221</v>
      </c>
      <c r="AH188" s="50"/>
    </row>
    <row r="189" spans="1:34" x14ac:dyDescent="0.35">
      <c r="A189" s="82">
        <v>186</v>
      </c>
      <c r="B189" s="89" t="str">
        <f>_xlfn.XLOOKUP(A189,'Model Modeshare by TAZ'!A:A,'Model Modeshare by TAZ'!B:B)</f>
        <v>Unincorporated</v>
      </c>
      <c r="C189" s="90" t="str">
        <f>_xlfn.XLOOKUP(A189,'Model Modeshare by TAZ'!A:A,'Model Modeshare by TAZ'!D:D)</f>
        <v>NO</v>
      </c>
      <c r="D189" s="27">
        <v>150.13</v>
      </c>
      <c r="E189" s="27">
        <v>4244.46</v>
      </c>
      <c r="F189" s="27">
        <v>139.26</v>
      </c>
      <c r="G189" s="27">
        <v>2094.0300000000002</v>
      </c>
      <c r="H189" s="27">
        <v>38.119999999999997</v>
      </c>
      <c r="I189" s="27">
        <v>505.67</v>
      </c>
      <c r="J189" s="6">
        <v>89</v>
      </c>
      <c r="K189" s="6">
        <v>24</v>
      </c>
      <c r="L189" s="27">
        <v>23.528426966292137</v>
      </c>
      <c r="M189" s="27">
        <v>21.069583333333334</v>
      </c>
      <c r="N189" s="34">
        <v>31.481946902654869</v>
      </c>
      <c r="S189" s="51"/>
      <c r="AH189" s="50"/>
    </row>
    <row r="190" spans="1:34" x14ac:dyDescent="0.35">
      <c r="A190" s="82">
        <v>187</v>
      </c>
      <c r="B190" s="89" t="str">
        <f>_xlfn.XLOOKUP(A190,'Model Modeshare by TAZ'!A:A,'Model Modeshare by TAZ'!B:B)</f>
        <v>Gilroy</v>
      </c>
      <c r="C190" s="90" t="str">
        <f>_xlfn.XLOOKUP(A190,'Model Modeshare by TAZ'!A:A,'Model Modeshare by TAZ'!D:D)</f>
        <v>NO</v>
      </c>
      <c r="D190" s="27">
        <v>2112.34</v>
      </c>
      <c r="E190" s="27">
        <v>44219.77</v>
      </c>
      <c r="F190" s="27">
        <v>677.85</v>
      </c>
      <c r="G190" s="27">
        <v>6912.61</v>
      </c>
      <c r="H190" s="27">
        <v>1911.67</v>
      </c>
      <c r="I190" s="27">
        <v>23445.17</v>
      </c>
      <c r="J190" s="6">
        <v>584</v>
      </c>
      <c r="K190" s="6">
        <v>1752</v>
      </c>
      <c r="L190" s="27">
        <v>11.836660958904108</v>
      </c>
      <c r="M190" s="27">
        <v>13.381946347031963</v>
      </c>
      <c r="N190" s="34">
        <v>25.768912671232876</v>
      </c>
      <c r="AH190" s="50"/>
    </row>
    <row r="191" spans="1:34" x14ac:dyDescent="0.35">
      <c r="A191" s="82">
        <v>188</v>
      </c>
      <c r="B191" s="89" t="str">
        <f>_xlfn.XLOOKUP(A191,'Model Modeshare by TAZ'!A:A,'Model Modeshare by TAZ'!B:B)</f>
        <v>Gilroy</v>
      </c>
      <c r="C191" s="90" t="str">
        <f>_xlfn.XLOOKUP(A191,'Model Modeshare by TAZ'!A:A,'Model Modeshare by TAZ'!D:D)</f>
        <v>NO</v>
      </c>
      <c r="D191" s="27">
        <v>526.87</v>
      </c>
      <c r="E191" s="27">
        <v>11926.19</v>
      </c>
      <c r="F191" s="27">
        <v>577.66</v>
      </c>
      <c r="G191" s="27">
        <v>7282.89</v>
      </c>
      <c r="H191" s="27">
        <v>66.180000000000007</v>
      </c>
      <c r="I191" s="27">
        <v>780.91</v>
      </c>
      <c r="J191" s="6">
        <v>556</v>
      </c>
      <c r="K191" s="6">
        <v>38</v>
      </c>
      <c r="L191" s="27">
        <v>13.098723021582735</v>
      </c>
      <c r="M191" s="27">
        <v>20.550263157894737</v>
      </c>
      <c r="N191" s="34">
        <v>20.705959595959595</v>
      </c>
      <c r="AH191" s="50"/>
    </row>
    <row r="192" spans="1:34" x14ac:dyDescent="0.35">
      <c r="A192" s="82">
        <v>189</v>
      </c>
      <c r="B192" s="89" t="str">
        <f>_xlfn.XLOOKUP(A192,'Model Modeshare by TAZ'!A:A,'Model Modeshare by TAZ'!B:B)</f>
        <v>Gilroy</v>
      </c>
      <c r="C192" s="90" t="str">
        <f>_xlfn.XLOOKUP(A192,'Model Modeshare by TAZ'!A:A,'Model Modeshare by TAZ'!D:D)</f>
        <v>NO</v>
      </c>
      <c r="D192" s="27">
        <v>2449.61</v>
      </c>
      <c r="E192" s="27">
        <v>52900.26</v>
      </c>
      <c r="F192" s="27">
        <v>1918.48</v>
      </c>
      <c r="G192" s="27">
        <v>22100.560000000001</v>
      </c>
      <c r="H192" s="27">
        <v>685.09</v>
      </c>
      <c r="I192" s="27">
        <v>8471.09</v>
      </c>
      <c r="J192" s="6">
        <v>1542</v>
      </c>
      <c r="K192" s="6">
        <v>651</v>
      </c>
      <c r="L192" s="27">
        <v>14.332399481193256</v>
      </c>
      <c r="M192" s="27">
        <v>13.012427035330262</v>
      </c>
      <c r="N192" s="34">
        <v>27.777884176926584</v>
      </c>
      <c r="S192" s="51"/>
      <c r="AH192" s="50"/>
    </row>
    <row r="193" spans="1:34" x14ac:dyDescent="0.35">
      <c r="A193" s="82">
        <v>190</v>
      </c>
      <c r="B193" s="89" t="str">
        <f>_xlfn.XLOOKUP(A193,'Model Modeshare by TAZ'!A:A,'Model Modeshare by TAZ'!B:B)</f>
        <v>Gilroy</v>
      </c>
      <c r="C193" s="90" t="str">
        <f>_xlfn.XLOOKUP(A193,'Model Modeshare by TAZ'!A:A,'Model Modeshare by TAZ'!D:D)</f>
        <v>NO</v>
      </c>
      <c r="D193" s="27">
        <v>2121.69</v>
      </c>
      <c r="E193" s="27">
        <v>48107.040000000001</v>
      </c>
      <c r="F193" s="27">
        <v>2271.96</v>
      </c>
      <c r="G193" s="27">
        <v>28027.55</v>
      </c>
      <c r="H193" s="27">
        <v>28.63</v>
      </c>
      <c r="I193" s="27">
        <v>324.77</v>
      </c>
      <c r="J193" s="6">
        <v>1715</v>
      </c>
      <c r="K193" s="6">
        <v>17</v>
      </c>
      <c r="L193" s="27">
        <v>16.342594752186589</v>
      </c>
      <c r="M193" s="27">
        <v>19.104117647058821</v>
      </c>
      <c r="N193" s="34">
        <v>23.350785219399537</v>
      </c>
      <c r="S193" s="51"/>
      <c r="T193" s="51"/>
      <c r="U193" s="51"/>
      <c r="AH193" s="50"/>
    </row>
    <row r="194" spans="1:34" x14ac:dyDescent="0.35">
      <c r="A194" s="82">
        <v>191</v>
      </c>
      <c r="B194" s="89" t="str">
        <f>_xlfn.XLOOKUP(A194,'Model Modeshare by TAZ'!A:A,'Model Modeshare by TAZ'!B:B)</f>
        <v>Gilroy</v>
      </c>
      <c r="C194" s="90" t="str">
        <f>_xlfn.XLOOKUP(A194,'Model Modeshare by TAZ'!A:A,'Model Modeshare by TAZ'!D:D)</f>
        <v>NO</v>
      </c>
      <c r="D194" s="27">
        <v>2221.87</v>
      </c>
      <c r="E194" s="27">
        <v>41887.120000000003</v>
      </c>
      <c r="F194" s="27">
        <v>1356.8</v>
      </c>
      <c r="G194" s="27">
        <v>14256.16</v>
      </c>
      <c r="H194" s="27">
        <v>261.62</v>
      </c>
      <c r="I194" s="27">
        <v>2971.93</v>
      </c>
      <c r="J194" s="6">
        <v>1137</v>
      </c>
      <c r="K194" s="6">
        <v>160</v>
      </c>
      <c r="L194" s="27">
        <v>12.538399296394019</v>
      </c>
      <c r="M194" s="27">
        <v>18.574562499999999</v>
      </c>
      <c r="N194" s="34">
        <v>21.555289128758673</v>
      </c>
      <c r="AH194" s="50"/>
    </row>
    <row r="195" spans="1:34" x14ac:dyDescent="0.35">
      <c r="A195" s="82">
        <v>192</v>
      </c>
      <c r="B195" s="89" t="str">
        <f>_xlfn.XLOOKUP(A195,'Model Modeshare by TAZ'!A:A,'Model Modeshare by TAZ'!B:B)</f>
        <v>Gilroy</v>
      </c>
      <c r="C195" s="90" t="str">
        <f>_xlfn.XLOOKUP(A195,'Model Modeshare by TAZ'!A:A,'Model Modeshare by TAZ'!D:D)</f>
        <v>NO</v>
      </c>
      <c r="D195" s="27">
        <v>1244</v>
      </c>
      <c r="E195" s="27">
        <v>23171.79</v>
      </c>
      <c r="F195" s="27">
        <v>301.99</v>
      </c>
      <c r="G195" s="27">
        <v>3293.28</v>
      </c>
      <c r="H195" s="27">
        <v>305.58999999999997</v>
      </c>
      <c r="I195" s="27">
        <v>3710.7</v>
      </c>
      <c r="J195" s="6">
        <v>320</v>
      </c>
      <c r="K195" s="6">
        <v>303</v>
      </c>
      <c r="L195" s="27">
        <v>10.291500000000001</v>
      </c>
      <c r="M195" s="27">
        <v>12.246534653465346</v>
      </c>
      <c r="N195" s="34">
        <v>26.778780096308186</v>
      </c>
      <c r="O195" s="51"/>
      <c r="S195" s="51"/>
      <c r="T195" s="51"/>
      <c r="AH195" s="50"/>
    </row>
    <row r="196" spans="1:34" x14ac:dyDescent="0.35">
      <c r="A196" s="82">
        <v>193</v>
      </c>
      <c r="B196" s="89" t="str">
        <f>_xlfn.XLOOKUP(A196,'Model Modeshare by TAZ'!A:A,'Model Modeshare by TAZ'!B:B)</f>
        <v>Gilroy</v>
      </c>
      <c r="C196" s="90" t="str">
        <f>_xlfn.XLOOKUP(A196,'Model Modeshare by TAZ'!A:A,'Model Modeshare by TAZ'!D:D)</f>
        <v>NO</v>
      </c>
      <c r="D196" s="27">
        <v>6047.03</v>
      </c>
      <c r="E196" s="27">
        <v>105886.61</v>
      </c>
      <c r="F196" s="27">
        <v>1955.68</v>
      </c>
      <c r="G196" s="27">
        <v>20526.63</v>
      </c>
      <c r="H196" s="27">
        <v>799.53</v>
      </c>
      <c r="I196" s="27">
        <v>8842.08</v>
      </c>
      <c r="J196" s="6">
        <v>1589</v>
      </c>
      <c r="K196" s="6">
        <v>788</v>
      </c>
      <c r="L196" s="27">
        <v>12.917954688483324</v>
      </c>
      <c r="M196" s="27">
        <v>11.220913705583756</v>
      </c>
      <c r="N196" s="34">
        <v>31.925136726966766</v>
      </c>
      <c r="O196" s="51"/>
      <c r="S196" s="51"/>
      <c r="AH196" s="50"/>
    </row>
    <row r="197" spans="1:34" x14ac:dyDescent="0.35">
      <c r="A197" s="82">
        <v>194</v>
      </c>
      <c r="B197" s="89" t="str">
        <f>_xlfn.XLOOKUP(A197,'Model Modeshare by TAZ'!A:A,'Model Modeshare by TAZ'!B:B)</f>
        <v>Los Altos</v>
      </c>
      <c r="C197" s="90" t="str">
        <f>_xlfn.XLOOKUP(A197,'Model Modeshare by TAZ'!A:A,'Model Modeshare by TAZ'!D:D)</f>
        <v>NO</v>
      </c>
      <c r="D197" s="27">
        <v>5915.27</v>
      </c>
      <c r="E197" s="27">
        <v>135493.66</v>
      </c>
      <c r="F197" s="27">
        <v>11.71</v>
      </c>
      <c r="G197" s="27">
        <v>85.21</v>
      </c>
      <c r="H197" s="27">
        <v>3065.35</v>
      </c>
      <c r="I197" s="27">
        <v>46796.480000000003</v>
      </c>
      <c r="J197" s="6">
        <v>11</v>
      </c>
      <c r="K197" s="6">
        <v>2524</v>
      </c>
      <c r="L197" s="27">
        <v>7.7463636363636361</v>
      </c>
      <c r="M197" s="27">
        <v>18.540602218700478</v>
      </c>
      <c r="N197" s="34">
        <v>55.123530571992106</v>
      </c>
      <c r="AH197" s="50"/>
    </row>
    <row r="198" spans="1:34" x14ac:dyDescent="0.35">
      <c r="A198" s="82">
        <v>195</v>
      </c>
      <c r="B198" s="89" t="str">
        <f>_xlfn.XLOOKUP(A198,'Model Modeshare by TAZ'!A:A,'Model Modeshare by TAZ'!B:B)</f>
        <v>Los Altos</v>
      </c>
      <c r="C198" s="90" t="str">
        <f>_xlfn.XLOOKUP(A198,'Model Modeshare by TAZ'!A:A,'Model Modeshare by TAZ'!D:D)</f>
        <v>NO</v>
      </c>
      <c r="D198" s="27">
        <v>6986.76</v>
      </c>
      <c r="E198" s="27">
        <v>151540.92000000001</v>
      </c>
      <c r="F198" s="27">
        <v>639.88</v>
      </c>
      <c r="G198" s="27">
        <v>4151.92</v>
      </c>
      <c r="H198" s="27">
        <v>2920.8</v>
      </c>
      <c r="I198" s="27">
        <v>44261.29</v>
      </c>
      <c r="J198" s="6">
        <v>450</v>
      </c>
      <c r="K198" s="6">
        <v>2385</v>
      </c>
      <c r="L198" s="27">
        <v>9.2264888888888894</v>
      </c>
      <c r="M198" s="27">
        <v>18.558192872117402</v>
      </c>
      <c r="N198" s="34">
        <v>53.540469135802475</v>
      </c>
      <c r="AH198" s="50"/>
    </row>
    <row r="199" spans="1:34" x14ac:dyDescent="0.35">
      <c r="A199" s="82">
        <v>196</v>
      </c>
      <c r="B199" s="89" t="str">
        <f>_xlfn.XLOOKUP(A199,'Model Modeshare by TAZ'!A:A,'Model Modeshare by TAZ'!B:B)</f>
        <v>Los Altos</v>
      </c>
      <c r="C199" s="90" t="str">
        <f>_xlfn.XLOOKUP(A199,'Model Modeshare by TAZ'!A:A,'Model Modeshare by TAZ'!D:D)</f>
        <v>NO</v>
      </c>
      <c r="D199" s="27">
        <v>2087.92</v>
      </c>
      <c r="E199" s="27">
        <v>38096.36</v>
      </c>
      <c r="F199" s="27">
        <v>1373.93</v>
      </c>
      <c r="G199" s="27">
        <v>9252.0300000000007</v>
      </c>
      <c r="H199" s="27">
        <v>450.46</v>
      </c>
      <c r="I199" s="27">
        <v>6905.01</v>
      </c>
      <c r="J199" s="6">
        <v>922</v>
      </c>
      <c r="K199" s="6">
        <v>365</v>
      </c>
      <c r="L199" s="27">
        <v>10.034739696312364</v>
      </c>
      <c r="M199" s="27">
        <v>18.917835616438357</v>
      </c>
      <c r="N199" s="34">
        <v>27.326394716394717</v>
      </c>
      <c r="AH199" s="50"/>
    </row>
    <row r="200" spans="1:34" x14ac:dyDescent="0.35">
      <c r="A200" s="82">
        <v>197</v>
      </c>
      <c r="B200" s="89" t="str">
        <f>_xlfn.XLOOKUP(A200,'Model Modeshare by TAZ'!A:A,'Model Modeshare by TAZ'!B:B)</f>
        <v>Los Altos</v>
      </c>
      <c r="C200" s="90" t="str">
        <f>_xlfn.XLOOKUP(A200,'Model Modeshare by TAZ'!A:A,'Model Modeshare by TAZ'!D:D)</f>
        <v>NO</v>
      </c>
      <c r="D200" s="27">
        <v>9611.23</v>
      </c>
      <c r="E200" s="27">
        <v>190062.8</v>
      </c>
      <c r="F200" s="27">
        <v>2785.81</v>
      </c>
      <c r="G200" s="27">
        <v>15960.3</v>
      </c>
      <c r="H200" s="27">
        <v>1645.07</v>
      </c>
      <c r="I200" s="27">
        <v>24071.439999999999</v>
      </c>
      <c r="J200" s="6">
        <v>1844</v>
      </c>
      <c r="K200" s="6">
        <v>1346</v>
      </c>
      <c r="L200" s="27">
        <v>8.6552603036876352</v>
      </c>
      <c r="M200" s="27">
        <v>17.883684992570579</v>
      </c>
      <c r="N200" s="34">
        <v>38.077391849529782</v>
      </c>
      <c r="AH200" s="50"/>
    </row>
    <row r="201" spans="1:34" x14ac:dyDescent="0.35">
      <c r="A201" s="82">
        <v>198</v>
      </c>
      <c r="B201" s="89" t="str">
        <f>_xlfn.XLOOKUP(A201,'Model Modeshare by TAZ'!A:A,'Model Modeshare by TAZ'!B:B)</f>
        <v>Los Altos</v>
      </c>
      <c r="C201" s="90" t="str">
        <f>_xlfn.XLOOKUP(A201,'Model Modeshare by TAZ'!A:A,'Model Modeshare by TAZ'!D:D)</f>
        <v>NO</v>
      </c>
      <c r="D201" s="27">
        <v>1979.91</v>
      </c>
      <c r="E201" s="27">
        <v>32922.53</v>
      </c>
      <c r="F201" s="27">
        <v>1432.83</v>
      </c>
      <c r="G201" s="27">
        <v>8225.7099999999991</v>
      </c>
      <c r="H201" s="27">
        <v>235.74</v>
      </c>
      <c r="I201" s="27">
        <v>3501.87</v>
      </c>
      <c r="J201" s="6">
        <v>929</v>
      </c>
      <c r="K201" s="6">
        <v>138</v>
      </c>
      <c r="L201" s="27">
        <v>8.8543702906350905</v>
      </c>
      <c r="M201" s="27">
        <v>25.375869565217389</v>
      </c>
      <c r="N201" s="34">
        <v>22.37108716026242</v>
      </c>
      <c r="S201" s="51"/>
      <c r="AH201" s="50"/>
    </row>
    <row r="202" spans="1:34" x14ac:dyDescent="0.35">
      <c r="A202" s="82">
        <v>199</v>
      </c>
      <c r="B202" s="89" t="str">
        <f>_xlfn.XLOOKUP(A202,'Model Modeshare by TAZ'!A:A,'Model Modeshare by TAZ'!B:B)</f>
        <v>Los Altos</v>
      </c>
      <c r="C202" s="90" t="str">
        <f>_xlfn.XLOOKUP(A202,'Model Modeshare by TAZ'!A:A,'Model Modeshare by TAZ'!D:D)</f>
        <v>NO</v>
      </c>
      <c r="D202" s="27">
        <v>9264.2800000000007</v>
      </c>
      <c r="E202" s="27">
        <v>188309.66</v>
      </c>
      <c r="F202" s="27">
        <v>1356.92</v>
      </c>
      <c r="G202" s="27">
        <v>8107.51</v>
      </c>
      <c r="H202" s="27">
        <v>3235.87</v>
      </c>
      <c r="I202" s="27">
        <v>46721.93</v>
      </c>
      <c r="J202" s="6">
        <v>939</v>
      </c>
      <c r="K202" s="6">
        <v>2741</v>
      </c>
      <c r="L202" s="27">
        <v>8.6341959531416403</v>
      </c>
      <c r="M202" s="27">
        <v>17.045578256110907</v>
      </c>
      <c r="N202" s="34">
        <v>54.12813586956522</v>
      </c>
      <c r="S202" s="51"/>
      <c r="T202" s="51"/>
      <c r="AH202" s="50"/>
    </row>
    <row r="203" spans="1:34" x14ac:dyDescent="0.35">
      <c r="A203" s="82">
        <v>200</v>
      </c>
      <c r="B203" s="89" t="str">
        <f>_xlfn.XLOOKUP(A203,'Model Modeshare by TAZ'!A:A,'Model Modeshare by TAZ'!B:B)</f>
        <v>Los Altos</v>
      </c>
      <c r="C203" s="90" t="str">
        <f>_xlfn.XLOOKUP(A203,'Model Modeshare by TAZ'!A:A,'Model Modeshare by TAZ'!D:D)</f>
        <v>NO</v>
      </c>
      <c r="D203" s="27">
        <v>1633.69</v>
      </c>
      <c r="E203" s="27">
        <v>24531.16</v>
      </c>
      <c r="F203" s="27">
        <v>1182.07</v>
      </c>
      <c r="G203" s="27">
        <v>7194.93</v>
      </c>
      <c r="H203" s="27">
        <v>89.8</v>
      </c>
      <c r="I203" s="27">
        <v>1369.16</v>
      </c>
      <c r="J203" s="6">
        <v>744</v>
      </c>
      <c r="K203" s="6">
        <v>44</v>
      </c>
      <c r="L203" s="27">
        <v>9.6706048387096786</v>
      </c>
      <c r="M203" s="27">
        <v>31.117272727272731</v>
      </c>
      <c r="N203" s="34">
        <v>21.428934010152282</v>
      </c>
      <c r="O203" s="51"/>
      <c r="P203" s="51"/>
      <c r="R203" s="51"/>
      <c r="S203" s="51"/>
      <c r="T203" s="51"/>
      <c r="U203" s="51"/>
      <c r="X203" s="51"/>
      <c r="AH203" s="50"/>
    </row>
    <row r="204" spans="1:34" x14ac:dyDescent="0.35">
      <c r="A204" s="82">
        <v>201</v>
      </c>
      <c r="B204" s="89" t="str">
        <f>_xlfn.XLOOKUP(A204,'Model Modeshare by TAZ'!A:A,'Model Modeshare by TAZ'!B:B)</f>
        <v>Los Altos</v>
      </c>
      <c r="C204" s="90" t="str">
        <f>_xlfn.XLOOKUP(A204,'Model Modeshare by TAZ'!A:A,'Model Modeshare by TAZ'!D:D)</f>
        <v>NO</v>
      </c>
      <c r="D204" s="27">
        <v>4132.9799999999996</v>
      </c>
      <c r="E204" s="27">
        <v>59780.43</v>
      </c>
      <c r="F204" s="27">
        <v>2449.2199999999998</v>
      </c>
      <c r="G204" s="27">
        <v>15088.78</v>
      </c>
      <c r="H204" s="27">
        <v>205.22</v>
      </c>
      <c r="I204" s="27">
        <v>3089.86</v>
      </c>
      <c r="J204" s="6">
        <v>1546</v>
      </c>
      <c r="K204" s="6">
        <v>106</v>
      </c>
      <c r="L204" s="27">
        <v>9.7598835705045275</v>
      </c>
      <c r="M204" s="27">
        <v>29.149622641509435</v>
      </c>
      <c r="N204" s="34">
        <v>25.66377118644068</v>
      </c>
      <c r="R204" s="51"/>
      <c r="S204" s="51"/>
      <c r="T204" s="51"/>
      <c r="U204" s="51"/>
      <c r="X204" s="51"/>
      <c r="AH204" s="50"/>
    </row>
    <row r="205" spans="1:34" x14ac:dyDescent="0.35">
      <c r="A205" s="82">
        <v>202</v>
      </c>
      <c r="B205" s="89" t="str">
        <f>_xlfn.XLOOKUP(A205,'Model Modeshare by TAZ'!A:A,'Model Modeshare by TAZ'!B:B)</f>
        <v>Los Altos</v>
      </c>
      <c r="C205" s="90" t="str">
        <f>_xlfn.XLOOKUP(A205,'Model Modeshare by TAZ'!A:A,'Model Modeshare by TAZ'!D:D)</f>
        <v>NO</v>
      </c>
      <c r="D205" s="27">
        <v>2014.66</v>
      </c>
      <c r="E205" s="27">
        <v>37495.050000000003</v>
      </c>
      <c r="F205" s="27">
        <v>1551.32</v>
      </c>
      <c r="G205" s="27">
        <v>11008.59</v>
      </c>
      <c r="H205" s="27">
        <v>327.08</v>
      </c>
      <c r="I205" s="27">
        <v>5174.24</v>
      </c>
      <c r="J205" s="6">
        <v>971</v>
      </c>
      <c r="K205" s="6">
        <v>196</v>
      </c>
      <c r="L205" s="27">
        <v>11.337373841400618</v>
      </c>
      <c r="M205" s="27">
        <v>26.399183673469388</v>
      </c>
      <c r="N205" s="34">
        <v>28.740377035132816</v>
      </c>
      <c r="R205" s="51"/>
      <c r="S205" s="51"/>
      <c r="T205" s="51"/>
      <c r="U205" s="51"/>
      <c r="X205" s="51"/>
      <c r="AH205" s="50"/>
    </row>
    <row r="206" spans="1:34" x14ac:dyDescent="0.35">
      <c r="A206" s="82">
        <v>203</v>
      </c>
      <c r="B206" s="89" t="str">
        <f>_xlfn.XLOOKUP(A206,'Model Modeshare by TAZ'!A:A,'Model Modeshare by TAZ'!B:B)</f>
        <v>Los Altos</v>
      </c>
      <c r="C206" s="90" t="str">
        <f>_xlfn.XLOOKUP(A206,'Model Modeshare by TAZ'!A:A,'Model Modeshare by TAZ'!D:D)</f>
        <v>NO</v>
      </c>
      <c r="D206" s="27">
        <v>949.19</v>
      </c>
      <c r="E206" s="27">
        <v>17849.27</v>
      </c>
      <c r="F206" s="27">
        <v>837.05</v>
      </c>
      <c r="G206" s="27">
        <v>6386.89</v>
      </c>
      <c r="H206" s="27">
        <v>123.15</v>
      </c>
      <c r="I206" s="27">
        <v>2048.17</v>
      </c>
      <c r="J206" s="6">
        <v>549</v>
      </c>
      <c r="K206" s="6">
        <v>63</v>
      </c>
      <c r="L206" s="27">
        <v>11.633679417122041</v>
      </c>
      <c r="M206" s="27">
        <v>32.510634920634921</v>
      </c>
      <c r="N206" s="34">
        <v>26.178251633986928</v>
      </c>
      <c r="O206" s="51"/>
      <c r="P206" s="51"/>
      <c r="R206" s="51"/>
      <c r="S206" s="51"/>
      <c r="T206" s="51"/>
      <c r="AH206" s="50"/>
    </row>
    <row r="207" spans="1:34" x14ac:dyDescent="0.35">
      <c r="A207" s="82">
        <v>204</v>
      </c>
      <c r="B207" s="89" t="str">
        <f>_xlfn.XLOOKUP(A207,'Model Modeshare by TAZ'!A:A,'Model Modeshare by TAZ'!B:B)</f>
        <v>Cupertino</v>
      </c>
      <c r="C207" s="90" t="str">
        <f>_xlfn.XLOOKUP(A207,'Model Modeshare by TAZ'!A:A,'Model Modeshare by TAZ'!D:D)</f>
        <v>NO</v>
      </c>
      <c r="D207" s="27">
        <v>1042.17</v>
      </c>
      <c r="E207" s="27">
        <v>22237.11</v>
      </c>
      <c r="F207" s="27">
        <v>1484.33</v>
      </c>
      <c r="G207" s="27">
        <v>12711.06</v>
      </c>
      <c r="H207" s="27">
        <v>184.95</v>
      </c>
      <c r="I207" s="27">
        <v>2894.63</v>
      </c>
      <c r="J207" s="6">
        <v>971</v>
      </c>
      <c r="K207" s="6">
        <v>95</v>
      </c>
      <c r="L207" s="27">
        <v>13.09069001029866</v>
      </c>
      <c r="M207" s="27">
        <v>30.469789473684212</v>
      </c>
      <c r="N207" s="34">
        <v>29.918545966228891</v>
      </c>
      <c r="O207" s="51"/>
      <c r="S207" s="51"/>
      <c r="T207" s="51"/>
      <c r="AH207" s="50"/>
    </row>
    <row r="208" spans="1:34" x14ac:dyDescent="0.35">
      <c r="A208" s="82">
        <v>205</v>
      </c>
      <c r="B208" s="89" t="str">
        <f>_xlfn.XLOOKUP(A208,'Model Modeshare by TAZ'!A:A,'Model Modeshare by TAZ'!B:B)</f>
        <v>Los Altos</v>
      </c>
      <c r="C208" s="90" t="str">
        <f>_xlfn.XLOOKUP(A208,'Model Modeshare by TAZ'!A:A,'Model Modeshare by TAZ'!D:D)</f>
        <v>NO</v>
      </c>
      <c r="D208" s="27">
        <v>1235.58</v>
      </c>
      <c r="E208" s="27">
        <v>26730.09</v>
      </c>
      <c r="F208" s="27">
        <v>988.5</v>
      </c>
      <c r="G208" s="27">
        <v>8615.7800000000007</v>
      </c>
      <c r="H208" s="27">
        <v>267.56</v>
      </c>
      <c r="I208" s="27">
        <v>3708.59</v>
      </c>
      <c r="J208" s="6">
        <v>580</v>
      </c>
      <c r="K208" s="6">
        <v>137</v>
      </c>
      <c r="L208" s="27">
        <v>14.854793103448277</v>
      </c>
      <c r="M208" s="27">
        <v>27.07</v>
      </c>
      <c r="N208" s="34">
        <v>37.588354253835426</v>
      </c>
      <c r="O208" s="51"/>
      <c r="S208" s="51"/>
      <c r="T208" s="51"/>
      <c r="AH208" s="50"/>
    </row>
    <row r="209" spans="1:34" x14ac:dyDescent="0.35">
      <c r="A209" s="82">
        <v>206</v>
      </c>
      <c r="B209" s="89" t="str">
        <f>_xlfn.XLOOKUP(A209,'Model Modeshare by TAZ'!A:A,'Model Modeshare by TAZ'!B:B)</f>
        <v>Los Altos</v>
      </c>
      <c r="C209" s="90" t="str">
        <f>_xlfn.XLOOKUP(A209,'Model Modeshare by TAZ'!A:A,'Model Modeshare by TAZ'!D:D)</f>
        <v>NO</v>
      </c>
      <c r="D209" s="27">
        <v>1790.09</v>
      </c>
      <c r="E209" s="27">
        <v>39217.83</v>
      </c>
      <c r="F209" s="27">
        <v>1434.65</v>
      </c>
      <c r="G209" s="27">
        <v>12222.5</v>
      </c>
      <c r="H209" s="27">
        <v>403.51</v>
      </c>
      <c r="I209" s="27">
        <v>5580.78</v>
      </c>
      <c r="J209" s="6">
        <v>858</v>
      </c>
      <c r="K209" s="6">
        <v>207</v>
      </c>
      <c r="L209" s="27">
        <v>14.245337995337996</v>
      </c>
      <c r="M209" s="27">
        <v>26.960289855072464</v>
      </c>
      <c r="N209" s="34">
        <v>35.74294835680751</v>
      </c>
      <c r="S209" s="51"/>
      <c r="T209" s="51"/>
      <c r="AH209" s="50"/>
    </row>
    <row r="210" spans="1:34" x14ac:dyDescent="0.35">
      <c r="A210" s="82">
        <v>207</v>
      </c>
      <c r="B210" s="89" t="str">
        <f>_xlfn.XLOOKUP(A210,'Model Modeshare by TAZ'!A:A,'Model Modeshare by TAZ'!B:B)</f>
        <v>Los Altos</v>
      </c>
      <c r="C210" s="90" t="str">
        <f>_xlfn.XLOOKUP(A210,'Model Modeshare by TAZ'!A:A,'Model Modeshare by TAZ'!D:D)</f>
        <v>NO</v>
      </c>
      <c r="D210" s="27">
        <v>2824.17</v>
      </c>
      <c r="E210" s="27">
        <v>59698.06</v>
      </c>
      <c r="F210" s="27">
        <v>2639.1</v>
      </c>
      <c r="G210" s="27">
        <v>22724.98</v>
      </c>
      <c r="H210" s="27">
        <v>306.58999999999997</v>
      </c>
      <c r="I210" s="27">
        <v>4283.97</v>
      </c>
      <c r="J210" s="6">
        <v>1549</v>
      </c>
      <c r="K210" s="6">
        <v>135</v>
      </c>
      <c r="L210" s="27">
        <v>14.670742414460943</v>
      </c>
      <c r="M210" s="27">
        <v>31.733111111111114</v>
      </c>
      <c r="N210" s="34">
        <v>32.839934679334917</v>
      </c>
      <c r="R210" s="51"/>
      <c r="S210" s="51"/>
      <c r="T210" s="51"/>
      <c r="U210" s="51"/>
      <c r="X210" s="51"/>
      <c r="AH210" s="50"/>
    </row>
    <row r="211" spans="1:34" x14ac:dyDescent="0.35">
      <c r="A211" s="82">
        <v>208</v>
      </c>
      <c r="B211" s="89" t="str">
        <f>_xlfn.XLOOKUP(A211,'Model Modeshare by TAZ'!A:A,'Model Modeshare by TAZ'!B:B)</f>
        <v>Unincorporated</v>
      </c>
      <c r="C211" s="90" t="str">
        <f>_xlfn.XLOOKUP(A211,'Model Modeshare by TAZ'!A:A,'Model Modeshare by TAZ'!D:D)</f>
        <v>NO</v>
      </c>
      <c r="D211" s="27">
        <v>1742.19</v>
      </c>
      <c r="E211" s="27">
        <v>41757.33</v>
      </c>
      <c r="F211" s="27">
        <v>1036.95</v>
      </c>
      <c r="G211" s="27">
        <v>9092.9500000000007</v>
      </c>
      <c r="H211" s="27">
        <v>507.93</v>
      </c>
      <c r="I211" s="27">
        <v>8197.81</v>
      </c>
      <c r="J211" s="6">
        <v>619</v>
      </c>
      <c r="K211" s="6">
        <v>384</v>
      </c>
      <c r="L211" s="27">
        <v>14.689741518578353</v>
      </c>
      <c r="M211" s="27">
        <v>21.348463541666664</v>
      </c>
      <c r="N211" s="34">
        <v>43.952482552342964</v>
      </c>
      <c r="R211" s="51"/>
      <c r="S211" s="51"/>
      <c r="T211" s="51"/>
      <c r="U211" s="51"/>
      <c r="X211" s="51"/>
      <c r="AH211" s="50"/>
    </row>
    <row r="212" spans="1:34" x14ac:dyDescent="0.35">
      <c r="A212" s="82">
        <v>209</v>
      </c>
      <c r="B212" s="89" t="str">
        <f>_xlfn.XLOOKUP(A212,'Model Modeshare by TAZ'!A:A,'Model Modeshare by TAZ'!B:B)</f>
        <v>Los Altos</v>
      </c>
      <c r="C212" s="90" t="str">
        <f>_xlfn.XLOOKUP(A212,'Model Modeshare by TAZ'!A:A,'Model Modeshare by TAZ'!D:D)</f>
        <v>NO</v>
      </c>
      <c r="D212" s="27">
        <v>686.2</v>
      </c>
      <c r="E212" s="27">
        <v>12034</v>
      </c>
      <c r="F212" s="27">
        <v>705.29</v>
      </c>
      <c r="G212" s="27">
        <v>5493.4</v>
      </c>
      <c r="H212" s="27">
        <v>2.0499999999999998</v>
      </c>
      <c r="I212" s="27">
        <v>31.42</v>
      </c>
      <c r="J212" s="6">
        <v>431</v>
      </c>
      <c r="K212" s="6">
        <v>1</v>
      </c>
      <c r="L212" s="27">
        <v>12.745707656612527</v>
      </c>
      <c r="M212" s="27">
        <v>31.42</v>
      </c>
      <c r="N212" s="34">
        <v>23.721921296296298</v>
      </c>
      <c r="O212" s="51"/>
      <c r="R212" s="51"/>
      <c r="S212" s="51"/>
      <c r="T212" s="51"/>
      <c r="X212" s="51"/>
      <c r="AH212" s="50"/>
    </row>
    <row r="213" spans="1:34" x14ac:dyDescent="0.35">
      <c r="A213" s="82">
        <v>210</v>
      </c>
      <c r="B213" s="89" t="str">
        <f>_xlfn.XLOOKUP(A213,'Model Modeshare by TAZ'!A:A,'Model Modeshare by TAZ'!B:B)</f>
        <v>Los Altos</v>
      </c>
      <c r="C213" s="90" t="str">
        <f>_xlfn.XLOOKUP(A213,'Model Modeshare by TAZ'!A:A,'Model Modeshare by TAZ'!D:D)</f>
        <v>NO</v>
      </c>
      <c r="D213" s="27">
        <v>2262.92</v>
      </c>
      <c r="E213" s="27">
        <v>42737.57</v>
      </c>
      <c r="F213" s="27">
        <v>2145.4</v>
      </c>
      <c r="G213" s="27">
        <v>17212.43</v>
      </c>
      <c r="H213" s="27">
        <v>112.86</v>
      </c>
      <c r="I213" s="27">
        <v>1715.51</v>
      </c>
      <c r="J213" s="6">
        <v>1304</v>
      </c>
      <c r="K213" s="6">
        <v>59</v>
      </c>
      <c r="L213" s="27">
        <v>13.199716257668712</v>
      </c>
      <c r="M213" s="27">
        <v>29.076440677966101</v>
      </c>
      <c r="N213" s="34">
        <v>25.90068231841526</v>
      </c>
      <c r="O213" s="51"/>
      <c r="P213" s="51"/>
      <c r="S213" s="51"/>
      <c r="T213" s="51"/>
      <c r="AH213" s="50"/>
    </row>
    <row r="214" spans="1:34" x14ac:dyDescent="0.35">
      <c r="A214" s="82">
        <v>211</v>
      </c>
      <c r="B214" s="89" t="str">
        <f>_xlfn.XLOOKUP(A214,'Model Modeshare by TAZ'!A:A,'Model Modeshare by TAZ'!B:B)</f>
        <v>Los Altos</v>
      </c>
      <c r="C214" s="90" t="str">
        <f>_xlfn.XLOOKUP(A214,'Model Modeshare by TAZ'!A:A,'Model Modeshare by TAZ'!D:D)</f>
        <v>NO</v>
      </c>
      <c r="D214" s="27">
        <v>5849.53</v>
      </c>
      <c r="E214" s="27">
        <v>121234.32</v>
      </c>
      <c r="F214" s="27">
        <v>3071.55</v>
      </c>
      <c r="G214" s="27">
        <v>24140.39</v>
      </c>
      <c r="H214" s="27">
        <v>796.46</v>
      </c>
      <c r="I214" s="27">
        <v>11592.67</v>
      </c>
      <c r="J214" s="6">
        <v>1866</v>
      </c>
      <c r="K214" s="6">
        <v>505</v>
      </c>
      <c r="L214" s="27">
        <v>12.936972132904609</v>
      </c>
      <c r="M214" s="27">
        <v>22.95578217821782</v>
      </c>
      <c r="N214" s="34">
        <v>36.365149725854074</v>
      </c>
      <c r="O214" s="51"/>
      <c r="P214" s="51"/>
      <c r="R214" s="51"/>
      <c r="S214" s="51"/>
      <c r="T214" s="51"/>
      <c r="U214" s="51"/>
      <c r="X214" s="51"/>
      <c r="AH214" s="50"/>
    </row>
    <row r="215" spans="1:34" x14ac:dyDescent="0.35">
      <c r="A215" s="82">
        <v>212</v>
      </c>
      <c r="B215" s="89" t="str">
        <f>_xlfn.XLOOKUP(A215,'Model Modeshare by TAZ'!A:A,'Model Modeshare by TAZ'!B:B)</f>
        <v>Los Altos</v>
      </c>
      <c r="C215" s="90" t="str">
        <f>_xlfn.XLOOKUP(A215,'Model Modeshare by TAZ'!A:A,'Model Modeshare by TAZ'!D:D)</f>
        <v>NO</v>
      </c>
      <c r="D215" s="27">
        <v>5848.14</v>
      </c>
      <c r="E215" s="27">
        <v>89364.53</v>
      </c>
      <c r="F215" s="27">
        <v>2365.5100000000002</v>
      </c>
      <c r="G215" s="27">
        <v>11377.73</v>
      </c>
      <c r="H215" s="27">
        <v>1521.53</v>
      </c>
      <c r="I215" s="27">
        <v>22241.56</v>
      </c>
      <c r="J215" s="6">
        <v>1729</v>
      </c>
      <c r="K215" s="6">
        <v>1242</v>
      </c>
      <c r="L215" s="27">
        <v>6.5805263157894736</v>
      </c>
      <c r="M215" s="27">
        <v>17.907858293075684</v>
      </c>
      <c r="N215" s="34">
        <v>20.648266576910132</v>
      </c>
      <c r="P215" s="51"/>
      <c r="S215" s="51"/>
      <c r="T215" s="51"/>
      <c r="AH215" s="50"/>
    </row>
    <row r="216" spans="1:34" x14ac:dyDescent="0.35">
      <c r="A216" s="82">
        <v>213</v>
      </c>
      <c r="B216" s="89" t="str">
        <f>_xlfn.XLOOKUP(A216,'Model Modeshare by TAZ'!A:A,'Model Modeshare by TAZ'!B:B)</f>
        <v>Los Altos</v>
      </c>
      <c r="C216" s="90" t="str">
        <f>_xlfn.XLOOKUP(A216,'Model Modeshare by TAZ'!A:A,'Model Modeshare by TAZ'!D:D)</f>
        <v>NO</v>
      </c>
      <c r="D216" s="27">
        <v>3022.28</v>
      </c>
      <c r="E216" s="27">
        <v>34038.99</v>
      </c>
      <c r="F216" s="27">
        <v>2685.5</v>
      </c>
      <c r="G216" s="27">
        <v>13559.01</v>
      </c>
      <c r="H216" s="27">
        <v>240.99</v>
      </c>
      <c r="I216" s="27">
        <v>3540.2</v>
      </c>
      <c r="J216" s="6">
        <v>1892</v>
      </c>
      <c r="K216" s="6">
        <v>127</v>
      </c>
      <c r="L216" s="27">
        <v>7.1664957716701903</v>
      </c>
      <c r="M216" s="27">
        <v>27.875590551181102</v>
      </c>
      <c r="N216" s="34">
        <v>13.083907875185735</v>
      </c>
      <c r="O216" s="51"/>
      <c r="P216" s="51"/>
      <c r="R216" s="51"/>
      <c r="S216" s="51"/>
      <c r="T216" s="51"/>
      <c r="AH216" s="50"/>
    </row>
    <row r="217" spans="1:34" x14ac:dyDescent="0.35">
      <c r="A217" s="82">
        <v>214</v>
      </c>
      <c r="B217" s="89" t="str">
        <f>_xlfn.XLOOKUP(A217,'Model Modeshare by TAZ'!A:A,'Model Modeshare by TAZ'!B:B)</f>
        <v>Los Altos</v>
      </c>
      <c r="C217" s="90" t="str">
        <f>_xlfn.XLOOKUP(A217,'Model Modeshare by TAZ'!A:A,'Model Modeshare by TAZ'!D:D)</f>
        <v>NO</v>
      </c>
      <c r="D217" s="27">
        <v>5234.83</v>
      </c>
      <c r="E217" s="27">
        <v>101562.39</v>
      </c>
      <c r="F217" s="27">
        <v>2534.89</v>
      </c>
      <c r="G217" s="27">
        <v>16259.6</v>
      </c>
      <c r="H217" s="27">
        <v>1299.19</v>
      </c>
      <c r="I217" s="27">
        <v>19512.79</v>
      </c>
      <c r="J217" s="6">
        <v>1691</v>
      </c>
      <c r="K217" s="6">
        <v>1045</v>
      </c>
      <c r="L217" s="27">
        <v>9.6153755174452993</v>
      </c>
      <c r="M217" s="27">
        <v>18.672526315789476</v>
      </c>
      <c r="N217" s="34">
        <v>37.49625730994152</v>
      </c>
      <c r="AH217" s="50"/>
    </row>
    <row r="218" spans="1:34" x14ac:dyDescent="0.35">
      <c r="A218" s="82">
        <v>215</v>
      </c>
      <c r="B218" s="89" t="str">
        <f>_xlfn.XLOOKUP(A218,'Model Modeshare by TAZ'!A:A,'Model Modeshare by TAZ'!B:B)</f>
        <v>Los Altos</v>
      </c>
      <c r="C218" s="90" t="str">
        <f>_xlfn.XLOOKUP(A218,'Model Modeshare by TAZ'!A:A,'Model Modeshare by TAZ'!D:D)</f>
        <v>NO</v>
      </c>
      <c r="D218" s="27">
        <v>4924.46</v>
      </c>
      <c r="E218" s="27">
        <v>91462.03</v>
      </c>
      <c r="F218" s="27">
        <v>2737.27</v>
      </c>
      <c r="G218" s="27">
        <v>17062.39</v>
      </c>
      <c r="H218" s="27">
        <v>1285.67</v>
      </c>
      <c r="I218" s="27">
        <v>19216.45</v>
      </c>
      <c r="J218" s="6">
        <v>1747</v>
      </c>
      <c r="K218" s="6">
        <v>1036</v>
      </c>
      <c r="L218" s="27">
        <v>9.7666800228963933</v>
      </c>
      <c r="M218" s="27">
        <v>18.548696911196913</v>
      </c>
      <c r="N218" s="34">
        <v>30.67594322673374</v>
      </c>
      <c r="O218" s="51"/>
      <c r="S218" s="51"/>
      <c r="T218" s="51"/>
      <c r="AH218" s="50"/>
    </row>
    <row r="219" spans="1:34" x14ac:dyDescent="0.35">
      <c r="A219" s="82">
        <v>216</v>
      </c>
      <c r="B219" s="89" t="str">
        <f>_xlfn.XLOOKUP(A219,'Model Modeshare by TAZ'!A:A,'Model Modeshare by TAZ'!B:B)</f>
        <v>Los Altos</v>
      </c>
      <c r="C219" s="90" t="str">
        <f>_xlfn.XLOOKUP(A219,'Model Modeshare by TAZ'!A:A,'Model Modeshare by TAZ'!D:D)</f>
        <v>NO</v>
      </c>
      <c r="D219" s="27">
        <v>3394.27</v>
      </c>
      <c r="E219" s="27">
        <v>53968.99</v>
      </c>
      <c r="F219" s="27">
        <v>3250.32</v>
      </c>
      <c r="G219" s="27">
        <v>21424.09</v>
      </c>
      <c r="H219" s="27">
        <v>67.400000000000006</v>
      </c>
      <c r="I219" s="27">
        <v>1059.71</v>
      </c>
      <c r="J219" s="6">
        <v>2144</v>
      </c>
      <c r="K219" s="6">
        <v>34</v>
      </c>
      <c r="L219" s="27">
        <v>9.9925792910447768</v>
      </c>
      <c r="M219" s="27">
        <v>31.167941176470588</v>
      </c>
      <c r="N219" s="34">
        <v>20.639265381083561</v>
      </c>
      <c r="AH219" s="50"/>
    </row>
    <row r="220" spans="1:34" x14ac:dyDescent="0.35">
      <c r="A220" s="82">
        <v>217</v>
      </c>
      <c r="B220" s="89" t="str">
        <f>_xlfn.XLOOKUP(A220,'Model Modeshare by TAZ'!A:A,'Model Modeshare by TAZ'!B:B)</f>
        <v>Los Altos</v>
      </c>
      <c r="C220" s="90" t="str">
        <f>_xlfn.XLOOKUP(A220,'Model Modeshare by TAZ'!A:A,'Model Modeshare by TAZ'!D:D)</f>
        <v>NO</v>
      </c>
      <c r="D220" s="27">
        <v>3771.67</v>
      </c>
      <c r="E220" s="27">
        <v>59185.24</v>
      </c>
      <c r="F220" s="27">
        <v>3149.06</v>
      </c>
      <c r="G220" s="27">
        <v>18371.419999999998</v>
      </c>
      <c r="H220" s="27">
        <v>135.33000000000001</v>
      </c>
      <c r="I220" s="27">
        <v>2054.39</v>
      </c>
      <c r="J220" s="6">
        <v>1992</v>
      </c>
      <c r="K220" s="6">
        <v>69</v>
      </c>
      <c r="L220" s="27">
        <v>9.2226004016064245</v>
      </c>
      <c r="M220" s="27">
        <v>29.773768115942026</v>
      </c>
      <c r="N220" s="34">
        <v>21.272328966521105</v>
      </c>
      <c r="O220" s="51"/>
      <c r="R220" s="51"/>
      <c r="S220" s="51"/>
      <c r="T220" s="51"/>
      <c r="X220" s="51"/>
      <c r="AH220" s="50"/>
    </row>
    <row r="221" spans="1:34" x14ac:dyDescent="0.35">
      <c r="A221" s="82">
        <v>218</v>
      </c>
      <c r="B221" s="89" t="str">
        <f>_xlfn.XLOOKUP(A221,'Model Modeshare by TAZ'!A:A,'Model Modeshare by TAZ'!B:B)</f>
        <v>Los Altos</v>
      </c>
      <c r="C221" s="90" t="str">
        <f>_xlfn.XLOOKUP(A221,'Model Modeshare by TAZ'!A:A,'Model Modeshare by TAZ'!D:D)</f>
        <v>NO</v>
      </c>
      <c r="D221" s="27">
        <v>7431.59</v>
      </c>
      <c r="E221" s="27">
        <v>113910.47</v>
      </c>
      <c r="F221" s="27">
        <v>3617.01</v>
      </c>
      <c r="G221" s="27">
        <v>21807.040000000001</v>
      </c>
      <c r="H221" s="27">
        <v>917.73</v>
      </c>
      <c r="I221" s="27">
        <v>12848.39</v>
      </c>
      <c r="J221" s="6">
        <v>2446</v>
      </c>
      <c r="K221" s="6">
        <v>675</v>
      </c>
      <c r="L221" s="27">
        <v>8.9153883892068695</v>
      </c>
      <c r="M221" s="27">
        <v>19.034651851851851</v>
      </c>
      <c r="N221" s="34">
        <v>23.812713873758408</v>
      </c>
      <c r="O221" s="51"/>
      <c r="S221" s="51"/>
      <c r="T221" s="51"/>
      <c r="AH221" s="50"/>
    </row>
    <row r="222" spans="1:34" x14ac:dyDescent="0.35">
      <c r="A222" s="82">
        <v>219</v>
      </c>
      <c r="B222" s="89" t="str">
        <f>_xlfn.XLOOKUP(A222,'Model Modeshare by TAZ'!A:A,'Model Modeshare by TAZ'!B:B)</f>
        <v>Los Altos Hills</v>
      </c>
      <c r="C222" s="90" t="str">
        <f>_xlfn.XLOOKUP(A222,'Model Modeshare by TAZ'!A:A,'Model Modeshare by TAZ'!D:D)</f>
        <v>NO</v>
      </c>
      <c r="D222" s="27">
        <v>972.25</v>
      </c>
      <c r="E222" s="27">
        <v>22200.400000000001</v>
      </c>
      <c r="F222" s="27">
        <v>823.03</v>
      </c>
      <c r="G222" s="27">
        <v>7502.86</v>
      </c>
      <c r="H222" s="27">
        <v>224.62</v>
      </c>
      <c r="I222" s="27">
        <v>3757.04</v>
      </c>
      <c r="J222" s="6">
        <v>472</v>
      </c>
      <c r="K222" s="6">
        <v>148</v>
      </c>
      <c r="L222" s="27">
        <v>15.895889830508473</v>
      </c>
      <c r="M222" s="27">
        <v>25.385405405405404</v>
      </c>
      <c r="N222" s="34">
        <v>35.354516129032255</v>
      </c>
      <c r="O222" s="51"/>
      <c r="S222" s="51"/>
      <c r="T222" s="51"/>
      <c r="AH222" s="50"/>
    </row>
    <row r="223" spans="1:34" x14ac:dyDescent="0.35">
      <c r="A223" s="82">
        <v>220</v>
      </c>
      <c r="B223" s="89" t="str">
        <f>_xlfn.XLOOKUP(A223,'Model Modeshare by TAZ'!A:A,'Model Modeshare by TAZ'!B:B)</f>
        <v>Los Altos Hills</v>
      </c>
      <c r="C223" s="90" t="str">
        <f>_xlfn.XLOOKUP(A223,'Model Modeshare by TAZ'!A:A,'Model Modeshare by TAZ'!D:D)</f>
        <v>NO</v>
      </c>
      <c r="D223" s="27">
        <v>1259.8599999999999</v>
      </c>
      <c r="E223" s="27">
        <v>24557.32</v>
      </c>
      <c r="F223" s="27">
        <v>1138.94</v>
      </c>
      <c r="G223" s="27">
        <v>8616.3799999999992</v>
      </c>
      <c r="H223" s="27">
        <v>202.15</v>
      </c>
      <c r="I223" s="27">
        <v>3295.3</v>
      </c>
      <c r="J223" s="6">
        <v>674</v>
      </c>
      <c r="K223" s="6">
        <v>115</v>
      </c>
      <c r="L223" s="27">
        <v>12.783946587537091</v>
      </c>
      <c r="M223" s="27">
        <v>28.654782608695655</v>
      </c>
      <c r="N223" s="34">
        <v>29.199049429657794</v>
      </c>
      <c r="S223" s="51"/>
      <c r="T223" s="51"/>
      <c r="U223" s="51"/>
      <c r="AH223" s="50"/>
    </row>
    <row r="224" spans="1:34" x14ac:dyDescent="0.35">
      <c r="A224" s="82">
        <v>221</v>
      </c>
      <c r="B224" s="89" t="str">
        <f>_xlfn.XLOOKUP(A224,'Model Modeshare by TAZ'!A:A,'Model Modeshare by TAZ'!B:B)</f>
        <v>Los Altos Hills</v>
      </c>
      <c r="C224" s="90" t="str">
        <f>_xlfn.XLOOKUP(A224,'Model Modeshare by TAZ'!A:A,'Model Modeshare by TAZ'!D:D)</f>
        <v>NO</v>
      </c>
      <c r="D224" s="27">
        <v>1680.29</v>
      </c>
      <c r="E224" s="27">
        <v>46828.62</v>
      </c>
      <c r="F224" s="27">
        <v>1616.34</v>
      </c>
      <c r="G224" s="27">
        <v>18524.509999999998</v>
      </c>
      <c r="H224" s="27">
        <v>48</v>
      </c>
      <c r="I224" s="27">
        <v>950.2</v>
      </c>
      <c r="J224" s="6">
        <v>874</v>
      </c>
      <c r="K224" s="6">
        <v>23</v>
      </c>
      <c r="L224" s="27">
        <v>21.195091533180776</v>
      </c>
      <c r="M224" s="27">
        <v>41.313043478260873</v>
      </c>
      <c r="N224" s="34">
        <v>41.789420289855073</v>
      </c>
      <c r="O224" s="51"/>
      <c r="R224" s="51"/>
      <c r="S224" s="51"/>
      <c r="T224" s="51"/>
      <c r="U224" s="51"/>
      <c r="AH224" s="50"/>
    </row>
    <row r="225" spans="1:34" x14ac:dyDescent="0.35">
      <c r="A225" s="82">
        <v>222</v>
      </c>
      <c r="B225" s="89" t="str">
        <f>_xlfn.XLOOKUP(A225,'Model Modeshare by TAZ'!A:A,'Model Modeshare by TAZ'!B:B)</f>
        <v>Los Altos Hills</v>
      </c>
      <c r="C225" s="90" t="str">
        <f>_xlfn.XLOOKUP(A225,'Model Modeshare by TAZ'!A:A,'Model Modeshare by TAZ'!D:D)</f>
        <v>NO</v>
      </c>
      <c r="D225" s="27">
        <v>1564.6</v>
      </c>
      <c r="E225" s="27">
        <v>39963.47</v>
      </c>
      <c r="F225" s="27">
        <v>1559.68</v>
      </c>
      <c r="G225" s="27">
        <v>16797</v>
      </c>
      <c r="H225" s="27">
        <v>11.12</v>
      </c>
      <c r="I225" s="27">
        <v>210.27</v>
      </c>
      <c r="J225" s="6">
        <v>852</v>
      </c>
      <c r="K225" s="6">
        <v>5</v>
      </c>
      <c r="L225" s="27">
        <v>19.714788732394368</v>
      </c>
      <c r="M225" s="27">
        <v>42.054000000000002</v>
      </c>
      <c r="N225" s="34">
        <v>38.151960326721117</v>
      </c>
      <c r="O225" s="51"/>
      <c r="R225" s="51"/>
      <c r="S225" s="51"/>
      <c r="T225" s="51"/>
      <c r="X225" s="51"/>
      <c r="AH225" s="50"/>
    </row>
    <row r="226" spans="1:34" x14ac:dyDescent="0.35">
      <c r="A226" s="82">
        <v>223</v>
      </c>
      <c r="B226" s="89" t="str">
        <f>_xlfn.XLOOKUP(A226,'Model Modeshare by TAZ'!A:A,'Model Modeshare by TAZ'!B:B)</f>
        <v>Los Gatos</v>
      </c>
      <c r="C226" s="90" t="str">
        <f>_xlfn.XLOOKUP(A226,'Model Modeshare by TAZ'!A:A,'Model Modeshare by TAZ'!D:D)</f>
        <v>NO</v>
      </c>
      <c r="D226" s="27">
        <v>391.81</v>
      </c>
      <c r="E226" s="27">
        <v>4992.87</v>
      </c>
      <c r="F226" s="27">
        <v>106.52</v>
      </c>
      <c r="G226" s="27">
        <v>618.55999999999995</v>
      </c>
      <c r="H226" s="27">
        <v>165.21</v>
      </c>
      <c r="I226" s="27">
        <v>2354.85</v>
      </c>
      <c r="J226" s="6">
        <v>68</v>
      </c>
      <c r="K226" s="6">
        <v>135</v>
      </c>
      <c r="L226" s="27">
        <v>9.0964705882352934</v>
      </c>
      <c r="M226" s="27">
        <v>17.443333333333332</v>
      </c>
      <c r="N226" s="34">
        <v>26.095418719211821</v>
      </c>
      <c r="O226" s="51"/>
      <c r="R226" s="51"/>
      <c r="S226" s="51"/>
      <c r="T226" s="51"/>
      <c r="AH226" s="50"/>
    </row>
    <row r="227" spans="1:34" x14ac:dyDescent="0.35">
      <c r="A227" s="82">
        <v>224</v>
      </c>
      <c r="B227" s="89" t="str">
        <f>_xlfn.XLOOKUP(A227,'Model Modeshare by TAZ'!A:A,'Model Modeshare by TAZ'!B:B)</f>
        <v>Los Gatos</v>
      </c>
      <c r="C227" s="90" t="str">
        <f>_xlfn.XLOOKUP(A227,'Model Modeshare by TAZ'!A:A,'Model Modeshare by TAZ'!D:D)</f>
        <v>NO</v>
      </c>
      <c r="D227" s="27">
        <v>164.86</v>
      </c>
      <c r="E227" s="27">
        <v>3756.82</v>
      </c>
      <c r="F227" s="27">
        <v>83.44</v>
      </c>
      <c r="G227" s="27">
        <v>757.84</v>
      </c>
      <c r="H227" s="27">
        <v>43.49</v>
      </c>
      <c r="I227" s="27">
        <v>672.24</v>
      </c>
      <c r="J227" s="6">
        <v>49</v>
      </c>
      <c r="K227" s="6">
        <v>35</v>
      </c>
      <c r="L227" s="27">
        <v>15.466122448979592</v>
      </c>
      <c r="M227" s="27">
        <v>19.206857142857142</v>
      </c>
      <c r="N227" s="34">
        <v>42.827023809523808</v>
      </c>
      <c r="S227" s="51"/>
      <c r="T227" s="51"/>
      <c r="AH227" s="50"/>
    </row>
    <row r="228" spans="1:34" x14ac:dyDescent="0.35">
      <c r="A228" s="82">
        <v>225</v>
      </c>
      <c r="B228" s="89" t="str">
        <f>_xlfn.XLOOKUP(A228,'Model Modeshare by TAZ'!A:A,'Model Modeshare by TAZ'!B:B)</f>
        <v>Los Gatos</v>
      </c>
      <c r="C228" s="90" t="str">
        <f>_xlfn.XLOOKUP(A228,'Model Modeshare by TAZ'!A:A,'Model Modeshare by TAZ'!D:D)</f>
        <v>NO</v>
      </c>
      <c r="D228" s="27">
        <v>706.31</v>
      </c>
      <c r="E228" s="27">
        <v>11619.42</v>
      </c>
      <c r="F228" s="27">
        <v>23.19</v>
      </c>
      <c r="G228" s="27">
        <v>145.47</v>
      </c>
      <c r="H228" s="27">
        <v>598.74</v>
      </c>
      <c r="I228" s="27">
        <v>8416.84</v>
      </c>
      <c r="J228" s="6">
        <v>16</v>
      </c>
      <c r="K228" s="6">
        <v>500</v>
      </c>
      <c r="L228" s="27">
        <v>9.0918749999999999</v>
      </c>
      <c r="M228" s="27">
        <v>16.833680000000001</v>
      </c>
      <c r="N228" s="34">
        <v>26.482751937984496</v>
      </c>
      <c r="R228" s="51"/>
      <c r="S228" s="51"/>
      <c r="T228" s="51"/>
      <c r="X228" s="51"/>
      <c r="AH228" s="50"/>
    </row>
    <row r="229" spans="1:34" x14ac:dyDescent="0.35">
      <c r="A229" s="82">
        <v>226</v>
      </c>
      <c r="B229" s="89" t="str">
        <f>_xlfn.XLOOKUP(A229,'Model Modeshare by TAZ'!A:A,'Model Modeshare by TAZ'!B:B)</f>
        <v>Los Gatos</v>
      </c>
      <c r="C229" s="90" t="str">
        <f>_xlfn.XLOOKUP(A229,'Model Modeshare by TAZ'!A:A,'Model Modeshare by TAZ'!D:D)</f>
        <v>NO</v>
      </c>
      <c r="D229" s="27">
        <v>3632.44</v>
      </c>
      <c r="E229" s="27">
        <v>70374.87</v>
      </c>
      <c r="F229" s="27">
        <v>2561.94</v>
      </c>
      <c r="G229" s="27">
        <v>20770.62</v>
      </c>
      <c r="H229" s="27">
        <v>492.62</v>
      </c>
      <c r="I229" s="27">
        <v>6168.86</v>
      </c>
      <c r="J229" s="6">
        <v>1606</v>
      </c>
      <c r="K229" s="6">
        <v>297</v>
      </c>
      <c r="L229" s="27">
        <v>12.933138231631382</v>
      </c>
      <c r="M229" s="27">
        <v>20.77057239057239</v>
      </c>
      <c r="N229" s="34">
        <v>33.358780872306887</v>
      </c>
      <c r="O229" s="51"/>
      <c r="S229" s="51"/>
      <c r="T229" s="51"/>
      <c r="AH229" s="50"/>
    </row>
    <row r="230" spans="1:34" x14ac:dyDescent="0.35">
      <c r="A230" s="82">
        <v>227</v>
      </c>
      <c r="B230" s="89" t="str">
        <f>_xlfn.XLOOKUP(A230,'Model Modeshare by TAZ'!A:A,'Model Modeshare by TAZ'!B:B)</f>
        <v>Los Gatos</v>
      </c>
      <c r="C230" s="90" t="str">
        <f>_xlfn.XLOOKUP(A230,'Model Modeshare by TAZ'!A:A,'Model Modeshare by TAZ'!D:D)</f>
        <v>NO</v>
      </c>
      <c r="D230" s="27">
        <v>8704.74</v>
      </c>
      <c r="E230" s="27">
        <v>199408.34</v>
      </c>
      <c r="F230" s="27">
        <v>4217.2</v>
      </c>
      <c r="G230" s="27">
        <v>34722.22</v>
      </c>
      <c r="H230" s="27">
        <v>3095.86</v>
      </c>
      <c r="I230" s="27">
        <v>45989.91</v>
      </c>
      <c r="J230" s="6">
        <v>2584</v>
      </c>
      <c r="K230" s="6">
        <v>2512</v>
      </c>
      <c r="L230" s="27">
        <v>13.437391640866874</v>
      </c>
      <c r="M230" s="27">
        <v>18.308085191082803</v>
      </c>
      <c r="N230" s="34">
        <v>38.717038854003142</v>
      </c>
      <c r="O230" s="51"/>
      <c r="R230" s="51"/>
      <c r="S230" s="51"/>
      <c r="T230" s="51"/>
      <c r="AH230" s="50"/>
    </row>
    <row r="231" spans="1:34" x14ac:dyDescent="0.35">
      <c r="A231" s="82">
        <v>228</v>
      </c>
      <c r="B231" s="89" t="str">
        <f>_xlfn.XLOOKUP(A231,'Model Modeshare by TAZ'!A:A,'Model Modeshare by TAZ'!B:B)</f>
        <v>Los Gatos</v>
      </c>
      <c r="C231" s="90" t="str">
        <f>_xlfn.XLOOKUP(A231,'Model Modeshare by TAZ'!A:A,'Model Modeshare by TAZ'!D:D)</f>
        <v>NO</v>
      </c>
      <c r="D231" s="27">
        <v>1582.58</v>
      </c>
      <c r="E231" s="27">
        <v>37353.56</v>
      </c>
      <c r="F231" s="27">
        <v>421.23</v>
      </c>
      <c r="G231" s="27">
        <v>3618.08</v>
      </c>
      <c r="H231" s="27">
        <v>904.77</v>
      </c>
      <c r="I231" s="27">
        <v>13047.56</v>
      </c>
      <c r="J231" s="6">
        <v>248</v>
      </c>
      <c r="K231" s="6">
        <v>742</v>
      </c>
      <c r="L231" s="27">
        <v>14.589032258064515</v>
      </c>
      <c r="M231" s="27">
        <v>17.58431266846361</v>
      </c>
      <c r="N231" s="34">
        <v>40.010030303030305</v>
      </c>
      <c r="O231" s="51"/>
      <c r="P231" s="51"/>
      <c r="R231" s="51"/>
      <c r="S231" s="51"/>
      <c r="T231" s="51"/>
      <c r="X231" s="51"/>
      <c r="AH231" s="50"/>
    </row>
    <row r="232" spans="1:34" x14ac:dyDescent="0.35">
      <c r="A232" s="82">
        <v>229</v>
      </c>
      <c r="B232" s="89" t="str">
        <f>_xlfn.XLOOKUP(A232,'Model Modeshare by TAZ'!A:A,'Model Modeshare by TAZ'!B:B)</f>
        <v>Los Gatos</v>
      </c>
      <c r="C232" s="90" t="str">
        <f>_xlfn.XLOOKUP(A232,'Model Modeshare by TAZ'!A:A,'Model Modeshare by TAZ'!D:D)</f>
        <v>NO</v>
      </c>
      <c r="D232" s="27">
        <v>3310.66</v>
      </c>
      <c r="E232" s="27">
        <v>62626.78</v>
      </c>
      <c r="F232" s="27">
        <v>2963.31</v>
      </c>
      <c r="G232" s="27">
        <v>22754.93</v>
      </c>
      <c r="H232" s="27">
        <v>388.47</v>
      </c>
      <c r="I232" s="27">
        <v>5261.46</v>
      </c>
      <c r="J232" s="6">
        <v>1732</v>
      </c>
      <c r="K232" s="6">
        <v>201</v>
      </c>
      <c r="L232" s="27">
        <v>13.137950346420324</v>
      </c>
      <c r="M232" s="27">
        <v>26.176417910447761</v>
      </c>
      <c r="N232" s="34">
        <v>26.416585618210036</v>
      </c>
      <c r="O232" s="51"/>
      <c r="S232" s="51"/>
      <c r="T232" s="51"/>
      <c r="AH232" s="50"/>
    </row>
    <row r="233" spans="1:34" x14ac:dyDescent="0.35">
      <c r="A233" s="82">
        <v>230</v>
      </c>
      <c r="B233" s="89" t="str">
        <f>_xlfn.XLOOKUP(A233,'Model Modeshare by TAZ'!A:A,'Model Modeshare by TAZ'!B:B)</f>
        <v>Los Gatos</v>
      </c>
      <c r="C233" s="90" t="str">
        <f>_xlfn.XLOOKUP(A233,'Model Modeshare by TAZ'!A:A,'Model Modeshare by TAZ'!D:D)</f>
        <v>NO</v>
      </c>
      <c r="D233" s="27">
        <v>6042.86</v>
      </c>
      <c r="E233" s="27">
        <v>124636.36</v>
      </c>
      <c r="F233" s="27">
        <v>4111.4399999999996</v>
      </c>
      <c r="G233" s="27">
        <v>31436</v>
      </c>
      <c r="H233" s="27">
        <v>1193.1199999999999</v>
      </c>
      <c r="I233" s="27">
        <v>15622.17</v>
      </c>
      <c r="J233" s="6">
        <v>2348</v>
      </c>
      <c r="K233" s="6">
        <v>847</v>
      </c>
      <c r="L233" s="27">
        <v>13.388415672913117</v>
      </c>
      <c r="M233" s="27">
        <v>18.444120425029517</v>
      </c>
      <c r="N233" s="34">
        <v>32.937258215962437</v>
      </c>
      <c r="S233" s="51"/>
      <c r="T233" s="51"/>
      <c r="AH233" s="50"/>
    </row>
    <row r="234" spans="1:34" x14ac:dyDescent="0.35">
      <c r="A234" s="82">
        <v>231</v>
      </c>
      <c r="B234" s="89" t="str">
        <f>_xlfn.XLOOKUP(A234,'Model Modeshare by TAZ'!A:A,'Model Modeshare by TAZ'!B:B)</f>
        <v>Los Gatos</v>
      </c>
      <c r="C234" s="90" t="str">
        <f>_xlfn.XLOOKUP(A234,'Model Modeshare by TAZ'!A:A,'Model Modeshare by TAZ'!D:D)</f>
        <v>NO</v>
      </c>
      <c r="D234" s="27">
        <v>3476.41</v>
      </c>
      <c r="E234" s="27">
        <v>67105.33</v>
      </c>
      <c r="F234" s="27">
        <v>1072.07</v>
      </c>
      <c r="G234" s="27">
        <v>6347.73</v>
      </c>
      <c r="H234" s="27">
        <v>1878.37</v>
      </c>
      <c r="I234" s="27">
        <v>23335.65</v>
      </c>
      <c r="J234" s="6">
        <v>656</v>
      </c>
      <c r="K234" s="6">
        <v>1516</v>
      </c>
      <c r="L234" s="27">
        <v>9.6764176829268287</v>
      </c>
      <c r="M234" s="27">
        <v>15.392908970976254</v>
      </c>
      <c r="N234" s="34">
        <v>27.114102209944754</v>
      </c>
      <c r="R234" s="51"/>
      <c r="S234" s="51"/>
      <c r="T234" s="51"/>
      <c r="X234" s="51"/>
      <c r="AH234" s="50"/>
    </row>
    <row r="235" spans="1:34" x14ac:dyDescent="0.35">
      <c r="A235" s="82">
        <v>232</v>
      </c>
      <c r="B235" s="89" t="str">
        <f>_xlfn.XLOOKUP(A235,'Model Modeshare by TAZ'!A:A,'Model Modeshare by TAZ'!B:B)</f>
        <v>Los Gatos</v>
      </c>
      <c r="C235" s="90" t="str">
        <f>_xlfn.XLOOKUP(A235,'Model Modeshare by TAZ'!A:A,'Model Modeshare by TAZ'!D:D)</f>
        <v>NO</v>
      </c>
      <c r="D235" s="27">
        <v>2603.2199999999998</v>
      </c>
      <c r="E235" s="27">
        <v>37354.1</v>
      </c>
      <c r="F235" s="27">
        <v>1992.76</v>
      </c>
      <c r="G235" s="27">
        <v>11787.53</v>
      </c>
      <c r="H235" s="27">
        <v>1245.83</v>
      </c>
      <c r="I235" s="27">
        <v>16060.31</v>
      </c>
      <c r="J235" s="6">
        <v>1199</v>
      </c>
      <c r="K235" s="6">
        <v>1004</v>
      </c>
      <c r="L235" s="27">
        <v>9.8311342785654716</v>
      </c>
      <c r="M235" s="27">
        <v>15.996324701195219</v>
      </c>
      <c r="N235" s="34">
        <v>22.924416704493872</v>
      </c>
      <c r="O235" s="51"/>
      <c r="S235" s="51"/>
      <c r="T235" s="51"/>
      <c r="AH235" s="50"/>
    </row>
    <row r="236" spans="1:34" x14ac:dyDescent="0.35">
      <c r="A236" s="82">
        <v>233</v>
      </c>
      <c r="B236" s="89" t="str">
        <f>_xlfn.XLOOKUP(A236,'Model Modeshare by TAZ'!A:A,'Model Modeshare by TAZ'!B:B)</f>
        <v>Los Gatos</v>
      </c>
      <c r="C236" s="90" t="str">
        <f>_xlfn.XLOOKUP(A236,'Model Modeshare by TAZ'!A:A,'Model Modeshare by TAZ'!D:D)</f>
        <v>NO</v>
      </c>
      <c r="D236" s="27">
        <v>4524.53</v>
      </c>
      <c r="E236" s="27">
        <v>86992.1</v>
      </c>
      <c r="F236" s="27">
        <v>239.16</v>
      </c>
      <c r="G236" s="27">
        <v>1485.09</v>
      </c>
      <c r="H236" s="27">
        <v>2071.3000000000002</v>
      </c>
      <c r="I236" s="27">
        <v>27611.66</v>
      </c>
      <c r="J236" s="6">
        <v>142</v>
      </c>
      <c r="K236" s="6">
        <v>1673</v>
      </c>
      <c r="L236" s="27">
        <v>10.45838028169014</v>
      </c>
      <c r="M236" s="27">
        <v>16.504279736999401</v>
      </c>
      <c r="N236" s="34">
        <v>48.043212121212115</v>
      </c>
      <c r="R236" s="51"/>
      <c r="S236" s="51"/>
      <c r="T236" s="51"/>
      <c r="X236" s="51"/>
      <c r="AH236" s="50"/>
    </row>
    <row r="237" spans="1:34" x14ac:dyDescent="0.35">
      <c r="A237" s="82">
        <v>234</v>
      </c>
      <c r="B237" s="89" t="str">
        <f>_xlfn.XLOOKUP(A237,'Model Modeshare by TAZ'!A:A,'Model Modeshare by TAZ'!B:B)</f>
        <v>Los Gatos</v>
      </c>
      <c r="C237" s="90" t="str">
        <f>_xlfn.XLOOKUP(A237,'Model Modeshare by TAZ'!A:A,'Model Modeshare by TAZ'!D:D)</f>
        <v>NO</v>
      </c>
      <c r="D237" s="27">
        <v>3285.4</v>
      </c>
      <c r="E237" s="27">
        <v>61890.3</v>
      </c>
      <c r="F237" s="27">
        <v>2680.53</v>
      </c>
      <c r="G237" s="27">
        <v>20678.330000000002</v>
      </c>
      <c r="H237" s="27">
        <v>597.25</v>
      </c>
      <c r="I237" s="27">
        <v>8669.18</v>
      </c>
      <c r="J237" s="6">
        <v>1606</v>
      </c>
      <c r="K237" s="6">
        <v>313</v>
      </c>
      <c r="L237" s="27">
        <v>12.875672478206726</v>
      </c>
      <c r="M237" s="27">
        <v>27.697060702875401</v>
      </c>
      <c r="N237" s="34">
        <v>27.84419489317353</v>
      </c>
      <c r="O237" s="51"/>
      <c r="R237" s="51"/>
      <c r="S237" s="51"/>
      <c r="T237" s="51"/>
      <c r="X237" s="51"/>
      <c r="AH237" s="50"/>
    </row>
    <row r="238" spans="1:34" x14ac:dyDescent="0.35">
      <c r="A238" s="82">
        <v>235</v>
      </c>
      <c r="B238" s="89" t="str">
        <f>_xlfn.XLOOKUP(A238,'Model Modeshare by TAZ'!A:A,'Model Modeshare by TAZ'!B:B)</f>
        <v>Los Gatos</v>
      </c>
      <c r="C238" s="90" t="str">
        <f>_xlfn.XLOOKUP(A238,'Model Modeshare by TAZ'!A:A,'Model Modeshare by TAZ'!D:D)</f>
        <v>NO</v>
      </c>
      <c r="D238" s="27">
        <v>4368.2299999999996</v>
      </c>
      <c r="E238" s="27">
        <v>101165.41</v>
      </c>
      <c r="F238" s="27">
        <v>1678.21</v>
      </c>
      <c r="G238" s="27">
        <v>14428.43</v>
      </c>
      <c r="H238" s="27">
        <v>1834.42</v>
      </c>
      <c r="I238" s="27">
        <v>26187.21</v>
      </c>
      <c r="J238" s="6">
        <v>1011</v>
      </c>
      <c r="K238" s="6">
        <v>1507</v>
      </c>
      <c r="L238" s="27">
        <v>14.271444114737884</v>
      </c>
      <c r="M238" s="27">
        <v>17.377047113470471</v>
      </c>
      <c r="N238" s="34">
        <v>37.644567116759333</v>
      </c>
      <c r="O238" s="51"/>
      <c r="R238" s="51"/>
      <c r="S238" s="51"/>
      <c r="T238" s="51"/>
      <c r="X238" s="51"/>
      <c r="AH238" s="50"/>
    </row>
    <row r="239" spans="1:34" x14ac:dyDescent="0.35">
      <c r="A239" s="82">
        <v>236</v>
      </c>
      <c r="B239" s="89" t="str">
        <f>_xlfn.XLOOKUP(A239,'Model Modeshare by TAZ'!A:A,'Model Modeshare by TAZ'!B:B)</f>
        <v>Los Gatos</v>
      </c>
      <c r="C239" s="90" t="str">
        <f>_xlfn.XLOOKUP(A239,'Model Modeshare by TAZ'!A:A,'Model Modeshare by TAZ'!D:D)</f>
        <v>NO</v>
      </c>
      <c r="D239" s="27">
        <v>2804.93</v>
      </c>
      <c r="E239" s="27">
        <v>61447.519999999997</v>
      </c>
      <c r="F239" s="27">
        <v>605.12</v>
      </c>
      <c r="G239" s="27">
        <v>5193.17</v>
      </c>
      <c r="H239" s="27">
        <v>937.44</v>
      </c>
      <c r="I239" s="27">
        <v>13970.16</v>
      </c>
      <c r="J239" s="6">
        <v>371</v>
      </c>
      <c r="K239" s="6">
        <v>766</v>
      </c>
      <c r="L239" s="27">
        <v>13.997762803234501</v>
      </c>
      <c r="M239" s="27">
        <v>18.237806788511747</v>
      </c>
      <c r="N239" s="34">
        <v>53.980650835532103</v>
      </c>
      <c r="AH239" s="50"/>
    </row>
    <row r="240" spans="1:34" x14ac:dyDescent="0.35">
      <c r="A240" s="82">
        <v>237</v>
      </c>
      <c r="B240" s="89" t="str">
        <f>_xlfn.XLOOKUP(A240,'Model Modeshare by TAZ'!A:A,'Model Modeshare by TAZ'!B:B)</f>
        <v>Los Gatos</v>
      </c>
      <c r="C240" s="90" t="str">
        <f>_xlfn.XLOOKUP(A240,'Model Modeshare by TAZ'!A:A,'Model Modeshare by TAZ'!D:D)</f>
        <v>NO</v>
      </c>
      <c r="D240" s="27">
        <v>2499.0500000000002</v>
      </c>
      <c r="E240" s="27">
        <v>57314.32</v>
      </c>
      <c r="F240" s="27">
        <v>700.08</v>
      </c>
      <c r="G240" s="27">
        <v>5901.79</v>
      </c>
      <c r="H240" s="27">
        <v>499.71</v>
      </c>
      <c r="I240" s="27">
        <v>7329.45</v>
      </c>
      <c r="J240" s="6">
        <v>436</v>
      </c>
      <c r="K240" s="6">
        <v>409</v>
      </c>
      <c r="L240" s="27">
        <v>13.536215596330274</v>
      </c>
      <c r="M240" s="27">
        <v>17.920415647921761</v>
      </c>
      <c r="N240" s="34">
        <v>68.135159763313609</v>
      </c>
      <c r="S240" s="51"/>
      <c r="T240" s="51"/>
      <c r="X240" s="51"/>
      <c r="AH240" s="50"/>
    </row>
    <row r="241" spans="1:34" x14ac:dyDescent="0.35">
      <c r="A241" s="82">
        <v>238</v>
      </c>
      <c r="B241" s="89" t="str">
        <f>_xlfn.XLOOKUP(A241,'Model Modeshare by TAZ'!A:A,'Model Modeshare by TAZ'!B:B)</f>
        <v>Los Gatos</v>
      </c>
      <c r="C241" s="90" t="str">
        <f>_xlfn.XLOOKUP(A241,'Model Modeshare by TAZ'!A:A,'Model Modeshare by TAZ'!D:D)</f>
        <v>NO</v>
      </c>
      <c r="D241" s="27">
        <v>3158.85</v>
      </c>
      <c r="E241" s="27">
        <v>73686.67</v>
      </c>
      <c r="F241" s="27">
        <v>1735.33</v>
      </c>
      <c r="G241" s="27">
        <v>15622.61</v>
      </c>
      <c r="H241" s="27">
        <v>823.49</v>
      </c>
      <c r="I241" s="27">
        <v>12643.35</v>
      </c>
      <c r="J241" s="6">
        <v>1053</v>
      </c>
      <c r="K241" s="6">
        <v>648</v>
      </c>
      <c r="L241" s="27">
        <v>14.836286799620133</v>
      </c>
      <c r="M241" s="27">
        <v>19.511342592592595</v>
      </c>
      <c r="N241" s="34">
        <v>40.406719576719581</v>
      </c>
      <c r="O241" s="51"/>
      <c r="P241" s="51"/>
      <c r="R241" s="51"/>
      <c r="S241" s="51"/>
      <c r="T241" s="51"/>
      <c r="U241" s="51"/>
      <c r="X241" s="51"/>
      <c r="AH241" s="50"/>
    </row>
    <row r="242" spans="1:34" x14ac:dyDescent="0.35">
      <c r="A242" s="82">
        <v>239</v>
      </c>
      <c r="B242" s="89" t="str">
        <f>_xlfn.XLOOKUP(A242,'Model Modeshare by TAZ'!A:A,'Model Modeshare by TAZ'!B:B)</f>
        <v>Los Gatos</v>
      </c>
      <c r="C242" s="90" t="str">
        <f>_xlfn.XLOOKUP(A242,'Model Modeshare by TAZ'!A:A,'Model Modeshare by TAZ'!D:D)</f>
        <v>NO</v>
      </c>
      <c r="D242" s="27">
        <v>4486.42</v>
      </c>
      <c r="E242" s="27">
        <v>91380.4</v>
      </c>
      <c r="F242" s="27">
        <v>3443.16</v>
      </c>
      <c r="G242" s="27">
        <v>29278.54</v>
      </c>
      <c r="H242" s="27">
        <v>841.58</v>
      </c>
      <c r="I242" s="27">
        <v>12409.92</v>
      </c>
      <c r="J242" s="6">
        <v>2000</v>
      </c>
      <c r="K242" s="6">
        <v>518</v>
      </c>
      <c r="L242" s="27">
        <v>14.63927</v>
      </c>
      <c r="M242" s="27">
        <v>23.957374517374518</v>
      </c>
      <c r="N242" s="34">
        <v>31.123971405877683</v>
      </c>
      <c r="O242" s="51"/>
      <c r="R242" s="51"/>
      <c r="S242" s="51"/>
      <c r="T242" s="51"/>
      <c r="X242" s="51"/>
      <c r="AH242" s="50"/>
    </row>
    <row r="243" spans="1:34" x14ac:dyDescent="0.35">
      <c r="A243" s="82">
        <v>240</v>
      </c>
      <c r="B243" s="89" t="str">
        <f>_xlfn.XLOOKUP(A243,'Model Modeshare by TAZ'!A:A,'Model Modeshare by TAZ'!B:B)</f>
        <v>Los Gatos</v>
      </c>
      <c r="C243" s="90" t="str">
        <f>_xlfn.XLOOKUP(A243,'Model Modeshare by TAZ'!A:A,'Model Modeshare by TAZ'!D:D)</f>
        <v>NO</v>
      </c>
      <c r="D243" s="27">
        <v>3738.52</v>
      </c>
      <c r="E243" s="27">
        <v>79621.53</v>
      </c>
      <c r="F243" s="27">
        <v>1748.85</v>
      </c>
      <c r="G243" s="27">
        <v>14459.57</v>
      </c>
      <c r="H243" s="27">
        <v>706.08</v>
      </c>
      <c r="I243" s="27">
        <v>9862.52</v>
      </c>
      <c r="J243" s="6">
        <v>1158</v>
      </c>
      <c r="K243" s="6">
        <v>576</v>
      </c>
      <c r="L243" s="27">
        <v>12.486675302245251</v>
      </c>
      <c r="M243" s="27">
        <v>17.122430555555557</v>
      </c>
      <c r="N243" s="34">
        <v>44.78573241061131</v>
      </c>
      <c r="S243" s="51"/>
      <c r="T243" s="51"/>
      <c r="AH243" s="50"/>
    </row>
    <row r="244" spans="1:34" x14ac:dyDescent="0.35">
      <c r="A244" s="82">
        <v>241</v>
      </c>
      <c r="B244" s="89" t="str">
        <f>_xlfn.XLOOKUP(A244,'Model Modeshare by TAZ'!A:A,'Model Modeshare by TAZ'!B:B)</f>
        <v>Los Gatos</v>
      </c>
      <c r="C244" s="90" t="str">
        <f>_xlfn.XLOOKUP(A244,'Model Modeshare by TAZ'!A:A,'Model Modeshare by TAZ'!D:D)</f>
        <v>NO</v>
      </c>
      <c r="D244" s="27">
        <v>1892.56</v>
      </c>
      <c r="E244" s="27">
        <v>39332.269999999997</v>
      </c>
      <c r="F244" s="27">
        <v>1895.68</v>
      </c>
      <c r="G244" s="27">
        <v>16684.91</v>
      </c>
      <c r="H244" s="27">
        <v>15.58</v>
      </c>
      <c r="I244" s="27">
        <v>244.68</v>
      </c>
      <c r="J244" s="6">
        <v>1197</v>
      </c>
      <c r="K244" s="6">
        <v>8</v>
      </c>
      <c r="L244" s="27">
        <v>13.938939014202171</v>
      </c>
      <c r="M244" s="27">
        <v>30.585000000000001</v>
      </c>
      <c r="N244" s="34">
        <v>26.72858091286307</v>
      </c>
      <c r="O244" s="51"/>
      <c r="S244" s="51"/>
      <c r="T244" s="51"/>
      <c r="AH244" s="50"/>
    </row>
    <row r="245" spans="1:34" x14ac:dyDescent="0.35">
      <c r="A245" s="82">
        <v>242</v>
      </c>
      <c r="B245" s="89" t="str">
        <f>_xlfn.XLOOKUP(A245,'Model Modeshare by TAZ'!A:A,'Model Modeshare by TAZ'!B:B)</f>
        <v>Los Gatos</v>
      </c>
      <c r="C245" s="90" t="str">
        <f>_xlfn.XLOOKUP(A245,'Model Modeshare by TAZ'!A:A,'Model Modeshare by TAZ'!D:D)</f>
        <v>NO</v>
      </c>
      <c r="D245" s="27">
        <v>763.14</v>
      </c>
      <c r="E245" s="27">
        <v>14563.59</v>
      </c>
      <c r="F245" s="27">
        <v>791.36</v>
      </c>
      <c r="G245" s="27">
        <v>6559.36</v>
      </c>
      <c r="H245" s="27">
        <v>17.93</v>
      </c>
      <c r="I245" s="27">
        <v>239.77</v>
      </c>
      <c r="J245" s="6">
        <v>475</v>
      </c>
      <c r="K245" s="6">
        <v>9</v>
      </c>
      <c r="L245" s="27">
        <v>13.809178947368421</v>
      </c>
      <c r="M245" s="27">
        <v>26.641111111111112</v>
      </c>
      <c r="N245" s="34">
        <v>25.241818181818182</v>
      </c>
      <c r="S245" s="51"/>
      <c r="T245" s="51"/>
      <c r="U245" s="51"/>
      <c r="V245" s="51"/>
      <c r="X245" s="51"/>
      <c r="AH245" s="50"/>
    </row>
    <row r="246" spans="1:34" x14ac:dyDescent="0.35">
      <c r="A246" s="82">
        <v>243</v>
      </c>
      <c r="B246" s="89" t="str">
        <f>_xlfn.XLOOKUP(A246,'Model Modeshare by TAZ'!A:A,'Model Modeshare by TAZ'!B:B)</f>
        <v>Unincorporated</v>
      </c>
      <c r="C246" s="90" t="str">
        <f>_xlfn.XLOOKUP(A246,'Model Modeshare by TAZ'!A:A,'Model Modeshare by TAZ'!D:D)</f>
        <v>NO</v>
      </c>
      <c r="D246" s="27">
        <v>7262.21</v>
      </c>
      <c r="E246" s="27">
        <v>135302.49</v>
      </c>
      <c r="F246" s="27">
        <v>4044.68</v>
      </c>
      <c r="G246" s="27">
        <v>29674.84</v>
      </c>
      <c r="H246" s="27">
        <v>1052.76</v>
      </c>
      <c r="I246" s="27">
        <v>13783.51</v>
      </c>
      <c r="J246" s="6">
        <v>2472</v>
      </c>
      <c r="K246" s="6">
        <v>676</v>
      </c>
      <c r="L246" s="27">
        <v>12.004385113268608</v>
      </c>
      <c r="M246" s="27">
        <v>20.389807692307691</v>
      </c>
      <c r="N246" s="34">
        <v>37.892468233799242</v>
      </c>
      <c r="R246" s="51"/>
      <c r="S246" s="51"/>
      <c r="T246" s="51"/>
      <c r="X246" s="51"/>
      <c r="AH246" s="50"/>
    </row>
    <row r="247" spans="1:34" x14ac:dyDescent="0.35">
      <c r="A247" s="82">
        <v>244</v>
      </c>
      <c r="B247" s="89" t="str">
        <f>_xlfn.XLOOKUP(A247,'Model Modeshare by TAZ'!A:A,'Model Modeshare by TAZ'!B:B)</f>
        <v>Los Gatos</v>
      </c>
      <c r="C247" s="90" t="str">
        <f>_xlfn.XLOOKUP(A247,'Model Modeshare by TAZ'!A:A,'Model Modeshare by TAZ'!D:D)</f>
        <v>NO</v>
      </c>
      <c r="D247" s="27">
        <v>1669.25</v>
      </c>
      <c r="E247" s="27">
        <v>41885.08</v>
      </c>
      <c r="F247" s="27">
        <v>102.7</v>
      </c>
      <c r="G247" s="27">
        <v>855.28</v>
      </c>
      <c r="H247" s="27">
        <v>1030.48</v>
      </c>
      <c r="I247" s="27">
        <v>15415.66</v>
      </c>
      <c r="J247" s="6">
        <v>65</v>
      </c>
      <c r="K247" s="6">
        <v>860</v>
      </c>
      <c r="L247" s="27">
        <v>13.158153846153846</v>
      </c>
      <c r="M247" s="27">
        <v>17.925186046511627</v>
      </c>
      <c r="N247" s="34">
        <v>49.79123243243243</v>
      </c>
      <c r="R247" s="51"/>
      <c r="S247" s="51"/>
      <c r="T247" s="51"/>
      <c r="X247" s="51"/>
      <c r="AH247" s="50"/>
    </row>
    <row r="248" spans="1:34" x14ac:dyDescent="0.35">
      <c r="A248" s="82">
        <v>245</v>
      </c>
      <c r="B248" s="89" t="str">
        <f>_xlfn.XLOOKUP(A248,'Model Modeshare by TAZ'!A:A,'Model Modeshare by TAZ'!B:B)</f>
        <v>Los Gatos</v>
      </c>
      <c r="C248" s="90" t="str">
        <f>_xlfn.XLOOKUP(A248,'Model Modeshare by TAZ'!A:A,'Model Modeshare by TAZ'!D:D)</f>
        <v>NO</v>
      </c>
      <c r="D248" s="27">
        <v>2372.11</v>
      </c>
      <c r="E248" s="27">
        <v>41985.67</v>
      </c>
      <c r="F248" s="27">
        <v>2294.1</v>
      </c>
      <c r="G248" s="27">
        <v>17229.96</v>
      </c>
      <c r="H248" s="27">
        <v>199.96</v>
      </c>
      <c r="I248" s="27">
        <v>2588.4899999999998</v>
      </c>
      <c r="J248" s="6">
        <v>1423</v>
      </c>
      <c r="K248" s="6">
        <v>107</v>
      </c>
      <c r="L248" s="27">
        <v>12.108193956430076</v>
      </c>
      <c r="M248" s="27">
        <v>24.191495327102803</v>
      </c>
      <c r="N248" s="34">
        <v>24.409483660130721</v>
      </c>
      <c r="S248" s="51"/>
      <c r="T248" s="51"/>
      <c r="AH248" s="50"/>
    </row>
    <row r="249" spans="1:34" x14ac:dyDescent="0.35">
      <c r="A249" s="82">
        <v>246</v>
      </c>
      <c r="B249" s="89" t="str">
        <f>_xlfn.XLOOKUP(A249,'Model Modeshare by TAZ'!A:A,'Model Modeshare by TAZ'!B:B)</f>
        <v>Los Gatos</v>
      </c>
      <c r="C249" s="90" t="str">
        <f>_xlfn.XLOOKUP(A249,'Model Modeshare by TAZ'!A:A,'Model Modeshare by TAZ'!D:D)</f>
        <v>NO</v>
      </c>
      <c r="D249" s="27">
        <v>2680.51</v>
      </c>
      <c r="E249" s="27">
        <v>49978.14</v>
      </c>
      <c r="F249" s="27">
        <v>1510.75</v>
      </c>
      <c r="G249" s="27">
        <v>10770.84</v>
      </c>
      <c r="H249" s="27">
        <v>789.52</v>
      </c>
      <c r="I249" s="27">
        <v>11002.59</v>
      </c>
      <c r="J249" s="6">
        <v>879</v>
      </c>
      <c r="K249" s="6">
        <v>640</v>
      </c>
      <c r="L249" s="27">
        <v>12.253515358361774</v>
      </c>
      <c r="M249" s="27">
        <v>17.191546875</v>
      </c>
      <c r="N249" s="34">
        <v>31.26784068466096</v>
      </c>
      <c r="O249" s="51"/>
      <c r="S249" s="51"/>
      <c r="T249" s="51"/>
      <c r="AH249" s="50"/>
    </row>
    <row r="250" spans="1:34" x14ac:dyDescent="0.35">
      <c r="A250" s="82">
        <v>247</v>
      </c>
      <c r="B250" s="89" t="str">
        <f>_xlfn.XLOOKUP(A250,'Model Modeshare by TAZ'!A:A,'Model Modeshare by TAZ'!B:B)</f>
        <v>Unincorporated</v>
      </c>
      <c r="C250" s="90" t="str">
        <f>_xlfn.XLOOKUP(A250,'Model Modeshare by TAZ'!A:A,'Model Modeshare by TAZ'!D:D)</f>
        <v>NO</v>
      </c>
      <c r="D250" s="27">
        <v>1612.5</v>
      </c>
      <c r="E250" s="27">
        <v>35895.53</v>
      </c>
      <c r="F250" s="27">
        <v>1332.14</v>
      </c>
      <c r="G250" s="27">
        <v>11591.98</v>
      </c>
      <c r="H250" s="27">
        <v>208.82</v>
      </c>
      <c r="I250" s="27">
        <v>3336.4</v>
      </c>
      <c r="J250" s="6">
        <v>747</v>
      </c>
      <c r="K250" s="6">
        <v>122</v>
      </c>
      <c r="L250" s="27">
        <v>15.518045515394913</v>
      </c>
      <c r="M250" s="27">
        <v>27.347540983606557</v>
      </c>
      <c r="N250" s="34">
        <v>34.760563866513237</v>
      </c>
      <c r="AH250" s="50"/>
    </row>
    <row r="251" spans="1:34" x14ac:dyDescent="0.35">
      <c r="A251" s="82">
        <v>248</v>
      </c>
      <c r="B251" s="89" t="str">
        <f>_xlfn.XLOOKUP(A251,'Model Modeshare by TAZ'!A:A,'Model Modeshare by TAZ'!B:B)</f>
        <v>Unincorporated</v>
      </c>
      <c r="C251" s="90" t="str">
        <f>_xlfn.XLOOKUP(A251,'Model Modeshare by TAZ'!A:A,'Model Modeshare by TAZ'!D:D)</f>
        <v>NO</v>
      </c>
      <c r="D251" s="27">
        <v>1430.09</v>
      </c>
      <c r="E251" s="27">
        <v>34669.79</v>
      </c>
      <c r="F251" s="27">
        <v>1404.72</v>
      </c>
      <c r="G251" s="27">
        <v>15744.27</v>
      </c>
      <c r="H251" s="27">
        <v>22.61</v>
      </c>
      <c r="I251" s="27">
        <v>376.23</v>
      </c>
      <c r="J251" s="6">
        <v>821</v>
      </c>
      <c r="K251" s="6">
        <v>11</v>
      </c>
      <c r="L251" s="27">
        <v>19.176942752740562</v>
      </c>
      <c r="M251" s="27">
        <v>34.202727272727273</v>
      </c>
      <c r="N251" s="34">
        <v>33.717848557692307</v>
      </c>
      <c r="S251" s="51"/>
      <c r="T251" s="51"/>
      <c r="AH251" s="50"/>
    </row>
    <row r="252" spans="1:34" x14ac:dyDescent="0.35">
      <c r="A252" s="82">
        <v>249</v>
      </c>
      <c r="B252" s="89" t="str">
        <f>_xlfn.XLOOKUP(A252,'Model Modeshare by TAZ'!A:A,'Model Modeshare by TAZ'!B:B)</f>
        <v>Los Gatos</v>
      </c>
      <c r="C252" s="90" t="str">
        <f>_xlfn.XLOOKUP(A252,'Model Modeshare by TAZ'!A:A,'Model Modeshare by TAZ'!D:D)</f>
        <v>NO</v>
      </c>
      <c r="D252" s="27">
        <v>2837.47</v>
      </c>
      <c r="E252" s="27">
        <v>58660.99</v>
      </c>
      <c r="F252" s="27">
        <v>1357.51</v>
      </c>
      <c r="G252" s="27">
        <v>10331.49</v>
      </c>
      <c r="H252" s="27">
        <v>2270.09</v>
      </c>
      <c r="I252" s="27">
        <v>28846.32</v>
      </c>
      <c r="J252" s="6">
        <v>788</v>
      </c>
      <c r="K252" s="6">
        <v>1852</v>
      </c>
      <c r="L252" s="27">
        <v>13.111027918781726</v>
      </c>
      <c r="M252" s="27">
        <v>15.575766738660906</v>
      </c>
      <c r="N252" s="34">
        <v>32.450814393939389</v>
      </c>
      <c r="O252" s="51"/>
      <c r="S252" s="51"/>
      <c r="T252" s="51"/>
      <c r="AH252" s="50"/>
    </row>
    <row r="253" spans="1:34" x14ac:dyDescent="0.35">
      <c r="A253" s="82">
        <v>250</v>
      </c>
      <c r="B253" s="89" t="str">
        <f>_xlfn.XLOOKUP(A253,'Model Modeshare by TAZ'!A:A,'Model Modeshare by TAZ'!B:B)</f>
        <v>Los Gatos</v>
      </c>
      <c r="C253" s="90" t="str">
        <f>_xlfn.XLOOKUP(A253,'Model Modeshare by TAZ'!A:A,'Model Modeshare by TAZ'!D:D)</f>
        <v>NO</v>
      </c>
      <c r="D253" s="27">
        <v>1577.39</v>
      </c>
      <c r="E253" s="27">
        <v>34041.11</v>
      </c>
      <c r="F253" s="27">
        <v>176.23</v>
      </c>
      <c r="G253" s="27">
        <v>1379.03</v>
      </c>
      <c r="H253" s="27">
        <v>767.05</v>
      </c>
      <c r="I253" s="27">
        <v>9526.5400000000009</v>
      </c>
      <c r="J253" s="6">
        <v>111</v>
      </c>
      <c r="K253" s="6">
        <v>624</v>
      </c>
      <c r="L253" s="27">
        <v>12.423693693693693</v>
      </c>
      <c r="M253" s="27">
        <v>15.266891025641026</v>
      </c>
      <c r="N253" s="34">
        <v>38.356068027210881</v>
      </c>
      <c r="S253" s="51"/>
      <c r="T253" s="51"/>
      <c r="AH253" s="50"/>
    </row>
    <row r="254" spans="1:34" x14ac:dyDescent="0.35">
      <c r="A254" s="82">
        <v>251</v>
      </c>
      <c r="B254" s="89" t="str">
        <f>_xlfn.XLOOKUP(A254,'Model Modeshare by TAZ'!A:A,'Model Modeshare by TAZ'!B:B)</f>
        <v>Los Gatos</v>
      </c>
      <c r="C254" s="90" t="str">
        <f>_xlfn.XLOOKUP(A254,'Model Modeshare by TAZ'!A:A,'Model Modeshare by TAZ'!D:D)</f>
        <v>NO</v>
      </c>
      <c r="D254" s="27">
        <v>5114.6499999999996</v>
      </c>
      <c r="E254" s="27">
        <v>94586.47</v>
      </c>
      <c r="F254" s="27">
        <v>2689.13</v>
      </c>
      <c r="G254" s="27">
        <v>19851.43</v>
      </c>
      <c r="H254" s="27">
        <v>1243.51</v>
      </c>
      <c r="I254" s="27">
        <v>15708.75</v>
      </c>
      <c r="J254" s="6">
        <v>1641</v>
      </c>
      <c r="K254" s="6">
        <v>1037</v>
      </c>
      <c r="L254" s="27">
        <v>12.097154174283974</v>
      </c>
      <c r="M254" s="27">
        <v>15.148264223722276</v>
      </c>
      <c r="N254" s="34">
        <v>32.072393577296488</v>
      </c>
      <c r="S254" s="51"/>
      <c r="T254" s="51"/>
      <c r="AH254" s="50"/>
    </row>
    <row r="255" spans="1:34" x14ac:dyDescent="0.35">
      <c r="A255" s="82">
        <v>252</v>
      </c>
      <c r="B255" s="89" t="str">
        <f>_xlfn.XLOOKUP(A255,'Model Modeshare by TAZ'!A:A,'Model Modeshare by TAZ'!B:B)</f>
        <v>Milpitas</v>
      </c>
      <c r="C255" s="90" t="str">
        <f>_xlfn.XLOOKUP(A255,'Model Modeshare by TAZ'!A:A,'Model Modeshare by TAZ'!D:D)</f>
        <v>NO</v>
      </c>
      <c r="D255" s="27">
        <v>769.55</v>
      </c>
      <c r="E255" s="27">
        <v>17260.599999999999</v>
      </c>
      <c r="F255" s="27">
        <v>109.35</v>
      </c>
      <c r="G255" s="27">
        <v>896.4</v>
      </c>
      <c r="H255" s="27">
        <v>205.91</v>
      </c>
      <c r="I255" s="27">
        <v>2844.47</v>
      </c>
      <c r="J255" s="6">
        <v>48</v>
      </c>
      <c r="K255" s="6">
        <v>168</v>
      </c>
      <c r="L255" s="27">
        <v>18.675000000000001</v>
      </c>
      <c r="M255" s="27">
        <v>16.931369047619047</v>
      </c>
      <c r="N255" s="34">
        <v>35.645416666666669</v>
      </c>
      <c r="O255" s="51"/>
      <c r="R255" s="51"/>
      <c r="S255" s="51"/>
      <c r="T255" s="51"/>
      <c r="U255" s="51"/>
      <c r="X255" s="51"/>
      <c r="AH255" s="50"/>
    </row>
    <row r="256" spans="1:34" x14ac:dyDescent="0.35">
      <c r="A256" s="82">
        <v>253</v>
      </c>
      <c r="B256" s="89" t="str">
        <f>_xlfn.XLOOKUP(A256,'Model Modeshare by TAZ'!A:A,'Model Modeshare by TAZ'!B:B)</f>
        <v>Milpitas</v>
      </c>
      <c r="C256" s="90" t="str">
        <f>_xlfn.XLOOKUP(A256,'Model Modeshare by TAZ'!A:A,'Model Modeshare by TAZ'!D:D)</f>
        <v>NO</v>
      </c>
      <c r="D256" s="27">
        <v>2487.04</v>
      </c>
      <c r="E256" s="27">
        <v>41263.230000000003</v>
      </c>
      <c r="F256" s="27">
        <v>812.44</v>
      </c>
      <c r="G256" s="27">
        <v>5620.44</v>
      </c>
      <c r="H256" s="27">
        <v>192.01</v>
      </c>
      <c r="I256" s="27">
        <v>2537.5</v>
      </c>
      <c r="J256" s="6">
        <v>536</v>
      </c>
      <c r="K256" s="6">
        <v>127</v>
      </c>
      <c r="L256" s="27">
        <v>10.485895522388059</v>
      </c>
      <c r="M256" s="27">
        <v>19.980314960629922</v>
      </c>
      <c r="N256" s="34">
        <v>24.956651583710403</v>
      </c>
      <c r="S256" s="51"/>
      <c r="AH256" s="50"/>
    </row>
    <row r="257" spans="1:34" x14ac:dyDescent="0.35">
      <c r="A257" s="82">
        <v>254</v>
      </c>
      <c r="B257" s="89" t="str">
        <f>_xlfn.XLOOKUP(A257,'Model Modeshare by TAZ'!A:A,'Model Modeshare by TAZ'!B:B)</f>
        <v>Milpitas</v>
      </c>
      <c r="C257" s="90" t="str">
        <f>_xlfn.XLOOKUP(A257,'Model Modeshare by TAZ'!A:A,'Model Modeshare by TAZ'!D:D)</f>
        <v>NO</v>
      </c>
      <c r="D257" s="27">
        <v>4660.7299999999996</v>
      </c>
      <c r="E257" s="27">
        <v>84845.11</v>
      </c>
      <c r="F257" s="27">
        <v>1311.03</v>
      </c>
      <c r="G257" s="27">
        <v>9558.93</v>
      </c>
      <c r="H257" s="27">
        <v>920.56</v>
      </c>
      <c r="I257" s="27">
        <v>12334.74</v>
      </c>
      <c r="J257" s="6">
        <v>898</v>
      </c>
      <c r="K257" s="6">
        <v>814</v>
      </c>
      <c r="L257" s="27">
        <v>10.644688195991092</v>
      </c>
      <c r="M257" s="27">
        <v>15.153243243243242</v>
      </c>
      <c r="N257" s="34">
        <v>27.883860981308409</v>
      </c>
      <c r="O257" s="51"/>
      <c r="S257" s="51"/>
      <c r="T257" s="51"/>
      <c r="AH257" s="50"/>
    </row>
    <row r="258" spans="1:34" x14ac:dyDescent="0.35">
      <c r="A258" s="82">
        <v>255</v>
      </c>
      <c r="B258" s="89" t="str">
        <f>_xlfn.XLOOKUP(A258,'Model Modeshare by TAZ'!A:A,'Model Modeshare by TAZ'!B:B)</f>
        <v>Milpitas</v>
      </c>
      <c r="C258" s="90" t="str">
        <f>_xlfn.XLOOKUP(A258,'Model Modeshare by TAZ'!A:A,'Model Modeshare by TAZ'!D:D)</f>
        <v>NO</v>
      </c>
      <c r="D258" s="27">
        <v>4889.96</v>
      </c>
      <c r="E258" s="27">
        <v>86444.94</v>
      </c>
      <c r="F258" s="27">
        <v>1769.29</v>
      </c>
      <c r="G258" s="27">
        <v>12414.26</v>
      </c>
      <c r="H258" s="27">
        <v>1028.08</v>
      </c>
      <c r="I258" s="27">
        <v>13048.54</v>
      </c>
      <c r="J258" s="6">
        <v>1239</v>
      </c>
      <c r="K258" s="6">
        <v>892</v>
      </c>
      <c r="L258" s="27">
        <v>10.01958030669895</v>
      </c>
      <c r="M258" s="27">
        <v>14.628408071748879</v>
      </c>
      <c r="N258" s="34">
        <v>24.585664007508214</v>
      </c>
      <c r="O258" s="51"/>
      <c r="R258" s="51"/>
      <c r="S258" s="51"/>
      <c r="T258" s="51"/>
      <c r="X258" s="51"/>
      <c r="AH258" s="50"/>
    </row>
    <row r="259" spans="1:34" x14ac:dyDescent="0.35">
      <c r="A259" s="82">
        <v>256</v>
      </c>
      <c r="B259" s="89" t="str">
        <f>_xlfn.XLOOKUP(A259,'Model Modeshare by TAZ'!A:A,'Model Modeshare by TAZ'!B:B)</f>
        <v>Milpitas</v>
      </c>
      <c r="C259" s="90" t="str">
        <f>_xlfn.XLOOKUP(A259,'Model Modeshare by TAZ'!A:A,'Model Modeshare by TAZ'!D:D)</f>
        <v>NO</v>
      </c>
      <c r="D259" s="27">
        <v>533.44000000000005</v>
      </c>
      <c r="E259" s="27">
        <v>13506.54</v>
      </c>
      <c r="F259" s="27">
        <v>0</v>
      </c>
      <c r="G259" s="27">
        <v>0</v>
      </c>
      <c r="H259" s="27">
        <v>225.26</v>
      </c>
      <c r="I259" s="27">
        <v>3415.47</v>
      </c>
      <c r="J259" s="6">
        <v>0</v>
      </c>
      <c r="K259" s="6">
        <v>183</v>
      </c>
      <c r="L259" s="27">
        <v>0</v>
      </c>
      <c r="M259" s="27">
        <v>18.663770491803277</v>
      </c>
      <c r="N259" s="34">
        <v>91.99524590163935</v>
      </c>
      <c r="S259" s="51"/>
      <c r="T259" s="51"/>
      <c r="U259" s="51"/>
      <c r="AH259" s="50"/>
    </row>
    <row r="260" spans="1:34" x14ac:dyDescent="0.35">
      <c r="A260" s="82">
        <v>257</v>
      </c>
      <c r="B260" s="89" t="str">
        <f>_xlfn.XLOOKUP(A260,'Model Modeshare by TAZ'!A:A,'Model Modeshare by TAZ'!B:B)</f>
        <v>Milpitas</v>
      </c>
      <c r="C260" s="90" t="str">
        <f>_xlfn.XLOOKUP(A260,'Model Modeshare by TAZ'!A:A,'Model Modeshare by TAZ'!D:D)</f>
        <v>NO</v>
      </c>
      <c r="D260" s="27">
        <v>4772.32</v>
      </c>
      <c r="E260" s="27">
        <v>85336.03</v>
      </c>
      <c r="F260" s="27">
        <v>2616.54</v>
      </c>
      <c r="G260" s="27">
        <v>19566.21</v>
      </c>
      <c r="H260" s="27">
        <v>689.59</v>
      </c>
      <c r="I260" s="27">
        <v>8861.92</v>
      </c>
      <c r="J260" s="6">
        <v>1625</v>
      </c>
      <c r="K260" s="6">
        <v>451</v>
      </c>
      <c r="L260" s="27">
        <v>12.040744615384614</v>
      </c>
      <c r="M260" s="27">
        <v>19.649490022172948</v>
      </c>
      <c r="N260" s="34">
        <v>33.283699421965323</v>
      </c>
      <c r="S260" s="51"/>
      <c r="T260" s="51"/>
      <c r="U260" s="51"/>
      <c r="AH260" s="50"/>
    </row>
    <row r="261" spans="1:34" x14ac:dyDescent="0.35">
      <c r="A261" s="82">
        <v>258</v>
      </c>
      <c r="B261" s="89" t="str">
        <f>_xlfn.XLOOKUP(A261,'Model Modeshare by TAZ'!A:A,'Model Modeshare by TAZ'!B:B)</f>
        <v>Milpitas</v>
      </c>
      <c r="C261" s="90" t="str">
        <f>_xlfn.XLOOKUP(A261,'Model Modeshare by TAZ'!A:A,'Model Modeshare by TAZ'!D:D)</f>
        <v>NO</v>
      </c>
      <c r="D261" s="27">
        <v>1048.6500000000001</v>
      </c>
      <c r="E261" s="27">
        <v>30612.560000000001</v>
      </c>
      <c r="F261" s="27">
        <v>0</v>
      </c>
      <c r="G261" s="27">
        <v>0</v>
      </c>
      <c r="H261" s="27">
        <v>1320.47</v>
      </c>
      <c r="I261" s="27">
        <v>19756.55</v>
      </c>
      <c r="J261" s="6">
        <v>0</v>
      </c>
      <c r="K261" s="6">
        <v>1086</v>
      </c>
      <c r="L261" s="27">
        <v>0</v>
      </c>
      <c r="M261" s="27">
        <v>18.192034990791896</v>
      </c>
      <c r="N261" s="34">
        <v>34.477421731123393</v>
      </c>
      <c r="S261" s="51"/>
      <c r="T261" s="51"/>
      <c r="AH261" s="50"/>
    </row>
    <row r="262" spans="1:34" x14ac:dyDescent="0.35">
      <c r="A262" s="82">
        <v>259</v>
      </c>
      <c r="B262" s="89" t="str">
        <f>_xlfn.XLOOKUP(A262,'Model Modeshare by TAZ'!A:A,'Model Modeshare by TAZ'!B:B)</f>
        <v>Milpitas</v>
      </c>
      <c r="C262" s="90" t="str">
        <f>_xlfn.XLOOKUP(A262,'Model Modeshare by TAZ'!A:A,'Model Modeshare by TAZ'!D:D)</f>
        <v>NO</v>
      </c>
      <c r="D262" s="27">
        <v>3035.81</v>
      </c>
      <c r="E262" s="27">
        <v>77332.240000000005</v>
      </c>
      <c r="F262" s="27">
        <v>0</v>
      </c>
      <c r="G262" s="27">
        <v>0</v>
      </c>
      <c r="H262" s="27">
        <v>879.32</v>
      </c>
      <c r="I262" s="27">
        <v>13022.28</v>
      </c>
      <c r="J262" s="6">
        <v>0</v>
      </c>
      <c r="K262" s="6">
        <v>731</v>
      </c>
      <c r="L262" s="27">
        <v>0</v>
      </c>
      <c r="M262" s="27">
        <v>17.814336525307798</v>
      </c>
      <c r="N262" s="34">
        <v>133.12941176470588</v>
      </c>
      <c r="P262" s="51"/>
      <c r="R262" s="51"/>
      <c r="S262" s="51"/>
      <c r="T262" s="51"/>
      <c r="U262" s="51"/>
      <c r="V262" s="51"/>
      <c r="X262" s="51"/>
      <c r="AH262" s="50"/>
    </row>
    <row r="263" spans="1:34" x14ac:dyDescent="0.35">
      <c r="A263" s="82">
        <v>260</v>
      </c>
      <c r="B263" s="89" t="str">
        <f>_xlfn.XLOOKUP(A263,'Model Modeshare by TAZ'!A:A,'Model Modeshare by TAZ'!B:B)</f>
        <v>Milpitas</v>
      </c>
      <c r="C263" s="90" t="str">
        <f>_xlfn.XLOOKUP(A263,'Model Modeshare by TAZ'!A:A,'Model Modeshare by TAZ'!D:D)</f>
        <v>NO</v>
      </c>
      <c r="D263" s="27">
        <v>752.08</v>
      </c>
      <c r="E263" s="27">
        <v>19310.73</v>
      </c>
      <c r="F263" s="27">
        <v>0</v>
      </c>
      <c r="G263" s="27">
        <v>0</v>
      </c>
      <c r="H263" s="27">
        <v>870.58</v>
      </c>
      <c r="I263" s="27">
        <v>12455.87</v>
      </c>
      <c r="J263" s="6">
        <v>0</v>
      </c>
      <c r="K263" s="6">
        <v>736</v>
      </c>
      <c r="L263" s="27">
        <v>0</v>
      </c>
      <c r="M263" s="27">
        <v>16.923736413043478</v>
      </c>
      <c r="N263" s="34">
        <v>31.914266304347827</v>
      </c>
      <c r="S263" s="51"/>
      <c r="T263" s="51"/>
      <c r="AH263" s="50"/>
    </row>
    <row r="264" spans="1:34" x14ac:dyDescent="0.35">
      <c r="A264" s="82">
        <v>261</v>
      </c>
      <c r="B264" s="89" t="str">
        <f>_xlfn.XLOOKUP(A264,'Model Modeshare by TAZ'!A:A,'Model Modeshare by TAZ'!B:B)</f>
        <v>Milpitas</v>
      </c>
      <c r="C264" s="90" t="str">
        <f>_xlfn.XLOOKUP(A264,'Model Modeshare by TAZ'!A:A,'Model Modeshare by TAZ'!D:D)</f>
        <v>NO</v>
      </c>
      <c r="D264" s="27">
        <v>8836.99</v>
      </c>
      <c r="E264" s="27">
        <v>218469.99</v>
      </c>
      <c r="F264" s="27">
        <v>0.85</v>
      </c>
      <c r="G264" s="27">
        <v>6.17</v>
      </c>
      <c r="H264" s="27">
        <v>1076.6500000000001</v>
      </c>
      <c r="I264" s="27">
        <v>15550.51</v>
      </c>
      <c r="J264" s="6">
        <v>2</v>
      </c>
      <c r="K264" s="6">
        <v>998</v>
      </c>
      <c r="L264" s="27">
        <v>3.085</v>
      </c>
      <c r="M264" s="27">
        <v>15.581673346693387</v>
      </c>
      <c r="N264" s="34">
        <v>134.22005999999999</v>
      </c>
      <c r="S264" s="51"/>
      <c r="T264" s="51"/>
      <c r="AH264" s="50"/>
    </row>
    <row r="265" spans="1:34" x14ac:dyDescent="0.35">
      <c r="A265" s="82">
        <v>262</v>
      </c>
      <c r="B265" s="89" t="str">
        <f>_xlfn.XLOOKUP(A265,'Model Modeshare by TAZ'!A:A,'Model Modeshare by TAZ'!B:B)</f>
        <v>Milpitas</v>
      </c>
      <c r="C265" s="90" t="str">
        <f>_xlfn.XLOOKUP(A265,'Model Modeshare by TAZ'!A:A,'Model Modeshare by TAZ'!D:D)</f>
        <v>NO</v>
      </c>
      <c r="D265" s="27">
        <v>2505.87</v>
      </c>
      <c r="E265" s="27">
        <v>53255.65</v>
      </c>
      <c r="F265" s="27">
        <v>4445.3599999999997</v>
      </c>
      <c r="G265" s="27">
        <v>44213.88</v>
      </c>
      <c r="H265" s="27">
        <v>65.260000000000005</v>
      </c>
      <c r="I265" s="27">
        <v>984.91</v>
      </c>
      <c r="J265" s="6">
        <v>2805</v>
      </c>
      <c r="K265" s="6">
        <v>34</v>
      </c>
      <c r="L265" s="27">
        <v>15.762524064171123</v>
      </c>
      <c r="M265" s="27">
        <v>28.967941176470589</v>
      </c>
      <c r="N265" s="34">
        <v>28.056984853821767</v>
      </c>
      <c r="AH265" s="50"/>
    </row>
    <row r="266" spans="1:34" x14ac:dyDescent="0.35">
      <c r="A266" s="82">
        <v>263</v>
      </c>
      <c r="B266" s="89" t="str">
        <f>_xlfn.XLOOKUP(A266,'Model Modeshare by TAZ'!A:A,'Model Modeshare by TAZ'!B:B)</f>
        <v>Milpitas</v>
      </c>
      <c r="C266" s="90" t="str">
        <f>_xlfn.XLOOKUP(A266,'Model Modeshare by TAZ'!A:A,'Model Modeshare by TAZ'!D:D)</f>
        <v>NO</v>
      </c>
      <c r="D266" s="27">
        <v>2535.4499999999998</v>
      </c>
      <c r="E266" s="27">
        <v>65614.33</v>
      </c>
      <c r="F266" s="27">
        <v>846.43</v>
      </c>
      <c r="G266" s="27">
        <v>9078.27</v>
      </c>
      <c r="H266" s="27">
        <v>295.07</v>
      </c>
      <c r="I266" s="27">
        <v>4722.1899999999996</v>
      </c>
      <c r="J266" s="6">
        <v>495</v>
      </c>
      <c r="K266" s="6">
        <v>203</v>
      </c>
      <c r="L266" s="27">
        <v>18.339939393939396</v>
      </c>
      <c r="M266" s="27">
        <v>23.262019704433495</v>
      </c>
      <c r="N266" s="34">
        <v>56.016074498567335</v>
      </c>
      <c r="S266" s="51"/>
      <c r="T266" s="51"/>
      <c r="X266" s="51"/>
      <c r="AH266" s="50"/>
    </row>
    <row r="267" spans="1:34" x14ac:dyDescent="0.35">
      <c r="A267" s="82">
        <v>264</v>
      </c>
      <c r="B267" s="89" t="str">
        <f>_xlfn.XLOOKUP(A267,'Model Modeshare by TAZ'!A:A,'Model Modeshare by TAZ'!B:B)</f>
        <v>Milpitas</v>
      </c>
      <c r="C267" s="90" t="str">
        <f>_xlfn.XLOOKUP(A267,'Model Modeshare by TAZ'!A:A,'Model Modeshare by TAZ'!D:D)</f>
        <v>NO</v>
      </c>
      <c r="D267" s="27">
        <v>2880.06</v>
      </c>
      <c r="E267" s="27">
        <v>55068.98</v>
      </c>
      <c r="F267" s="27">
        <v>3470.24</v>
      </c>
      <c r="G267" s="27">
        <v>29798.74</v>
      </c>
      <c r="H267" s="27">
        <v>80.97</v>
      </c>
      <c r="I267" s="27">
        <v>1206.6300000000001</v>
      </c>
      <c r="J267" s="6">
        <v>2153</v>
      </c>
      <c r="K267" s="6">
        <v>42</v>
      </c>
      <c r="L267" s="27">
        <v>13.840566651184394</v>
      </c>
      <c r="M267" s="27">
        <v>28.729285714285716</v>
      </c>
      <c r="N267" s="34">
        <v>23.921712984054672</v>
      </c>
      <c r="S267" s="51"/>
      <c r="AH267" s="50"/>
    </row>
    <row r="268" spans="1:34" x14ac:dyDescent="0.35">
      <c r="A268" s="82">
        <v>265</v>
      </c>
      <c r="B268" s="89" t="str">
        <f>_xlfn.XLOOKUP(A268,'Model Modeshare by TAZ'!A:A,'Model Modeshare by TAZ'!B:B)</f>
        <v>Milpitas</v>
      </c>
      <c r="C268" s="90" t="str">
        <f>_xlfn.XLOOKUP(A268,'Model Modeshare by TAZ'!A:A,'Model Modeshare by TAZ'!D:D)</f>
        <v>NO</v>
      </c>
      <c r="D268" s="27">
        <v>981.65</v>
      </c>
      <c r="E268" s="27">
        <v>15769.83</v>
      </c>
      <c r="F268" s="27">
        <v>1135.1400000000001</v>
      </c>
      <c r="G268" s="27">
        <v>9108.9699999999993</v>
      </c>
      <c r="H268" s="27">
        <v>23.72</v>
      </c>
      <c r="I268" s="27">
        <v>342.85</v>
      </c>
      <c r="J268" s="6">
        <v>757</v>
      </c>
      <c r="K268" s="6">
        <v>12</v>
      </c>
      <c r="L268" s="27">
        <v>12.032985468956406</v>
      </c>
      <c r="M268" s="27">
        <v>28.570833333333336</v>
      </c>
      <c r="N268" s="34">
        <v>18.806124837451236</v>
      </c>
      <c r="R268" s="51"/>
      <c r="S268" s="51"/>
      <c r="T268" s="51"/>
      <c r="U268" s="51"/>
      <c r="V268" s="51"/>
      <c r="X268" s="51"/>
      <c r="AH268" s="50"/>
    </row>
    <row r="269" spans="1:34" x14ac:dyDescent="0.35">
      <c r="A269" s="82">
        <v>266</v>
      </c>
      <c r="B269" s="89" t="str">
        <f>_xlfn.XLOOKUP(A269,'Model Modeshare by TAZ'!A:A,'Model Modeshare by TAZ'!B:B)</f>
        <v>Milpitas</v>
      </c>
      <c r="C269" s="90" t="str">
        <f>_xlfn.XLOOKUP(A269,'Model Modeshare by TAZ'!A:A,'Model Modeshare by TAZ'!D:D)</f>
        <v>NO</v>
      </c>
      <c r="D269" s="27">
        <v>2063.54</v>
      </c>
      <c r="E269" s="27">
        <v>35956.67</v>
      </c>
      <c r="F269" s="27">
        <v>1455.64</v>
      </c>
      <c r="G269" s="27">
        <v>9008.48</v>
      </c>
      <c r="H269" s="27">
        <v>279.16000000000003</v>
      </c>
      <c r="I269" s="27">
        <v>3837.48</v>
      </c>
      <c r="J269" s="6">
        <v>1040</v>
      </c>
      <c r="K269" s="6">
        <v>180</v>
      </c>
      <c r="L269" s="27">
        <v>8.661999999999999</v>
      </c>
      <c r="M269" s="27">
        <v>21.319333333333333</v>
      </c>
      <c r="N269" s="34">
        <v>16.620483606557379</v>
      </c>
      <c r="S269" s="51"/>
      <c r="T269" s="51"/>
      <c r="AH269" s="50"/>
    </row>
    <row r="270" spans="1:34" x14ac:dyDescent="0.35">
      <c r="A270" s="82">
        <v>267</v>
      </c>
      <c r="B270" s="89" t="str">
        <f>_xlfn.XLOOKUP(A270,'Model Modeshare by TAZ'!A:A,'Model Modeshare by TAZ'!B:B)</f>
        <v>Milpitas</v>
      </c>
      <c r="C270" s="90" t="str">
        <f>_xlfn.XLOOKUP(A270,'Model Modeshare by TAZ'!A:A,'Model Modeshare by TAZ'!D:D)</f>
        <v>NO</v>
      </c>
      <c r="D270" s="27">
        <v>1915.8</v>
      </c>
      <c r="E270" s="27">
        <v>21604.41</v>
      </c>
      <c r="F270" s="27">
        <v>2369.0700000000002</v>
      </c>
      <c r="G270" s="27">
        <v>14102.73</v>
      </c>
      <c r="H270" s="27">
        <v>5.61</v>
      </c>
      <c r="I270" s="27">
        <v>76.59</v>
      </c>
      <c r="J270" s="6">
        <v>1593</v>
      </c>
      <c r="K270" s="6">
        <v>3</v>
      </c>
      <c r="L270" s="27">
        <v>8.8529378531073437</v>
      </c>
      <c r="M270" s="27">
        <v>25.53</v>
      </c>
      <c r="N270" s="34">
        <v>10.728157894736842</v>
      </c>
      <c r="S270" s="51"/>
      <c r="T270" s="51"/>
      <c r="AH270" s="50"/>
    </row>
    <row r="271" spans="1:34" x14ac:dyDescent="0.35">
      <c r="A271" s="82">
        <v>268</v>
      </c>
      <c r="B271" s="89" t="str">
        <f>_xlfn.XLOOKUP(A271,'Model Modeshare by TAZ'!A:A,'Model Modeshare by TAZ'!B:B)</f>
        <v>Milpitas</v>
      </c>
      <c r="C271" s="90" t="str">
        <f>_xlfn.XLOOKUP(A271,'Model Modeshare by TAZ'!A:A,'Model Modeshare by TAZ'!D:D)</f>
        <v>NO</v>
      </c>
      <c r="D271" s="27">
        <v>6249.51</v>
      </c>
      <c r="E271" s="27">
        <v>118241.1</v>
      </c>
      <c r="F271" s="27">
        <v>5200.6099999999997</v>
      </c>
      <c r="G271" s="27">
        <v>43278.17</v>
      </c>
      <c r="H271" s="27">
        <v>1740.15</v>
      </c>
      <c r="I271" s="27">
        <v>24373.52</v>
      </c>
      <c r="J271" s="6">
        <v>3163</v>
      </c>
      <c r="K271" s="6">
        <v>1395</v>
      </c>
      <c r="L271" s="27">
        <v>13.682633575719253</v>
      </c>
      <c r="M271" s="27">
        <v>17.472057347670251</v>
      </c>
      <c r="N271" s="34">
        <v>21.813203159280388</v>
      </c>
      <c r="O271" s="51"/>
      <c r="S271" s="51"/>
      <c r="T271" s="51"/>
      <c r="X271" s="51"/>
      <c r="AH271" s="50"/>
    </row>
    <row r="272" spans="1:34" x14ac:dyDescent="0.35">
      <c r="A272" s="82">
        <v>269</v>
      </c>
      <c r="B272" s="89" t="str">
        <f>_xlfn.XLOOKUP(A272,'Model Modeshare by TAZ'!A:A,'Model Modeshare by TAZ'!B:B)</f>
        <v>Milpitas</v>
      </c>
      <c r="C272" s="90" t="str">
        <f>_xlfn.XLOOKUP(A272,'Model Modeshare by TAZ'!A:A,'Model Modeshare by TAZ'!D:D)</f>
        <v>NO</v>
      </c>
      <c r="D272" s="27">
        <v>6200.33</v>
      </c>
      <c r="E272" s="27">
        <v>109650.75</v>
      </c>
      <c r="F272" s="27">
        <v>1480</v>
      </c>
      <c r="G272" s="27">
        <v>9483.69</v>
      </c>
      <c r="H272" s="27">
        <v>773.14</v>
      </c>
      <c r="I272" s="27">
        <v>10310.68</v>
      </c>
      <c r="J272" s="6">
        <v>1154</v>
      </c>
      <c r="K272" s="6">
        <v>670</v>
      </c>
      <c r="L272" s="27">
        <v>8.2181022530329297</v>
      </c>
      <c r="M272" s="27">
        <v>15.389074626865671</v>
      </c>
      <c r="N272" s="34">
        <v>26.646798245614036</v>
      </c>
      <c r="O272" s="51"/>
      <c r="S272" s="51"/>
      <c r="T272" s="51"/>
      <c r="AH272" s="50"/>
    </row>
    <row r="273" spans="1:34" x14ac:dyDescent="0.35">
      <c r="A273" s="82">
        <v>270</v>
      </c>
      <c r="B273" s="89" t="str">
        <f>_xlfn.XLOOKUP(A273,'Model Modeshare by TAZ'!A:A,'Model Modeshare by TAZ'!B:B)</f>
        <v>Milpitas</v>
      </c>
      <c r="C273" s="90" t="str">
        <f>_xlfn.XLOOKUP(A273,'Model Modeshare by TAZ'!A:A,'Model Modeshare by TAZ'!D:D)</f>
        <v>NO</v>
      </c>
      <c r="D273" s="27">
        <v>4220.46</v>
      </c>
      <c r="E273" s="27">
        <v>61861.35</v>
      </c>
      <c r="F273" s="27">
        <v>5046.57</v>
      </c>
      <c r="G273" s="27">
        <v>34460.67</v>
      </c>
      <c r="H273" s="27">
        <v>506.99</v>
      </c>
      <c r="I273" s="27">
        <v>6876.17</v>
      </c>
      <c r="J273" s="6">
        <v>3909</v>
      </c>
      <c r="K273" s="6">
        <v>279</v>
      </c>
      <c r="L273" s="27">
        <v>8.8157252494244052</v>
      </c>
      <c r="M273" s="27">
        <v>24.645770609318998</v>
      </c>
      <c r="N273" s="34">
        <v>15.34194364851958</v>
      </c>
      <c r="O273" s="51"/>
      <c r="S273" s="51"/>
      <c r="T273" s="51"/>
      <c r="AH273" s="50"/>
    </row>
    <row r="274" spans="1:34" x14ac:dyDescent="0.35">
      <c r="A274" s="82">
        <v>271</v>
      </c>
      <c r="B274" s="89" t="str">
        <f>_xlfn.XLOOKUP(A274,'Model Modeshare by TAZ'!A:A,'Model Modeshare by TAZ'!B:B)</f>
        <v>Milpitas</v>
      </c>
      <c r="C274" s="90" t="str">
        <f>_xlfn.XLOOKUP(A274,'Model Modeshare by TAZ'!A:A,'Model Modeshare by TAZ'!D:D)</f>
        <v>NO</v>
      </c>
      <c r="D274" s="27">
        <v>4588.88</v>
      </c>
      <c r="E274" s="27">
        <v>81204.05</v>
      </c>
      <c r="F274" s="27">
        <v>3664.28</v>
      </c>
      <c r="G274" s="27">
        <v>28298.44</v>
      </c>
      <c r="H274" s="27">
        <v>431.81</v>
      </c>
      <c r="I274" s="27">
        <v>5686.74</v>
      </c>
      <c r="J274" s="6">
        <v>2643</v>
      </c>
      <c r="K274" s="6">
        <v>249</v>
      </c>
      <c r="L274" s="27">
        <v>10.706939084373817</v>
      </c>
      <c r="M274" s="27">
        <v>22.838313253012046</v>
      </c>
      <c r="N274" s="34">
        <v>22.46210235131397</v>
      </c>
      <c r="R274" s="51"/>
      <c r="S274" s="51"/>
      <c r="T274" s="51"/>
      <c r="AH274" s="50"/>
    </row>
    <row r="275" spans="1:34" x14ac:dyDescent="0.35">
      <c r="A275" s="82">
        <v>272</v>
      </c>
      <c r="B275" s="89" t="str">
        <f>_xlfn.XLOOKUP(A275,'Model Modeshare by TAZ'!A:A,'Model Modeshare by TAZ'!B:B)</f>
        <v>Milpitas</v>
      </c>
      <c r="C275" s="90" t="str">
        <f>_xlfn.XLOOKUP(A275,'Model Modeshare by TAZ'!A:A,'Model Modeshare by TAZ'!D:D)</f>
        <v>NO</v>
      </c>
      <c r="D275" s="27">
        <v>6054.66</v>
      </c>
      <c r="E275" s="27">
        <v>100454.05</v>
      </c>
      <c r="F275" s="27">
        <v>5786.16</v>
      </c>
      <c r="G275" s="27">
        <v>44593.13</v>
      </c>
      <c r="H275" s="27">
        <v>153.16</v>
      </c>
      <c r="I275" s="27">
        <v>1997.29</v>
      </c>
      <c r="J275" s="6">
        <v>3724</v>
      </c>
      <c r="K275" s="6">
        <v>82</v>
      </c>
      <c r="L275" s="27">
        <v>11.974524704618689</v>
      </c>
      <c r="M275" s="27">
        <v>24.357195121951218</v>
      </c>
      <c r="N275" s="34">
        <v>20.476962690488705</v>
      </c>
      <c r="O275" s="51"/>
      <c r="R275" s="51"/>
      <c r="S275" s="51"/>
      <c r="T275" s="51"/>
      <c r="U275" s="51"/>
      <c r="X275" s="51"/>
      <c r="AH275" s="50"/>
    </row>
    <row r="276" spans="1:34" x14ac:dyDescent="0.35">
      <c r="A276" s="82">
        <v>273</v>
      </c>
      <c r="B276" s="89" t="str">
        <f>_xlfn.XLOOKUP(A276,'Model Modeshare by TAZ'!A:A,'Model Modeshare by TAZ'!B:B)</f>
        <v>Milpitas</v>
      </c>
      <c r="C276" s="90" t="str">
        <f>_xlfn.XLOOKUP(A276,'Model Modeshare by TAZ'!A:A,'Model Modeshare by TAZ'!D:D)</f>
        <v>NO</v>
      </c>
      <c r="D276" s="27">
        <v>3740.35</v>
      </c>
      <c r="E276" s="27">
        <v>89372.54</v>
      </c>
      <c r="F276" s="27">
        <v>450.16</v>
      </c>
      <c r="G276" s="27">
        <v>3701.12</v>
      </c>
      <c r="H276" s="27">
        <v>3988.01</v>
      </c>
      <c r="I276" s="27">
        <v>54382.879999999997</v>
      </c>
      <c r="J276" s="6">
        <v>269</v>
      </c>
      <c r="K276" s="6">
        <v>3326</v>
      </c>
      <c r="L276" s="27">
        <v>13.758810408921933</v>
      </c>
      <c r="M276" s="27">
        <v>16.350835838845459</v>
      </c>
      <c r="N276" s="34">
        <v>33.06931849791377</v>
      </c>
      <c r="R276" s="51"/>
      <c r="S276" s="51"/>
      <c r="T276" s="51"/>
      <c r="U276" s="51"/>
      <c r="X276" s="51"/>
      <c r="AH276" s="50"/>
    </row>
    <row r="277" spans="1:34" x14ac:dyDescent="0.35">
      <c r="A277" s="82">
        <v>274</v>
      </c>
      <c r="B277" s="89" t="str">
        <f>_xlfn.XLOOKUP(A277,'Model Modeshare by TAZ'!A:A,'Model Modeshare by TAZ'!B:B)</f>
        <v>Milpitas</v>
      </c>
      <c r="C277" s="90" t="str">
        <f>_xlfn.XLOOKUP(A277,'Model Modeshare by TAZ'!A:A,'Model Modeshare by TAZ'!D:D)</f>
        <v>NO</v>
      </c>
      <c r="D277" s="27">
        <v>3013.74</v>
      </c>
      <c r="E277" s="27">
        <v>55180.14</v>
      </c>
      <c r="F277" s="27">
        <v>2440.85</v>
      </c>
      <c r="G277" s="27">
        <v>18213.93</v>
      </c>
      <c r="H277" s="27">
        <v>386.19</v>
      </c>
      <c r="I277" s="27">
        <v>5074.7299999999996</v>
      </c>
      <c r="J277" s="6">
        <v>1584</v>
      </c>
      <c r="K277" s="6">
        <v>209</v>
      </c>
      <c r="L277" s="27">
        <v>11.498693181818181</v>
      </c>
      <c r="M277" s="27">
        <v>24.281004784688992</v>
      </c>
      <c r="N277" s="34">
        <v>23.996134969325155</v>
      </c>
      <c r="S277" s="51"/>
      <c r="T277" s="51"/>
      <c r="AH277" s="50"/>
    </row>
    <row r="278" spans="1:34" x14ac:dyDescent="0.35">
      <c r="A278" s="82">
        <v>275</v>
      </c>
      <c r="B278" s="89" t="str">
        <f>_xlfn.XLOOKUP(A278,'Model Modeshare by TAZ'!A:A,'Model Modeshare by TAZ'!B:B)</f>
        <v>Milpitas</v>
      </c>
      <c r="C278" s="90" t="str">
        <f>_xlfn.XLOOKUP(A278,'Model Modeshare by TAZ'!A:A,'Model Modeshare by TAZ'!D:D)</f>
        <v>NO</v>
      </c>
      <c r="D278" s="27">
        <v>3691.3</v>
      </c>
      <c r="E278" s="27">
        <v>62596.3</v>
      </c>
      <c r="F278" s="27">
        <v>3884.16</v>
      </c>
      <c r="G278" s="27">
        <v>30934.43</v>
      </c>
      <c r="H278" s="27">
        <v>201.31</v>
      </c>
      <c r="I278" s="27">
        <v>2653.9</v>
      </c>
      <c r="J278" s="6">
        <v>2407</v>
      </c>
      <c r="K278" s="6">
        <v>113</v>
      </c>
      <c r="L278" s="27">
        <v>12.851861238055671</v>
      </c>
      <c r="M278" s="27">
        <v>23.485840707964602</v>
      </c>
      <c r="N278" s="34">
        <v>21.413420634920634</v>
      </c>
      <c r="O278" s="51"/>
      <c r="S278" s="51"/>
      <c r="T278" s="51"/>
      <c r="AH278" s="50"/>
    </row>
    <row r="279" spans="1:34" x14ac:dyDescent="0.35">
      <c r="A279" s="82">
        <v>276</v>
      </c>
      <c r="B279" s="89" t="str">
        <f>_xlfn.XLOOKUP(A279,'Model Modeshare by TAZ'!A:A,'Model Modeshare by TAZ'!B:B)</f>
        <v>Milpitas</v>
      </c>
      <c r="C279" s="90" t="str">
        <f>_xlfn.XLOOKUP(A279,'Model Modeshare by TAZ'!A:A,'Model Modeshare by TAZ'!D:D)</f>
        <v>NO</v>
      </c>
      <c r="D279" s="27">
        <v>1703.04</v>
      </c>
      <c r="E279" s="27">
        <v>34927.01</v>
      </c>
      <c r="F279" s="27">
        <v>1613.36</v>
      </c>
      <c r="G279" s="27">
        <v>14095.02</v>
      </c>
      <c r="H279" s="27">
        <v>290.01</v>
      </c>
      <c r="I279" s="27">
        <v>4003.09</v>
      </c>
      <c r="J279" s="6">
        <v>1013</v>
      </c>
      <c r="K279" s="6">
        <v>194</v>
      </c>
      <c r="L279" s="27">
        <v>13.914136229022706</v>
      </c>
      <c r="M279" s="27">
        <v>20.634484536082475</v>
      </c>
      <c r="N279" s="34">
        <v>27.966594863297431</v>
      </c>
      <c r="S279" s="51"/>
      <c r="T279" s="51"/>
      <c r="AH279" s="50"/>
    </row>
    <row r="280" spans="1:34" x14ac:dyDescent="0.35">
      <c r="A280" s="82">
        <v>277</v>
      </c>
      <c r="B280" s="89" t="str">
        <f>_xlfn.XLOOKUP(A280,'Model Modeshare by TAZ'!A:A,'Model Modeshare by TAZ'!B:B)</f>
        <v>Milpitas</v>
      </c>
      <c r="C280" s="90" t="str">
        <f>_xlfn.XLOOKUP(A280,'Model Modeshare by TAZ'!A:A,'Model Modeshare by TAZ'!D:D)</f>
        <v>NO</v>
      </c>
      <c r="D280" s="27">
        <v>1947.28</v>
      </c>
      <c r="E280" s="27">
        <v>37830.449999999997</v>
      </c>
      <c r="F280" s="27">
        <v>2800.69</v>
      </c>
      <c r="G280" s="27">
        <v>26164.91</v>
      </c>
      <c r="H280" s="27">
        <v>6.79</v>
      </c>
      <c r="I280" s="27">
        <v>102.17</v>
      </c>
      <c r="J280" s="6">
        <v>1712</v>
      </c>
      <c r="K280" s="6">
        <v>3</v>
      </c>
      <c r="L280" s="27">
        <v>15.283241822429906</v>
      </c>
      <c r="M280" s="27">
        <v>34.056666666666665</v>
      </c>
      <c r="N280" s="34">
        <v>25.29386005830904</v>
      </c>
      <c r="O280" s="51"/>
      <c r="S280" s="51"/>
      <c r="T280" s="51"/>
      <c r="AH280" s="50"/>
    </row>
    <row r="281" spans="1:34" x14ac:dyDescent="0.35">
      <c r="A281" s="82">
        <v>278</v>
      </c>
      <c r="B281" s="89" t="str">
        <f>_xlfn.XLOOKUP(A281,'Model Modeshare by TAZ'!A:A,'Model Modeshare by TAZ'!B:B)</f>
        <v>Milpitas</v>
      </c>
      <c r="C281" s="90" t="str">
        <f>_xlfn.XLOOKUP(A281,'Model Modeshare by TAZ'!A:A,'Model Modeshare by TAZ'!D:D)</f>
        <v>NO</v>
      </c>
      <c r="D281" s="27">
        <v>2053.0100000000002</v>
      </c>
      <c r="E281" s="27">
        <v>48907.360000000001</v>
      </c>
      <c r="F281" s="27">
        <v>0</v>
      </c>
      <c r="G281" s="27">
        <v>0</v>
      </c>
      <c r="H281" s="27">
        <v>2539.29</v>
      </c>
      <c r="I281" s="27">
        <v>34505.19</v>
      </c>
      <c r="J281" s="6">
        <v>0</v>
      </c>
      <c r="K281" s="6">
        <v>2128</v>
      </c>
      <c r="L281" s="27">
        <v>0</v>
      </c>
      <c r="M281" s="27">
        <v>16.214844924812031</v>
      </c>
      <c r="N281" s="34">
        <v>33.521137218045112</v>
      </c>
      <c r="S281" s="51"/>
      <c r="T281" s="51"/>
      <c r="AH281" s="50"/>
    </row>
    <row r="282" spans="1:34" x14ac:dyDescent="0.35">
      <c r="A282" s="82">
        <v>279</v>
      </c>
      <c r="B282" s="89" t="str">
        <f>_xlfn.XLOOKUP(A282,'Model Modeshare by TAZ'!A:A,'Model Modeshare by TAZ'!B:B)</f>
        <v>Milpitas</v>
      </c>
      <c r="C282" s="90" t="str">
        <f>_xlfn.XLOOKUP(A282,'Model Modeshare by TAZ'!A:A,'Model Modeshare by TAZ'!D:D)</f>
        <v>NO</v>
      </c>
      <c r="D282" s="27">
        <v>2436.81</v>
      </c>
      <c r="E282" s="27">
        <v>60927.07</v>
      </c>
      <c r="F282" s="27">
        <v>0</v>
      </c>
      <c r="G282" s="27">
        <v>0</v>
      </c>
      <c r="H282" s="27">
        <v>3938.82</v>
      </c>
      <c r="I282" s="27">
        <v>51903.89</v>
      </c>
      <c r="J282" s="6">
        <v>0</v>
      </c>
      <c r="K282" s="6">
        <v>3359</v>
      </c>
      <c r="L282" s="27">
        <v>0</v>
      </c>
      <c r="M282" s="27">
        <v>15.452185174158975</v>
      </c>
      <c r="N282" s="34">
        <v>31.891548079785654</v>
      </c>
      <c r="R282" s="51"/>
      <c r="S282" s="51"/>
      <c r="T282" s="51"/>
      <c r="AH282" s="50"/>
    </row>
    <row r="283" spans="1:34" x14ac:dyDescent="0.35">
      <c r="A283" s="82">
        <v>280</v>
      </c>
      <c r="B283" s="89" t="str">
        <f>_xlfn.XLOOKUP(A283,'Model Modeshare by TAZ'!A:A,'Model Modeshare by TAZ'!B:B)</f>
        <v>Milpitas</v>
      </c>
      <c r="C283" s="90" t="str">
        <f>_xlfn.XLOOKUP(A283,'Model Modeshare by TAZ'!A:A,'Model Modeshare by TAZ'!D:D)</f>
        <v>NO</v>
      </c>
      <c r="D283" s="27">
        <v>15594.59</v>
      </c>
      <c r="E283" s="27">
        <v>293986.07</v>
      </c>
      <c r="F283" s="27">
        <v>1404.12</v>
      </c>
      <c r="G283" s="27">
        <v>10149.85</v>
      </c>
      <c r="H283" s="27">
        <v>1599</v>
      </c>
      <c r="I283" s="27">
        <v>20883.78</v>
      </c>
      <c r="J283" s="6">
        <v>801</v>
      </c>
      <c r="K283" s="6">
        <v>1378</v>
      </c>
      <c r="L283" s="27">
        <v>12.671473158551811</v>
      </c>
      <c r="M283" s="27">
        <v>15.155137880986937</v>
      </c>
      <c r="N283" s="34">
        <v>61.658715006883888</v>
      </c>
      <c r="S283" s="51"/>
      <c r="T283" s="51"/>
      <c r="AH283" s="50"/>
    </row>
    <row r="284" spans="1:34" x14ac:dyDescent="0.35">
      <c r="A284" s="82">
        <v>281</v>
      </c>
      <c r="B284" s="89" t="str">
        <f>_xlfn.XLOOKUP(A284,'Model Modeshare by TAZ'!A:A,'Model Modeshare by TAZ'!B:B)</f>
        <v>Milpitas</v>
      </c>
      <c r="C284" s="90" t="str">
        <f>_xlfn.XLOOKUP(A284,'Model Modeshare by TAZ'!A:A,'Model Modeshare by TAZ'!D:D)</f>
        <v>NO</v>
      </c>
      <c r="D284" s="27">
        <v>1174.05</v>
      </c>
      <c r="E284" s="27">
        <v>21140.400000000001</v>
      </c>
      <c r="F284" s="27">
        <v>1776.34</v>
      </c>
      <c r="G284" s="27">
        <v>13337.72</v>
      </c>
      <c r="H284" s="27">
        <v>113.03</v>
      </c>
      <c r="I284" s="27">
        <v>1604.73</v>
      </c>
      <c r="J284" s="6">
        <v>1089</v>
      </c>
      <c r="K284" s="6">
        <v>60</v>
      </c>
      <c r="L284" s="27">
        <v>12.247676767676767</v>
      </c>
      <c r="M284" s="27">
        <v>26.7455</v>
      </c>
      <c r="N284" s="34">
        <v>23.410182767624022</v>
      </c>
      <c r="O284" s="51"/>
      <c r="S284" s="51"/>
      <c r="T284" s="51"/>
      <c r="AH284" s="50"/>
    </row>
    <row r="285" spans="1:34" x14ac:dyDescent="0.35">
      <c r="A285" s="82">
        <v>282</v>
      </c>
      <c r="B285" s="89" t="str">
        <f>_xlfn.XLOOKUP(A285,'Model Modeshare by TAZ'!A:A,'Model Modeshare by TAZ'!B:B)</f>
        <v>Milpitas</v>
      </c>
      <c r="C285" s="90" t="str">
        <f>_xlfn.XLOOKUP(A285,'Model Modeshare by TAZ'!A:A,'Model Modeshare by TAZ'!D:D)</f>
        <v>NO</v>
      </c>
      <c r="D285" s="27">
        <v>2043.28</v>
      </c>
      <c r="E285" s="27">
        <v>32208.799999999999</v>
      </c>
      <c r="F285" s="27">
        <v>1654.28</v>
      </c>
      <c r="G285" s="27">
        <v>12295.35</v>
      </c>
      <c r="H285" s="27">
        <v>23.42</v>
      </c>
      <c r="I285" s="27">
        <v>323.61</v>
      </c>
      <c r="J285" s="6">
        <v>1060</v>
      </c>
      <c r="K285" s="6">
        <v>12</v>
      </c>
      <c r="L285" s="27">
        <v>11.599386792452831</v>
      </c>
      <c r="M285" s="27">
        <v>26.967500000000001</v>
      </c>
      <c r="N285" s="34">
        <v>18.61375</v>
      </c>
      <c r="O285" s="51"/>
      <c r="S285" s="51"/>
      <c r="T285" s="51"/>
      <c r="AH285" s="50"/>
    </row>
    <row r="286" spans="1:34" x14ac:dyDescent="0.35">
      <c r="A286" s="82">
        <v>283</v>
      </c>
      <c r="B286" s="89" t="str">
        <f>_xlfn.XLOOKUP(A286,'Model Modeshare by TAZ'!A:A,'Model Modeshare by TAZ'!B:B)</f>
        <v>Milpitas</v>
      </c>
      <c r="C286" s="90" t="str">
        <f>_xlfn.XLOOKUP(A286,'Model Modeshare by TAZ'!A:A,'Model Modeshare by TAZ'!D:D)</f>
        <v>NO</v>
      </c>
      <c r="D286" s="27">
        <v>2921.95</v>
      </c>
      <c r="E286" s="27">
        <v>52537.06</v>
      </c>
      <c r="F286" s="27">
        <v>1404.71</v>
      </c>
      <c r="G286" s="27">
        <v>10276.32</v>
      </c>
      <c r="H286" s="27">
        <v>289.64999999999998</v>
      </c>
      <c r="I286" s="27">
        <v>3968.26</v>
      </c>
      <c r="J286" s="6">
        <v>920</v>
      </c>
      <c r="K286" s="6">
        <v>196</v>
      </c>
      <c r="L286" s="27">
        <v>11.16991304347826</v>
      </c>
      <c r="M286" s="27">
        <v>20.246224489795921</v>
      </c>
      <c r="N286" s="34">
        <v>24.417643369175629</v>
      </c>
      <c r="O286" s="51"/>
      <c r="S286" s="51"/>
      <c r="T286" s="51"/>
      <c r="AH286" s="50"/>
    </row>
    <row r="287" spans="1:34" x14ac:dyDescent="0.35">
      <c r="A287" s="82">
        <v>284</v>
      </c>
      <c r="B287" s="89" t="str">
        <f>_xlfn.XLOOKUP(A287,'Model Modeshare by TAZ'!A:A,'Model Modeshare by TAZ'!B:B)</f>
        <v>Milpitas</v>
      </c>
      <c r="C287" s="90" t="str">
        <f>_xlfn.XLOOKUP(A287,'Model Modeshare by TAZ'!A:A,'Model Modeshare by TAZ'!D:D)</f>
        <v>NO</v>
      </c>
      <c r="D287" s="27">
        <v>3605.72</v>
      </c>
      <c r="E287" s="27">
        <v>77539.69</v>
      </c>
      <c r="F287" s="27">
        <v>1488.2</v>
      </c>
      <c r="G287" s="27">
        <v>11475.16</v>
      </c>
      <c r="H287" s="27">
        <v>589.99</v>
      </c>
      <c r="I287" s="27">
        <v>8150.1</v>
      </c>
      <c r="J287" s="6">
        <v>903</v>
      </c>
      <c r="K287" s="6">
        <v>470</v>
      </c>
      <c r="L287" s="27">
        <v>12.70781838316722</v>
      </c>
      <c r="M287" s="27">
        <v>17.340638297872342</v>
      </c>
      <c r="N287" s="34">
        <v>30.359359067734889</v>
      </c>
      <c r="S287" s="51"/>
      <c r="T287" s="51"/>
      <c r="AH287" s="50"/>
    </row>
    <row r="288" spans="1:34" x14ac:dyDescent="0.35">
      <c r="A288" s="82">
        <v>285</v>
      </c>
      <c r="B288" s="89" t="str">
        <f>_xlfn.XLOOKUP(A288,'Model Modeshare by TAZ'!A:A,'Model Modeshare by TAZ'!B:B)</f>
        <v>Milpitas</v>
      </c>
      <c r="C288" s="90" t="str">
        <f>_xlfn.XLOOKUP(A288,'Model Modeshare by TAZ'!A:A,'Model Modeshare by TAZ'!D:D)</f>
        <v>NO</v>
      </c>
      <c r="D288" s="27">
        <v>786.57</v>
      </c>
      <c r="E288" s="27">
        <v>22002.29</v>
      </c>
      <c r="F288" s="27">
        <v>0</v>
      </c>
      <c r="G288" s="27">
        <v>0</v>
      </c>
      <c r="H288" s="27">
        <v>1007.75</v>
      </c>
      <c r="I288" s="27">
        <v>14291.2</v>
      </c>
      <c r="J288" s="6">
        <v>0</v>
      </c>
      <c r="K288" s="6">
        <v>853</v>
      </c>
      <c r="L288" s="27">
        <v>0</v>
      </c>
      <c r="M288" s="27">
        <v>16.754044548651819</v>
      </c>
      <c r="N288" s="34">
        <v>31.421125439624856</v>
      </c>
      <c r="O288" s="51"/>
      <c r="R288" s="51"/>
      <c r="S288" s="51"/>
      <c r="T288" s="51"/>
      <c r="X288" s="51"/>
      <c r="AH288" s="50"/>
    </row>
    <row r="289" spans="1:34" x14ac:dyDescent="0.35">
      <c r="A289" s="82">
        <v>286</v>
      </c>
      <c r="B289" s="89" t="str">
        <f>_xlfn.XLOOKUP(A289,'Model Modeshare by TAZ'!A:A,'Model Modeshare by TAZ'!B:B)</f>
        <v>Milpitas</v>
      </c>
      <c r="C289" s="90" t="str">
        <f>_xlfn.XLOOKUP(A289,'Model Modeshare by TAZ'!A:A,'Model Modeshare by TAZ'!D:D)</f>
        <v>NO</v>
      </c>
      <c r="D289" s="27">
        <v>5148.3900000000003</v>
      </c>
      <c r="E289" s="27">
        <v>135258.32</v>
      </c>
      <c r="F289" s="27">
        <v>0</v>
      </c>
      <c r="G289" s="27">
        <v>0</v>
      </c>
      <c r="H289" s="27">
        <v>4949.5600000000004</v>
      </c>
      <c r="I289" s="27">
        <v>68793.22</v>
      </c>
      <c r="J289" s="6">
        <v>0</v>
      </c>
      <c r="K289" s="6">
        <v>4112</v>
      </c>
      <c r="L289" s="27">
        <v>0</v>
      </c>
      <c r="M289" s="27">
        <v>16.729868677042802</v>
      </c>
      <c r="N289" s="34">
        <v>39.453015564202332</v>
      </c>
      <c r="O289" s="51"/>
      <c r="S289" s="51"/>
      <c r="T289" s="51"/>
      <c r="AH289" s="50"/>
    </row>
    <row r="290" spans="1:34" x14ac:dyDescent="0.35">
      <c r="A290" s="82">
        <v>287</v>
      </c>
      <c r="B290" s="89" t="str">
        <f>_xlfn.XLOOKUP(A290,'Model Modeshare by TAZ'!A:A,'Model Modeshare by TAZ'!B:B)</f>
        <v>Milpitas</v>
      </c>
      <c r="C290" s="90" t="str">
        <f>_xlfn.XLOOKUP(A290,'Model Modeshare by TAZ'!A:A,'Model Modeshare by TAZ'!D:D)</f>
        <v>NO</v>
      </c>
      <c r="D290" s="27">
        <v>4312.84</v>
      </c>
      <c r="E290" s="27">
        <v>73280.800000000003</v>
      </c>
      <c r="F290" s="27">
        <v>288.14</v>
      </c>
      <c r="G290" s="27">
        <v>1878.42</v>
      </c>
      <c r="H290" s="27">
        <v>1869.49</v>
      </c>
      <c r="I290" s="27">
        <v>24545.759999999998</v>
      </c>
      <c r="J290" s="6">
        <v>227</v>
      </c>
      <c r="K290" s="6">
        <v>1662</v>
      </c>
      <c r="L290" s="27">
        <v>8.2749779735682818</v>
      </c>
      <c r="M290" s="27">
        <v>14.768808664259927</v>
      </c>
      <c r="N290" s="34">
        <v>30.145336156696665</v>
      </c>
      <c r="S290" s="51"/>
      <c r="T290" s="51"/>
      <c r="AH290" s="50"/>
    </row>
    <row r="291" spans="1:34" x14ac:dyDescent="0.35">
      <c r="A291" s="82">
        <v>288</v>
      </c>
      <c r="B291" s="89" t="str">
        <f>_xlfn.XLOOKUP(A291,'Model Modeshare by TAZ'!A:A,'Model Modeshare by TAZ'!B:B)</f>
        <v>Milpitas</v>
      </c>
      <c r="C291" s="90" t="str">
        <f>_xlfn.XLOOKUP(A291,'Model Modeshare by TAZ'!A:A,'Model Modeshare by TAZ'!D:D)</f>
        <v>NO</v>
      </c>
      <c r="D291" s="27">
        <v>515.88</v>
      </c>
      <c r="E291" s="27">
        <v>14220.05</v>
      </c>
      <c r="F291" s="27">
        <v>0</v>
      </c>
      <c r="G291" s="27">
        <v>0</v>
      </c>
      <c r="H291" s="27">
        <v>662.42</v>
      </c>
      <c r="I291" s="27">
        <v>9493.68</v>
      </c>
      <c r="J291" s="6">
        <v>0</v>
      </c>
      <c r="K291" s="6">
        <v>544</v>
      </c>
      <c r="L291" s="27">
        <v>0</v>
      </c>
      <c r="M291" s="27">
        <v>17.451617647058825</v>
      </c>
      <c r="N291" s="34">
        <v>32.006102941176472</v>
      </c>
      <c r="R291" s="51"/>
      <c r="S291" s="51"/>
      <c r="T291" s="51"/>
      <c r="U291" s="51"/>
      <c r="X291" s="51"/>
      <c r="AH291" s="50"/>
    </row>
    <row r="292" spans="1:34" x14ac:dyDescent="0.35">
      <c r="A292" s="82">
        <v>289</v>
      </c>
      <c r="B292" s="89" t="str">
        <f>_xlfn.XLOOKUP(A292,'Model Modeshare by TAZ'!A:A,'Model Modeshare by TAZ'!B:B)</f>
        <v>Milpitas</v>
      </c>
      <c r="C292" s="90" t="str">
        <f>_xlfn.XLOOKUP(A292,'Model Modeshare by TAZ'!A:A,'Model Modeshare by TAZ'!D:D)</f>
        <v>NO</v>
      </c>
      <c r="D292" s="27">
        <v>4960.71</v>
      </c>
      <c r="E292" s="27">
        <v>107752.61</v>
      </c>
      <c r="F292" s="27">
        <v>751.12</v>
      </c>
      <c r="G292" s="27">
        <v>6533.6</v>
      </c>
      <c r="H292" s="27">
        <v>1499.37</v>
      </c>
      <c r="I292" s="27">
        <v>22036.799999999999</v>
      </c>
      <c r="J292" s="6">
        <v>0</v>
      </c>
      <c r="K292" s="6">
        <v>1240</v>
      </c>
      <c r="L292" s="27">
        <v>0</v>
      </c>
      <c r="M292" s="27">
        <v>17.771612903225805</v>
      </c>
      <c r="N292" s="34">
        <v>43.567209677419349</v>
      </c>
      <c r="S292" s="51"/>
      <c r="T292" s="51"/>
      <c r="AH292" s="50"/>
    </row>
    <row r="293" spans="1:34" x14ac:dyDescent="0.35">
      <c r="A293" s="82">
        <v>290</v>
      </c>
      <c r="B293" s="89" t="str">
        <f>_xlfn.XLOOKUP(A293,'Model Modeshare by TAZ'!A:A,'Model Modeshare by TAZ'!B:B)</f>
        <v>Milpitas</v>
      </c>
      <c r="C293" s="90" t="str">
        <f>_xlfn.XLOOKUP(A293,'Model Modeshare by TAZ'!A:A,'Model Modeshare by TAZ'!D:D)</f>
        <v>NO</v>
      </c>
      <c r="D293" s="27">
        <v>1588.94</v>
      </c>
      <c r="E293" s="27">
        <v>44891.38</v>
      </c>
      <c r="F293" s="27">
        <v>0</v>
      </c>
      <c r="G293" s="27">
        <v>0</v>
      </c>
      <c r="H293" s="27">
        <v>1989.15</v>
      </c>
      <c r="I293" s="27">
        <v>28550.3</v>
      </c>
      <c r="J293" s="6">
        <v>0</v>
      </c>
      <c r="K293" s="6">
        <v>1688</v>
      </c>
      <c r="L293" s="27">
        <v>0</v>
      </c>
      <c r="M293" s="27">
        <v>16.913684834123224</v>
      </c>
      <c r="N293" s="34">
        <v>32.470533175355449</v>
      </c>
      <c r="S293" s="51"/>
      <c r="T293" s="51"/>
      <c r="X293" s="51"/>
      <c r="AH293" s="50"/>
    </row>
    <row r="294" spans="1:34" x14ac:dyDescent="0.35">
      <c r="A294" s="82">
        <v>291</v>
      </c>
      <c r="B294" s="89" t="str">
        <f>_xlfn.XLOOKUP(A294,'Model Modeshare by TAZ'!A:A,'Model Modeshare by TAZ'!B:B)</f>
        <v>Milpitas</v>
      </c>
      <c r="C294" s="90" t="str">
        <f>_xlfn.XLOOKUP(A294,'Model Modeshare by TAZ'!A:A,'Model Modeshare by TAZ'!D:D)</f>
        <v>NO</v>
      </c>
      <c r="D294" s="27">
        <v>1495.96</v>
      </c>
      <c r="E294" s="27">
        <v>43509.03</v>
      </c>
      <c r="F294" s="27">
        <v>13.89</v>
      </c>
      <c r="G294" s="27">
        <v>132.76</v>
      </c>
      <c r="H294" s="27">
        <v>792.05</v>
      </c>
      <c r="I294" s="27">
        <v>12200.47</v>
      </c>
      <c r="J294" s="6">
        <v>11</v>
      </c>
      <c r="K294" s="6">
        <v>729</v>
      </c>
      <c r="L294" s="27">
        <v>12.069090909090908</v>
      </c>
      <c r="M294" s="27">
        <v>16.735898491083674</v>
      </c>
      <c r="N294" s="34">
        <v>35.278918918918919</v>
      </c>
      <c r="S294" s="51"/>
      <c r="T294" s="51"/>
      <c r="AH294" s="50"/>
    </row>
    <row r="295" spans="1:34" x14ac:dyDescent="0.35">
      <c r="A295" s="82">
        <v>292</v>
      </c>
      <c r="B295" s="89" t="str">
        <f>_xlfn.XLOOKUP(A295,'Model Modeshare by TAZ'!A:A,'Model Modeshare by TAZ'!B:B)</f>
        <v>Milpitas</v>
      </c>
      <c r="C295" s="90" t="str">
        <f>_xlfn.XLOOKUP(A295,'Model Modeshare by TAZ'!A:A,'Model Modeshare by TAZ'!D:D)</f>
        <v>NO</v>
      </c>
      <c r="D295" s="27">
        <v>2144.86</v>
      </c>
      <c r="E295" s="27">
        <v>49600.56</v>
      </c>
      <c r="F295" s="27">
        <v>2468.48</v>
      </c>
      <c r="G295" s="27">
        <v>25098.63</v>
      </c>
      <c r="H295" s="27">
        <v>394.63</v>
      </c>
      <c r="I295" s="27">
        <v>6121.78</v>
      </c>
      <c r="J295" s="6">
        <v>1705</v>
      </c>
      <c r="K295" s="6">
        <v>211</v>
      </c>
      <c r="L295" s="27">
        <v>14.720604105571848</v>
      </c>
      <c r="M295" s="27">
        <v>29.013175355450237</v>
      </c>
      <c r="N295" s="34">
        <v>27.822573068893529</v>
      </c>
      <c r="R295" s="51"/>
      <c r="S295" s="51"/>
      <c r="T295" s="51"/>
      <c r="U295" s="51"/>
      <c r="X295" s="51"/>
      <c r="AH295" s="50"/>
    </row>
    <row r="296" spans="1:34" x14ac:dyDescent="0.35">
      <c r="A296" s="82">
        <v>293</v>
      </c>
      <c r="B296" s="89" t="str">
        <f>_xlfn.XLOOKUP(A296,'Model Modeshare by TAZ'!A:A,'Model Modeshare by TAZ'!B:B)</f>
        <v>Milpitas</v>
      </c>
      <c r="C296" s="90" t="str">
        <f>_xlfn.XLOOKUP(A296,'Model Modeshare by TAZ'!A:A,'Model Modeshare by TAZ'!D:D)</f>
        <v>NO</v>
      </c>
      <c r="D296" s="27">
        <v>1254.8800000000001</v>
      </c>
      <c r="E296" s="27">
        <v>27022.11</v>
      </c>
      <c r="F296" s="27">
        <v>1837.62</v>
      </c>
      <c r="G296" s="27">
        <v>17104.36</v>
      </c>
      <c r="H296" s="27">
        <v>218.99</v>
      </c>
      <c r="I296" s="27">
        <v>3252.26</v>
      </c>
      <c r="J296" s="6">
        <v>1311</v>
      </c>
      <c r="K296" s="6">
        <v>119</v>
      </c>
      <c r="L296" s="27">
        <v>13.046803966437833</v>
      </c>
      <c r="M296" s="27">
        <v>27.329915966386558</v>
      </c>
      <c r="N296" s="34">
        <v>26.188636363636363</v>
      </c>
      <c r="AH296" s="50"/>
    </row>
    <row r="297" spans="1:34" x14ac:dyDescent="0.35">
      <c r="A297" s="82">
        <v>294</v>
      </c>
      <c r="B297" s="89" t="str">
        <f>_xlfn.XLOOKUP(A297,'Model Modeshare by TAZ'!A:A,'Model Modeshare by TAZ'!B:B)</f>
        <v>Milpitas</v>
      </c>
      <c r="C297" s="90" t="str">
        <f>_xlfn.XLOOKUP(A297,'Model Modeshare by TAZ'!A:A,'Model Modeshare by TAZ'!D:D)</f>
        <v>NO</v>
      </c>
      <c r="D297" s="27">
        <v>1105.93</v>
      </c>
      <c r="E297" s="27">
        <v>22160.12</v>
      </c>
      <c r="F297" s="27">
        <v>1206.6400000000001</v>
      </c>
      <c r="G297" s="27">
        <v>11239.44</v>
      </c>
      <c r="H297" s="27">
        <v>79.37</v>
      </c>
      <c r="I297" s="27">
        <v>1179.6099999999999</v>
      </c>
      <c r="J297" s="6">
        <v>842</v>
      </c>
      <c r="K297" s="6">
        <v>42</v>
      </c>
      <c r="L297" s="27">
        <v>13.348503562945369</v>
      </c>
      <c r="M297" s="27">
        <v>28.085952380952378</v>
      </c>
      <c r="N297" s="34">
        <v>22.984909502262443</v>
      </c>
      <c r="S297" s="51"/>
      <c r="T297" s="51"/>
      <c r="AH297" s="50"/>
    </row>
    <row r="298" spans="1:34" x14ac:dyDescent="0.35">
      <c r="A298" s="82">
        <v>295</v>
      </c>
      <c r="B298" s="89" t="str">
        <f>_xlfn.XLOOKUP(A298,'Model Modeshare by TAZ'!A:A,'Model Modeshare by TAZ'!B:B)</f>
        <v>Milpitas</v>
      </c>
      <c r="C298" s="90" t="str">
        <f>_xlfn.XLOOKUP(A298,'Model Modeshare by TAZ'!A:A,'Model Modeshare by TAZ'!D:D)</f>
        <v>NO</v>
      </c>
      <c r="D298" s="27">
        <v>2931.33</v>
      </c>
      <c r="E298" s="27">
        <v>61285.06</v>
      </c>
      <c r="F298" s="27">
        <v>2722.24</v>
      </c>
      <c r="G298" s="27">
        <v>25142.91</v>
      </c>
      <c r="H298" s="27">
        <v>391.38</v>
      </c>
      <c r="I298" s="27">
        <v>5735.03</v>
      </c>
      <c r="J298" s="6">
        <v>1799</v>
      </c>
      <c r="K298" s="6">
        <v>212</v>
      </c>
      <c r="L298" s="27">
        <v>13.976047804335742</v>
      </c>
      <c r="M298" s="27">
        <v>27.052028301886793</v>
      </c>
      <c r="N298" s="34">
        <v>25.520009945300846</v>
      </c>
      <c r="R298" s="51"/>
      <c r="S298" s="51"/>
      <c r="T298" s="51"/>
      <c r="U298" s="51"/>
      <c r="X298" s="51"/>
      <c r="AH298" s="50"/>
    </row>
    <row r="299" spans="1:34" x14ac:dyDescent="0.35">
      <c r="A299" s="82">
        <v>296</v>
      </c>
      <c r="B299" s="89" t="str">
        <f>_xlfn.XLOOKUP(A299,'Model Modeshare by TAZ'!A:A,'Model Modeshare by TAZ'!B:B)</f>
        <v>Milpitas</v>
      </c>
      <c r="C299" s="90" t="str">
        <f>_xlfn.XLOOKUP(A299,'Model Modeshare by TAZ'!A:A,'Model Modeshare by TAZ'!D:D)</f>
        <v>NO</v>
      </c>
      <c r="D299" s="27">
        <v>3091.94</v>
      </c>
      <c r="E299" s="27">
        <v>58683.03</v>
      </c>
      <c r="F299" s="27">
        <v>575.16</v>
      </c>
      <c r="G299" s="27">
        <v>5310.29</v>
      </c>
      <c r="H299" s="27">
        <v>462.11</v>
      </c>
      <c r="I299" s="27">
        <v>6689.88</v>
      </c>
      <c r="J299" s="6">
        <v>375</v>
      </c>
      <c r="K299" s="6">
        <v>383</v>
      </c>
      <c r="L299" s="27">
        <v>14.160773333333333</v>
      </c>
      <c r="M299" s="27">
        <v>17.46704960835509</v>
      </c>
      <c r="N299" s="34">
        <v>59.331754617414248</v>
      </c>
      <c r="AH299" s="50"/>
    </row>
    <row r="300" spans="1:34" x14ac:dyDescent="0.35">
      <c r="A300" s="82">
        <v>297</v>
      </c>
      <c r="B300" s="89" t="str">
        <f>_xlfn.XLOOKUP(A300,'Model Modeshare by TAZ'!A:A,'Model Modeshare by TAZ'!B:B)</f>
        <v>Milpitas</v>
      </c>
      <c r="C300" s="90" t="str">
        <f>_xlfn.XLOOKUP(A300,'Model Modeshare by TAZ'!A:A,'Model Modeshare by TAZ'!D:D)</f>
        <v>NO</v>
      </c>
      <c r="D300" s="27">
        <v>1106.8599999999999</v>
      </c>
      <c r="E300" s="27">
        <v>21839.87</v>
      </c>
      <c r="F300" s="27">
        <v>1295.67</v>
      </c>
      <c r="G300" s="27">
        <v>12096.92</v>
      </c>
      <c r="H300" s="27">
        <v>25.89</v>
      </c>
      <c r="I300" s="27">
        <v>405.8</v>
      </c>
      <c r="J300" s="6">
        <v>847</v>
      </c>
      <c r="K300" s="6">
        <v>13</v>
      </c>
      <c r="L300" s="27">
        <v>14.282077922077923</v>
      </c>
      <c r="M300" s="27">
        <v>31.215384615384615</v>
      </c>
      <c r="N300" s="34">
        <v>23.421569767441859</v>
      </c>
      <c r="O300" s="51"/>
      <c r="S300" s="51"/>
      <c r="T300" s="51"/>
      <c r="AH300" s="50"/>
    </row>
    <row r="301" spans="1:34" x14ac:dyDescent="0.35">
      <c r="A301" s="82">
        <v>298</v>
      </c>
      <c r="B301" s="89" t="str">
        <f>_xlfn.XLOOKUP(A301,'Model Modeshare by TAZ'!A:A,'Model Modeshare by TAZ'!B:B)</f>
        <v>Milpitas</v>
      </c>
      <c r="C301" s="90" t="str">
        <f>_xlfn.XLOOKUP(A301,'Model Modeshare by TAZ'!A:A,'Model Modeshare by TAZ'!D:D)</f>
        <v>NO</v>
      </c>
      <c r="D301" s="27">
        <v>615.34</v>
      </c>
      <c r="E301" s="27">
        <v>13849.21</v>
      </c>
      <c r="F301" s="27">
        <v>2303.25</v>
      </c>
      <c r="G301" s="27">
        <v>22484.52</v>
      </c>
      <c r="H301" s="27">
        <v>154.32</v>
      </c>
      <c r="I301" s="27">
        <v>2321.13</v>
      </c>
      <c r="J301" s="6">
        <v>1464</v>
      </c>
      <c r="K301" s="6">
        <v>82</v>
      </c>
      <c r="L301" s="27">
        <v>15.358278688524591</v>
      </c>
      <c r="M301" s="27">
        <v>28.306463414634148</v>
      </c>
      <c r="N301" s="34">
        <v>27.048130659767143</v>
      </c>
      <c r="S301" s="51"/>
      <c r="T301" s="51"/>
      <c r="AH301" s="50"/>
    </row>
    <row r="302" spans="1:34" x14ac:dyDescent="0.35">
      <c r="A302" s="82">
        <v>299</v>
      </c>
      <c r="B302" s="89" t="str">
        <f>_xlfn.XLOOKUP(A302,'Model Modeshare by TAZ'!A:A,'Model Modeshare by TAZ'!B:B)</f>
        <v>Milpitas</v>
      </c>
      <c r="C302" s="90" t="str">
        <f>_xlfn.XLOOKUP(A302,'Model Modeshare by TAZ'!A:A,'Model Modeshare by TAZ'!D:D)</f>
        <v>NO</v>
      </c>
      <c r="D302" s="27">
        <v>1584.43</v>
      </c>
      <c r="E302" s="27">
        <v>32579.4</v>
      </c>
      <c r="F302" s="27">
        <v>640.11</v>
      </c>
      <c r="G302" s="27">
        <v>5986.53</v>
      </c>
      <c r="H302" s="27">
        <v>63.95</v>
      </c>
      <c r="I302" s="27">
        <v>946.87</v>
      </c>
      <c r="J302" s="6">
        <v>391</v>
      </c>
      <c r="K302" s="6">
        <v>34</v>
      </c>
      <c r="L302" s="27">
        <v>15.310818414322251</v>
      </c>
      <c r="M302" s="27">
        <v>27.849117647058822</v>
      </c>
      <c r="N302" s="34">
        <v>32.285105882352944</v>
      </c>
      <c r="O302" s="51"/>
      <c r="S302" s="51"/>
      <c r="T302" s="51"/>
      <c r="AH302" s="50"/>
    </row>
    <row r="303" spans="1:34" x14ac:dyDescent="0.35">
      <c r="A303" s="82">
        <v>300</v>
      </c>
      <c r="B303" s="89" t="str">
        <f>_xlfn.XLOOKUP(A303,'Model Modeshare by TAZ'!A:A,'Model Modeshare by TAZ'!B:B)</f>
        <v>Milpitas</v>
      </c>
      <c r="C303" s="90" t="str">
        <f>_xlfn.XLOOKUP(A303,'Model Modeshare by TAZ'!A:A,'Model Modeshare by TAZ'!D:D)</f>
        <v>NO</v>
      </c>
      <c r="D303" s="27">
        <v>435.44</v>
      </c>
      <c r="E303" s="27">
        <v>12780.08</v>
      </c>
      <c r="F303" s="27">
        <v>42.75</v>
      </c>
      <c r="G303" s="27">
        <v>434.47</v>
      </c>
      <c r="H303" s="27">
        <v>365.16</v>
      </c>
      <c r="I303" s="27">
        <v>5555.86</v>
      </c>
      <c r="J303" s="6">
        <v>26</v>
      </c>
      <c r="K303" s="6">
        <v>302</v>
      </c>
      <c r="L303" s="27">
        <v>16.710384615384616</v>
      </c>
      <c r="M303" s="27">
        <v>18.396887417218544</v>
      </c>
      <c r="N303" s="34">
        <v>33.106890243902434</v>
      </c>
      <c r="S303" s="51"/>
      <c r="T303" s="51"/>
      <c r="AH303" s="50"/>
    </row>
    <row r="304" spans="1:34" x14ac:dyDescent="0.35">
      <c r="A304" s="82">
        <v>301</v>
      </c>
      <c r="B304" s="89" t="str">
        <f>_xlfn.XLOOKUP(A304,'Model Modeshare by TAZ'!A:A,'Model Modeshare by TAZ'!B:B)</f>
        <v>Milpitas</v>
      </c>
      <c r="C304" s="90" t="str">
        <f>_xlfn.XLOOKUP(A304,'Model Modeshare by TAZ'!A:A,'Model Modeshare by TAZ'!D:D)</f>
        <v>NO</v>
      </c>
      <c r="D304" s="27">
        <v>1649.43</v>
      </c>
      <c r="E304" s="27">
        <v>31437.01</v>
      </c>
      <c r="F304" s="27">
        <v>1649.62</v>
      </c>
      <c r="G304" s="27">
        <v>13300.85</v>
      </c>
      <c r="H304" s="27">
        <v>253.03</v>
      </c>
      <c r="I304" s="27">
        <v>3689.98</v>
      </c>
      <c r="J304" s="6">
        <v>1089</v>
      </c>
      <c r="K304" s="6">
        <v>134</v>
      </c>
      <c r="L304" s="27">
        <v>12.213820018365473</v>
      </c>
      <c r="M304" s="27">
        <v>27.537164179104479</v>
      </c>
      <c r="N304" s="34">
        <v>25.432984464431726</v>
      </c>
      <c r="R304" s="51"/>
      <c r="S304" s="51"/>
      <c r="T304" s="51"/>
      <c r="X304" s="51"/>
      <c r="AH304" s="50"/>
    </row>
    <row r="305" spans="1:34" x14ac:dyDescent="0.35">
      <c r="A305" s="82">
        <v>302</v>
      </c>
      <c r="B305" s="89" t="str">
        <f>_xlfn.XLOOKUP(A305,'Model Modeshare by TAZ'!A:A,'Model Modeshare by TAZ'!B:B)</f>
        <v>Milpitas</v>
      </c>
      <c r="C305" s="90" t="str">
        <f>_xlfn.XLOOKUP(A305,'Model Modeshare by TAZ'!A:A,'Model Modeshare by TAZ'!D:D)</f>
        <v>NO</v>
      </c>
      <c r="D305" s="27">
        <v>5016.46</v>
      </c>
      <c r="E305" s="27">
        <v>134213.49</v>
      </c>
      <c r="F305" s="27">
        <v>1438.33</v>
      </c>
      <c r="G305" s="27">
        <v>15119.44</v>
      </c>
      <c r="H305" s="27">
        <v>1834.08</v>
      </c>
      <c r="I305" s="27">
        <v>28534.55</v>
      </c>
      <c r="J305" s="6">
        <v>875</v>
      </c>
      <c r="K305" s="6">
        <v>1487</v>
      </c>
      <c r="L305" s="27">
        <v>17.27936</v>
      </c>
      <c r="M305" s="27">
        <v>19.189340954942839</v>
      </c>
      <c r="N305" s="34">
        <v>37.348420829805249</v>
      </c>
      <c r="S305" s="51"/>
      <c r="AH305" s="50"/>
    </row>
    <row r="306" spans="1:34" x14ac:dyDescent="0.35">
      <c r="A306" s="82">
        <v>303</v>
      </c>
      <c r="B306" s="89" t="str">
        <f>_xlfn.XLOOKUP(A306,'Model Modeshare by TAZ'!A:A,'Model Modeshare by TAZ'!B:B)</f>
        <v>Milpitas</v>
      </c>
      <c r="C306" s="90" t="str">
        <f>_xlfn.XLOOKUP(A306,'Model Modeshare by TAZ'!A:A,'Model Modeshare by TAZ'!D:D)</f>
        <v>NO</v>
      </c>
      <c r="D306" s="27">
        <v>757.69</v>
      </c>
      <c r="E306" s="27">
        <v>21341.119999999999</v>
      </c>
      <c r="F306" s="27">
        <v>1016.4</v>
      </c>
      <c r="G306" s="27">
        <v>9360.1200000000008</v>
      </c>
      <c r="H306" s="27">
        <v>663.46</v>
      </c>
      <c r="I306" s="27">
        <v>9604.41</v>
      </c>
      <c r="J306" s="6">
        <v>645</v>
      </c>
      <c r="K306" s="6">
        <v>554</v>
      </c>
      <c r="L306" s="27">
        <v>14.511813953488373</v>
      </c>
      <c r="M306" s="27">
        <v>17.33648014440433</v>
      </c>
      <c r="N306" s="34">
        <v>28.705888240200167</v>
      </c>
      <c r="AH306" s="50"/>
    </row>
    <row r="307" spans="1:34" x14ac:dyDescent="0.35">
      <c r="A307" s="82">
        <v>304</v>
      </c>
      <c r="B307" s="89" t="str">
        <f>_xlfn.XLOOKUP(A307,'Model Modeshare by TAZ'!A:A,'Model Modeshare by TAZ'!B:B)</f>
        <v>Milpitas</v>
      </c>
      <c r="C307" s="90" t="str">
        <f>_xlfn.XLOOKUP(A307,'Model Modeshare by TAZ'!A:A,'Model Modeshare by TAZ'!D:D)</f>
        <v>NO</v>
      </c>
      <c r="D307" s="27">
        <v>827.03</v>
      </c>
      <c r="E307" s="27">
        <v>25510.46</v>
      </c>
      <c r="F307" s="27">
        <v>66.95</v>
      </c>
      <c r="G307" s="27">
        <v>545.91999999999996</v>
      </c>
      <c r="H307" s="27">
        <v>365.87</v>
      </c>
      <c r="I307" s="27">
        <v>5202.82</v>
      </c>
      <c r="J307" s="6">
        <v>46</v>
      </c>
      <c r="K307" s="6">
        <v>295</v>
      </c>
      <c r="L307" s="27">
        <v>11.867826086956521</v>
      </c>
      <c r="M307" s="27">
        <v>17.636677966101693</v>
      </c>
      <c r="N307" s="34">
        <v>24.363284457478002</v>
      </c>
      <c r="AH307" s="50"/>
    </row>
    <row r="308" spans="1:34" x14ac:dyDescent="0.35">
      <c r="A308" s="82">
        <v>305</v>
      </c>
      <c r="B308" s="89" t="str">
        <f>_xlfn.XLOOKUP(A308,'Model Modeshare by TAZ'!A:A,'Model Modeshare by TAZ'!B:B)</f>
        <v>Milpitas</v>
      </c>
      <c r="C308" s="90" t="str">
        <f>_xlfn.XLOOKUP(A308,'Model Modeshare by TAZ'!A:A,'Model Modeshare by TAZ'!D:D)</f>
        <v>NO</v>
      </c>
      <c r="D308" s="27">
        <v>1457.06</v>
      </c>
      <c r="E308" s="27">
        <v>29009.63</v>
      </c>
      <c r="F308" s="27">
        <v>979.29</v>
      </c>
      <c r="G308" s="27">
        <v>8151.24</v>
      </c>
      <c r="H308" s="27">
        <v>296.32</v>
      </c>
      <c r="I308" s="27">
        <v>4295.13</v>
      </c>
      <c r="J308" s="6">
        <v>608</v>
      </c>
      <c r="K308" s="6">
        <v>189</v>
      </c>
      <c r="L308" s="27">
        <v>13.406644736842106</v>
      </c>
      <c r="M308" s="27">
        <v>22.725555555555555</v>
      </c>
      <c r="N308" s="34">
        <v>25.025420326223337</v>
      </c>
      <c r="S308" s="51"/>
      <c r="AH308" s="50"/>
    </row>
    <row r="309" spans="1:34" x14ac:dyDescent="0.35">
      <c r="A309" s="82">
        <v>306</v>
      </c>
      <c r="B309" s="89" t="str">
        <f>_xlfn.XLOOKUP(A309,'Model Modeshare by TAZ'!A:A,'Model Modeshare by TAZ'!B:B)</f>
        <v>Milpitas</v>
      </c>
      <c r="C309" s="90" t="str">
        <f>_xlfn.XLOOKUP(A309,'Model Modeshare by TAZ'!A:A,'Model Modeshare by TAZ'!D:D)</f>
        <v>NO</v>
      </c>
      <c r="D309" s="27">
        <v>1723.93</v>
      </c>
      <c r="E309" s="27">
        <v>32962.39</v>
      </c>
      <c r="F309" s="27">
        <v>873.25</v>
      </c>
      <c r="G309" s="27">
        <v>5350.76</v>
      </c>
      <c r="H309" s="27">
        <v>1059.1400000000001</v>
      </c>
      <c r="I309" s="27">
        <v>14335.68</v>
      </c>
      <c r="J309" s="6">
        <v>597</v>
      </c>
      <c r="K309" s="6">
        <v>897</v>
      </c>
      <c r="L309" s="27">
        <v>8.9627470686767179</v>
      </c>
      <c r="M309" s="27">
        <v>15.981806020066889</v>
      </c>
      <c r="N309" s="34">
        <v>23.812322623828649</v>
      </c>
      <c r="R309" s="51"/>
      <c r="S309" s="51"/>
      <c r="T309" s="51"/>
      <c r="X309" s="51"/>
      <c r="AH309" s="50"/>
    </row>
    <row r="310" spans="1:34" x14ac:dyDescent="0.35">
      <c r="A310" s="82">
        <v>307</v>
      </c>
      <c r="B310" s="89" t="str">
        <f>_xlfn.XLOOKUP(A310,'Model Modeshare by TAZ'!A:A,'Model Modeshare by TAZ'!B:B)</f>
        <v>Milpitas</v>
      </c>
      <c r="C310" s="90" t="str">
        <f>_xlfn.XLOOKUP(A310,'Model Modeshare by TAZ'!A:A,'Model Modeshare by TAZ'!D:D)</f>
        <v>NO</v>
      </c>
      <c r="D310" s="27">
        <v>2649.05</v>
      </c>
      <c r="E310" s="27">
        <v>50617.84</v>
      </c>
      <c r="F310" s="27">
        <v>3326.16</v>
      </c>
      <c r="G310" s="27">
        <v>25974.19</v>
      </c>
      <c r="H310" s="27">
        <v>657.67</v>
      </c>
      <c r="I310" s="27">
        <v>8652.4599999999991</v>
      </c>
      <c r="J310" s="6">
        <v>2476</v>
      </c>
      <c r="K310" s="6">
        <v>378</v>
      </c>
      <c r="L310" s="27">
        <v>10.490383683360259</v>
      </c>
      <c r="M310" s="27">
        <v>22.890105820105816</v>
      </c>
      <c r="N310" s="34">
        <v>22.287771548703574</v>
      </c>
      <c r="O310" s="51"/>
      <c r="S310" s="51"/>
      <c r="T310" s="51"/>
      <c r="AH310" s="50"/>
    </row>
    <row r="311" spans="1:34" x14ac:dyDescent="0.35">
      <c r="A311" s="82">
        <v>308</v>
      </c>
      <c r="B311" s="89" t="str">
        <f>_xlfn.XLOOKUP(A311,'Model Modeshare by TAZ'!A:A,'Model Modeshare by TAZ'!B:B)</f>
        <v>Milpitas</v>
      </c>
      <c r="C311" s="90" t="str">
        <f>_xlfn.XLOOKUP(A311,'Model Modeshare by TAZ'!A:A,'Model Modeshare by TAZ'!D:D)</f>
        <v>NO</v>
      </c>
      <c r="D311" s="27">
        <v>3929.57</v>
      </c>
      <c r="E311" s="27">
        <v>72255.91</v>
      </c>
      <c r="F311" s="27">
        <v>3515.48</v>
      </c>
      <c r="G311" s="27">
        <v>26783.360000000001</v>
      </c>
      <c r="H311" s="27">
        <v>709.21</v>
      </c>
      <c r="I311" s="27">
        <v>9185.2900000000009</v>
      </c>
      <c r="J311" s="6">
        <v>2143</v>
      </c>
      <c r="K311" s="6">
        <v>457</v>
      </c>
      <c r="L311" s="27">
        <v>12.498068128791415</v>
      </c>
      <c r="M311" s="27">
        <v>20.099102844638953</v>
      </c>
      <c r="N311" s="34">
        <v>27.040784615384613</v>
      </c>
      <c r="S311" s="51"/>
      <c r="T311" s="51"/>
      <c r="AH311" s="50"/>
    </row>
    <row r="312" spans="1:34" x14ac:dyDescent="0.35">
      <c r="A312" s="82">
        <v>309</v>
      </c>
      <c r="B312" s="89" t="str">
        <f>_xlfn.XLOOKUP(A312,'Model Modeshare by TAZ'!A:A,'Model Modeshare by TAZ'!B:B)</f>
        <v>Unincorporated</v>
      </c>
      <c r="C312" s="90" t="str">
        <f>_xlfn.XLOOKUP(A312,'Model Modeshare by TAZ'!A:A,'Model Modeshare by TAZ'!D:D)</f>
        <v>NO</v>
      </c>
      <c r="D312" s="27">
        <v>813.68</v>
      </c>
      <c r="E312" s="27">
        <v>16302.98</v>
      </c>
      <c r="F312" s="27">
        <v>784.12</v>
      </c>
      <c r="G312" s="27">
        <v>7401.51</v>
      </c>
      <c r="H312" s="27">
        <v>86.61</v>
      </c>
      <c r="I312" s="27">
        <v>1213.57</v>
      </c>
      <c r="J312" s="6">
        <v>412</v>
      </c>
      <c r="K312" s="6">
        <v>46</v>
      </c>
      <c r="L312" s="27">
        <v>17.964830097087379</v>
      </c>
      <c r="M312" s="27">
        <v>26.381956521739131</v>
      </c>
      <c r="N312" s="34">
        <v>31.979650655021835</v>
      </c>
      <c r="S312" s="51"/>
      <c r="T312" s="51"/>
      <c r="AH312" s="50"/>
    </row>
    <row r="313" spans="1:34" x14ac:dyDescent="0.35">
      <c r="A313" s="82">
        <v>310</v>
      </c>
      <c r="B313" s="89" t="str">
        <f>_xlfn.XLOOKUP(A313,'Model Modeshare by TAZ'!A:A,'Model Modeshare by TAZ'!B:B)</f>
        <v>Unincorporated</v>
      </c>
      <c r="C313" s="90" t="str">
        <f>_xlfn.XLOOKUP(A313,'Model Modeshare by TAZ'!A:A,'Model Modeshare by TAZ'!D:D)</f>
        <v>NO</v>
      </c>
      <c r="D313" s="27">
        <v>25.68</v>
      </c>
      <c r="E313" s="27">
        <v>810.72</v>
      </c>
      <c r="F313" s="27">
        <v>251.8</v>
      </c>
      <c r="G313" s="27">
        <v>3187.64</v>
      </c>
      <c r="H313" s="27">
        <v>19.73</v>
      </c>
      <c r="I313" s="27">
        <v>352.81</v>
      </c>
      <c r="J313" s="6">
        <v>146</v>
      </c>
      <c r="K313" s="6">
        <v>9</v>
      </c>
      <c r="L313" s="27">
        <v>21.833150684931507</v>
      </c>
      <c r="M313" s="27">
        <v>39.201111111111111</v>
      </c>
      <c r="N313" s="34">
        <v>37.455161290322579</v>
      </c>
      <c r="O313" s="51"/>
      <c r="S313" s="51"/>
      <c r="T313" s="51"/>
      <c r="AH313" s="50"/>
    </row>
    <row r="314" spans="1:34" x14ac:dyDescent="0.35">
      <c r="A314" s="82">
        <v>311</v>
      </c>
      <c r="B314" s="89" t="str">
        <f>_xlfn.XLOOKUP(A314,'Model Modeshare by TAZ'!A:A,'Model Modeshare by TAZ'!B:B)</f>
        <v>Milpitas</v>
      </c>
      <c r="C314" s="90" t="str">
        <f>_xlfn.XLOOKUP(A314,'Model Modeshare by TAZ'!A:A,'Model Modeshare by TAZ'!D:D)</f>
        <v>NO</v>
      </c>
      <c r="D314" s="27">
        <v>2174.75</v>
      </c>
      <c r="E314" s="27">
        <v>47274.879999999997</v>
      </c>
      <c r="F314" s="27">
        <v>2350.08</v>
      </c>
      <c r="G314" s="27">
        <v>23995.79</v>
      </c>
      <c r="H314" s="27">
        <v>164.9</v>
      </c>
      <c r="I314" s="27">
        <v>2475.56</v>
      </c>
      <c r="J314" s="6">
        <v>1391</v>
      </c>
      <c r="K314" s="6">
        <v>87</v>
      </c>
      <c r="L314" s="27">
        <v>17.250747663551401</v>
      </c>
      <c r="M314" s="27">
        <v>28.45471264367816</v>
      </c>
      <c r="N314" s="34">
        <v>34.147449255751013</v>
      </c>
      <c r="O314" s="51"/>
      <c r="S314" s="51"/>
      <c r="T314" s="51"/>
      <c r="AH314" s="50"/>
    </row>
    <row r="315" spans="1:34" x14ac:dyDescent="0.35">
      <c r="A315" s="82">
        <v>312</v>
      </c>
      <c r="B315" s="89" t="str">
        <f>_xlfn.XLOOKUP(A315,'Model Modeshare by TAZ'!A:A,'Model Modeshare by TAZ'!B:B)</f>
        <v>Milpitas</v>
      </c>
      <c r="C315" s="90" t="str">
        <f>_xlfn.XLOOKUP(A315,'Model Modeshare by TAZ'!A:A,'Model Modeshare by TAZ'!D:D)</f>
        <v>NO</v>
      </c>
      <c r="D315" s="27">
        <v>2591.4499999999998</v>
      </c>
      <c r="E315" s="27">
        <v>65290.54</v>
      </c>
      <c r="F315" s="27">
        <v>0</v>
      </c>
      <c r="G315" s="27">
        <v>0</v>
      </c>
      <c r="H315" s="27">
        <v>4786.7299999999996</v>
      </c>
      <c r="I315" s="27">
        <v>60764.71</v>
      </c>
      <c r="J315" s="6">
        <v>2</v>
      </c>
      <c r="K315" s="6">
        <v>4145</v>
      </c>
      <c r="L315" s="27">
        <v>0</v>
      </c>
      <c r="M315" s="27">
        <v>14.659761158021713</v>
      </c>
      <c r="N315" s="34">
        <v>27.985731854352544</v>
      </c>
      <c r="S315" s="51"/>
      <c r="AH315" s="50"/>
    </row>
    <row r="316" spans="1:34" x14ac:dyDescent="0.35">
      <c r="A316" s="82">
        <v>313</v>
      </c>
      <c r="B316" s="89" t="str">
        <f>_xlfn.XLOOKUP(A316,'Model Modeshare by TAZ'!A:A,'Model Modeshare by TAZ'!B:B)</f>
        <v>Milpitas</v>
      </c>
      <c r="C316" s="90" t="str">
        <f>_xlfn.XLOOKUP(A316,'Model Modeshare by TAZ'!A:A,'Model Modeshare by TAZ'!D:D)</f>
        <v>NO</v>
      </c>
      <c r="D316" s="27">
        <v>687.2</v>
      </c>
      <c r="E316" s="27">
        <v>15671.95</v>
      </c>
      <c r="F316" s="27">
        <v>60.6</v>
      </c>
      <c r="G316" s="27">
        <v>535.01</v>
      </c>
      <c r="H316" s="27">
        <v>172.25</v>
      </c>
      <c r="I316" s="27">
        <v>2418.36</v>
      </c>
      <c r="J316" s="6">
        <v>35</v>
      </c>
      <c r="K316" s="6">
        <v>146</v>
      </c>
      <c r="L316" s="27">
        <v>15.286</v>
      </c>
      <c r="M316" s="27">
        <v>16.564109589041095</v>
      </c>
      <c r="N316" s="34">
        <v>35.259502762430941</v>
      </c>
      <c r="S316" s="51"/>
      <c r="AH316" s="50"/>
    </row>
    <row r="317" spans="1:34" x14ac:dyDescent="0.35">
      <c r="A317" s="82">
        <v>314</v>
      </c>
      <c r="B317" s="89" t="str">
        <f>_xlfn.XLOOKUP(A317,'Model Modeshare by TAZ'!A:A,'Model Modeshare by TAZ'!B:B)</f>
        <v>Milpitas</v>
      </c>
      <c r="C317" s="90" t="str">
        <f>_xlfn.XLOOKUP(A317,'Model Modeshare by TAZ'!A:A,'Model Modeshare by TAZ'!D:D)</f>
        <v>NO</v>
      </c>
      <c r="D317" s="27">
        <v>800.76</v>
      </c>
      <c r="E317" s="27">
        <v>17673.36</v>
      </c>
      <c r="F317" s="27">
        <v>32.58</v>
      </c>
      <c r="G317" s="27">
        <v>294.27</v>
      </c>
      <c r="H317" s="27">
        <v>160.11000000000001</v>
      </c>
      <c r="I317" s="27">
        <v>2304.37</v>
      </c>
      <c r="J317" s="6">
        <v>19</v>
      </c>
      <c r="K317" s="6">
        <v>133</v>
      </c>
      <c r="L317" s="27">
        <v>15.487894736842104</v>
      </c>
      <c r="M317" s="27">
        <v>17.32609022556391</v>
      </c>
      <c r="N317" s="34">
        <v>39.228223684210526</v>
      </c>
      <c r="S317" s="51"/>
      <c r="T317" s="51"/>
      <c r="AH317" s="50"/>
    </row>
    <row r="318" spans="1:34" x14ac:dyDescent="0.35">
      <c r="A318" s="82">
        <v>315</v>
      </c>
      <c r="B318" s="89" t="str">
        <f>_xlfn.XLOOKUP(A318,'Model Modeshare by TAZ'!A:A,'Model Modeshare by TAZ'!B:B)</f>
        <v>Milpitas</v>
      </c>
      <c r="C318" s="90" t="str">
        <f>_xlfn.XLOOKUP(A318,'Model Modeshare by TAZ'!A:A,'Model Modeshare by TAZ'!D:D)</f>
        <v>NO</v>
      </c>
      <c r="D318" s="27">
        <v>2424.75</v>
      </c>
      <c r="E318" s="27">
        <v>37301.65</v>
      </c>
      <c r="F318" s="27">
        <v>1859.22</v>
      </c>
      <c r="G318" s="27">
        <v>14153.36</v>
      </c>
      <c r="H318" s="27">
        <v>23.96</v>
      </c>
      <c r="I318" s="27">
        <v>327.11</v>
      </c>
      <c r="J318" s="6">
        <v>1260</v>
      </c>
      <c r="K318" s="6">
        <v>12</v>
      </c>
      <c r="L318" s="27">
        <v>11.232825396825397</v>
      </c>
      <c r="M318" s="27">
        <v>27.259166666666669</v>
      </c>
      <c r="N318" s="34">
        <v>17.669952830188681</v>
      </c>
      <c r="R318" s="51"/>
      <c r="S318" s="51"/>
      <c r="T318" s="51"/>
      <c r="AH318" s="50"/>
    </row>
    <row r="319" spans="1:34" x14ac:dyDescent="0.35">
      <c r="A319" s="82">
        <v>316</v>
      </c>
      <c r="B319" s="89" t="str">
        <f>_xlfn.XLOOKUP(A319,'Model Modeshare by TAZ'!A:A,'Model Modeshare by TAZ'!B:B)</f>
        <v>Milpitas</v>
      </c>
      <c r="C319" s="90" t="str">
        <f>_xlfn.XLOOKUP(A319,'Model Modeshare by TAZ'!A:A,'Model Modeshare by TAZ'!D:D)</f>
        <v>NO</v>
      </c>
      <c r="D319" s="27">
        <v>2439.85</v>
      </c>
      <c r="E319" s="27">
        <v>62536.89</v>
      </c>
      <c r="F319" s="27">
        <v>0</v>
      </c>
      <c r="G319" s="27">
        <v>0</v>
      </c>
      <c r="H319" s="27">
        <v>3818.18</v>
      </c>
      <c r="I319" s="27">
        <v>52376.93</v>
      </c>
      <c r="J319" s="6">
        <v>0</v>
      </c>
      <c r="K319" s="6">
        <v>3223</v>
      </c>
      <c r="L319" s="27">
        <v>0</v>
      </c>
      <c r="M319" s="27">
        <v>16.250986658392801</v>
      </c>
      <c r="N319" s="34">
        <v>33.835255972696245</v>
      </c>
      <c r="O319" s="51"/>
      <c r="S319" s="51"/>
      <c r="T319" s="51"/>
      <c r="AH319" s="50"/>
    </row>
    <row r="320" spans="1:34" x14ac:dyDescent="0.35">
      <c r="A320" s="82">
        <v>317</v>
      </c>
      <c r="B320" s="89" t="str">
        <f>_xlfn.XLOOKUP(A320,'Model Modeshare by TAZ'!A:A,'Model Modeshare by TAZ'!B:B)</f>
        <v>Milpitas</v>
      </c>
      <c r="C320" s="90" t="str">
        <f>_xlfn.XLOOKUP(A320,'Model Modeshare by TAZ'!A:A,'Model Modeshare by TAZ'!D:D)</f>
        <v>NO</v>
      </c>
      <c r="D320" s="27">
        <v>8463.5300000000007</v>
      </c>
      <c r="E320" s="27">
        <v>141589.10999999999</v>
      </c>
      <c r="F320" s="27">
        <v>308.61</v>
      </c>
      <c r="G320" s="27">
        <v>2024.86</v>
      </c>
      <c r="H320" s="27">
        <v>2214.7800000000002</v>
      </c>
      <c r="I320" s="27">
        <v>28122.2</v>
      </c>
      <c r="J320" s="6">
        <v>231</v>
      </c>
      <c r="K320" s="6">
        <v>1984</v>
      </c>
      <c r="L320" s="27">
        <v>8.7656277056277059</v>
      </c>
      <c r="M320" s="27">
        <v>14.174495967741937</v>
      </c>
      <c r="N320" s="34">
        <v>28.433553047404065</v>
      </c>
      <c r="R320" s="51"/>
      <c r="S320" s="51"/>
      <c r="T320" s="51"/>
      <c r="U320" s="51"/>
      <c r="X320" s="51"/>
      <c r="AH320" s="50"/>
    </row>
    <row r="321" spans="1:34" x14ac:dyDescent="0.35">
      <c r="A321" s="82">
        <v>318</v>
      </c>
      <c r="B321" s="89" t="str">
        <f>_xlfn.XLOOKUP(A321,'Model Modeshare by TAZ'!A:A,'Model Modeshare by TAZ'!B:B)</f>
        <v>Milpitas</v>
      </c>
      <c r="C321" s="90" t="str">
        <f>_xlfn.XLOOKUP(A321,'Model Modeshare by TAZ'!A:A,'Model Modeshare by TAZ'!D:D)</f>
        <v>NO</v>
      </c>
      <c r="D321" s="27">
        <v>2758.87</v>
      </c>
      <c r="E321" s="27">
        <v>55794.45</v>
      </c>
      <c r="F321" s="27">
        <v>2968.79</v>
      </c>
      <c r="G321" s="27">
        <v>27570.19</v>
      </c>
      <c r="H321" s="27">
        <v>99.58</v>
      </c>
      <c r="I321" s="27">
        <v>1464.48</v>
      </c>
      <c r="J321" s="6">
        <v>1943</v>
      </c>
      <c r="K321" s="6">
        <v>52</v>
      </c>
      <c r="L321" s="27">
        <v>14.189495625321667</v>
      </c>
      <c r="M321" s="27">
        <v>28.163076923076922</v>
      </c>
      <c r="N321" s="34">
        <v>23.987268170426063</v>
      </c>
      <c r="S321" s="51"/>
      <c r="T321" s="51"/>
      <c r="AH321" s="50"/>
    </row>
    <row r="322" spans="1:34" x14ac:dyDescent="0.35">
      <c r="A322" s="82">
        <v>319</v>
      </c>
      <c r="B322" s="89" t="str">
        <f>_xlfn.XLOOKUP(A322,'Model Modeshare by TAZ'!A:A,'Model Modeshare by TAZ'!B:B)</f>
        <v>Milpitas</v>
      </c>
      <c r="C322" s="90" t="str">
        <f>_xlfn.XLOOKUP(A322,'Model Modeshare by TAZ'!A:A,'Model Modeshare by TAZ'!D:D)</f>
        <v>NO</v>
      </c>
      <c r="D322" s="27">
        <v>832.25</v>
      </c>
      <c r="E322" s="27">
        <v>19249.89</v>
      </c>
      <c r="F322" s="27">
        <v>2580.75</v>
      </c>
      <c r="G322" s="27">
        <v>17425.259999999998</v>
      </c>
      <c r="H322" s="27">
        <v>1315.76</v>
      </c>
      <c r="I322" s="27">
        <v>16557.900000000001</v>
      </c>
      <c r="J322" s="6">
        <v>1845</v>
      </c>
      <c r="K322" s="6">
        <v>1173</v>
      </c>
      <c r="L322" s="27">
        <v>9.4445853658536585</v>
      </c>
      <c r="M322" s="27">
        <v>14.115856777493608</v>
      </c>
      <c r="N322" s="34">
        <v>20.519715043074886</v>
      </c>
      <c r="R322" s="51"/>
      <c r="S322" s="51"/>
      <c r="T322" s="51"/>
      <c r="AH322" s="50"/>
    </row>
    <row r="323" spans="1:34" x14ac:dyDescent="0.35">
      <c r="A323" s="82">
        <v>320</v>
      </c>
      <c r="B323" s="89" t="str">
        <f>_xlfn.XLOOKUP(A323,'Model Modeshare by TAZ'!A:A,'Model Modeshare by TAZ'!B:B)</f>
        <v>Milpitas</v>
      </c>
      <c r="C323" s="90" t="str">
        <f>_xlfn.XLOOKUP(A323,'Model Modeshare by TAZ'!A:A,'Model Modeshare by TAZ'!D:D)</f>
        <v>NO</v>
      </c>
      <c r="D323" s="27">
        <v>2174.02</v>
      </c>
      <c r="E323" s="27">
        <v>48849.46</v>
      </c>
      <c r="F323" s="27">
        <v>1395.63</v>
      </c>
      <c r="G323" s="27">
        <v>11236.52</v>
      </c>
      <c r="H323" s="27">
        <v>1186.77</v>
      </c>
      <c r="I323" s="27">
        <v>16886.580000000002</v>
      </c>
      <c r="J323" s="6">
        <v>865</v>
      </c>
      <c r="K323" s="6">
        <v>981</v>
      </c>
      <c r="L323" s="27">
        <v>12.990196531791907</v>
      </c>
      <c r="M323" s="27">
        <v>17.213639143730887</v>
      </c>
      <c r="N323" s="34">
        <v>27.310736728060672</v>
      </c>
      <c r="O323" s="51"/>
      <c r="R323" s="51"/>
      <c r="S323" s="51"/>
      <c r="T323" s="51"/>
      <c r="U323" s="51"/>
      <c r="X323" s="51"/>
      <c r="AH323" s="50"/>
    </row>
    <row r="324" spans="1:34" x14ac:dyDescent="0.35">
      <c r="A324" s="82">
        <v>321</v>
      </c>
      <c r="B324" s="89" t="str">
        <f>_xlfn.XLOOKUP(A324,'Model Modeshare by TAZ'!A:A,'Model Modeshare by TAZ'!B:B)</f>
        <v>Milpitas</v>
      </c>
      <c r="C324" s="90" t="str">
        <f>_xlfn.XLOOKUP(A324,'Model Modeshare by TAZ'!A:A,'Model Modeshare by TAZ'!D:D)</f>
        <v>NO</v>
      </c>
      <c r="D324" s="27">
        <v>1772.18</v>
      </c>
      <c r="E324" s="27">
        <v>32998.04</v>
      </c>
      <c r="F324" s="27">
        <v>2106.61</v>
      </c>
      <c r="G324" s="27">
        <v>16446.55</v>
      </c>
      <c r="H324" s="27">
        <v>313.63</v>
      </c>
      <c r="I324" s="27">
        <v>4430.8100000000004</v>
      </c>
      <c r="J324" s="6">
        <v>1308</v>
      </c>
      <c r="K324" s="6">
        <v>166</v>
      </c>
      <c r="L324" s="27">
        <v>12.573814984709479</v>
      </c>
      <c r="M324" s="27">
        <v>26.6916265060241</v>
      </c>
      <c r="N324" s="34">
        <v>26.984545454545454</v>
      </c>
      <c r="AH324" s="50"/>
    </row>
    <row r="325" spans="1:34" x14ac:dyDescent="0.35">
      <c r="A325" s="82">
        <v>322</v>
      </c>
      <c r="B325" s="89" t="str">
        <f>_xlfn.XLOOKUP(A325,'Model Modeshare by TAZ'!A:A,'Model Modeshare by TAZ'!B:B)</f>
        <v>Milpitas</v>
      </c>
      <c r="C325" s="90" t="str">
        <f>_xlfn.XLOOKUP(A325,'Model Modeshare by TAZ'!A:A,'Model Modeshare by TAZ'!D:D)</f>
        <v>NO</v>
      </c>
      <c r="D325" s="27">
        <v>8747.7199999999993</v>
      </c>
      <c r="E325" s="27">
        <v>148877.39000000001</v>
      </c>
      <c r="F325" s="27">
        <v>6160.59</v>
      </c>
      <c r="G325" s="27">
        <v>44050.42</v>
      </c>
      <c r="H325" s="27">
        <v>933.96</v>
      </c>
      <c r="I325" s="27">
        <v>12446.05</v>
      </c>
      <c r="J325" s="6">
        <v>3836</v>
      </c>
      <c r="K325" s="6">
        <v>515</v>
      </c>
      <c r="L325" s="27">
        <v>11.483425443169969</v>
      </c>
      <c r="M325" s="27">
        <v>24.167087378640776</v>
      </c>
      <c r="N325" s="34">
        <v>23.469319696621465</v>
      </c>
      <c r="S325" s="51"/>
      <c r="T325" s="51"/>
      <c r="AH325" s="50"/>
    </row>
    <row r="326" spans="1:34" x14ac:dyDescent="0.35">
      <c r="A326" s="82">
        <v>323</v>
      </c>
      <c r="B326" s="89" t="str">
        <f>_xlfn.XLOOKUP(A326,'Model Modeshare by TAZ'!A:A,'Model Modeshare by TAZ'!B:B)</f>
        <v>Monte Sereno</v>
      </c>
      <c r="C326" s="90" t="str">
        <f>_xlfn.XLOOKUP(A326,'Model Modeshare by TAZ'!A:A,'Model Modeshare by TAZ'!D:D)</f>
        <v>NO</v>
      </c>
      <c r="D326" s="27">
        <v>4037.64</v>
      </c>
      <c r="E326" s="27">
        <v>79244.19</v>
      </c>
      <c r="F326" s="27">
        <v>3343.63</v>
      </c>
      <c r="G326" s="27">
        <v>25534.75</v>
      </c>
      <c r="H326" s="27">
        <v>491.61</v>
      </c>
      <c r="I326" s="27">
        <v>6611.4</v>
      </c>
      <c r="J326" s="6">
        <v>1974</v>
      </c>
      <c r="K326" s="6">
        <v>250</v>
      </c>
      <c r="L326" s="27">
        <v>12.935536980749747</v>
      </c>
      <c r="M326" s="27">
        <v>26.445599999999999</v>
      </c>
      <c r="N326" s="34">
        <v>29.069064748201438</v>
      </c>
      <c r="R326" s="51"/>
      <c r="S326" s="51"/>
      <c r="T326" s="51"/>
      <c r="U326" s="51"/>
      <c r="X326" s="51"/>
      <c r="AH326" s="50"/>
    </row>
    <row r="327" spans="1:34" x14ac:dyDescent="0.35">
      <c r="A327" s="82">
        <v>324</v>
      </c>
      <c r="B327" s="89" t="str">
        <f>_xlfn.XLOOKUP(A327,'Model Modeshare by TAZ'!A:A,'Model Modeshare by TAZ'!B:B)</f>
        <v>Monte Sereno</v>
      </c>
      <c r="C327" s="90" t="str">
        <f>_xlfn.XLOOKUP(A327,'Model Modeshare by TAZ'!A:A,'Model Modeshare by TAZ'!D:D)</f>
        <v>NO</v>
      </c>
      <c r="D327" s="27">
        <v>1925.1</v>
      </c>
      <c r="E327" s="27">
        <v>40994.339999999997</v>
      </c>
      <c r="F327" s="27">
        <v>1352.15</v>
      </c>
      <c r="G327" s="27">
        <v>11284.92</v>
      </c>
      <c r="H327" s="27">
        <v>256.01</v>
      </c>
      <c r="I327" s="27">
        <v>3721.05</v>
      </c>
      <c r="J327" s="6">
        <v>790</v>
      </c>
      <c r="K327" s="6">
        <v>147</v>
      </c>
      <c r="L327" s="27">
        <v>14.284708860759494</v>
      </c>
      <c r="M327" s="27">
        <v>25.31326530612245</v>
      </c>
      <c r="N327" s="34">
        <v>34.464663820704374</v>
      </c>
      <c r="S327" s="51"/>
      <c r="T327" s="51"/>
      <c r="AH327" s="50"/>
    </row>
    <row r="328" spans="1:34" x14ac:dyDescent="0.35">
      <c r="A328" s="82">
        <v>325</v>
      </c>
      <c r="B328" s="89" t="str">
        <f>_xlfn.XLOOKUP(A328,'Model Modeshare by TAZ'!A:A,'Model Modeshare by TAZ'!B:B)</f>
        <v>Morgan Hill</v>
      </c>
      <c r="C328" s="90" t="str">
        <f>_xlfn.XLOOKUP(A328,'Model Modeshare by TAZ'!A:A,'Model Modeshare by TAZ'!D:D)</f>
        <v>NO</v>
      </c>
      <c r="D328" s="27">
        <v>287.24</v>
      </c>
      <c r="E328" s="27">
        <v>6040</v>
      </c>
      <c r="F328" s="27">
        <v>16.420000000000002</v>
      </c>
      <c r="G328" s="27">
        <v>237.92</v>
      </c>
      <c r="H328" s="27">
        <v>233.83</v>
      </c>
      <c r="I328" s="27">
        <v>3323.51</v>
      </c>
      <c r="J328" s="6">
        <v>23</v>
      </c>
      <c r="K328" s="6">
        <v>191</v>
      </c>
      <c r="L328" s="27">
        <v>10.344347826086956</v>
      </c>
      <c r="M328" s="27">
        <v>17.400575916230366</v>
      </c>
      <c r="N328" s="34">
        <v>33.491682242990656</v>
      </c>
      <c r="S328" s="51"/>
      <c r="T328" s="51"/>
      <c r="X328" s="51"/>
      <c r="AH328" s="50"/>
    </row>
    <row r="329" spans="1:34" x14ac:dyDescent="0.35">
      <c r="A329" s="82">
        <v>326</v>
      </c>
      <c r="B329" s="89" t="str">
        <f>_xlfn.XLOOKUP(A329,'Model Modeshare by TAZ'!A:A,'Model Modeshare by TAZ'!B:B)</f>
        <v>Morgan Hill</v>
      </c>
      <c r="C329" s="90" t="str">
        <f>_xlfn.XLOOKUP(A329,'Model Modeshare by TAZ'!A:A,'Model Modeshare by TAZ'!D:D)</f>
        <v>NO</v>
      </c>
      <c r="D329" s="27">
        <v>712.83</v>
      </c>
      <c r="E329" s="27">
        <v>16004.59</v>
      </c>
      <c r="F329" s="27">
        <v>0</v>
      </c>
      <c r="G329" s="27">
        <v>0</v>
      </c>
      <c r="H329" s="27">
        <v>321.58999999999997</v>
      </c>
      <c r="I329" s="27">
        <v>4626.96</v>
      </c>
      <c r="J329" s="6">
        <v>0</v>
      </c>
      <c r="K329" s="6">
        <v>276</v>
      </c>
      <c r="L329" s="27">
        <v>0</v>
      </c>
      <c r="M329" s="27">
        <v>16.764347826086958</v>
      </c>
      <c r="N329" s="34">
        <v>46.082028985507243</v>
      </c>
      <c r="R329" s="51"/>
      <c r="S329" s="51"/>
      <c r="T329" s="51"/>
      <c r="AH329" s="50"/>
    </row>
    <row r="330" spans="1:34" x14ac:dyDescent="0.35">
      <c r="A330" s="82">
        <v>327</v>
      </c>
      <c r="B330" s="89" t="str">
        <f>_xlfn.XLOOKUP(A330,'Model Modeshare by TAZ'!A:A,'Model Modeshare by TAZ'!B:B)</f>
        <v>Morgan Hill</v>
      </c>
      <c r="C330" s="90" t="str">
        <f>_xlfn.XLOOKUP(A330,'Model Modeshare by TAZ'!A:A,'Model Modeshare by TAZ'!D:D)</f>
        <v>NO</v>
      </c>
      <c r="D330" s="27">
        <v>1218.05</v>
      </c>
      <c r="E330" s="27">
        <v>30663.85</v>
      </c>
      <c r="F330" s="27">
        <v>1141.8599999999999</v>
      </c>
      <c r="G330" s="27">
        <v>13686.97</v>
      </c>
      <c r="H330" s="27">
        <v>211.68</v>
      </c>
      <c r="I330" s="27">
        <v>3359.37</v>
      </c>
      <c r="J330" s="6">
        <v>785</v>
      </c>
      <c r="K330" s="6">
        <v>116</v>
      </c>
      <c r="L330" s="27">
        <v>17.435630573248407</v>
      </c>
      <c r="M330" s="27">
        <v>28.960086206896552</v>
      </c>
      <c r="N330" s="34">
        <v>30.238423973362931</v>
      </c>
      <c r="O330" s="51"/>
      <c r="S330" s="51"/>
      <c r="T330" s="51"/>
      <c r="AH330" s="50"/>
    </row>
    <row r="331" spans="1:34" x14ac:dyDescent="0.35">
      <c r="A331" s="82">
        <v>328</v>
      </c>
      <c r="B331" s="89" t="str">
        <f>_xlfn.XLOOKUP(A331,'Model Modeshare by TAZ'!A:A,'Model Modeshare by TAZ'!B:B)</f>
        <v>Morgan Hill</v>
      </c>
      <c r="C331" s="90" t="str">
        <f>_xlfn.XLOOKUP(A331,'Model Modeshare by TAZ'!A:A,'Model Modeshare by TAZ'!D:D)</f>
        <v>NO</v>
      </c>
      <c r="D331" s="27">
        <v>251.37</v>
      </c>
      <c r="E331" s="27">
        <v>5362.54</v>
      </c>
      <c r="F331" s="27">
        <v>213.35</v>
      </c>
      <c r="G331" s="27">
        <v>2289.4699999999998</v>
      </c>
      <c r="H331" s="27">
        <v>75.37</v>
      </c>
      <c r="I331" s="27">
        <v>1108.5999999999999</v>
      </c>
      <c r="J331" s="6">
        <v>194</v>
      </c>
      <c r="K331" s="6">
        <v>48</v>
      </c>
      <c r="L331" s="27">
        <v>11.801391752577318</v>
      </c>
      <c r="M331" s="27">
        <v>23.095833333333331</v>
      </c>
      <c r="N331" s="34">
        <v>21.471074380165291</v>
      </c>
      <c r="O331" s="51"/>
      <c r="R331" s="51"/>
      <c r="S331" s="51"/>
      <c r="T331" s="51"/>
      <c r="X331" s="51"/>
      <c r="AH331" s="50"/>
    </row>
    <row r="332" spans="1:34" x14ac:dyDescent="0.35">
      <c r="A332" s="82">
        <v>329</v>
      </c>
      <c r="B332" s="89" t="str">
        <f>_xlfn.XLOOKUP(A332,'Model Modeshare by TAZ'!A:A,'Model Modeshare by TAZ'!B:B)</f>
        <v>Unincorporated</v>
      </c>
      <c r="C332" s="90" t="str">
        <f>_xlfn.XLOOKUP(A332,'Model Modeshare by TAZ'!A:A,'Model Modeshare by TAZ'!D:D)</f>
        <v>NO</v>
      </c>
      <c r="D332" s="27">
        <v>574.12</v>
      </c>
      <c r="E332" s="27">
        <v>17557.830000000002</v>
      </c>
      <c r="F332" s="27">
        <v>428.09</v>
      </c>
      <c r="G332" s="27">
        <v>6211.3</v>
      </c>
      <c r="H332" s="27">
        <v>52.17</v>
      </c>
      <c r="I332" s="27">
        <v>896.19</v>
      </c>
      <c r="J332" s="6">
        <v>267</v>
      </c>
      <c r="K332" s="6">
        <v>27</v>
      </c>
      <c r="L332" s="27">
        <v>23.263295880149812</v>
      </c>
      <c r="M332" s="27">
        <v>33.192222222222227</v>
      </c>
      <c r="N332" s="34">
        <v>37.915748299319723</v>
      </c>
      <c r="S332" s="51"/>
      <c r="T332" s="51"/>
      <c r="AH332" s="50"/>
    </row>
    <row r="333" spans="1:34" x14ac:dyDescent="0.35">
      <c r="A333" s="82">
        <v>330</v>
      </c>
      <c r="B333" s="89" t="str">
        <f>_xlfn.XLOOKUP(A333,'Model Modeshare by TAZ'!A:A,'Model Modeshare by TAZ'!B:B)</f>
        <v>Morgan Hill</v>
      </c>
      <c r="C333" s="90" t="str">
        <f>_xlfn.XLOOKUP(A333,'Model Modeshare by TAZ'!A:A,'Model Modeshare by TAZ'!D:D)</f>
        <v>NO</v>
      </c>
      <c r="D333" s="27">
        <v>1057.47</v>
      </c>
      <c r="E333" s="27">
        <v>18303.57</v>
      </c>
      <c r="F333" s="27">
        <v>993.86</v>
      </c>
      <c r="G333" s="27">
        <v>8875.81</v>
      </c>
      <c r="H333" s="27">
        <v>296.67</v>
      </c>
      <c r="I333" s="27">
        <v>4203.9399999999996</v>
      </c>
      <c r="J333" s="6">
        <v>719</v>
      </c>
      <c r="K333" s="6">
        <v>206</v>
      </c>
      <c r="L333" s="27">
        <v>12.344659248956884</v>
      </c>
      <c r="M333" s="27">
        <v>20.407475728155337</v>
      </c>
      <c r="N333" s="34">
        <v>20.360518918918917</v>
      </c>
      <c r="O333" s="51"/>
      <c r="R333" s="51"/>
      <c r="S333" s="51"/>
      <c r="T333" s="51"/>
      <c r="U333" s="51"/>
      <c r="X333" s="51"/>
      <c r="AH333" s="50"/>
    </row>
    <row r="334" spans="1:34" x14ac:dyDescent="0.35">
      <c r="A334" s="82">
        <v>331</v>
      </c>
      <c r="B334" s="89" t="str">
        <f>_xlfn.XLOOKUP(A334,'Model Modeshare by TAZ'!A:A,'Model Modeshare by TAZ'!B:B)</f>
        <v>Unincorporated</v>
      </c>
      <c r="C334" s="90" t="str">
        <f>_xlfn.XLOOKUP(A334,'Model Modeshare by TAZ'!A:A,'Model Modeshare by TAZ'!D:D)</f>
        <v>NO</v>
      </c>
      <c r="D334" s="27">
        <v>646.78</v>
      </c>
      <c r="E334" s="27">
        <v>23514.74</v>
      </c>
      <c r="F334" s="27">
        <v>526.42999999999995</v>
      </c>
      <c r="G334" s="27">
        <v>9776.57</v>
      </c>
      <c r="H334" s="27">
        <v>96.47</v>
      </c>
      <c r="I334" s="27">
        <v>1819.55</v>
      </c>
      <c r="J334" s="6">
        <v>345</v>
      </c>
      <c r="K334" s="6">
        <v>58</v>
      </c>
      <c r="L334" s="27">
        <v>28.337884057971014</v>
      </c>
      <c r="M334" s="27">
        <v>31.37155172413793</v>
      </c>
      <c r="N334" s="34">
        <v>47.634565756823818</v>
      </c>
      <c r="O334" s="51"/>
      <c r="R334" s="51"/>
      <c r="S334" s="51"/>
      <c r="T334" s="51"/>
      <c r="U334" s="51"/>
      <c r="X334" s="51"/>
      <c r="AH334" s="50"/>
    </row>
    <row r="335" spans="1:34" x14ac:dyDescent="0.35">
      <c r="A335" s="82">
        <v>332</v>
      </c>
      <c r="B335" s="89" t="str">
        <f>_xlfn.XLOOKUP(A335,'Model Modeshare by TAZ'!A:A,'Model Modeshare by TAZ'!B:B)</f>
        <v>Morgan Hill</v>
      </c>
      <c r="C335" s="90" t="str">
        <f>_xlfn.XLOOKUP(A335,'Model Modeshare by TAZ'!A:A,'Model Modeshare by TAZ'!D:D)</f>
        <v>NO</v>
      </c>
      <c r="D335" s="27">
        <v>6538.46</v>
      </c>
      <c r="E335" s="27">
        <v>184749.43</v>
      </c>
      <c r="F335" s="27">
        <v>2026.3</v>
      </c>
      <c r="G335" s="27">
        <v>25868.47</v>
      </c>
      <c r="H335" s="27">
        <v>3885.63</v>
      </c>
      <c r="I335" s="27">
        <v>64931.39</v>
      </c>
      <c r="J335" s="6">
        <v>1401</v>
      </c>
      <c r="K335" s="6">
        <v>3106</v>
      </c>
      <c r="L335" s="27">
        <v>18.464289793004998</v>
      </c>
      <c r="M335" s="27">
        <v>20.905148100450742</v>
      </c>
      <c r="N335" s="34">
        <v>47.730616818282677</v>
      </c>
      <c r="O335" s="51"/>
      <c r="R335" s="51"/>
      <c r="S335" s="51"/>
      <c r="T335" s="51"/>
      <c r="U335" s="51"/>
      <c r="X335" s="51"/>
      <c r="AH335" s="50"/>
    </row>
    <row r="336" spans="1:34" x14ac:dyDescent="0.35">
      <c r="A336" s="82">
        <v>333</v>
      </c>
      <c r="B336" s="89" t="str">
        <f>_xlfn.XLOOKUP(A336,'Model Modeshare by TAZ'!A:A,'Model Modeshare by TAZ'!B:B)</f>
        <v>Morgan Hill</v>
      </c>
      <c r="C336" s="90" t="str">
        <f>_xlfn.XLOOKUP(A336,'Model Modeshare by TAZ'!A:A,'Model Modeshare by TAZ'!D:D)</f>
        <v>NO</v>
      </c>
      <c r="D336" s="27">
        <v>5326.89</v>
      </c>
      <c r="E336" s="27">
        <v>155321.35999999999</v>
      </c>
      <c r="F336" s="27">
        <v>2474.5500000000002</v>
      </c>
      <c r="G336" s="27">
        <v>36202.959999999999</v>
      </c>
      <c r="H336" s="27">
        <v>846.78</v>
      </c>
      <c r="I336" s="27">
        <v>14472.27</v>
      </c>
      <c r="J336" s="6">
        <v>1478</v>
      </c>
      <c r="K336" s="6">
        <v>607</v>
      </c>
      <c r="L336" s="27">
        <v>24.494560216508795</v>
      </c>
      <c r="M336" s="27">
        <v>23.842289950576607</v>
      </c>
      <c r="N336" s="34">
        <v>50.655635491606716</v>
      </c>
      <c r="R336" s="51"/>
      <c r="S336" s="51"/>
      <c r="T336" s="51"/>
      <c r="X336" s="51"/>
      <c r="AH336" s="50"/>
    </row>
    <row r="337" spans="1:34" x14ac:dyDescent="0.35">
      <c r="A337" s="82">
        <v>334</v>
      </c>
      <c r="B337" s="89" t="str">
        <f>_xlfn.XLOOKUP(A337,'Model Modeshare by TAZ'!A:A,'Model Modeshare by TAZ'!B:B)</f>
        <v>Morgan Hill</v>
      </c>
      <c r="C337" s="90" t="str">
        <f>_xlfn.XLOOKUP(A337,'Model Modeshare by TAZ'!A:A,'Model Modeshare by TAZ'!D:D)</f>
        <v>NO</v>
      </c>
      <c r="D337" s="27">
        <v>2346.2600000000002</v>
      </c>
      <c r="E337" s="27">
        <v>77610.350000000006</v>
      </c>
      <c r="F337" s="27">
        <v>1583.91</v>
      </c>
      <c r="G337" s="27">
        <v>24214.400000000001</v>
      </c>
      <c r="H337" s="27">
        <v>139.11000000000001</v>
      </c>
      <c r="I337" s="27">
        <v>2525.23</v>
      </c>
      <c r="J337" s="6">
        <v>917</v>
      </c>
      <c r="K337" s="6">
        <v>73</v>
      </c>
      <c r="L337" s="27">
        <v>26.40610687022901</v>
      </c>
      <c r="M337" s="27">
        <v>34.592191780821921</v>
      </c>
      <c r="N337" s="34">
        <v>51.608555555555554</v>
      </c>
      <c r="S337" s="51"/>
      <c r="T337" s="51"/>
      <c r="AH337" s="50"/>
    </row>
    <row r="338" spans="1:34" x14ac:dyDescent="0.35">
      <c r="A338" s="82">
        <v>335</v>
      </c>
      <c r="B338" s="89" t="str">
        <f>_xlfn.XLOOKUP(A338,'Model Modeshare by TAZ'!A:A,'Model Modeshare by TAZ'!B:B)</f>
        <v>Morgan Hill</v>
      </c>
      <c r="C338" s="90" t="str">
        <f>_xlfn.XLOOKUP(A338,'Model Modeshare by TAZ'!A:A,'Model Modeshare by TAZ'!D:D)</f>
        <v>NO</v>
      </c>
      <c r="D338" s="27">
        <v>3341.12</v>
      </c>
      <c r="E338" s="27">
        <v>65261.48</v>
      </c>
      <c r="F338" s="27">
        <v>1791.59</v>
      </c>
      <c r="G338" s="27">
        <v>16204.73</v>
      </c>
      <c r="H338" s="27">
        <v>442.57</v>
      </c>
      <c r="I338" s="27">
        <v>6796.94</v>
      </c>
      <c r="J338" s="6">
        <v>1200</v>
      </c>
      <c r="K338" s="6">
        <v>273</v>
      </c>
      <c r="L338" s="27">
        <v>13.503941666666666</v>
      </c>
      <c r="M338" s="27">
        <v>24.897216117216114</v>
      </c>
      <c r="N338" s="34">
        <v>23.381758316361168</v>
      </c>
      <c r="O338" s="51"/>
      <c r="R338" s="51"/>
      <c r="S338" s="51"/>
      <c r="T338" s="51"/>
      <c r="X338" s="51"/>
      <c r="AH338" s="50"/>
    </row>
    <row r="339" spans="1:34" x14ac:dyDescent="0.35">
      <c r="A339" s="82">
        <v>336</v>
      </c>
      <c r="B339" s="89" t="str">
        <f>_xlfn.XLOOKUP(A339,'Model Modeshare by TAZ'!A:A,'Model Modeshare by TAZ'!B:B)</f>
        <v>Morgan Hill</v>
      </c>
      <c r="C339" s="90" t="str">
        <f>_xlfn.XLOOKUP(A339,'Model Modeshare by TAZ'!A:A,'Model Modeshare by TAZ'!D:D)</f>
        <v>NO</v>
      </c>
      <c r="D339" s="27">
        <v>9294.34</v>
      </c>
      <c r="E339" s="27">
        <v>264847.33</v>
      </c>
      <c r="F339" s="27">
        <v>1900.93</v>
      </c>
      <c r="G339" s="27">
        <v>24875.42</v>
      </c>
      <c r="H339" s="27">
        <v>5532.21</v>
      </c>
      <c r="I339" s="27">
        <v>90078.080000000002</v>
      </c>
      <c r="J339" s="6">
        <v>1338</v>
      </c>
      <c r="K339" s="6">
        <v>4649</v>
      </c>
      <c r="L339" s="27">
        <v>18.591494768310909</v>
      </c>
      <c r="M339" s="27">
        <v>19.375796945579694</v>
      </c>
      <c r="N339" s="34">
        <v>53.836243527643234</v>
      </c>
      <c r="O339" s="51"/>
      <c r="R339" s="51"/>
      <c r="S339" s="51"/>
      <c r="T339" s="51"/>
      <c r="AH339" s="50"/>
    </row>
    <row r="340" spans="1:34" x14ac:dyDescent="0.35">
      <c r="A340" s="82">
        <v>337</v>
      </c>
      <c r="B340" s="89" t="str">
        <f>_xlfn.XLOOKUP(A340,'Model Modeshare by TAZ'!A:A,'Model Modeshare by TAZ'!B:B)</f>
        <v>Morgan Hill</v>
      </c>
      <c r="C340" s="90" t="str">
        <f>_xlfn.XLOOKUP(A340,'Model Modeshare by TAZ'!A:A,'Model Modeshare by TAZ'!D:D)</f>
        <v>NO</v>
      </c>
      <c r="D340" s="27">
        <v>7011.37</v>
      </c>
      <c r="E340" s="27">
        <v>128508.03</v>
      </c>
      <c r="F340" s="27">
        <v>5571.65</v>
      </c>
      <c r="G340" s="27">
        <v>53935.28</v>
      </c>
      <c r="H340" s="27">
        <v>947.62</v>
      </c>
      <c r="I340" s="27">
        <v>12748.08</v>
      </c>
      <c r="J340" s="6">
        <v>3772</v>
      </c>
      <c r="K340" s="6">
        <v>619</v>
      </c>
      <c r="L340" s="27">
        <v>14.298854718981971</v>
      </c>
      <c r="M340" s="27">
        <v>20.594636510500809</v>
      </c>
      <c r="N340" s="34">
        <v>21.075902983375084</v>
      </c>
      <c r="O340" s="51"/>
      <c r="R340" s="51"/>
      <c r="S340" s="51"/>
      <c r="T340" s="51"/>
      <c r="U340" s="51"/>
      <c r="X340" s="51"/>
      <c r="AH340" s="50"/>
    </row>
    <row r="341" spans="1:34" x14ac:dyDescent="0.35">
      <c r="A341" s="82">
        <v>338</v>
      </c>
      <c r="B341" s="89" t="str">
        <f>_xlfn.XLOOKUP(A341,'Model Modeshare by TAZ'!A:A,'Model Modeshare by TAZ'!B:B)</f>
        <v>Morgan Hill</v>
      </c>
      <c r="C341" s="90" t="str">
        <f>_xlfn.XLOOKUP(A341,'Model Modeshare by TAZ'!A:A,'Model Modeshare by TAZ'!D:D)</f>
        <v>NO</v>
      </c>
      <c r="D341" s="27">
        <v>5121.05</v>
      </c>
      <c r="E341" s="27">
        <v>165849.04999999999</v>
      </c>
      <c r="F341" s="27">
        <v>4022.4</v>
      </c>
      <c r="G341" s="27">
        <v>59921.88</v>
      </c>
      <c r="H341" s="27">
        <v>508.28</v>
      </c>
      <c r="I341" s="27">
        <v>8639.11</v>
      </c>
      <c r="J341" s="6">
        <v>2312</v>
      </c>
      <c r="K341" s="6">
        <v>272</v>
      </c>
      <c r="L341" s="27">
        <v>25.917768166089964</v>
      </c>
      <c r="M341" s="27">
        <v>31.761433823529416</v>
      </c>
      <c r="N341" s="34">
        <v>41.491292569659443</v>
      </c>
      <c r="O341" s="51"/>
      <c r="R341" s="51"/>
      <c r="S341" s="51"/>
      <c r="T341" s="51"/>
      <c r="X341" s="51"/>
      <c r="AH341" s="50"/>
    </row>
    <row r="342" spans="1:34" x14ac:dyDescent="0.35">
      <c r="A342" s="82">
        <v>339</v>
      </c>
      <c r="B342" s="89" t="str">
        <f>_xlfn.XLOOKUP(A342,'Model Modeshare by TAZ'!A:A,'Model Modeshare by TAZ'!B:B)</f>
        <v>Morgan Hill</v>
      </c>
      <c r="C342" s="90" t="str">
        <f>_xlfn.XLOOKUP(A342,'Model Modeshare by TAZ'!A:A,'Model Modeshare by TAZ'!D:D)</f>
        <v>NO</v>
      </c>
      <c r="D342" s="27">
        <v>648.76</v>
      </c>
      <c r="E342" s="27">
        <v>15507.16</v>
      </c>
      <c r="F342" s="27">
        <v>19.18</v>
      </c>
      <c r="G342" s="27">
        <v>247.92</v>
      </c>
      <c r="H342" s="27">
        <v>14.82</v>
      </c>
      <c r="I342" s="27">
        <v>238.15</v>
      </c>
      <c r="J342" s="6">
        <v>16</v>
      </c>
      <c r="K342" s="6">
        <v>12</v>
      </c>
      <c r="L342" s="27">
        <v>15.494999999999999</v>
      </c>
      <c r="M342" s="27">
        <v>19.845833333333335</v>
      </c>
      <c r="N342" s="34">
        <v>37.856428571428573</v>
      </c>
      <c r="S342" s="51"/>
      <c r="T342" s="51"/>
      <c r="U342" s="51"/>
      <c r="AH342" s="50"/>
    </row>
    <row r="343" spans="1:34" x14ac:dyDescent="0.35">
      <c r="A343" s="82">
        <v>340</v>
      </c>
      <c r="B343" s="89" t="str">
        <f>_xlfn.XLOOKUP(A343,'Model Modeshare by TAZ'!A:A,'Model Modeshare by TAZ'!B:B)</f>
        <v>Morgan Hill</v>
      </c>
      <c r="C343" s="90" t="str">
        <f>_xlfn.XLOOKUP(A343,'Model Modeshare by TAZ'!A:A,'Model Modeshare by TAZ'!D:D)</f>
        <v>NO</v>
      </c>
      <c r="D343" s="27">
        <v>1127.71</v>
      </c>
      <c r="E343" s="27">
        <v>19976.310000000001</v>
      </c>
      <c r="F343" s="27">
        <v>353.17</v>
      </c>
      <c r="G343" s="27">
        <v>3106.53</v>
      </c>
      <c r="H343" s="27">
        <v>737.15</v>
      </c>
      <c r="I343" s="27">
        <v>10535.93</v>
      </c>
      <c r="J343" s="6">
        <v>276</v>
      </c>
      <c r="K343" s="6">
        <v>661</v>
      </c>
      <c r="L343" s="27">
        <v>11.25554347826087</v>
      </c>
      <c r="M343" s="27">
        <v>15.939379727685326</v>
      </c>
      <c r="N343" s="34">
        <v>24.060309498399146</v>
      </c>
      <c r="AH343" s="50"/>
    </row>
    <row r="344" spans="1:34" x14ac:dyDescent="0.35">
      <c r="A344" s="82">
        <v>341</v>
      </c>
      <c r="B344" s="89" t="str">
        <f>_xlfn.XLOOKUP(A344,'Model Modeshare by TAZ'!A:A,'Model Modeshare by TAZ'!B:B)</f>
        <v>Morgan Hill</v>
      </c>
      <c r="C344" s="90" t="str">
        <f>_xlfn.XLOOKUP(A344,'Model Modeshare by TAZ'!A:A,'Model Modeshare by TAZ'!D:D)</f>
        <v>NO</v>
      </c>
      <c r="D344" s="27">
        <v>1287.17</v>
      </c>
      <c r="E344" s="27">
        <v>21798.23</v>
      </c>
      <c r="F344" s="27">
        <v>568.89</v>
      </c>
      <c r="G344" s="27">
        <v>5034.1099999999997</v>
      </c>
      <c r="H344" s="27">
        <v>615.42999999999995</v>
      </c>
      <c r="I344" s="27">
        <v>8535.41</v>
      </c>
      <c r="J344" s="6">
        <v>435</v>
      </c>
      <c r="K344" s="6">
        <v>566</v>
      </c>
      <c r="L344" s="27">
        <v>11.572666666666667</v>
      </c>
      <c r="M344" s="27">
        <v>15.080229681978798</v>
      </c>
      <c r="N344" s="34">
        <v>23.817532467532466</v>
      </c>
      <c r="S344" s="51"/>
      <c r="AH344" s="50"/>
    </row>
    <row r="345" spans="1:34" x14ac:dyDescent="0.35">
      <c r="A345" s="82">
        <v>342</v>
      </c>
      <c r="B345" s="89" t="str">
        <f>_xlfn.XLOOKUP(A345,'Model Modeshare by TAZ'!A:A,'Model Modeshare by TAZ'!B:B)</f>
        <v>Morgan Hill</v>
      </c>
      <c r="C345" s="90" t="str">
        <f>_xlfn.XLOOKUP(A345,'Model Modeshare by TAZ'!A:A,'Model Modeshare by TAZ'!D:D)</f>
        <v>NO</v>
      </c>
      <c r="D345" s="27">
        <v>1705.78</v>
      </c>
      <c r="E345" s="27">
        <v>26862.41</v>
      </c>
      <c r="F345" s="27">
        <v>1254.49</v>
      </c>
      <c r="G345" s="27">
        <v>10385.34</v>
      </c>
      <c r="H345" s="27">
        <v>622.95000000000005</v>
      </c>
      <c r="I345" s="27">
        <v>8656.24</v>
      </c>
      <c r="J345" s="6">
        <v>1000</v>
      </c>
      <c r="K345" s="6">
        <v>565</v>
      </c>
      <c r="L345" s="27">
        <v>10.385339999999999</v>
      </c>
      <c r="M345" s="27">
        <v>15.320778761061947</v>
      </c>
      <c r="N345" s="34">
        <v>17.118281150159746</v>
      </c>
      <c r="O345" s="51"/>
      <c r="R345" s="51"/>
      <c r="S345" s="51"/>
      <c r="T345" s="51"/>
      <c r="X345" s="51"/>
      <c r="AH345" s="50"/>
    </row>
    <row r="346" spans="1:34" x14ac:dyDescent="0.35">
      <c r="A346" s="82">
        <v>343</v>
      </c>
      <c r="B346" s="89" t="str">
        <f>_xlfn.XLOOKUP(A346,'Model Modeshare by TAZ'!A:A,'Model Modeshare by TAZ'!B:B)</f>
        <v>Morgan Hill</v>
      </c>
      <c r="C346" s="90" t="str">
        <f>_xlfn.XLOOKUP(A346,'Model Modeshare by TAZ'!A:A,'Model Modeshare by TAZ'!D:D)</f>
        <v>NO</v>
      </c>
      <c r="D346" s="27">
        <v>1590.03</v>
      </c>
      <c r="E346" s="27">
        <v>29100.94</v>
      </c>
      <c r="F346" s="27">
        <v>1918.9</v>
      </c>
      <c r="G346" s="27">
        <v>17926.099999999999</v>
      </c>
      <c r="H346" s="27">
        <v>82.27</v>
      </c>
      <c r="I346" s="27">
        <v>1199.28</v>
      </c>
      <c r="J346" s="6">
        <v>1337</v>
      </c>
      <c r="K346" s="6">
        <v>45</v>
      </c>
      <c r="L346" s="27">
        <v>13.407703814510096</v>
      </c>
      <c r="M346" s="27">
        <v>26.650666666666666</v>
      </c>
      <c r="N346" s="34">
        <v>18.994594790159187</v>
      </c>
      <c r="O346" s="51"/>
      <c r="P346" s="51"/>
      <c r="Q346" s="51"/>
      <c r="R346" s="51"/>
      <c r="S346" s="51"/>
      <c r="T346" s="51"/>
      <c r="U346" s="51"/>
      <c r="X346" s="51"/>
      <c r="AH346" s="50"/>
    </row>
    <row r="347" spans="1:34" x14ac:dyDescent="0.35">
      <c r="A347" s="82">
        <v>344</v>
      </c>
      <c r="B347" s="89" t="str">
        <f>_xlfn.XLOOKUP(A347,'Model Modeshare by TAZ'!A:A,'Model Modeshare by TAZ'!B:B)</f>
        <v>Morgan Hill</v>
      </c>
      <c r="C347" s="90" t="str">
        <f>_xlfn.XLOOKUP(A347,'Model Modeshare by TAZ'!A:A,'Model Modeshare by TAZ'!D:D)</f>
        <v>NO</v>
      </c>
      <c r="D347" s="27">
        <v>4562.09</v>
      </c>
      <c r="E347" s="27">
        <v>100417.26</v>
      </c>
      <c r="F347" s="27">
        <v>4266.67</v>
      </c>
      <c r="G347" s="27">
        <v>46408.49</v>
      </c>
      <c r="H347" s="27">
        <v>1122.1400000000001</v>
      </c>
      <c r="I347" s="27">
        <v>16102.04</v>
      </c>
      <c r="J347" s="6">
        <v>2895</v>
      </c>
      <c r="K347" s="6">
        <v>762</v>
      </c>
      <c r="L347" s="27">
        <v>16.030566493955096</v>
      </c>
      <c r="M347" s="27">
        <v>21.131286089238845</v>
      </c>
      <c r="N347" s="34">
        <v>27.405712332512991</v>
      </c>
      <c r="R347" s="51"/>
      <c r="S347" s="51"/>
      <c r="T347" s="51"/>
      <c r="X347" s="51"/>
      <c r="AH347" s="50"/>
    </row>
    <row r="348" spans="1:34" x14ac:dyDescent="0.35">
      <c r="A348" s="82">
        <v>345</v>
      </c>
      <c r="B348" s="89" t="str">
        <f>_xlfn.XLOOKUP(A348,'Model Modeshare by TAZ'!A:A,'Model Modeshare by TAZ'!B:B)</f>
        <v>Morgan Hill</v>
      </c>
      <c r="C348" s="90" t="str">
        <f>_xlfn.XLOOKUP(A348,'Model Modeshare by TAZ'!A:A,'Model Modeshare by TAZ'!D:D)</f>
        <v>NO</v>
      </c>
      <c r="D348" s="27">
        <v>1436.72</v>
      </c>
      <c r="E348" s="27">
        <v>30517.93</v>
      </c>
      <c r="F348" s="27">
        <v>864.96</v>
      </c>
      <c r="G348" s="27">
        <v>9345.85</v>
      </c>
      <c r="H348" s="27">
        <v>476.34</v>
      </c>
      <c r="I348" s="27">
        <v>6718.09</v>
      </c>
      <c r="J348" s="6">
        <v>623</v>
      </c>
      <c r="K348" s="6">
        <v>420</v>
      </c>
      <c r="L348" s="27">
        <v>15.001364365971108</v>
      </c>
      <c r="M348" s="27">
        <v>15.995452380952381</v>
      </c>
      <c r="N348" s="34">
        <v>30.733173537871526</v>
      </c>
      <c r="AH348" s="50"/>
    </row>
    <row r="349" spans="1:34" x14ac:dyDescent="0.35">
      <c r="A349" s="82">
        <v>346</v>
      </c>
      <c r="B349" s="89" t="str">
        <f>_xlfn.XLOOKUP(A349,'Model Modeshare by TAZ'!A:A,'Model Modeshare by TAZ'!B:B)</f>
        <v>Unincorporated</v>
      </c>
      <c r="C349" s="90" t="str">
        <f>_xlfn.XLOOKUP(A349,'Model Modeshare by TAZ'!A:A,'Model Modeshare by TAZ'!D:D)</f>
        <v>NO</v>
      </c>
      <c r="D349" s="27">
        <v>4790.3900000000003</v>
      </c>
      <c r="E349" s="27">
        <v>95510.49</v>
      </c>
      <c r="F349" s="27">
        <v>4648.75</v>
      </c>
      <c r="G349" s="27">
        <v>46122.61</v>
      </c>
      <c r="H349" s="27">
        <v>823.52</v>
      </c>
      <c r="I349" s="27">
        <v>11362.4</v>
      </c>
      <c r="J349" s="6">
        <v>3160</v>
      </c>
      <c r="K349" s="6">
        <v>464</v>
      </c>
      <c r="L349" s="27">
        <v>14.595762658227848</v>
      </c>
      <c r="M349" s="27">
        <v>24.487931034482759</v>
      </c>
      <c r="N349" s="34">
        <v>25.770998896247242</v>
      </c>
      <c r="S349" s="51"/>
      <c r="AH349" s="50"/>
    </row>
    <row r="350" spans="1:34" x14ac:dyDescent="0.35">
      <c r="A350" s="82">
        <v>347</v>
      </c>
      <c r="B350" s="89" t="str">
        <f>_xlfn.XLOOKUP(A350,'Model Modeshare by TAZ'!A:A,'Model Modeshare by TAZ'!B:B)</f>
        <v>Unincorporated</v>
      </c>
      <c r="C350" s="90" t="str">
        <f>_xlfn.XLOOKUP(A350,'Model Modeshare by TAZ'!A:A,'Model Modeshare by TAZ'!D:D)</f>
        <v>NO</v>
      </c>
      <c r="D350" s="27">
        <v>2302.46</v>
      </c>
      <c r="E350" s="27">
        <v>74730.11</v>
      </c>
      <c r="F350" s="27">
        <v>1438.26</v>
      </c>
      <c r="G350" s="27">
        <v>22061.29</v>
      </c>
      <c r="H350" s="27">
        <v>828.7</v>
      </c>
      <c r="I350" s="27">
        <v>13641.62</v>
      </c>
      <c r="J350" s="6">
        <v>875</v>
      </c>
      <c r="K350" s="6">
        <v>639</v>
      </c>
      <c r="L350" s="27">
        <v>25.212902857142858</v>
      </c>
      <c r="M350" s="27">
        <v>21.348388106416277</v>
      </c>
      <c r="N350" s="34">
        <v>50.877417437252312</v>
      </c>
      <c r="S350" s="51"/>
      <c r="T350" s="51"/>
      <c r="X350" s="51"/>
      <c r="AH350" s="50"/>
    </row>
    <row r="351" spans="1:34" x14ac:dyDescent="0.35">
      <c r="A351" s="82">
        <v>348</v>
      </c>
      <c r="B351" s="89" t="str">
        <f>_xlfn.XLOOKUP(A351,'Model Modeshare by TAZ'!A:A,'Model Modeshare by TAZ'!B:B)</f>
        <v>Morgan Hill</v>
      </c>
      <c r="C351" s="90" t="str">
        <f>_xlfn.XLOOKUP(A351,'Model Modeshare by TAZ'!A:A,'Model Modeshare by TAZ'!D:D)</f>
        <v>NO</v>
      </c>
      <c r="D351" s="27">
        <v>6982.01</v>
      </c>
      <c r="E351" s="27">
        <v>193730.38</v>
      </c>
      <c r="F351" s="27">
        <v>4259.76</v>
      </c>
      <c r="G351" s="27">
        <v>54977.760000000002</v>
      </c>
      <c r="H351" s="27">
        <v>2064.69</v>
      </c>
      <c r="I351" s="27">
        <v>32511.119999999999</v>
      </c>
      <c r="J351" s="6">
        <v>2922</v>
      </c>
      <c r="K351" s="6">
        <v>1800</v>
      </c>
      <c r="L351" s="27">
        <v>18.815112936344971</v>
      </c>
      <c r="M351" s="27">
        <v>18.061733333333333</v>
      </c>
      <c r="N351" s="34">
        <v>43.093396865734853</v>
      </c>
      <c r="P351" s="51"/>
      <c r="R351" s="51"/>
      <c r="S351" s="51"/>
      <c r="T351" s="51"/>
      <c r="U351" s="51"/>
      <c r="V351" s="51"/>
      <c r="X351" s="51"/>
      <c r="AH351" s="50"/>
    </row>
    <row r="352" spans="1:34" x14ac:dyDescent="0.35">
      <c r="A352" s="82">
        <v>349</v>
      </c>
      <c r="B352" s="89" t="str">
        <f>_xlfn.XLOOKUP(A352,'Model Modeshare by TAZ'!A:A,'Model Modeshare by TAZ'!B:B)</f>
        <v>Morgan Hill</v>
      </c>
      <c r="C352" s="90" t="str">
        <f>_xlfn.XLOOKUP(A352,'Model Modeshare by TAZ'!A:A,'Model Modeshare by TAZ'!D:D)</f>
        <v>NO</v>
      </c>
      <c r="D352" s="27">
        <v>2195.2199999999998</v>
      </c>
      <c r="E352" s="27">
        <v>61478.06</v>
      </c>
      <c r="F352" s="27">
        <v>359</v>
      </c>
      <c r="G352" s="27">
        <v>4617.09</v>
      </c>
      <c r="H352" s="27">
        <v>1772.66</v>
      </c>
      <c r="I352" s="27">
        <v>27578.41</v>
      </c>
      <c r="J352" s="6">
        <v>254</v>
      </c>
      <c r="K352" s="6">
        <v>1575</v>
      </c>
      <c r="L352" s="27">
        <v>18.177519685039371</v>
      </c>
      <c r="M352" s="27">
        <v>17.510101587301588</v>
      </c>
      <c r="N352" s="34">
        <v>41.440071077091304</v>
      </c>
      <c r="R352" s="51"/>
      <c r="S352" s="51"/>
      <c r="T352" s="51"/>
      <c r="U352" s="51"/>
      <c r="X352" s="51"/>
      <c r="AH352" s="50"/>
    </row>
    <row r="353" spans="1:34" x14ac:dyDescent="0.35">
      <c r="A353" s="82">
        <v>350</v>
      </c>
      <c r="B353" s="89" t="str">
        <f>_xlfn.XLOOKUP(A353,'Model Modeshare by TAZ'!A:A,'Model Modeshare by TAZ'!B:B)</f>
        <v>Unincorporated</v>
      </c>
      <c r="C353" s="90" t="str">
        <f>_xlfn.XLOOKUP(A353,'Model Modeshare by TAZ'!A:A,'Model Modeshare by TAZ'!D:D)</f>
        <v>NO</v>
      </c>
      <c r="D353" s="27">
        <v>262.27999999999997</v>
      </c>
      <c r="E353" s="27">
        <v>7422.08</v>
      </c>
      <c r="F353" s="27">
        <v>183.95</v>
      </c>
      <c r="G353" s="27">
        <v>2545.09</v>
      </c>
      <c r="H353" s="27">
        <v>72.97</v>
      </c>
      <c r="I353" s="27">
        <v>1136.5899999999999</v>
      </c>
      <c r="J353" s="6">
        <v>121</v>
      </c>
      <c r="K353" s="6">
        <v>56</v>
      </c>
      <c r="L353" s="27">
        <v>21.033801652892564</v>
      </c>
      <c r="M353" s="27">
        <v>20.296249999999997</v>
      </c>
      <c r="N353" s="34">
        <v>42.499774011299436</v>
      </c>
      <c r="AH353" s="50"/>
    </row>
    <row r="354" spans="1:34" x14ac:dyDescent="0.35">
      <c r="A354" s="82">
        <v>351</v>
      </c>
      <c r="B354" s="89" t="str">
        <f>_xlfn.XLOOKUP(A354,'Model Modeshare by TAZ'!A:A,'Model Modeshare by TAZ'!B:B)</f>
        <v>Morgan Hill</v>
      </c>
      <c r="C354" s="90" t="str">
        <f>_xlfn.XLOOKUP(A354,'Model Modeshare by TAZ'!A:A,'Model Modeshare by TAZ'!D:D)</f>
        <v>NO</v>
      </c>
      <c r="D354" s="27">
        <v>4273.8</v>
      </c>
      <c r="E354" s="27">
        <v>69193.73</v>
      </c>
      <c r="F354" s="27">
        <v>4094.37</v>
      </c>
      <c r="G354" s="27">
        <v>37001.279999999999</v>
      </c>
      <c r="H354" s="27">
        <v>181.94</v>
      </c>
      <c r="I354" s="27">
        <v>2418.94</v>
      </c>
      <c r="J354" s="6">
        <v>2774</v>
      </c>
      <c r="K354" s="6">
        <v>99</v>
      </c>
      <c r="L354" s="27">
        <v>13.33860129776496</v>
      </c>
      <c r="M354" s="27">
        <v>24.433737373737376</v>
      </c>
      <c r="N354" s="34">
        <v>17.067702749738949</v>
      </c>
      <c r="S354" s="51"/>
      <c r="T354" s="51"/>
      <c r="AH354" s="50"/>
    </row>
    <row r="355" spans="1:34" x14ac:dyDescent="0.35">
      <c r="A355" s="82">
        <v>352</v>
      </c>
      <c r="B355" s="89" t="str">
        <f>_xlfn.XLOOKUP(A355,'Model Modeshare by TAZ'!A:A,'Model Modeshare by TAZ'!B:B)</f>
        <v>Unincorporated</v>
      </c>
      <c r="C355" s="90" t="str">
        <f>_xlfn.XLOOKUP(A355,'Model Modeshare by TAZ'!A:A,'Model Modeshare by TAZ'!D:D)</f>
        <v>NO</v>
      </c>
      <c r="D355" s="27">
        <v>4540.6000000000004</v>
      </c>
      <c r="E355" s="27">
        <v>160765.56</v>
      </c>
      <c r="F355" s="27">
        <v>4345.37</v>
      </c>
      <c r="G355" s="27">
        <v>70795.05</v>
      </c>
      <c r="H355" s="27">
        <v>9.3800000000000008</v>
      </c>
      <c r="I355" s="27">
        <v>164.17</v>
      </c>
      <c r="J355" s="6">
        <v>2501</v>
      </c>
      <c r="K355" s="6">
        <v>5</v>
      </c>
      <c r="L355" s="27">
        <v>28.306697321071571</v>
      </c>
      <c r="M355" s="27">
        <v>32.833999999999996</v>
      </c>
      <c r="N355" s="34">
        <v>39.988731045490823</v>
      </c>
      <c r="O355" s="51"/>
      <c r="S355" s="51"/>
      <c r="T355" s="51"/>
      <c r="AH355" s="50"/>
    </row>
    <row r="356" spans="1:34" x14ac:dyDescent="0.35">
      <c r="A356" s="82">
        <v>353</v>
      </c>
      <c r="B356" s="89" t="str">
        <f>_xlfn.XLOOKUP(A356,'Model Modeshare by TAZ'!A:A,'Model Modeshare by TAZ'!B:B)</f>
        <v>Morgan Hill</v>
      </c>
      <c r="C356" s="90" t="str">
        <f>_xlfn.XLOOKUP(A356,'Model Modeshare by TAZ'!A:A,'Model Modeshare by TAZ'!D:D)</f>
        <v>NO</v>
      </c>
      <c r="D356" s="27">
        <v>5755.82</v>
      </c>
      <c r="E356" s="27">
        <v>203301.24</v>
      </c>
      <c r="F356" s="27">
        <v>6404.61</v>
      </c>
      <c r="G356" s="27">
        <v>109527.77</v>
      </c>
      <c r="H356" s="27">
        <v>184.3</v>
      </c>
      <c r="I356" s="27">
        <v>3278.95</v>
      </c>
      <c r="J356" s="6">
        <v>3868</v>
      </c>
      <c r="K356" s="6">
        <v>98</v>
      </c>
      <c r="L356" s="27">
        <v>28.316383143743536</v>
      </c>
      <c r="M356" s="27">
        <v>33.458673469387755</v>
      </c>
      <c r="N356" s="34">
        <v>43.974977307110443</v>
      </c>
      <c r="O356" s="51"/>
      <c r="R356" s="51"/>
      <c r="S356" s="51"/>
      <c r="T356" s="51"/>
      <c r="AH356" s="50"/>
    </row>
    <row r="357" spans="1:34" x14ac:dyDescent="0.35">
      <c r="A357" s="82">
        <v>354</v>
      </c>
      <c r="B357" s="89" t="str">
        <f>_xlfn.XLOOKUP(A357,'Model Modeshare by TAZ'!A:A,'Model Modeshare by TAZ'!B:B)</f>
        <v>Morgan Hill</v>
      </c>
      <c r="C357" s="90" t="str">
        <f>_xlfn.XLOOKUP(A357,'Model Modeshare by TAZ'!A:A,'Model Modeshare by TAZ'!D:D)</f>
        <v>NO</v>
      </c>
      <c r="D357" s="27">
        <v>2475.8000000000002</v>
      </c>
      <c r="E357" s="27">
        <v>72272.850000000006</v>
      </c>
      <c r="F357" s="27">
        <v>870.76</v>
      </c>
      <c r="G357" s="27">
        <v>11803.2</v>
      </c>
      <c r="H357" s="27">
        <v>1553.4</v>
      </c>
      <c r="I357" s="27">
        <v>23836.78</v>
      </c>
      <c r="J357" s="6">
        <v>605</v>
      </c>
      <c r="K357" s="6">
        <v>1265</v>
      </c>
      <c r="L357" s="27">
        <v>19.509421487603309</v>
      </c>
      <c r="M357" s="27">
        <v>18.843304347826088</v>
      </c>
      <c r="N357" s="34">
        <v>44.100711229946526</v>
      </c>
      <c r="S357" s="51"/>
      <c r="AH357" s="50"/>
    </row>
    <row r="358" spans="1:34" x14ac:dyDescent="0.35">
      <c r="A358" s="82">
        <v>355</v>
      </c>
      <c r="B358" s="89" t="str">
        <f>_xlfn.XLOOKUP(A358,'Model Modeshare by TAZ'!A:A,'Model Modeshare by TAZ'!B:B)</f>
        <v>Unincorporated</v>
      </c>
      <c r="C358" s="90" t="str">
        <f>_xlfn.XLOOKUP(A358,'Model Modeshare by TAZ'!A:A,'Model Modeshare by TAZ'!D:D)</f>
        <v>NO</v>
      </c>
      <c r="D358" s="27">
        <v>1502.52</v>
      </c>
      <c r="E358" s="27">
        <v>27129.42</v>
      </c>
      <c r="F358" s="27">
        <v>1307.8900000000001</v>
      </c>
      <c r="G358" s="27">
        <v>12341.85</v>
      </c>
      <c r="H358" s="27">
        <v>43.35</v>
      </c>
      <c r="I358" s="27">
        <v>581.49</v>
      </c>
      <c r="J358" s="6">
        <v>833</v>
      </c>
      <c r="K358" s="6">
        <v>23</v>
      </c>
      <c r="L358" s="27">
        <v>14.816146458583434</v>
      </c>
      <c r="M358" s="27">
        <v>25.282173913043479</v>
      </c>
      <c r="N358" s="34">
        <v>18.494030373831777</v>
      </c>
    </row>
    <row r="359" spans="1:34" x14ac:dyDescent="0.35">
      <c r="A359" s="82">
        <v>356</v>
      </c>
      <c r="B359" s="89" t="str">
        <f>_xlfn.XLOOKUP(A359,'Model Modeshare by TAZ'!A:A,'Model Modeshare by TAZ'!B:B)</f>
        <v>Unincorporated</v>
      </c>
      <c r="C359" s="90" t="str">
        <f>_xlfn.XLOOKUP(A359,'Model Modeshare by TAZ'!A:A,'Model Modeshare by TAZ'!D:D)</f>
        <v>NO</v>
      </c>
      <c r="D359" s="27">
        <v>942.76</v>
      </c>
      <c r="E359" s="27">
        <v>15332.13</v>
      </c>
      <c r="F359" s="27">
        <v>812.62</v>
      </c>
      <c r="G359" s="27">
        <v>6585.59</v>
      </c>
      <c r="H359" s="27">
        <v>44.28</v>
      </c>
      <c r="I359" s="27">
        <v>608.55999999999995</v>
      </c>
      <c r="J359" s="6">
        <v>526</v>
      </c>
      <c r="K359" s="6">
        <v>23</v>
      </c>
      <c r="L359" s="27">
        <v>12.520133079847909</v>
      </c>
      <c r="M359" s="27">
        <v>26.459130434782605</v>
      </c>
      <c r="N359" s="34">
        <v>16.060491803278687</v>
      </c>
    </row>
    <row r="360" spans="1:34" x14ac:dyDescent="0.35">
      <c r="A360" s="82">
        <v>357</v>
      </c>
      <c r="B360" s="89" t="str">
        <f>_xlfn.XLOOKUP(A360,'Model Modeshare by TAZ'!A:A,'Model Modeshare by TAZ'!B:B)</f>
        <v>Morgan Hill</v>
      </c>
      <c r="C360" s="90" t="str">
        <f>_xlfn.XLOOKUP(A360,'Model Modeshare by TAZ'!A:A,'Model Modeshare by TAZ'!D:D)</f>
        <v>NO</v>
      </c>
      <c r="D360" s="27">
        <v>2089.0500000000002</v>
      </c>
      <c r="E360" s="27">
        <v>34816.78</v>
      </c>
      <c r="F360" s="27">
        <v>1827.43</v>
      </c>
      <c r="G360" s="27">
        <v>16519.330000000002</v>
      </c>
      <c r="H360" s="27">
        <v>77.19</v>
      </c>
      <c r="I360" s="27">
        <v>1202.94</v>
      </c>
      <c r="J360" s="6">
        <v>1212</v>
      </c>
      <c r="K360" s="6">
        <v>41</v>
      </c>
      <c r="L360" s="27">
        <v>13.629810231023104</v>
      </c>
      <c r="M360" s="27">
        <v>29.34</v>
      </c>
      <c r="N360" s="34">
        <v>17.93029529130088</v>
      </c>
    </row>
    <row r="361" spans="1:34" x14ac:dyDescent="0.35">
      <c r="A361" s="82">
        <v>358</v>
      </c>
      <c r="B361" s="89" t="str">
        <f>_xlfn.XLOOKUP(A361,'Model Modeshare by TAZ'!A:A,'Model Modeshare by TAZ'!B:B)</f>
        <v>Morgan Hill</v>
      </c>
      <c r="C361" s="90" t="str">
        <f>_xlfn.XLOOKUP(A361,'Model Modeshare by TAZ'!A:A,'Model Modeshare by TAZ'!D:D)</f>
        <v>NO</v>
      </c>
      <c r="D361" s="27">
        <v>4698.3999999999996</v>
      </c>
      <c r="E361" s="27">
        <v>129008.85</v>
      </c>
      <c r="F361" s="27">
        <v>4682.1899999999996</v>
      </c>
      <c r="G361" s="27">
        <v>60003.22</v>
      </c>
      <c r="H361" s="27">
        <v>274.95999999999998</v>
      </c>
      <c r="I361" s="27">
        <v>4414.3500000000004</v>
      </c>
      <c r="J361" s="6">
        <v>2922</v>
      </c>
      <c r="K361" s="6">
        <v>155</v>
      </c>
      <c r="L361" s="27">
        <v>20.53498288843258</v>
      </c>
      <c r="M361" s="27">
        <v>28.479677419354839</v>
      </c>
      <c r="N361" s="34">
        <v>35.107666558336042</v>
      </c>
    </row>
    <row r="362" spans="1:34" x14ac:dyDescent="0.35">
      <c r="A362" s="82">
        <v>359</v>
      </c>
      <c r="B362" s="89" t="str">
        <f>_xlfn.XLOOKUP(A362,'Model Modeshare by TAZ'!A:A,'Model Modeshare by TAZ'!B:B)</f>
        <v>Mountain View</v>
      </c>
      <c r="C362" s="90" t="str">
        <f>_xlfn.XLOOKUP(A362,'Model Modeshare by TAZ'!A:A,'Model Modeshare by TAZ'!D:D)</f>
        <v>NO</v>
      </c>
      <c r="D362" s="27">
        <v>2377.33</v>
      </c>
      <c r="E362" s="27">
        <v>64449.88</v>
      </c>
      <c r="F362" s="27">
        <v>532.12</v>
      </c>
      <c r="G362" s="27">
        <v>3975.56</v>
      </c>
      <c r="H362" s="27">
        <v>737.94</v>
      </c>
      <c r="I362" s="27">
        <v>11283.07</v>
      </c>
      <c r="J362" s="6">
        <v>314</v>
      </c>
      <c r="K362" s="6">
        <v>613</v>
      </c>
      <c r="L362" s="27">
        <v>12.661019108280255</v>
      </c>
      <c r="M362" s="27">
        <v>18.4063132137031</v>
      </c>
      <c r="N362" s="34">
        <v>34.140733549083066</v>
      </c>
    </row>
    <row r="363" spans="1:34" x14ac:dyDescent="0.35">
      <c r="A363" s="82">
        <v>360</v>
      </c>
      <c r="B363" s="89" t="str">
        <f>_xlfn.XLOOKUP(A363,'Model Modeshare by TAZ'!A:A,'Model Modeshare by TAZ'!B:B)</f>
        <v>Mountain View</v>
      </c>
      <c r="C363" s="90" t="str">
        <f>_xlfn.XLOOKUP(A363,'Model Modeshare by TAZ'!A:A,'Model Modeshare by TAZ'!D:D)</f>
        <v>NO</v>
      </c>
      <c r="D363" s="27">
        <v>484.87</v>
      </c>
      <c r="E363" s="27">
        <v>5677.79</v>
      </c>
      <c r="F363" s="27">
        <v>557.08000000000004</v>
      </c>
      <c r="G363" s="27">
        <v>3241.09</v>
      </c>
      <c r="H363" s="27">
        <v>15.51</v>
      </c>
      <c r="I363" s="27">
        <v>237</v>
      </c>
      <c r="J363" s="6">
        <v>379</v>
      </c>
      <c r="K363" s="6">
        <v>8</v>
      </c>
      <c r="L363" s="27">
        <v>8.551688654353562</v>
      </c>
      <c r="M363" s="27">
        <v>29.625</v>
      </c>
      <c r="N363" s="34">
        <v>13.38501291989664</v>
      </c>
    </row>
    <row r="364" spans="1:34" x14ac:dyDescent="0.35">
      <c r="A364" s="82">
        <v>361</v>
      </c>
      <c r="B364" s="89" t="str">
        <f>_xlfn.XLOOKUP(A364,'Model Modeshare by TAZ'!A:A,'Model Modeshare by TAZ'!B:B)</f>
        <v>Mountain View</v>
      </c>
      <c r="C364" s="90" t="str">
        <f>_xlfn.XLOOKUP(A364,'Model Modeshare by TAZ'!A:A,'Model Modeshare by TAZ'!D:D)</f>
        <v>NO</v>
      </c>
      <c r="D364" s="27">
        <v>6912.43</v>
      </c>
      <c r="E364" s="27">
        <v>207218.34</v>
      </c>
      <c r="F364" s="27">
        <v>0</v>
      </c>
      <c r="G364" s="27">
        <v>0</v>
      </c>
      <c r="H364" s="27">
        <v>2743.42</v>
      </c>
      <c r="I364" s="27">
        <v>40693.81</v>
      </c>
      <c r="J364" s="6">
        <v>0</v>
      </c>
      <c r="K364" s="6">
        <v>2254</v>
      </c>
      <c r="L364" s="27">
        <v>0</v>
      </c>
      <c r="M364" s="27">
        <v>18.054041703637974</v>
      </c>
      <c r="N364" s="34">
        <v>33.323771073646853</v>
      </c>
    </row>
    <row r="365" spans="1:34" x14ac:dyDescent="0.35">
      <c r="A365" s="82">
        <v>362</v>
      </c>
      <c r="B365" s="89" t="str">
        <f>_xlfn.XLOOKUP(A365,'Model Modeshare by TAZ'!A:A,'Model Modeshare by TAZ'!B:B)</f>
        <v>Mountain View</v>
      </c>
      <c r="C365" s="90" t="str">
        <f>_xlfn.XLOOKUP(A365,'Model Modeshare by TAZ'!A:A,'Model Modeshare by TAZ'!D:D)</f>
        <v>NO</v>
      </c>
      <c r="D365" s="27">
        <v>13895.76</v>
      </c>
      <c r="E365" s="27">
        <v>266993.67</v>
      </c>
      <c r="F365" s="27">
        <v>4224.04</v>
      </c>
      <c r="G365" s="27">
        <v>27172.41</v>
      </c>
      <c r="H365" s="27">
        <v>2661.47</v>
      </c>
      <c r="I365" s="27">
        <v>39759.14</v>
      </c>
      <c r="J365" s="6">
        <v>2990</v>
      </c>
      <c r="K365" s="6">
        <v>2463</v>
      </c>
      <c r="L365" s="27">
        <v>9.0877625418060202</v>
      </c>
      <c r="M365" s="27">
        <v>16.142565976451483</v>
      </c>
      <c r="N365" s="34">
        <v>33.367157527966256</v>
      </c>
    </row>
    <row r="366" spans="1:34" x14ac:dyDescent="0.35">
      <c r="A366" s="82">
        <v>363</v>
      </c>
      <c r="B366" s="89" t="str">
        <f>_xlfn.XLOOKUP(A366,'Model Modeshare by TAZ'!A:A,'Model Modeshare by TAZ'!B:B)</f>
        <v>Mountain View</v>
      </c>
      <c r="C366" s="90" t="str">
        <f>_xlfn.XLOOKUP(A366,'Model Modeshare by TAZ'!A:A,'Model Modeshare by TAZ'!D:D)</f>
        <v>NO</v>
      </c>
      <c r="D366" s="27">
        <v>4822.34</v>
      </c>
      <c r="E366" s="27">
        <v>81388.5</v>
      </c>
      <c r="F366" s="27">
        <v>2331.9899999999998</v>
      </c>
      <c r="G366" s="27">
        <v>14376.44</v>
      </c>
      <c r="H366" s="27">
        <v>1031.19</v>
      </c>
      <c r="I366" s="27">
        <v>15829.83</v>
      </c>
      <c r="J366" s="6">
        <v>1618</v>
      </c>
      <c r="K366" s="6">
        <v>943</v>
      </c>
      <c r="L366" s="27">
        <v>8.8853152039555017</v>
      </c>
      <c r="M366" s="27">
        <v>16.786670201484622</v>
      </c>
      <c r="N366" s="34">
        <v>30.378039828192115</v>
      </c>
    </row>
    <row r="367" spans="1:34" x14ac:dyDescent="0.35">
      <c r="A367" s="82">
        <v>364</v>
      </c>
      <c r="B367" s="89" t="str">
        <f>_xlfn.XLOOKUP(A367,'Model Modeshare by TAZ'!A:A,'Model Modeshare by TAZ'!B:B)</f>
        <v>Mountain View</v>
      </c>
      <c r="C367" s="90" t="str">
        <f>_xlfn.XLOOKUP(A367,'Model Modeshare by TAZ'!A:A,'Model Modeshare by TAZ'!D:D)</f>
        <v>NO</v>
      </c>
      <c r="D367" s="27">
        <v>3430.14</v>
      </c>
      <c r="E367" s="27">
        <v>51689.86</v>
      </c>
      <c r="F367" s="27">
        <v>2980.61</v>
      </c>
      <c r="G367" s="27">
        <v>18558.79</v>
      </c>
      <c r="H367" s="27">
        <v>541.24</v>
      </c>
      <c r="I367" s="27">
        <v>8139.67</v>
      </c>
      <c r="J367" s="6">
        <v>2021</v>
      </c>
      <c r="K367" s="6">
        <v>315</v>
      </c>
      <c r="L367" s="27">
        <v>9.1829737753587342</v>
      </c>
      <c r="M367" s="27">
        <v>25.840222222222224</v>
      </c>
      <c r="N367" s="34">
        <v>23.904841609589042</v>
      </c>
    </row>
    <row r="368" spans="1:34" x14ac:dyDescent="0.35">
      <c r="A368" s="82">
        <v>365</v>
      </c>
      <c r="B368" s="89" t="str">
        <f>_xlfn.XLOOKUP(A368,'Model Modeshare by TAZ'!A:A,'Model Modeshare by TAZ'!B:B)</f>
        <v>Mountain View</v>
      </c>
      <c r="C368" s="90" t="str">
        <f>_xlfn.XLOOKUP(A368,'Model Modeshare by TAZ'!A:A,'Model Modeshare by TAZ'!D:D)</f>
        <v>NO</v>
      </c>
      <c r="D368" s="27">
        <v>1517.32</v>
      </c>
      <c r="E368" s="27">
        <v>18065.669999999998</v>
      </c>
      <c r="F368" s="27">
        <v>1819.4</v>
      </c>
      <c r="G368" s="27">
        <v>10334.99</v>
      </c>
      <c r="H368" s="27">
        <v>50.91</v>
      </c>
      <c r="I368" s="27">
        <v>744.07</v>
      </c>
      <c r="J368" s="6">
        <v>1217</v>
      </c>
      <c r="K368" s="6">
        <v>26</v>
      </c>
      <c r="L368" s="27">
        <v>8.492185702547248</v>
      </c>
      <c r="M368" s="27">
        <v>28.618076923076924</v>
      </c>
      <c r="N368" s="34">
        <v>14.879525341914723</v>
      </c>
    </row>
    <row r="369" spans="1:14" x14ac:dyDescent="0.35">
      <c r="A369" s="82">
        <v>366</v>
      </c>
      <c r="B369" s="89" t="str">
        <f>_xlfn.XLOOKUP(A369,'Model Modeshare by TAZ'!A:A,'Model Modeshare by TAZ'!B:B)</f>
        <v>Mountain View</v>
      </c>
      <c r="C369" s="90" t="str">
        <f>_xlfn.XLOOKUP(A369,'Model Modeshare by TAZ'!A:A,'Model Modeshare by TAZ'!D:D)</f>
        <v>NO</v>
      </c>
      <c r="D369" s="27">
        <v>2700.93</v>
      </c>
      <c r="E369" s="27">
        <v>37607.800000000003</v>
      </c>
      <c r="F369" s="27">
        <v>2183.98</v>
      </c>
      <c r="G369" s="27">
        <v>11970.55</v>
      </c>
      <c r="H369" s="27">
        <v>1486.97</v>
      </c>
      <c r="I369" s="27">
        <v>21163.97</v>
      </c>
      <c r="J369" s="6">
        <v>1581</v>
      </c>
      <c r="K369" s="6">
        <v>1273</v>
      </c>
      <c r="L369" s="27">
        <v>7.5715053763440858</v>
      </c>
      <c r="M369" s="27">
        <v>16.625271013354283</v>
      </c>
      <c r="N369" s="34">
        <v>28.973629992992294</v>
      </c>
    </row>
    <row r="370" spans="1:14" x14ac:dyDescent="0.35">
      <c r="A370" s="82">
        <v>367</v>
      </c>
      <c r="B370" s="89" t="str">
        <f>_xlfn.XLOOKUP(A370,'Model Modeshare by TAZ'!A:A,'Model Modeshare by TAZ'!B:B)</f>
        <v>Mountain View</v>
      </c>
      <c r="C370" s="90" t="str">
        <f>_xlfn.XLOOKUP(A370,'Model Modeshare by TAZ'!A:A,'Model Modeshare by TAZ'!D:D)</f>
        <v>NO</v>
      </c>
      <c r="D370" s="27">
        <v>1609.82</v>
      </c>
      <c r="E370" s="27">
        <v>31388.240000000002</v>
      </c>
      <c r="F370" s="27">
        <v>1068.19</v>
      </c>
      <c r="G370" s="27">
        <v>7716.32</v>
      </c>
      <c r="H370" s="27">
        <v>288.8</v>
      </c>
      <c r="I370" s="27">
        <v>4235.71</v>
      </c>
      <c r="J370" s="6">
        <v>644</v>
      </c>
      <c r="K370" s="6">
        <v>240</v>
      </c>
      <c r="L370" s="27">
        <v>11.981863354037266</v>
      </c>
      <c r="M370" s="27">
        <v>17.648791666666668</v>
      </c>
      <c r="N370" s="34">
        <v>31.461957013574658</v>
      </c>
    </row>
    <row r="371" spans="1:14" x14ac:dyDescent="0.35">
      <c r="A371" s="82">
        <v>368</v>
      </c>
      <c r="B371" s="89" t="str">
        <f>_xlfn.XLOOKUP(A371,'Model Modeshare by TAZ'!A:A,'Model Modeshare by TAZ'!B:B)</f>
        <v>Mountain View</v>
      </c>
      <c r="C371" s="90" t="str">
        <f>_xlfn.XLOOKUP(A371,'Model Modeshare by TAZ'!A:A,'Model Modeshare by TAZ'!D:D)</f>
        <v>NO</v>
      </c>
      <c r="D371" s="27">
        <v>1674.65</v>
      </c>
      <c r="E371" s="27">
        <v>54016.1</v>
      </c>
      <c r="F371" s="27">
        <v>0</v>
      </c>
      <c r="G371" s="27">
        <v>0</v>
      </c>
      <c r="H371" s="27">
        <v>2280.9899999999998</v>
      </c>
      <c r="I371" s="27">
        <v>36907.75</v>
      </c>
      <c r="J371" s="6">
        <v>0</v>
      </c>
      <c r="K371" s="6">
        <v>1880</v>
      </c>
      <c r="L371" s="27">
        <v>0</v>
      </c>
      <c r="M371" s="27">
        <v>19.631781914893619</v>
      </c>
      <c r="N371" s="34">
        <v>34.716813829787235</v>
      </c>
    </row>
    <row r="372" spans="1:14" x14ac:dyDescent="0.35">
      <c r="A372" s="82">
        <v>369</v>
      </c>
      <c r="B372" s="89" t="str">
        <f>_xlfn.XLOOKUP(A372,'Model Modeshare by TAZ'!A:A,'Model Modeshare by TAZ'!B:B)</f>
        <v>Unincorporated</v>
      </c>
      <c r="C372" s="90" t="str">
        <f>_xlfn.XLOOKUP(A372,'Model Modeshare by TAZ'!A:A,'Model Modeshare by TAZ'!D:D)</f>
        <v>NO</v>
      </c>
      <c r="D372" s="27">
        <v>10572</v>
      </c>
      <c r="E372" s="27">
        <v>322181.96999999997</v>
      </c>
      <c r="F372" s="27">
        <v>50.78</v>
      </c>
      <c r="G372" s="27">
        <v>422.61</v>
      </c>
      <c r="H372" s="27">
        <v>2686.73</v>
      </c>
      <c r="I372" s="27">
        <v>43152.84</v>
      </c>
      <c r="J372" s="6">
        <v>36</v>
      </c>
      <c r="K372" s="6">
        <v>2150</v>
      </c>
      <c r="L372" s="27">
        <v>11.739166666666668</v>
      </c>
      <c r="M372" s="27">
        <v>20.071088372093023</v>
      </c>
      <c r="N372" s="34">
        <v>37.810704483074105</v>
      </c>
    </row>
    <row r="373" spans="1:14" x14ac:dyDescent="0.35">
      <c r="A373" s="82">
        <v>370</v>
      </c>
      <c r="B373" s="89" t="str">
        <f>_xlfn.XLOOKUP(A373,'Model Modeshare by TAZ'!A:A,'Model Modeshare by TAZ'!B:B)</f>
        <v>Mountain View</v>
      </c>
      <c r="C373" s="90" t="str">
        <f>_xlfn.XLOOKUP(A373,'Model Modeshare by TAZ'!A:A,'Model Modeshare by TAZ'!D:D)</f>
        <v>NO</v>
      </c>
      <c r="D373" s="27">
        <v>11690.62</v>
      </c>
      <c r="E373" s="27">
        <v>340864.54</v>
      </c>
      <c r="F373" s="27">
        <v>72.099999999999994</v>
      </c>
      <c r="G373" s="27">
        <v>559.29</v>
      </c>
      <c r="H373" s="27">
        <v>4446.6000000000004</v>
      </c>
      <c r="I373" s="27">
        <v>69339.14</v>
      </c>
      <c r="J373" s="6">
        <v>56</v>
      </c>
      <c r="K373" s="6">
        <v>3615</v>
      </c>
      <c r="L373" s="27">
        <v>9.9873214285714287</v>
      </c>
      <c r="M373" s="27">
        <v>19.180951590594745</v>
      </c>
      <c r="N373" s="34">
        <v>39.528763279760284</v>
      </c>
    </row>
    <row r="374" spans="1:14" x14ac:dyDescent="0.35">
      <c r="A374" s="82">
        <v>371</v>
      </c>
      <c r="B374" s="89" t="str">
        <f>_xlfn.XLOOKUP(A374,'Model Modeshare by TAZ'!A:A,'Model Modeshare by TAZ'!B:B)</f>
        <v>Mountain View</v>
      </c>
      <c r="C374" s="90" t="str">
        <f>_xlfn.XLOOKUP(A374,'Model Modeshare by TAZ'!A:A,'Model Modeshare by TAZ'!D:D)</f>
        <v>NO</v>
      </c>
      <c r="D374" s="27">
        <v>1004.5</v>
      </c>
      <c r="E374" s="27">
        <v>20847.689999999999</v>
      </c>
      <c r="F374" s="27">
        <v>465.22</v>
      </c>
      <c r="G374" s="27">
        <v>3418.05</v>
      </c>
      <c r="H374" s="27">
        <v>275.55</v>
      </c>
      <c r="I374" s="27">
        <v>4135.37</v>
      </c>
      <c r="J374" s="6">
        <v>270</v>
      </c>
      <c r="K374" s="6">
        <v>236</v>
      </c>
      <c r="L374" s="27">
        <v>12.659444444444444</v>
      </c>
      <c r="M374" s="27">
        <v>17.522754237288137</v>
      </c>
      <c r="N374" s="34">
        <v>41.355731225296445</v>
      </c>
    </row>
    <row r="375" spans="1:14" x14ac:dyDescent="0.35">
      <c r="A375" s="82">
        <v>372</v>
      </c>
      <c r="B375" s="89" t="str">
        <f>_xlfn.XLOOKUP(A375,'Model Modeshare by TAZ'!A:A,'Model Modeshare by TAZ'!B:B)</f>
        <v>Mountain View</v>
      </c>
      <c r="C375" s="90" t="str">
        <f>_xlfn.XLOOKUP(A375,'Model Modeshare by TAZ'!A:A,'Model Modeshare by TAZ'!D:D)</f>
        <v>NO</v>
      </c>
      <c r="D375" s="27">
        <v>658.58</v>
      </c>
      <c r="E375" s="27">
        <v>11978.4</v>
      </c>
      <c r="F375" s="27">
        <v>557.21</v>
      </c>
      <c r="G375" s="27">
        <v>3957.6</v>
      </c>
      <c r="H375" s="27">
        <v>62.23</v>
      </c>
      <c r="I375" s="27">
        <v>932.82</v>
      </c>
      <c r="J375" s="6">
        <v>337</v>
      </c>
      <c r="K375" s="6">
        <v>33</v>
      </c>
      <c r="L375" s="27">
        <v>11.743620178041542</v>
      </c>
      <c r="M375" s="27">
        <v>28.267272727272729</v>
      </c>
      <c r="N375" s="34">
        <v>30.351432432432436</v>
      </c>
    </row>
    <row r="376" spans="1:14" x14ac:dyDescent="0.35">
      <c r="A376" s="82">
        <v>373</v>
      </c>
      <c r="B376" s="89" t="str">
        <f>_xlfn.XLOOKUP(A376,'Model Modeshare by TAZ'!A:A,'Model Modeshare by TAZ'!B:B)</f>
        <v>Mountain View</v>
      </c>
      <c r="C376" s="90" t="str">
        <f>_xlfn.XLOOKUP(A376,'Model Modeshare by TAZ'!A:A,'Model Modeshare by TAZ'!D:D)</f>
        <v>NO</v>
      </c>
      <c r="D376" s="27">
        <v>993.77</v>
      </c>
      <c r="E376" s="27">
        <v>17149.14</v>
      </c>
      <c r="F376" s="27">
        <v>1055.79</v>
      </c>
      <c r="G376" s="27">
        <v>7594.32</v>
      </c>
      <c r="H376" s="27">
        <v>15.51</v>
      </c>
      <c r="I376" s="27">
        <v>232.82</v>
      </c>
      <c r="J376" s="6">
        <v>637</v>
      </c>
      <c r="K376" s="6">
        <v>8</v>
      </c>
      <c r="L376" s="27">
        <v>11.922009419152277</v>
      </c>
      <c r="M376" s="27">
        <v>29.102499999999999</v>
      </c>
      <c r="N376" s="34">
        <v>25.863999999999997</v>
      </c>
    </row>
    <row r="377" spans="1:14" x14ac:dyDescent="0.35">
      <c r="A377" s="82">
        <v>374</v>
      </c>
      <c r="B377" s="89" t="str">
        <f>_xlfn.XLOOKUP(A377,'Model Modeshare by TAZ'!A:A,'Model Modeshare by TAZ'!B:B)</f>
        <v>Mountain View</v>
      </c>
      <c r="C377" s="90" t="str">
        <f>_xlfn.XLOOKUP(A377,'Model Modeshare by TAZ'!A:A,'Model Modeshare by TAZ'!D:D)</f>
        <v>NO</v>
      </c>
      <c r="D377" s="27">
        <v>969.23</v>
      </c>
      <c r="E377" s="27">
        <v>28337.68</v>
      </c>
      <c r="F377" s="27">
        <v>0</v>
      </c>
      <c r="G377" s="27">
        <v>0</v>
      </c>
      <c r="H377" s="27">
        <v>596.37</v>
      </c>
      <c r="I377" s="27">
        <v>8830.5400000000009</v>
      </c>
      <c r="J377" s="6">
        <v>0</v>
      </c>
      <c r="K377" s="6">
        <v>495</v>
      </c>
      <c r="L377" s="27">
        <v>0</v>
      </c>
      <c r="M377" s="27">
        <v>17.83947474747475</v>
      </c>
      <c r="N377" s="34">
        <v>31.892303030303033</v>
      </c>
    </row>
    <row r="378" spans="1:14" x14ac:dyDescent="0.35">
      <c r="A378" s="82">
        <v>375</v>
      </c>
      <c r="B378" s="89" t="str">
        <f>_xlfn.XLOOKUP(A378,'Model Modeshare by TAZ'!A:A,'Model Modeshare by TAZ'!B:B)</f>
        <v>Mountain View</v>
      </c>
      <c r="C378" s="90" t="str">
        <f>_xlfn.XLOOKUP(A378,'Model Modeshare by TAZ'!A:A,'Model Modeshare by TAZ'!D:D)</f>
        <v>NO</v>
      </c>
      <c r="D378" s="27">
        <v>2950.62</v>
      </c>
      <c r="E378" s="27">
        <v>43886.95</v>
      </c>
      <c r="F378" s="27">
        <v>2889.21</v>
      </c>
      <c r="G378" s="27">
        <v>18814.310000000001</v>
      </c>
      <c r="H378" s="27">
        <v>181.39</v>
      </c>
      <c r="I378" s="27">
        <v>2593.33</v>
      </c>
      <c r="J378" s="6">
        <v>1698</v>
      </c>
      <c r="K378" s="6">
        <v>98</v>
      </c>
      <c r="L378" s="27">
        <v>11.08027679623086</v>
      </c>
      <c r="M378" s="27">
        <v>26.462551020408164</v>
      </c>
      <c r="N378" s="34">
        <v>22.186848552338532</v>
      </c>
    </row>
    <row r="379" spans="1:14" x14ac:dyDescent="0.35">
      <c r="A379" s="82">
        <v>376</v>
      </c>
      <c r="B379" s="89" t="str">
        <f>_xlfn.XLOOKUP(A379,'Model Modeshare by TAZ'!A:A,'Model Modeshare by TAZ'!B:B)</f>
        <v>Mountain View</v>
      </c>
      <c r="C379" s="90" t="str">
        <f>_xlfn.XLOOKUP(A379,'Model Modeshare by TAZ'!A:A,'Model Modeshare by TAZ'!D:D)</f>
        <v>NO</v>
      </c>
      <c r="D379" s="27">
        <v>4500.07</v>
      </c>
      <c r="E379" s="27">
        <v>50151.44</v>
      </c>
      <c r="F379" s="27">
        <v>4980.6899999999996</v>
      </c>
      <c r="G379" s="27">
        <v>28048.09</v>
      </c>
      <c r="H379" s="27">
        <v>110.67</v>
      </c>
      <c r="I379" s="27">
        <v>1584.75</v>
      </c>
      <c r="J379" s="6">
        <v>3012</v>
      </c>
      <c r="K379" s="6">
        <v>59</v>
      </c>
      <c r="L379" s="27">
        <v>9.3121148738379809</v>
      </c>
      <c r="M379" s="27">
        <v>26.860169491525422</v>
      </c>
      <c r="N379" s="34">
        <v>13.980791273200913</v>
      </c>
    </row>
    <row r="380" spans="1:14" x14ac:dyDescent="0.35">
      <c r="A380" s="82">
        <v>377</v>
      </c>
      <c r="B380" s="89" t="str">
        <f>_xlfn.XLOOKUP(A380,'Model Modeshare by TAZ'!A:A,'Model Modeshare by TAZ'!B:B)</f>
        <v>Mountain View</v>
      </c>
      <c r="C380" s="90" t="str">
        <f>_xlfn.XLOOKUP(A380,'Model Modeshare by TAZ'!A:A,'Model Modeshare by TAZ'!D:D)</f>
        <v>NO</v>
      </c>
      <c r="D380" s="27">
        <v>3416.47</v>
      </c>
      <c r="E380" s="27">
        <v>35845.93</v>
      </c>
      <c r="F380" s="27">
        <v>3506.15</v>
      </c>
      <c r="G380" s="27">
        <v>20685.439999999999</v>
      </c>
      <c r="H380" s="27">
        <v>70.41</v>
      </c>
      <c r="I380" s="27">
        <v>1036.9000000000001</v>
      </c>
      <c r="J380" s="6">
        <v>2178</v>
      </c>
      <c r="K380" s="6">
        <v>37</v>
      </c>
      <c r="L380" s="27">
        <v>9.4974471992653804</v>
      </c>
      <c r="M380" s="27">
        <v>28.024324324324326</v>
      </c>
      <c r="N380" s="34">
        <v>14.066997742663657</v>
      </c>
    </row>
    <row r="381" spans="1:14" x14ac:dyDescent="0.35">
      <c r="A381" s="82">
        <v>378</v>
      </c>
      <c r="B381" s="89" t="str">
        <f>_xlfn.XLOOKUP(A381,'Model Modeshare by TAZ'!A:A,'Model Modeshare by TAZ'!B:B)</f>
        <v>Mountain View</v>
      </c>
      <c r="C381" s="90" t="str">
        <f>_xlfn.XLOOKUP(A381,'Model Modeshare by TAZ'!A:A,'Model Modeshare by TAZ'!D:D)</f>
        <v>NO</v>
      </c>
      <c r="D381" s="27">
        <v>4549.62</v>
      </c>
      <c r="E381" s="27">
        <v>99179.23</v>
      </c>
      <c r="F381" s="27">
        <v>802.82</v>
      </c>
      <c r="G381" s="27">
        <v>5870.65</v>
      </c>
      <c r="H381" s="27">
        <v>936.26</v>
      </c>
      <c r="I381" s="27">
        <v>13897.67</v>
      </c>
      <c r="J381" s="6">
        <v>471</v>
      </c>
      <c r="K381" s="6">
        <v>841</v>
      </c>
      <c r="L381" s="27">
        <v>12.464225053078556</v>
      </c>
      <c r="M381" s="27">
        <v>16.525172413793104</v>
      </c>
      <c r="N381" s="34">
        <v>47.102004573170731</v>
      </c>
    </row>
    <row r="382" spans="1:14" x14ac:dyDescent="0.35">
      <c r="A382" s="82">
        <v>379</v>
      </c>
      <c r="B382" s="89" t="str">
        <f>_xlfn.XLOOKUP(A382,'Model Modeshare by TAZ'!A:A,'Model Modeshare by TAZ'!B:B)</f>
        <v>Mountain View</v>
      </c>
      <c r="C382" s="90" t="str">
        <f>_xlfn.XLOOKUP(A382,'Model Modeshare by TAZ'!A:A,'Model Modeshare by TAZ'!D:D)</f>
        <v>NO</v>
      </c>
      <c r="D382" s="27">
        <v>4993.96</v>
      </c>
      <c r="E382" s="27">
        <v>119634.67</v>
      </c>
      <c r="F382" s="27">
        <v>434.27</v>
      </c>
      <c r="G382" s="27">
        <v>3204.66</v>
      </c>
      <c r="H382" s="27">
        <v>2796.09</v>
      </c>
      <c r="I382" s="27">
        <v>41983.35</v>
      </c>
      <c r="J382" s="6">
        <v>264</v>
      </c>
      <c r="K382" s="6">
        <v>2682</v>
      </c>
      <c r="L382" s="27">
        <v>12.138863636363636</v>
      </c>
      <c r="M382" s="27">
        <v>15.653747203579417</v>
      </c>
      <c r="N382" s="34">
        <v>41.560980991174475</v>
      </c>
    </row>
    <row r="383" spans="1:14" x14ac:dyDescent="0.35">
      <c r="A383" s="82">
        <v>380</v>
      </c>
      <c r="B383" s="89" t="str">
        <f>_xlfn.XLOOKUP(A383,'Model Modeshare by TAZ'!A:A,'Model Modeshare by TAZ'!B:B)</f>
        <v>Mountain View</v>
      </c>
      <c r="C383" s="90" t="str">
        <f>_xlfn.XLOOKUP(A383,'Model Modeshare by TAZ'!A:A,'Model Modeshare by TAZ'!D:D)</f>
        <v>NO</v>
      </c>
      <c r="D383" s="27">
        <v>4317.55</v>
      </c>
      <c r="E383" s="27">
        <v>91803.12</v>
      </c>
      <c r="F383" s="27">
        <v>1268.52</v>
      </c>
      <c r="G383" s="27">
        <v>9358.5300000000007</v>
      </c>
      <c r="H383" s="27">
        <v>1386.79</v>
      </c>
      <c r="I383" s="27">
        <v>20843.8</v>
      </c>
      <c r="J383" s="6">
        <v>771</v>
      </c>
      <c r="K383" s="6">
        <v>1246</v>
      </c>
      <c r="L383" s="27">
        <v>12.138171206225682</v>
      </c>
      <c r="M383" s="27">
        <v>16.728571428571428</v>
      </c>
      <c r="N383" s="34">
        <v>40.133743182944968</v>
      </c>
    </row>
    <row r="384" spans="1:14" x14ac:dyDescent="0.35">
      <c r="A384" s="82">
        <v>381</v>
      </c>
      <c r="B384" s="89" t="str">
        <f>_xlfn.XLOOKUP(A384,'Model Modeshare by TAZ'!A:A,'Model Modeshare by TAZ'!B:B)</f>
        <v>Mountain View</v>
      </c>
      <c r="C384" s="90" t="str">
        <f>_xlfn.XLOOKUP(A384,'Model Modeshare by TAZ'!A:A,'Model Modeshare by TAZ'!D:D)</f>
        <v>NO</v>
      </c>
      <c r="D384" s="27">
        <v>12949.96</v>
      </c>
      <c r="E384" s="27">
        <v>372665.98</v>
      </c>
      <c r="F384" s="27">
        <v>1412.72</v>
      </c>
      <c r="G384" s="27">
        <v>10953.56</v>
      </c>
      <c r="H384" s="27">
        <v>7202.58</v>
      </c>
      <c r="I384" s="27">
        <v>112290.51</v>
      </c>
      <c r="J384" s="6">
        <v>1021</v>
      </c>
      <c r="K384" s="6">
        <v>5791</v>
      </c>
      <c r="L384" s="27">
        <v>10.728266405484819</v>
      </c>
      <c r="M384" s="27">
        <v>19.390521498877568</v>
      </c>
      <c r="N384" s="34">
        <v>35.759759248385201</v>
      </c>
    </row>
    <row r="385" spans="1:14" x14ac:dyDescent="0.35">
      <c r="A385" s="82">
        <v>382</v>
      </c>
      <c r="B385" s="89" t="str">
        <f>_xlfn.XLOOKUP(A385,'Model Modeshare by TAZ'!A:A,'Model Modeshare by TAZ'!B:B)</f>
        <v>Mountain View</v>
      </c>
      <c r="C385" s="90" t="str">
        <f>_xlfn.XLOOKUP(A385,'Model Modeshare by TAZ'!A:A,'Model Modeshare by TAZ'!D:D)</f>
        <v>NO</v>
      </c>
      <c r="D385" s="27">
        <v>5255.72</v>
      </c>
      <c r="E385" s="27">
        <v>94209.09</v>
      </c>
      <c r="F385" s="27">
        <v>4561.18</v>
      </c>
      <c r="G385" s="27">
        <v>32457.15</v>
      </c>
      <c r="H385" s="27">
        <v>1397.45</v>
      </c>
      <c r="I385" s="27">
        <v>20852.88</v>
      </c>
      <c r="J385" s="6">
        <v>3043</v>
      </c>
      <c r="K385" s="6">
        <v>1001</v>
      </c>
      <c r="L385" s="27">
        <v>10.666168255011502</v>
      </c>
      <c r="M385" s="27">
        <v>20.832047952047954</v>
      </c>
      <c r="N385" s="34">
        <v>27.034982690405538</v>
      </c>
    </row>
    <row r="386" spans="1:14" x14ac:dyDescent="0.35">
      <c r="A386" s="82">
        <v>383</v>
      </c>
      <c r="B386" s="89" t="str">
        <f>_xlfn.XLOOKUP(A386,'Model Modeshare by TAZ'!A:A,'Model Modeshare by TAZ'!B:B)</f>
        <v>Mountain View</v>
      </c>
      <c r="C386" s="90" t="str">
        <f>_xlfn.XLOOKUP(A386,'Model Modeshare by TAZ'!A:A,'Model Modeshare by TAZ'!D:D)</f>
        <v>NO</v>
      </c>
      <c r="D386" s="27">
        <v>3174.33</v>
      </c>
      <c r="E386" s="27">
        <v>56430.48</v>
      </c>
      <c r="F386" s="27">
        <v>2406</v>
      </c>
      <c r="G386" s="27">
        <v>16369.16</v>
      </c>
      <c r="H386" s="27">
        <v>505.95</v>
      </c>
      <c r="I386" s="27">
        <v>7427.17</v>
      </c>
      <c r="J386" s="6">
        <v>1574</v>
      </c>
      <c r="K386" s="6">
        <v>279</v>
      </c>
      <c r="L386" s="27">
        <v>10.399720457433292</v>
      </c>
      <c r="M386" s="27">
        <v>26.620681003584231</v>
      </c>
      <c r="N386" s="34">
        <v>27.472093901780898</v>
      </c>
    </row>
    <row r="387" spans="1:14" x14ac:dyDescent="0.35">
      <c r="A387" s="82">
        <v>384</v>
      </c>
      <c r="B387" s="89" t="str">
        <f>_xlfn.XLOOKUP(A387,'Model Modeshare by TAZ'!A:A,'Model Modeshare by TAZ'!B:B)</f>
        <v>Mountain View</v>
      </c>
      <c r="C387" s="90" t="str">
        <f>_xlfn.XLOOKUP(A387,'Model Modeshare by TAZ'!A:A,'Model Modeshare by TAZ'!D:D)</f>
        <v>NO</v>
      </c>
      <c r="D387" s="27">
        <v>4953.34</v>
      </c>
      <c r="E387" s="27">
        <v>83133.48</v>
      </c>
      <c r="F387" s="27">
        <v>3905</v>
      </c>
      <c r="G387" s="27">
        <v>25699.26</v>
      </c>
      <c r="H387" s="27">
        <v>683.64</v>
      </c>
      <c r="I387" s="27">
        <v>10122.39</v>
      </c>
      <c r="J387" s="6">
        <v>2929</v>
      </c>
      <c r="K387" s="6">
        <v>401</v>
      </c>
      <c r="L387" s="27">
        <v>8.7740730624786618</v>
      </c>
      <c r="M387" s="27">
        <v>25.24286783042394</v>
      </c>
      <c r="N387" s="34">
        <v>23.343576576576577</v>
      </c>
    </row>
    <row r="388" spans="1:14" x14ac:dyDescent="0.35">
      <c r="A388" s="82">
        <v>385</v>
      </c>
      <c r="B388" s="89" t="str">
        <f>_xlfn.XLOOKUP(A388,'Model Modeshare by TAZ'!A:A,'Model Modeshare by TAZ'!B:B)</f>
        <v>Mountain View</v>
      </c>
      <c r="C388" s="90" t="str">
        <f>_xlfn.XLOOKUP(A388,'Model Modeshare by TAZ'!A:A,'Model Modeshare by TAZ'!D:D)</f>
        <v>NO</v>
      </c>
      <c r="D388" s="27">
        <v>2264.23</v>
      </c>
      <c r="E388" s="27">
        <v>50471.96</v>
      </c>
      <c r="F388" s="27">
        <v>1648.6</v>
      </c>
      <c r="G388" s="27">
        <v>13337.61</v>
      </c>
      <c r="H388" s="27">
        <v>354.79</v>
      </c>
      <c r="I388" s="27">
        <v>5663.42</v>
      </c>
      <c r="J388" s="6">
        <v>963</v>
      </c>
      <c r="K388" s="6">
        <v>235</v>
      </c>
      <c r="L388" s="27">
        <v>13.850062305295952</v>
      </c>
      <c r="M388" s="27">
        <v>24.099659574468085</v>
      </c>
      <c r="N388" s="34">
        <v>31.372913188647747</v>
      </c>
    </row>
    <row r="389" spans="1:14" x14ac:dyDescent="0.35">
      <c r="A389" s="82">
        <v>386</v>
      </c>
      <c r="B389" s="89" t="str">
        <f>_xlfn.XLOOKUP(A389,'Model Modeshare by TAZ'!A:A,'Model Modeshare by TAZ'!B:B)</f>
        <v>Mountain View</v>
      </c>
      <c r="C389" s="90" t="str">
        <f>_xlfn.XLOOKUP(A389,'Model Modeshare by TAZ'!A:A,'Model Modeshare by TAZ'!D:D)</f>
        <v>NO</v>
      </c>
      <c r="D389" s="27">
        <v>2295.6</v>
      </c>
      <c r="E389" s="27">
        <v>51577.58</v>
      </c>
      <c r="F389" s="27">
        <v>1458.28</v>
      </c>
      <c r="G389" s="27">
        <v>11651.85</v>
      </c>
      <c r="H389" s="27">
        <v>282.81</v>
      </c>
      <c r="I389" s="27">
        <v>4562.13</v>
      </c>
      <c r="J389" s="6">
        <v>865</v>
      </c>
      <c r="K389" s="6">
        <v>153</v>
      </c>
      <c r="L389" s="27">
        <v>13.470346820809249</v>
      </c>
      <c r="M389" s="27">
        <v>29.817843137254904</v>
      </c>
      <c r="N389" s="34">
        <v>32.526237721021609</v>
      </c>
    </row>
    <row r="390" spans="1:14" x14ac:dyDescent="0.35">
      <c r="A390" s="82">
        <v>387</v>
      </c>
      <c r="B390" s="89" t="str">
        <f>_xlfn.XLOOKUP(A390,'Model Modeshare by TAZ'!A:A,'Model Modeshare by TAZ'!B:B)</f>
        <v>Mountain View</v>
      </c>
      <c r="C390" s="90" t="str">
        <f>_xlfn.XLOOKUP(A390,'Model Modeshare by TAZ'!A:A,'Model Modeshare by TAZ'!D:D)</f>
        <v>NO</v>
      </c>
      <c r="D390" s="27">
        <v>2682.86</v>
      </c>
      <c r="E390" s="27">
        <v>65298.53</v>
      </c>
      <c r="F390" s="27">
        <v>1337.2</v>
      </c>
      <c r="G390" s="27">
        <v>10945.15</v>
      </c>
      <c r="H390" s="27">
        <v>660.3</v>
      </c>
      <c r="I390" s="27">
        <v>10463.11</v>
      </c>
      <c r="J390" s="6">
        <v>765</v>
      </c>
      <c r="K390" s="6">
        <v>552</v>
      </c>
      <c r="L390" s="27">
        <v>14.307385620915031</v>
      </c>
      <c r="M390" s="27">
        <v>18.954909420289855</v>
      </c>
      <c r="N390" s="34">
        <v>33.020394836750192</v>
      </c>
    </row>
    <row r="391" spans="1:14" x14ac:dyDescent="0.35">
      <c r="A391" s="82">
        <v>388</v>
      </c>
      <c r="B391" s="89" t="str">
        <f>_xlfn.XLOOKUP(A391,'Model Modeshare by TAZ'!A:A,'Model Modeshare by TAZ'!B:B)</f>
        <v>Mountain View</v>
      </c>
      <c r="C391" s="90" t="str">
        <f>_xlfn.XLOOKUP(A391,'Model Modeshare by TAZ'!A:A,'Model Modeshare by TAZ'!D:D)</f>
        <v>NO</v>
      </c>
      <c r="D391" s="27">
        <v>3488.91</v>
      </c>
      <c r="E391" s="27">
        <v>53246.01</v>
      </c>
      <c r="F391" s="27">
        <v>800.86</v>
      </c>
      <c r="G391" s="27">
        <v>3818.41</v>
      </c>
      <c r="H391" s="27">
        <v>751.6</v>
      </c>
      <c r="I391" s="27">
        <v>10425.83</v>
      </c>
      <c r="J391" s="6">
        <v>598</v>
      </c>
      <c r="K391" s="6">
        <v>640</v>
      </c>
      <c r="L391" s="27">
        <v>6.3853010033444813</v>
      </c>
      <c r="M391" s="27">
        <v>16.290359375000001</v>
      </c>
      <c r="N391" s="34">
        <v>26.097689822294022</v>
      </c>
    </row>
    <row r="392" spans="1:14" x14ac:dyDescent="0.35">
      <c r="A392" s="82">
        <v>389</v>
      </c>
      <c r="B392" s="89" t="str">
        <f>_xlfn.XLOOKUP(A392,'Model Modeshare by TAZ'!A:A,'Model Modeshare by TAZ'!B:B)</f>
        <v>Mountain View</v>
      </c>
      <c r="C392" s="90" t="str">
        <f>_xlfn.XLOOKUP(A392,'Model Modeshare by TAZ'!A:A,'Model Modeshare by TAZ'!D:D)</f>
        <v>NO</v>
      </c>
      <c r="D392" s="27">
        <v>1178.76</v>
      </c>
      <c r="E392" s="27">
        <v>18475.080000000002</v>
      </c>
      <c r="F392" s="27">
        <v>701.83</v>
      </c>
      <c r="G392" s="27">
        <v>4016.66</v>
      </c>
      <c r="H392" s="27">
        <v>1010.83</v>
      </c>
      <c r="I392" s="27">
        <v>14546.44</v>
      </c>
      <c r="J392" s="6">
        <v>514</v>
      </c>
      <c r="K392" s="6">
        <v>894</v>
      </c>
      <c r="L392" s="27">
        <v>7.8145136186770427</v>
      </c>
      <c r="M392" s="27">
        <v>16.271185682326621</v>
      </c>
      <c r="N392" s="34">
        <v>24.583686079545455</v>
      </c>
    </row>
    <row r="393" spans="1:14" x14ac:dyDescent="0.35">
      <c r="A393" s="82">
        <v>390</v>
      </c>
      <c r="B393" s="89" t="str">
        <f>_xlfn.XLOOKUP(A393,'Model Modeshare by TAZ'!A:A,'Model Modeshare by TAZ'!B:B)</f>
        <v>Mountain View</v>
      </c>
      <c r="C393" s="90" t="str">
        <f>_xlfn.XLOOKUP(A393,'Model Modeshare by TAZ'!A:A,'Model Modeshare by TAZ'!D:D)</f>
        <v>NO</v>
      </c>
      <c r="D393" s="27">
        <v>4452.72</v>
      </c>
      <c r="E393" s="27">
        <v>63860.86</v>
      </c>
      <c r="F393" s="27">
        <v>2728.17</v>
      </c>
      <c r="G393" s="27">
        <v>15029.36</v>
      </c>
      <c r="H393" s="27">
        <v>517.84</v>
      </c>
      <c r="I393" s="27">
        <v>7409.44</v>
      </c>
      <c r="J393" s="6">
        <v>1843</v>
      </c>
      <c r="K393" s="6">
        <v>285</v>
      </c>
      <c r="L393" s="27">
        <v>8.1548345089527938</v>
      </c>
      <c r="M393" s="27">
        <v>25.998035087719298</v>
      </c>
      <c r="N393" s="34">
        <v>20.142062969924812</v>
      </c>
    </row>
    <row r="394" spans="1:14" x14ac:dyDescent="0.35">
      <c r="A394" s="82">
        <v>391</v>
      </c>
      <c r="B394" s="89" t="str">
        <f>_xlfn.XLOOKUP(A394,'Model Modeshare by TAZ'!A:A,'Model Modeshare by TAZ'!B:B)</f>
        <v>Mountain View</v>
      </c>
      <c r="C394" s="90" t="str">
        <f>_xlfn.XLOOKUP(A394,'Model Modeshare by TAZ'!A:A,'Model Modeshare by TAZ'!D:D)</f>
        <v>NO</v>
      </c>
      <c r="D394" s="27">
        <v>3116.49</v>
      </c>
      <c r="E394" s="27">
        <v>39789.74</v>
      </c>
      <c r="F394" s="27">
        <v>2647.88</v>
      </c>
      <c r="G394" s="27">
        <v>14434.94</v>
      </c>
      <c r="H394" s="27">
        <v>846.3</v>
      </c>
      <c r="I394" s="27">
        <v>11951.73</v>
      </c>
      <c r="J394" s="6">
        <v>1878</v>
      </c>
      <c r="K394" s="6">
        <v>652</v>
      </c>
      <c r="L394" s="27">
        <v>7.6863365282215126</v>
      </c>
      <c r="M394" s="27">
        <v>18.330874233128835</v>
      </c>
      <c r="N394" s="34">
        <v>19.264296442687748</v>
      </c>
    </row>
    <row r="395" spans="1:14" x14ac:dyDescent="0.35">
      <c r="A395" s="82">
        <v>392</v>
      </c>
      <c r="B395" s="89" t="str">
        <f>_xlfn.XLOOKUP(A395,'Model Modeshare by TAZ'!A:A,'Model Modeshare by TAZ'!B:B)</f>
        <v>Mountain View</v>
      </c>
      <c r="C395" s="90" t="str">
        <f>_xlfn.XLOOKUP(A395,'Model Modeshare by TAZ'!A:A,'Model Modeshare by TAZ'!D:D)</f>
        <v>NO</v>
      </c>
      <c r="D395" s="27">
        <v>4481.45</v>
      </c>
      <c r="E395" s="27">
        <v>101894.23</v>
      </c>
      <c r="F395" s="27">
        <v>1345.59</v>
      </c>
      <c r="G395" s="27">
        <v>9545.4500000000007</v>
      </c>
      <c r="H395" s="27">
        <v>1821.92</v>
      </c>
      <c r="I395" s="27">
        <v>26976.46</v>
      </c>
      <c r="J395" s="6">
        <v>804</v>
      </c>
      <c r="K395" s="6">
        <v>1587</v>
      </c>
      <c r="L395" s="27">
        <v>11.87245024875622</v>
      </c>
      <c r="M395" s="27">
        <v>16.99839949590422</v>
      </c>
      <c r="N395" s="34">
        <v>35.360238393977419</v>
      </c>
    </row>
    <row r="396" spans="1:14" x14ac:dyDescent="0.35">
      <c r="A396" s="82">
        <v>393</v>
      </c>
      <c r="B396" s="89" t="str">
        <f>_xlfn.XLOOKUP(A396,'Model Modeshare by TAZ'!A:A,'Model Modeshare by TAZ'!B:B)</f>
        <v>Mountain View</v>
      </c>
      <c r="C396" s="90" t="str">
        <f>_xlfn.XLOOKUP(A396,'Model Modeshare by TAZ'!A:A,'Model Modeshare by TAZ'!D:D)</f>
        <v>NO</v>
      </c>
      <c r="D396" s="27">
        <v>6885.79</v>
      </c>
      <c r="E396" s="27">
        <v>146365.79</v>
      </c>
      <c r="F396" s="27">
        <v>874.91</v>
      </c>
      <c r="G396" s="27">
        <v>5288.3</v>
      </c>
      <c r="H396" s="27">
        <v>3281.86</v>
      </c>
      <c r="I396" s="27">
        <v>47443.13</v>
      </c>
      <c r="J396" s="6">
        <v>597</v>
      </c>
      <c r="K396" s="6">
        <v>2731</v>
      </c>
      <c r="L396" s="27">
        <v>8.8581239530988274</v>
      </c>
      <c r="M396" s="27">
        <v>17.372072500915415</v>
      </c>
      <c r="N396" s="34">
        <v>35.031129807692309</v>
      </c>
    </row>
    <row r="397" spans="1:14" x14ac:dyDescent="0.35">
      <c r="A397" s="82">
        <v>394</v>
      </c>
      <c r="B397" s="89" t="str">
        <f>_xlfn.XLOOKUP(A397,'Model Modeshare by TAZ'!A:A,'Model Modeshare by TAZ'!B:B)</f>
        <v>Mountain View</v>
      </c>
      <c r="C397" s="90" t="str">
        <f>_xlfn.XLOOKUP(A397,'Model Modeshare by TAZ'!A:A,'Model Modeshare by TAZ'!D:D)</f>
        <v>NO</v>
      </c>
      <c r="D397" s="27">
        <v>3578.17</v>
      </c>
      <c r="E397" s="27">
        <v>33436.400000000001</v>
      </c>
      <c r="F397" s="27">
        <v>3562.25</v>
      </c>
      <c r="G397" s="27">
        <v>18517.11</v>
      </c>
      <c r="H397" s="27">
        <v>131.56</v>
      </c>
      <c r="I397" s="27">
        <v>1945.22</v>
      </c>
      <c r="J397" s="6">
        <v>2412</v>
      </c>
      <c r="K397" s="6">
        <v>69</v>
      </c>
      <c r="L397" s="27">
        <v>7.6770771144278607</v>
      </c>
      <c r="M397" s="27">
        <v>28.19159420289855</v>
      </c>
      <c r="N397" s="34">
        <v>12.120596533655783</v>
      </c>
    </row>
    <row r="398" spans="1:14" x14ac:dyDescent="0.35">
      <c r="A398" s="82">
        <v>395</v>
      </c>
      <c r="B398" s="89" t="str">
        <f>_xlfn.XLOOKUP(A398,'Model Modeshare by TAZ'!A:A,'Model Modeshare by TAZ'!B:B)</f>
        <v>Mountain View</v>
      </c>
      <c r="C398" s="90" t="str">
        <f>_xlfn.XLOOKUP(A398,'Model Modeshare by TAZ'!A:A,'Model Modeshare by TAZ'!D:D)</f>
        <v>NO</v>
      </c>
      <c r="D398" s="27">
        <v>7932.58</v>
      </c>
      <c r="E398" s="27">
        <v>153812.42000000001</v>
      </c>
      <c r="F398" s="27">
        <v>4993.22</v>
      </c>
      <c r="G398" s="27">
        <v>34338.99</v>
      </c>
      <c r="H398" s="27">
        <v>1382.15</v>
      </c>
      <c r="I398" s="27">
        <v>19231.310000000001</v>
      </c>
      <c r="J398" s="6">
        <v>2966</v>
      </c>
      <c r="K398" s="6">
        <v>952</v>
      </c>
      <c r="L398" s="27">
        <v>11.57754214430209</v>
      </c>
      <c r="M398" s="27">
        <v>20.200955882352943</v>
      </c>
      <c r="N398" s="34">
        <v>32.947766717713122</v>
      </c>
    </row>
    <row r="399" spans="1:14" x14ac:dyDescent="0.35">
      <c r="A399" s="82">
        <v>396</v>
      </c>
      <c r="B399" s="89" t="str">
        <f>_xlfn.XLOOKUP(A399,'Model Modeshare by TAZ'!A:A,'Model Modeshare by TAZ'!B:B)</f>
        <v>Mountain View</v>
      </c>
      <c r="C399" s="90" t="str">
        <f>_xlfn.XLOOKUP(A399,'Model Modeshare by TAZ'!A:A,'Model Modeshare by TAZ'!D:D)</f>
        <v>NO</v>
      </c>
      <c r="D399" s="27">
        <v>4696.3599999999997</v>
      </c>
      <c r="E399" s="27">
        <v>56947.25</v>
      </c>
      <c r="F399" s="27">
        <v>3028.96</v>
      </c>
      <c r="G399" s="27">
        <v>15637.5</v>
      </c>
      <c r="H399" s="27">
        <v>493.95</v>
      </c>
      <c r="I399" s="27">
        <v>7146.21</v>
      </c>
      <c r="J399" s="6">
        <v>1956</v>
      </c>
      <c r="K399" s="6">
        <v>277</v>
      </c>
      <c r="L399" s="27">
        <v>7.9946319018404912</v>
      </c>
      <c r="M399" s="27">
        <v>25.798592057761734</v>
      </c>
      <c r="N399" s="34">
        <v>15.017465293327362</v>
      </c>
    </row>
    <row r="400" spans="1:14" x14ac:dyDescent="0.35">
      <c r="A400" s="82">
        <v>397</v>
      </c>
      <c r="B400" s="89" t="str">
        <f>_xlfn.XLOOKUP(A400,'Model Modeshare by TAZ'!A:A,'Model Modeshare by TAZ'!B:B)</f>
        <v>Mountain View</v>
      </c>
      <c r="C400" s="90" t="str">
        <f>_xlfn.XLOOKUP(A400,'Model Modeshare by TAZ'!A:A,'Model Modeshare by TAZ'!D:D)</f>
        <v>NO</v>
      </c>
      <c r="D400" s="27">
        <v>3348.61</v>
      </c>
      <c r="E400" s="27">
        <v>42935.19</v>
      </c>
      <c r="F400" s="27">
        <v>2500.94</v>
      </c>
      <c r="G400" s="27">
        <v>12750.33</v>
      </c>
      <c r="H400" s="27">
        <v>774.58</v>
      </c>
      <c r="I400" s="27">
        <v>10980.05</v>
      </c>
      <c r="J400" s="6">
        <v>1745</v>
      </c>
      <c r="K400" s="6">
        <v>635</v>
      </c>
      <c r="L400" s="27">
        <v>7.306779369627507</v>
      </c>
      <c r="M400" s="27">
        <v>17.291417322834643</v>
      </c>
      <c r="N400" s="34">
        <v>16.975428571428569</v>
      </c>
    </row>
    <row r="401" spans="1:14" x14ac:dyDescent="0.35">
      <c r="A401" s="82">
        <v>398</v>
      </c>
      <c r="B401" s="89" t="str">
        <f>_xlfn.XLOOKUP(A401,'Model Modeshare by TAZ'!A:A,'Model Modeshare by TAZ'!B:B)</f>
        <v>Mountain View</v>
      </c>
      <c r="C401" s="90" t="str">
        <f>_xlfn.XLOOKUP(A401,'Model Modeshare by TAZ'!A:A,'Model Modeshare by TAZ'!D:D)</f>
        <v>NO</v>
      </c>
      <c r="D401" s="27">
        <v>2099.15</v>
      </c>
      <c r="E401" s="27">
        <v>23983.05</v>
      </c>
      <c r="F401" s="27">
        <v>2015.89</v>
      </c>
      <c r="G401" s="27">
        <v>10859.05</v>
      </c>
      <c r="H401" s="27">
        <v>19.97</v>
      </c>
      <c r="I401" s="27">
        <v>306.31</v>
      </c>
      <c r="J401" s="6">
        <v>1338</v>
      </c>
      <c r="K401" s="6">
        <v>10</v>
      </c>
      <c r="L401" s="27">
        <v>8.1158819133034381</v>
      </c>
      <c r="M401" s="27">
        <v>30.631</v>
      </c>
      <c r="N401" s="34">
        <v>13.420652818991099</v>
      </c>
    </row>
    <row r="402" spans="1:14" x14ac:dyDescent="0.35">
      <c r="A402" s="82">
        <v>399</v>
      </c>
      <c r="B402" s="89" t="str">
        <f>_xlfn.XLOOKUP(A402,'Model Modeshare by TAZ'!A:A,'Model Modeshare by TAZ'!B:B)</f>
        <v>Mountain View</v>
      </c>
      <c r="C402" s="90" t="str">
        <f>_xlfn.XLOOKUP(A402,'Model Modeshare by TAZ'!A:A,'Model Modeshare by TAZ'!D:D)</f>
        <v>NO</v>
      </c>
      <c r="D402" s="27">
        <v>3928.79</v>
      </c>
      <c r="E402" s="27">
        <v>45277.46</v>
      </c>
      <c r="F402" s="27">
        <v>2038.52</v>
      </c>
      <c r="G402" s="27">
        <v>10585.27</v>
      </c>
      <c r="H402" s="27">
        <v>612.30999999999995</v>
      </c>
      <c r="I402" s="27">
        <v>9113.0300000000007</v>
      </c>
      <c r="J402" s="6">
        <v>1349</v>
      </c>
      <c r="K402" s="6">
        <v>469</v>
      </c>
      <c r="L402" s="27">
        <v>7.8467531504818391</v>
      </c>
      <c r="M402" s="27">
        <v>19.430767590618338</v>
      </c>
      <c r="N402" s="34">
        <v>25.587090209020904</v>
      </c>
    </row>
    <row r="403" spans="1:14" x14ac:dyDescent="0.35">
      <c r="A403" s="82">
        <v>400</v>
      </c>
      <c r="B403" s="89" t="str">
        <f>_xlfn.XLOOKUP(A403,'Model Modeshare by TAZ'!A:A,'Model Modeshare by TAZ'!B:B)</f>
        <v>Mountain View</v>
      </c>
      <c r="C403" s="90" t="str">
        <f>_xlfn.XLOOKUP(A403,'Model Modeshare by TAZ'!A:A,'Model Modeshare by TAZ'!D:D)</f>
        <v>NO</v>
      </c>
      <c r="D403" s="27">
        <v>5684.96</v>
      </c>
      <c r="E403" s="27">
        <v>92496.18</v>
      </c>
      <c r="F403" s="27">
        <v>5295.18</v>
      </c>
      <c r="G403" s="27">
        <v>35006.33</v>
      </c>
      <c r="H403" s="27">
        <v>854</v>
      </c>
      <c r="I403" s="27">
        <v>12645.39</v>
      </c>
      <c r="J403" s="6">
        <v>3664</v>
      </c>
      <c r="K403" s="6">
        <v>500</v>
      </c>
      <c r="L403" s="27">
        <v>9.5541293668122282</v>
      </c>
      <c r="M403" s="27">
        <v>25.290779999999998</v>
      </c>
      <c r="N403" s="34">
        <v>23.145614793467818</v>
      </c>
    </row>
    <row r="404" spans="1:14" x14ac:dyDescent="0.35">
      <c r="A404" s="82">
        <v>401</v>
      </c>
      <c r="B404" s="89" t="str">
        <f>_xlfn.XLOOKUP(A404,'Model Modeshare by TAZ'!A:A,'Model Modeshare by TAZ'!B:B)</f>
        <v>Mountain View</v>
      </c>
      <c r="C404" s="90" t="str">
        <f>_xlfn.XLOOKUP(A404,'Model Modeshare by TAZ'!A:A,'Model Modeshare by TAZ'!D:D)</f>
        <v>NO</v>
      </c>
      <c r="D404" s="27">
        <v>3686.96</v>
      </c>
      <c r="E404" s="27">
        <v>81892.84</v>
      </c>
      <c r="F404" s="27">
        <v>558.21</v>
      </c>
      <c r="G404" s="27">
        <v>3547.72</v>
      </c>
      <c r="H404" s="27">
        <v>2128.66</v>
      </c>
      <c r="I404" s="27">
        <v>31465.66</v>
      </c>
      <c r="J404" s="6">
        <v>352</v>
      </c>
      <c r="K404" s="6">
        <v>1821</v>
      </c>
      <c r="L404" s="27">
        <v>10.078749999999999</v>
      </c>
      <c r="M404" s="27">
        <v>17.279330038440417</v>
      </c>
      <c r="N404" s="34">
        <v>31.192208927749654</v>
      </c>
    </row>
    <row r="405" spans="1:14" x14ac:dyDescent="0.35">
      <c r="A405" s="82">
        <v>402</v>
      </c>
      <c r="B405" s="89" t="str">
        <f>_xlfn.XLOOKUP(A405,'Model Modeshare by TAZ'!A:A,'Model Modeshare by TAZ'!B:B)</f>
        <v>Mountain View</v>
      </c>
      <c r="C405" s="90" t="str">
        <f>_xlfn.XLOOKUP(A405,'Model Modeshare by TAZ'!A:A,'Model Modeshare by TAZ'!D:D)</f>
        <v>NO</v>
      </c>
      <c r="D405" s="27">
        <v>1760.22</v>
      </c>
      <c r="E405" s="27">
        <v>50690.97</v>
      </c>
      <c r="F405" s="27">
        <v>0</v>
      </c>
      <c r="G405" s="27">
        <v>0</v>
      </c>
      <c r="H405" s="27">
        <v>1028.69</v>
      </c>
      <c r="I405" s="27">
        <v>15090.89</v>
      </c>
      <c r="J405" s="6">
        <v>0</v>
      </c>
      <c r="K405" s="6">
        <v>848</v>
      </c>
      <c r="L405" s="27">
        <v>0</v>
      </c>
      <c r="M405" s="27">
        <v>17.795860849056602</v>
      </c>
      <c r="N405" s="34">
        <v>33.70936320754717</v>
      </c>
    </row>
    <row r="406" spans="1:14" x14ac:dyDescent="0.35">
      <c r="A406" s="82">
        <v>403</v>
      </c>
      <c r="B406" s="89" t="str">
        <f>_xlfn.XLOOKUP(A406,'Model Modeshare by TAZ'!A:A,'Model Modeshare by TAZ'!B:B)</f>
        <v>Mountain View</v>
      </c>
      <c r="C406" s="90" t="str">
        <f>_xlfn.XLOOKUP(A406,'Model Modeshare by TAZ'!A:A,'Model Modeshare by TAZ'!D:D)</f>
        <v>NO</v>
      </c>
      <c r="D406" s="27">
        <v>3977.71</v>
      </c>
      <c r="E406" s="27">
        <v>115881.99</v>
      </c>
      <c r="F406" s="27">
        <v>0</v>
      </c>
      <c r="G406" s="27">
        <v>0</v>
      </c>
      <c r="H406" s="27">
        <v>2392.6999999999998</v>
      </c>
      <c r="I406" s="27">
        <v>34636.47</v>
      </c>
      <c r="J406" s="6">
        <v>0</v>
      </c>
      <c r="K406" s="6">
        <v>1966</v>
      </c>
      <c r="L406" s="27">
        <v>0</v>
      </c>
      <c r="M406" s="27">
        <v>17.617736520854528</v>
      </c>
      <c r="N406" s="34">
        <v>32.717146490335708</v>
      </c>
    </row>
    <row r="407" spans="1:14" x14ac:dyDescent="0.35">
      <c r="A407" s="82">
        <v>404</v>
      </c>
      <c r="B407" s="89" t="str">
        <f>_xlfn.XLOOKUP(A407,'Model Modeshare by TAZ'!A:A,'Model Modeshare by TAZ'!B:B)</f>
        <v>Mountain View</v>
      </c>
      <c r="C407" s="90" t="str">
        <f>_xlfn.XLOOKUP(A407,'Model Modeshare by TAZ'!A:A,'Model Modeshare by TAZ'!D:D)</f>
        <v>NO</v>
      </c>
      <c r="D407" s="27">
        <v>802.61</v>
      </c>
      <c r="E407" s="27">
        <v>12155.61</v>
      </c>
      <c r="F407" s="27">
        <v>517.27</v>
      </c>
      <c r="G407" s="27">
        <v>3076.51</v>
      </c>
      <c r="H407" s="27">
        <v>167.35</v>
      </c>
      <c r="I407" s="27">
        <v>2475.41</v>
      </c>
      <c r="J407" s="6">
        <v>331</v>
      </c>
      <c r="K407" s="6">
        <v>136</v>
      </c>
      <c r="L407" s="27">
        <v>9.2945921450151072</v>
      </c>
      <c r="M407" s="27">
        <v>18.201544117647057</v>
      </c>
      <c r="N407" s="34">
        <v>20.601049250535333</v>
      </c>
    </row>
    <row r="408" spans="1:14" x14ac:dyDescent="0.35">
      <c r="A408" s="82">
        <v>405</v>
      </c>
      <c r="B408" s="89" t="str">
        <f>_xlfn.XLOOKUP(A408,'Model Modeshare by TAZ'!A:A,'Model Modeshare by TAZ'!B:B)</f>
        <v>Mountain View</v>
      </c>
      <c r="C408" s="90" t="str">
        <f>_xlfn.XLOOKUP(A408,'Model Modeshare by TAZ'!A:A,'Model Modeshare by TAZ'!D:D)</f>
        <v>NO</v>
      </c>
      <c r="D408" s="27">
        <v>7761.09</v>
      </c>
      <c r="E408" s="27">
        <v>221646.91</v>
      </c>
      <c r="F408" s="27">
        <v>0</v>
      </c>
      <c r="G408" s="27">
        <v>0</v>
      </c>
      <c r="H408" s="27">
        <v>2636.72</v>
      </c>
      <c r="I408" s="27">
        <v>39707.410000000003</v>
      </c>
      <c r="J408" s="6">
        <v>0</v>
      </c>
      <c r="K408" s="6">
        <v>2168</v>
      </c>
      <c r="L408" s="27">
        <v>0</v>
      </c>
      <c r="M408" s="27">
        <v>18.31522601476015</v>
      </c>
      <c r="N408" s="34">
        <v>38.051328413284132</v>
      </c>
    </row>
    <row r="409" spans="1:14" x14ac:dyDescent="0.35">
      <c r="A409" s="82">
        <v>406</v>
      </c>
      <c r="B409" s="89" t="str">
        <f>_xlfn.XLOOKUP(A409,'Model Modeshare by TAZ'!A:A,'Model Modeshare by TAZ'!B:B)</f>
        <v>Mountain View</v>
      </c>
      <c r="C409" s="90" t="str">
        <f>_xlfn.XLOOKUP(A409,'Model Modeshare by TAZ'!A:A,'Model Modeshare by TAZ'!D:D)</f>
        <v>NO</v>
      </c>
      <c r="D409" s="27">
        <v>5042.67</v>
      </c>
      <c r="E409" s="27">
        <v>118465.95</v>
      </c>
      <c r="F409" s="27">
        <v>2663.88</v>
      </c>
      <c r="G409" s="27">
        <v>19087.009999999998</v>
      </c>
      <c r="H409" s="27">
        <v>1975.67</v>
      </c>
      <c r="I409" s="27">
        <v>30267.43</v>
      </c>
      <c r="J409" s="6">
        <v>1487</v>
      </c>
      <c r="K409" s="6">
        <v>1640</v>
      </c>
      <c r="L409" s="27">
        <v>12.835917955615331</v>
      </c>
      <c r="M409" s="27">
        <v>18.455750000000002</v>
      </c>
      <c r="N409" s="34">
        <v>34.102264150943398</v>
      </c>
    </row>
    <row r="410" spans="1:14" x14ac:dyDescent="0.35">
      <c r="A410" s="82">
        <v>407</v>
      </c>
      <c r="B410" s="89" t="str">
        <f>_xlfn.XLOOKUP(A410,'Model Modeshare by TAZ'!A:A,'Model Modeshare by TAZ'!B:B)</f>
        <v>Mountain View</v>
      </c>
      <c r="C410" s="90" t="str">
        <f>_xlfn.XLOOKUP(A410,'Model Modeshare by TAZ'!A:A,'Model Modeshare by TAZ'!D:D)</f>
        <v>NO</v>
      </c>
      <c r="D410" s="27">
        <v>2479.85</v>
      </c>
      <c r="E410" s="27">
        <v>34452.89</v>
      </c>
      <c r="F410" s="27">
        <v>1974.08</v>
      </c>
      <c r="G410" s="27">
        <v>11041.55</v>
      </c>
      <c r="H410" s="27">
        <v>574.29999999999995</v>
      </c>
      <c r="I410" s="27">
        <v>8300.4699999999993</v>
      </c>
      <c r="J410" s="6">
        <v>1337</v>
      </c>
      <c r="K410" s="6">
        <v>406</v>
      </c>
      <c r="L410" s="27">
        <v>8.2584517576664176</v>
      </c>
      <c r="M410" s="27">
        <v>20.44450738916256</v>
      </c>
      <c r="N410" s="34">
        <v>19.272914515203674</v>
      </c>
    </row>
    <row r="411" spans="1:14" x14ac:dyDescent="0.35">
      <c r="A411" s="82">
        <v>408</v>
      </c>
      <c r="B411" s="89" t="str">
        <f>_xlfn.XLOOKUP(A411,'Model Modeshare by TAZ'!A:A,'Model Modeshare by TAZ'!B:B)</f>
        <v>Mountain View</v>
      </c>
      <c r="C411" s="90" t="str">
        <f>_xlfn.XLOOKUP(A411,'Model Modeshare by TAZ'!A:A,'Model Modeshare by TAZ'!D:D)</f>
        <v>NO</v>
      </c>
      <c r="D411" s="27">
        <v>6912.45</v>
      </c>
      <c r="E411" s="27">
        <v>89531.43</v>
      </c>
      <c r="F411" s="27">
        <v>6809.71</v>
      </c>
      <c r="G411" s="27">
        <v>47278.61</v>
      </c>
      <c r="H411" s="27">
        <v>810.4</v>
      </c>
      <c r="I411" s="27">
        <v>12073.11</v>
      </c>
      <c r="J411" s="6">
        <v>4240</v>
      </c>
      <c r="K411" s="6">
        <v>448</v>
      </c>
      <c r="L411" s="27">
        <v>11.150615566037736</v>
      </c>
      <c r="M411" s="27">
        <v>26.94890625</v>
      </c>
      <c r="N411" s="34">
        <v>23.580554607508532</v>
      </c>
    </row>
    <row r="412" spans="1:14" x14ac:dyDescent="0.35">
      <c r="A412" s="82">
        <v>409</v>
      </c>
      <c r="B412" s="89" t="str">
        <f>_xlfn.XLOOKUP(A412,'Model Modeshare by TAZ'!A:A,'Model Modeshare by TAZ'!B:B)</f>
        <v>Mountain View</v>
      </c>
      <c r="C412" s="90" t="str">
        <f>_xlfn.XLOOKUP(A412,'Model Modeshare by TAZ'!A:A,'Model Modeshare by TAZ'!D:D)</f>
        <v>NO</v>
      </c>
      <c r="D412" s="27">
        <v>13023.04</v>
      </c>
      <c r="E412" s="27">
        <v>251402.18</v>
      </c>
      <c r="F412" s="27">
        <v>4640.38</v>
      </c>
      <c r="G412" s="27">
        <v>27557.58</v>
      </c>
      <c r="H412" s="27">
        <v>1644.16</v>
      </c>
      <c r="I412" s="27">
        <v>23916.38</v>
      </c>
      <c r="J412" s="6">
        <v>3241</v>
      </c>
      <c r="K412" s="6">
        <v>1315</v>
      </c>
      <c r="L412" s="27">
        <v>8.5028016044430732</v>
      </c>
      <c r="M412" s="27">
        <v>18.187361216730039</v>
      </c>
      <c r="N412" s="34">
        <v>34.678496488147502</v>
      </c>
    </row>
    <row r="413" spans="1:14" x14ac:dyDescent="0.35">
      <c r="A413" s="82">
        <v>410</v>
      </c>
      <c r="B413" s="89" t="str">
        <f>_xlfn.XLOOKUP(A413,'Model Modeshare by TAZ'!A:A,'Model Modeshare by TAZ'!B:B)</f>
        <v>Mountain View</v>
      </c>
      <c r="C413" s="90" t="str">
        <f>_xlfn.XLOOKUP(A413,'Model Modeshare by TAZ'!A:A,'Model Modeshare by TAZ'!D:D)</f>
        <v>NO</v>
      </c>
      <c r="D413" s="27">
        <v>4518.0200000000004</v>
      </c>
      <c r="E413" s="27">
        <v>50569.41</v>
      </c>
      <c r="F413" s="27">
        <v>5305.81</v>
      </c>
      <c r="G413" s="27">
        <v>35666.15</v>
      </c>
      <c r="H413" s="27">
        <v>473.53</v>
      </c>
      <c r="I413" s="27">
        <v>7114.66</v>
      </c>
      <c r="J413" s="6">
        <v>3774</v>
      </c>
      <c r="K413" s="6">
        <v>257</v>
      </c>
      <c r="L413" s="27">
        <v>9.450490196078432</v>
      </c>
      <c r="M413" s="27">
        <v>27.68350194552529</v>
      </c>
      <c r="N413" s="34">
        <v>24.944237161994543</v>
      </c>
    </row>
    <row r="414" spans="1:14" x14ac:dyDescent="0.35">
      <c r="A414" s="82">
        <v>411</v>
      </c>
      <c r="B414" s="89" t="str">
        <f>_xlfn.XLOOKUP(A414,'Model Modeshare by TAZ'!A:A,'Model Modeshare by TAZ'!B:B)</f>
        <v>Mountain View</v>
      </c>
      <c r="C414" s="90" t="str">
        <f>_xlfn.XLOOKUP(A414,'Model Modeshare by TAZ'!A:A,'Model Modeshare by TAZ'!D:D)</f>
        <v>NO</v>
      </c>
      <c r="D414" s="27">
        <v>3238.18</v>
      </c>
      <c r="E414" s="27">
        <v>48189.89</v>
      </c>
      <c r="F414" s="27">
        <v>3312.46</v>
      </c>
      <c r="G414" s="27">
        <v>22101.53</v>
      </c>
      <c r="H414" s="27">
        <v>137.96</v>
      </c>
      <c r="I414" s="27">
        <v>2052.36</v>
      </c>
      <c r="J414" s="6">
        <v>2353</v>
      </c>
      <c r="K414" s="6">
        <v>78</v>
      </c>
      <c r="L414" s="27">
        <v>9.3929154271143211</v>
      </c>
      <c r="M414" s="27">
        <v>26.312307692307694</v>
      </c>
      <c r="N414" s="34">
        <v>20.102344714109421</v>
      </c>
    </row>
    <row r="415" spans="1:14" x14ac:dyDescent="0.35">
      <c r="A415" s="82">
        <v>412</v>
      </c>
      <c r="B415" s="89" t="str">
        <f>_xlfn.XLOOKUP(A415,'Model Modeshare by TAZ'!A:A,'Model Modeshare by TAZ'!B:B)</f>
        <v>Mountain View</v>
      </c>
      <c r="C415" s="90" t="str">
        <f>_xlfn.XLOOKUP(A415,'Model Modeshare by TAZ'!A:A,'Model Modeshare by TAZ'!D:D)</f>
        <v>NO</v>
      </c>
      <c r="D415" s="27">
        <v>1756.64</v>
      </c>
      <c r="E415" s="27">
        <v>28333.66</v>
      </c>
      <c r="F415" s="27">
        <v>1735.31</v>
      </c>
      <c r="G415" s="27">
        <v>11711.29</v>
      </c>
      <c r="H415" s="27">
        <v>207.16</v>
      </c>
      <c r="I415" s="27">
        <v>3068.11</v>
      </c>
      <c r="J415" s="6">
        <v>1132</v>
      </c>
      <c r="K415" s="6">
        <v>112</v>
      </c>
      <c r="L415" s="27">
        <v>10.345662544169612</v>
      </c>
      <c r="M415" s="27">
        <v>27.393839285714286</v>
      </c>
      <c r="N415" s="34">
        <v>24.155345659163988</v>
      </c>
    </row>
    <row r="416" spans="1:14" x14ac:dyDescent="0.35">
      <c r="A416" s="82">
        <v>413</v>
      </c>
      <c r="B416" s="89" t="str">
        <f>_xlfn.XLOOKUP(A416,'Model Modeshare by TAZ'!A:A,'Model Modeshare by TAZ'!B:B)</f>
        <v>Mountain View</v>
      </c>
      <c r="C416" s="90" t="str">
        <f>_xlfn.XLOOKUP(A416,'Model Modeshare by TAZ'!A:A,'Model Modeshare by TAZ'!D:D)</f>
        <v>NO</v>
      </c>
      <c r="D416" s="27">
        <v>5108.49</v>
      </c>
      <c r="E416" s="27">
        <v>98879.9</v>
      </c>
      <c r="F416" s="27">
        <v>629.27</v>
      </c>
      <c r="G416" s="27">
        <v>4663.18</v>
      </c>
      <c r="H416" s="27">
        <v>1219.04</v>
      </c>
      <c r="I416" s="27">
        <v>18246.07</v>
      </c>
      <c r="J416" s="6">
        <v>365</v>
      </c>
      <c r="K416" s="6">
        <v>1107</v>
      </c>
      <c r="L416" s="27">
        <v>12.775835616438357</v>
      </c>
      <c r="M416" s="27">
        <v>16.482448057813912</v>
      </c>
      <c r="N416" s="34">
        <v>52.573029891304351</v>
      </c>
    </row>
    <row r="417" spans="1:14" x14ac:dyDescent="0.35">
      <c r="A417" s="82">
        <v>414</v>
      </c>
      <c r="B417" s="89" t="str">
        <f>_xlfn.XLOOKUP(A417,'Model Modeshare by TAZ'!A:A,'Model Modeshare by TAZ'!B:B)</f>
        <v>Mountain View</v>
      </c>
      <c r="C417" s="90" t="str">
        <f>_xlfn.XLOOKUP(A417,'Model Modeshare by TAZ'!A:A,'Model Modeshare by TAZ'!D:D)</f>
        <v>NO</v>
      </c>
      <c r="D417" s="27">
        <v>2714.72</v>
      </c>
      <c r="E417" s="27">
        <v>49696.959999999999</v>
      </c>
      <c r="F417" s="27">
        <v>2616.23</v>
      </c>
      <c r="G417" s="27">
        <v>19481.37</v>
      </c>
      <c r="H417" s="27">
        <v>80.89</v>
      </c>
      <c r="I417" s="27">
        <v>1252.21</v>
      </c>
      <c r="J417" s="6">
        <v>1553</v>
      </c>
      <c r="K417" s="6">
        <v>43</v>
      </c>
      <c r="L417" s="27">
        <v>12.544346426271732</v>
      </c>
      <c r="M417" s="27">
        <v>29.121162790697674</v>
      </c>
      <c r="N417" s="34">
        <v>28.270288220551375</v>
      </c>
    </row>
    <row r="418" spans="1:14" x14ac:dyDescent="0.35">
      <c r="A418" s="82">
        <v>415</v>
      </c>
      <c r="B418" s="89" t="str">
        <f>_xlfn.XLOOKUP(A418,'Model Modeshare by TAZ'!A:A,'Model Modeshare by TAZ'!B:B)</f>
        <v>Mountain View</v>
      </c>
      <c r="C418" s="90" t="str">
        <f>_xlfn.XLOOKUP(A418,'Model Modeshare by TAZ'!A:A,'Model Modeshare by TAZ'!D:D)</f>
        <v>NO</v>
      </c>
      <c r="D418" s="27">
        <v>2027.71</v>
      </c>
      <c r="E418" s="27">
        <v>55011.82</v>
      </c>
      <c r="F418" s="27">
        <v>0</v>
      </c>
      <c r="G418" s="27">
        <v>0</v>
      </c>
      <c r="H418" s="27">
        <v>920.42</v>
      </c>
      <c r="I418" s="27">
        <v>12926.68</v>
      </c>
      <c r="J418" s="6">
        <v>3</v>
      </c>
      <c r="K418" s="6">
        <v>781</v>
      </c>
      <c r="L418" s="27">
        <v>0</v>
      </c>
      <c r="M418" s="27">
        <v>16.551446862996158</v>
      </c>
      <c r="N418" s="34">
        <v>30.263010204081635</v>
      </c>
    </row>
    <row r="419" spans="1:14" x14ac:dyDescent="0.35">
      <c r="A419" s="82">
        <v>416</v>
      </c>
      <c r="B419" s="89" t="str">
        <f>_xlfn.XLOOKUP(A419,'Model Modeshare by TAZ'!A:A,'Model Modeshare by TAZ'!B:B)</f>
        <v>Mountain View</v>
      </c>
      <c r="C419" s="90" t="str">
        <f>_xlfn.XLOOKUP(A419,'Model Modeshare by TAZ'!A:A,'Model Modeshare by TAZ'!D:D)</f>
        <v>NO</v>
      </c>
      <c r="D419" s="27">
        <v>4131.74</v>
      </c>
      <c r="E419" s="27">
        <v>59073.39</v>
      </c>
      <c r="F419" s="27">
        <v>3016.41</v>
      </c>
      <c r="G419" s="27">
        <v>18039.16</v>
      </c>
      <c r="H419" s="27">
        <v>233.59</v>
      </c>
      <c r="I419" s="27">
        <v>3373.97</v>
      </c>
      <c r="J419" s="6">
        <v>1922</v>
      </c>
      <c r="K419" s="6">
        <v>133</v>
      </c>
      <c r="L419" s="27">
        <v>9.3856191467221635</v>
      </c>
      <c r="M419" s="27">
        <v>25.368195488721803</v>
      </c>
      <c r="N419" s="34">
        <v>18.539133819951338</v>
      </c>
    </row>
    <row r="420" spans="1:14" x14ac:dyDescent="0.35">
      <c r="A420" s="82">
        <v>417</v>
      </c>
      <c r="B420" s="89" t="str">
        <f>_xlfn.XLOOKUP(A420,'Model Modeshare by TAZ'!A:A,'Model Modeshare by TAZ'!B:B)</f>
        <v>Mountain View</v>
      </c>
      <c r="C420" s="90" t="str">
        <f>_xlfn.XLOOKUP(A420,'Model Modeshare by TAZ'!A:A,'Model Modeshare by TAZ'!D:D)</f>
        <v>NO</v>
      </c>
      <c r="D420" s="27">
        <v>4108.93</v>
      </c>
      <c r="E420" s="27">
        <v>47367.27</v>
      </c>
      <c r="F420" s="27">
        <v>3551.91</v>
      </c>
      <c r="G420" s="27">
        <v>20793.05</v>
      </c>
      <c r="H420" s="27">
        <v>171.18</v>
      </c>
      <c r="I420" s="27">
        <v>2389.73</v>
      </c>
      <c r="J420" s="6">
        <v>2167</v>
      </c>
      <c r="K420" s="6">
        <v>92</v>
      </c>
      <c r="L420" s="27">
        <v>9.5953161052145823</v>
      </c>
      <c r="M420" s="27">
        <v>25.975326086956521</v>
      </c>
      <c r="N420" s="34">
        <v>14.982253209384686</v>
      </c>
    </row>
    <row r="421" spans="1:14" x14ac:dyDescent="0.35">
      <c r="A421" s="82">
        <v>418</v>
      </c>
      <c r="B421" s="89" t="str">
        <f>_xlfn.XLOOKUP(A421,'Model Modeshare by TAZ'!A:A,'Model Modeshare by TAZ'!B:B)</f>
        <v>Mountain View</v>
      </c>
      <c r="C421" s="90" t="str">
        <f>_xlfn.XLOOKUP(A421,'Model Modeshare by TAZ'!A:A,'Model Modeshare by TAZ'!D:D)</f>
        <v>NO</v>
      </c>
      <c r="D421" s="27">
        <v>1623.93</v>
      </c>
      <c r="E421" s="27">
        <v>30760.41</v>
      </c>
      <c r="F421" s="27">
        <v>591.13</v>
      </c>
      <c r="G421" s="27">
        <v>4356.21</v>
      </c>
      <c r="H421" s="27">
        <v>197.63</v>
      </c>
      <c r="I421" s="27">
        <v>2927.97</v>
      </c>
      <c r="J421" s="6">
        <v>335</v>
      </c>
      <c r="K421" s="6">
        <v>168</v>
      </c>
      <c r="L421" s="27">
        <v>13.003611940298507</v>
      </c>
      <c r="M421" s="27">
        <v>17.428392857142857</v>
      </c>
      <c r="N421" s="34">
        <v>31.541809145129225</v>
      </c>
    </row>
    <row r="422" spans="1:14" x14ac:dyDescent="0.35">
      <c r="A422" s="82">
        <v>419</v>
      </c>
      <c r="B422" s="89" t="str">
        <f>_xlfn.XLOOKUP(A422,'Model Modeshare by TAZ'!A:A,'Model Modeshare by TAZ'!B:B)</f>
        <v>Mountain View</v>
      </c>
      <c r="C422" s="90" t="str">
        <f>_xlfn.XLOOKUP(A422,'Model Modeshare by TAZ'!A:A,'Model Modeshare by TAZ'!D:D)</f>
        <v>NO</v>
      </c>
      <c r="D422" s="27">
        <v>1173.48</v>
      </c>
      <c r="E422" s="27">
        <v>25281.200000000001</v>
      </c>
      <c r="F422" s="27">
        <v>438.28</v>
      </c>
      <c r="G422" s="27">
        <v>3243.09</v>
      </c>
      <c r="H422" s="27">
        <v>729.27</v>
      </c>
      <c r="I422" s="27">
        <v>11018.22</v>
      </c>
      <c r="J422" s="6">
        <v>272</v>
      </c>
      <c r="K422" s="6">
        <v>644</v>
      </c>
      <c r="L422" s="27">
        <v>11.923125000000001</v>
      </c>
      <c r="M422" s="27">
        <v>17.109037267080744</v>
      </c>
      <c r="N422" s="34">
        <v>38.173155021834063</v>
      </c>
    </row>
    <row r="423" spans="1:14" x14ac:dyDescent="0.35">
      <c r="A423" s="82">
        <v>420</v>
      </c>
      <c r="B423" s="89" t="str">
        <f>_xlfn.XLOOKUP(A423,'Model Modeshare by TAZ'!A:A,'Model Modeshare by TAZ'!B:B)</f>
        <v>Palo Alto</v>
      </c>
      <c r="C423" s="90" t="str">
        <f>_xlfn.XLOOKUP(A423,'Model Modeshare by TAZ'!A:A,'Model Modeshare by TAZ'!D:D)</f>
        <v>NO</v>
      </c>
      <c r="D423" s="27">
        <v>4259.3100000000004</v>
      </c>
      <c r="E423" s="27">
        <v>93404.35</v>
      </c>
      <c r="F423" s="27">
        <v>2777</v>
      </c>
      <c r="G423" s="27">
        <v>24238.87</v>
      </c>
      <c r="H423" s="27">
        <v>66.64</v>
      </c>
      <c r="I423" s="27">
        <v>1271.52</v>
      </c>
      <c r="J423" s="6">
        <v>2709</v>
      </c>
      <c r="K423" s="6">
        <v>34</v>
      </c>
      <c r="L423" s="27">
        <v>8.9475341454411215</v>
      </c>
      <c r="M423" s="27">
        <v>37.39764705882353</v>
      </c>
      <c r="N423" s="34">
        <v>20.378020415603356</v>
      </c>
    </row>
    <row r="424" spans="1:14" x14ac:dyDescent="0.35">
      <c r="A424" s="82">
        <v>421</v>
      </c>
      <c r="B424" s="89" t="str">
        <f>_xlfn.XLOOKUP(A424,'Model Modeshare by TAZ'!A:A,'Model Modeshare by TAZ'!B:B)</f>
        <v>Palo Alto</v>
      </c>
      <c r="C424" s="90" t="str">
        <f>_xlfn.XLOOKUP(A424,'Model Modeshare by TAZ'!A:A,'Model Modeshare by TAZ'!D:D)</f>
        <v>NO</v>
      </c>
      <c r="D424" s="27">
        <v>21266.12</v>
      </c>
      <c r="E424" s="27">
        <v>689485.26</v>
      </c>
      <c r="F424" s="27">
        <v>0</v>
      </c>
      <c r="G424" s="27">
        <v>0</v>
      </c>
      <c r="H424" s="27">
        <v>4391.07</v>
      </c>
      <c r="I424" s="27">
        <v>77530.399999999994</v>
      </c>
      <c r="J424" s="6">
        <v>0</v>
      </c>
      <c r="K424" s="6">
        <v>3938</v>
      </c>
      <c r="L424" s="27">
        <v>0</v>
      </c>
      <c r="M424" s="27">
        <v>19.687760284408327</v>
      </c>
      <c r="N424" s="34">
        <v>44.356866429659725</v>
      </c>
    </row>
    <row r="425" spans="1:14" x14ac:dyDescent="0.35">
      <c r="A425" s="82">
        <v>422</v>
      </c>
      <c r="B425" s="89" t="str">
        <f>_xlfn.XLOOKUP(A425,'Model Modeshare by TAZ'!A:A,'Model Modeshare by TAZ'!B:B)</f>
        <v>Palo Alto</v>
      </c>
      <c r="C425" s="90" t="str">
        <f>_xlfn.XLOOKUP(A425,'Model Modeshare by TAZ'!A:A,'Model Modeshare by TAZ'!D:D)</f>
        <v>NO</v>
      </c>
      <c r="D425" s="27">
        <v>3121.05</v>
      </c>
      <c r="E425" s="27">
        <v>87154.81</v>
      </c>
      <c r="F425" s="27">
        <v>52.33</v>
      </c>
      <c r="G425" s="27">
        <v>408.91</v>
      </c>
      <c r="H425" s="27">
        <v>2038.8</v>
      </c>
      <c r="I425" s="27">
        <v>34168.79</v>
      </c>
      <c r="J425" s="6">
        <v>32</v>
      </c>
      <c r="K425" s="6">
        <v>1831</v>
      </c>
      <c r="L425" s="27">
        <v>12.778437500000001</v>
      </c>
      <c r="M425" s="27">
        <v>18.661272528672857</v>
      </c>
      <c r="N425" s="34">
        <v>46.407729468599037</v>
      </c>
    </row>
    <row r="426" spans="1:14" x14ac:dyDescent="0.35">
      <c r="A426" s="82">
        <v>423</v>
      </c>
      <c r="B426" s="89" t="str">
        <f>_xlfn.XLOOKUP(A426,'Model Modeshare by TAZ'!A:A,'Model Modeshare by TAZ'!B:B)</f>
        <v>Palo Alto</v>
      </c>
      <c r="C426" s="90" t="str">
        <f>_xlfn.XLOOKUP(A426,'Model Modeshare by TAZ'!A:A,'Model Modeshare by TAZ'!D:D)</f>
        <v>NO</v>
      </c>
      <c r="D426" s="27">
        <v>3040.72</v>
      </c>
      <c r="E426" s="27">
        <v>87522.66</v>
      </c>
      <c r="F426" s="27">
        <v>0</v>
      </c>
      <c r="G426" s="27">
        <v>0</v>
      </c>
      <c r="H426" s="27">
        <v>2248.7800000000002</v>
      </c>
      <c r="I426" s="27">
        <v>37751.11</v>
      </c>
      <c r="J426" s="6">
        <v>1</v>
      </c>
      <c r="K426" s="6">
        <v>1995</v>
      </c>
      <c r="L426" s="27">
        <v>0</v>
      </c>
      <c r="M426" s="27">
        <v>18.922862155388472</v>
      </c>
      <c r="N426" s="34">
        <v>44.317850701402804</v>
      </c>
    </row>
    <row r="427" spans="1:14" x14ac:dyDescent="0.35">
      <c r="A427" s="82">
        <v>424</v>
      </c>
      <c r="B427" s="89" t="str">
        <f>_xlfn.XLOOKUP(A427,'Model Modeshare by TAZ'!A:A,'Model Modeshare by TAZ'!B:B)</f>
        <v>Palo Alto</v>
      </c>
      <c r="C427" s="90" t="str">
        <f>_xlfn.XLOOKUP(A427,'Model Modeshare by TAZ'!A:A,'Model Modeshare by TAZ'!D:D)</f>
        <v>NO</v>
      </c>
      <c r="D427" s="27">
        <v>5245.51</v>
      </c>
      <c r="E427" s="27">
        <v>151122.20000000001</v>
      </c>
      <c r="F427" s="27">
        <v>53.21</v>
      </c>
      <c r="G427" s="27">
        <v>406.08</v>
      </c>
      <c r="H427" s="27">
        <v>2283.15</v>
      </c>
      <c r="I427" s="27">
        <v>40535.550000000003</v>
      </c>
      <c r="J427" s="6">
        <v>61</v>
      </c>
      <c r="K427" s="6">
        <v>2431</v>
      </c>
      <c r="L427" s="27">
        <v>6.6570491803278689</v>
      </c>
      <c r="M427" s="27">
        <v>16.674434389140274</v>
      </c>
      <c r="N427" s="34">
        <v>42.501452648475116</v>
      </c>
    </row>
    <row r="428" spans="1:14" x14ac:dyDescent="0.35">
      <c r="A428" s="82">
        <v>425</v>
      </c>
      <c r="B428" s="89" t="str">
        <f>_xlfn.XLOOKUP(A428,'Model Modeshare by TAZ'!A:A,'Model Modeshare by TAZ'!B:B)</f>
        <v>Palo Alto</v>
      </c>
      <c r="C428" s="90" t="str">
        <f>_xlfn.XLOOKUP(A428,'Model Modeshare by TAZ'!A:A,'Model Modeshare by TAZ'!D:D)</f>
        <v>NO</v>
      </c>
      <c r="D428" s="27">
        <v>1457.3</v>
      </c>
      <c r="E428" s="27">
        <v>32861.5</v>
      </c>
      <c r="F428" s="27">
        <v>0</v>
      </c>
      <c r="G428" s="27">
        <v>0</v>
      </c>
      <c r="H428" s="27">
        <v>119.38</v>
      </c>
      <c r="I428" s="27">
        <v>1897.8</v>
      </c>
      <c r="J428" s="6">
        <v>0</v>
      </c>
      <c r="K428" s="6">
        <v>108</v>
      </c>
      <c r="L428" s="27">
        <v>0</v>
      </c>
      <c r="M428" s="27">
        <v>17.572222222222223</v>
      </c>
      <c r="N428" s="34">
        <v>26.147037037037038</v>
      </c>
    </row>
    <row r="429" spans="1:14" x14ac:dyDescent="0.35">
      <c r="A429" s="82">
        <v>426</v>
      </c>
      <c r="B429" s="89" t="str">
        <f>_xlfn.XLOOKUP(A429,'Model Modeshare by TAZ'!A:A,'Model Modeshare by TAZ'!B:B)</f>
        <v>Palo Alto</v>
      </c>
      <c r="C429" s="90" t="str">
        <f>_xlfn.XLOOKUP(A429,'Model Modeshare by TAZ'!A:A,'Model Modeshare by TAZ'!D:D)</f>
        <v>NO</v>
      </c>
      <c r="D429" s="27">
        <v>1616.51</v>
      </c>
      <c r="E429" s="27">
        <v>45843.79</v>
      </c>
      <c r="F429" s="27">
        <v>39.35</v>
      </c>
      <c r="G429" s="27">
        <v>329.23</v>
      </c>
      <c r="H429" s="27">
        <v>608.57000000000005</v>
      </c>
      <c r="I429" s="27">
        <v>11173.46</v>
      </c>
      <c r="J429" s="6">
        <v>39</v>
      </c>
      <c r="K429" s="6">
        <v>860</v>
      </c>
      <c r="L429" s="27">
        <v>8.4417948717948725</v>
      </c>
      <c r="M429" s="27">
        <v>12.992395348837208</v>
      </c>
      <c r="N429" s="34">
        <v>60.052936596218018</v>
      </c>
    </row>
    <row r="430" spans="1:14" x14ac:dyDescent="0.35">
      <c r="A430" s="82">
        <v>427</v>
      </c>
      <c r="B430" s="89" t="str">
        <f>_xlfn.XLOOKUP(A430,'Model Modeshare by TAZ'!A:A,'Model Modeshare by TAZ'!B:B)</f>
        <v>Palo Alto</v>
      </c>
      <c r="C430" s="90" t="str">
        <f>_xlfn.XLOOKUP(A430,'Model Modeshare by TAZ'!A:A,'Model Modeshare by TAZ'!D:D)</f>
        <v>NO</v>
      </c>
      <c r="D430" s="27">
        <v>1398.11</v>
      </c>
      <c r="E430" s="27">
        <v>38959.300000000003</v>
      </c>
      <c r="F430" s="27">
        <v>140.94</v>
      </c>
      <c r="G430" s="27">
        <v>1172.5999999999999</v>
      </c>
      <c r="H430" s="27">
        <v>622.04</v>
      </c>
      <c r="I430" s="27">
        <v>11496.12</v>
      </c>
      <c r="J430" s="6">
        <v>125</v>
      </c>
      <c r="K430" s="6">
        <v>811</v>
      </c>
      <c r="L430" s="27">
        <v>9.3807999999999989</v>
      </c>
      <c r="M430" s="27">
        <v>14.175240443896426</v>
      </c>
      <c r="N430" s="34">
        <v>53.056196581196581</v>
      </c>
    </row>
    <row r="431" spans="1:14" x14ac:dyDescent="0.35">
      <c r="A431" s="82">
        <v>428</v>
      </c>
      <c r="B431" s="89" t="str">
        <f>_xlfn.XLOOKUP(A431,'Model Modeshare by TAZ'!A:A,'Model Modeshare by TAZ'!B:B)</f>
        <v>Unincorporated</v>
      </c>
      <c r="C431" s="90" t="str">
        <f>_xlfn.XLOOKUP(A431,'Model Modeshare by TAZ'!A:A,'Model Modeshare by TAZ'!D:D)</f>
        <v>NO</v>
      </c>
      <c r="D431" s="27">
        <v>3112.54</v>
      </c>
      <c r="E431" s="27">
        <v>115661.3</v>
      </c>
      <c r="F431" s="27">
        <v>595.03</v>
      </c>
      <c r="G431" s="27">
        <v>5690.55</v>
      </c>
      <c r="H431" s="27">
        <v>2239.36</v>
      </c>
      <c r="I431" s="27">
        <v>46424.54</v>
      </c>
      <c r="J431" s="6">
        <v>765</v>
      </c>
      <c r="K431" s="6">
        <v>2360</v>
      </c>
      <c r="L431" s="27">
        <v>7.438627450980392</v>
      </c>
      <c r="M431" s="27">
        <v>19.671415254237289</v>
      </c>
      <c r="N431" s="34">
        <v>67.566396799999993</v>
      </c>
    </row>
    <row r="432" spans="1:14" x14ac:dyDescent="0.35">
      <c r="A432" s="82">
        <v>429</v>
      </c>
      <c r="B432" s="89" t="str">
        <f>_xlfn.XLOOKUP(A432,'Model Modeshare by TAZ'!A:A,'Model Modeshare by TAZ'!B:B)</f>
        <v>Palo Alto</v>
      </c>
      <c r="C432" s="90" t="str">
        <f>_xlfn.XLOOKUP(A432,'Model Modeshare by TAZ'!A:A,'Model Modeshare by TAZ'!D:D)</f>
        <v>NO</v>
      </c>
      <c r="D432" s="27">
        <v>7493.03</v>
      </c>
      <c r="E432" s="27">
        <v>205692.01</v>
      </c>
      <c r="F432" s="27">
        <v>0</v>
      </c>
      <c r="G432" s="27">
        <v>0</v>
      </c>
      <c r="H432" s="27">
        <v>1392.95</v>
      </c>
      <c r="I432" s="27">
        <v>26097.21</v>
      </c>
      <c r="J432" s="6">
        <v>0</v>
      </c>
      <c r="K432" s="6">
        <v>1485</v>
      </c>
      <c r="L432" s="27">
        <v>0</v>
      </c>
      <c r="M432" s="27">
        <v>17.573878787878787</v>
      </c>
      <c r="N432" s="34">
        <v>80.065885521885519</v>
      </c>
    </row>
    <row r="433" spans="1:14" x14ac:dyDescent="0.35">
      <c r="A433" s="82">
        <v>430</v>
      </c>
      <c r="B433" s="89" t="str">
        <f>_xlfn.XLOOKUP(A433,'Model Modeshare by TAZ'!A:A,'Model Modeshare by TAZ'!B:B)</f>
        <v>Palo Alto</v>
      </c>
      <c r="C433" s="90" t="str">
        <f>_xlfn.XLOOKUP(A433,'Model Modeshare by TAZ'!A:A,'Model Modeshare by TAZ'!D:D)</f>
        <v>NO</v>
      </c>
      <c r="D433" s="27">
        <v>2810.5</v>
      </c>
      <c r="E433" s="27">
        <v>90464.84</v>
      </c>
      <c r="F433" s="27">
        <v>81.53</v>
      </c>
      <c r="G433" s="27">
        <v>661.49</v>
      </c>
      <c r="H433" s="27">
        <v>814.9</v>
      </c>
      <c r="I433" s="27">
        <v>14943.59</v>
      </c>
      <c r="J433" s="6">
        <v>78</v>
      </c>
      <c r="K433" s="6">
        <v>1199</v>
      </c>
      <c r="L433" s="27">
        <v>8.4806410256410256</v>
      </c>
      <c r="M433" s="27">
        <v>12.463377814845705</v>
      </c>
      <c r="N433" s="34">
        <v>39.699444009397027</v>
      </c>
    </row>
    <row r="434" spans="1:14" x14ac:dyDescent="0.35">
      <c r="A434" s="82">
        <v>431</v>
      </c>
      <c r="B434" s="89" t="str">
        <f>_xlfn.XLOOKUP(A434,'Model Modeshare by TAZ'!A:A,'Model Modeshare by TAZ'!B:B)</f>
        <v>Palo Alto</v>
      </c>
      <c r="C434" s="90" t="str">
        <f>_xlfn.XLOOKUP(A434,'Model Modeshare by TAZ'!A:A,'Model Modeshare by TAZ'!D:D)</f>
        <v>NO</v>
      </c>
      <c r="D434" s="27">
        <v>1049.3499999999999</v>
      </c>
      <c r="E434" s="27">
        <v>30283.78</v>
      </c>
      <c r="F434" s="27">
        <v>0.32</v>
      </c>
      <c r="G434" s="27">
        <v>3.34</v>
      </c>
      <c r="H434" s="27">
        <v>752.03</v>
      </c>
      <c r="I434" s="27">
        <v>13758.63</v>
      </c>
      <c r="J434" s="6">
        <v>9</v>
      </c>
      <c r="K434" s="6">
        <v>1176</v>
      </c>
      <c r="L434" s="27">
        <v>0.37111111111111111</v>
      </c>
      <c r="M434" s="27">
        <v>11.699515306122448</v>
      </c>
      <c r="N434" s="34">
        <v>46.522978902953589</v>
      </c>
    </row>
    <row r="435" spans="1:14" x14ac:dyDescent="0.35">
      <c r="A435" s="82">
        <v>432</v>
      </c>
      <c r="B435" s="89" t="str">
        <f>_xlfn.XLOOKUP(A435,'Model Modeshare by TAZ'!A:A,'Model Modeshare by TAZ'!B:B)</f>
        <v>Palo Alto</v>
      </c>
      <c r="C435" s="90" t="str">
        <f>_xlfn.XLOOKUP(A435,'Model Modeshare by TAZ'!A:A,'Model Modeshare by TAZ'!D:D)</f>
        <v>NO</v>
      </c>
      <c r="D435" s="27">
        <v>2675.66</v>
      </c>
      <c r="E435" s="27">
        <v>77144.33</v>
      </c>
      <c r="F435" s="27">
        <v>21.36</v>
      </c>
      <c r="G435" s="27">
        <v>167.93</v>
      </c>
      <c r="H435" s="27">
        <v>381.3</v>
      </c>
      <c r="I435" s="27">
        <v>6714.61</v>
      </c>
      <c r="J435" s="6">
        <v>22</v>
      </c>
      <c r="K435" s="6">
        <v>418</v>
      </c>
      <c r="L435" s="27">
        <v>7.6331818181818187</v>
      </c>
      <c r="M435" s="27">
        <v>16.063660287081341</v>
      </c>
      <c r="N435" s="34">
        <v>76.654863636363629</v>
      </c>
    </row>
    <row r="436" spans="1:14" x14ac:dyDescent="0.35">
      <c r="A436" s="82">
        <v>433</v>
      </c>
      <c r="B436" s="89" t="str">
        <f>_xlfn.XLOOKUP(A436,'Model Modeshare by TAZ'!A:A,'Model Modeshare by TAZ'!B:B)</f>
        <v>Palo Alto</v>
      </c>
      <c r="C436" s="90" t="str">
        <f>_xlfn.XLOOKUP(A436,'Model Modeshare by TAZ'!A:A,'Model Modeshare by TAZ'!D:D)</f>
        <v>NO</v>
      </c>
      <c r="D436" s="27">
        <v>781.54</v>
      </c>
      <c r="E436" s="27">
        <v>22060.09</v>
      </c>
      <c r="F436" s="27">
        <v>64.52</v>
      </c>
      <c r="G436" s="27">
        <v>528.70000000000005</v>
      </c>
      <c r="H436" s="27">
        <v>568.53</v>
      </c>
      <c r="I436" s="27">
        <v>10488.87</v>
      </c>
      <c r="J436" s="6">
        <v>58</v>
      </c>
      <c r="K436" s="6">
        <v>819</v>
      </c>
      <c r="L436" s="27">
        <v>9.1155172413793117</v>
      </c>
      <c r="M436" s="27">
        <v>12.806923076923077</v>
      </c>
      <c r="N436" s="34">
        <v>42.855153933865452</v>
      </c>
    </row>
    <row r="437" spans="1:14" x14ac:dyDescent="0.35">
      <c r="A437" s="82">
        <v>434</v>
      </c>
      <c r="B437" s="89" t="str">
        <f>_xlfn.XLOOKUP(A437,'Model Modeshare by TAZ'!A:A,'Model Modeshare by TAZ'!B:B)</f>
        <v>Palo Alto</v>
      </c>
      <c r="C437" s="90" t="str">
        <f>_xlfn.XLOOKUP(A437,'Model Modeshare by TAZ'!A:A,'Model Modeshare by TAZ'!D:D)</f>
        <v>NO</v>
      </c>
      <c r="D437" s="27">
        <v>989.94</v>
      </c>
      <c r="E437" s="27">
        <v>28667.43</v>
      </c>
      <c r="F437" s="27">
        <v>76.709999999999994</v>
      </c>
      <c r="G437" s="27">
        <v>614.9</v>
      </c>
      <c r="H437" s="27">
        <v>712.9</v>
      </c>
      <c r="I437" s="27">
        <v>12570.87</v>
      </c>
      <c r="J437" s="6">
        <v>60</v>
      </c>
      <c r="K437" s="6">
        <v>795</v>
      </c>
      <c r="L437" s="27">
        <v>10.248333333333333</v>
      </c>
      <c r="M437" s="27">
        <v>15.812415094339624</v>
      </c>
      <c r="N437" s="34">
        <v>48.699508771929828</v>
      </c>
    </row>
    <row r="438" spans="1:14" x14ac:dyDescent="0.35">
      <c r="A438" s="82">
        <v>435</v>
      </c>
      <c r="B438" s="89" t="str">
        <f>_xlfn.XLOOKUP(A438,'Model Modeshare by TAZ'!A:A,'Model Modeshare by TAZ'!B:B)</f>
        <v>Palo Alto</v>
      </c>
      <c r="C438" s="90" t="str">
        <f>_xlfn.XLOOKUP(A438,'Model Modeshare by TAZ'!A:A,'Model Modeshare by TAZ'!D:D)</f>
        <v>NO</v>
      </c>
      <c r="D438" s="27">
        <v>1271.2</v>
      </c>
      <c r="E438" s="27">
        <v>36255.230000000003</v>
      </c>
      <c r="F438" s="27">
        <v>58.33</v>
      </c>
      <c r="G438" s="27">
        <v>474.09</v>
      </c>
      <c r="H438" s="27">
        <v>385.71</v>
      </c>
      <c r="I438" s="27">
        <v>6873.37</v>
      </c>
      <c r="J438" s="6">
        <v>50</v>
      </c>
      <c r="K438" s="6">
        <v>397</v>
      </c>
      <c r="L438" s="27">
        <v>9.4817999999999998</v>
      </c>
      <c r="M438" s="27">
        <v>17.313274559193953</v>
      </c>
      <c r="N438" s="34">
        <v>61.51565995525727</v>
      </c>
    </row>
    <row r="439" spans="1:14" x14ac:dyDescent="0.35">
      <c r="A439" s="82">
        <v>436</v>
      </c>
      <c r="B439" s="89" t="str">
        <f>_xlfn.XLOOKUP(A439,'Model Modeshare by TAZ'!A:A,'Model Modeshare by TAZ'!B:B)</f>
        <v>Palo Alto</v>
      </c>
      <c r="C439" s="90" t="str">
        <f>_xlfn.XLOOKUP(A439,'Model Modeshare by TAZ'!A:A,'Model Modeshare by TAZ'!D:D)</f>
        <v>NO</v>
      </c>
      <c r="D439" s="27">
        <v>2247.09</v>
      </c>
      <c r="E439" s="27">
        <v>59140.75</v>
      </c>
      <c r="F439" s="27">
        <v>706.41</v>
      </c>
      <c r="G439" s="27">
        <v>6144.93</v>
      </c>
      <c r="H439" s="27">
        <v>1518.3</v>
      </c>
      <c r="I439" s="27">
        <v>28782.26</v>
      </c>
      <c r="J439" s="6">
        <v>739</v>
      </c>
      <c r="K439" s="6">
        <v>2051</v>
      </c>
      <c r="L439" s="27">
        <v>8.315196211096076</v>
      </c>
      <c r="M439" s="27">
        <v>14.033281326182349</v>
      </c>
      <c r="N439" s="34">
        <v>36.50130465949821</v>
      </c>
    </row>
    <row r="440" spans="1:14" x14ac:dyDescent="0.35">
      <c r="A440" s="82">
        <v>437</v>
      </c>
      <c r="B440" s="89" t="str">
        <f>_xlfn.XLOOKUP(A440,'Model Modeshare by TAZ'!A:A,'Model Modeshare by TAZ'!B:B)</f>
        <v>Palo Alto</v>
      </c>
      <c r="C440" s="90" t="str">
        <f>_xlfn.XLOOKUP(A440,'Model Modeshare by TAZ'!A:A,'Model Modeshare by TAZ'!D:D)</f>
        <v>NO</v>
      </c>
      <c r="D440" s="27">
        <v>1169.27</v>
      </c>
      <c r="E440" s="27">
        <v>33984.61</v>
      </c>
      <c r="F440" s="27">
        <v>212.98</v>
      </c>
      <c r="G440" s="27">
        <v>1774.78</v>
      </c>
      <c r="H440" s="27">
        <v>802.68</v>
      </c>
      <c r="I440" s="27">
        <v>15068.76</v>
      </c>
      <c r="J440" s="6">
        <v>202</v>
      </c>
      <c r="K440" s="6">
        <v>1004</v>
      </c>
      <c r="L440" s="27">
        <v>8.7860396039603952</v>
      </c>
      <c r="M440" s="27">
        <v>15.008725099601595</v>
      </c>
      <c r="N440" s="34">
        <v>42.675215588723049</v>
      </c>
    </row>
    <row r="441" spans="1:14" x14ac:dyDescent="0.35">
      <c r="A441" s="82">
        <v>438</v>
      </c>
      <c r="B441" s="89" t="str">
        <f>_xlfn.XLOOKUP(A441,'Model Modeshare by TAZ'!A:A,'Model Modeshare by TAZ'!B:B)</f>
        <v>Palo Alto</v>
      </c>
      <c r="C441" s="90" t="str">
        <f>_xlfn.XLOOKUP(A441,'Model Modeshare by TAZ'!A:A,'Model Modeshare by TAZ'!D:D)</f>
        <v>NO</v>
      </c>
      <c r="D441" s="27">
        <v>2929.71</v>
      </c>
      <c r="E441" s="27">
        <v>92370.84</v>
      </c>
      <c r="F441" s="27">
        <v>12.53</v>
      </c>
      <c r="G441" s="27">
        <v>135.55000000000001</v>
      </c>
      <c r="H441" s="27">
        <v>1550.2</v>
      </c>
      <c r="I441" s="27">
        <v>27726.11</v>
      </c>
      <c r="J441" s="6">
        <v>2</v>
      </c>
      <c r="K441" s="6">
        <v>1343</v>
      </c>
      <c r="L441" s="27">
        <v>67.775000000000006</v>
      </c>
      <c r="M441" s="27">
        <v>20.644906924795237</v>
      </c>
      <c r="N441" s="34">
        <v>48.022639405204458</v>
      </c>
    </row>
    <row r="442" spans="1:14" x14ac:dyDescent="0.35">
      <c r="A442" s="82">
        <v>439</v>
      </c>
      <c r="B442" s="89" t="str">
        <f>_xlfn.XLOOKUP(A442,'Model Modeshare by TAZ'!A:A,'Model Modeshare by TAZ'!B:B)</f>
        <v>Palo Alto</v>
      </c>
      <c r="C442" s="90" t="str">
        <f>_xlfn.XLOOKUP(A442,'Model Modeshare by TAZ'!A:A,'Model Modeshare by TAZ'!D:D)</f>
        <v>NO</v>
      </c>
      <c r="D442" s="27">
        <v>886.9</v>
      </c>
      <c r="E442" s="27">
        <v>11056.23</v>
      </c>
      <c r="F442" s="27">
        <v>883.48</v>
      </c>
      <c r="G442" s="27">
        <v>5388.02</v>
      </c>
      <c r="H442" s="27">
        <v>40.71</v>
      </c>
      <c r="I442" s="27">
        <v>657.14</v>
      </c>
      <c r="J442" s="6">
        <v>610</v>
      </c>
      <c r="K442" s="6">
        <v>23</v>
      </c>
      <c r="L442" s="27">
        <v>8.8328196721311478</v>
      </c>
      <c r="M442" s="27">
        <v>28.571304347826086</v>
      </c>
      <c r="N442" s="34">
        <v>16.512654028436021</v>
      </c>
    </row>
    <row r="443" spans="1:14" x14ac:dyDescent="0.35">
      <c r="A443" s="82">
        <v>440</v>
      </c>
      <c r="B443" s="89" t="str">
        <f>_xlfn.XLOOKUP(A443,'Model Modeshare by TAZ'!A:A,'Model Modeshare by TAZ'!B:B)</f>
        <v>Palo Alto</v>
      </c>
      <c r="C443" s="90" t="str">
        <f>_xlfn.XLOOKUP(A443,'Model Modeshare by TAZ'!A:A,'Model Modeshare by TAZ'!D:D)</f>
        <v>NO</v>
      </c>
      <c r="D443" s="27">
        <v>639.65</v>
      </c>
      <c r="E443" s="27">
        <v>12545.36</v>
      </c>
      <c r="F443" s="27">
        <v>62.31</v>
      </c>
      <c r="G443" s="27">
        <v>327.02999999999997</v>
      </c>
      <c r="H443" s="27">
        <v>593.91</v>
      </c>
      <c r="I443" s="27">
        <v>9602.33</v>
      </c>
      <c r="J443" s="6">
        <v>55</v>
      </c>
      <c r="K443" s="6">
        <v>599</v>
      </c>
      <c r="L443" s="27">
        <v>5.9459999999999997</v>
      </c>
      <c r="M443" s="27">
        <v>16.030601001669449</v>
      </c>
      <c r="N443" s="34">
        <v>28.584281345565749</v>
      </c>
    </row>
    <row r="444" spans="1:14" x14ac:dyDescent="0.35">
      <c r="A444" s="82">
        <v>441</v>
      </c>
      <c r="B444" s="89" t="str">
        <f>_xlfn.XLOOKUP(A444,'Model Modeshare by TAZ'!A:A,'Model Modeshare by TAZ'!B:B)</f>
        <v>Palo Alto</v>
      </c>
      <c r="C444" s="90" t="str">
        <f>_xlfn.XLOOKUP(A444,'Model Modeshare by TAZ'!A:A,'Model Modeshare by TAZ'!D:D)</f>
        <v>NO</v>
      </c>
      <c r="D444" s="27">
        <v>611.07000000000005</v>
      </c>
      <c r="E444" s="27">
        <v>10977.27</v>
      </c>
      <c r="F444" s="27">
        <v>338.15</v>
      </c>
      <c r="G444" s="27">
        <v>1859.93</v>
      </c>
      <c r="H444" s="27">
        <v>117.58</v>
      </c>
      <c r="I444" s="27">
        <v>1966.09</v>
      </c>
      <c r="J444" s="6">
        <v>303</v>
      </c>
      <c r="K444" s="6">
        <v>112</v>
      </c>
      <c r="L444" s="27">
        <v>6.138382838283829</v>
      </c>
      <c r="M444" s="27">
        <v>17.554375</v>
      </c>
      <c r="N444" s="34">
        <v>17.998650602409636</v>
      </c>
    </row>
    <row r="445" spans="1:14" x14ac:dyDescent="0.35">
      <c r="A445" s="82">
        <v>442</v>
      </c>
      <c r="B445" s="89" t="str">
        <f>_xlfn.XLOOKUP(A445,'Model Modeshare by TAZ'!A:A,'Model Modeshare by TAZ'!B:B)</f>
        <v>Palo Alto</v>
      </c>
      <c r="C445" s="90" t="str">
        <f>_xlfn.XLOOKUP(A445,'Model Modeshare by TAZ'!A:A,'Model Modeshare by TAZ'!D:D)</f>
        <v>NO</v>
      </c>
      <c r="D445" s="27">
        <v>1095.54</v>
      </c>
      <c r="E445" s="27">
        <v>21750.99</v>
      </c>
      <c r="F445" s="27">
        <v>88.59</v>
      </c>
      <c r="G445" s="27">
        <v>466.38</v>
      </c>
      <c r="H445" s="27">
        <v>817.52</v>
      </c>
      <c r="I445" s="27">
        <v>13166.94</v>
      </c>
      <c r="J445" s="6">
        <v>82</v>
      </c>
      <c r="K445" s="6">
        <v>884</v>
      </c>
      <c r="L445" s="27">
        <v>5.687560975609756</v>
      </c>
      <c r="M445" s="27">
        <v>14.894728506787331</v>
      </c>
      <c r="N445" s="34">
        <v>27.104213250517596</v>
      </c>
    </row>
    <row r="446" spans="1:14" x14ac:dyDescent="0.35">
      <c r="A446" s="82">
        <v>443</v>
      </c>
      <c r="B446" s="89" t="str">
        <f>_xlfn.XLOOKUP(A446,'Model Modeshare by TAZ'!A:A,'Model Modeshare by TAZ'!B:B)</f>
        <v>Palo Alto</v>
      </c>
      <c r="C446" s="90" t="str">
        <f>_xlfn.XLOOKUP(A446,'Model Modeshare by TAZ'!A:A,'Model Modeshare by TAZ'!D:D)</f>
        <v>NO</v>
      </c>
      <c r="D446" s="27">
        <v>2570.1</v>
      </c>
      <c r="E446" s="27">
        <v>79237.41</v>
      </c>
      <c r="F446" s="27">
        <v>202.28</v>
      </c>
      <c r="G446" s="27">
        <v>1591.74</v>
      </c>
      <c r="H446" s="27">
        <v>3938.52</v>
      </c>
      <c r="I446" s="27">
        <v>75806.22</v>
      </c>
      <c r="J446" s="6">
        <v>217</v>
      </c>
      <c r="K446" s="6">
        <v>4462</v>
      </c>
      <c r="L446" s="27">
        <v>7.3352073732718894</v>
      </c>
      <c r="M446" s="27">
        <v>16.98929179740027</v>
      </c>
      <c r="N446" s="34">
        <v>37.49233169480658</v>
      </c>
    </row>
    <row r="447" spans="1:14" x14ac:dyDescent="0.35">
      <c r="A447" s="82">
        <v>444</v>
      </c>
      <c r="B447" s="89" t="str">
        <f>_xlfn.XLOOKUP(A447,'Model Modeshare by TAZ'!A:A,'Model Modeshare by TAZ'!B:B)</f>
        <v>Palo Alto</v>
      </c>
      <c r="C447" s="90" t="str">
        <f>_xlfn.XLOOKUP(A447,'Model Modeshare by TAZ'!A:A,'Model Modeshare by TAZ'!D:D)</f>
        <v>NO</v>
      </c>
      <c r="D447" s="27">
        <v>10802.62</v>
      </c>
      <c r="E447" s="27">
        <v>348883.09</v>
      </c>
      <c r="F447" s="27">
        <v>0</v>
      </c>
      <c r="G447" s="27">
        <v>0</v>
      </c>
      <c r="H447" s="27">
        <v>4085.23</v>
      </c>
      <c r="I447" s="27">
        <v>81844.070000000007</v>
      </c>
      <c r="J447" s="6">
        <v>0</v>
      </c>
      <c r="K447" s="6">
        <v>4466</v>
      </c>
      <c r="L447" s="27">
        <v>0</v>
      </c>
      <c r="M447" s="27">
        <v>18.326034482758622</v>
      </c>
      <c r="N447" s="34">
        <v>44.093712494402148</v>
      </c>
    </row>
    <row r="448" spans="1:14" x14ac:dyDescent="0.35">
      <c r="A448" s="82">
        <v>445</v>
      </c>
      <c r="B448" s="89" t="str">
        <f>_xlfn.XLOOKUP(A448,'Model Modeshare by TAZ'!A:A,'Model Modeshare by TAZ'!B:B)</f>
        <v>Unincorporated</v>
      </c>
      <c r="C448" s="90" t="str">
        <f>_xlfn.XLOOKUP(A448,'Model Modeshare by TAZ'!A:A,'Model Modeshare by TAZ'!D:D)</f>
        <v>NO</v>
      </c>
      <c r="D448" s="27">
        <v>5942.4</v>
      </c>
      <c r="E448" s="27">
        <v>196076.79</v>
      </c>
      <c r="F448" s="27">
        <v>0</v>
      </c>
      <c r="G448" s="27">
        <v>0</v>
      </c>
      <c r="H448" s="27">
        <v>1079.76</v>
      </c>
      <c r="I448" s="27">
        <v>21089.71</v>
      </c>
      <c r="J448" s="6">
        <v>0</v>
      </c>
      <c r="K448" s="6">
        <v>1133</v>
      </c>
      <c r="L448" s="27">
        <v>0</v>
      </c>
      <c r="M448" s="27">
        <v>18.614042365401588</v>
      </c>
      <c r="N448" s="34">
        <v>86.572621359223305</v>
      </c>
    </row>
    <row r="449" spans="1:14" x14ac:dyDescent="0.35">
      <c r="A449" s="82">
        <v>446</v>
      </c>
      <c r="B449" s="89" t="str">
        <f>_xlfn.XLOOKUP(A449,'Model Modeshare by TAZ'!A:A,'Model Modeshare by TAZ'!B:B)</f>
        <v>Unincorporated</v>
      </c>
      <c r="C449" s="90" t="str">
        <f>_xlfn.XLOOKUP(A449,'Model Modeshare by TAZ'!A:A,'Model Modeshare by TAZ'!D:D)</f>
        <v>NO</v>
      </c>
      <c r="D449" s="27">
        <v>8.2100000000000009</v>
      </c>
      <c r="E449" s="27">
        <v>301.43</v>
      </c>
      <c r="F449" s="27">
        <v>0</v>
      </c>
      <c r="G449" s="27">
        <v>0</v>
      </c>
      <c r="H449" s="27">
        <v>7.61</v>
      </c>
      <c r="I449" s="27">
        <v>154.21</v>
      </c>
      <c r="J449" s="6">
        <v>0</v>
      </c>
      <c r="K449" s="6">
        <v>6</v>
      </c>
      <c r="L449" s="27">
        <v>0</v>
      </c>
      <c r="M449" s="27">
        <v>25.701666666666668</v>
      </c>
      <c r="N449" s="34">
        <v>10.058333333333334</v>
      </c>
    </row>
    <row r="450" spans="1:14" x14ac:dyDescent="0.35">
      <c r="A450" s="82">
        <v>447</v>
      </c>
      <c r="B450" s="89" t="str">
        <f>_xlfn.XLOOKUP(A450,'Model Modeshare by TAZ'!A:A,'Model Modeshare by TAZ'!B:B)</f>
        <v>Unincorporated</v>
      </c>
      <c r="C450" s="90" t="str">
        <f>_xlfn.XLOOKUP(A450,'Model Modeshare by TAZ'!A:A,'Model Modeshare by TAZ'!D:D)</f>
        <v>NO</v>
      </c>
      <c r="D450" s="27">
        <v>6401.93</v>
      </c>
      <c r="E450" s="27">
        <v>233832.95</v>
      </c>
      <c r="F450" s="27">
        <v>79.819999999999993</v>
      </c>
      <c r="G450" s="27">
        <v>834.15</v>
      </c>
      <c r="H450" s="27">
        <v>1038.0999999999999</v>
      </c>
      <c r="I450" s="27">
        <v>21647.27</v>
      </c>
      <c r="J450" s="6">
        <v>33</v>
      </c>
      <c r="K450" s="6">
        <v>1058</v>
      </c>
      <c r="L450" s="27">
        <v>25.277272727272727</v>
      </c>
      <c r="M450" s="27">
        <v>20.460557655954631</v>
      </c>
      <c r="N450" s="34">
        <v>127.02948670944089</v>
      </c>
    </row>
    <row r="451" spans="1:14" x14ac:dyDescent="0.35">
      <c r="A451" s="82">
        <v>448</v>
      </c>
      <c r="B451" s="89" t="str">
        <f>_xlfn.XLOOKUP(A451,'Model Modeshare by TAZ'!A:A,'Model Modeshare by TAZ'!B:B)</f>
        <v>Unincorporated</v>
      </c>
      <c r="C451" s="90" t="str">
        <f>_xlfn.XLOOKUP(A451,'Model Modeshare by TAZ'!A:A,'Model Modeshare by TAZ'!D:D)</f>
        <v>NO</v>
      </c>
      <c r="D451" s="27">
        <v>5186.55</v>
      </c>
      <c r="E451" s="27">
        <v>205494.1</v>
      </c>
      <c r="F451" s="27">
        <v>0</v>
      </c>
      <c r="G451" s="27">
        <v>0</v>
      </c>
      <c r="H451" s="27">
        <v>4521.0600000000004</v>
      </c>
      <c r="I451" s="27">
        <v>92742.52</v>
      </c>
      <c r="J451" s="6">
        <v>5</v>
      </c>
      <c r="K451" s="6">
        <v>4869</v>
      </c>
      <c r="L451" s="27">
        <v>0</v>
      </c>
      <c r="M451" s="27">
        <v>19.047549804888067</v>
      </c>
      <c r="N451" s="34">
        <v>78.935186704965119</v>
      </c>
    </row>
    <row r="452" spans="1:14" x14ac:dyDescent="0.35">
      <c r="A452" s="82">
        <v>449</v>
      </c>
      <c r="B452" s="89" t="str">
        <f>_xlfn.XLOOKUP(A452,'Model Modeshare by TAZ'!A:A,'Model Modeshare by TAZ'!B:B)</f>
        <v>Unincorporated</v>
      </c>
      <c r="C452" s="90" t="str">
        <f>_xlfn.XLOOKUP(A452,'Model Modeshare by TAZ'!A:A,'Model Modeshare by TAZ'!D:D)</f>
        <v>NO</v>
      </c>
      <c r="D452" s="27">
        <v>326.38</v>
      </c>
      <c r="E452" s="27">
        <v>14243.26</v>
      </c>
      <c r="F452" s="27">
        <v>3.93</v>
      </c>
      <c r="G452" s="27">
        <v>39.14</v>
      </c>
      <c r="H452" s="27">
        <v>117.54</v>
      </c>
      <c r="I452" s="27">
        <v>2318.94</v>
      </c>
      <c r="J452" s="6">
        <v>7</v>
      </c>
      <c r="K452" s="6">
        <v>115</v>
      </c>
      <c r="L452" s="27">
        <v>5.5914285714285716</v>
      </c>
      <c r="M452" s="27">
        <v>20.164695652173915</v>
      </c>
      <c r="N452" s="34">
        <v>174.35975409836064</v>
      </c>
    </row>
    <row r="453" spans="1:14" x14ac:dyDescent="0.35">
      <c r="A453" s="82">
        <v>450</v>
      </c>
      <c r="B453" s="89" t="str">
        <f>_xlfn.XLOOKUP(A453,'Model Modeshare by TAZ'!A:A,'Model Modeshare by TAZ'!B:B)</f>
        <v>Unincorporated</v>
      </c>
      <c r="C453" s="90" t="str">
        <f>_xlfn.XLOOKUP(A453,'Model Modeshare by TAZ'!A:A,'Model Modeshare by TAZ'!D:D)</f>
        <v>NO</v>
      </c>
      <c r="D453" s="27">
        <v>2433.21</v>
      </c>
      <c r="E453" s="27">
        <v>81723.53</v>
      </c>
      <c r="F453" s="27">
        <v>0</v>
      </c>
      <c r="G453" s="27">
        <v>0</v>
      </c>
      <c r="H453" s="27">
        <v>2792.97</v>
      </c>
      <c r="I453" s="27">
        <v>54577.19</v>
      </c>
      <c r="J453" s="6">
        <v>0</v>
      </c>
      <c r="K453" s="6">
        <v>3190</v>
      </c>
      <c r="L453" s="27">
        <v>0</v>
      </c>
      <c r="M453" s="27">
        <v>17.108836990595613</v>
      </c>
      <c r="N453" s="34">
        <v>52.296909090909097</v>
      </c>
    </row>
    <row r="454" spans="1:14" x14ac:dyDescent="0.35">
      <c r="A454" s="82">
        <v>451</v>
      </c>
      <c r="B454" s="89" t="str">
        <f>_xlfn.XLOOKUP(A454,'Model Modeshare by TAZ'!A:A,'Model Modeshare by TAZ'!B:B)</f>
        <v>Los Altos Hills</v>
      </c>
      <c r="C454" s="90" t="str">
        <f>_xlfn.XLOOKUP(A454,'Model Modeshare by TAZ'!A:A,'Model Modeshare by TAZ'!D:D)</f>
        <v>NO</v>
      </c>
      <c r="D454" s="27">
        <v>3869.89</v>
      </c>
      <c r="E454" s="27">
        <v>102742.16</v>
      </c>
      <c r="F454" s="27">
        <v>3885.23</v>
      </c>
      <c r="G454" s="27">
        <v>43882.23</v>
      </c>
      <c r="H454" s="27">
        <v>23.52</v>
      </c>
      <c r="I454" s="27">
        <v>499.61</v>
      </c>
      <c r="J454" s="6">
        <v>2109</v>
      </c>
      <c r="K454" s="6">
        <v>12</v>
      </c>
      <c r="L454" s="27">
        <v>20.807126600284498</v>
      </c>
      <c r="M454" s="27">
        <v>41.634166666666665</v>
      </c>
      <c r="N454" s="34">
        <v>40.830669495520986</v>
      </c>
    </row>
    <row r="455" spans="1:14" x14ac:dyDescent="0.35">
      <c r="A455" s="82">
        <v>452</v>
      </c>
      <c r="B455" s="89" t="str">
        <f>_xlfn.XLOOKUP(A455,'Model Modeshare by TAZ'!A:A,'Model Modeshare by TAZ'!B:B)</f>
        <v>Los Altos Hills</v>
      </c>
      <c r="C455" s="90" t="str">
        <f>_xlfn.XLOOKUP(A455,'Model Modeshare by TAZ'!A:A,'Model Modeshare by TAZ'!D:D)</f>
        <v>NO</v>
      </c>
      <c r="D455" s="27">
        <v>10114.48</v>
      </c>
      <c r="E455" s="27">
        <v>536957.39</v>
      </c>
      <c r="F455" s="27">
        <v>195.08</v>
      </c>
      <c r="G455" s="27">
        <v>2106.7600000000002</v>
      </c>
      <c r="H455" s="27">
        <v>1035.9000000000001</v>
      </c>
      <c r="I455" s="27">
        <v>20547.57</v>
      </c>
      <c r="J455" s="6">
        <v>114</v>
      </c>
      <c r="K455" s="6">
        <v>813</v>
      </c>
      <c r="L455" s="27">
        <v>18.480350877192983</v>
      </c>
      <c r="M455" s="27">
        <v>25.273763837638377</v>
      </c>
      <c r="N455" s="34">
        <v>612.88020496224374</v>
      </c>
    </row>
    <row r="456" spans="1:14" x14ac:dyDescent="0.35">
      <c r="A456" s="82">
        <v>453</v>
      </c>
      <c r="B456" s="89" t="str">
        <f>_xlfn.XLOOKUP(A456,'Model Modeshare by TAZ'!A:A,'Model Modeshare by TAZ'!B:B)</f>
        <v>Los Altos Hills</v>
      </c>
      <c r="C456" s="90" t="str">
        <f>_xlfn.XLOOKUP(A456,'Model Modeshare by TAZ'!A:A,'Model Modeshare by TAZ'!D:D)</f>
        <v>NO</v>
      </c>
      <c r="D456" s="27">
        <v>1488.66</v>
      </c>
      <c r="E456" s="27">
        <v>30467.57</v>
      </c>
      <c r="F456" s="27">
        <v>1237.19</v>
      </c>
      <c r="G456" s="27">
        <v>9525.3799999999992</v>
      </c>
      <c r="H456" s="27">
        <v>368.86</v>
      </c>
      <c r="I456" s="27">
        <v>6339.61</v>
      </c>
      <c r="J456" s="6">
        <v>717</v>
      </c>
      <c r="K456" s="6">
        <v>269</v>
      </c>
      <c r="L456" s="27">
        <v>13.285048814504881</v>
      </c>
      <c r="M456" s="27">
        <v>23.567323420074349</v>
      </c>
      <c r="N456" s="34">
        <v>31.801977687626774</v>
      </c>
    </row>
    <row r="457" spans="1:14" x14ac:dyDescent="0.35">
      <c r="A457" s="82">
        <v>454</v>
      </c>
      <c r="B457" s="89" t="str">
        <f>_xlfn.XLOOKUP(A457,'Model Modeshare by TAZ'!A:A,'Model Modeshare by TAZ'!B:B)</f>
        <v>Los Altos Hills</v>
      </c>
      <c r="C457" s="90" t="str">
        <f>_xlfn.XLOOKUP(A457,'Model Modeshare by TAZ'!A:A,'Model Modeshare by TAZ'!D:D)</f>
        <v>NO</v>
      </c>
      <c r="D457" s="27">
        <v>2537.54</v>
      </c>
      <c r="E457" s="27">
        <v>59052.54</v>
      </c>
      <c r="F457" s="27">
        <v>1666.4</v>
      </c>
      <c r="G457" s="27">
        <v>13426.51</v>
      </c>
      <c r="H457" s="27">
        <v>1157.6600000000001</v>
      </c>
      <c r="I457" s="27">
        <v>20695.849999999999</v>
      </c>
      <c r="J457" s="6">
        <v>976</v>
      </c>
      <c r="K457" s="6">
        <v>892</v>
      </c>
      <c r="L457" s="27">
        <v>13.756670081967213</v>
      </c>
      <c r="M457" s="27">
        <v>23.201625560538115</v>
      </c>
      <c r="N457" s="34">
        <v>39.106879014989289</v>
      </c>
    </row>
    <row r="458" spans="1:14" x14ac:dyDescent="0.35">
      <c r="A458" s="82">
        <v>455</v>
      </c>
      <c r="B458" s="89" t="str">
        <f>_xlfn.XLOOKUP(A458,'Model Modeshare by TAZ'!A:A,'Model Modeshare by TAZ'!B:B)</f>
        <v>Los Altos Hills</v>
      </c>
      <c r="C458" s="90" t="str">
        <f>_xlfn.XLOOKUP(A458,'Model Modeshare by TAZ'!A:A,'Model Modeshare by TAZ'!D:D)</f>
        <v>NO</v>
      </c>
      <c r="D458" s="27">
        <v>3076.82</v>
      </c>
      <c r="E458" s="27">
        <v>61393.64</v>
      </c>
      <c r="F458" s="27">
        <v>1680.03</v>
      </c>
      <c r="G458" s="27">
        <v>12031.72</v>
      </c>
      <c r="H458" s="27">
        <v>451.78</v>
      </c>
      <c r="I458" s="27">
        <v>7578.95</v>
      </c>
      <c r="J458" s="6">
        <v>1004</v>
      </c>
      <c r="K458" s="6">
        <v>332</v>
      </c>
      <c r="L458" s="27">
        <v>11.983784860557769</v>
      </c>
      <c r="M458" s="27">
        <v>22.828162650602408</v>
      </c>
      <c r="N458" s="34">
        <v>29.68511976047904</v>
      </c>
    </row>
    <row r="459" spans="1:14" x14ac:dyDescent="0.35">
      <c r="A459" s="82">
        <v>456</v>
      </c>
      <c r="B459" s="89" t="str">
        <f>_xlfn.XLOOKUP(A459,'Model Modeshare by TAZ'!A:A,'Model Modeshare by TAZ'!B:B)</f>
        <v>Mountain View</v>
      </c>
      <c r="C459" s="90" t="str">
        <f>_xlfn.XLOOKUP(A459,'Model Modeshare by TAZ'!A:A,'Model Modeshare by TAZ'!D:D)</f>
        <v>NO</v>
      </c>
      <c r="D459" s="27">
        <v>9851.19</v>
      </c>
      <c r="E459" s="27">
        <v>273712.64000000001</v>
      </c>
      <c r="F459" s="27">
        <v>588.04999999999995</v>
      </c>
      <c r="G459" s="27">
        <v>4812.6099999999997</v>
      </c>
      <c r="H459" s="27">
        <v>2471.36</v>
      </c>
      <c r="I459" s="27">
        <v>41547.56</v>
      </c>
      <c r="J459" s="6">
        <v>337</v>
      </c>
      <c r="K459" s="6">
        <v>2275</v>
      </c>
      <c r="L459" s="27">
        <v>14.28074183976261</v>
      </c>
      <c r="M459" s="27">
        <v>18.262663736263736</v>
      </c>
      <c r="N459" s="34">
        <v>53.562821592649307</v>
      </c>
    </row>
    <row r="460" spans="1:14" x14ac:dyDescent="0.35">
      <c r="A460" s="82">
        <v>457</v>
      </c>
      <c r="B460" s="89" t="str">
        <f>_xlfn.XLOOKUP(A460,'Model Modeshare by TAZ'!A:A,'Model Modeshare by TAZ'!B:B)</f>
        <v>Palo Alto</v>
      </c>
      <c r="C460" s="90" t="str">
        <f>_xlfn.XLOOKUP(A460,'Model Modeshare by TAZ'!A:A,'Model Modeshare by TAZ'!D:D)</f>
        <v>NO</v>
      </c>
      <c r="D460" s="27">
        <v>1742.36</v>
      </c>
      <c r="E460" s="27">
        <v>36748.550000000003</v>
      </c>
      <c r="F460" s="27">
        <v>263.73</v>
      </c>
      <c r="G460" s="27">
        <v>1843.31</v>
      </c>
      <c r="H460" s="27">
        <v>529.58000000000004</v>
      </c>
      <c r="I460" s="27">
        <v>9130.6299999999992</v>
      </c>
      <c r="J460" s="6">
        <v>201</v>
      </c>
      <c r="K460" s="6">
        <v>520</v>
      </c>
      <c r="L460" s="27">
        <v>9.1706965174129351</v>
      </c>
      <c r="M460" s="27">
        <v>17.558903846153843</v>
      </c>
      <c r="N460" s="34">
        <v>40.634660194174756</v>
      </c>
    </row>
    <row r="461" spans="1:14" x14ac:dyDescent="0.35">
      <c r="A461" s="82">
        <v>458</v>
      </c>
      <c r="B461" s="89" t="str">
        <f>_xlfn.XLOOKUP(A461,'Model Modeshare by TAZ'!A:A,'Model Modeshare by TAZ'!B:B)</f>
        <v>Palo Alto</v>
      </c>
      <c r="C461" s="90" t="str">
        <f>_xlfn.XLOOKUP(A461,'Model Modeshare by TAZ'!A:A,'Model Modeshare by TAZ'!D:D)</f>
        <v>NO</v>
      </c>
      <c r="D461" s="27">
        <v>2365.91</v>
      </c>
      <c r="E461" s="27">
        <v>73028.62</v>
      </c>
      <c r="F461" s="27">
        <v>0</v>
      </c>
      <c r="G461" s="27">
        <v>0</v>
      </c>
      <c r="H461" s="27">
        <v>2122.71</v>
      </c>
      <c r="I461" s="27">
        <v>39510.49</v>
      </c>
      <c r="J461" s="6">
        <v>3</v>
      </c>
      <c r="K461" s="6">
        <v>1998</v>
      </c>
      <c r="L461" s="27">
        <v>0</v>
      </c>
      <c r="M461" s="27">
        <v>19.775020020020019</v>
      </c>
      <c r="N461" s="34">
        <v>47.441549225387305</v>
      </c>
    </row>
    <row r="462" spans="1:14" x14ac:dyDescent="0.35">
      <c r="A462" s="82">
        <v>459</v>
      </c>
      <c r="B462" s="89" t="str">
        <f>_xlfn.XLOOKUP(A462,'Model Modeshare by TAZ'!A:A,'Model Modeshare by TAZ'!B:B)</f>
        <v>Unincorporated</v>
      </c>
      <c r="C462" s="90" t="str">
        <f>_xlfn.XLOOKUP(A462,'Model Modeshare by TAZ'!A:A,'Model Modeshare by TAZ'!D:D)</f>
        <v>NO</v>
      </c>
      <c r="D462" s="27">
        <v>214.68</v>
      </c>
      <c r="E462" s="27">
        <v>12279.6</v>
      </c>
      <c r="F462" s="27">
        <v>123.95</v>
      </c>
      <c r="G462" s="27">
        <v>1081.95</v>
      </c>
      <c r="H462" s="27">
        <v>8.01</v>
      </c>
      <c r="I462" s="27">
        <v>171.22</v>
      </c>
      <c r="J462" s="6">
        <v>426</v>
      </c>
      <c r="K462" s="6">
        <v>6</v>
      </c>
      <c r="L462" s="27">
        <v>2.5397887323943662</v>
      </c>
      <c r="M462" s="27">
        <v>28.536666666666665</v>
      </c>
      <c r="N462" s="34">
        <v>38.777453703703706</v>
      </c>
    </row>
    <row r="463" spans="1:14" x14ac:dyDescent="0.35">
      <c r="A463" s="82">
        <v>460</v>
      </c>
      <c r="B463" s="89" t="str">
        <f>_xlfn.XLOOKUP(A463,'Model Modeshare by TAZ'!A:A,'Model Modeshare by TAZ'!B:B)</f>
        <v>Palo Alto</v>
      </c>
      <c r="C463" s="90" t="str">
        <f>_xlfn.XLOOKUP(A463,'Model Modeshare by TAZ'!A:A,'Model Modeshare by TAZ'!D:D)</f>
        <v>NO</v>
      </c>
      <c r="D463" s="27">
        <v>1662.24</v>
      </c>
      <c r="E463" s="27">
        <v>35836.67</v>
      </c>
      <c r="F463" s="27">
        <v>1309.96</v>
      </c>
      <c r="G463" s="27">
        <v>10033.52</v>
      </c>
      <c r="H463" s="27">
        <v>201.36</v>
      </c>
      <c r="I463" s="27">
        <v>3543.05</v>
      </c>
      <c r="J463" s="6">
        <v>1017</v>
      </c>
      <c r="K463" s="6">
        <v>123</v>
      </c>
      <c r="L463" s="27">
        <v>9.8658013765978367</v>
      </c>
      <c r="M463" s="27">
        <v>28.805284552845531</v>
      </c>
      <c r="N463" s="34">
        <v>28.627026315789475</v>
      </c>
    </row>
    <row r="464" spans="1:14" x14ac:dyDescent="0.35">
      <c r="A464" s="82">
        <v>461</v>
      </c>
      <c r="B464" s="89" t="str">
        <f>_xlfn.XLOOKUP(A464,'Model Modeshare by TAZ'!A:A,'Model Modeshare by TAZ'!B:B)</f>
        <v>Unincorporated</v>
      </c>
      <c r="C464" s="90" t="str">
        <f>_xlfn.XLOOKUP(A464,'Model Modeshare by TAZ'!A:A,'Model Modeshare by TAZ'!D:D)</f>
        <v>NO</v>
      </c>
      <c r="D464" s="27">
        <v>2631.53</v>
      </c>
      <c r="E464" s="27">
        <v>94665.42</v>
      </c>
      <c r="F464" s="27">
        <v>956.12</v>
      </c>
      <c r="G464" s="27">
        <v>8892.4</v>
      </c>
      <c r="H464" s="27">
        <v>1003.48</v>
      </c>
      <c r="I464" s="27">
        <v>19982.07</v>
      </c>
      <c r="J464" s="6">
        <v>2867</v>
      </c>
      <c r="K464" s="6">
        <v>1054</v>
      </c>
      <c r="L464" s="27">
        <v>3.1016393442622952</v>
      </c>
      <c r="M464" s="27">
        <v>18.958320683111953</v>
      </c>
      <c r="N464" s="34">
        <v>37.127500637592448</v>
      </c>
    </row>
    <row r="465" spans="1:14" x14ac:dyDescent="0.35">
      <c r="A465" s="82">
        <v>462</v>
      </c>
      <c r="B465" s="89" t="str">
        <f>_xlfn.XLOOKUP(A465,'Model Modeshare by TAZ'!A:A,'Model Modeshare by TAZ'!B:B)</f>
        <v>Unincorporated</v>
      </c>
      <c r="C465" s="90" t="str">
        <f>_xlfn.XLOOKUP(A465,'Model Modeshare by TAZ'!A:A,'Model Modeshare by TAZ'!D:D)</f>
        <v>NO</v>
      </c>
      <c r="D465" s="27">
        <v>1104.5</v>
      </c>
      <c r="E465" s="27">
        <v>46013.45</v>
      </c>
      <c r="F465" s="27">
        <v>515.41999999999996</v>
      </c>
      <c r="G465" s="27">
        <v>5285.91</v>
      </c>
      <c r="H465" s="27">
        <v>9.68</v>
      </c>
      <c r="I465" s="27">
        <v>207.7</v>
      </c>
      <c r="J465" s="6">
        <v>1442</v>
      </c>
      <c r="K465" s="6">
        <v>6</v>
      </c>
      <c r="L465" s="27">
        <v>3.6656796116504853</v>
      </c>
      <c r="M465" s="27">
        <v>34.616666666666667</v>
      </c>
      <c r="N465" s="34">
        <v>35.599102209944753</v>
      </c>
    </row>
    <row r="466" spans="1:14" x14ac:dyDescent="0.35">
      <c r="A466" s="82">
        <v>463</v>
      </c>
      <c r="B466" s="89" t="str">
        <f>_xlfn.XLOOKUP(A466,'Model Modeshare by TAZ'!A:A,'Model Modeshare by TAZ'!B:B)</f>
        <v>Unincorporated</v>
      </c>
      <c r="C466" s="90" t="str">
        <f>_xlfn.XLOOKUP(A466,'Model Modeshare by TAZ'!A:A,'Model Modeshare by TAZ'!D:D)</f>
        <v>NO</v>
      </c>
      <c r="D466" s="27">
        <v>6.28</v>
      </c>
      <c r="E466" s="27">
        <v>217.08</v>
      </c>
      <c r="F466" s="27">
        <v>0</v>
      </c>
      <c r="G466" s="27">
        <v>0</v>
      </c>
      <c r="H466" s="27">
        <v>4.46</v>
      </c>
      <c r="I466" s="27">
        <v>89.21</v>
      </c>
      <c r="J466" s="6">
        <v>0</v>
      </c>
      <c r="K466" s="6">
        <v>5</v>
      </c>
      <c r="L466" s="27">
        <v>0</v>
      </c>
      <c r="M466" s="27">
        <v>17.841999999999999</v>
      </c>
      <c r="N466" s="34">
        <v>4.0939999999999994</v>
      </c>
    </row>
    <row r="467" spans="1:14" x14ac:dyDescent="0.35">
      <c r="A467" s="82">
        <v>464</v>
      </c>
      <c r="B467" s="89" t="str">
        <f>_xlfn.XLOOKUP(A467,'Model Modeshare by TAZ'!A:A,'Model Modeshare by TAZ'!B:B)</f>
        <v>Unincorporated</v>
      </c>
      <c r="C467" s="90" t="str">
        <f>_xlfn.XLOOKUP(A467,'Model Modeshare by TAZ'!A:A,'Model Modeshare by TAZ'!D:D)</f>
        <v>NO</v>
      </c>
      <c r="D467" s="27">
        <v>12.7</v>
      </c>
      <c r="E467" s="27">
        <v>493.51</v>
      </c>
      <c r="F467" s="27">
        <v>0.76</v>
      </c>
      <c r="G467" s="27">
        <v>7.65</v>
      </c>
      <c r="H467" s="27">
        <v>9.4700000000000006</v>
      </c>
      <c r="I467" s="27">
        <v>197.48</v>
      </c>
      <c r="J467" s="6">
        <v>0</v>
      </c>
      <c r="K467" s="6">
        <v>8</v>
      </c>
      <c r="L467" s="27">
        <v>0</v>
      </c>
      <c r="M467" s="27">
        <v>24.684999999999999</v>
      </c>
      <c r="N467" s="34">
        <v>14.03875</v>
      </c>
    </row>
    <row r="468" spans="1:14" x14ac:dyDescent="0.35">
      <c r="A468" s="82">
        <v>465</v>
      </c>
      <c r="B468" s="89" t="str">
        <f>_xlfn.XLOOKUP(A468,'Model Modeshare by TAZ'!A:A,'Model Modeshare by TAZ'!B:B)</f>
        <v>Palo Alto</v>
      </c>
      <c r="C468" s="90" t="str">
        <f>_xlfn.XLOOKUP(A468,'Model Modeshare by TAZ'!A:A,'Model Modeshare by TAZ'!D:D)</f>
        <v>NO</v>
      </c>
      <c r="D468" s="27">
        <v>2027.72</v>
      </c>
      <c r="E468" s="27">
        <v>46087.41</v>
      </c>
      <c r="F468" s="27">
        <v>1012.06</v>
      </c>
      <c r="G468" s="27">
        <v>7380.1</v>
      </c>
      <c r="H468" s="27">
        <v>0</v>
      </c>
      <c r="I468" s="27">
        <v>0</v>
      </c>
      <c r="J468" s="6">
        <v>995</v>
      </c>
      <c r="K468" s="6">
        <v>0</v>
      </c>
      <c r="L468" s="27">
        <v>7.4171859296482419</v>
      </c>
      <c r="M468" s="27">
        <v>0</v>
      </c>
      <c r="N468" s="34">
        <v>16.385718592964825</v>
      </c>
    </row>
    <row r="469" spans="1:14" x14ac:dyDescent="0.35">
      <c r="A469" s="82">
        <v>466</v>
      </c>
      <c r="B469" s="89" t="str">
        <f>_xlfn.XLOOKUP(A469,'Model Modeshare by TAZ'!A:A,'Model Modeshare by TAZ'!B:B)</f>
        <v>Palo Alto</v>
      </c>
      <c r="C469" s="90" t="str">
        <f>_xlfn.XLOOKUP(A469,'Model Modeshare by TAZ'!A:A,'Model Modeshare by TAZ'!D:D)</f>
        <v>NO</v>
      </c>
      <c r="D469" s="27">
        <v>4954.1499999999996</v>
      </c>
      <c r="E469" s="27">
        <v>126076.19</v>
      </c>
      <c r="F469" s="27">
        <v>1684.87</v>
      </c>
      <c r="G469" s="27">
        <v>13036.96</v>
      </c>
      <c r="H469" s="27">
        <v>2303.6799999999998</v>
      </c>
      <c r="I469" s="27">
        <v>39743.47</v>
      </c>
      <c r="J469" s="6">
        <v>1533</v>
      </c>
      <c r="K469" s="6">
        <v>2363</v>
      </c>
      <c r="L469" s="27">
        <v>8.5042139595564255</v>
      </c>
      <c r="M469" s="27">
        <v>16.819073212018623</v>
      </c>
      <c r="N469" s="34">
        <v>38.919312114989737</v>
      </c>
    </row>
    <row r="470" spans="1:14" x14ac:dyDescent="0.35">
      <c r="A470" s="82">
        <v>467</v>
      </c>
      <c r="B470" s="89" t="str">
        <f>_xlfn.XLOOKUP(A470,'Model Modeshare by TAZ'!A:A,'Model Modeshare by TAZ'!B:B)</f>
        <v>Palo Alto</v>
      </c>
      <c r="C470" s="90" t="str">
        <f>_xlfn.XLOOKUP(A470,'Model Modeshare by TAZ'!A:A,'Model Modeshare by TAZ'!D:D)</f>
        <v>NO</v>
      </c>
      <c r="D470" s="27">
        <v>1954.74</v>
      </c>
      <c r="E470" s="27">
        <v>25349.200000000001</v>
      </c>
      <c r="F470" s="27">
        <v>1530.89</v>
      </c>
      <c r="G470" s="27">
        <v>7851.96</v>
      </c>
      <c r="H470" s="27">
        <v>954</v>
      </c>
      <c r="I470" s="27">
        <v>14990.97</v>
      </c>
      <c r="J470" s="6">
        <v>1044</v>
      </c>
      <c r="K470" s="6">
        <v>888</v>
      </c>
      <c r="L470" s="27">
        <v>7.5210344827586209</v>
      </c>
      <c r="M470" s="27">
        <v>16.881722972972973</v>
      </c>
      <c r="N470" s="34">
        <v>24.735217391304349</v>
      </c>
    </row>
    <row r="471" spans="1:14" x14ac:dyDescent="0.35">
      <c r="A471" s="82">
        <v>468</v>
      </c>
      <c r="B471" s="89" t="str">
        <f>_xlfn.XLOOKUP(A471,'Model Modeshare by TAZ'!A:A,'Model Modeshare by TAZ'!B:B)</f>
        <v>Palo Alto</v>
      </c>
      <c r="C471" s="90" t="str">
        <f>_xlfn.XLOOKUP(A471,'Model Modeshare by TAZ'!A:A,'Model Modeshare by TAZ'!D:D)</f>
        <v>NO</v>
      </c>
      <c r="D471" s="27">
        <v>1308.48</v>
      </c>
      <c r="E471" s="27">
        <v>18338.41</v>
      </c>
      <c r="F471" s="27">
        <v>1389.75</v>
      </c>
      <c r="G471" s="27">
        <v>8544</v>
      </c>
      <c r="H471" s="27">
        <v>29.7</v>
      </c>
      <c r="I471" s="27">
        <v>483.89</v>
      </c>
      <c r="J471" s="6">
        <v>863</v>
      </c>
      <c r="K471" s="6">
        <v>16</v>
      </c>
      <c r="L471" s="27">
        <v>9.9003476245654696</v>
      </c>
      <c r="M471" s="27">
        <v>30.243124999999999</v>
      </c>
      <c r="N471" s="34">
        <v>17.05133105802048</v>
      </c>
    </row>
    <row r="472" spans="1:14" x14ac:dyDescent="0.35">
      <c r="A472" s="82">
        <v>469</v>
      </c>
      <c r="B472" s="89" t="str">
        <f>_xlfn.XLOOKUP(A472,'Model Modeshare by TAZ'!A:A,'Model Modeshare by TAZ'!B:B)</f>
        <v>Palo Alto</v>
      </c>
      <c r="C472" s="90" t="str">
        <f>_xlfn.XLOOKUP(A472,'Model Modeshare by TAZ'!A:A,'Model Modeshare by TAZ'!D:D)</f>
        <v>NO</v>
      </c>
      <c r="D472" s="27">
        <v>2446.42</v>
      </c>
      <c r="E472" s="27">
        <v>25500.13</v>
      </c>
      <c r="F472" s="27">
        <v>2431.0700000000002</v>
      </c>
      <c r="G472" s="27">
        <v>13200.71</v>
      </c>
      <c r="H472" s="27">
        <v>79.97</v>
      </c>
      <c r="I472" s="27">
        <v>1238.7</v>
      </c>
      <c r="J472" s="6">
        <v>1713</v>
      </c>
      <c r="K472" s="6">
        <v>47</v>
      </c>
      <c r="L472" s="27">
        <v>7.7061938120256857</v>
      </c>
      <c r="M472" s="27">
        <v>26.355319148936172</v>
      </c>
      <c r="N472" s="34">
        <v>10.819573863636364</v>
      </c>
    </row>
    <row r="473" spans="1:14" x14ac:dyDescent="0.35">
      <c r="A473" s="82">
        <v>470</v>
      </c>
      <c r="B473" s="89" t="str">
        <f>_xlfn.XLOOKUP(A473,'Model Modeshare by TAZ'!A:A,'Model Modeshare by TAZ'!B:B)</f>
        <v>Palo Alto</v>
      </c>
      <c r="C473" s="90" t="str">
        <f>_xlfn.XLOOKUP(A473,'Model Modeshare by TAZ'!A:A,'Model Modeshare by TAZ'!D:D)</f>
        <v>NO</v>
      </c>
      <c r="D473" s="27">
        <v>398.68</v>
      </c>
      <c r="E473" s="27">
        <v>3036.2</v>
      </c>
      <c r="F473" s="27">
        <v>393.82</v>
      </c>
      <c r="G473" s="27">
        <v>1700.66</v>
      </c>
      <c r="H473" s="27">
        <v>40.520000000000003</v>
      </c>
      <c r="I473" s="27">
        <v>654.75</v>
      </c>
      <c r="J473" s="6">
        <v>299</v>
      </c>
      <c r="K473" s="6">
        <v>26</v>
      </c>
      <c r="L473" s="27">
        <v>5.6878260869565223</v>
      </c>
      <c r="M473" s="27">
        <v>25.182692307692307</v>
      </c>
      <c r="N473" s="34">
        <v>8.7615999999999996</v>
      </c>
    </row>
    <row r="474" spans="1:14" x14ac:dyDescent="0.35">
      <c r="A474" s="82">
        <v>471</v>
      </c>
      <c r="B474" s="89" t="str">
        <f>_xlfn.XLOOKUP(A474,'Model Modeshare by TAZ'!A:A,'Model Modeshare by TAZ'!B:B)</f>
        <v>Palo Alto</v>
      </c>
      <c r="C474" s="90" t="str">
        <f>_xlfn.XLOOKUP(A474,'Model Modeshare by TAZ'!A:A,'Model Modeshare by TAZ'!D:D)</f>
        <v>NO</v>
      </c>
      <c r="D474" s="27">
        <v>1114.17</v>
      </c>
      <c r="E474" s="27">
        <v>9199.9599999999991</v>
      </c>
      <c r="F474" s="27">
        <v>1148.8699999999999</v>
      </c>
      <c r="G474" s="27">
        <v>5462.71</v>
      </c>
      <c r="H474" s="27">
        <v>89.92</v>
      </c>
      <c r="I474" s="27">
        <v>1410.94</v>
      </c>
      <c r="J474" s="6">
        <v>874</v>
      </c>
      <c r="K474" s="6">
        <v>53</v>
      </c>
      <c r="L474" s="27">
        <v>6.250240274599542</v>
      </c>
      <c r="M474" s="27">
        <v>26.621509433962267</v>
      </c>
      <c r="N474" s="34">
        <v>9.4327615965480049</v>
      </c>
    </row>
    <row r="475" spans="1:14" x14ac:dyDescent="0.35">
      <c r="A475" s="82">
        <v>472</v>
      </c>
      <c r="B475" s="89" t="str">
        <f>_xlfn.XLOOKUP(A475,'Model Modeshare by TAZ'!A:A,'Model Modeshare by TAZ'!B:B)</f>
        <v>Palo Alto</v>
      </c>
      <c r="C475" s="90" t="str">
        <f>_xlfn.XLOOKUP(A475,'Model Modeshare by TAZ'!A:A,'Model Modeshare by TAZ'!D:D)</f>
        <v>NO</v>
      </c>
      <c r="D475" s="27">
        <v>1528.04</v>
      </c>
      <c r="E475" s="27">
        <v>20042.68</v>
      </c>
      <c r="F475" s="27">
        <v>1308.05</v>
      </c>
      <c r="G475" s="27">
        <v>8156.16</v>
      </c>
      <c r="H475" s="27">
        <v>742.53</v>
      </c>
      <c r="I475" s="27">
        <v>11970.16</v>
      </c>
      <c r="J475" s="6">
        <v>941</v>
      </c>
      <c r="K475" s="6">
        <v>706</v>
      </c>
      <c r="L475" s="27">
        <v>8.6675451647183852</v>
      </c>
      <c r="M475" s="27">
        <v>16.954900849858358</v>
      </c>
      <c r="N475" s="34">
        <v>34.439811778992109</v>
      </c>
    </row>
    <row r="476" spans="1:14" x14ac:dyDescent="0.35">
      <c r="A476" s="82">
        <v>473</v>
      </c>
      <c r="B476" s="89" t="str">
        <f>_xlfn.XLOOKUP(A476,'Model Modeshare by TAZ'!A:A,'Model Modeshare by TAZ'!B:B)</f>
        <v>Palo Alto</v>
      </c>
      <c r="C476" s="90" t="str">
        <f>_xlfn.XLOOKUP(A476,'Model Modeshare by TAZ'!A:A,'Model Modeshare by TAZ'!D:D)</f>
        <v>NO</v>
      </c>
      <c r="D476" s="27">
        <v>4234.3900000000003</v>
      </c>
      <c r="E476" s="27">
        <v>107084.65</v>
      </c>
      <c r="F476" s="27">
        <v>1445.09</v>
      </c>
      <c r="G476" s="27">
        <v>11211.4</v>
      </c>
      <c r="H476" s="27">
        <v>2889.77</v>
      </c>
      <c r="I476" s="27">
        <v>48147.16</v>
      </c>
      <c r="J476" s="6">
        <v>935</v>
      </c>
      <c r="K476" s="6">
        <v>2621</v>
      </c>
      <c r="L476" s="27">
        <v>11.990802139037433</v>
      </c>
      <c r="M476" s="27">
        <v>18.369767264402903</v>
      </c>
      <c r="N476" s="34">
        <v>36.293866704161978</v>
      </c>
    </row>
    <row r="477" spans="1:14" x14ac:dyDescent="0.35">
      <c r="A477" s="82">
        <v>474</v>
      </c>
      <c r="B477" s="89" t="str">
        <f>_xlfn.XLOOKUP(A477,'Model Modeshare by TAZ'!A:A,'Model Modeshare by TAZ'!B:B)</f>
        <v>Palo Alto</v>
      </c>
      <c r="C477" s="90" t="str">
        <f>_xlfn.XLOOKUP(A477,'Model Modeshare by TAZ'!A:A,'Model Modeshare by TAZ'!D:D)</f>
        <v>NO</v>
      </c>
      <c r="D477" s="27">
        <v>1566.97</v>
      </c>
      <c r="E477" s="27">
        <v>18329.48</v>
      </c>
      <c r="F477" s="27">
        <v>1552.92</v>
      </c>
      <c r="G477" s="27">
        <v>9031.43</v>
      </c>
      <c r="H477" s="27">
        <v>153.22</v>
      </c>
      <c r="I477" s="27">
        <v>2540.2800000000002</v>
      </c>
      <c r="J477" s="6">
        <v>1087</v>
      </c>
      <c r="K477" s="6">
        <v>92</v>
      </c>
      <c r="L477" s="27">
        <v>8.3085832566697331</v>
      </c>
      <c r="M477" s="27">
        <v>27.611739130434785</v>
      </c>
      <c r="N477" s="34">
        <v>13.913765903307889</v>
      </c>
    </row>
    <row r="478" spans="1:14" x14ac:dyDescent="0.35">
      <c r="A478" s="82">
        <v>475</v>
      </c>
      <c r="B478" s="89" t="str">
        <f>_xlfn.XLOOKUP(A478,'Model Modeshare by TAZ'!A:A,'Model Modeshare by TAZ'!B:B)</f>
        <v>Palo Alto</v>
      </c>
      <c r="C478" s="90" t="str">
        <f>_xlfn.XLOOKUP(A478,'Model Modeshare by TAZ'!A:A,'Model Modeshare by TAZ'!D:D)</f>
        <v>NO</v>
      </c>
      <c r="D478" s="27">
        <v>3474.25</v>
      </c>
      <c r="E478" s="27">
        <v>45601.62</v>
      </c>
      <c r="F478" s="27">
        <v>3251.56</v>
      </c>
      <c r="G478" s="27">
        <v>19951.14</v>
      </c>
      <c r="H478" s="27">
        <v>601.09</v>
      </c>
      <c r="I478" s="27">
        <v>9725.14</v>
      </c>
      <c r="J478" s="6">
        <v>2361</v>
      </c>
      <c r="K478" s="6">
        <v>443</v>
      </c>
      <c r="L478" s="27">
        <v>8.4502922490470134</v>
      </c>
      <c r="M478" s="27">
        <v>21.952911963882617</v>
      </c>
      <c r="N478" s="34">
        <v>16.292111269614836</v>
      </c>
    </row>
    <row r="479" spans="1:14" x14ac:dyDescent="0.35">
      <c r="A479" s="82">
        <v>476</v>
      </c>
      <c r="B479" s="89" t="str">
        <f>_xlfn.XLOOKUP(A479,'Model Modeshare by TAZ'!A:A,'Model Modeshare by TAZ'!B:B)</f>
        <v>Palo Alto</v>
      </c>
      <c r="C479" s="90" t="str">
        <f>_xlfn.XLOOKUP(A479,'Model Modeshare by TAZ'!A:A,'Model Modeshare by TAZ'!D:D)</f>
        <v>NO</v>
      </c>
      <c r="D479" s="27">
        <v>317.27</v>
      </c>
      <c r="E479" s="27">
        <v>5133.6099999999997</v>
      </c>
      <c r="F479" s="27">
        <v>344.57</v>
      </c>
      <c r="G479" s="27">
        <v>2207.56</v>
      </c>
      <c r="H479" s="27">
        <v>33.1</v>
      </c>
      <c r="I479" s="27">
        <v>537.95000000000005</v>
      </c>
      <c r="J479" s="6">
        <v>208</v>
      </c>
      <c r="K479" s="6">
        <v>17</v>
      </c>
      <c r="L479" s="27">
        <v>10.61326923076923</v>
      </c>
      <c r="M479" s="27">
        <v>31.644117647058827</v>
      </c>
      <c r="N479" s="34">
        <v>23.449555555555555</v>
      </c>
    </row>
    <row r="480" spans="1:14" x14ac:dyDescent="0.35">
      <c r="A480" s="82">
        <v>477</v>
      </c>
      <c r="B480" s="89" t="str">
        <f>_xlfn.XLOOKUP(A480,'Model Modeshare by TAZ'!A:A,'Model Modeshare by TAZ'!B:B)</f>
        <v>Palo Alto</v>
      </c>
      <c r="C480" s="90" t="str">
        <f>_xlfn.XLOOKUP(A480,'Model Modeshare by TAZ'!A:A,'Model Modeshare by TAZ'!D:D)</f>
        <v>NO</v>
      </c>
      <c r="D480" s="27">
        <v>2193.25</v>
      </c>
      <c r="E480" s="27">
        <v>67192.09</v>
      </c>
      <c r="F480" s="27">
        <v>0</v>
      </c>
      <c r="G480" s="27">
        <v>0</v>
      </c>
      <c r="H480" s="27">
        <v>1436.81</v>
      </c>
      <c r="I480" s="27">
        <v>24540.68</v>
      </c>
      <c r="J480" s="6">
        <v>0</v>
      </c>
      <c r="K480" s="6">
        <v>1308</v>
      </c>
      <c r="L480" s="27">
        <v>0</v>
      </c>
      <c r="M480" s="27">
        <v>18.761987767584099</v>
      </c>
      <c r="N480" s="34">
        <v>37.374388379204888</v>
      </c>
    </row>
    <row r="481" spans="1:14" x14ac:dyDescent="0.35">
      <c r="A481" s="82">
        <v>478</v>
      </c>
      <c r="B481" s="89" t="str">
        <f>_xlfn.XLOOKUP(A481,'Model Modeshare by TAZ'!A:A,'Model Modeshare by TAZ'!B:B)</f>
        <v>Unincorporated</v>
      </c>
      <c r="C481" s="90" t="str">
        <f>_xlfn.XLOOKUP(A481,'Model Modeshare by TAZ'!A:A,'Model Modeshare by TAZ'!D:D)</f>
        <v>NO</v>
      </c>
      <c r="D481" s="27">
        <v>581.24</v>
      </c>
      <c r="E481" s="27">
        <v>18478.349999999999</v>
      </c>
      <c r="F481" s="27">
        <v>310.47000000000003</v>
      </c>
      <c r="G481" s="27">
        <v>3755.15</v>
      </c>
      <c r="H481" s="27">
        <v>72.69</v>
      </c>
      <c r="I481" s="27">
        <v>1529.26</v>
      </c>
      <c r="J481" s="6">
        <v>171</v>
      </c>
      <c r="K481" s="6">
        <v>52</v>
      </c>
      <c r="L481" s="27">
        <v>21.959941520467837</v>
      </c>
      <c r="M481" s="27">
        <v>29.408846153846152</v>
      </c>
      <c r="N481" s="34">
        <v>46.462869955156947</v>
      </c>
    </row>
    <row r="482" spans="1:14" x14ac:dyDescent="0.35">
      <c r="A482" s="82">
        <v>479</v>
      </c>
      <c r="B482" s="89" t="str">
        <f>_xlfn.XLOOKUP(A482,'Model Modeshare by TAZ'!A:A,'Model Modeshare by TAZ'!B:B)</f>
        <v>Palo Alto</v>
      </c>
      <c r="C482" s="90" t="str">
        <f>_xlfn.XLOOKUP(A482,'Model Modeshare by TAZ'!A:A,'Model Modeshare by TAZ'!D:D)</f>
        <v>NO</v>
      </c>
      <c r="D482" s="27">
        <v>849.13</v>
      </c>
      <c r="E482" s="27">
        <v>26215.52</v>
      </c>
      <c r="F482" s="27">
        <v>1038.23</v>
      </c>
      <c r="G482" s="27">
        <v>12166.48</v>
      </c>
      <c r="H482" s="27">
        <v>126.49</v>
      </c>
      <c r="I482" s="27">
        <v>2874.45</v>
      </c>
      <c r="J482" s="6">
        <v>588</v>
      </c>
      <c r="K482" s="6">
        <v>77</v>
      </c>
      <c r="L482" s="27">
        <v>20.691292517006801</v>
      </c>
      <c r="M482" s="27">
        <v>37.330519480519477</v>
      </c>
      <c r="N482" s="34">
        <v>44.301263157894738</v>
      </c>
    </row>
    <row r="483" spans="1:14" x14ac:dyDescent="0.35">
      <c r="A483" s="82">
        <v>480</v>
      </c>
      <c r="B483" s="89" t="str">
        <f>_xlfn.XLOOKUP(A483,'Model Modeshare by TAZ'!A:A,'Model Modeshare by TAZ'!B:B)</f>
        <v>Palo Alto</v>
      </c>
      <c r="C483" s="90" t="str">
        <f>_xlfn.XLOOKUP(A483,'Model Modeshare by TAZ'!A:A,'Model Modeshare by TAZ'!D:D)</f>
        <v>NO</v>
      </c>
      <c r="D483" s="27">
        <v>5400.21</v>
      </c>
      <c r="E483" s="27">
        <v>162859.72</v>
      </c>
      <c r="F483" s="27">
        <v>0</v>
      </c>
      <c r="G483" s="27">
        <v>0</v>
      </c>
      <c r="H483" s="27">
        <v>4603.28</v>
      </c>
      <c r="I483" s="27">
        <v>85933.35</v>
      </c>
      <c r="J483" s="6">
        <v>1</v>
      </c>
      <c r="K483" s="6">
        <v>3902</v>
      </c>
      <c r="L483" s="27">
        <v>0</v>
      </c>
      <c r="M483" s="27">
        <v>22.022898513582781</v>
      </c>
      <c r="N483" s="34">
        <v>49.089054573405072</v>
      </c>
    </row>
    <row r="484" spans="1:14" x14ac:dyDescent="0.35">
      <c r="A484" s="82">
        <v>481</v>
      </c>
      <c r="B484" s="89" t="str">
        <f>_xlfn.XLOOKUP(A484,'Model Modeshare by TAZ'!A:A,'Model Modeshare by TAZ'!B:B)</f>
        <v>Unincorporated</v>
      </c>
      <c r="C484" s="90" t="str">
        <f>_xlfn.XLOOKUP(A484,'Model Modeshare by TAZ'!A:A,'Model Modeshare by TAZ'!D:D)</f>
        <v>NO</v>
      </c>
      <c r="D484" s="27">
        <v>363.94</v>
      </c>
      <c r="E484" s="27">
        <v>8992.65</v>
      </c>
      <c r="F484" s="27">
        <v>318.86</v>
      </c>
      <c r="G484" s="27">
        <v>3074.76</v>
      </c>
      <c r="H484" s="27">
        <v>36.130000000000003</v>
      </c>
      <c r="I484" s="27">
        <v>737.61</v>
      </c>
      <c r="J484" s="6">
        <v>172</v>
      </c>
      <c r="K484" s="6">
        <v>19</v>
      </c>
      <c r="L484" s="27">
        <v>17.876511627906979</v>
      </c>
      <c r="M484" s="27">
        <v>38.821578947368423</v>
      </c>
      <c r="N484" s="34">
        <v>34.722774869109948</v>
      </c>
    </row>
    <row r="485" spans="1:14" x14ac:dyDescent="0.35">
      <c r="A485" s="82">
        <v>482</v>
      </c>
      <c r="B485" s="89" t="str">
        <f>_xlfn.XLOOKUP(A485,'Model Modeshare by TAZ'!A:A,'Model Modeshare by TAZ'!B:B)</f>
        <v>Palo Alto</v>
      </c>
      <c r="C485" s="90" t="str">
        <f>_xlfn.XLOOKUP(A485,'Model Modeshare by TAZ'!A:A,'Model Modeshare by TAZ'!D:D)</f>
        <v>NO</v>
      </c>
      <c r="D485" s="27">
        <v>2283.96</v>
      </c>
      <c r="E485" s="27">
        <v>43408.28</v>
      </c>
      <c r="F485" s="27">
        <v>1800.57</v>
      </c>
      <c r="G485" s="27">
        <v>13014.08</v>
      </c>
      <c r="H485" s="27">
        <v>524.67999999999995</v>
      </c>
      <c r="I485" s="27">
        <v>8519.16</v>
      </c>
      <c r="J485" s="6">
        <v>1184</v>
      </c>
      <c r="K485" s="6">
        <v>466</v>
      </c>
      <c r="L485" s="27">
        <v>10.991621621621622</v>
      </c>
      <c r="M485" s="27">
        <v>18.28145922746781</v>
      </c>
      <c r="N485" s="34">
        <v>27.260048484848486</v>
      </c>
    </row>
    <row r="486" spans="1:14" x14ac:dyDescent="0.35">
      <c r="A486" s="82">
        <v>483</v>
      </c>
      <c r="B486" s="89" t="str">
        <f>_xlfn.XLOOKUP(A486,'Model Modeshare by TAZ'!A:A,'Model Modeshare by TAZ'!B:B)</f>
        <v>Palo Alto</v>
      </c>
      <c r="C486" s="90" t="str">
        <f>_xlfn.XLOOKUP(A486,'Model Modeshare by TAZ'!A:A,'Model Modeshare by TAZ'!D:D)</f>
        <v>NO</v>
      </c>
      <c r="D486" s="27">
        <v>1512.58</v>
      </c>
      <c r="E486" s="27">
        <v>18296.34</v>
      </c>
      <c r="F486" s="27">
        <v>1546.41</v>
      </c>
      <c r="G486" s="27">
        <v>8709.2099999999991</v>
      </c>
      <c r="H486" s="27">
        <v>286.92</v>
      </c>
      <c r="I486" s="27">
        <v>4484.32</v>
      </c>
      <c r="J486" s="6">
        <v>1092</v>
      </c>
      <c r="K486" s="6">
        <v>204</v>
      </c>
      <c r="L486" s="27">
        <v>7.9754670329670319</v>
      </c>
      <c r="M486" s="27">
        <v>21.981960784313724</v>
      </c>
      <c r="N486" s="34">
        <v>16.919884259259259</v>
      </c>
    </row>
    <row r="487" spans="1:14" x14ac:dyDescent="0.35">
      <c r="A487" s="82">
        <v>484</v>
      </c>
      <c r="B487" s="89" t="str">
        <f>_xlfn.XLOOKUP(A487,'Model Modeshare by TAZ'!A:A,'Model Modeshare by TAZ'!B:B)</f>
        <v>Palo Alto</v>
      </c>
      <c r="C487" s="90" t="str">
        <f>_xlfn.XLOOKUP(A487,'Model Modeshare by TAZ'!A:A,'Model Modeshare by TAZ'!D:D)</f>
        <v>NO</v>
      </c>
      <c r="D487" s="27">
        <v>1080.93</v>
      </c>
      <c r="E487" s="27">
        <v>21389.47</v>
      </c>
      <c r="F487" s="27">
        <v>407.48</v>
      </c>
      <c r="G487" s="27">
        <v>2038.56</v>
      </c>
      <c r="H487" s="27">
        <v>179.03</v>
      </c>
      <c r="I487" s="27">
        <v>2841.03</v>
      </c>
      <c r="J487" s="6">
        <v>299</v>
      </c>
      <c r="K487" s="6">
        <v>163</v>
      </c>
      <c r="L487" s="27">
        <v>6.8179264214046817</v>
      </c>
      <c r="M487" s="27">
        <v>17.429631901840491</v>
      </c>
      <c r="N487" s="34">
        <v>16.36569264069264</v>
      </c>
    </row>
    <row r="488" spans="1:14" x14ac:dyDescent="0.35">
      <c r="A488" s="82">
        <v>485</v>
      </c>
      <c r="B488" s="89" t="str">
        <f>_xlfn.XLOOKUP(A488,'Model Modeshare by TAZ'!A:A,'Model Modeshare by TAZ'!B:B)</f>
        <v>Palo Alto</v>
      </c>
      <c r="C488" s="90" t="str">
        <f>_xlfn.XLOOKUP(A488,'Model Modeshare by TAZ'!A:A,'Model Modeshare by TAZ'!D:D)</f>
        <v>NO</v>
      </c>
      <c r="D488" s="27">
        <v>1340.47</v>
      </c>
      <c r="E488" s="27">
        <v>15209.96</v>
      </c>
      <c r="F488" s="27">
        <v>1046.96</v>
      </c>
      <c r="G488" s="27">
        <v>5707.17</v>
      </c>
      <c r="H488" s="27">
        <v>18.61</v>
      </c>
      <c r="I488" s="27">
        <v>295.29000000000002</v>
      </c>
      <c r="J488" s="6">
        <v>731</v>
      </c>
      <c r="K488" s="6">
        <v>11</v>
      </c>
      <c r="L488" s="27">
        <v>7.8073461012311904</v>
      </c>
      <c r="M488" s="27">
        <v>26.844545454545457</v>
      </c>
      <c r="N488" s="34">
        <v>12.424097035040433</v>
      </c>
    </row>
    <row r="489" spans="1:14" x14ac:dyDescent="0.35">
      <c r="A489" s="82">
        <v>486</v>
      </c>
      <c r="B489" s="89" t="str">
        <f>_xlfn.XLOOKUP(A489,'Model Modeshare by TAZ'!A:A,'Model Modeshare by TAZ'!B:B)</f>
        <v>Palo Alto</v>
      </c>
      <c r="C489" s="90" t="str">
        <f>_xlfn.XLOOKUP(A489,'Model Modeshare by TAZ'!A:A,'Model Modeshare by TAZ'!D:D)</f>
        <v>NO</v>
      </c>
      <c r="D489" s="27">
        <v>1357.44</v>
      </c>
      <c r="E489" s="27">
        <v>22438.51</v>
      </c>
      <c r="F489" s="27">
        <v>1416.69</v>
      </c>
      <c r="G489" s="27">
        <v>10242.879999999999</v>
      </c>
      <c r="H489" s="27">
        <v>82.59</v>
      </c>
      <c r="I489" s="27">
        <v>1375.16</v>
      </c>
      <c r="J489" s="6">
        <v>904</v>
      </c>
      <c r="K489" s="6">
        <v>47</v>
      </c>
      <c r="L489" s="27">
        <v>11.330619469026548</v>
      </c>
      <c r="M489" s="27">
        <v>29.258723404255321</v>
      </c>
      <c r="N489" s="34">
        <v>23.766309148264984</v>
      </c>
    </row>
    <row r="490" spans="1:14" x14ac:dyDescent="0.35">
      <c r="A490" s="82">
        <v>487</v>
      </c>
      <c r="B490" s="89" t="str">
        <f>_xlfn.XLOOKUP(A490,'Model Modeshare by TAZ'!A:A,'Model Modeshare by TAZ'!B:B)</f>
        <v>Palo Alto</v>
      </c>
      <c r="C490" s="90" t="str">
        <f>_xlfn.XLOOKUP(A490,'Model Modeshare by TAZ'!A:A,'Model Modeshare by TAZ'!D:D)</f>
        <v>NO</v>
      </c>
      <c r="D490" s="27">
        <v>2503.09</v>
      </c>
      <c r="E490" s="27">
        <v>42613.5</v>
      </c>
      <c r="F490" s="27">
        <v>2319.6999999999998</v>
      </c>
      <c r="G490" s="27">
        <v>16244.97</v>
      </c>
      <c r="H490" s="27">
        <v>180.34</v>
      </c>
      <c r="I490" s="27">
        <v>2935.7</v>
      </c>
      <c r="J490" s="6">
        <v>1476</v>
      </c>
      <c r="K490" s="6">
        <v>105</v>
      </c>
      <c r="L490" s="27">
        <v>11.006077235772358</v>
      </c>
      <c r="M490" s="27">
        <v>27.959047619047617</v>
      </c>
      <c r="N490" s="34">
        <v>22.763630613535739</v>
      </c>
    </row>
    <row r="491" spans="1:14" x14ac:dyDescent="0.35">
      <c r="A491" s="82">
        <v>488</v>
      </c>
      <c r="B491" s="89" t="str">
        <f>_xlfn.XLOOKUP(A491,'Model Modeshare by TAZ'!A:A,'Model Modeshare by TAZ'!B:B)</f>
        <v>Palo Alto</v>
      </c>
      <c r="C491" s="90" t="str">
        <f>_xlfn.XLOOKUP(A491,'Model Modeshare by TAZ'!A:A,'Model Modeshare by TAZ'!D:D)</f>
        <v>NO</v>
      </c>
      <c r="D491" s="27">
        <v>2780.22</v>
      </c>
      <c r="E491" s="27">
        <v>32357.52</v>
      </c>
      <c r="F491" s="27">
        <v>2292.37</v>
      </c>
      <c r="G491" s="27">
        <v>12287.4</v>
      </c>
      <c r="H491" s="27">
        <v>360.61</v>
      </c>
      <c r="I491" s="27">
        <v>5694.56</v>
      </c>
      <c r="J491" s="6">
        <v>1704</v>
      </c>
      <c r="K491" s="6">
        <v>223</v>
      </c>
      <c r="L491" s="27">
        <v>7.2109154929577466</v>
      </c>
      <c r="M491" s="27">
        <v>25.536143497757848</v>
      </c>
      <c r="N491" s="34">
        <v>14.574011416709912</v>
      </c>
    </row>
    <row r="492" spans="1:14" x14ac:dyDescent="0.35">
      <c r="A492" s="82">
        <v>489</v>
      </c>
      <c r="B492" s="89" t="str">
        <f>_xlfn.XLOOKUP(A492,'Model Modeshare by TAZ'!A:A,'Model Modeshare by TAZ'!B:B)</f>
        <v>Palo Alto</v>
      </c>
      <c r="C492" s="90" t="str">
        <f>_xlfn.XLOOKUP(A492,'Model Modeshare by TAZ'!A:A,'Model Modeshare by TAZ'!D:D)</f>
        <v>NO</v>
      </c>
      <c r="D492" s="27">
        <v>2388.88</v>
      </c>
      <c r="E492" s="27">
        <v>26609.23</v>
      </c>
      <c r="F492" s="27">
        <v>1807.72</v>
      </c>
      <c r="G492" s="27">
        <v>9688.4699999999993</v>
      </c>
      <c r="H492" s="27">
        <v>396.83</v>
      </c>
      <c r="I492" s="27">
        <v>6325.91</v>
      </c>
      <c r="J492" s="6">
        <v>1306</v>
      </c>
      <c r="K492" s="6">
        <v>294</v>
      </c>
      <c r="L492" s="27">
        <v>7.4184303215926484</v>
      </c>
      <c r="M492" s="27">
        <v>21.516700680272109</v>
      </c>
      <c r="N492" s="34">
        <v>15.589543750000001</v>
      </c>
    </row>
    <row r="493" spans="1:14" x14ac:dyDescent="0.35">
      <c r="A493" s="82">
        <v>490</v>
      </c>
      <c r="B493" s="89" t="str">
        <f>_xlfn.XLOOKUP(A493,'Model Modeshare by TAZ'!A:A,'Model Modeshare by TAZ'!B:B)</f>
        <v>Palo Alto</v>
      </c>
      <c r="C493" s="90" t="str">
        <f>_xlfn.XLOOKUP(A493,'Model Modeshare by TAZ'!A:A,'Model Modeshare by TAZ'!D:D)</f>
        <v>NO</v>
      </c>
      <c r="D493" s="27">
        <v>858.92</v>
      </c>
      <c r="E493" s="27">
        <v>8175.18</v>
      </c>
      <c r="F493" s="27">
        <v>913.77</v>
      </c>
      <c r="G493" s="27">
        <v>4679.0600000000004</v>
      </c>
      <c r="H493" s="27">
        <v>196.23</v>
      </c>
      <c r="I493" s="27">
        <v>3029.32</v>
      </c>
      <c r="J493" s="6">
        <v>669</v>
      </c>
      <c r="K493" s="6">
        <v>139</v>
      </c>
      <c r="L493" s="27">
        <v>6.9941106128550077</v>
      </c>
      <c r="M493" s="27">
        <v>21.793669064748201</v>
      </c>
      <c r="N493" s="34">
        <v>12.946039603960395</v>
      </c>
    </row>
    <row r="494" spans="1:14" x14ac:dyDescent="0.35">
      <c r="A494" s="82">
        <v>491</v>
      </c>
      <c r="B494" s="89" t="str">
        <f>_xlfn.XLOOKUP(A494,'Model Modeshare by TAZ'!A:A,'Model Modeshare by TAZ'!B:B)</f>
        <v>Palo Alto</v>
      </c>
      <c r="C494" s="90" t="str">
        <f>_xlfn.XLOOKUP(A494,'Model Modeshare by TAZ'!A:A,'Model Modeshare by TAZ'!D:D)</f>
        <v>NO</v>
      </c>
      <c r="D494" s="27">
        <v>1734.48</v>
      </c>
      <c r="E494" s="27">
        <v>18159.849999999999</v>
      </c>
      <c r="F494" s="27">
        <v>1641.85</v>
      </c>
      <c r="G494" s="27">
        <v>8166.51</v>
      </c>
      <c r="H494" s="27">
        <v>458.54</v>
      </c>
      <c r="I494" s="27">
        <v>7012.25</v>
      </c>
      <c r="J494" s="6">
        <v>1294</v>
      </c>
      <c r="K494" s="6">
        <v>332</v>
      </c>
      <c r="L494" s="27">
        <v>6.3110587326120555</v>
      </c>
      <c r="M494" s="27">
        <v>21.121234939759034</v>
      </c>
      <c r="N494" s="34">
        <v>12.577687576875769</v>
      </c>
    </row>
    <row r="495" spans="1:14" x14ac:dyDescent="0.35">
      <c r="A495" s="82">
        <v>492</v>
      </c>
      <c r="B495" s="89" t="str">
        <f>_xlfn.XLOOKUP(A495,'Model Modeshare by TAZ'!A:A,'Model Modeshare by TAZ'!B:B)</f>
        <v>Palo Alto</v>
      </c>
      <c r="C495" s="90" t="str">
        <f>_xlfn.XLOOKUP(A495,'Model Modeshare by TAZ'!A:A,'Model Modeshare by TAZ'!D:D)</f>
        <v>NO</v>
      </c>
      <c r="D495" s="27">
        <v>1941.94</v>
      </c>
      <c r="E495" s="27">
        <v>19811.86</v>
      </c>
      <c r="F495" s="27">
        <v>1717.25</v>
      </c>
      <c r="G495" s="27">
        <v>8080.14</v>
      </c>
      <c r="H495" s="27">
        <v>65.209999999999994</v>
      </c>
      <c r="I495" s="27">
        <v>1002.76</v>
      </c>
      <c r="J495" s="6">
        <v>1241</v>
      </c>
      <c r="K495" s="6">
        <v>39</v>
      </c>
      <c r="L495" s="27">
        <v>6.5109911361804995</v>
      </c>
      <c r="M495" s="27">
        <v>25.711794871794872</v>
      </c>
      <c r="N495" s="34">
        <v>11.36671875</v>
      </c>
    </row>
    <row r="496" spans="1:14" x14ac:dyDescent="0.35">
      <c r="A496" s="82">
        <v>493</v>
      </c>
      <c r="B496" s="89" t="str">
        <f>_xlfn.XLOOKUP(A496,'Model Modeshare by TAZ'!A:A,'Model Modeshare by TAZ'!B:B)</f>
        <v>Palo Alto</v>
      </c>
      <c r="C496" s="90" t="str">
        <f>_xlfn.XLOOKUP(A496,'Model Modeshare by TAZ'!A:A,'Model Modeshare by TAZ'!D:D)</f>
        <v>NO</v>
      </c>
      <c r="D496" s="27">
        <v>2779.63</v>
      </c>
      <c r="E496" s="27">
        <v>45593.49</v>
      </c>
      <c r="F496" s="27">
        <v>2495.2600000000002</v>
      </c>
      <c r="G496" s="27">
        <v>15916.69</v>
      </c>
      <c r="H496" s="27">
        <v>431.34</v>
      </c>
      <c r="I496" s="27">
        <v>7217.74</v>
      </c>
      <c r="J496" s="6">
        <v>1708</v>
      </c>
      <c r="K496" s="6">
        <v>276</v>
      </c>
      <c r="L496" s="27">
        <v>9.3189051522248239</v>
      </c>
      <c r="M496" s="27">
        <v>26.151231884057971</v>
      </c>
      <c r="N496" s="34">
        <v>26.273029233870968</v>
      </c>
    </row>
    <row r="497" spans="1:14" x14ac:dyDescent="0.35">
      <c r="A497" s="82">
        <v>494</v>
      </c>
      <c r="B497" s="89" t="str">
        <f>_xlfn.XLOOKUP(A497,'Model Modeshare by TAZ'!A:A,'Model Modeshare by TAZ'!B:B)</f>
        <v>Unincorporated</v>
      </c>
      <c r="C497" s="90" t="str">
        <f>_xlfn.XLOOKUP(A497,'Model Modeshare by TAZ'!A:A,'Model Modeshare by TAZ'!D:D)</f>
        <v>NO</v>
      </c>
      <c r="D497" s="27">
        <v>1033.8399999999999</v>
      </c>
      <c r="E497" s="27">
        <v>31695.119999999999</v>
      </c>
      <c r="F497" s="27">
        <v>5.0999999999999996</v>
      </c>
      <c r="G497" s="27">
        <v>38.950000000000003</v>
      </c>
      <c r="H497" s="27">
        <v>72.39</v>
      </c>
      <c r="I497" s="27">
        <v>1375.83</v>
      </c>
      <c r="J497" s="6">
        <v>6</v>
      </c>
      <c r="K497" s="6">
        <v>67</v>
      </c>
      <c r="L497" s="27">
        <v>6.4916666666666671</v>
      </c>
      <c r="M497" s="27">
        <v>20.534776119402984</v>
      </c>
      <c r="N497" s="34">
        <v>37.920136986301372</v>
      </c>
    </row>
    <row r="498" spans="1:14" x14ac:dyDescent="0.35">
      <c r="A498" s="82">
        <v>495</v>
      </c>
      <c r="B498" s="89" t="str">
        <f>_xlfn.XLOOKUP(A498,'Model Modeshare by TAZ'!A:A,'Model Modeshare by TAZ'!B:B)</f>
        <v>Palo Alto</v>
      </c>
      <c r="C498" s="90" t="str">
        <f>_xlfn.XLOOKUP(A498,'Model Modeshare by TAZ'!A:A,'Model Modeshare by TAZ'!D:D)</f>
        <v>NO</v>
      </c>
      <c r="D498" s="27">
        <v>898.74</v>
      </c>
      <c r="E498" s="27">
        <v>20447.18</v>
      </c>
      <c r="F498" s="27">
        <v>626.09</v>
      </c>
      <c r="G498" s="27">
        <v>4643.84</v>
      </c>
      <c r="H498" s="27">
        <v>30.87</v>
      </c>
      <c r="I498" s="27">
        <v>546.34</v>
      </c>
      <c r="J498" s="6">
        <v>426</v>
      </c>
      <c r="K498" s="6">
        <v>18</v>
      </c>
      <c r="L498" s="27">
        <v>10.901032863849766</v>
      </c>
      <c r="M498" s="27">
        <v>30.352222222222224</v>
      </c>
      <c r="N498" s="34">
        <v>30.009684684684682</v>
      </c>
    </row>
    <row r="499" spans="1:14" x14ac:dyDescent="0.35">
      <c r="A499" s="82">
        <v>496</v>
      </c>
      <c r="B499" s="89" t="str">
        <f>_xlfn.XLOOKUP(A499,'Model Modeshare by TAZ'!A:A,'Model Modeshare by TAZ'!B:B)</f>
        <v>Palo Alto</v>
      </c>
      <c r="C499" s="90" t="str">
        <f>_xlfn.XLOOKUP(A499,'Model Modeshare by TAZ'!A:A,'Model Modeshare by TAZ'!D:D)</f>
        <v>NO</v>
      </c>
      <c r="D499" s="27">
        <v>1263.17</v>
      </c>
      <c r="E499" s="27">
        <v>28425.15</v>
      </c>
      <c r="F499" s="27">
        <v>905.83</v>
      </c>
      <c r="G499" s="27">
        <v>7099.13</v>
      </c>
      <c r="H499" s="27">
        <v>133.55000000000001</v>
      </c>
      <c r="I499" s="27">
        <v>2363.69</v>
      </c>
      <c r="J499" s="6">
        <v>586</v>
      </c>
      <c r="K499" s="6">
        <v>79</v>
      </c>
      <c r="L499" s="27">
        <v>12.114556313993175</v>
      </c>
      <c r="M499" s="27">
        <v>29.920126582278481</v>
      </c>
      <c r="N499" s="34">
        <v>31.607458646616539</v>
      </c>
    </row>
    <row r="500" spans="1:14" x14ac:dyDescent="0.35">
      <c r="A500" s="82">
        <v>497</v>
      </c>
      <c r="B500" s="89" t="str">
        <f>_xlfn.XLOOKUP(A500,'Model Modeshare by TAZ'!A:A,'Model Modeshare by TAZ'!B:B)</f>
        <v>Palo Alto</v>
      </c>
      <c r="C500" s="90" t="str">
        <f>_xlfn.XLOOKUP(A500,'Model Modeshare by TAZ'!A:A,'Model Modeshare by TAZ'!D:D)</f>
        <v>NO</v>
      </c>
      <c r="D500" s="27">
        <v>985.46</v>
      </c>
      <c r="E500" s="27">
        <v>11798.94</v>
      </c>
      <c r="F500" s="27">
        <v>967.35</v>
      </c>
      <c r="G500" s="27">
        <v>5950.45</v>
      </c>
      <c r="H500" s="27">
        <v>248.71</v>
      </c>
      <c r="I500" s="27">
        <v>3951.14</v>
      </c>
      <c r="J500" s="6">
        <v>681</v>
      </c>
      <c r="K500" s="6">
        <v>174</v>
      </c>
      <c r="L500" s="27">
        <v>8.7378120411160047</v>
      </c>
      <c r="M500" s="27">
        <v>22.707701149425287</v>
      </c>
      <c r="N500" s="34">
        <v>18.756444444444444</v>
      </c>
    </row>
    <row r="501" spans="1:14" x14ac:dyDescent="0.35">
      <c r="A501" s="82">
        <v>498</v>
      </c>
      <c r="B501" s="89" t="str">
        <f>_xlfn.XLOOKUP(A501,'Model Modeshare by TAZ'!A:A,'Model Modeshare by TAZ'!B:B)</f>
        <v>Palo Alto</v>
      </c>
      <c r="C501" s="90" t="str">
        <f>_xlfn.XLOOKUP(A501,'Model Modeshare by TAZ'!A:A,'Model Modeshare by TAZ'!D:D)</f>
        <v>NO</v>
      </c>
      <c r="D501" s="27">
        <v>2285.5700000000002</v>
      </c>
      <c r="E501" s="27">
        <v>27865.42</v>
      </c>
      <c r="F501" s="27">
        <v>2215.4</v>
      </c>
      <c r="G501" s="27">
        <v>13172.57</v>
      </c>
      <c r="H501" s="27">
        <v>796.48</v>
      </c>
      <c r="I501" s="27">
        <v>12461.68</v>
      </c>
      <c r="J501" s="6">
        <v>1625</v>
      </c>
      <c r="K501" s="6">
        <v>722</v>
      </c>
      <c r="L501" s="27">
        <v>8.1061969230769222</v>
      </c>
      <c r="M501" s="27">
        <v>17.259944598337949</v>
      </c>
      <c r="N501" s="34">
        <v>17.762398806987644</v>
      </c>
    </row>
    <row r="502" spans="1:14" x14ac:dyDescent="0.35">
      <c r="A502" s="82">
        <v>499</v>
      </c>
      <c r="B502" s="89" t="str">
        <f>_xlfn.XLOOKUP(A502,'Model Modeshare by TAZ'!A:A,'Model Modeshare by TAZ'!B:B)</f>
        <v>Palo Alto</v>
      </c>
      <c r="C502" s="90" t="str">
        <f>_xlfn.XLOOKUP(A502,'Model Modeshare by TAZ'!A:A,'Model Modeshare by TAZ'!D:D)</f>
        <v>NO</v>
      </c>
      <c r="D502" s="27">
        <v>1993.57</v>
      </c>
      <c r="E502" s="27">
        <v>24126.68</v>
      </c>
      <c r="F502" s="27">
        <v>1944</v>
      </c>
      <c r="G502" s="27">
        <v>10501.39</v>
      </c>
      <c r="H502" s="27">
        <v>66.88</v>
      </c>
      <c r="I502" s="27">
        <v>1040.0899999999999</v>
      </c>
      <c r="J502" s="6">
        <v>1359</v>
      </c>
      <c r="K502" s="6">
        <v>38</v>
      </c>
      <c r="L502" s="27">
        <v>7.7272921265636496</v>
      </c>
      <c r="M502" s="27">
        <v>27.370789473684209</v>
      </c>
      <c r="N502" s="34">
        <v>11.109133858267716</v>
      </c>
    </row>
    <row r="503" spans="1:14" x14ac:dyDescent="0.35">
      <c r="A503" s="82">
        <v>500</v>
      </c>
      <c r="B503" s="89" t="str">
        <f>_xlfn.XLOOKUP(A503,'Model Modeshare by TAZ'!A:A,'Model Modeshare by TAZ'!B:B)</f>
        <v>Palo Alto</v>
      </c>
      <c r="C503" s="90" t="str">
        <f>_xlfn.XLOOKUP(A503,'Model Modeshare by TAZ'!A:A,'Model Modeshare by TAZ'!D:D)</f>
        <v>NO</v>
      </c>
      <c r="D503" s="27">
        <v>1927.58</v>
      </c>
      <c r="E503" s="27">
        <v>26815.09</v>
      </c>
      <c r="F503" s="27">
        <v>1780.36</v>
      </c>
      <c r="G503" s="27">
        <v>11271.74</v>
      </c>
      <c r="H503" s="27">
        <v>177.32</v>
      </c>
      <c r="I503" s="27">
        <v>2793.72</v>
      </c>
      <c r="J503" s="6">
        <v>1225</v>
      </c>
      <c r="K503" s="6">
        <v>101</v>
      </c>
      <c r="L503" s="27">
        <v>9.2014204081632656</v>
      </c>
      <c r="M503" s="27">
        <v>27.660594059405938</v>
      </c>
      <c r="N503" s="34">
        <v>15.764864253393664</v>
      </c>
    </row>
    <row r="504" spans="1:14" x14ac:dyDescent="0.35">
      <c r="A504" s="82">
        <v>501</v>
      </c>
      <c r="B504" s="89" t="str">
        <f>_xlfn.XLOOKUP(A504,'Model Modeshare by TAZ'!A:A,'Model Modeshare by TAZ'!B:B)</f>
        <v>Palo Alto</v>
      </c>
      <c r="C504" s="90" t="str">
        <f>_xlfn.XLOOKUP(A504,'Model Modeshare by TAZ'!A:A,'Model Modeshare by TAZ'!D:D)</f>
        <v>NO</v>
      </c>
      <c r="D504" s="27">
        <v>2050.69</v>
      </c>
      <c r="E504" s="27">
        <v>28833.98</v>
      </c>
      <c r="F504" s="27">
        <v>1792.2</v>
      </c>
      <c r="G504" s="27">
        <v>9815.01</v>
      </c>
      <c r="H504" s="27">
        <v>431.27</v>
      </c>
      <c r="I504" s="27">
        <v>6828.34</v>
      </c>
      <c r="J504" s="6">
        <v>1331</v>
      </c>
      <c r="K504" s="6">
        <v>306</v>
      </c>
      <c r="L504" s="27">
        <v>7.3741622839969949</v>
      </c>
      <c r="M504" s="27">
        <v>22.314836601307189</v>
      </c>
      <c r="N504" s="34">
        <v>17.589328039095907</v>
      </c>
    </row>
    <row r="505" spans="1:14" x14ac:dyDescent="0.35">
      <c r="A505" s="82">
        <v>502</v>
      </c>
      <c r="B505" s="89" t="str">
        <f>_xlfn.XLOOKUP(A505,'Model Modeshare by TAZ'!A:A,'Model Modeshare by TAZ'!B:B)</f>
        <v>Palo Alto</v>
      </c>
      <c r="C505" s="90" t="str">
        <f>_xlfn.XLOOKUP(A505,'Model Modeshare by TAZ'!A:A,'Model Modeshare by TAZ'!D:D)</f>
        <v>NO</v>
      </c>
      <c r="D505" s="27">
        <v>1523.84</v>
      </c>
      <c r="E505" s="27">
        <v>23696.28</v>
      </c>
      <c r="F505" s="27">
        <v>1465.9</v>
      </c>
      <c r="G505" s="27">
        <v>9618.43</v>
      </c>
      <c r="H505" s="27">
        <v>364.72</v>
      </c>
      <c r="I505" s="27">
        <v>5790.92</v>
      </c>
      <c r="J505" s="6">
        <v>1061</v>
      </c>
      <c r="K505" s="6">
        <v>258</v>
      </c>
      <c r="L505" s="27">
        <v>9.0654382657869945</v>
      </c>
      <c r="M505" s="27">
        <v>22.445426356589149</v>
      </c>
      <c r="N505" s="34">
        <v>23.204639878695982</v>
      </c>
    </row>
    <row r="506" spans="1:14" x14ac:dyDescent="0.35">
      <c r="A506" s="82">
        <v>503</v>
      </c>
      <c r="B506" s="89" t="str">
        <f>_xlfn.XLOOKUP(A506,'Model Modeshare by TAZ'!A:A,'Model Modeshare by TAZ'!B:B)</f>
        <v>Palo Alto</v>
      </c>
      <c r="C506" s="90" t="str">
        <f>_xlfn.XLOOKUP(A506,'Model Modeshare by TAZ'!A:A,'Model Modeshare by TAZ'!D:D)</f>
        <v>NO</v>
      </c>
      <c r="D506" s="27">
        <v>897.97</v>
      </c>
      <c r="E506" s="27">
        <v>10483.39</v>
      </c>
      <c r="F506" s="27">
        <v>713.34</v>
      </c>
      <c r="G506" s="27">
        <v>3440.6</v>
      </c>
      <c r="H506" s="27">
        <v>508.74</v>
      </c>
      <c r="I506" s="27">
        <v>7963.19</v>
      </c>
      <c r="J506" s="6">
        <v>553</v>
      </c>
      <c r="K506" s="6">
        <v>482</v>
      </c>
      <c r="L506" s="27">
        <v>6.2216998191681734</v>
      </c>
      <c r="M506" s="27">
        <v>16.521141078838173</v>
      </c>
      <c r="N506" s="34">
        <v>16.643265700483092</v>
      </c>
    </row>
    <row r="507" spans="1:14" x14ac:dyDescent="0.35">
      <c r="A507" s="82">
        <v>504</v>
      </c>
      <c r="B507" s="89" t="str">
        <f>_xlfn.XLOOKUP(A507,'Model Modeshare by TAZ'!A:A,'Model Modeshare by TAZ'!B:B)</f>
        <v>Palo Alto</v>
      </c>
      <c r="C507" s="90" t="str">
        <f>_xlfn.XLOOKUP(A507,'Model Modeshare by TAZ'!A:A,'Model Modeshare by TAZ'!D:D)</f>
        <v>NO</v>
      </c>
      <c r="D507" s="27">
        <v>1946.74</v>
      </c>
      <c r="E507" s="27">
        <v>24986.16</v>
      </c>
      <c r="F507" s="27">
        <v>2091.8200000000002</v>
      </c>
      <c r="G507" s="27">
        <v>12118.8</v>
      </c>
      <c r="H507" s="27">
        <v>60.74</v>
      </c>
      <c r="I507" s="27">
        <v>1006.11</v>
      </c>
      <c r="J507" s="6">
        <v>1352</v>
      </c>
      <c r="K507" s="6">
        <v>34</v>
      </c>
      <c r="L507" s="27">
        <v>8.9636094674556208</v>
      </c>
      <c r="M507" s="27">
        <v>29.591470588235296</v>
      </c>
      <c r="N507" s="34">
        <v>14.253629148629148</v>
      </c>
    </row>
    <row r="508" spans="1:14" x14ac:dyDescent="0.35">
      <c r="A508" s="82">
        <v>505</v>
      </c>
      <c r="B508" s="89" t="str">
        <f>_xlfn.XLOOKUP(A508,'Model Modeshare by TAZ'!A:A,'Model Modeshare by TAZ'!B:B)</f>
        <v>Palo Alto</v>
      </c>
      <c r="C508" s="90" t="str">
        <f>_xlfn.XLOOKUP(A508,'Model Modeshare by TAZ'!A:A,'Model Modeshare by TAZ'!D:D)</f>
        <v>NO</v>
      </c>
      <c r="D508" s="27">
        <v>878.13</v>
      </c>
      <c r="E508" s="27">
        <v>11360.51</v>
      </c>
      <c r="F508" s="27">
        <v>667.41</v>
      </c>
      <c r="G508" s="27">
        <v>3455.51</v>
      </c>
      <c r="H508" s="27">
        <v>40.75</v>
      </c>
      <c r="I508" s="27">
        <v>677.39</v>
      </c>
      <c r="J508" s="6">
        <v>445</v>
      </c>
      <c r="K508" s="6">
        <v>23</v>
      </c>
      <c r="L508" s="27">
        <v>7.7651910112359559</v>
      </c>
      <c r="M508" s="27">
        <v>29.451739130434781</v>
      </c>
      <c r="N508" s="34">
        <v>12.937884615384617</v>
      </c>
    </row>
    <row r="509" spans="1:14" x14ac:dyDescent="0.35">
      <c r="A509" s="82">
        <v>506</v>
      </c>
      <c r="B509" s="89" t="str">
        <f>_xlfn.XLOOKUP(A509,'Model Modeshare by TAZ'!A:A,'Model Modeshare by TAZ'!B:B)</f>
        <v>Palo Alto</v>
      </c>
      <c r="C509" s="90" t="str">
        <f>_xlfn.XLOOKUP(A509,'Model Modeshare by TAZ'!A:A,'Model Modeshare by TAZ'!D:D)</f>
        <v>NO</v>
      </c>
      <c r="D509" s="27">
        <v>3238.46</v>
      </c>
      <c r="E509" s="27">
        <v>57868.72</v>
      </c>
      <c r="F509" s="27">
        <v>1313.02</v>
      </c>
      <c r="G509" s="27">
        <v>7101.72</v>
      </c>
      <c r="H509" s="27">
        <v>790.6</v>
      </c>
      <c r="I509" s="27">
        <v>12461.27</v>
      </c>
      <c r="J509" s="6">
        <v>1224</v>
      </c>
      <c r="K509" s="6">
        <v>783</v>
      </c>
      <c r="L509" s="27">
        <v>5.8020588235294124</v>
      </c>
      <c r="M509" s="27">
        <v>15.91477650063857</v>
      </c>
      <c r="N509" s="34">
        <v>22.4963976083707</v>
      </c>
    </row>
    <row r="510" spans="1:14" x14ac:dyDescent="0.35">
      <c r="A510" s="82">
        <v>507</v>
      </c>
      <c r="B510" s="89" t="str">
        <f>_xlfn.XLOOKUP(A510,'Model Modeshare by TAZ'!A:A,'Model Modeshare by TAZ'!B:B)</f>
        <v>Palo Alto</v>
      </c>
      <c r="C510" s="90" t="str">
        <f>_xlfn.XLOOKUP(A510,'Model Modeshare by TAZ'!A:A,'Model Modeshare by TAZ'!D:D)</f>
        <v>NO</v>
      </c>
      <c r="D510" s="27">
        <v>880</v>
      </c>
      <c r="E510" s="27">
        <v>17554.46</v>
      </c>
      <c r="F510" s="27">
        <v>219.25</v>
      </c>
      <c r="G510" s="27">
        <v>1175.28</v>
      </c>
      <c r="H510" s="27">
        <v>579.13</v>
      </c>
      <c r="I510" s="27">
        <v>9504.01</v>
      </c>
      <c r="J510" s="6">
        <v>188</v>
      </c>
      <c r="K510" s="6">
        <v>588</v>
      </c>
      <c r="L510" s="27">
        <v>6.2514893617021272</v>
      </c>
      <c r="M510" s="27">
        <v>16.163282312925169</v>
      </c>
      <c r="N510" s="34">
        <v>31.732886597938148</v>
      </c>
    </row>
    <row r="511" spans="1:14" x14ac:dyDescent="0.35">
      <c r="A511" s="82">
        <v>508</v>
      </c>
      <c r="B511" s="89" t="str">
        <f>_xlfn.XLOOKUP(A511,'Model Modeshare by TAZ'!A:A,'Model Modeshare by TAZ'!B:B)</f>
        <v>Palo Alto</v>
      </c>
      <c r="C511" s="90" t="str">
        <f>_xlfn.XLOOKUP(A511,'Model Modeshare by TAZ'!A:A,'Model Modeshare by TAZ'!D:D)</f>
        <v>NO</v>
      </c>
      <c r="D511" s="27">
        <v>3535.74</v>
      </c>
      <c r="E511" s="27">
        <v>56350.42</v>
      </c>
      <c r="F511" s="27">
        <v>2832.13</v>
      </c>
      <c r="G511" s="27">
        <v>13811.55</v>
      </c>
      <c r="H511" s="27">
        <v>977.56</v>
      </c>
      <c r="I511" s="27">
        <v>15671.14</v>
      </c>
      <c r="J511" s="6">
        <v>2218</v>
      </c>
      <c r="K511" s="6">
        <v>749</v>
      </c>
      <c r="L511" s="27">
        <v>6.2270288548241659</v>
      </c>
      <c r="M511" s="27">
        <v>20.922750333778371</v>
      </c>
      <c r="N511" s="34">
        <v>18.63650151668352</v>
      </c>
    </row>
    <row r="512" spans="1:14" x14ac:dyDescent="0.35">
      <c r="A512" s="82">
        <v>509</v>
      </c>
      <c r="B512" s="89" t="str">
        <f>_xlfn.XLOOKUP(A512,'Model Modeshare by TAZ'!A:A,'Model Modeshare by TAZ'!B:B)</f>
        <v>Unincorporated</v>
      </c>
      <c r="C512" s="90" t="str">
        <f>_xlfn.XLOOKUP(A512,'Model Modeshare by TAZ'!A:A,'Model Modeshare by TAZ'!D:D)</f>
        <v>NO</v>
      </c>
      <c r="D512" s="27">
        <v>4500.29</v>
      </c>
      <c r="E512" s="27">
        <v>75075.97</v>
      </c>
      <c r="F512" s="27">
        <v>4273.24</v>
      </c>
      <c r="G512" s="27">
        <v>28527.83</v>
      </c>
      <c r="H512" s="27">
        <v>127.24</v>
      </c>
      <c r="I512" s="27">
        <v>2206.65</v>
      </c>
      <c r="J512" s="6">
        <v>3420</v>
      </c>
      <c r="K512" s="6">
        <v>80</v>
      </c>
      <c r="L512" s="27">
        <v>8.3414707602339178</v>
      </c>
      <c r="M512" s="27">
        <v>27.583125000000003</v>
      </c>
      <c r="N512" s="34">
        <v>19.71817714285714</v>
      </c>
    </row>
    <row r="513" spans="1:14" x14ac:dyDescent="0.35">
      <c r="A513" s="82">
        <v>510</v>
      </c>
      <c r="B513" s="89" t="str">
        <f>_xlfn.XLOOKUP(A513,'Model Modeshare by TAZ'!A:A,'Model Modeshare by TAZ'!B:B)</f>
        <v>Unincorporated</v>
      </c>
      <c r="C513" s="90" t="str">
        <f>_xlfn.XLOOKUP(A513,'Model Modeshare by TAZ'!A:A,'Model Modeshare by TAZ'!D:D)</f>
        <v>NO</v>
      </c>
      <c r="D513" s="27">
        <v>1133.4100000000001</v>
      </c>
      <c r="E513" s="27">
        <v>21896.79</v>
      </c>
      <c r="F513" s="27">
        <v>1105.96</v>
      </c>
      <c r="G513" s="27">
        <v>7901.12</v>
      </c>
      <c r="H513" s="27">
        <v>113.21</v>
      </c>
      <c r="I513" s="27">
        <v>2055.9699999999998</v>
      </c>
      <c r="J513" s="6">
        <v>1278</v>
      </c>
      <c r="K513" s="6">
        <v>71</v>
      </c>
      <c r="L513" s="27">
        <v>6.1824100156494524</v>
      </c>
      <c r="M513" s="27">
        <v>28.957323943661969</v>
      </c>
      <c r="N513" s="34">
        <v>15.874010378057822</v>
      </c>
    </row>
    <row r="514" spans="1:14" x14ac:dyDescent="0.35">
      <c r="A514" s="82">
        <v>511</v>
      </c>
      <c r="B514" s="89" t="str">
        <f>_xlfn.XLOOKUP(A514,'Model Modeshare by TAZ'!A:A,'Model Modeshare by TAZ'!B:B)</f>
        <v>Unincorporated</v>
      </c>
      <c r="C514" s="90" t="str">
        <f>_xlfn.XLOOKUP(A514,'Model Modeshare by TAZ'!A:A,'Model Modeshare by TAZ'!D:D)</f>
        <v>NO</v>
      </c>
      <c r="D514" s="27">
        <v>2156.5500000000002</v>
      </c>
      <c r="E514" s="27">
        <v>43394.63</v>
      </c>
      <c r="F514" s="27">
        <v>2029.95</v>
      </c>
      <c r="G514" s="27">
        <v>14207.01</v>
      </c>
      <c r="H514" s="27">
        <v>190.2</v>
      </c>
      <c r="I514" s="27">
        <v>3337.86</v>
      </c>
      <c r="J514" s="6">
        <v>1721</v>
      </c>
      <c r="K514" s="6">
        <v>107</v>
      </c>
      <c r="L514" s="27">
        <v>8.2550900639163274</v>
      </c>
      <c r="M514" s="27">
        <v>31.194953271028037</v>
      </c>
      <c r="N514" s="34">
        <v>19.293150984682711</v>
      </c>
    </row>
    <row r="515" spans="1:14" x14ac:dyDescent="0.35">
      <c r="A515" s="82">
        <v>512</v>
      </c>
      <c r="B515" s="89" t="str">
        <f>_xlfn.XLOOKUP(A515,'Model Modeshare by TAZ'!A:A,'Model Modeshare by TAZ'!B:B)</f>
        <v>Unincorporated</v>
      </c>
      <c r="C515" s="90" t="str">
        <f>_xlfn.XLOOKUP(A515,'Model Modeshare by TAZ'!A:A,'Model Modeshare by TAZ'!D:D)</f>
        <v>NO</v>
      </c>
      <c r="D515" s="27">
        <v>13809</v>
      </c>
      <c r="E515" s="27">
        <v>412717.72</v>
      </c>
      <c r="F515" s="27">
        <v>1401.33</v>
      </c>
      <c r="G515" s="27">
        <v>10610.52</v>
      </c>
      <c r="H515" s="27">
        <v>3562.14</v>
      </c>
      <c r="I515" s="27">
        <v>62528.88</v>
      </c>
      <c r="J515" s="6">
        <v>928</v>
      </c>
      <c r="K515" s="6">
        <v>3140</v>
      </c>
      <c r="L515" s="27">
        <v>11.43375</v>
      </c>
      <c r="M515" s="27">
        <v>19.913656050955414</v>
      </c>
      <c r="N515" s="34">
        <v>39.35799901671583</v>
      </c>
    </row>
    <row r="516" spans="1:14" x14ac:dyDescent="0.35">
      <c r="A516" s="82">
        <v>513</v>
      </c>
      <c r="B516" s="89" t="str">
        <f>_xlfn.XLOOKUP(A516,'Model Modeshare by TAZ'!A:A,'Model Modeshare by TAZ'!B:B)</f>
        <v>Palo Alto</v>
      </c>
      <c r="C516" s="90" t="str">
        <f>_xlfn.XLOOKUP(A516,'Model Modeshare by TAZ'!A:A,'Model Modeshare by TAZ'!D:D)</f>
        <v>NO</v>
      </c>
      <c r="D516" s="27">
        <v>3439.93</v>
      </c>
      <c r="E516" s="27">
        <v>60830.77</v>
      </c>
      <c r="F516" s="27">
        <v>1791.88</v>
      </c>
      <c r="G516" s="27">
        <v>10316.709999999999</v>
      </c>
      <c r="H516" s="27">
        <v>996.64</v>
      </c>
      <c r="I516" s="27">
        <v>15947.24</v>
      </c>
      <c r="J516" s="6">
        <v>1260</v>
      </c>
      <c r="K516" s="6">
        <v>1018</v>
      </c>
      <c r="L516" s="27">
        <v>8.1878650793650785</v>
      </c>
      <c r="M516" s="27">
        <v>15.665265225933203</v>
      </c>
      <c r="N516" s="34">
        <v>33.478691834942936</v>
      </c>
    </row>
    <row r="517" spans="1:14" x14ac:dyDescent="0.35">
      <c r="A517" s="82">
        <v>514</v>
      </c>
      <c r="B517" s="89" t="str">
        <f>_xlfn.XLOOKUP(A517,'Model Modeshare by TAZ'!A:A,'Model Modeshare by TAZ'!B:B)</f>
        <v>Palo Alto</v>
      </c>
      <c r="C517" s="90" t="str">
        <f>_xlfn.XLOOKUP(A517,'Model Modeshare by TAZ'!A:A,'Model Modeshare by TAZ'!D:D)</f>
        <v>NO</v>
      </c>
      <c r="D517" s="27">
        <v>5749.74</v>
      </c>
      <c r="E517" s="27">
        <v>157282.62</v>
      </c>
      <c r="F517" s="27">
        <v>622.41999999999996</v>
      </c>
      <c r="G517" s="27">
        <v>4526.92</v>
      </c>
      <c r="H517" s="27">
        <v>4718.25</v>
      </c>
      <c r="I517" s="27">
        <v>84854.06</v>
      </c>
      <c r="J517" s="6">
        <v>369</v>
      </c>
      <c r="K517" s="6">
        <v>4428</v>
      </c>
      <c r="L517" s="27">
        <v>12.268075880758808</v>
      </c>
      <c r="M517" s="27">
        <v>19.163066847335138</v>
      </c>
      <c r="N517" s="34">
        <v>44.186420679591414</v>
      </c>
    </row>
    <row r="518" spans="1:14" x14ac:dyDescent="0.35">
      <c r="A518" s="82">
        <v>515</v>
      </c>
      <c r="B518" s="89" t="str">
        <f>_xlfn.XLOOKUP(A518,'Model Modeshare by TAZ'!A:A,'Model Modeshare by TAZ'!B:B)</f>
        <v>Palo Alto</v>
      </c>
      <c r="C518" s="90" t="str">
        <f>_xlfn.XLOOKUP(A518,'Model Modeshare by TAZ'!A:A,'Model Modeshare by TAZ'!D:D)</f>
        <v>NO</v>
      </c>
      <c r="D518" s="27">
        <v>2198.0500000000002</v>
      </c>
      <c r="E518" s="27">
        <v>40620.69</v>
      </c>
      <c r="F518" s="27">
        <v>1925.37</v>
      </c>
      <c r="G518" s="27">
        <v>12339.56</v>
      </c>
      <c r="H518" s="27">
        <v>64.03</v>
      </c>
      <c r="I518" s="27">
        <v>1124.9000000000001</v>
      </c>
      <c r="J518" s="6">
        <v>1316</v>
      </c>
      <c r="K518" s="6">
        <v>38</v>
      </c>
      <c r="L518" s="27">
        <v>9.3765653495440731</v>
      </c>
      <c r="M518" s="27">
        <v>29.602631578947371</v>
      </c>
      <c r="N518" s="34">
        <v>20.864180206794682</v>
      </c>
    </row>
    <row r="519" spans="1:14" x14ac:dyDescent="0.35">
      <c r="A519" s="82">
        <v>516</v>
      </c>
      <c r="B519" s="89" t="str">
        <f>_xlfn.XLOOKUP(A519,'Model Modeshare by TAZ'!A:A,'Model Modeshare by TAZ'!B:B)</f>
        <v>Palo Alto</v>
      </c>
      <c r="C519" s="90" t="str">
        <f>_xlfn.XLOOKUP(A519,'Model Modeshare by TAZ'!A:A,'Model Modeshare by TAZ'!D:D)</f>
        <v>NO</v>
      </c>
      <c r="D519" s="27">
        <v>1599.81</v>
      </c>
      <c r="E519" s="27">
        <v>19170.060000000001</v>
      </c>
      <c r="F519" s="27">
        <v>1253.74</v>
      </c>
      <c r="G519" s="27">
        <v>6259.28</v>
      </c>
      <c r="H519" s="27">
        <v>190.2</v>
      </c>
      <c r="I519" s="27">
        <v>2845.02</v>
      </c>
      <c r="J519" s="6">
        <v>931</v>
      </c>
      <c r="K519" s="6">
        <v>115</v>
      </c>
      <c r="L519" s="27">
        <v>6.7231793770139632</v>
      </c>
      <c r="M519" s="27">
        <v>24.739304347826089</v>
      </c>
      <c r="N519" s="34">
        <v>13.684082217973231</v>
      </c>
    </row>
    <row r="520" spans="1:14" x14ac:dyDescent="0.35">
      <c r="A520" s="82">
        <v>517</v>
      </c>
      <c r="B520" s="89" t="str">
        <f>_xlfn.XLOOKUP(A520,'Model Modeshare by TAZ'!A:A,'Model Modeshare by TAZ'!B:B)</f>
        <v>Palo Alto</v>
      </c>
      <c r="C520" s="90" t="str">
        <f>_xlfn.XLOOKUP(A520,'Model Modeshare by TAZ'!A:A,'Model Modeshare by TAZ'!D:D)</f>
        <v>NO</v>
      </c>
      <c r="D520" s="27">
        <v>2436.7600000000002</v>
      </c>
      <c r="E520" s="27">
        <v>52573.72</v>
      </c>
      <c r="F520" s="27">
        <v>1202.1500000000001</v>
      </c>
      <c r="G520" s="27">
        <v>5483.54</v>
      </c>
      <c r="H520" s="27">
        <v>3056.32</v>
      </c>
      <c r="I520" s="27">
        <v>47316.75</v>
      </c>
      <c r="J520" s="6">
        <v>980</v>
      </c>
      <c r="K520" s="6">
        <v>3028</v>
      </c>
      <c r="L520" s="27">
        <v>5.5954489795918363</v>
      </c>
      <c r="M520" s="27">
        <v>15.6264035667107</v>
      </c>
      <c r="N520" s="34">
        <v>19.854570858283431</v>
      </c>
    </row>
    <row r="521" spans="1:14" x14ac:dyDescent="0.35">
      <c r="A521" s="82">
        <v>518</v>
      </c>
      <c r="B521" s="89" t="str">
        <f>_xlfn.XLOOKUP(A521,'Model Modeshare by TAZ'!A:A,'Model Modeshare by TAZ'!B:B)</f>
        <v>Palo Alto</v>
      </c>
      <c r="C521" s="90" t="str">
        <f>_xlfn.XLOOKUP(A521,'Model Modeshare by TAZ'!A:A,'Model Modeshare by TAZ'!D:D)</f>
        <v>NO</v>
      </c>
      <c r="D521" s="27">
        <v>4737.33</v>
      </c>
      <c r="E521" s="27">
        <v>57870.66</v>
      </c>
      <c r="F521" s="27">
        <v>3036.46</v>
      </c>
      <c r="G521" s="27">
        <v>14175.14</v>
      </c>
      <c r="H521" s="27">
        <v>185.44</v>
      </c>
      <c r="I521" s="27">
        <v>2841.47</v>
      </c>
      <c r="J521" s="6">
        <v>2381</v>
      </c>
      <c r="K521" s="6">
        <v>113</v>
      </c>
      <c r="L521" s="27">
        <v>5.9534397312053757</v>
      </c>
      <c r="M521" s="27">
        <v>25.145752212389379</v>
      </c>
      <c r="N521" s="34">
        <v>10.933889334402565</v>
      </c>
    </row>
    <row r="522" spans="1:14" x14ac:dyDescent="0.35">
      <c r="A522" s="82">
        <v>519</v>
      </c>
      <c r="B522" s="89" t="str">
        <f>_xlfn.XLOOKUP(A522,'Model Modeshare by TAZ'!A:A,'Model Modeshare by TAZ'!B:B)</f>
        <v>Palo Alto</v>
      </c>
      <c r="C522" s="90" t="str">
        <f>_xlfn.XLOOKUP(A522,'Model Modeshare by TAZ'!A:A,'Model Modeshare by TAZ'!D:D)</f>
        <v>NO</v>
      </c>
      <c r="D522" s="27">
        <v>621.09</v>
      </c>
      <c r="E522" s="27">
        <v>4610.12</v>
      </c>
      <c r="F522" s="27">
        <v>0.61</v>
      </c>
      <c r="G522" s="27">
        <v>6.24</v>
      </c>
      <c r="H522" s="27">
        <v>33.880000000000003</v>
      </c>
      <c r="I522" s="27">
        <v>614.79999999999995</v>
      </c>
      <c r="J522" s="6">
        <v>7</v>
      </c>
      <c r="K522" s="6">
        <v>31</v>
      </c>
      <c r="L522" s="27">
        <v>0.89142857142857146</v>
      </c>
      <c r="M522" s="27">
        <v>19.832258064516129</v>
      </c>
      <c r="N522" s="34">
        <v>54.518157894736845</v>
      </c>
    </row>
    <row r="523" spans="1:14" x14ac:dyDescent="0.35">
      <c r="A523" s="82">
        <v>520</v>
      </c>
      <c r="B523" s="89" t="str">
        <f>_xlfn.XLOOKUP(A523,'Model Modeshare by TAZ'!A:A,'Model Modeshare by TAZ'!B:B)</f>
        <v>Palo Alto</v>
      </c>
      <c r="C523" s="90" t="str">
        <f>_xlfn.XLOOKUP(A523,'Model Modeshare by TAZ'!A:A,'Model Modeshare by TAZ'!D:D)</f>
        <v>NO</v>
      </c>
      <c r="D523" s="27">
        <v>955.11</v>
      </c>
      <c r="E523" s="27">
        <v>26884.84</v>
      </c>
      <c r="F523" s="27">
        <v>0.02</v>
      </c>
      <c r="G523" s="27">
        <v>0.03</v>
      </c>
      <c r="H523" s="27">
        <v>1043.19</v>
      </c>
      <c r="I523" s="27">
        <v>18536.02</v>
      </c>
      <c r="J523" s="6">
        <v>2</v>
      </c>
      <c r="K523" s="6">
        <v>1070</v>
      </c>
      <c r="L523" s="27">
        <v>1.4999999999999999E-2</v>
      </c>
      <c r="M523" s="27">
        <v>17.323383177570093</v>
      </c>
      <c r="N523" s="34">
        <v>44.837052238805967</v>
      </c>
    </row>
    <row r="524" spans="1:14" x14ac:dyDescent="0.35">
      <c r="A524" s="82">
        <v>521</v>
      </c>
      <c r="B524" s="89" t="str">
        <f>_xlfn.XLOOKUP(A524,'Model Modeshare by TAZ'!A:A,'Model Modeshare by TAZ'!B:B)</f>
        <v>Palo Alto</v>
      </c>
      <c r="C524" s="90" t="str">
        <f>_xlfn.XLOOKUP(A524,'Model Modeshare by TAZ'!A:A,'Model Modeshare by TAZ'!D:D)</f>
        <v>NO</v>
      </c>
      <c r="D524" s="27">
        <v>852.94</v>
      </c>
      <c r="E524" s="27">
        <v>12205.05</v>
      </c>
      <c r="F524" s="27">
        <v>998.19</v>
      </c>
      <c r="G524" s="27">
        <v>5348.45</v>
      </c>
      <c r="H524" s="27">
        <v>140.76</v>
      </c>
      <c r="I524" s="27">
        <v>2211.69</v>
      </c>
      <c r="J524" s="6">
        <v>740</v>
      </c>
      <c r="K524" s="6">
        <v>84</v>
      </c>
      <c r="L524" s="27">
        <v>7.2276351351351344</v>
      </c>
      <c r="M524" s="27">
        <v>26.329642857142858</v>
      </c>
      <c r="N524" s="34">
        <v>16.46979368932039</v>
      </c>
    </row>
    <row r="525" spans="1:14" x14ac:dyDescent="0.35">
      <c r="A525" s="82">
        <v>522</v>
      </c>
      <c r="B525" s="89" t="str">
        <f>_xlfn.XLOOKUP(A525,'Model Modeshare by TAZ'!A:A,'Model Modeshare by TAZ'!B:B)</f>
        <v>Palo Alto</v>
      </c>
      <c r="C525" s="90" t="str">
        <f>_xlfn.XLOOKUP(A525,'Model Modeshare by TAZ'!A:A,'Model Modeshare by TAZ'!D:D)</f>
        <v>NO</v>
      </c>
      <c r="D525" s="27">
        <v>2109.48</v>
      </c>
      <c r="E525" s="27">
        <v>36717.019999999997</v>
      </c>
      <c r="F525" s="27">
        <v>933.73</v>
      </c>
      <c r="G525" s="27">
        <v>4507.8599999999997</v>
      </c>
      <c r="H525" s="27">
        <v>319.24</v>
      </c>
      <c r="I525" s="27">
        <v>5083.6899999999996</v>
      </c>
      <c r="J525" s="6">
        <v>722</v>
      </c>
      <c r="K525" s="6">
        <v>289</v>
      </c>
      <c r="L525" s="27">
        <v>6.2435734072022155</v>
      </c>
      <c r="M525" s="27">
        <v>17.59062283737024</v>
      </c>
      <c r="N525" s="34">
        <v>18.061780415430267</v>
      </c>
    </row>
    <row r="526" spans="1:14" x14ac:dyDescent="0.35">
      <c r="A526" s="82">
        <v>523</v>
      </c>
      <c r="B526" s="89" t="str">
        <f>_xlfn.XLOOKUP(A526,'Model Modeshare by TAZ'!A:A,'Model Modeshare by TAZ'!B:B)</f>
        <v>Palo Alto</v>
      </c>
      <c r="C526" s="90" t="str">
        <f>_xlfn.XLOOKUP(A526,'Model Modeshare by TAZ'!A:A,'Model Modeshare by TAZ'!D:D)</f>
        <v>NO</v>
      </c>
      <c r="D526" s="27">
        <v>1308.55</v>
      </c>
      <c r="E526" s="27">
        <v>42367.4</v>
      </c>
      <c r="F526" s="27">
        <v>0.82</v>
      </c>
      <c r="G526" s="27">
        <v>8.27</v>
      </c>
      <c r="H526" s="27">
        <v>1017.44</v>
      </c>
      <c r="I526" s="27">
        <v>17902.63</v>
      </c>
      <c r="J526" s="6">
        <v>3</v>
      </c>
      <c r="K526" s="6">
        <v>869</v>
      </c>
      <c r="L526" s="27">
        <v>2.7566666666666664</v>
      </c>
      <c r="M526" s="27">
        <v>20.601415420023017</v>
      </c>
      <c r="N526" s="34">
        <v>40.469552752293573</v>
      </c>
    </row>
    <row r="527" spans="1:14" x14ac:dyDescent="0.35">
      <c r="A527" s="82">
        <v>524</v>
      </c>
      <c r="B527" s="89" t="str">
        <f>_xlfn.XLOOKUP(A527,'Model Modeshare by TAZ'!A:A,'Model Modeshare by TAZ'!B:B)</f>
        <v>Palo Alto</v>
      </c>
      <c r="C527" s="90" t="str">
        <f>_xlfn.XLOOKUP(A527,'Model Modeshare by TAZ'!A:A,'Model Modeshare by TAZ'!D:D)</f>
        <v>NO</v>
      </c>
      <c r="D527" s="27">
        <v>5988.24</v>
      </c>
      <c r="E527" s="27">
        <v>157920.16</v>
      </c>
      <c r="F527" s="27">
        <v>1293.71</v>
      </c>
      <c r="G527" s="27">
        <v>9989.06</v>
      </c>
      <c r="H527" s="27">
        <v>3665.61</v>
      </c>
      <c r="I527" s="27">
        <v>60502.66</v>
      </c>
      <c r="J527" s="6">
        <v>834</v>
      </c>
      <c r="K527" s="6">
        <v>3405</v>
      </c>
      <c r="L527" s="27">
        <v>11.977290167865707</v>
      </c>
      <c r="M527" s="27">
        <v>17.768769456681351</v>
      </c>
      <c r="N527" s="34">
        <v>33.033236612408594</v>
      </c>
    </row>
    <row r="528" spans="1:14" x14ac:dyDescent="0.35">
      <c r="A528" s="82">
        <v>525</v>
      </c>
      <c r="B528" s="89" t="str">
        <f>_xlfn.XLOOKUP(A528,'Model Modeshare by TAZ'!A:A,'Model Modeshare by TAZ'!B:B)</f>
        <v>Palo Alto</v>
      </c>
      <c r="C528" s="90" t="str">
        <f>_xlfn.XLOOKUP(A528,'Model Modeshare by TAZ'!A:A,'Model Modeshare by TAZ'!D:D)</f>
        <v>NO</v>
      </c>
      <c r="D528" s="27">
        <v>1500.36</v>
      </c>
      <c r="E528" s="27">
        <v>46064.09</v>
      </c>
      <c r="F528" s="27">
        <v>0</v>
      </c>
      <c r="G528" s="27">
        <v>0</v>
      </c>
      <c r="H528" s="27">
        <v>874.29</v>
      </c>
      <c r="I528" s="27">
        <v>15951.62</v>
      </c>
      <c r="J528" s="6">
        <v>0</v>
      </c>
      <c r="K528" s="6">
        <v>753</v>
      </c>
      <c r="L528" s="27">
        <v>0</v>
      </c>
      <c r="M528" s="27">
        <v>21.184090305444887</v>
      </c>
      <c r="N528" s="34">
        <v>47.157025232403718</v>
      </c>
    </row>
    <row r="529" spans="1:14" x14ac:dyDescent="0.35">
      <c r="A529" s="82">
        <v>526</v>
      </c>
      <c r="B529" s="89" t="str">
        <f>_xlfn.XLOOKUP(A529,'Model Modeshare by TAZ'!A:A,'Model Modeshare by TAZ'!B:B)</f>
        <v>Palo Alto</v>
      </c>
      <c r="C529" s="90" t="str">
        <f>_xlfn.XLOOKUP(A529,'Model Modeshare by TAZ'!A:A,'Model Modeshare by TAZ'!D:D)</f>
        <v>NO</v>
      </c>
      <c r="D529" s="27">
        <v>3026.18</v>
      </c>
      <c r="E529" s="27">
        <v>50767.519999999997</v>
      </c>
      <c r="F529" s="27">
        <v>2289.36</v>
      </c>
      <c r="G529" s="27">
        <v>14013.83</v>
      </c>
      <c r="H529" s="27">
        <v>384.92</v>
      </c>
      <c r="I529" s="27">
        <v>6297.74</v>
      </c>
      <c r="J529" s="6">
        <v>1695</v>
      </c>
      <c r="K529" s="6">
        <v>266</v>
      </c>
      <c r="L529" s="27">
        <v>8.2677463126843662</v>
      </c>
      <c r="M529" s="27">
        <v>23.675714285714285</v>
      </c>
      <c r="N529" s="34">
        <v>17.058878123406426</v>
      </c>
    </row>
    <row r="530" spans="1:14" x14ac:dyDescent="0.35">
      <c r="A530" s="82">
        <v>527</v>
      </c>
      <c r="B530" s="89" t="str">
        <f>_xlfn.XLOOKUP(A530,'Model Modeshare by TAZ'!A:A,'Model Modeshare by TAZ'!B:B)</f>
        <v>Palo Alto</v>
      </c>
      <c r="C530" s="90" t="str">
        <f>_xlfn.XLOOKUP(A530,'Model Modeshare by TAZ'!A:A,'Model Modeshare by TAZ'!D:D)</f>
        <v>NO</v>
      </c>
      <c r="D530" s="27">
        <v>1865.61</v>
      </c>
      <c r="E530" s="27">
        <v>19777.64</v>
      </c>
      <c r="F530" s="27">
        <v>1748.18</v>
      </c>
      <c r="G530" s="27">
        <v>8961.58</v>
      </c>
      <c r="H530" s="27">
        <v>1403.67</v>
      </c>
      <c r="I530" s="27">
        <v>22487.01</v>
      </c>
      <c r="J530" s="6">
        <v>1401</v>
      </c>
      <c r="K530" s="6">
        <v>1322</v>
      </c>
      <c r="L530" s="27">
        <v>6.3965596002855101</v>
      </c>
      <c r="M530" s="27">
        <v>17.00984114977307</v>
      </c>
      <c r="N530" s="34">
        <v>19.363635695923612</v>
      </c>
    </row>
    <row r="531" spans="1:14" x14ac:dyDescent="0.35">
      <c r="A531" s="82">
        <v>528</v>
      </c>
      <c r="B531" s="89" t="str">
        <f>_xlfn.XLOOKUP(A531,'Model Modeshare by TAZ'!A:A,'Model Modeshare by TAZ'!B:B)</f>
        <v>Palo Alto</v>
      </c>
      <c r="C531" s="90" t="str">
        <f>_xlfn.XLOOKUP(A531,'Model Modeshare by TAZ'!A:A,'Model Modeshare by TAZ'!D:D)</f>
        <v>NO</v>
      </c>
      <c r="D531" s="27">
        <v>6660.2</v>
      </c>
      <c r="E531" s="27">
        <v>177980.81</v>
      </c>
      <c r="F531" s="27">
        <v>548.42999999999995</v>
      </c>
      <c r="G531" s="27">
        <v>4036.78</v>
      </c>
      <c r="H531" s="27">
        <v>3109.86</v>
      </c>
      <c r="I531" s="27">
        <v>55227.74</v>
      </c>
      <c r="J531" s="6">
        <v>386</v>
      </c>
      <c r="K531" s="6">
        <v>2848</v>
      </c>
      <c r="L531" s="27">
        <v>10.4579792746114</v>
      </c>
      <c r="M531" s="27">
        <v>19.391762640449439</v>
      </c>
      <c r="N531" s="34">
        <v>43.003948670377241</v>
      </c>
    </row>
    <row r="532" spans="1:14" x14ac:dyDescent="0.35">
      <c r="A532" s="82">
        <v>529</v>
      </c>
      <c r="B532" s="89" t="str">
        <f>_xlfn.XLOOKUP(A532,'Model Modeshare by TAZ'!A:A,'Model Modeshare by TAZ'!B:B)</f>
        <v>Palo Alto</v>
      </c>
      <c r="C532" s="90" t="str">
        <f>_xlfn.XLOOKUP(A532,'Model Modeshare by TAZ'!A:A,'Model Modeshare by TAZ'!D:D)</f>
        <v>NO</v>
      </c>
      <c r="D532" s="27">
        <v>2610.33</v>
      </c>
      <c r="E532" s="27">
        <v>45623</v>
      </c>
      <c r="F532" s="27">
        <v>1062.3900000000001</v>
      </c>
      <c r="G532" s="27">
        <v>5962.16</v>
      </c>
      <c r="H532" s="27">
        <v>722.8</v>
      </c>
      <c r="I532" s="27">
        <v>11201.88</v>
      </c>
      <c r="J532" s="6">
        <v>760</v>
      </c>
      <c r="K532" s="6">
        <v>687</v>
      </c>
      <c r="L532" s="27">
        <v>7.8449473684210522</v>
      </c>
      <c r="M532" s="27">
        <v>16.305502183406112</v>
      </c>
      <c r="N532" s="34">
        <v>34.989951624049759</v>
      </c>
    </row>
    <row r="533" spans="1:14" x14ac:dyDescent="0.35">
      <c r="A533" s="82">
        <v>530</v>
      </c>
      <c r="B533" s="89" t="str">
        <f>_xlfn.XLOOKUP(A533,'Model Modeshare by TAZ'!A:A,'Model Modeshare by TAZ'!B:B)</f>
        <v>Unincorporated</v>
      </c>
      <c r="C533" s="90" t="str">
        <f>_xlfn.XLOOKUP(A533,'Model Modeshare by TAZ'!A:A,'Model Modeshare by TAZ'!D:D)</f>
        <v>NO</v>
      </c>
      <c r="D533" s="27">
        <v>37.32</v>
      </c>
      <c r="E533" s="27">
        <v>1000.87</v>
      </c>
      <c r="F533" s="27">
        <v>0</v>
      </c>
      <c r="G533" s="27">
        <v>0</v>
      </c>
      <c r="H533" s="27">
        <v>44.76</v>
      </c>
      <c r="I533" s="27">
        <v>850.72</v>
      </c>
      <c r="J533" s="6">
        <v>0</v>
      </c>
      <c r="K533" s="6">
        <v>44</v>
      </c>
      <c r="L533" s="27">
        <v>0</v>
      </c>
      <c r="M533" s="27">
        <v>19.334545454545456</v>
      </c>
      <c r="N533" s="34">
        <v>57.165000000000006</v>
      </c>
    </row>
    <row r="534" spans="1:14" x14ac:dyDescent="0.35">
      <c r="A534" s="82">
        <v>531</v>
      </c>
      <c r="B534" s="89" t="str">
        <f>_xlfn.XLOOKUP(A534,'Model Modeshare by TAZ'!A:A,'Model Modeshare by TAZ'!B:B)</f>
        <v>Unincorporated</v>
      </c>
      <c r="C534" s="90" t="str">
        <f>_xlfn.XLOOKUP(A534,'Model Modeshare by TAZ'!A:A,'Model Modeshare by TAZ'!D:D)</f>
        <v>NO</v>
      </c>
      <c r="D534" s="27">
        <v>55.37</v>
      </c>
      <c r="E534" s="27">
        <v>1525.3</v>
      </c>
      <c r="F534" s="27">
        <v>0</v>
      </c>
      <c r="G534" s="27">
        <v>0</v>
      </c>
      <c r="H534" s="27">
        <v>104.38</v>
      </c>
      <c r="I534" s="27">
        <v>1769.42</v>
      </c>
      <c r="J534" s="6">
        <v>2</v>
      </c>
      <c r="K534" s="6">
        <v>78</v>
      </c>
      <c r="L534" s="27">
        <v>0</v>
      </c>
      <c r="M534" s="27">
        <v>22.684871794871796</v>
      </c>
      <c r="N534" s="34">
        <v>46.195999999999998</v>
      </c>
    </row>
    <row r="535" spans="1:14" x14ac:dyDescent="0.35">
      <c r="A535" s="82">
        <v>532</v>
      </c>
      <c r="B535" s="89" t="str">
        <f>_xlfn.XLOOKUP(A535,'Model Modeshare by TAZ'!A:A,'Model Modeshare by TAZ'!B:B)</f>
        <v>Palo Alto</v>
      </c>
      <c r="C535" s="90" t="str">
        <f>_xlfn.XLOOKUP(A535,'Model Modeshare by TAZ'!A:A,'Model Modeshare by TAZ'!D:D)</f>
        <v>NO</v>
      </c>
      <c r="D535" s="27">
        <v>2159.3200000000002</v>
      </c>
      <c r="E535" s="27">
        <v>55591.7</v>
      </c>
      <c r="F535" s="27">
        <v>741.58</v>
      </c>
      <c r="G535" s="27">
        <v>5791.28</v>
      </c>
      <c r="H535" s="27">
        <v>1733.56</v>
      </c>
      <c r="I535" s="27">
        <v>28830.11</v>
      </c>
      <c r="J535" s="6">
        <v>587</v>
      </c>
      <c r="K535" s="6">
        <v>1620</v>
      </c>
      <c r="L535" s="27">
        <v>9.8658943781942074</v>
      </c>
      <c r="M535" s="27">
        <v>17.796364197530863</v>
      </c>
      <c r="N535" s="34">
        <v>42.138441323062978</v>
      </c>
    </row>
    <row r="536" spans="1:14" x14ac:dyDescent="0.35">
      <c r="A536" s="82">
        <v>533</v>
      </c>
      <c r="B536" s="89" t="str">
        <f>_xlfn.XLOOKUP(A536,'Model Modeshare by TAZ'!A:A,'Model Modeshare by TAZ'!B:B)</f>
        <v>Palo Alto</v>
      </c>
      <c r="C536" s="90" t="str">
        <f>_xlfn.XLOOKUP(A536,'Model Modeshare by TAZ'!A:A,'Model Modeshare by TAZ'!D:D)</f>
        <v>NO</v>
      </c>
      <c r="D536" s="27">
        <v>2308.7399999999998</v>
      </c>
      <c r="E536" s="27">
        <v>53031.66</v>
      </c>
      <c r="F536" s="27">
        <v>1456.56</v>
      </c>
      <c r="G536" s="27">
        <v>11992.69</v>
      </c>
      <c r="H536" s="27">
        <v>249.87</v>
      </c>
      <c r="I536" s="27">
        <v>4220.18</v>
      </c>
      <c r="J536" s="6">
        <v>1080</v>
      </c>
      <c r="K536" s="6">
        <v>136</v>
      </c>
      <c r="L536" s="27">
        <v>11.104342592592593</v>
      </c>
      <c r="M536" s="27">
        <v>31.030735294117648</v>
      </c>
      <c r="N536" s="34">
        <v>31.501060855263159</v>
      </c>
    </row>
    <row r="537" spans="1:14" x14ac:dyDescent="0.35">
      <c r="A537" s="82">
        <v>534</v>
      </c>
      <c r="B537" s="89" t="str">
        <f>_xlfn.XLOOKUP(A537,'Model Modeshare by TAZ'!A:A,'Model Modeshare by TAZ'!B:B)</f>
        <v>Palo Alto</v>
      </c>
      <c r="C537" s="90" t="str">
        <f>_xlfn.XLOOKUP(A537,'Model Modeshare by TAZ'!A:A,'Model Modeshare by TAZ'!D:D)</f>
        <v>NO</v>
      </c>
      <c r="D537" s="27">
        <v>2852.74</v>
      </c>
      <c r="E537" s="27">
        <v>73068.02</v>
      </c>
      <c r="F537" s="27">
        <v>979.84</v>
      </c>
      <c r="G537" s="27">
        <v>7839.49</v>
      </c>
      <c r="H537" s="27">
        <v>1788.51</v>
      </c>
      <c r="I537" s="27">
        <v>30286.48</v>
      </c>
      <c r="J537" s="6">
        <v>833</v>
      </c>
      <c r="K537" s="6">
        <v>1633</v>
      </c>
      <c r="L537" s="27">
        <v>9.4111524609843933</v>
      </c>
      <c r="M537" s="27">
        <v>18.546527862829148</v>
      </c>
      <c r="N537" s="34">
        <v>40.065859691808598</v>
      </c>
    </row>
    <row r="538" spans="1:14" x14ac:dyDescent="0.35">
      <c r="A538" s="82">
        <v>535</v>
      </c>
      <c r="B538" s="89" t="str">
        <f>_xlfn.XLOOKUP(A538,'Model Modeshare by TAZ'!A:A,'Model Modeshare by TAZ'!B:B)</f>
        <v>Palo Alto</v>
      </c>
      <c r="C538" s="90" t="str">
        <f>_xlfn.XLOOKUP(A538,'Model Modeshare by TAZ'!A:A,'Model Modeshare by TAZ'!D:D)</f>
        <v>NO</v>
      </c>
      <c r="D538" s="27">
        <v>5683.92</v>
      </c>
      <c r="E538" s="27">
        <v>161763.95000000001</v>
      </c>
      <c r="F538" s="27">
        <v>774.74</v>
      </c>
      <c r="G538" s="27">
        <v>6219.6</v>
      </c>
      <c r="H538" s="27">
        <v>2491.17</v>
      </c>
      <c r="I538" s="27">
        <v>42990.2</v>
      </c>
      <c r="J538" s="6">
        <v>694</v>
      </c>
      <c r="K538" s="6">
        <v>2626</v>
      </c>
      <c r="L538" s="27">
        <v>8.9619596541786741</v>
      </c>
      <c r="M538" s="27">
        <v>16.370982482863671</v>
      </c>
      <c r="N538" s="34">
        <v>43.882346385542171</v>
      </c>
    </row>
    <row r="539" spans="1:14" x14ac:dyDescent="0.35">
      <c r="A539" s="82">
        <v>536</v>
      </c>
      <c r="B539" s="89" t="str">
        <f>_xlfn.XLOOKUP(A539,'Model Modeshare by TAZ'!A:A,'Model Modeshare by TAZ'!B:B)</f>
        <v>Palo Alto</v>
      </c>
      <c r="C539" s="90" t="str">
        <f>_xlfn.XLOOKUP(A539,'Model Modeshare by TAZ'!A:A,'Model Modeshare by TAZ'!D:D)</f>
        <v>NO</v>
      </c>
      <c r="D539" s="27">
        <v>2317.36</v>
      </c>
      <c r="E539" s="27">
        <v>60573.25</v>
      </c>
      <c r="F539" s="27">
        <v>0</v>
      </c>
      <c r="G539" s="27">
        <v>0</v>
      </c>
      <c r="H539" s="27">
        <v>2930.85</v>
      </c>
      <c r="I539" s="27">
        <v>45953.02</v>
      </c>
      <c r="J539" s="6">
        <v>1</v>
      </c>
      <c r="K539" s="6">
        <v>2369</v>
      </c>
      <c r="L539" s="27">
        <v>0</v>
      </c>
      <c r="M539" s="27">
        <v>19.397644575770364</v>
      </c>
      <c r="N539" s="34">
        <v>44.189637130801685</v>
      </c>
    </row>
    <row r="540" spans="1:14" x14ac:dyDescent="0.35">
      <c r="A540" s="82">
        <v>537</v>
      </c>
      <c r="B540" s="89" t="str">
        <f>_xlfn.XLOOKUP(A540,'Model Modeshare by TAZ'!A:A,'Model Modeshare by TAZ'!B:B)</f>
        <v>Palo Alto</v>
      </c>
      <c r="C540" s="90" t="str">
        <f>_xlfn.XLOOKUP(A540,'Model Modeshare by TAZ'!A:A,'Model Modeshare by TAZ'!D:D)</f>
        <v>NO</v>
      </c>
      <c r="D540" s="27">
        <v>3898.22</v>
      </c>
      <c r="E540" s="27">
        <v>57750.55</v>
      </c>
      <c r="F540" s="27">
        <v>3220.92</v>
      </c>
      <c r="G540" s="27">
        <v>20262.87</v>
      </c>
      <c r="H540" s="27">
        <v>596.95000000000005</v>
      </c>
      <c r="I540" s="27">
        <v>9329.2999999999993</v>
      </c>
      <c r="J540" s="6">
        <v>2231</v>
      </c>
      <c r="K540" s="6">
        <v>406</v>
      </c>
      <c r="L540" s="27">
        <v>9.0824159569699674</v>
      </c>
      <c r="M540" s="27">
        <v>22.978571428571428</v>
      </c>
      <c r="N540" s="34">
        <v>25.214277588168375</v>
      </c>
    </row>
    <row r="541" spans="1:14" x14ac:dyDescent="0.35">
      <c r="A541" s="82">
        <v>538</v>
      </c>
      <c r="B541" s="89" t="str">
        <f>_xlfn.XLOOKUP(A541,'Model Modeshare by TAZ'!A:A,'Model Modeshare by TAZ'!B:B)</f>
        <v>San Jose</v>
      </c>
      <c r="C541" s="90" t="str">
        <f>_xlfn.XLOOKUP(A541,'Model Modeshare by TAZ'!A:A,'Model Modeshare by TAZ'!D:D)</f>
        <v>NO</v>
      </c>
      <c r="D541" s="27">
        <v>4361.3900000000003</v>
      </c>
      <c r="E541" s="27">
        <v>119117.37</v>
      </c>
      <c r="F541" s="27">
        <v>0</v>
      </c>
      <c r="G541" s="27">
        <v>0</v>
      </c>
      <c r="H541" s="27">
        <v>4341.6499999999996</v>
      </c>
      <c r="I541" s="27">
        <v>64802.92</v>
      </c>
      <c r="J541" s="6">
        <v>0</v>
      </c>
      <c r="K541" s="6">
        <v>3875</v>
      </c>
      <c r="L541" s="27">
        <v>0</v>
      </c>
      <c r="M541" s="27">
        <v>16.723334193548386</v>
      </c>
      <c r="N541" s="34">
        <v>37.853904516129035</v>
      </c>
    </row>
    <row r="542" spans="1:14" x14ac:dyDescent="0.35">
      <c r="A542" s="82">
        <v>539</v>
      </c>
      <c r="B542" s="89" t="str">
        <f>_xlfn.XLOOKUP(A542,'Model Modeshare by TAZ'!A:A,'Model Modeshare by TAZ'!B:B)</f>
        <v>San Jose</v>
      </c>
      <c r="C542" s="90" t="str">
        <f>_xlfn.XLOOKUP(A542,'Model Modeshare by TAZ'!A:A,'Model Modeshare by TAZ'!D:D)</f>
        <v>NO</v>
      </c>
      <c r="D542" s="27">
        <v>4303.55</v>
      </c>
      <c r="E542" s="27">
        <v>112742.68</v>
      </c>
      <c r="F542" s="27">
        <v>0</v>
      </c>
      <c r="G542" s="27">
        <v>0</v>
      </c>
      <c r="H542" s="27">
        <v>2840.26</v>
      </c>
      <c r="I542" s="27">
        <v>38842.230000000003</v>
      </c>
      <c r="J542" s="6">
        <v>0</v>
      </c>
      <c r="K542" s="6">
        <v>2409</v>
      </c>
      <c r="L542" s="27">
        <v>0</v>
      </c>
      <c r="M542" s="27">
        <v>16.123798256537984</v>
      </c>
      <c r="N542" s="34">
        <v>36.688538812785389</v>
      </c>
    </row>
    <row r="543" spans="1:14" x14ac:dyDescent="0.35">
      <c r="A543" s="82">
        <v>540</v>
      </c>
      <c r="B543" s="89" t="str">
        <f>_xlfn.XLOOKUP(A543,'Model Modeshare by TAZ'!A:A,'Model Modeshare by TAZ'!B:B)</f>
        <v>San Jose</v>
      </c>
      <c r="C543" s="90" t="str">
        <f>_xlfn.XLOOKUP(A543,'Model Modeshare by TAZ'!A:A,'Model Modeshare by TAZ'!D:D)</f>
        <v>NO</v>
      </c>
      <c r="D543" s="27">
        <v>2457.37</v>
      </c>
      <c r="E543" s="27">
        <v>63666.54</v>
      </c>
      <c r="F543" s="27">
        <v>0</v>
      </c>
      <c r="G543" s="27">
        <v>0</v>
      </c>
      <c r="H543" s="27">
        <v>1973.41</v>
      </c>
      <c r="I543" s="27">
        <v>26284.68</v>
      </c>
      <c r="J543" s="6">
        <v>0</v>
      </c>
      <c r="K543" s="6">
        <v>1685</v>
      </c>
      <c r="L543" s="27">
        <v>0</v>
      </c>
      <c r="M543" s="27">
        <v>15.599216617210683</v>
      </c>
      <c r="N543" s="34">
        <v>35.686243323442135</v>
      </c>
    </row>
    <row r="544" spans="1:14" x14ac:dyDescent="0.35">
      <c r="A544" s="82">
        <v>541</v>
      </c>
      <c r="B544" s="89" t="str">
        <f>_xlfn.XLOOKUP(A544,'Model Modeshare by TAZ'!A:A,'Model Modeshare by TAZ'!B:B)</f>
        <v>San Jose</v>
      </c>
      <c r="C544" s="90" t="str">
        <f>_xlfn.XLOOKUP(A544,'Model Modeshare by TAZ'!A:A,'Model Modeshare by TAZ'!D:D)</f>
        <v>NO</v>
      </c>
      <c r="D544" s="27">
        <v>118.06</v>
      </c>
      <c r="E544" s="27">
        <v>2455.09</v>
      </c>
      <c r="F544" s="27">
        <v>0</v>
      </c>
      <c r="G544" s="27">
        <v>0</v>
      </c>
      <c r="H544" s="27">
        <v>117.46</v>
      </c>
      <c r="I544" s="27">
        <v>1452.98</v>
      </c>
      <c r="J544" s="6">
        <v>10</v>
      </c>
      <c r="K544" s="6">
        <v>93</v>
      </c>
      <c r="L544" s="27">
        <v>0</v>
      </c>
      <c r="M544" s="27">
        <v>15.623440860215053</v>
      </c>
      <c r="N544" s="34">
        <v>24.166990291262135</v>
      </c>
    </row>
    <row r="545" spans="1:14" x14ac:dyDescent="0.35">
      <c r="A545" s="82">
        <v>542</v>
      </c>
      <c r="B545" s="89" t="str">
        <f>_xlfn.XLOOKUP(A545,'Model Modeshare by TAZ'!A:A,'Model Modeshare by TAZ'!B:B)</f>
        <v>San Jose</v>
      </c>
      <c r="C545" s="90" t="str">
        <f>_xlfn.XLOOKUP(A545,'Model Modeshare by TAZ'!A:A,'Model Modeshare by TAZ'!D:D)</f>
        <v>NO</v>
      </c>
      <c r="D545" s="27">
        <v>389.98</v>
      </c>
      <c r="E545" s="27">
        <v>8377.77</v>
      </c>
      <c r="F545" s="27">
        <v>0</v>
      </c>
      <c r="G545" s="27">
        <v>0</v>
      </c>
      <c r="H545" s="27">
        <v>307</v>
      </c>
      <c r="I545" s="27">
        <v>3602.73</v>
      </c>
      <c r="J545" s="6">
        <v>0</v>
      </c>
      <c r="K545" s="6">
        <v>251</v>
      </c>
      <c r="L545" s="27">
        <v>0</v>
      </c>
      <c r="M545" s="27">
        <v>14.353505976095617</v>
      </c>
      <c r="N545" s="34">
        <v>32.174581673306768</v>
      </c>
    </row>
    <row r="546" spans="1:14" x14ac:dyDescent="0.35">
      <c r="A546" s="82">
        <v>543</v>
      </c>
      <c r="B546" s="89" t="str">
        <f>_xlfn.XLOOKUP(A546,'Model Modeshare by TAZ'!A:A,'Model Modeshare by TAZ'!B:B)</f>
        <v>San Jose</v>
      </c>
      <c r="C546" s="90" t="str">
        <f>_xlfn.XLOOKUP(A546,'Model Modeshare by TAZ'!A:A,'Model Modeshare by TAZ'!D:D)</f>
        <v>NO</v>
      </c>
      <c r="D546" s="27">
        <v>678.62</v>
      </c>
      <c r="E546" s="27">
        <v>14501.39</v>
      </c>
      <c r="F546" s="27">
        <v>483.22</v>
      </c>
      <c r="G546" s="27">
        <v>3233.87</v>
      </c>
      <c r="H546" s="27">
        <v>327.86</v>
      </c>
      <c r="I546" s="27">
        <v>3650.09</v>
      </c>
      <c r="J546" s="6">
        <v>279</v>
      </c>
      <c r="K546" s="6">
        <v>273</v>
      </c>
      <c r="L546" s="27">
        <v>11.590931899641577</v>
      </c>
      <c r="M546" s="27">
        <v>13.37029304029304</v>
      </c>
      <c r="N546" s="34">
        <v>23.281123188405797</v>
      </c>
    </row>
    <row r="547" spans="1:14" x14ac:dyDescent="0.35">
      <c r="A547" s="82">
        <v>544</v>
      </c>
      <c r="B547" s="89" t="str">
        <f>_xlfn.XLOOKUP(A547,'Model Modeshare by TAZ'!A:A,'Model Modeshare by TAZ'!B:B)</f>
        <v>San Jose</v>
      </c>
      <c r="C547" s="90" t="str">
        <f>_xlfn.XLOOKUP(A547,'Model Modeshare by TAZ'!A:A,'Model Modeshare by TAZ'!D:D)</f>
        <v>NO</v>
      </c>
      <c r="D547" s="27">
        <v>973.41</v>
      </c>
      <c r="E547" s="27">
        <v>22785.360000000001</v>
      </c>
      <c r="F547" s="27">
        <v>0.8</v>
      </c>
      <c r="G547" s="27">
        <v>13.86</v>
      </c>
      <c r="H547" s="27">
        <v>532.63</v>
      </c>
      <c r="I547" s="27">
        <v>7889.54</v>
      </c>
      <c r="J547" s="6">
        <v>0</v>
      </c>
      <c r="K547" s="6">
        <v>448</v>
      </c>
      <c r="L547" s="27">
        <v>0</v>
      </c>
      <c r="M547" s="27">
        <v>17.610580357142858</v>
      </c>
      <c r="N547" s="34">
        <v>45.057142857142857</v>
      </c>
    </row>
    <row r="548" spans="1:14" x14ac:dyDescent="0.35">
      <c r="A548" s="82">
        <v>545</v>
      </c>
      <c r="B548" s="89" t="str">
        <f>_xlfn.XLOOKUP(A548,'Model Modeshare by TAZ'!A:A,'Model Modeshare by TAZ'!B:B)</f>
        <v>San Jose</v>
      </c>
      <c r="C548" s="90" t="str">
        <f>_xlfn.XLOOKUP(A548,'Model Modeshare by TAZ'!A:A,'Model Modeshare by TAZ'!D:D)</f>
        <v>NO</v>
      </c>
      <c r="D548" s="27">
        <v>210.67</v>
      </c>
      <c r="E548" s="27">
        <v>3722.89</v>
      </c>
      <c r="F548" s="27">
        <v>30.05</v>
      </c>
      <c r="G548" s="27">
        <v>277</v>
      </c>
      <c r="H548" s="27">
        <v>106.78</v>
      </c>
      <c r="I548" s="27">
        <v>1245.01</v>
      </c>
      <c r="J548" s="6">
        <v>20</v>
      </c>
      <c r="K548" s="6">
        <v>75</v>
      </c>
      <c r="L548" s="27">
        <v>13.85</v>
      </c>
      <c r="M548" s="27">
        <v>16.600133333333332</v>
      </c>
      <c r="N548" s="34">
        <v>63.219052631578954</v>
      </c>
    </row>
    <row r="549" spans="1:14" x14ac:dyDescent="0.35">
      <c r="A549" s="82">
        <v>546</v>
      </c>
      <c r="B549" s="89" t="str">
        <f>_xlfn.XLOOKUP(A549,'Model Modeshare by TAZ'!A:A,'Model Modeshare by TAZ'!B:B)</f>
        <v>San Jose</v>
      </c>
      <c r="C549" s="90" t="str">
        <f>_xlfn.XLOOKUP(A549,'Model Modeshare by TAZ'!A:A,'Model Modeshare by TAZ'!D:D)</f>
        <v>NO</v>
      </c>
      <c r="D549" s="27">
        <v>799.78</v>
      </c>
      <c r="E549" s="27">
        <v>11903.43</v>
      </c>
      <c r="F549" s="27">
        <v>2266.7199999999998</v>
      </c>
      <c r="G549" s="27">
        <v>19132.2</v>
      </c>
      <c r="H549" s="27">
        <v>1.92</v>
      </c>
      <c r="I549" s="27">
        <v>22.15</v>
      </c>
      <c r="J549" s="6">
        <v>1453</v>
      </c>
      <c r="K549" s="6">
        <v>1</v>
      </c>
      <c r="L549" s="27">
        <v>13.16737783895389</v>
      </c>
      <c r="M549" s="27">
        <v>22.15</v>
      </c>
      <c r="N549" s="34">
        <v>20.983198074277855</v>
      </c>
    </row>
    <row r="550" spans="1:14" x14ac:dyDescent="0.35">
      <c r="A550" s="82">
        <v>547</v>
      </c>
      <c r="B550" s="89" t="str">
        <f>_xlfn.XLOOKUP(A550,'Model Modeshare by TAZ'!A:A,'Model Modeshare by TAZ'!B:B)</f>
        <v>San Jose</v>
      </c>
      <c r="C550" s="90" t="str">
        <f>_xlfn.XLOOKUP(A550,'Model Modeshare by TAZ'!A:A,'Model Modeshare by TAZ'!D:D)</f>
        <v>NO</v>
      </c>
      <c r="D550" s="27">
        <v>1807.14</v>
      </c>
      <c r="E550" s="27">
        <v>23519.31</v>
      </c>
      <c r="F550" s="27">
        <v>1015.62</v>
      </c>
      <c r="G550" s="27">
        <v>6232.16</v>
      </c>
      <c r="H550" s="27">
        <v>1282.29</v>
      </c>
      <c r="I550" s="27">
        <v>13095.81</v>
      </c>
      <c r="J550" s="6">
        <v>813</v>
      </c>
      <c r="K550" s="6">
        <v>1130</v>
      </c>
      <c r="L550" s="27">
        <v>7.6656334563345627</v>
      </c>
      <c r="M550" s="27">
        <v>11.589212389380531</v>
      </c>
      <c r="N550" s="34">
        <v>22.472557900154399</v>
      </c>
    </row>
    <row r="551" spans="1:14" x14ac:dyDescent="0.35">
      <c r="A551" s="82">
        <v>548</v>
      </c>
      <c r="B551" s="89" t="str">
        <f>_xlfn.XLOOKUP(A551,'Model Modeshare by TAZ'!A:A,'Model Modeshare by TAZ'!B:B)</f>
        <v>San Jose</v>
      </c>
      <c r="C551" s="90" t="str">
        <f>_xlfn.XLOOKUP(A551,'Model Modeshare by TAZ'!A:A,'Model Modeshare by TAZ'!D:D)</f>
        <v>NO</v>
      </c>
      <c r="D551" s="27">
        <v>2529.13</v>
      </c>
      <c r="E551" s="27">
        <v>35918.04</v>
      </c>
      <c r="F551" s="27">
        <v>44.5</v>
      </c>
      <c r="G551" s="27">
        <v>312.66000000000003</v>
      </c>
      <c r="H551" s="27">
        <v>224.94</v>
      </c>
      <c r="I551" s="27">
        <v>2263.42</v>
      </c>
      <c r="J551" s="6">
        <v>26</v>
      </c>
      <c r="K551" s="6">
        <v>188</v>
      </c>
      <c r="L551" s="27">
        <v>12.025384615384617</v>
      </c>
      <c r="M551" s="27">
        <v>12.039468085106384</v>
      </c>
      <c r="N551" s="34">
        <v>43.82616822429906</v>
      </c>
    </row>
    <row r="552" spans="1:14" x14ac:dyDescent="0.35">
      <c r="A552" s="82">
        <v>549</v>
      </c>
      <c r="B552" s="89" t="str">
        <f>_xlfn.XLOOKUP(A552,'Model Modeshare by TAZ'!A:A,'Model Modeshare by TAZ'!B:B)</f>
        <v>San Jose</v>
      </c>
      <c r="C552" s="90" t="str">
        <f>_xlfn.XLOOKUP(A552,'Model Modeshare by TAZ'!A:A,'Model Modeshare by TAZ'!D:D)</f>
        <v>NO</v>
      </c>
      <c r="D552" s="27">
        <v>2013.23</v>
      </c>
      <c r="E552" s="27">
        <v>35401.040000000001</v>
      </c>
      <c r="F552" s="27">
        <v>41.83</v>
      </c>
      <c r="G552" s="27">
        <v>455.16</v>
      </c>
      <c r="H552" s="27">
        <v>383.72</v>
      </c>
      <c r="I552" s="27">
        <v>4278.55</v>
      </c>
      <c r="J552" s="6">
        <v>30</v>
      </c>
      <c r="K552" s="6">
        <v>344</v>
      </c>
      <c r="L552" s="27">
        <v>15.172000000000001</v>
      </c>
      <c r="M552" s="27">
        <v>12.43764534883721</v>
      </c>
      <c r="N552" s="34">
        <v>77.732967914438504</v>
      </c>
    </row>
    <row r="553" spans="1:14" x14ac:dyDescent="0.35">
      <c r="A553" s="82">
        <v>550</v>
      </c>
      <c r="B553" s="89" t="str">
        <f>_xlfn.XLOOKUP(A553,'Model Modeshare by TAZ'!A:A,'Model Modeshare by TAZ'!B:B)</f>
        <v>San Jose</v>
      </c>
      <c r="C553" s="90" t="str">
        <f>_xlfn.XLOOKUP(A553,'Model Modeshare by TAZ'!A:A,'Model Modeshare by TAZ'!D:D)</f>
        <v>NO</v>
      </c>
      <c r="D553" s="27">
        <v>1634.68</v>
      </c>
      <c r="E553" s="27">
        <v>22504.79</v>
      </c>
      <c r="F553" s="27">
        <v>1276.31</v>
      </c>
      <c r="G553" s="27">
        <v>7519.45</v>
      </c>
      <c r="H553" s="27">
        <v>515.35</v>
      </c>
      <c r="I553" s="27">
        <v>4879.33</v>
      </c>
      <c r="J553" s="6">
        <v>923</v>
      </c>
      <c r="K553" s="6">
        <v>461</v>
      </c>
      <c r="L553" s="27">
        <v>8.146749729144096</v>
      </c>
      <c r="M553" s="27">
        <v>10.584229934924078</v>
      </c>
      <c r="N553" s="34">
        <v>15.321293352601154</v>
      </c>
    </row>
    <row r="554" spans="1:14" x14ac:dyDescent="0.35">
      <c r="A554" s="82">
        <v>551</v>
      </c>
      <c r="B554" s="89" t="str">
        <f>_xlfn.XLOOKUP(A554,'Model Modeshare by TAZ'!A:A,'Model Modeshare by TAZ'!B:B)</f>
        <v>San Jose</v>
      </c>
      <c r="C554" s="90" t="str">
        <f>_xlfn.XLOOKUP(A554,'Model Modeshare by TAZ'!A:A,'Model Modeshare by TAZ'!D:D)</f>
        <v>NO</v>
      </c>
      <c r="D554" s="27">
        <v>240.87</v>
      </c>
      <c r="E554" s="27">
        <v>3447.18</v>
      </c>
      <c r="F554" s="27">
        <v>3.79</v>
      </c>
      <c r="G554" s="27">
        <v>29.26</v>
      </c>
      <c r="H554" s="27">
        <v>98.04</v>
      </c>
      <c r="I554" s="27">
        <v>960.02</v>
      </c>
      <c r="J554" s="6">
        <v>8</v>
      </c>
      <c r="K554" s="6">
        <v>80</v>
      </c>
      <c r="L554" s="27">
        <v>3.6575000000000002</v>
      </c>
      <c r="M554" s="27">
        <v>12.000249999999999</v>
      </c>
      <c r="N554" s="34">
        <v>19.753295454545455</v>
      </c>
    </row>
    <row r="555" spans="1:14" x14ac:dyDescent="0.35">
      <c r="A555" s="82">
        <v>552</v>
      </c>
      <c r="B555" s="89" t="str">
        <f>_xlfn.XLOOKUP(A555,'Model Modeshare by TAZ'!A:A,'Model Modeshare by TAZ'!B:B)</f>
        <v>San Jose</v>
      </c>
      <c r="C555" s="90" t="str">
        <f>_xlfn.XLOOKUP(A555,'Model Modeshare by TAZ'!A:A,'Model Modeshare by TAZ'!D:D)</f>
        <v>NO</v>
      </c>
      <c r="D555" s="27">
        <v>1719.53</v>
      </c>
      <c r="E555" s="27">
        <v>32798.29</v>
      </c>
      <c r="F555" s="27">
        <v>8.2200000000000006</v>
      </c>
      <c r="G555" s="27">
        <v>52.5</v>
      </c>
      <c r="H555" s="27">
        <v>890.25</v>
      </c>
      <c r="I555" s="27">
        <v>9505.43</v>
      </c>
      <c r="J555" s="6">
        <v>22</v>
      </c>
      <c r="K555" s="6">
        <v>783</v>
      </c>
      <c r="L555" s="27">
        <v>2.3863636363636362</v>
      </c>
      <c r="M555" s="27">
        <v>12.139757343550448</v>
      </c>
      <c r="N555" s="34">
        <v>44.263068322981361</v>
      </c>
    </row>
    <row r="556" spans="1:14" x14ac:dyDescent="0.35">
      <c r="A556" s="82">
        <v>553</v>
      </c>
      <c r="B556" s="89" t="str">
        <f>_xlfn.XLOOKUP(A556,'Model Modeshare by TAZ'!A:A,'Model Modeshare by TAZ'!B:B)</f>
        <v>San Jose</v>
      </c>
      <c r="C556" s="90" t="str">
        <f>_xlfn.XLOOKUP(A556,'Model Modeshare by TAZ'!A:A,'Model Modeshare by TAZ'!D:D)</f>
        <v>NO</v>
      </c>
      <c r="D556" s="27">
        <v>3743.26</v>
      </c>
      <c r="E556" s="27">
        <v>67611.509999999995</v>
      </c>
      <c r="F556" s="27">
        <v>67.849999999999994</v>
      </c>
      <c r="G556" s="27">
        <v>423.5</v>
      </c>
      <c r="H556" s="27">
        <v>1208.77</v>
      </c>
      <c r="I556" s="27">
        <v>13808.53</v>
      </c>
      <c r="J556" s="6">
        <v>35</v>
      </c>
      <c r="K556" s="6">
        <v>1037</v>
      </c>
      <c r="L556" s="27">
        <v>12.1</v>
      </c>
      <c r="M556" s="27">
        <v>13.315843780135005</v>
      </c>
      <c r="N556" s="34">
        <v>86.960233208955216</v>
      </c>
    </row>
    <row r="557" spans="1:14" x14ac:dyDescent="0.35">
      <c r="A557" s="82">
        <v>554</v>
      </c>
      <c r="B557" s="89" t="str">
        <f>_xlfn.XLOOKUP(A557,'Model Modeshare by TAZ'!A:A,'Model Modeshare by TAZ'!B:B)</f>
        <v>San Jose</v>
      </c>
      <c r="C557" s="90" t="str">
        <f>_xlfn.XLOOKUP(A557,'Model Modeshare by TAZ'!A:A,'Model Modeshare by TAZ'!D:D)</f>
        <v>NO</v>
      </c>
      <c r="D557" s="27">
        <v>3659.92</v>
      </c>
      <c r="E557" s="27">
        <v>52897.08</v>
      </c>
      <c r="F557" s="27">
        <v>0.49</v>
      </c>
      <c r="G557" s="27">
        <v>2.72</v>
      </c>
      <c r="H557" s="27">
        <v>4358.74</v>
      </c>
      <c r="I557" s="27">
        <v>42192.99</v>
      </c>
      <c r="J557" s="6">
        <v>3</v>
      </c>
      <c r="K557" s="6">
        <v>3889</v>
      </c>
      <c r="L557" s="27">
        <v>0.90666666666666673</v>
      </c>
      <c r="M557" s="27">
        <v>10.849316019542298</v>
      </c>
      <c r="N557" s="34">
        <v>33.802834018499489</v>
      </c>
    </row>
    <row r="558" spans="1:14" x14ac:dyDescent="0.35">
      <c r="A558" s="82">
        <v>555</v>
      </c>
      <c r="B558" s="89" t="str">
        <f>_xlfn.XLOOKUP(A558,'Model Modeshare by TAZ'!A:A,'Model Modeshare by TAZ'!B:B)</f>
        <v>San Jose</v>
      </c>
      <c r="C558" s="90" t="str">
        <f>_xlfn.XLOOKUP(A558,'Model Modeshare by TAZ'!A:A,'Model Modeshare by TAZ'!D:D)</f>
        <v>NO</v>
      </c>
      <c r="D558" s="27">
        <v>481.77</v>
      </c>
      <c r="E558" s="27">
        <v>9387.25</v>
      </c>
      <c r="F558" s="27">
        <v>41.09</v>
      </c>
      <c r="G558" s="27">
        <v>264.92</v>
      </c>
      <c r="H558" s="27">
        <v>1631.8</v>
      </c>
      <c r="I558" s="27">
        <v>19113.47</v>
      </c>
      <c r="J558" s="6">
        <v>34</v>
      </c>
      <c r="K558" s="6">
        <v>2223</v>
      </c>
      <c r="L558" s="27">
        <v>7.7917647058823531</v>
      </c>
      <c r="M558" s="27">
        <v>8.5980521817363922</v>
      </c>
      <c r="N558" s="34">
        <v>32.245755427558706</v>
      </c>
    </row>
    <row r="559" spans="1:14" x14ac:dyDescent="0.35">
      <c r="A559" s="82">
        <v>556</v>
      </c>
      <c r="B559" s="89" t="str">
        <f>_xlfn.XLOOKUP(A559,'Model Modeshare by TAZ'!A:A,'Model Modeshare by TAZ'!B:B)</f>
        <v>San Jose</v>
      </c>
      <c r="C559" s="90" t="str">
        <f>_xlfn.XLOOKUP(A559,'Model Modeshare by TAZ'!A:A,'Model Modeshare by TAZ'!D:D)</f>
        <v>NO</v>
      </c>
      <c r="D559" s="27">
        <v>1847.43</v>
      </c>
      <c r="E559" s="27">
        <v>36978.28</v>
      </c>
      <c r="F559" s="27">
        <v>18.07</v>
      </c>
      <c r="G559" s="27">
        <v>133.47</v>
      </c>
      <c r="H559" s="27">
        <v>121.37</v>
      </c>
      <c r="I559" s="27">
        <v>1440.87</v>
      </c>
      <c r="J559" s="6">
        <v>48</v>
      </c>
      <c r="K559" s="6">
        <v>115</v>
      </c>
      <c r="L559" s="27">
        <v>2.7806250000000001</v>
      </c>
      <c r="M559" s="27">
        <v>12.529304347826086</v>
      </c>
      <c r="N559" s="34">
        <v>335.57368098159509</v>
      </c>
    </row>
    <row r="560" spans="1:14" x14ac:dyDescent="0.35">
      <c r="A560" s="82">
        <v>557</v>
      </c>
      <c r="B560" s="89" t="str">
        <f>_xlfn.XLOOKUP(A560,'Model Modeshare by TAZ'!A:A,'Model Modeshare by TAZ'!B:B)</f>
        <v>San Jose</v>
      </c>
      <c r="C560" s="90" t="str">
        <f>_xlfn.XLOOKUP(A560,'Model Modeshare by TAZ'!A:A,'Model Modeshare by TAZ'!D:D)</f>
        <v>NO</v>
      </c>
      <c r="D560" s="27">
        <v>99.72</v>
      </c>
      <c r="E560" s="27">
        <v>1422.72</v>
      </c>
      <c r="F560" s="27">
        <v>972.3</v>
      </c>
      <c r="G560" s="27">
        <v>7219.8</v>
      </c>
      <c r="H560" s="27">
        <v>212.85</v>
      </c>
      <c r="I560" s="27">
        <v>2087.4499999999998</v>
      </c>
      <c r="J560" s="6">
        <v>642</v>
      </c>
      <c r="K560" s="6">
        <v>115</v>
      </c>
      <c r="L560" s="27">
        <v>11.245794392523365</v>
      </c>
      <c r="M560" s="27">
        <v>18.15173913043478</v>
      </c>
      <c r="N560" s="34">
        <v>19.017701453104358</v>
      </c>
    </row>
    <row r="561" spans="1:14" x14ac:dyDescent="0.35">
      <c r="A561" s="82">
        <v>558</v>
      </c>
      <c r="B561" s="89" t="str">
        <f>_xlfn.XLOOKUP(A561,'Model Modeshare by TAZ'!A:A,'Model Modeshare by TAZ'!B:B)</f>
        <v>San Jose</v>
      </c>
      <c r="C561" s="90" t="str">
        <f>_xlfn.XLOOKUP(A561,'Model Modeshare by TAZ'!A:A,'Model Modeshare by TAZ'!D:D)</f>
        <v>NO</v>
      </c>
      <c r="D561" s="27">
        <v>2355.34</v>
      </c>
      <c r="E561" s="27">
        <v>54765.89</v>
      </c>
      <c r="F561" s="27">
        <v>0</v>
      </c>
      <c r="G561" s="27">
        <v>0</v>
      </c>
      <c r="H561" s="27">
        <v>925.09</v>
      </c>
      <c r="I561" s="27">
        <v>13217.95</v>
      </c>
      <c r="J561" s="6">
        <v>0</v>
      </c>
      <c r="K561" s="6">
        <v>800</v>
      </c>
      <c r="L561" s="27">
        <v>0</v>
      </c>
      <c r="M561" s="27">
        <v>16.522437500000002</v>
      </c>
      <c r="N561" s="34">
        <v>38.329599999999999</v>
      </c>
    </row>
    <row r="562" spans="1:14" x14ac:dyDescent="0.35">
      <c r="A562" s="82">
        <v>559</v>
      </c>
      <c r="B562" s="89" t="str">
        <f>_xlfn.XLOOKUP(A562,'Model Modeshare by TAZ'!A:A,'Model Modeshare by TAZ'!B:B)</f>
        <v>San Jose</v>
      </c>
      <c r="C562" s="90" t="str">
        <f>_xlfn.XLOOKUP(A562,'Model Modeshare by TAZ'!A:A,'Model Modeshare by TAZ'!D:D)</f>
        <v>NO</v>
      </c>
      <c r="D562" s="27">
        <v>0</v>
      </c>
      <c r="E562" s="27">
        <v>0</v>
      </c>
      <c r="F562" s="27">
        <v>0</v>
      </c>
      <c r="G562" s="27">
        <v>0</v>
      </c>
      <c r="H562" s="27">
        <v>9.8800000000000008</v>
      </c>
      <c r="I562" s="27">
        <v>186.41</v>
      </c>
      <c r="J562" s="6">
        <v>0</v>
      </c>
      <c r="K562" s="6">
        <v>8</v>
      </c>
      <c r="L562" s="27">
        <v>0</v>
      </c>
      <c r="M562" s="27">
        <v>23.30125</v>
      </c>
      <c r="N562" s="34">
        <v>27.00375</v>
      </c>
    </row>
    <row r="563" spans="1:14" x14ac:dyDescent="0.35">
      <c r="A563" s="82">
        <v>560</v>
      </c>
      <c r="B563" s="89" t="str">
        <f>_xlfn.XLOOKUP(A563,'Model Modeshare by TAZ'!A:A,'Model Modeshare by TAZ'!B:B)</f>
        <v>San Jose</v>
      </c>
      <c r="C563" s="90" t="str">
        <f>_xlfn.XLOOKUP(A563,'Model Modeshare by TAZ'!A:A,'Model Modeshare by TAZ'!D:D)</f>
        <v>NO</v>
      </c>
      <c r="D563" s="27">
        <v>5.26</v>
      </c>
      <c r="E563" s="27">
        <v>151.99</v>
      </c>
      <c r="F563" s="27">
        <v>0</v>
      </c>
      <c r="G563" s="27">
        <v>0</v>
      </c>
      <c r="H563" s="27">
        <v>3.96</v>
      </c>
      <c r="I563" s="27">
        <v>71.959999999999994</v>
      </c>
      <c r="J563" s="6">
        <v>0</v>
      </c>
      <c r="K563" s="6">
        <v>2</v>
      </c>
      <c r="L563" s="27">
        <v>0</v>
      </c>
      <c r="M563" s="27">
        <v>35.979999999999997</v>
      </c>
      <c r="N563" s="34">
        <v>25.094999999999999</v>
      </c>
    </row>
    <row r="564" spans="1:14" x14ac:dyDescent="0.35">
      <c r="A564" s="82">
        <v>561</v>
      </c>
      <c r="B564" s="89" t="str">
        <f>_xlfn.XLOOKUP(A564,'Model Modeshare by TAZ'!A:A,'Model Modeshare by TAZ'!B:B)</f>
        <v>San Jose</v>
      </c>
      <c r="C564" s="90" t="str">
        <f>_xlfn.XLOOKUP(A564,'Model Modeshare by TAZ'!A:A,'Model Modeshare by TAZ'!D:D)</f>
        <v>NO</v>
      </c>
      <c r="D564" s="27">
        <v>5.35</v>
      </c>
      <c r="E564" s="27">
        <v>152.97</v>
      </c>
      <c r="F564" s="27">
        <v>0</v>
      </c>
      <c r="G564" s="27">
        <v>0</v>
      </c>
      <c r="H564" s="27">
        <v>7.69</v>
      </c>
      <c r="I564" s="27">
        <v>128.57</v>
      </c>
      <c r="J564" s="6">
        <v>0</v>
      </c>
      <c r="K564" s="6">
        <v>6</v>
      </c>
      <c r="L564" s="27">
        <v>0</v>
      </c>
      <c r="M564" s="27">
        <v>21.428333333333331</v>
      </c>
      <c r="N564" s="34">
        <v>25.78</v>
      </c>
    </row>
    <row r="565" spans="1:14" x14ac:dyDescent="0.35">
      <c r="A565" s="82">
        <v>562</v>
      </c>
      <c r="B565" s="89" t="str">
        <f>_xlfn.XLOOKUP(A565,'Model Modeshare by TAZ'!A:A,'Model Modeshare by TAZ'!B:B)</f>
        <v>San Jose</v>
      </c>
      <c r="C565" s="90" t="str">
        <f>_xlfn.XLOOKUP(A565,'Model Modeshare by TAZ'!A:A,'Model Modeshare by TAZ'!D:D)</f>
        <v>NO</v>
      </c>
      <c r="D565" s="27">
        <v>5.13</v>
      </c>
      <c r="E565" s="27">
        <v>127.93</v>
      </c>
      <c r="F565" s="27">
        <v>0</v>
      </c>
      <c r="G565" s="27">
        <v>0</v>
      </c>
      <c r="H565" s="27">
        <v>3.8</v>
      </c>
      <c r="I565" s="27">
        <v>65.56</v>
      </c>
      <c r="J565" s="6">
        <v>0</v>
      </c>
      <c r="K565" s="6">
        <v>3</v>
      </c>
      <c r="L565" s="27">
        <v>0</v>
      </c>
      <c r="M565" s="27">
        <v>21.853333333333335</v>
      </c>
      <c r="N565" s="34">
        <v>26.439999999999998</v>
      </c>
    </row>
    <row r="566" spans="1:14" x14ac:dyDescent="0.35">
      <c r="A566" s="82">
        <v>563</v>
      </c>
      <c r="B566" s="89" t="str">
        <f>_xlfn.XLOOKUP(A566,'Model Modeshare by TAZ'!A:A,'Model Modeshare by TAZ'!B:B)</f>
        <v>San Jose</v>
      </c>
      <c r="C566" s="90" t="str">
        <f>_xlfn.XLOOKUP(A566,'Model Modeshare by TAZ'!A:A,'Model Modeshare by TAZ'!D:D)</f>
        <v>NO</v>
      </c>
      <c r="D566" s="27">
        <v>0</v>
      </c>
      <c r="E566" s="27">
        <v>0</v>
      </c>
      <c r="F566" s="27">
        <v>0</v>
      </c>
      <c r="G566" s="27">
        <v>0</v>
      </c>
      <c r="H566" s="27">
        <v>13.45</v>
      </c>
      <c r="I566" s="27">
        <v>245.05</v>
      </c>
      <c r="J566" s="6">
        <v>0</v>
      </c>
      <c r="K566" s="6">
        <v>11</v>
      </c>
      <c r="L566" s="27">
        <v>0</v>
      </c>
      <c r="M566" s="27">
        <v>22.277272727272727</v>
      </c>
      <c r="N566" s="34">
        <v>26.148181818181818</v>
      </c>
    </row>
    <row r="567" spans="1:14" x14ac:dyDescent="0.35">
      <c r="A567" s="82">
        <v>564</v>
      </c>
      <c r="B567" s="89" t="str">
        <f>_xlfn.XLOOKUP(A567,'Model Modeshare by TAZ'!A:A,'Model Modeshare by TAZ'!B:B)</f>
        <v>San Jose</v>
      </c>
      <c r="C567" s="90" t="str">
        <f>_xlfn.XLOOKUP(A567,'Model Modeshare by TAZ'!A:A,'Model Modeshare by TAZ'!D:D)</f>
        <v>NO</v>
      </c>
      <c r="D567" s="27">
        <v>0</v>
      </c>
      <c r="E567" s="27">
        <v>0</v>
      </c>
      <c r="F567" s="27">
        <v>0</v>
      </c>
      <c r="G567" s="27">
        <v>0</v>
      </c>
      <c r="H567" s="27">
        <v>13.3</v>
      </c>
      <c r="I567" s="27">
        <v>239.58</v>
      </c>
      <c r="J567" s="6">
        <v>0</v>
      </c>
      <c r="K567" s="6">
        <v>10</v>
      </c>
      <c r="L567" s="27">
        <v>0</v>
      </c>
      <c r="M567" s="27">
        <v>23.958000000000002</v>
      </c>
      <c r="N567" s="34">
        <v>27.302</v>
      </c>
    </row>
    <row r="568" spans="1:14" x14ac:dyDescent="0.35">
      <c r="A568" s="82">
        <v>565</v>
      </c>
      <c r="B568" s="89" t="str">
        <f>_xlfn.XLOOKUP(A568,'Model Modeshare by TAZ'!A:A,'Model Modeshare by TAZ'!B:B)</f>
        <v>Unincorporated</v>
      </c>
      <c r="C568" s="90" t="str">
        <f>_xlfn.XLOOKUP(A568,'Model Modeshare by TAZ'!A:A,'Model Modeshare by TAZ'!D:D)</f>
        <v>NO</v>
      </c>
      <c r="D568" s="27">
        <v>5.42</v>
      </c>
      <c r="E568" s="27">
        <v>195.96</v>
      </c>
      <c r="F568" s="27">
        <v>0</v>
      </c>
      <c r="G568" s="27">
        <v>0</v>
      </c>
      <c r="H568" s="27">
        <v>0</v>
      </c>
      <c r="I568" s="27">
        <v>0</v>
      </c>
      <c r="J568" s="6">
        <v>0</v>
      </c>
      <c r="K568" s="6">
        <v>0</v>
      </c>
      <c r="L568" s="27">
        <v>0</v>
      </c>
      <c r="M568" s="27">
        <v>0</v>
      </c>
      <c r="N568" s="34">
        <v>0</v>
      </c>
    </row>
    <row r="569" spans="1:14" x14ac:dyDescent="0.35">
      <c r="A569" s="82">
        <v>566</v>
      </c>
      <c r="B569" s="89" t="str">
        <f>_xlfn.XLOOKUP(A569,'Model Modeshare by TAZ'!A:A,'Model Modeshare by TAZ'!B:B)</f>
        <v>Unincorporated</v>
      </c>
      <c r="C569" s="90" t="str">
        <f>_xlfn.XLOOKUP(A569,'Model Modeshare by TAZ'!A:A,'Model Modeshare by TAZ'!D:D)</f>
        <v>NO</v>
      </c>
      <c r="D569" s="27">
        <v>11.99</v>
      </c>
      <c r="E569" s="27">
        <v>379.05</v>
      </c>
      <c r="F569" s="27">
        <v>12.86</v>
      </c>
      <c r="G569" s="27">
        <v>230.15</v>
      </c>
      <c r="H569" s="27">
        <v>0</v>
      </c>
      <c r="I569" s="27">
        <v>0</v>
      </c>
      <c r="J569" s="6">
        <v>13</v>
      </c>
      <c r="K569" s="6">
        <v>0</v>
      </c>
      <c r="L569" s="27">
        <v>17.703846153846154</v>
      </c>
      <c r="M569" s="27">
        <v>0</v>
      </c>
      <c r="N569" s="34">
        <v>23.386923076923075</v>
      </c>
    </row>
    <row r="570" spans="1:14" x14ac:dyDescent="0.35">
      <c r="A570" s="82">
        <v>567</v>
      </c>
      <c r="B570" s="89" t="str">
        <f>_xlfn.XLOOKUP(A570,'Model Modeshare by TAZ'!A:A,'Model Modeshare by TAZ'!B:B)</f>
        <v>San Jose</v>
      </c>
      <c r="C570" s="90" t="str">
        <f>_xlfn.XLOOKUP(A570,'Model Modeshare by TAZ'!A:A,'Model Modeshare by TAZ'!D:D)</f>
        <v>NO</v>
      </c>
      <c r="D570" s="27">
        <v>5.31</v>
      </c>
      <c r="E570" s="27">
        <v>162.97999999999999</v>
      </c>
      <c r="F570" s="27">
        <v>0</v>
      </c>
      <c r="G570" s="27">
        <v>0</v>
      </c>
      <c r="H570" s="27">
        <v>3.98</v>
      </c>
      <c r="I570" s="27">
        <v>74.41</v>
      </c>
      <c r="J570" s="6">
        <v>0</v>
      </c>
      <c r="K570" s="6">
        <v>3</v>
      </c>
      <c r="L570" s="27">
        <v>0</v>
      </c>
      <c r="M570" s="27">
        <v>24.803333333333331</v>
      </c>
      <c r="N570" s="34">
        <v>18.436666666666667</v>
      </c>
    </row>
    <row r="571" spans="1:14" x14ac:dyDescent="0.35">
      <c r="A571" s="82">
        <v>568</v>
      </c>
      <c r="B571" s="89" t="str">
        <f>_xlfn.XLOOKUP(A571,'Model Modeshare by TAZ'!A:A,'Model Modeshare by TAZ'!B:B)</f>
        <v>San Jose</v>
      </c>
      <c r="C571" s="90" t="str">
        <f>_xlfn.XLOOKUP(A571,'Model Modeshare by TAZ'!A:A,'Model Modeshare by TAZ'!D:D)</f>
        <v>NO</v>
      </c>
      <c r="D571" s="27">
        <v>5.3</v>
      </c>
      <c r="E571" s="27">
        <v>156.77000000000001</v>
      </c>
      <c r="F571" s="27">
        <v>0</v>
      </c>
      <c r="G571" s="27">
        <v>0</v>
      </c>
      <c r="H571" s="27">
        <v>4.1399999999999997</v>
      </c>
      <c r="I571" s="27">
        <v>70.19</v>
      </c>
      <c r="J571" s="6">
        <v>0</v>
      </c>
      <c r="K571" s="6">
        <v>2</v>
      </c>
      <c r="L571" s="27">
        <v>0</v>
      </c>
      <c r="M571" s="27">
        <v>35.094999999999999</v>
      </c>
      <c r="N571" s="34">
        <v>27.844999999999999</v>
      </c>
    </row>
    <row r="572" spans="1:14" x14ac:dyDescent="0.35">
      <c r="A572" s="82">
        <v>569</v>
      </c>
      <c r="B572" s="89" t="str">
        <f>_xlfn.XLOOKUP(A572,'Model Modeshare by TAZ'!A:A,'Model Modeshare by TAZ'!B:B)</f>
        <v>San Jose</v>
      </c>
      <c r="C572" s="90" t="str">
        <f>_xlfn.XLOOKUP(A572,'Model Modeshare by TAZ'!A:A,'Model Modeshare by TAZ'!D:D)</f>
        <v>NO</v>
      </c>
      <c r="D572" s="27">
        <v>15.16</v>
      </c>
      <c r="E572" s="27">
        <v>467.56</v>
      </c>
      <c r="F572" s="27">
        <v>17.41</v>
      </c>
      <c r="G572" s="27">
        <v>277.61</v>
      </c>
      <c r="H572" s="27">
        <v>9.56</v>
      </c>
      <c r="I572" s="27">
        <v>159.35</v>
      </c>
      <c r="J572" s="6">
        <v>19</v>
      </c>
      <c r="K572" s="6">
        <v>6</v>
      </c>
      <c r="L572" s="27">
        <v>14.611052631578948</v>
      </c>
      <c r="M572" s="27">
        <v>26.558333333333334</v>
      </c>
      <c r="N572" s="34">
        <v>26.978400000000001</v>
      </c>
    </row>
    <row r="573" spans="1:14" x14ac:dyDescent="0.35">
      <c r="A573" s="82">
        <v>570</v>
      </c>
      <c r="B573" s="89" t="str">
        <f>_xlfn.XLOOKUP(A573,'Model Modeshare by TAZ'!A:A,'Model Modeshare by TAZ'!B:B)</f>
        <v>Unincorporated</v>
      </c>
      <c r="C573" s="90" t="str">
        <f>_xlfn.XLOOKUP(A573,'Model Modeshare by TAZ'!A:A,'Model Modeshare by TAZ'!D:D)</f>
        <v>NO</v>
      </c>
      <c r="D573" s="27">
        <v>10.92</v>
      </c>
      <c r="E573" s="27">
        <v>345.42</v>
      </c>
      <c r="F573" s="27">
        <v>70.09</v>
      </c>
      <c r="G573" s="27">
        <v>1156.8900000000001</v>
      </c>
      <c r="H573" s="27">
        <v>3.94</v>
      </c>
      <c r="I573" s="27">
        <v>74.040000000000006</v>
      </c>
      <c r="J573" s="6">
        <v>35</v>
      </c>
      <c r="K573" s="6">
        <v>2</v>
      </c>
      <c r="L573" s="27">
        <v>33.054000000000002</v>
      </c>
      <c r="M573" s="27">
        <v>37.020000000000003</v>
      </c>
      <c r="N573" s="34">
        <v>43.034594594594594</v>
      </c>
    </row>
    <row r="574" spans="1:14" x14ac:dyDescent="0.35">
      <c r="A574" s="82">
        <v>571</v>
      </c>
      <c r="B574" s="89" t="str">
        <f>_xlfn.XLOOKUP(A574,'Model Modeshare by TAZ'!A:A,'Model Modeshare by TAZ'!B:B)</f>
        <v>Unincorporated</v>
      </c>
      <c r="C574" s="90" t="str">
        <f>_xlfn.XLOOKUP(A574,'Model Modeshare by TAZ'!A:A,'Model Modeshare by TAZ'!D:D)</f>
        <v>NO</v>
      </c>
      <c r="D574" s="27">
        <v>0.84</v>
      </c>
      <c r="E574" s="27">
        <v>23.65</v>
      </c>
      <c r="F574" s="27">
        <v>0</v>
      </c>
      <c r="G574" s="27">
        <v>0</v>
      </c>
      <c r="H574" s="27">
        <v>6.71</v>
      </c>
      <c r="I574" s="27">
        <v>122.48</v>
      </c>
      <c r="J574" s="6">
        <v>0</v>
      </c>
      <c r="K574" s="6">
        <v>5</v>
      </c>
      <c r="L574" s="27">
        <v>0</v>
      </c>
      <c r="M574" s="27">
        <v>24.496000000000002</v>
      </c>
      <c r="N574" s="34">
        <v>12.044</v>
      </c>
    </row>
    <row r="575" spans="1:14" x14ac:dyDescent="0.35">
      <c r="A575" s="82">
        <v>572</v>
      </c>
      <c r="B575" s="89" t="str">
        <f>_xlfn.XLOOKUP(A575,'Model Modeshare by TAZ'!A:A,'Model Modeshare by TAZ'!B:B)</f>
        <v>Unincorporated</v>
      </c>
      <c r="C575" s="90" t="str">
        <f>_xlfn.XLOOKUP(A575,'Model Modeshare by TAZ'!A:A,'Model Modeshare by TAZ'!D:D)</f>
        <v>NO</v>
      </c>
      <c r="D575" s="27">
        <v>0</v>
      </c>
      <c r="E575" s="27">
        <v>0</v>
      </c>
      <c r="F575" s="27">
        <v>0</v>
      </c>
      <c r="G575" s="27">
        <v>0</v>
      </c>
      <c r="H575" s="27">
        <v>0</v>
      </c>
      <c r="I575" s="27">
        <v>0</v>
      </c>
      <c r="J575" s="6">
        <v>0</v>
      </c>
      <c r="K575" s="6">
        <v>0</v>
      </c>
      <c r="L575" s="27">
        <v>0</v>
      </c>
      <c r="M575" s="27">
        <v>0</v>
      </c>
      <c r="N575" s="34">
        <v>0</v>
      </c>
    </row>
    <row r="576" spans="1:14" x14ac:dyDescent="0.35">
      <c r="A576" s="82">
        <v>573</v>
      </c>
      <c r="B576" s="89" t="str">
        <f>_xlfn.XLOOKUP(A576,'Model Modeshare by TAZ'!A:A,'Model Modeshare by TAZ'!B:B)</f>
        <v>San Jose</v>
      </c>
      <c r="C576" s="90" t="str">
        <f>_xlfn.XLOOKUP(A576,'Model Modeshare by TAZ'!A:A,'Model Modeshare by TAZ'!D:D)</f>
        <v>NO</v>
      </c>
      <c r="D576" s="27">
        <v>5.25</v>
      </c>
      <c r="E576" s="27">
        <v>189.77</v>
      </c>
      <c r="F576" s="27">
        <v>0</v>
      </c>
      <c r="G576" s="27">
        <v>0</v>
      </c>
      <c r="H576" s="27">
        <v>0</v>
      </c>
      <c r="I576" s="27">
        <v>0</v>
      </c>
      <c r="J576" s="6">
        <v>0</v>
      </c>
      <c r="K576" s="6">
        <v>0</v>
      </c>
      <c r="L576" s="27">
        <v>0</v>
      </c>
      <c r="M576" s="27">
        <v>0</v>
      </c>
      <c r="N576" s="34">
        <v>0</v>
      </c>
    </row>
    <row r="577" spans="1:14" x14ac:dyDescent="0.35">
      <c r="A577" s="82">
        <v>574</v>
      </c>
      <c r="B577" s="89" t="str">
        <f>_xlfn.XLOOKUP(A577,'Model Modeshare by TAZ'!A:A,'Model Modeshare by TAZ'!B:B)</f>
        <v>Unincorporated</v>
      </c>
      <c r="C577" s="90" t="str">
        <f>_xlfn.XLOOKUP(A577,'Model Modeshare by TAZ'!A:A,'Model Modeshare by TAZ'!D:D)</f>
        <v>NO</v>
      </c>
      <c r="D577" s="27">
        <v>0</v>
      </c>
      <c r="E577" s="27">
        <v>0</v>
      </c>
      <c r="F577" s="27">
        <v>0</v>
      </c>
      <c r="G577" s="27">
        <v>0</v>
      </c>
      <c r="H577" s="27">
        <v>0</v>
      </c>
      <c r="I577" s="27">
        <v>0</v>
      </c>
      <c r="J577" s="6">
        <v>0</v>
      </c>
      <c r="K577" s="6">
        <v>0</v>
      </c>
      <c r="L577" s="27">
        <v>0</v>
      </c>
      <c r="M577" s="27">
        <v>0</v>
      </c>
      <c r="N577" s="34">
        <v>0</v>
      </c>
    </row>
    <row r="578" spans="1:14" x14ac:dyDescent="0.35">
      <c r="A578" s="82">
        <v>575</v>
      </c>
      <c r="B578" s="89" t="str">
        <f>_xlfn.XLOOKUP(A578,'Model Modeshare by TAZ'!A:A,'Model Modeshare by TAZ'!B:B)</f>
        <v>San Jose</v>
      </c>
      <c r="C578" s="90" t="str">
        <f>_xlfn.XLOOKUP(A578,'Model Modeshare by TAZ'!A:A,'Model Modeshare by TAZ'!D:D)</f>
        <v>NO</v>
      </c>
      <c r="D578" s="27">
        <v>182.54</v>
      </c>
      <c r="E578" s="27">
        <v>3933.13</v>
      </c>
      <c r="F578" s="27">
        <v>0</v>
      </c>
      <c r="G578" s="27">
        <v>0</v>
      </c>
      <c r="H578" s="27">
        <v>0</v>
      </c>
      <c r="I578" s="27">
        <v>0</v>
      </c>
      <c r="J578" s="6">
        <v>1</v>
      </c>
      <c r="K578" s="6">
        <v>0</v>
      </c>
      <c r="L578" s="27">
        <v>0</v>
      </c>
      <c r="M578" s="27">
        <v>0</v>
      </c>
      <c r="N578" s="34">
        <v>0</v>
      </c>
    </row>
    <row r="579" spans="1:14" x14ac:dyDescent="0.35">
      <c r="A579" s="82">
        <v>576</v>
      </c>
      <c r="B579" s="89" t="str">
        <f>_xlfn.XLOOKUP(A579,'Model Modeshare by TAZ'!A:A,'Model Modeshare by TAZ'!B:B)</f>
        <v>San Jose</v>
      </c>
      <c r="C579" s="90" t="str">
        <f>_xlfn.XLOOKUP(A579,'Model Modeshare by TAZ'!A:A,'Model Modeshare by TAZ'!D:D)</f>
        <v>NO</v>
      </c>
      <c r="D579" s="27">
        <v>3619.16</v>
      </c>
      <c r="E579" s="27">
        <v>78107.16</v>
      </c>
      <c r="F579" s="27">
        <v>8.16</v>
      </c>
      <c r="G579" s="27">
        <v>46.07</v>
      </c>
      <c r="H579" s="27">
        <v>733.78</v>
      </c>
      <c r="I579" s="27">
        <v>8455.32</v>
      </c>
      <c r="J579" s="6">
        <v>15</v>
      </c>
      <c r="K579" s="6">
        <v>785</v>
      </c>
      <c r="L579" s="27">
        <v>3.0713333333333335</v>
      </c>
      <c r="M579" s="27">
        <v>10.771108280254778</v>
      </c>
      <c r="N579" s="34">
        <v>49.425174999999996</v>
      </c>
    </row>
    <row r="580" spans="1:14" x14ac:dyDescent="0.35">
      <c r="A580" s="82">
        <v>577</v>
      </c>
      <c r="B580" s="89" t="str">
        <f>_xlfn.XLOOKUP(A580,'Model Modeshare by TAZ'!A:A,'Model Modeshare by TAZ'!B:B)</f>
        <v>San Jose</v>
      </c>
      <c r="C580" s="90" t="str">
        <f>_xlfn.XLOOKUP(A580,'Model Modeshare by TAZ'!A:A,'Model Modeshare by TAZ'!D:D)</f>
        <v>NO</v>
      </c>
      <c r="D580" s="27">
        <v>5591.08</v>
      </c>
      <c r="E580" s="27">
        <v>133154.96</v>
      </c>
      <c r="F580" s="27">
        <v>0.73</v>
      </c>
      <c r="G580" s="27">
        <v>4.72</v>
      </c>
      <c r="H580" s="27">
        <v>2745.61</v>
      </c>
      <c r="I580" s="27">
        <v>34946.639999999999</v>
      </c>
      <c r="J580" s="6">
        <v>6</v>
      </c>
      <c r="K580" s="6">
        <v>3034</v>
      </c>
      <c r="L580" s="27">
        <v>0.78666666666666663</v>
      </c>
      <c r="M580" s="27">
        <v>11.51833882663151</v>
      </c>
      <c r="N580" s="34">
        <v>39.434657894736844</v>
      </c>
    </row>
    <row r="581" spans="1:14" x14ac:dyDescent="0.35">
      <c r="A581" s="82">
        <v>578</v>
      </c>
      <c r="B581" s="89" t="str">
        <f>_xlfn.XLOOKUP(A581,'Model Modeshare by TAZ'!A:A,'Model Modeshare by TAZ'!B:B)</f>
        <v>San Jose</v>
      </c>
      <c r="C581" s="90" t="str">
        <f>_xlfn.XLOOKUP(A581,'Model Modeshare by TAZ'!A:A,'Model Modeshare by TAZ'!D:D)</f>
        <v>NO</v>
      </c>
      <c r="D581" s="27">
        <v>3920.23</v>
      </c>
      <c r="E581" s="27">
        <v>89184.01</v>
      </c>
      <c r="F581" s="27">
        <v>482.03</v>
      </c>
      <c r="G581" s="27">
        <v>3550.28</v>
      </c>
      <c r="H581" s="27">
        <v>1491.3</v>
      </c>
      <c r="I581" s="27">
        <v>18905.439999999999</v>
      </c>
      <c r="J581" s="6">
        <v>447</v>
      </c>
      <c r="K581" s="6">
        <v>1692</v>
      </c>
      <c r="L581" s="27">
        <v>7.942460850111857</v>
      </c>
      <c r="M581" s="27">
        <v>11.173427895981087</v>
      </c>
      <c r="N581" s="34">
        <v>39.39553062178588</v>
      </c>
    </row>
    <row r="582" spans="1:14" x14ac:dyDescent="0.35">
      <c r="A582" s="82">
        <v>579</v>
      </c>
      <c r="B582" s="89" t="str">
        <f>_xlfn.XLOOKUP(A582,'Model Modeshare by TAZ'!A:A,'Model Modeshare by TAZ'!B:B)</f>
        <v>San Jose</v>
      </c>
      <c r="C582" s="90" t="str">
        <f>_xlfn.XLOOKUP(A582,'Model Modeshare by TAZ'!A:A,'Model Modeshare by TAZ'!D:D)</f>
        <v>NO</v>
      </c>
      <c r="D582" s="27">
        <v>580.6</v>
      </c>
      <c r="E582" s="27">
        <v>12981.72</v>
      </c>
      <c r="F582" s="27">
        <v>240.69</v>
      </c>
      <c r="G582" s="27">
        <v>1706.04</v>
      </c>
      <c r="H582" s="27">
        <v>233.68</v>
      </c>
      <c r="I582" s="27">
        <v>2932.37</v>
      </c>
      <c r="J582" s="6">
        <v>189</v>
      </c>
      <c r="K582" s="6">
        <v>221</v>
      </c>
      <c r="L582" s="27">
        <v>9.0266666666666673</v>
      </c>
      <c r="M582" s="27">
        <v>13.268642533936651</v>
      </c>
      <c r="N582" s="34">
        <v>31.79751219512195</v>
      </c>
    </row>
    <row r="583" spans="1:14" x14ac:dyDescent="0.35">
      <c r="A583" s="82">
        <v>580</v>
      </c>
      <c r="B583" s="89" t="str">
        <f>_xlfn.XLOOKUP(A583,'Model Modeshare by TAZ'!A:A,'Model Modeshare by TAZ'!B:B)</f>
        <v>San Jose</v>
      </c>
      <c r="C583" s="90" t="str">
        <f>_xlfn.XLOOKUP(A583,'Model Modeshare by TAZ'!A:A,'Model Modeshare by TAZ'!D:D)</f>
        <v>NO</v>
      </c>
      <c r="D583" s="27">
        <v>2204.1</v>
      </c>
      <c r="E583" s="27">
        <v>38806.26</v>
      </c>
      <c r="F583" s="27">
        <v>1259.4000000000001</v>
      </c>
      <c r="G583" s="27">
        <v>7960.81</v>
      </c>
      <c r="H583" s="27">
        <v>737.49</v>
      </c>
      <c r="I583" s="27">
        <v>8057.03</v>
      </c>
      <c r="J583" s="6">
        <v>1150</v>
      </c>
      <c r="K583" s="6">
        <v>678</v>
      </c>
      <c r="L583" s="27">
        <v>6.9224434782608695</v>
      </c>
      <c r="M583" s="27">
        <v>11.883525073746313</v>
      </c>
      <c r="N583" s="34">
        <v>27.252204595185994</v>
      </c>
    </row>
    <row r="584" spans="1:14" x14ac:dyDescent="0.35">
      <c r="A584" s="82">
        <v>581</v>
      </c>
      <c r="B584" s="89" t="str">
        <f>_xlfn.XLOOKUP(A584,'Model Modeshare by TAZ'!A:A,'Model Modeshare by TAZ'!B:B)</f>
        <v>San Jose</v>
      </c>
      <c r="C584" s="90" t="str">
        <f>_xlfn.XLOOKUP(A584,'Model Modeshare by TAZ'!A:A,'Model Modeshare by TAZ'!D:D)</f>
        <v>NO</v>
      </c>
      <c r="D584" s="27">
        <v>3286.71</v>
      </c>
      <c r="E584" s="27">
        <v>53275.71</v>
      </c>
      <c r="F584" s="27">
        <v>2946.77</v>
      </c>
      <c r="G584" s="27">
        <v>18991.919999999998</v>
      </c>
      <c r="H584" s="27">
        <v>202.13</v>
      </c>
      <c r="I584" s="27">
        <v>2143.73</v>
      </c>
      <c r="J584" s="6">
        <v>2672</v>
      </c>
      <c r="K584" s="6">
        <v>114</v>
      </c>
      <c r="L584" s="27">
        <v>7.1077544910179631</v>
      </c>
      <c r="M584" s="27">
        <v>18.804649122807017</v>
      </c>
      <c r="N584" s="34">
        <v>15.798930366116295</v>
      </c>
    </row>
    <row r="585" spans="1:14" x14ac:dyDescent="0.35">
      <c r="A585" s="82">
        <v>582</v>
      </c>
      <c r="B585" s="89" t="str">
        <f>_xlfn.XLOOKUP(A585,'Model Modeshare by TAZ'!A:A,'Model Modeshare by TAZ'!B:B)</f>
        <v>San Jose</v>
      </c>
      <c r="C585" s="90" t="str">
        <f>_xlfn.XLOOKUP(A585,'Model Modeshare by TAZ'!A:A,'Model Modeshare by TAZ'!D:D)</f>
        <v>NO</v>
      </c>
      <c r="D585" s="27">
        <v>2963.02</v>
      </c>
      <c r="E585" s="27">
        <v>50513.03</v>
      </c>
      <c r="F585" s="27">
        <v>2080.67</v>
      </c>
      <c r="G585" s="27">
        <v>13463.39</v>
      </c>
      <c r="H585" s="27">
        <v>105.85</v>
      </c>
      <c r="I585" s="27">
        <v>1166.93</v>
      </c>
      <c r="J585" s="6">
        <v>1785</v>
      </c>
      <c r="K585" s="6">
        <v>59</v>
      </c>
      <c r="L585" s="27">
        <v>7.5425154061624644</v>
      </c>
      <c r="M585" s="27">
        <v>19.778474576271186</v>
      </c>
      <c r="N585" s="34">
        <v>15.918855748373101</v>
      </c>
    </row>
    <row r="586" spans="1:14" x14ac:dyDescent="0.35">
      <c r="A586" s="82">
        <v>583</v>
      </c>
      <c r="B586" s="89" t="str">
        <f>_xlfn.XLOOKUP(A586,'Model Modeshare by TAZ'!A:A,'Model Modeshare by TAZ'!B:B)</f>
        <v>San Jose</v>
      </c>
      <c r="C586" s="90" t="str">
        <f>_xlfn.XLOOKUP(A586,'Model Modeshare by TAZ'!A:A,'Model Modeshare by TAZ'!D:D)</f>
        <v>NO</v>
      </c>
      <c r="D586" s="27">
        <v>3140.85</v>
      </c>
      <c r="E586" s="27">
        <v>35796.75</v>
      </c>
      <c r="F586" s="27">
        <v>2905.33</v>
      </c>
      <c r="G586" s="27">
        <v>14755.71</v>
      </c>
      <c r="H586" s="27">
        <v>482.55</v>
      </c>
      <c r="I586" s="27">
        <v>4627.01</v>
      </c>
      <c r="J586" s="6">
        <v>2667</v>
      </c>
      <c r="K586" s="6">
        <v>283</v>
      </c>
      <c r="L586" s="27">
        <v>5.532699662542182</v>
      </c>
      <c r="M586" s="27">
        <v>16.349858657243818</v>
      </c>
      <c r="N586" s="34">
        <v>11.308210169491526</v>
      </c>
    </row>
    <row r="587" spans="1:14" x14ac:dyDescent="0.35">
      <c r="A587" s="82">
        <v>584</v>
      </c>
      <c r="B587" s="89" t="str">
        <f>_xlfn.XLOOKUP(A587,'Model Modeshare by TAZ'!A:A,'Model Modeshare by TAZ'!B:B)</f>
        <v>San Jose</v>
      </c>
      <c r="C587" s="90" t="str">
        <f>_xlfn.XLOOKUP(A587,'Model Modeshare by TAZ'!A:A,'Model Modeshare by TAZ'!D:D)</f>
        <v>NO</v>
      </c>
      <c r="D587" s="27">
        <v>3051.2</v>
      </c>
      <c r="E587" s="27">
        <v>40783.370000000003</v>
      </c>
      <c r="F587" s="27">
        <v>2668.68</v>
      </c>
      <c r="G587" s="27">
        <v>15369.52</v>
      </c>
      <c r="H587" s="27">
        <v>475.22</v>
      </c>
      <c r="I587" s="27">
        <v>4750.78</v>
      </c>
      <c r="J587" s="6">
        <v>2378</v>
      </c>
      <c r="K587" s="6">
        <v>282</v>
      </c>
      <c r="L587" s="27">
        <v>6.4632127838519766</v>
      </c>
      <c r="M587" s="27">
        <v>16.846737588652481</v>
      </c>
      <c r="N587" s="34">
        <v>12.447593984962406</v>
      </c>
    </row>
    <row r="588" spans="1:14" x14ac:dyDescent="0.35">
      <c r="A588" s="82">
        <v>585</v>
      </c>
      <c r="B588" s="89" t="str">
        <f>_xlfn.XLOOKUP(A588,'Model Modeshare by TAZ'!A:A,'Model Modeshare by TAZ'!B:B)</f>
        <v>San Jose</v>
      </c>
      <c r="C588" s="90" t="str">
        <f>_xlfn.XLOOKUP(A588,'Model Modeshare by TAZ'!A:A,'Model Modeshare by TAZ'!D:D)</f>
        <v>NO</v>
      </c>
      <c r="D588" s="27">
        <v>7644.2</v>
      </c>
      <c r="E588" s="27">
        <v>234093.08</v>
      </c>
      <c r="F588" s="27">
        <v>7639.53</v>
      </c>
      <c r="G588" s="27">
        <v>106524.03</v>
      </c>
      <c r="H588" s="27">
        <v>1442.19</v>
      </c>
      <c r="I588" s="27">
        <v>24782.13</v>
      </c>
      <c r="J588" s="6">
        <v>4812</v>
      </c>
      <c r="K588" s="6">
        <v>887</v>
      </c>
      <c r="L588" s="27">
        <v>22.137163341645884</v>
      </c>
      <c r="M588" s="27">
        <v>27.939267192784669</v>
      </c>
      <c r="N588" s="34">
        <v>42.385720301807332</v>
      </c>
    </row>
    <row r="589" spans="1:14" x14ac:dyDescent="0.35">
      <c r="A589" s="82">
        <v>586</v>
      </c>
      <c r="B589" s="89" t="str">
        <f>_xlfn.XLOOKUP(A589,'Model Modeshare by TAZ'!A:A,'Model Modeshare by TAZ'!B:B)</f>
        <v>San Jose</v>
      </c>
      <c r="C589" s="90" t="str">
        <f>_xlfn.XLOOKUP(A589,'Model Modeshare by TAZ'!A:A,'Model Modeshare by TAZ'!D:D)</f>
        <v>NO</v>
      </c>
      <c r="D589" s="27">
        <v>6832</v>
      </c>
      <c r="E589" s="27">
        <v>173196.39</v>
      </c>
      <c r="F589" s="27">
        <v>6621.63</v>
      </c>
      <c r="G589" s="27">
        <v>75740.86</v>
      </c>
      <c r="H589" s="27">
        <v>435.33</v>
      </c>
      <c r="I589" s="27">
        <v>5857.11</v>
      </c>
      <c r="J589" s="6">
        <v>3803</v>
      </c>
      <c r="K589" s="6">
        <v>237</v>
      </c>
      <c r="L589" s="27">
        <v>19.916082040494345</v>
      </c>
      <c r="M589" s="27">
        <v>24.713544303797466</v>
      </c>
      <c r="N589" s="34">
        <v>34.870163366336634</v>
      </c>
    </row>
    <row r="590" spans="1:14" x14ac:dyDescent="0.35">
      <c r="A590" s="82">
        <v>587</v>
      </c>
      <c r="B590" s="89" t="str">
        <f>_xlfn.XLOOKUP(A590,'Model Modeshare by TAZ'!A:A,'Model Modeshare by TAZ'!B:B)</f>
        <v>San Jose</v>
      </c>
      <c r="C590" s="90" t="str">
        <f>_xlfn.XLOOKUP(A590,'Model Modeshare by TAZ'!A:A,'Model Modeshare by TAZ'!D:D)</f>
        <v>NO</v>
      </c>
      <c r="D590" s="27">
        <v>3987.17</v>
      </c>
      <c r="E590" s="27">
        <v>86974.01</v>
      </c>
      <c r="F590" s="27">
        <v>4450.63</v>
      </c>
      <c r="G590" s="27">
        <v>45406.47</v>
      </c>
      <c r="H590" s="27">
        <v>234.74</v>
      </c>
      <c r="I590" s="27">
        <v>2846.92</v>
      </c>
      <c r="J590" s="6">
        <v>2649</v>
      </c>
      <c r="K590" s="6">
        <v>125</v>
      </c>
      <c r="L590" s="27">
        <v>17.140985277463194</v>
      </c>
      <c r="M590" s="27">
        <v>22.775359999999999</v>
      </c>
      <c r="N590" s="34">
        <v>27.018651766402311</v>
      </c>
    </row>
    <row r="591" spans="1:14" x14ac:dyDescent="0.35">
      <c r="A591" s="82">
        <v>588</v>
      </c>
      <c r="B591" s="89" t="str">
        <f>_xlfn.XLOOKUP(A591,'Model Modeshare by TAZ'!A:A,'Model Modeshare by TAZ'!B:B)</f>
        <v>San Jose</v>
      </c>
      <c r="C591" s="90" t="str">
        <f>_xlfn.XLOOKUP(A591,'Model Modeshare by TAZ'!A:A,'Model Modeshare by TAZ'!D:D)</f>
        <v>NO</v>
      </c>
      <c r="D591" s="27">
        <v>1898</v>
      </c>
      <c r="E591" s="27">
        <v>39649.06</v>
      </c>
      <c r="F591" s="27">
        <v>2995.87</v>
      </c>
      <c r="G591" s="27">
        <v>29377.5</v>
      </c>
      <c r="H591" s="27">
        <v>112.33</v>
      </c>
      <c r="I591" s="27">
        <v>1352.66</v>
      </c>
      <c r="J591" s="6">
        <v>1782</v>
      </c>
      <c r="K591" s="6">
        <v>59</v>
      </c>
      <c r="L591" s="27">
        <v>16.485690235690235</v>
      </c>
      <c r="M591" s="27">
        <v>22.926440677966102</v>
      </c>
      <c r="N591" s="34">
        <v>25.585594785442694</v>
      </c>
    </row>
    <row r="592" spans="1:14" x14ac:dyDescent="0.35">
      <c r="A592" s="82">
        <v>589</v>
      </c>
      <c r="B592" s="89" t="str">
        <f>_xlfn.XLOOKUP(A592,'Model Modeshare by TAZ'!A:A,'Model Modeshare by TAZ'!B:B)</f>
        <v>San Jose</v>
      </c>
      <c r="C592" s="90" t="str">
        <f>_xlfn.XLOOKUP(A592,'Model Modeshare by TAZ'!A:A,'Model Modeshare by TAZ'!D:D)</f>
        <v>NO</v>
      </c>
      <c r="D592" s="27">
        <v>3731.58</v>
      </c>
      <c r="E592" s="27">
        <v>84332.93</v>
      </c>
      <c r="F592" s="27">
        <v>7233.55</v>
      </c>
      <c r="G592" s="27">
        <v>74795.850000000006</v>
      </c>
      <c r="H592" s="27">
        <v>334.17</v>
      </c>
      <c r="I592" s="27">
        <v>4140.2299999999996</v>
      </c>
      <c r="J592" s="6">
        <v>4285</v>
      </c>
      <c r="K592" s="6">
        <v>176</v>
      </c>
      <c r="L592" s="27">
        <v>17.455274212368728</v>
      </c>
      <c r="M592" s="27">
        <v>23.524034090909087</v>
      </c>
      <c r="N592" s="34">
        <v>30.640058282896209</v>
      </c>
    </row>
    <row r="593" spans="1:14" x14ac:dyDescent="0.35">
      <c r="A593" s="82">
        <v>590</v>
      </c>
      <c r="B593" s="89" t="str">
        <f>_xlfn.XLOOKUP(A593,'Model Modeshare by TAZ'!A:A,'Model Modeshare by TAZ'!B:B)</f>
        <v>San Jose</v>
      </c>
      <c r="C593" s="90" t="str">
        <f>_xlfn.XLOOKUP(A593,'Model Modeshare by TAZ'!A:A,'Model Modeshare by TAZ'!D:D)</f>
        <v>NO</v>
      </c>
      <c r="D593" s="27">
        <v>2221.63</v>
      </c>
      <c r="E593" s="27">
        <v>50140.19</v>
      </c>
      <c r="F593" s="27">
        <v>3032.06</v>
      </c>
      <c r="G593" s="27">
        <v>32752.54</v>
      </c>
      <c r="H593" s="27">
        <v>247.31</v>
      </c>
      <c r="I593" s="27">
        <v>3104.01</v>
      </c>
      <c r="J593" s="6">
        <v>1795</v>
      </c>
      <c r="K593" s="6">
        <v>130</v>
      </c>
      <c r="L593" s="27">
        <v>18.246540389972147</v>
      </c>
      <c r="M593" s="27">
        <v>23.877000000000002</v>
      </c>
      <c r="N593" s="34">
        <v>29.052737662337659</v>
      </c>
    </row>
    <row r="594" spans="1:14" x14ac:dyDescent="0.35">
      <c r="A594" s="82">
        <v>591</v>
      </c>
      <c r="B594" s="89" t="str">
        <f>_xlfn.XLOOKUP(A594,'Model Modeshare by TAZ'!A:A,'Model Modeshare by TAZ'!B:B)</f>
        <v>San Jose</v>
      </c>
      <c r="C594" s="90" t="str">
        <f>_xlfn.XLOOKUP(A594,'Model Modeshare by TAZ'!A:A,'Model Modeshare by TAZ'!D:D)</f>
        <v>NO</v>
      </c>
      <c r="D594" s="27">
        <v>4307.26</v>
      </c>
      <c r="E594" s="27">
        <v>113050.21</v>
      </c>
      <c r="F594" s="27">
        <v>4232.42</v>
      </c>
      <c r="G594" s="27">
        <v>53424.2</v>
      </c>
      <c r="H594" s="27">
        <v>375.04</v>
      </c>
      <c r="I594" s="27">
        <v>5537.35</v>
      </c>
      <c r="J594" s="6">
        <v>2517</v>
      </c>
      <c r="K594" s="6">
        <v>194</v>
      </c>
      <c r="L594" s="27">
        <v>21.225347636074691</v>
      </c>
      <c r="M594" s="27">
        <v>28.543041237113403</v>
      </c>
      <c r="N594" s="34">
        <v>33.45172998893397</v>
      </c>
    </row>
    <row r="595" spans="1:14" x14ac:dyDescent="0.35">
      <c r="A595" s="82">
        <v>592</v>
      </c>
      <c r="B595" s="89" t="str">
        <f>_xlfn.XLOOKUP(A595,'Model Modeshare by TAZ'!A:A,'Model Modeshare by TAZ'!B:B)</f>
        <v>Unincorporated</v>
      </c>
      <c r="C595" s="90" t="str">
        <f>_xlfn.XLOOKUP(A595,'Model Modeshare by TAZ'!A:A,'Model Modeshare by TAZ'!D:D)</f>
        <v>NO</v>
      </c>
      <c r="D595" s="27">
        <v>37.68</v>
      </c>
      <c r="E595" s="27">
        <v>873.48</v>
      </c>
      <c r="F595" s="27">
        <v>16.010000000000002</v>
      </c>
      <c r="G595" s="27">
        <v>218.86</v>
      </c>
      <c r="H595" s="27">
        <v>1.81</v>
      </c>
      <c r="I595" s="27">
        <v>30.05</v>
      </c>
      <c r="J595" s="6">
        <v>14</v>
      </c>
      <c r="K595" s="6">
        <v>1</v>
      </c>
      <c r="L595" s="27">
        <v>15.632857142857144</v>
      </c>
      <c r="M595" s="27">
        <v>30.05</v>
      </c>
      <c r="N595" s="34">
        <v>22.64</v>
      </c>
    </row>
    <row r="596" spans="1:14" x14ac:dyDescent="0.35">
      <c r="A596" s="82">
        <v>593</v>
      </c>
      <c r="B596" s="89" t="str">
        <f>_xlfn.XLOOKUP(A596,'Model Modeshare by TAZ'!A:A,'Model Modeshare by TAZ'!B:B)</f>
        <v>San Jose</v>
      </c>
      <c r="C596" s="90" t="str">
        <f>_xlfn.XLOOKUP(A596,'Model Modeshare by TAZ'!A:A,'Model Modeshare by TAZ'!D:D)</f>
        <v>NO</v>
      </c>
      <c r="D596" s="27">
        <v>2379.48</v>
      </c>
      <c r="E596" s="27">
        <v>45208.28</v>
      </c>
      <c r="F596" s="27">
        <v>2668.56</v>
      </c>
      <c r="G596" s="27">
        <v>24542.41</v>
      </c>
      <c r="H596" s="27">
        <v>52.37</v>
      </c>
      <c r="I596" s="27">
        <v>544.91</v>
      </c>
      <c r="J596" s="6">
        <v>1738</v>
      </c>
      <c r="K596" s="6">
        <v>29</v>
      </c>
      <c r="L596" s="27">
        <v>14.121064441887226</v>
      </c>
      <c r="M596" s="27">
        <v>18.79</v>
      </c>
      <c r="N596" s="34">
        <v>22.138834182229768</v>
      </c>
    </row>
    <row r="597" spans="1:14" x14ac:dyDescent="0.35">
      <c r="A597" s="82">
        <v>594</v>
      </c>
      <c r="B597" s="89" t="str">
        <f>_xlfn.XLOOKUP(A597,'Model Modeshare by TAZ'!A:A,'Model Modeshare by TAZ'!B:B)</f>
        <v>San Jose</v>
      </c>
      <c r="C597" s="90" t="str">
        <f>_xlfn.XLOOKUP(A597,'Model Modeshare by TAZ'!A:A,'Model Modeshare by TAZ'!D:D)</f>
        <v>NO</v>
      </c>
      <c r="D597" s="27">
        <v>2208.58</v>
      </c>
      <c r="E597" s="27">
        <v>41342.14</v>
      </c>
      <c r="F597" s="27">
        <v>2417.08</v>
      </c>
      <c r="G597" s="27">
        <v>21908.66</v>
      </c>
      <c r="H597" s="27">
        <v>33.08</v>
      </c>
      <c r="I597" s="27">
        <v>345.15</v>
      </c>
      <c r="J597" s="6">
        <v>1566</v>
      </c>
      <c r="K597" s="6">
        <v>18</v>
      </c>
      <c r="L597" s="27">
        <v>13.990204342273307</v>
      </c>
      <c r="M597" s="27">
        <v>19.174999999999997</v>
      </c>
      <c r="N597" s="34">
        <v>22.003150252525252</v>
      </c>
    </row>
    <row r="598" spans="1:14" x14ac:dyDescent="0.35">
      <c r="A598" s="82">
        <v>595</v>
      </c>
      <c r="B598" s="89" t="str">
        <f>_xlfn.XLOOKUP(A598,'Model Modeshare by TAZ'!A:A,'Model Modeshare by TAZ'!B:B)</f>
        <v>San Jose</v>
      </c>
      <c r="C598" s="90" t="str">
        <f>_xlfn.XLOOKUP(A598,'Model Modeshare by TAZ'!A:A,'Model Modeshare by TAZ'!D:D)</f>
        <v>NO</v>
      </c>
      <c r="D598" s="27">
        <v>3701.58</v>
      </c>
      <c r="E598" s="27">
        <v>64838.07</v>
      </c>
      <c r="F598" s="27">
        <v>3395.08</v>
      </c>
      <c r="G598" s="27">
        <v>27624.1</v>
      </c>
      <c r="H598" s="27">
        <v>683.58</v>
      </c>
      <c r="I598" s="27">
        <v>6657.48</v>
      </c>
      <c r="J598" s="6">
        <v>2562</v>
      </c>
      <c r="K598" s="6">
        <v>464</v>
      </c>
      <c r="L598" s="27">
        <v>10.782240437158469</v>
      </c>
      <c r="M598" s="27">
        <v>14.34801724137931</v>
      </c>
      <c r="N598" s="34">
        <v>18.702157964309322</v>
      </c>
    </row>
    <row r="599" spans="1:14" x14ac:dyDescent="0.35">
      <c r="A599" s="82">
        <v>596</v>
      </c>
      <c r="B599" s="89" t="str">
        <f>_xlfn.XLOOKUP(A599,'Model Modeshare by TAZ'!A:A,'Model Modeshare by TAZ'!B:B)</f>
        <v>San Jose</v>
      </c>
      <c r="C599" s="90" t="str">
        <f>_xlfn.XLOOKUP(A599,'Model Modeshare by TAZ'!A:A,'Model Modeshare by TAZ'!D:D)</f>
        <v>NO</v>
      </c>
      <c r="D599" s="27">
        <v>2583.9</v>
      </c>
      <c r="E599" s="27">
        <v>46215.39</v>
      </c>
      <c r="F599" s="27">
        <v>2608.65</v>
      </c>
      <c r="G599" s="27">
        <v>22560.04</v>
      </c>
      <c r="H599" s="27">
        <v>169.12</v>
      </c>
      <c r="I599" s="27">
        <v>1804.93</v>
      </c>
      <c r="J599" s="6">
        <v>1951</v>
      </c>
      <c r="K599" s="6">
        <v>98</v>
      </c>
      <c r="L599" s="27">
        <v>11.563321373654537</v>
      </c>
      <c r="M599" s="27">
        <v>18.417653061224492</v>
      </c>
      <c r="N599" s="34">
        <v>18.471556857003417</v>
      </c>
    </row>
    <row r="600" spans="1:14" x14ac:dyDescent="0.35">
      <c r="A600" s="82">
        <v>597</v>
      </c>
      <c r="B600" s="89" t="str">
        <f>_xlfn.XLOOKUP(A600,'Model Modeshare by TAZ'!A:A,'Model Modeshare by TAZ'!B:B)</f>
        <v>San Jose</v>
      </c>
      <c r="C600" s="90" t="str">
        <f>_xlfn.XLOOKUP(A600,'Model Modeshare by TAZ'!A:A,'Model Modeshare by TAZ'!D:D)</f>
        <v>NO</v>
      </c>
      <c r="D600" s="27">
        <v>1136.54</v>
      </c>
      <c r="E600" s="27">
        <v>22378.65</v>
      </c>
      <c r="F600" s="27">
        <v>1116.5899999999999</v>
      </c>
      <c r="G600" s="27">
        <v>10505.22</v>
      </c>
      <c r="H600" s="27">
        <v>15.93</v>
      </c>
      <c r="I600" s="27">
        <v>171.67</v>
      </c>
      <c r="J600" s="6">
        <v>704</v>
      </c>
      <c r="K600" s="6">
        <v>9</v>
      </c>
      <c r="L600" s="27">
        <v>14.9221875</v>
      </c>
      <c r="M600" s="27">
        <v>19.074444444444442</v>
      </c>
      <c r="N600" s="34">
        <v>23.216157082748946</v>
      </c>
    </row>
    <row r="601" spans="1:14" x14ac:dyDescent="0.35">
      <c r="A601" s="82">
        <v>598</v>
      </c>
      <c r="B601" s="89" t="str">
        <f>_xlfn.XLOOKUP(A601,'Model Modeshare by TAZ'!A:A,'Model Modeshare by TAZ'!B:B)</f>
        <v>San Jose</v>
      </c>
      <c r="C601" s="90" t="str">
        <f>_xlfn.XLOOKUP(A601,'Model Modeshare by TAZ'!A:A,'Model Modeshare by TAZ'!D:D)</f>
        <v>NO</v>
      </c>
      <c r="D601" s="27">
        <v>6441.64</v>
      </c>
      <c r="E601" s="27">
        <v>102012.83</v>
      </c>
      <c r="F601" s="27">
        <v>5989.39</v>
      </c>
      <c r="G601" s="27">
        <v>48201.05</v>
      </c>
      <c r="H601" s="27">
        <v>265.72000000000003</v>
      </c>
      <c r="I601" s="27">
        <v>2584.69</v>
      </c>
      <c r="J601" s="6">
        <v>4587</v>
      </c>
      <c r="K601" s="6">
        <v>147</v>
      </c>
      <c r="L601" s="27">
        <v>10.508186178330064</v>
      </c>
      <c r="M601" s="27">
        <v>17.582925170068027</v>
      </c>
      <c r="N601" s="34">
        <v>19.481239966201944</v>
      </c>
    </row>
    <row r="602" spans="1:14" x14ac:dyDescent="0.35">
      <c r="A602" s="82">
        <v>599</v>
      </c>
      <c r="B602" s="89" t="str">
        <f>_xlfn.XLOOKUP(A602,'Model Modeshare by TAZ'!A:A,'Model Modeshare by TAZ'!B:B)</f>
        <v>San Jose</v>
      </c>
      <c r="C602" s="90" t="str">
        <f>_xlfn.XLOOKUP(A602,'Model Modeshare by TAZ'!A:A,'Model Modeshare by TAZ'!D:D)</f>
        <v>NO</v>
      </c>
      <c r="D602" s="27">
        <v>5936.93</v>
      </c>
      <c r="E602" s="27">
        <v>110423.87</v>
      </c>
      <c r="F602" s="27">
        <v>5424.33</v>
      </c>
      <c r="G602" s="27">
        <v>45124.58</v>
      </c>
      <c r="H602" s="27">
        <v>913.73</v>
      </c>
      <c r="I602" s="27">
        <v>9164.0300000000007</v>
      </c>
      <c r="J602" s="6">
        <v>4552</v>
      </c>
      <c r="K602" s="6">
        <v>511</v>
      </c>
      <c r="L602" s="27">
        <v>9.913132688927945</v>
      </c>
      <c r="M602" s="27">
        <v>17.93352250489237</v>
      </c>
      <c r="N602" s="34">
        <v>21.259628678649023</v>
      </c>
    </row>
    <row r="603" spans="1:14" x14ac:dyDescent="0.35">
      <c r="A603" s="82">
        <v>600</v>
      </c>
      <c r="B603" s="89" t="str">
        <f>_xlfn.XLOOKUP(A603,'Model Modeshare by TAZ'!A:A,'Model Modeshare by TAZ'!B:B)</f>
        <v>Unincorporated</v>
      </c>
      <c r="C603" s="90" t="str">
        <f>_xlfn.XLOOKUP(A603,'Model Modeshare by TAZ'!A:A,'Model Modeshare by TAZ'!D:D)</f>
        <v>NO</v>
      </c>
      <c r="D603" s="27">
        <v>804.98</v>
      </c>
      <c r="E603" s="27">
        <v>28455.53</v>
      </c>
      <c r="F603" s="27">
        <v>938.55</v>
      </c>
      <c r="G603" s="27">
        <v>14913.36</v>
      </c>
      <c r="H603" s="27">
        <v>653.82000000000005</v>
      </c>
      <c r="I603" s="27">
        <v>13855.03</v>
      </c>
      <c r="J603" s="6">
        <v>581</v>
      </c>
      <c r="K603" s="6">
        <v>496</v>
      </c>
      <c r="L603" s="27">
        <v>25.668433734939761</v>
      </c>
      <c r="M603" s="27">
        <v>27.933528225806452</v>
      </c>
      <c r="N603" s="34">
        <v>52.98111420612814</v>
      </c>
    </row>
    <row r="604" spans="1:14" x14ac:dyDescent="0.35">
      <c r="A604" s="82">
        <v>601</v>
      </c>
      <c r="B604" s="89" t="str">
        <f>_xlfn.XLOOKUP(A604,'Model Modeshare by TAZ'!A:A,'Model Modeshare by TAZ'!B:B)</f>
        <v>San Jose</v>
      </c>
      <c r="C604" s="90" t="str">
        <f>_xlfn.XLOOKUP(A604,'Model Modeshare by TAZ'!A:A,'Model Modeshare by TAZ'!D:D)</f>
        <v>NO</v>
      </c>
      <c r="D604" s="27">
        <v>6954.27</v>
      </c>
      <c r="E604" s="27">
        <v>131414.54</v>
      </c>
      <c r="F604" s="27">
        <v>3891.68</v>
      </c>
      <c r="G604" s="27">
        <v>27053.51</v>
      </c>
      <c r="H604" s="27">
        <v>1684.49</v>
      </c>
      <c r="I604" s="27">
        <v>20094.87</v>
      </c>
      <c r="J604" s="6">
        <v>2537</v>
      </c>
      <c r="K604" s="6">
        <v>1420</v>
      </c>
      <c r="L604" s="27">
        <v>10.66358297201419</v>
      </c>
      <c r="M604" s="27">
        <v>14.15131690140845</v>
      </c>
      <c r="N604" s="34">
        <v>34.592560020217341</v>
      </c>
    </row>
    <row r="605" spans="1:14" x14ac:dyDescent="0.35">
      <c r="A605" s="82">
        <v>602</v>
      </c>
      <c r="B605" s="89" t="str">
        <f>_xlfn.XLOOKUP(A605,'Model Modeshare by TAZ'!A:A,'Model Modeshare by TAZ'!B:B)</f>
        <v>San Jose</v>
      </c>
      <c r="C605" s="90" t="str">
        <f>_xlfn.XLOOKUP(A605,'Model Modeshare by TAZ'!A:A,'Model Modeshare by TAZ'!D:D)</f>
        <v>NO</v>
      </c>
      <c r="D605" s="27">
        <v>2755.06</v>
      </c>
      <c r="E605" s="27">
        <v>53737.94</v>
      </c>
      <c r="F605" s="27">
        <v>2484.3200000000002</v>
      </c>
      <c r="G605" s="27">
        <v>19330.75</v>
      </c>
      <c r="H605" s="27">
        <v>433.29</v>
      </c>
      <c r="I605" s="27">
        <v>5635.19</v>
      </c>
      <c r="J605" s="6">
        <v>1552</v>
      </c>
      <c r="K605" s="6">
        <v>229</v>
      </c>
      <c r="L605" s="27">
        <v>12.455380154639176</v>
      </c>
      <c r="M605" s="27">
        <v>24.607816593886461</v>
      </c>
      <c r="N605" s="34">
        <v>25.799320606400897</v>
      </c>
    </row>
    <row r="606" spans="1:14" x14ac:dyDescent="0.35">
      <c r="A606" s="82">
        <v>603</v>
      </c>
      <c r="B606" s="89" t="str">
        <f>_xlfn.XLOOKUP(A606,'Model Modeshare by TAZ'!A:A,'Model Modeshare by TAZ'!B:B)</f>
        <v>San Jose</v>
      </c>
      <c r="C606" s="90" t="str">
        <f>_xlfn.XLOOKUP(A606,'Model Modeshare by TAZ'!A:A,'Model Modeshare by TAZ'!D:D)</f>
        <v>NO</v>
      </c>
      <c r="D606" s="27">
        <v>4318.7700000000004</v>
      </c>
      <c r="E606" s="27">
        <v>73525.179999999993</v>
      </c>
      <c r="F606" s="27">
        <v>5235.95</v>
      </c>
      <c r="G606" s="27">
        <v>36295.199999999997</v>
      </c>
      <c r="H606" s="27">
        <v>4.24</v>
      </c>
      <c r="I606" s="27">
        <v>55.98</v>
      </c>
      <c r="J606" s="6">
        <v>3365</v>
      </c>
      <c r="K606" s="6">
        <v>2</v>
      </c>
      <c r="L606" s="27">
        <v>10.786092124814264</v>
      </c>
      <c r="M606" s="27">
        <v>27.99</v>
      </c>
      <c r="N606" s="34">
        <v>17.308197208197207</v>
      </c>
    </row>
    <row r="607" spans="1:14" x14ac:dyDescent="0.35">
      <c r="A607" s="82">
        <v>604</v>
      </c>
      <c r="B607" s="89" t="str">
        <f>_xlfn.XLOOKUP(A607,'Model Modeshare by TAZ'!A:A,'Model Modeshare by TAZ'!B:B)</f>
        <v>San Jose</v>
      </c>
      <c r="C607" s="90" t="str">
        <f>_xlfn.XLOOKUP(A607,'Model Modeshare by TAZ'!A:A,'Model Modeshare by TAZ'!D:D)</f>
        <v>NO</v>
      </c>
      <c r="D607" s="27">
        <v>2762.08</v>
      </c>
      <c r="E607" s="27">
        <v>32907.089999999997</v>
      </c>
      <c r="F607" s="27">
        <v>2798.02</v>
      </c>
      <c r="G607" s="27">
        <v>16323.24</v>
      </c>
      <c r="H607" s="27">
        <v>254.87</v>
      </c>
      <c r="I607" s="27">
        <v>3124.05</v>
      </c>
      <c r="J607" s="6">
        <v>1791</v>
      </c>
      <c r="K607" s="6">
        <v>138</v>
      </c>
      <c r="L607" s="27">
        <v>9.1140368509212735</v>
      </c>
      <c r="M607" s="27">
        <v>22.638043478260872</v>
      </c>
      <c r="N607" s="34">
        <v>14.79696734059098</v>
      </c>
    </row>
    <row r="608" spans="1:14" x14ac:dyDescent="0.35">
      <c r="A608" s="82">
        <v>605</v>
      </c>
      <c r="B608" s="89" t="str">
        <f>_xlfn.XLOOKUP(A608,'Model Modeshare by TAZ'!A:A,'Model Modeshare by TAZ'!B:B)</f>
        <v>San Jose</v>
      </c>
      <c r="C608" s="90" t="str">
        <f>_xlfn.XLOOKUP(A608,'Model Modeshare by TAZ'!A:A,'Model Modeshare by TAZ'!D:D)</f>
        <v>NO</v>
      </c>
      <c r="D608" s="27">
        <v>4109.22</v>
      </c>
      <c r="E608" s="27">
        <v>58452.160000000003</v>
      </c>
      <c r="F608" s="27">
        <v>2599.35</v>
      </c>
      <c r="G608" s="27">
        <v>17105.78</v>
      </c>
      <c r="H608" s="27">
        <v>426.17</v>
      </c>
      <c r="I608" s="27">
        <v>5335.88</v>
      </c>
      <c r="J608" s="6">
        <v>1610</v>
      </c>
      <c r="K608" s="6">
        <v>229</v>
      </c>
      <c r="L608" s="27">
        <v>10.62470807453416</v>
      </c>
      <c r="M608" s="27">
        <v>23.300786026200875</v>
      </c>
      <c r="N608" s="34">
        <v>25.675301794453507</v>
      </c>
    </row>
    <row r="609" spans="1:14" x14ac:dyDescent="0.35">
      <c r="A609" s="82">
        <v>606</v>
      </c>
      <c r="B609" s="89" t="str">
        <f>_xlfn.XLOOKUP(A609,'Model Modeshare by TAZ'!A:A,'Model Modeshare by TAZ'!B:B)</f>
        <v>San Jose</v>
      </c>
      <c r="C609" s="90" t="str">
        <f>_xlfn.XLOOKUP(A609,'Model Modeshare by TAZ'!A:A,'Model Modeshare by TAZ'!D:D)</f>
        <v>NO</v>
      </c>
      <c r="D609" s="27">
        <v>5751.71</v>
      </c>
      <c r="E609" s="27">
        <v>72007.59</v>
      </c>
      <c r="F609" s="27">
        <v>4559.82</v>
      </c>
      <c r="G609" s="27">
        <v>25112.77</v>
      </c>
      <c r="H609" s="27">
        <v>1221.97</v>
      </c>
      <c r="I609" s="27">
        <v>14693.29</v>
      </c>
      <c r="J609" s="6">
        <v>3025</v>
      </c>
      <c r="K609" s="6">
        <v>810</v>
      </c>
      <c r="L609" s="27">
        <v>8.3017421487603311</v>
      </c>
      <c r="M609" s="27">
        <v>18.139864197530866</v>
      </c>
      <c r="N609" s="34">
        <v>17.561676662320728</v>
      </c>
    </row>
    <row r="610" spans="1:14" x14ac:dyDescent="0.35">
      <c r="A610" s="82">
        <v>607</v>
      </c>
      <c r="B610" s="89" t="str">
        <f>_xlfn.XLOOKUP(A610,'Model Modeshare by TAZ'!A:A,'Model Modeshare by TAZ'!B:B)</f>
        <v>San Jose</v>
      </c>
      <c r="C610" s="90" t="str">
        <f>_xlfn.XLOOKUP(A610,'Model Modeshare by TAZ'!A:A,'Model Modeshare by TAZ'!D:D)</f>
        <v>NO</v>
      </c>
      <c r="D610" s="27">
        <v>2384.36</v>
      </c>
      <c r="E610" s="27">
        <v>24211.8</v>
      </c>
      <c r="F610" s="27">
        <v>2776.56</v>
      </c>
      <c r="G610" s="27">
        <v>14688.69</v>
      </c>
      <c r="H610" s="27">
        <v>37.57</v>
      </c>
      <c r="I610" s="27">
        <v>453.32</v>
      </c>
      <c r="J610" s="6">
        <v>1848</v>
      </c>
      <c r="K610" s="6">
        <v>19</v>
      </c>
      <c r="L610" s="27">
        <v>7.9484253246753251</v>
      </c>
      <c r="M610" s="27">
        <v>23.858947368421052</v>
      </c>
      <c r="N610" s="34">
        <v>11.004017139796465</v>
      </c>
    </row>
    <row r="611" spans="1:14" x14ac:dyDescent="0.35">
      <c r="A611" s="82">
        <v>608</v>
      </c>
      <c r="B611" s="89" t="str">
        <f>_xlfn.XLOOKUP(A611,'Model Modeshare by TAZ'!A:A,'Model Modeshare by TAZ'!B:B)</f>
        <v>San Jose</v>
      </c>
      <c r="C611" s="90" t="str">
        <f>_xlfn.XLOOKUP(A611,'Model Modeshare by TAZ'!A:A,'Model Modeshare by TAZ'!D:D)</f>
        <v>NO</v>
      </c>
      <c r="D611" s="27">
        <v>3515.79</v>
      </c>
      <c r="E611" s="27">
        <v>36949.360000000001</v>
      </c>
      <c r="F611" s="27">
        <v>3698.07</v>
      </c>
      <c r="G611" s="27">
        <v>19496.16</v>
      </c>
      <c r="H611" s="27">
        <v>245.75</v>
      </c>
      <c r="I611" s="27">
        <v>3087.79</v>
      </c>
      <c r="J611" s="6">
        <v>2580</v>
      </c>
      <c r="K611" s="6">
        <v>133</v>
      </c>
      <c r="L611" s="27">
        <v>7.5566511627906978</v>
      </c>
      <c r="M611" s="27">
        <v>23.216466165413532</v>
      </c>
      <c r="N611" s="34">
        <v>11.789248064872835</v>
      </c>
    </row>
    <row r="612" spans="1:14" x14ac:dyDescent="0.35">
      <c r="A612" s="82">
        <v>609</v>
      </c>
      <c r="B612" s="89" t="str">
        <f>_xlfn.XLOOKUP(A612,'Model Modeshare by TAZ'!A:A,'Model Modeshare by TAZ'!B:B)</f>
        <v>San Jose</v>
      </c>
      <c r="C612" s="90" t="str">
        <f>_xlfn.XLOOKUP(A612,'Model Modeshare by TAZ'!A:A,'Model Modeshare by TAZ'!D:D)</f>
        <v>NO</v>
      </c>
      <c r="D612" s="27">
        <v>2846.85</v>
      </c>
      <c r="E612" s="27">
        <v>38030.080000000002</v>
      </c>
      <c r="F612" s="27">
        <v>2917.03</v>
      </c>
      <c r="G612" s="27">
        <v>18210.73</v>
      </c>
      <c r="H612" s="27">
        <v>245.05</v>
      </c>
      <c r="I612" s="27">
        <v>3131.25</v>
      </c>
      <c r="J612" s="6">
        <v>1921</v>
      </c>
      <c r="K612" s="6">
        <v>131</v>
      </c>
      <c r="L612" s="27">
        <v>9.4798178032274851</v>
      </c>
      <c r="M612" s="27">
        <v>23.902671755725191</v>
      </c>
      <c r="N612" s="34">
        <v>16.564434697855752</v>
      </c>
    </row>
    <row r="613" spans="1:14" x14ac:dyDescent="0.35">
      <c r="A613" s="82">
        <v>610</v>
      </c>
      <c r="B613" s="89" t="str">
        <f>_xlfn.XLOOKUP(A613,'Model Modeshare by TAZ'!A:A,'Model Modeshare by TAZ'!B:B)</f>
        <v>San Jose</v>
      </c>
      <c r="C613" s="90" t="str">
        <f>_xlfn.XLOOKUP(A613,'Model Modeshare by TAZ'!A:A,'Model Modeshare by TAZ'!D:D)</f>
        <v>NO</v>
      </c>
      <c r="D613" s="27">
        <v>1546</v>
      </c>
      <c r="E613" s="27">
        <v>22415.37</v>
      </c>
      <c r="F613" s="27">
        <v>1951.49</v>
      </c>
      <c r="G613" s="27">
        <v>13195.53</v>
      </c>
      <c r="H613" s="27">
        <v>0.88</v>
      </c>
      <c r="I613" s="27">
        <v>12.22</v>
      </c>
      <c r="J613" s="6">
        <v>1243</v>
      </c>
      <c r="K613" s="6">
        <v>1</v>
      </c>
      <c r="L613" s="27">
        <v>10.615872888173774</v>
      </c>
      <c r="M613" s="27">
        <v>12.22</v>
      </c>
      <c r="N613" s="34">
        <v>15.667877813504823</v>
      </c>
    </row>
    <row r="614" spans="1:14" x14ac:dyDescent="0.35">
      <c r="A614" s="82">
        <v>611</v>
      </c>
      <c r="B614" s="89" t="str">
        <f>_xlfn.XLOOKUP(A614,'Model Modeshare by TAZ'!A:A,'Model Modeshare by TAZ'!B:B)</f>
        <v>San Jose</v>
      </c>
      <c r="C614" s="90" t="str">
        <f>_xlfn.XLOOKUP(A614,'Model Modeshare by TAZ'!A:A,'Model Modeshare by TAZ'!D:D)</f>
        <v>NO</v>
      </c>
      <c r="D614" s="27">
        <v>7060.75</v>
      </c>
      <c r="E614" s="27">
        <v>114066.9</v>
      </c>
      <c r="F614" s="27">
        <v>5768.29</v>
      </c>
      <c r="G614" s="27">
        <v>38733.050000000003</v>
      </c>
      <c r="H614" s="27">
        <v>1274.83</v>
      </c>
      <c r="I614" s="27">
        <v>16613.650000000001</v>
      </c>
      <c r="J614" s="6">
        <v>3728</v>
      </c>
      <c r="K614" s="6">
        <v>831</v>
      </c>
      <c r="L614" s="27">
        <v>10.389766630901288</v>
      </c>
      <c r="M614" s="27">
        <v>19.992358604091457</v>
      </c>
      <c r="N614" s="34">
        <v>24.794790524237772</v>
      </c>
    </row>
    <row r="615" spans="1:14" x14ac:dyDescent="0.35">
      <c r="A615" s="82">
        <v>612</v>
      </c>
      <c r="B615" s="89" t="str">
        <f>_xlfn.XLOOKUP(A615,'Model Modeshare by TAZ'!A:A,'Model Modeshare by TAZ'!B:B)</f>
        <v>San Jose</v>
      </c>
      <c r="C615" s="90" t="str">
        <f>_xlfn.XLOOKUP(A615,'Model Modeshare by TAZ'!A:A,'Model Modeshare by TAZ'!D:D)</f>
        <v>NO</v>
      </c>
      <c r="D615" s="27">
        <v>2648.41</v>
      </c>
      <c r="E615" s="27">
        <v>50818.239999999998</v>
      </c>
      <c r="F615" s="27">
        <v>2430.6999999999998</v>
      </c>
      <c r="G615" s="27">
        <v>21638.240000000002</v>
      </c>
      <c r="H615" s="27">
        <v>0</v>
      </c>
      <c r="I615" s="27">
        <v>0</v>
      </c>
      <c r="J615" s="6">
        <v>1588</v>
      </c>
      <c r="K615" s="6">
        <v>0</v>
      </c>
      <c r="L615" s="27">
        <v>13.626095717884132</v>
      </c>
      <c r="M615" s="27">
        <v>0</v>
      </c>
      <c r="N615" s="34">
        <v>20.843054156171284</v>
      </c>
    </row>
    <row r="616" spans="1:14" x14ac:dyDescent="0.35">
      <c r="A616" s="82">
        <v>613</v>
      </c>
      <c r="B616" s="89" t="str">
        <f>_xlfn.XLOOKUP(A616,'Model Modeshare by TAZ'!A:A,'Model Modeshare by TAZ'!B:B)</f>
        <v>San Jose</v>
      </c>
      <c r="C616" s="90" t="str">
        <f>_xlfn.XLOOKUP(A616,'Model Modeshare by TAZ'!A:A,'Model Modeshare by TAZ'!D:D)</f>
        <v>NO</v>
      </c>
      <c r="D616" s="27">
        <v>3518.03</v>
      </c>
      <c r="E616" s="27">
        <v>55515.69</v>
      </c>
      <c r="F616" s="27">
        <v>2525.4299999999998</v>
      </c>
      <c r="G616" s="27">
        <v>16674.46</v>
      </c>
      <c r="H616" s="27">
        <v>1329.63</v>
      </c>
      <c r="I616" s="27">
        <v>14578.79</v>
      </c>
      <c r="J616" s="6">
        <v>1643</v>
      </c>
      <c r="K616" s="6">
        <v>1124</v>
      </c>
      <c r="L616" s="27">
        <v>10.148788800973827</v>
      </c>
      <c r="M616" s="27">
        <v>12.970453736654806</v>
      </c>
      <c r="N616" s="34">
        <v>28.517864112757497</v>
      </c>
    </row>
    <row r="617" spans="1:14" x14ac:dyDescent="0.35">
      <c r="A617" s="82">
        <v>614</v>
      </c>
      <c r="B617" s="89" t="str">
        <f>_xlfn.XLOOKUP(A617,'Model Modeshare by TAZ'!A:A,'Model Modeshare by TAZ'!B:B)</f>
        <v>San Jose</v>
      </c>
      <c r="C617" s="90" t="str">
        <f>_xlfn.XLOOKUP(A617,'Model Modeshare by TAZ'!A:A,'Model Modeshare by TAZ'!D:D)</f>
        <v>NO</v>
      </c>
      <c r="D617" s="27">
        <v>1497.73</v>
      </c>
      <c r="E617" s="27">
        <v>22996.23</v>
      </c>
      <c r="F617" s="27">
        <v>1573.01</v>
      </c>
      <c r="G617" s="27">
        <v>10921.95</v>
      </c>
      <c r="H617" s="27">
        <v>265.70999999999998</v>
      </c>
      <c r="I617" s="27">
        <v>2892.18</v>
      </c>
      <c r="J617" s="6">
        <v>981</v>
      </c>
      <c r="K617" s="6">
        <v>144</v>
      </c>
      <c r="L617" s="27">
        <v>11.133486238532111</v>
      </c>
      <c r="M617" s="27">
        <v>20.084583333333331</v>
      </c>
      <c r="N617" s="34">
        <v>20.925217777777778</v>
      </c>
    </row>
    <row r="618" spans="1:14" x14ac:dyDescent="0.35">
      <c r="A618" s="82">
        <v>615</v>
      </c>
      <c r="B618" s="89" t="str">
        <f>_xlfn.XLOOKUP(A618,'Model Modeshare by TAZ'!A:A,'Model Modeshare by TAZ'!B:B)</f>
        <v>San Jose</v>
      </c>
      <c r="C618" s="90" t="str">
        <f>_xlfn.XLOOKUP(A618,'Model Modeshare by TAZ'!A:A,'Model Modeshare by TAZ'!D:D)</f>
        <v>NO</v>
      </c>
      <c r="D618" s="27">
        <v>678.42</v>
      </c>
      <c r="E618" s="27">
        <v>10839.1</v>
      </c>
      <c r="F618" s="27">
        <v>858.31</v>
      </c>
      <c r="G618" s="27">
        <v>6125.18</v>
      </c>
      <c r="H618" s="27">
        <v>2.06</v>
      </c>
      <c r="I618" s="27">
        <v>21.32</v>
      </c>
      <c r="J618" s="6">
        <v>538</v>
      </c>
      <c r="K618" s="6">
        <v>1</v>
      </c>
      <c r="L618" s="27">
        <v>11.385092936802975</v>
      </c>
      <c r="M618" s="27">
        <v>21.32</v>
      </c>
      <c r="N618" s="34">
        <v>17.17909090909091</v>
      </c>
    </row>
    <row r="619" spans="1:14" x14ac:dyDescent="0.35">
      <c r="A619" s="82">
        <v>616</v>
      </c>
      <c r="B619" s="89" t="str">
        <f>_xlfn.XLOOKUP(A619,'Model Modeshare by TAZ'!A:A,'Model Modeshare by TAZ'!B:B)</f>
        <v>San Jose</v>
      </c>
      <c r="C619" s="90" t="str">
        <f>_xlfn.XLOOKUP(A619,'Model Modeshare by TAZ'!A:A,'Model Modeshare by TAZ'!D:D)</f>
        <v>NO</v>
      </c>
      <c r="D619" s="27">
        <v>5059.8</v>
      </c>
      <c r="E619" s="27">
        <v>86314.07</v>
      </c>
      <c r="F619" s="27">
        <v>2406.15</v>
      </c>
      <c r="G619" s="27">
        <v>17399.47</v>
      </c>
      <c r="H619" s="27">
        <v>878.38</v>
      </c>
      <c r="I619" s="27">
        <v>9309.02</v>
      </c>
      <c r="J619" s="6">
        <v>1532</v>
      </c>
      <c r="K619" s="6">
        <v>703</v>
      </c>
      <c r="L619" s="27">
        <v>11.357356396866841</v>
      </c>
      <c r="M619" s="27">
        <v>13.241849217638691</v>
      </c>
      <c r="N619" s="34">
        <v>37.911288590604023</v>
      </c>
    </row>
    <row r="620" spans="1:14" x14ac:dyDescent="0.35">
      <c r="A620" s="82">
        <v>617</v>
      </c>
      <c r="B620" s="89" t="str">
        <f>_xlfn.XLOOKUP(A620,'Model Modeshare by TAZ'!A:A,'Model Modeshare by TAZ'!B:B)</f>
        <v>San Jose</v>
      </c>
      <c r="C620" s="90" t="str">
        <f>_xlfn.XLOOKUP(A620,'Model Modeshare by TAZ'!A:A,'Model Modeshare by TAZ'!D:D)</f>
        <v>NO</v>
      </c>
      <c r="D620" s="27">
        <v>2854.8</v>
      </c>
      <c r="E620" s="27">
        <v>40053.230000000003</v>
      </c>
      <c r="F620" s="27">
        <v>2793.22</v>
      </c>
      <c r="G620" s="27">
        <v>17482.27</v>
      </c>
      <c r="H620" s="27">
        <v>148.93</v>
      </c>
      <c r="I620" s="27">
        <v>1665.01</v>
      </c>
      <c r="J620" s="6">
        <v>1961</v>
      </c>
      <c r="K620" s="6">
        <v>82</v>
      </c>
      <c r="L620" s="27">
        <v>8.9149770525242218</v>
      </c>
      <c r="M620" s="27">
        <v>20.305</v>
      </c>
      <c r="N620" s="34">
        <v>15.298511992168381</v>
      </c>
    </row>
    <row r="621" spans="1:14" x14ac:dyDescent="0.35">
      <c r="A621" s="82">
        <v>618</v>
      </c>
      <c r="B621" s="89" t="str">
        <f>_xlfn.XLOOKUP(A621,'Model Modeshare by TAZ'!A:A,'Model Modeshare by TAZ'!B:B)</f>
        <v>San Jose</v>
      </c>
      <c r="C621" s="90" t="str">
        <f>_xlfn.XLOOKUP(A621,'Model Modeshare by TAZ'!A:A,'Model Modeshare by TAZ'!D:D)</f>
        <v>NO</v>
      </c>
      <c r="D621" s="27">
        <v>1308.31</v>
      </c>
      <c r="E621" s="27">
        <v>18778.810000000001</v>
      </c>
      <c r="F621" s="27">
        <v>1254.9000000000001</v>
      </c>
      <c r="G621" s="27">
        <v>8038.99</v>
      </c>
      <c r="H621" s="27">
        <v>191.54</v>
      </c>
      <c r="I621" s="27">
        <v>2146.85</v>
      </c>
      <c r="J621" s="6">
        <v>884</v>
      </c>
      <c r="K621" s="6">
        <v>106</v>
      </c>
      <c r="L621" s="27">
        <v>9.0938800904977377</v>
      </c>
      <c r="M621" s="27">
        <v>20.253301886792453</v>
      </c>
      <c r="N621" s="34">
        <v>16.720858585858586</v>
      </c>
    </row>
    <row r="622" spans="1:14" x14ac:dyDescent="0.35">
      <c r="A622" s="82">
        <v>619</v>
      </c>
      <c r="B622" s="89" t="str">
        <f>_xlfn.XLOOKUP(A622,'Model Modeshare by TAZ'!A:A,'Model Modeshare by TAZ'!B:B)</f>
        <v>San Jose</v>
      </c>
      <c r="C622" s="90" t="str">
        <f>_xlfn.XLOOKUP(A622,'Model Modeshare by TAZ'!A:A,'Model Modeshare by TAZ'!D:D)</f>
        <v>NO</v>
      </c>
      <c r="D622" s="27">
        <v>3178.71</v>
      </c>
      <c r="E622" s="27">
        <v>42219.87</v>
      </c>
      <c r="F622" s="27">
        <v>2066.83</v>
      </c>
      <c r="G622" s="27">
        <v>12615.74</v>
      </c>
      <c r="H622" s="27">
        <v>554.21</v>
      </c>
      <c r="I622" s="27">
        <v>6155.9</v>
      </c>
      <c r="J622" s="6">
        <v>1478</v>
      </c>
      <c r="K622" s="6">
        <v>457</v>
      </c>
      <c r="L622" s="27">
        <v>8.5356833558863325</v>
      </c>
      <c r="M622" s="27">
        <v>13.470240700218817</v>
      </c>
      <c r="N622" s="34">
        <v>17.10990180878553</v>
      </c>
    </row>
    <row r="623" spans="1:14" x14ac:dyDescent="0.35">
      <c r="A623" s="82">
        <v>620</v>
      </c>
      <c r="B623" s="89" t="str">
        <f>_xlfn.XLOOKUP(A623,'Model Modeshare by TAZ'!A:A,'Model Modeshare by TAZ'!B:B)</f>
        <v>San Jose</v>
      </c>
      <c r="C623" s="90" t="str">
        <f>_xlfn.XLOOKUP(A623,'Model Modeshare by TAZ'!A:A,'Model Modeshare by TAZ'!D:D)</f>
        <v>NO</v>
      </c>
      <c r="D623" s="27">
        <v>2380.64</v>
      </c>
      <c r="E623" s="27">
        <v>32215.51</v>
      </c>
      <c r="F623" s="27">
        <v>2076.5100000000002</v>
      </c>
      <c r="G623" s="27">
        <v>12838.39</v>
      </c>
      <c r="H623" s="27">
        <v>497.89</v>
      </c>
      <c r="I623" s="27">
        <v>5563.34</v>
      </c>
      <c r="J623" s="6">
        <v>1510</v>
      </c>
      <c r="K623" s="6">
        <v>332</v>
      </c>
      <c r="L623" s="27">
        <v>8.5022450331125832</v>
      </c>
      <c r="M623" s="27">
        <v>16.757048192771084</v>
      </c>
      <c r="N623" s="34">
        <v>15.710836047774158</v>
      </c>
    </row>
    <row r="624" spans="1:14" x14ac:dyDescent="0.35">
      <c r="A624" s="82">
        <v>621</v>
      </c>
      <c r="B624" s="89" t="str">
        <f>_xlfn.XLOOKUP(A624,'Model Modeshare by TAZ'!A:A,'Model Modeshare by TAZ'!B:B)</f>
        <v>San Jose</v>
      </c>
      <c r="C624" s="90" t="str">
        <f>_xlfn.XLOOKUP(A624,'Model Modeshare by TAZ'!A:A,'Model Modeshare by TAZ'!D:D)</f>
        <v>NO</v>
      </c>
      <c r="D624" s="27">
        <v>6252.78</v>
      </c>
      <c r="E624" s="27">
        <v>77371.960000000006</v>
      </c>
      <c r="F624" s="27">
        <v>5177.08</v>
      </c>
      <c r="G624" s="27">
        <v>29872.48</v>
      </c>
      <c r="H624" s="27">
        <v>615.5</v>
      </c>
      <c r="I624" s="27">
        <v>6479.99</v>
      </c>
      <c r="J624" s="6">
        <v>3640</v>
      </c>
      <c r="K624" s="6">
        <v>337</v>
      </c>
      <c r="L624" s="27">
        <v>8.2067252747252741</v>
      </c>
      <c r="M624" s="27">
        <v>19.228456973293767</v>
      </c>
      <c r="N624" s="34">
        <v>14.614729695750565</v>
      </c>
    </row>
    <row r="625" spans="1:14" x14ac:dyDescent="0.35">
      <c r="A625" s="82">
        <v>622</v>
      </c>
      <c r="B625" s="89" t="str">
        <f>_xlfn.XLOOKUP(A625,'Model Modeshare by TAZ'!A:A,'Model Modeshare by TAZ'!B:B)</f>
        <v>San Jose</v>
      </c>
      <c r="C625" s="90" t="str">
        <f>_xlfn.XLOOKUP(A625,'Model Modeshare by TAZ'!A:A,'Model Modeshare by TAZ'!D:D)</f>
        <v>NO</v>
      </c>
      <c r="D625" s="27">
        <v>2866.34</v>
      </c>
      <c r="E625" s="27">
        <v>36783.83</v>
      </c>
      <c r="F625" s="27">
        <v>2327.42</v>
      </c>
      <c r="G625" s="27">
        <v>15186.06</v>
      </c>
      <c r="H625" s="27">
        <v>128.71</v>
      </c>
      <c r="I625" s="27">
        <v>1444.95</v>
      </c>
      <c r="J625" s="6">
        <v>1495</v>
      </c>
      <c r="K625" s="6">
        <v>68</v>
      </c>
      <c r="L625" s="27">
        <v>10.15789966555184</v>
      </c>
      <c r="M625" s="27">
        <v>21.249264705882354</v>
      </c>
      <c r="N625" s="34">
        <v>20.114996801023672</v>
      </c>
    </row>
    <row r="626" spans="1:14" x14ac:dyDescent="0.35">
      <c r="A626" s="82">
        <v>623</v>
      </c>
      <c r="B626" s="89" t="str">
        <f>_xlfn.XLOOKUP(A626,'Model Modeshare by TAZ'!A:A,'Model Modeshare by TAZ'!B:B)</f>
        <v>San Jose</v>
      </c>
      <c r="C626" s="90" t="str">
        <f>_xlfn.XLOOKUP(A626,'Model Modeshare by TAZ'!A:A,'Model Modeshare by TAZ'!D:D)</f>
        <v>NO</v>
      </c>
      <c r="D626" s="27">
        <v>7652.89</v>
      </c>
      <c r="E626" s="27">
        <v>174210.05</v>
      </c>
      <c r="F626" s="27">
        <v>2286.15</v>
      </c>
      <c r="G626" s="27">
        <v>19759.580000000002</v>
      </c>
      <c r="H626" s="27">
        <v>3094.79</v>
      </c>
      <c r="I626" s="27">
        <v>40141.21</v>
      </c>
      <c r="J626" s="6">
        <v>1382</v>
      </c>
      <c r="K626" s="6">
        <v>2624</v>
      </c>
      <c r="L626" s="27">
        <v>14.297814761215632</v>
      </c>
      <c r="M626" s="27">
        <v>15.297717225609755</v>
      </c>
      <c r="N626" s="34">
        <v>35.076605092361461</v>
      </c>
    </row>
    <row r="627" spans="1:14" x14ac:dyDescent="0.35">
      <c r="A627" s="82">
        <v>624</v>
      </c>
      <c r="B627" s="89" t="str">
        <f>_xlfn.XLOOKUP(A627,'Model Modeshare by TAZ'!A:A,'Model Modeshare by TAZ'!B:B)</f>
        <v>San Jose</v>
      </c>
      <c r="C627" s="90" t="str">
        <f>_xlfn.XLOOKUP(A627,'Model Modeshare by TAZ'!A:A,'Model Modeshare by TAZ'!D:D)</f>
        <v>NO</v>
      </c>
      <c r="D627" s="27">
        <v>4959.4399999999996</v>
      </c>
      <c r="E627" s="27">
        <v>100820.44</v>
      </c>
      <c r="F627" s="27">
        <v>2399.8000000000002</v>
      </c>
      <c r="G627" s="27">
        <v>18950.490000000002</v>
      </c>
      <c r="H627" s="27">
        <v>3394.71</v>
      </c>
      <c r="I627" s="27">
        <v>39814.959999999999</v>
      </c>
      <c r="J627" s="6">
        <v>1387</v>
      </c>
      <c r="K627" s="6">
        <v>2853</v>
      </c>
      <c r="L627" s="27">
        <v>13.662934390771451</v>
      </c>
      <c r="M627" s="27">
        <v>13.955471433578689</v>
      </c>
      <c r="N627" s="34">
        <v>31.131202830188677</v>
      </c>
    </row>
    <row r="628" spans="1:14" x14ac:dyDescent="0.35">
      <c r="A628" s="82">
        <v>625</v>
      </c>
      <c r="B628" s="89" t="str">
        <f>_xlfn.XLOOKUP(A628,'Model Modeshare by TAZ'!A:A,'Model Modeshare by TAZ'!B:B)</f>
        <v>San Jose</v>
      </c>
      <c r="C628" s="90" t="str">
        <f>_xlfn.XLOOKUP(A628,'Model Modeshare by TAZ'!A:A,'Model Modeshare by TAZ'!D:D)</f>
        <v>NO</v>
      </c>
      <c r="D628" s="27">
        <v>3688.11</v>
      </c>
      <c r="E628" s="27">
        <v>71416.98</v>
      </c>
      <c r="F628" s="27">
        <v>2433.64</v>
      </c>
      <c r="G628" s="27">
        <v>18731.759999999998</v>
      </c>
      <c r="H628" s="27">
        <v>743.71</v>
      </c>
      <c r="I628" s="27">
        <v>8819.74</v>
      </c>
      <c r="J628" s="6">
        <v>1392</v>
      </c>
      <c r="K628" s="6">
        <v>478</v>
      </c>
      <c r="L628" s="27">
        <v>13.456724137931033</v>
      </c>
      <c r="M628" s="27">
        <v>18.451338912133892</v>
      </c>
      <c r="N628" s="34">
        <v>28.033598930481283</v>
      </c>
    </row>
    <row r="629" spans="1:14" x14ac:dyDescent="0.35">
      <c r="A629" s="82">
        <v>626</v>
      </c>
      <c r="B629" s="89" t="str">
        <f>_xlfn.XLOOKUP(A629,'Model Modeshare by TAZ'!A:A,'Model Modeshare by TAZ'!B:B)</f>
        <v>San Jose</v>
      </c>
      <c r="C629" s="90" t="str">
        <f>_xlfn.XLOOKUP(A629,'Model Modeshare by TAZ'!A:A,'Model Modeshare by TAZ'!D:D)</f>
        <v>NO</v>
      </c>
      <c r="D629" s="27">
        <v>2656.2</v>
      </c>
      <c r="E629" s="27">
        <v>40586.379999999997</v>
      </c>
      <c r="F629" s="27">
        <v>1975.93</v>
      </c>
      <c r="G629" s="27">
        <v>13084.7</v>
      </c>
      <c r="H629" s="27">
        <v>701.9</v>
      </c>
      <c r="I629" s="27">
        <v>7965.55</v>
      </c>
      <c r="J629" s="6">
        <v>1223</v>
      </c>
      <c r="K629" s="6">
        <v>561</v>
      </c>
      <c r="L629" s="27">
        <v>10.6988552739166</v>
      </c>
      <c r="M629" s="27">
        <v>14.198841354723708</v>
      </c>
      <c r="N629" s="34">
        <v>24.384529147982065</v>
      </c>
    </row>
    <row r="630" spans="1:14" x14ac:dyDescent="0.35">
      <c r="A630" s="82">
        <v>627</v>
      </c>
      <c r="B630" s="89" t="str">
        <f>_xlfn.XLOOKUP(A630,'Model Modeshare by TAZ'!A:A,'Model Modeshare by TAZ'!B:B)</f>
        <v>Unincorporated</v>
      </c>
      <c r="C630" s="90" t="str">
        <f>_xlfn.XLOOKUP(A630,'Model Modeshare by TAZ'!A:A,'Model Modeshare by TAZ'!D:D)</f>
        <v>NO</v>
      </c>
      <c r="D630" s="27">
        <v>4589.43</v>
      </c>
      <c r="E630" s="27">
        <v>72896.28</v>
      </c>
      <c r="F630" s="27">
        <v>3036.63</v>
      </c>
      <c r="G630" s="27">
        <v>20112.47</v>
      </c>
      <c r="H630" s="27">
        <v>949.03</v>
      </c>
      <c r="I630" s="27">
        <v>10530.31</v>
      </c>
      <c r="J630" s="6">
        <v>2076</v>
      </c>
      <c r="K630" s="6">
        <v>732</v>
      </c>
      <c r="L630" s="27">
        <v>9.6880876685934503</v>
      </c>
      <c r="M630" s="27">
        <v>14.385669398907103</v>
      </c>
      <c r="N630" s="34">
        <v>28.627806267806271</v>
      </c>
    </row>
    <row r="631" spans="1:14" x14ac:dyDescent="0.35">
      <c r="A631" s="82">
        <v>628</v>
      </c>
      <c r="B631" s="89" t="str">
        <f>_xlfn.XLOOKUP(A631,'Model Modeshare by TAZ'!A:A,'Model Modeshare by TAZ'!B:B)</f>
        <v>San Jose</v>
      </c>
      <c r="C631" s="90" t="str">
        <f>_xlfn.XLOOKUP(A631,'Model Modeshare by TAZ'!A:A,'Model Modeshare by TAZ'!D:D)</f>
        <v>NO</v>
      </c>
      <c r="D631" s="27">
        <v>3392.63</v>
      </c>
      <c r="E631" s="27">
        <v>60496.07</v>
      </c>
      <c r="F631" s="27">
        <v>3286.1</v>
      </c>
      <c r="G631" s="27">
        <v>24447.31</v>
      </c>
      <c r="H631" s="27">
        <v>410.93</v>
      </c>
      <c r="I631" s="27">
        <v>4654.1400000000003</v>
      </c>
      <c r="J631" s="6">
        <v>2149</v>
      </c>
      <c r="K631" s="6">
        <v>220</v>
      </c>
      <c r="L631" s="27">
        <v>11.376133085155887</v>
      </c>
      <c r="M631" s="27">
        <v>21.15518181818182</v>
      </c>
      <c r="N631" s="34">
        <v>22.069227522161249</v>
      </c>
    </row>
    <row r="632" spans="1:14" x14ac:dyDescent="0.35">
      <c r="A632" s="82">
        <v>629</v>
      </c>
      <c r="B632" s="89" t="str">
        <f>_xlfn.XLOOKUP(A632,'Model Modeshare by TAZ'!A:A,'Model Modeshare by TAZ'!B:B)</f>
        <v>San Jose</v>
      </c>
      <c r="C632" s="90" t="str">
        <f>_xlfn.XLOOKUP(A632,'Model Modeshare by TAZ'!A:A,'Model Modeshare by TAZ'!D:D)</f>
        <v>NO</v>
      </c>
      <c r="D632" s="27">
        <v>6712.39</v>
      </c>
      <c r="E632" s="27">
        <v>125208.75</v>
      </c>
      <c r="F632" s="27">
        <v>5388.6</v>
      </c>
      <c r="G632" s="27">
        <v>44567.42</v>
      </c>
      <c r="H632" s="27">
        <v>878.06</v>
      </c>
      <c r="I632" s="27">
        <v>10365.42</v>
      </c>
      <c r="J632" s="6">
        <v>3474</v>
      </c>
      <c r="K632" s="6">
        <v>469</v>
      </c>
      <c r="L632" s="27">
        <v>12.828848589522163</v>
      </c>
      <c r="M632" s="27">
        <v>22.101108742004264</v>
      </c>
      <c r="N632" s="34">
        <v>27.235741820948515</v>
      </c>
    </row>
    <row r="633" spans="1:14" x14ac:dyDescent="0.35">
      <c r="A633" s="82">
        <v>630</v>
      </c>
      <c r="B633" s="89" t="str">
        <f>_xlfn.XLOOKUP(A633,'Model Modeshare by TAZ'!A:A,'Model Modeshare by TAZ'!B:B)</f>
        <v>San Jose</v>
      </c>
      <c r="C633" s="90" t="str">
        <f>_xlfn.XLOOKUP(A633,'Model Modeshare by TAZ'!A:A,'Model Modeshare by TAZ'!D:D)</f>
        <v>NO</v>
      </c>
      <c r="D633" s="27">
        <v>5379.08</v>
      </c>
      <c r="E633" s="27">
        <v>72888.009999999995</v>
      </c>
      <c r="F633" s="27">
        <v>4854</v>
      </c>
      <c r="G633" s="27">
        <v>33010.04</v>
      </c>
      <c r="H633" s="27">
        <v>943</v>
      </c>
      <c r="I633" s="27">
        <v>10674.25</v>
      </c>
      <c r="J633" s="6">
        <v>3066</v>
      </c>
      <c r="K633" s="6">
        <v>514</v>
      </c>
      <c r="L633" s="27">
        <v>10.76648401826484</v>
      </c>
      <c r="M633" s="27">
        <v>20.767023346303503</v>
      </c>
      <c r="N633" s="34">
        <v>18.427550279329612</v>
      </c>
    </row>
    <row r="634" spans="1:14" x14ac:dyDescent="0.35">
      <c r="A634" s="82">
        <v>631</v>
      </c>
      <c r="B634" s="89" t="str">
        <f>_xlfn.XLOOKUP(A634,'Model Modeshare by TAZ'!A:A,'Model Modeshare by TAZ'!B:B)</f>
        <v>San Jose</v>
      </c>
      <c r="C634" s="90" t="str">
        <f>_xlfn.XLOOKUP(A634,'Model Modeshare by TAZ'!A:A,'Model Modeshare by TAZ'!D:D)</f>
        <v>NO</v>
      </c>
      <c r="D634" s="27">
        <v>3747.41</v>
      </c>
      <c r="E634" s="27">
        <v>47680.08</v>
      </c>
      <c r="F634" s="27">
        <v>3244.99</v>
      </c>
      <c r="G634" s="27">
        <v>18809.87</v>
      </c>
      <c r="H634" s="27">
        <v>951.12</v>
      </c>
      <c r="I634" s="27">
        <v>10371.48</v>
      </c>
      <c r="J634" s="6">
        <v>2274</v>
      </c>
      <c r="K634" s="6">
        <v>631</v>
      </c>
      <c r="L634" s="27">
        <v>8.2717106420404569</v>
      </c>
      <c r="M634" s="27">
        <v>16.436576862123612</v>
      </c>
      <c r="N634" s="34">
        <v>15.685731497418246</v>
      </c>
    </row>
    <row r="635" spans="1:14" x14ac:dyDescent="0.35">
      <c r="A635" s="82">
        <v>632</v>
      </c>
      <c r="B635" s="89" t="str">
        <f>_xlfn.XLOOKUP(A635,'Model Modeshare by TAZ'!A:A,'Model Modeshare by TAZ'!B:B)</f>
        <v>San Jose</v>
      </c>
      <c r="C635" s="90" t="str">
        <f>_xlfn.XLOOKUP(A635,'Model Modeshare by TAZ'!A:A,'Model Modeshare by TAZ'!D:D)</f>
        <v>NO</v>
      </c>
      <c r="D635" s="27">
        <v>5729.61</v>
      </c>
      <c r="E635" s="27">
        <v>79791.47</v>
      </c>
      <c r="F635" s="27">
        <v>4991.59</v>
      </c>
      <c r="G635" s="27">
        <v>33385.67</v>
      </c>
      <c r="H635" s="27">
        <v>1230.74</v>
      </c>
      <c r="I635" s="27">
        <v>13868.98</v>
      </c>
      <c r="J635" s="6">
        <v>3710</v>
      </c>
      <c r="K635" s="6">
        <v>1005</v>
      </c>
      <c r="L635" s="27">
        <v>8.998832884097034</v>
      </c>
      <c r="M635" s="27">
        <v>13.799980099502488</v>
      </c>
      <c r="N635" s="34">
        <v>22.291957582184519</v>
      </c>
    </row>
    <row r="636" spans="1:14" x14ac:dyDescent="0.35">
      <c r="A636" s="82">
        <v>633</v>
      </c>
      <c r="B636" s="89" t="str">
        <f>_xlfn.XLOOKUP(A636,'Model Modeshare by TAZ'!A:A,'Model Modeshare by TAZ'!B:B)</f>
        <v>San Jose</v>
      </c>
      <c r="C636" s="90" t="str">
        <f>_xlfn.XLOOKUP(A636,'Model Modeshare by TAZ'!A:A,'Model Modeshare by TAZ'!D:D)</f>
        <v>NO</v>
      </c>
      <c r="D636" s="27">
        <v>6154.67</v>
      </c>
      <c r="E636" s="27">
        <v>78631.23</v>
      </c>
      <c r="F636" s="27">
        <v>2912.15</v>
      </c>
      <c r="G636" s="27">
        <v>18264.54</v>
      </c>
      <c r="H636" s="27">
        <v>586.95000000000005</v>
      </c>
      <c r="I636" s="27">
        <v>6840.57</v>
      </c>
      <c r="J636" s="6">
        <v>2145</v>
      </c>
      <c r="K636" s="6">
        <v>327</v>
      </c>
      <c r="L636" s="27">
        <v>8.5149370629370633</v>
      </c>
      <c r="M636" s="27">
        <v>20.919174311926604</v>
      </c>
      <c r="N636" s="34">
        <v>18.007180420711975</v>
      </c>
    </row>
    <row r="637" spans="1:14" x14ac:dyDescent="0.35">
      <c r="A637" s="82">
        <v>634</v>
      </c>
      <c r="B637" s="89" t="str">
        <f>_xlfn.XLOOKUP(A637,'Model Modeshare by TAZ'!A:A,'Model Modeshare by TAZ'!B:B)</f>
        <v>San Jose</v>
      </c>
      <c r="C637" s="90" t="str">
        <f>_xlfn.XLOOKUP(A637,'Model Modeshare by TAZ'!A:A,'Model Modeshare by TAZ'!D:D)</f>
        <v>NO</v>
      </c>
      <c r="D637" s="27">
        <v>4724.99</v>
      </c>
      <c r="E637" s="27">
        <v>68229.539999999994</v>
      </c>
      <c r="F637" s="27">
        <v>4666.97</v>
      </c>
      <c r="G637" s="27">
        <v>33120.6</v>
      </c>
      <c r="H637" s="27">
        <v>215.44</v>
      </c>
      <c r="I637" s="27">
        <v>2571.48</v>
      </c>
      <c r="J637" s="6">
        <v>3253</v>
      </c>
      <c r="K637" s="6">
        <v>117</v>
      </c>
      <c r="L637" s="27">
        <v>10.181555487242544</v>
      </c>
      <c r="M637" s="27">
        <v>21.978461538461538</v>
      </c>
      <c r="N637" s="34">
        <v>16.537587537091987</v>
      </c>
    </row>
    <row r="638" spans="1:14" x14ac:dyDescent="0.35">
      <c r="A638" s="82">
        <v>635</v>
      </c>
      <c r="B638" s="89" t="str">
        <f>_xlfn.XLOOKUP(A638,'Model Modeshare by TAZ'!A:A,'Model Modeshare by TAZ'!B:B)</f>
        <v>San Jose</v>
      </c>
      <c r="C638" s="90" t="str">
        <f>_xlfn.XLOOKUP(A638,'Model Modeshare by TAZ'!A:A,'Model Modeshare by TAZ'!D:D)</f>
        <v>NO</v>
      </c>
      <c r="D638" s="27">
        <v>6073.26</v>
      </c>
      <c r="E638" s="27">
        <v>106506.21</v>
      </c>
      <c r="F638" s="27">
        <v>4369.28</v>
      </c>
      <c r="G638" s="27">
        <v>33331.360000000001</v>
      </c>
      <c r="H638" s="27">
        <v>843.28</v>
      </c>
      <c r="I638" s="27">
        <v>9665.8799999999992</v>
      </c>
      <c r="J638" s="6">
        <v>2764</v>
      </c>
      <c r="K638" s="6">
        <v>531</v>
      </c>
      <c r="L638" s="27">
        <v>12.059102749638205</v>
      </c>
      <c r="M638" s="27">
        <v>18.203163841807907</v>
      </c>
      <c r="N638" s="34">
        <v>29.672003034901365</v>
      </c>
    </row>
    <row r="639" spans="1:14" x14ac:dyDescent="0.35">
      <c r="A639" s="82">
        <v>636</v>
      </c>
      <c r="B639" s="89" t="str">
        <f>_xlfn.XLOOKUP(A639,'Model Modeshare by TAZ'!A:A,'Model Modeshare by TAZ'!B:B)</f>
        <v>San Jose</v>
      </c>
      <c r="C639" s="90" t="str">
        <f>_xlfn.XLOOKUP(A639,'Model Modeshare by TAZ'!A:A,'Model Modeshare by TAZ'!D:D)</f>
        <v>NO</v>
      </c>
      <c r="D639" s="27">
        <v>5577.81</v>
      </c>
      <c r="E639" s="27">
        <v>103809.08</v>
      </c>
      <c r="F639" s="27">
        <v>4755.55</v>
      </c>
      <c r="G639" s="27">
        <v>38282.589999999997</v>
      </c>
      <c r="H639" s="27">
        <v>769.19</v>
      </c>
      <c r="I639" s="27">
        <v>9408.4599999999991</v>
      </c>
      <c r="J639" s="6">
        <v>2971</v>
      </c>
      <c r="K639" s="6">
        <v>482</v>
      </c>
      <c r="L639" s="27">
        <v>12.885422416694714</v>
      </c>
      <c r="M639" s="27">
        <v>19.519626556016597</v>
      </c>
      <c r="N639" s="34">
        <v>25.099527946713003</v>
      </c>
    </row>
    <row r="640" spans="1:14" x14ac:dyDescent="0.35">
      <c r="A640" s="82">
        <v>637</v>
      </c>
      <c r="B640" s="89" t="str">
        <f>_xlfn.XLOOKUP(A640,'Model Modeshare by TAZ'!A:A,'Model Modeshare by TAZ'!B:B)</f>
        <v>San Jose</v>
      </c>
      <c r="C640" s="90" t="str">
        <f>_xlfn.XLOOKUP(A640,'Model Modeshare by TAZ'!A:A,'Model Modeshare by TAZ'!D:D)</f>
        <v>NO</v>
      </c>
      <c r="D640" s="27">
        <v>2866.57</v>
      </c>
      <c r="E640" s="27">
        <v>50583.12</v>
      </c>
      <c r="F640" s="27">
        <v>2489.2199999999998</v>
      </c>
      <c r="G640" s="27">
        <v>19757.95</v>
      </c>
      <c r="H640" s="27">
        <v>619.15</v>
      </c>
      <c r="I640" s="27">
        <v>7311.28</v>
      </c>
      <c r="J640" s="6">
        <v>1504</v>
      </c>
      <c r="K640" s="6">
        <v>478</v>
      </c>
      <c r="L640" s="27">
        <v>13.136934840425532</v>
      </c>
      <c r="M640" s="27">
        <v>15.295564853556485</v>
      </c>
      <c r="N640" s="34">
        <v>34.019677093844599</v>
      </c>
    </row>
    <row r="641" spans="1:14" x14ac:dyDescent="0.35">
      <c r="A641" s="82">
        <v>638</v>
      </c>
      <c r="B641" s="89" t="str">
        <f>_xlfn.XLOOKUP(A641,'Model Modeshare by TAZ'!A:A,'Model Modeshare by TAZ'!B:B)</f>
        <v>San Jose</v>
      </c>
      <c r="C641" s="90" t="str">
        <f>_xlfn.XLOOKUP(A641,'Model Modeshare by TAZ'!A:A,'Model Modeshare by TAZ'!D:D)</f>
        <v>NO</v>
      </c>
      <c r="D641" s="27">
        <v>4856.55</v>
      </c>
      <c r="E641" s="27">
        <v>90970.95</v>
      </c>
      <c r="F641" s="27">
        <v>4785.46</v>
      </c>
      <c r="G641" s="27">
        <v>40049.480000000003</v>
      </c>
      <c r="H641" s="27">
        <v>78.23</v>
      </c>
      <c r="I641" s="27">
        <v>1011.49</v>
      </c>
      <c r="J641" s="6">
        <v>2831</v>
      </c>
      <c r="K641" s="6">
        <v>40</v>
      </c>
      <c r="L641" s="27">
        <v>14.146760861886261</v>
      </c>
      <c r="M641" s="27">
        <v>25.28725</v>
      </c>
      <c r="N641" s="34">
        <v>22.74787878787879</v>
      </c>
    </row>
    <row r="642" spans="1:14" x14ac:dyDescent="0.35">
      <c r="A642" s="82">
        <v>639</v>
      </c>
      <c r="B642" s="89" t="str">
        <f>_xlfn.XLOOKUP(A642,'Model Modeshare by TAZ'!A:A,'Model Modeshare by TAZ'!B:B)</f>
        <v>San Jose</v>
      </c>
      <c r="C642" s="90" t="str">
        <f>_xlfn.XLOOKUP(A642,'Model Modeshare by TAZ'!A:A,'Model Modeshare by TAZ'!D:D)</f>
        <v>NO</v>
      </c>
      <c r="D642" s="27">
        <v>6444.84</v>
      </c>
      <c r="E642" s="27">
        <v>129537.21</v>
      </c>
      <c r="F642" s="27">
        <v>5015.21</v>
      </c>
      <c r="G642" s="27">
        <v>45995.37</v>
      </c>
      <c r="H642" s="27">
        <v>1226.77</v>
      </c>
      <c r="I642" s="27">
        <v>16779.14</v>
      </c>
      <c r="J642" s="6">
        <v>3185</v>
      </c>
      <c r="K642" s="6">
        <v>938</v>
      </c>
      <c r="L642" s="27">
        <v>14.441246467817898</v>
      </c>
      <c r="M642" s="27">
        <v>17.888208955223881</v>
      </c>
      <c r="N642" s="34">
        <v>29.30698277952947</v>
      </c>
    </row>
    <row r="643" spans="1:14" x14ac:dyDescent="0.35">
      <c r="A643" s="82">
        <v>640</v>
      </c>
      <c r="B643" s="89" t="str">
        <f>_xlfn.XLOOKUP(A643,'Model Modeshare by TAZ'!A:A,'Model Modeshare by TAZ'!B:B)</f>
        <v>San Jose</v>
      </c>
      <c r="C643" s="90" t="str">
        <f>_xlfn.XLOOKUP(A643,'Model Modeshare by TAZ'!A:A,'Model Modeshare by TAZ'!D:D)</f>
        <v>NO</v>
      </c>
      <c r="D643" s="27">
        <v>3182.48</v>
      </c>
      <c r="E643" s="27">
        <v>67887.320000000007</v>
      </c>
      <c r="F643" s="27">
        <v>2942.26</v>
      </c>
      <c r="G643" s="27">
        <v>27306.13</v>
      </c>
      <c r="H643" s="27">
        <v>466.42</v>
      </c>
      <c r="I643" s="27">
        <v>6233.47</v>
      </c>
      <c r="J643" s="6">
        <v>1765</v>
      </c>
      <c r="K643" s="6">
        <v>236</v>
      </c>
      <c r="L643" s="27">
        <v>15.470895184135978</v>
      </c>
      <c r="M643" s="27">
        <v>26.413008474576273</v>
      </c>
      <c r="N643" s="34">
        <v>29.645612193903048</v>
      </c>
    </row>
    <row r="644" spans="1:14" x14ac:dyDescent="0.35">
      <c r="A644" s="82">
        <v>641</v>
      </c>
      <c r="B644" s="89" t="str">
        <f>_xlfn.XLOOKUP(A644,'Model Modeshare by TAZ'!A:A,'Model Modeshare by TAZ'!B:B)</f>
        <v>San Jose</v>
      </c>
      <c r="C644" s="90" t="str">
        <f>_xlfn.XLOOKUP(A644,'Model Modeshare by TAZ'!A:A,'Model Modeshare by TAZ'!D:D)</f>
        <v>NO</v>
      </c>
      <c r="D644" s="27">
        <v>2661.9</v>
      </c>
      <c r="E644" s="27">
        <v>62835.33</v>
      </c>
      <c r="F644" s="27">
        <v>2163.1999999999998</v>
      </c>
      <c r="G644" s="27">
        <v>22088.34</v>
      </c>
      <c r="H644" s="27">
        <v>371.62</v>
      </c>
      <c r="I644" s="27">
        <v>5428.26</v>
      </c>
      <c r="J644" s="6">
        <v>1305</v>
      </c>
      <c r="K644" s="6">
        <v>187</v>
      </c>
      <c r="L644" s="27">
        <v>16.925931034482758</v>
      </c>
      <c r="M644" s="27">
        <v>29.028128342245992</v>
      </c>
      <c r="N644" s="34">
        <v>34.72820375335121</v>
      </c>
    </row>
    <row r="645" spans="1:14" x14ac:dyDescent="0.35">
      <c r="A645" s="82">
        <v>642</v>
      </c>
      <c r="B645" s="89" t="str">
        <f>_xlfn.XLOOKUP(A645,'Model Modeshare by TAZ'!A:A,'Model Modeshare by TAZ'!B:B)</f>
        <v>San Jose</v>
      </c>
      <c r="C645" s="90" t="str">
        <f>_xlfn.XLOOKUP(A645,'Model Modeshare by TAZ'!A:A,'Model Modeshare by TAZ'!D:D)</f>
        <v>NO</v>
      </c>
      <c r="D645" s="27">
        <v>4698.33</v>
      </c>
      <c r="E645" s="27">
        <v>101123.09</v>
      </c>
      <c r="F645" s="27">
        <v>3924.37</v>
      </c>
      <c r="G645" s="27">
        <v>36395.67</v>
      </c>
      <c r="H645" s="27">
        <v>1066</v>
      </c>
      <c r="I645" s="27">
        <v>14502.44</v>
      </c>
      <c r="J645" s="6">
        <v>2318</v>
      </c>
      <c r="K645" s="6">
        <v>775</v>
      </c>
      <c r="L645" s="27">
        <v>15.701324417601379</v>
      </c>
      <c r="M645" s="27">
        <v>18.712825806451615</v>
      </c>
      <c r="N645" s="34">
        <v>36.608680892337532</v>
      </c>
    </row>
    <row r="646" spans="1:14" x14ac:dyDescent="0.35">
      <c r="A646" s="82">
        <v>643</v>
      </c>
      <c r="B646" s="89" t="str">
        <f>_xlfn.XLOOKUP(A646,'Model Modeshare by TAZ'!A:A,'Model Modeshare by TAZ'!B:B)</f>
        <v>San Jose</v>
      </c>
      <c r="C646" s="90" t="str">
        <f>_xlfn.XLOOKUP(A646,'Model Modeshare by TAZ'!A:A,'Model Modeshare by TAZ'!D:D)</f>
        <v>NO</v>
      </c>
      <c r="D646" s="27">
        <v>3436.51</v>
      </c>
      <c r="E646" s="27">
        <v>79848.710000000006</v>
      </c>
      <c r="F646" s="27">
        <v>2616.5300000000002</v>
      </c>
      <c r="G646" s="27">
        <v>30586.38</v>
      </c>
      <c r="H646" s="27">
        <v>13.48</v>
      </c>
      <c r="I646" s="27">
        <v>199.77</v>
      </c>
      <c r="J646" s="6">
        <v>1593</v>
      </c>
      <c r="K646" s="6">
        <v>7</v>
      </c>
      <c r="L646" s="27">
        <v>19.200489642184557</v>
      </c>
      <c r="M646" s="27">
        <v>28.53857142857143</v>
      </c>
      <c r="N646" s="34">
        <v>29.359543749999997</v>
      </c>
    </row>
    <row r="647" spans="1:14" x14ac:dyDescent="0.35">
      <c r="A647" s="82">
        <v>644</v>
      </c>
      <c r="B647" s="89" t="str">
        <f>_xlfn.XLOOKUP(A647,'Model Modeshare by TAZ'!A:A,'Model Modeshare by TAZ'!B:B)</f>
        <v>San Jose</v>
      </c>
      <c r="C647" s="90" t="str">
        <f>_xlfn.XLOOKUP(A647,'Model Modeshare by TAZ'!A:A,'Model Modeshare by TAZ'!D:D)</f>
        <v>NO</v>
      </c>
      <c r="D647" s="27">
        <v>4777.8100000000004</v>
      </c>
      <c r="E647" s="27">
        <v>58520.11</v>
      </c>
      <c r="F647" s="27">
        <v>6703.24</v>
      </c>
      <c r="G647" s="27">
        <v>47633.19</v>
      </c>
      <c r="H647" s="27">
        <v>37.94</v>
      </c>
      <c r="I647" s="27">
        <v>366.63</v>
      </c>
      <c r="J647" s="6">
        <v>4406</v>
      </c>
      <c r="K647" s="6">
        <v>22</v>
      </c>
      <c r="L647" s="27">
        <v>10.810982750794372</v>
      </c>
      <c r="M647" s="27">
        <v>16.664999999999999</v>
      </c>
      <c r="N647" s="34">
        <v>14.229387985546524</v>
      </c>
    </row>
    <row r="648" spans="1:14" x14ac:dyDescent="0.35">
      <c r="A648" s="82">
        <v>645</v>
      </c>
      <c r="B648" s="89" t="str">
        <f>_xlfn.XLOOKUP(A648,'Model Modeshare by TAZ'!A:A,'Model Modeshare by TAZ'!B:B)</f>
        <v>San Jose</v>
      </c>
      <c r="C648" s="90" t="str">
        <f>_xlfn.XLOOKUP(A648,'Model Modeshare by TAZ'!A:A,'Model Modeshare by TAZ'!D:D)</f>
        <v>NO</v>
      </c>
      <c r="D648" s="27">
        <v>1300.21</v>
      </c>
      <c r="E648" s="27">
        <v>12956.33</v>
      </c>
      <c r="F648" s="27">
        <v>1013.45</v>
      </c>
      <c r="G648" s="27">
        <v>6563.91</v>
      </c>
      <c r="H648" s="27">
        <v>45.98</v>
      </c>
      <c r="I648" s="27">
        <v>415.39</v>
      </c>
      <c r="J648" s="6">
        <v>640</v>
      </c>
      <c r="K648" s="6">
        <v>27</v>
      </c>
      <c r="L648" s="27">
        <v>10.256109374999999</v>
      </c>
      <c r="M648" s="27">
        <v>15.384814814814815</v>
      </c>
      <c r="N648" s="34">
        <v>18.729940029985009</v>
      </c>
    </row>
    <row r="649" spans="1:14" x14ac:dyDescent="0.35">
      <c r="A649" s="82">
        <v>646</v>
      </c>
      <c r="B649" s="89" t="str">
        <f>_xlfn.XLOOKUP(A649,'Model Modeshare by TAZ'!A:A,'Model Modeshare by TAZ'!B:B)</f>
        <v>San Jose</v>
      </c>
      <c r="C649" s="90" t="str">
        <f>_xlfn.XLOOKUP(A649,'Model Modeshare by TAZ'!A:A,'Model Modeshare by TAZ'!D:D)</f>
        <v>NO</v>
      </c>
      <c r="D649" s="27">
        <v>3524.57</v>
      </c>
      <c r="E649" s="27">
        <v>40519.769999999997</v>
      </c>
      <c r="F649" s="27">
        <v>2952.14</v>
      </c>
      <c r="G649" s="27">
        <v>19425.57</v>
      </c>
      <c r="H649" s="27">
        <v>494.01</v>
      </c>
      <c r="I649" s="27">
        <v>4444.7</v>
      </c>
      <c r="J649" s="6">
        <v>1944</v>
      </c>
      <c r="K649" s="6">
        <v>316</v>
      </c>
      <c r="L649" s="27">
        <v>9.9925771604938269</v>
      </c>
      <c r="M649" s="27">
        <v>14.065506329113923</v>
      </c>
      <c r="N649" s="34">
        <v>15.448902654867256</v>
      </c>
    </row>
    <row r="650" spans="1:14" x14ac:dyDescent="0.35">
      <c r="A650" s="82">
        <v>647</v>
      </c>
      <c r="B650" s="89" t="str">
        <f>_xlfn.XLOOKUP(A650,'Model Modeshare by TAZ'!A:A,'Model Modeshare by TAZ'!B:B)</f>
        <v>San Jose</v>
      </c>
      <c r="C650" s="90" t="str">
        <f>_xlfn.XLOOKUP(A650,'Model Modeshare by TAZ'!A:A,'Model Modeshare by TAZ'!D:D)</f>
        <v>NO</v>
      </c>
      <c r="D650" s="27">
        <v>499.75</v>
      </c>
      <c r="E650" s="27">
        <v>8638.8700000000008</v>
      </c>
      <c r="F650" s="27">
        <v>723</v>
      </c>
      <c r="G650" s="27">
        <v>6236.94</v>
      </c>
      <c r="H650" s="27">
        <v>329.65</v>
      </c>
      <c r="I650" s="27">
        <v>3485.25</v>
      </c>
      <c r="J650" s="6">
        <v>468</v>
      </c>
      <c r="K650" s="6">
        <v>262</v>
      </c>
      <c r="L650" s="27">
        <v>13.326794871794871</v>
      </c>
      <c r="M650" s="27">
        <v>13.302480916030534</v>
      </c>
      <c r="N650" s="34">
        <v>26.236931506849313</v>
      </c>
    </row>
    <row r="651" spans="1:14" x14ac:dyDescent="0.35">
      <c r="A651" s="82">
        <v>648</v>
      </c>
      <c r="B651" s="89" t="str">
        <f>_xlfn.XLOOKUP(A651,'Model Modeshare by TAZ'!A:A,'Model Modeshare by TAZ'!B:B)</f>
        <v>San Jose</v>
      </c>
      <c r="C651" s="90" t="str">
        <f>_xlfn.XLOOKUP(A651,'Model Modeshare by TAZ'!A:A,'Model Modeshare by TAZ'!D:D)</f>
        <v>NO</v>
      </c>
      <c r="D651" s="27">
        <v>6693.41</v>
      </c>
      <c r="E651" s="27">
        <v>132042.1</v>
      </c>
      <c r="F651" s="27">
        <v>6416.2</v>
      </c>
      <c r="G651" s="27">
        <v>62697.03</v>
      </c>
      <c r="H651" s="27">
        <v>470.47</v>
      </c>
      <c r="I651" s="27">
        <v>5314.72</v>
      </c>
      <c r="J651" s="6">
        <v>3959</v>
      </c>
      <c r="K651" s="6">
        <v>263</v>
      </c>
      <c r="L651" s="27">
        <v>15.836582470320788</v>
      </c>
      <c r="M651" s="27">
        <v>20.208060836501904</v>
      </c>
      <c r="N651" s="34">
        <v>26.921579819990527</v>
      </c>
    </row>
    <row r="652" spans="1:14" x14ac:dyDescent="0.35">
      <c r="A652" s="82">
        <v>649</v>
      </c>
      <c r="B652" s="89" t="str">
        <f>_xlfn.XLOOKUP(A652,'Model Modeshare by TAZ'!A:A,'Model Modeshare by TAZ'!B:B)</f>
        <v>San Jose</v>
      </c>
      <c r="C652" s="90" t="str">
        <f>_xlfn.XLOOKUP(A652,'Model Modeshare by TAZ'!A:A,'Model Modeshare by TAZ'!D:D)</f>
        <v>NO</v>
      </c>
      <c r="D652" s="27">
        <v>1830.29</v>
      </c>
      <c r="E652" s="27">
        <v>31195.56</v>
      </c>
      <c r="F652" s="27">
        <v>1825.21</v>
      </c>
      <c r="G652" s="27">
        <v>14716.75</v>
      </c>
      <c r="H652" s="27">
        <v>157.97</v>
      </c>
      <c r="I652" s="27">
        <v>1673.96</v>
      </c>
      <c r="J652" s="6">
        <v>1196</v>
      </c>
      <c r="K652" s="6">
        <v>89</v>
      </c>
      <c r="L652" s="27">
        <v>12.304974916387961</v>
      </c>
      <c r="M652" s="27">
        <v>18.808539325842698</v>
      </c>
      <c r="N652" s="34">
        <v>21.42094941634241</v>
      </c>
    </row>
    <row r="653" spans="1:14" x14ac:dyDescent="0.35">
      <c r="A653" s="82">
        <v>650</v>
      </c>
      <c r="B653" s="89" t="str">
        <f>_xlfn.XLOOKUP(A653,'Model Modeshare by TAZ'!A:A,'Model Modeshare by TAZ'!B:B)</f>
        <v>San Jose</v>
      </c>
      <c r="C653" s="90" t="str">
        <f>_xlfn.XLOOKUP(A653,'Model Modeshare by TAZ'!A:A,'Model Modeshare by TAZ'!D:D)</f>
        <v>NO</v>
      </c>
      <c r="D653" s="27">
        <v>729.95</v>
      </c>
      <c r="E653" s="27">
        <v>9873.25</v>
      </c>
      <c r="F653" s="27">
        <v>334.88</v>
      </c>
      <c r="G653" s="27">
        <v>2034.55</v>
      </c>
      <c r="H653" s="27">
        <v>437.83</v>
      </c>
      <c r="I653" s="27">
        <v>4185.84</v>
      </c>
      <c r="J653" s="6">
        <v>245</v>
      </c>
      <c r="K653" s="6">
        <v>392</v>
      </c>
      <c r="L653" s="27">
        <v>8.3042857142857134</v>
      </c>
      <c r="M653" s="27">
        <v>10.678163265306123</v>
      </c>
      <c r="N653" s="34">
        <v>21.110361067503923</v>
      </c>
    </row>
    <row r="654" spans="1:14" x14ac:dyDescent="0.35">
      <c r="A654" s="82">
        <v>651</v>
      </c>
      <c r="B654" s="89" t="str">
        <f>_xlfn.XLOOKUP(A654,'Model Modeshare by TAZ'!A:A,'Model Modeshare by TAZ'!B:B)</f>
        <v>San Jose</v>
      </c>
      <c r="C654" s="90" t="str">
        <f>_xlfn.XLOOKUP(A654,'Model Modeshare by TAZ'!A:A,'Model Modeshare by TAZ'!D:D)</f>
        <v>NO</v>
      </c>
      <c r="D654" s="27">
        <v>3632.93</v>
      </c>
      <c r="E654" s="27">
        <v>60984.24</v>
      </c>
      <c r="F654" s="27">
        <v>3353.94</v>
      </c>
      <c r="G654" s="27">
        <v>25187.19</v>
      </c>
      <c r="H654" s="27">
        <v>100.35</v>
      </c>
      <c r="I654" s="27">
        <v>1050.9100000000001</v>
      </c>
      <c r="J654" s="6">
        <v>2144</v>
      </c>
      <c r="K654" s="6">
        <v>54</v>
      </c>
      <c r="L654" s="27">
        <v>11.747756529850745</v>
      </c>
      <c r="M654" s="27">
        <v>19.461296296296297</v>
      </c>
      <c r="N654" s="34">
        <v>19.348835304822565</v>
      </c>
    </row>
    <row r="655" spans="1:14" x14ac:dyDescent="0.35">
      <c r="A655" s="82">
        <v>652</v>
      </c>
      <c r="B655" s="89" t="str">
        <f>_xlfn.XLOOKUP(A655,'Model Modeshare by TAZ'!A:A,'Model Modeshare by TAZ'!B:B)</f>
        <v>San Jose</v>
      </c>
      <c r="C655" s="90" t="str">
        <f>_xlfn.XLOOKUP(A655,'Model Modeshare by TAZ'!A:A,'Model Modeshare by TAZ'!D:D)</f>
        <v>NO</v>
      </c>
      <c r="D655" s="27">
        <v>1382.33</v>
      </c>
      <c r="E655" s="27">
        <v>20164.95</v>
      </c>
      <c r="F655" s="27">
        <v>846.77</v>
      </c>
      <c r="G655" s="27">
        <v>5459.19</v>
      </c>
      <c r="H655" s="27">
        <v>580.16</v>
      </c>
      <c r="I655" s="27">
        <v>6361.1</v>
      </c>
      <c r="J655" s="6">
        <v>574</v>
      </c>
      <c r="K655" s="6">
        <v>493</v>
      </c>
      <c r="L655" s="27">
        <v>9.5107839721254344</v>
      </c>
      <c r="M655" s="27">
        <v>12.902839756592293</v>
      </c>
      <c r="N655" s="34">
        <v>35.826007497656981</v>
      </c>
    </row>
    <row r="656" spans="1:14" x14ac:dyDescent="0.35">
      <c r="A656" s="82">
        <v>653</v>
      </c>
      <c r="B656" s="89" t="str">
        <f>_xlfn.XLOOKUP(A656,'Model Modeshare by TAZ'!A:A,'Model Modeshare by TAZ'!B:B)</f>
        <v>San Jose</v>
      </c>
      <c r="C656" s="90" t="str">
        <f>_xlfn.XLOOKUP(A656,'Model Modeshare by TAZ'!A:A,'Model Modeshare by TAZ'!D:D)</f>
        <v>NO</v>
      </c>
      <c r="D656" s="27">
        <v>2319.6799999999998</v>
      </c>
      <c r="E656" s="27">
        <v>39706.22</v>
      </c>
      <c r="F656" s="27">
        <v>1718.89</v>
      </c>
      <c r="G656" s="27">
        <v>13126.97</v>
      </c>
      <c r="H656" s="27">
        <v>677.42</v>
      </c>
      <c r="I656" s="27">
        <v>7369.14</v>
      </c>
      <c r="J656" s="6">
        <v>1145</v>
      </c>
      <c r="K656" s="6">
        <v>578</v>
      </c>
      <c r="L656" s="27">
        <v>11.464602620087335</v>
      </c>
      <c r="M656" s="27">
        <v>12.749377162629758</v>
      </c>
      <c r="N656" s="34">
        <v>36.4029077190946</v>
      </c>
    </row>
    <row r="657" spans="1:14" x14ac:dyDescent="0.35">
      <c r="A657" s="82">
        <v>654</v>
      </c>
      <c r="B657" s="89" t="str">
        <f>_xlfn.XLOOKUP(A657,'Model Modeshare by TAZ'!A:A,'Model Modeshare by TAZ'!B:B)</f>
        <v>San Jose</v>
      </c>
      <c r="C657" s="90" t="str">
        <f>_xlfn.XLOOKUP(A657,'Model Modeshare by TAZ'!A:A,'Model Modeshare by TAZ'!D:D)</f>
        <v>NO</v>
      </c>
      <c r="D657" s="27">
        <v>6511.87</v>
      </c>
      <c r="E657" s="27">
        <v>112256.79</v>
      </c>
      <c r="F657" s="27">
        <v>4734.9399999999996</v>
      </c>
      <c r="G657" s="27">
        <v>35045.18</v>
      </c>
      <c r="H657" s="27">
        <v>1040.56</v>
      </c>
      <c r="I657" s="27">
        <v>11107.5</v>
      </c>
      <c r="J657" s="6">
        <v>3046</v>
      </c>
      <c r="K657" s="6">
        <v>673</v>
      </c>
      <c r="L657" s="27">
        <v>11.505311884438608</v>
      </c>
      <c r="M657" s="27">
        <v>16.50445765230312</v>
      </c>
      <c r="N657" s="34">
        <v>27.114420543156761</v>
      </c>
    </row>
    <row r="658" spans="1:14" x14ac:dyDescent="0.35">
      <c r="A658" s="82">
        <v>655</v>
      </c>
      <c r="B658" s="89" t="str">
        <f>_xlfn.XLOOKUP(A658,'Model Modeshare by TAZ'!A:A,'Model Modeshare by TAZ'!B:B)</f>
        <v>San Jose</v>
      </c>
      <c r="C658" s="90" t="str">
        <f>_xlfn.XLOOKUP(A658,'Model Modeshare by TAZ'!A:A,'Model Modeshare by TAZ'!D:D)</f>
        <v>NO</v>
      </c>
      <c r="D658" s="27">
        <v>2735.66</v>
      </c>
      <c r="E658" s="27">
        <v>47740.31</v>
      </c>
      <c r="F658" s="27">
        <v>2846.62</v>
      </c>
      <c r="G658" s="27">
        <v>22509.599999999999</v>
      </c>
      <c r="H658" s="27">
        <v>250.78</v>
      </c>
      <c r="I658" s="27">
        <v>2867.09</v>
      </c>
      <c r="J658" s="6">
        <v>1784</v>
      </c>
      <c r="K658" s="6">
        <v>137</v>
      </c>
      <c r="L658" s="27">
        <v>12.617488789237667</v>
      </c>
      <c r="M658" s="27">
        <v>20.927664233576643</v>
      </c>
      <c r="N658" s="34">
        <v>21.931400312337324</v>
      </c>
    </row>
    <row r="659" spans="1:14" x14ac:dyDescent="0.35">
      <c r="A659" s="82">
        <v>656</v>
      </c>
      <c r="B659" s="89" t="str">
        <f>_xlfn.XLOOKUP(A659,'Model Modeshare by TAZ'!A:A,'Model Modeshare by TAZ'!B:B)</f>
        <v>San Jose</v>
      </c>
      <c r="C659" s="90" t="str">
        <f>_xlfn.XLOOKUP(A659,'Model Modeshare by TAZ'!A:A,'Model Modeshare by TAZ'!D:D)</f>
        <v>NO</v>
      </c>
      <c r="D659" s="27">
        <v>2475.04</v>
      </c>
      <c r="E659" s="27">
        <v>44009.93</v>
      </c>
      <c r="F659" s="27">
        <v>2411.0300000000002</v>
      </c>
      <c r="G659" s="27">
        <v>19395.86</v>
      </c>
      <c r="H659" s="27">
        <v>120.82</v>
      </c>
      <c r="I659" s="27">
        <v>1413.19</v>
      </c>
      <c r="J659" s="6">
        <v>1508</v>
      </c>
      <c r="K659" s="6">
        <v>65</v>
      </c>
      <c r="L659" s="27">
        <v>12.861976127320956</v>
      </c>
      <c r="M659" s="27">
        <v>21.741384615384618</v>
      </c>
      <c r="N659" s="34">
        <v>22.610476795931341</v>
      </c>
    </row>
    <row r="660" spans="1:14" x14ac:dyDescent="0.35">
      <c r="A660" s="82">
        <v>657</v>
      </c>
      <c r="B660" s="89" t="str">
        <f>_xlfn.XLOOKUP(A660,'Model Modeshare by TAZ'!A:A,'Model Modeshare by TAZ'!B:B)</f>
        <v>San Jose</v>
      </c>
      <c r="C660" s="90" t="str">
        <f>_xlfn.XLOOKUP(A660,'Model Modeshare by TAZ'!A:A,'Model Modeshare by TAZ'!D:D)</f>
        <v>NO</v>
      </c>
      <c r="D660" s="27">
        <v>3917.73</v>
      </c>
      <c r="E660" s="27">
        <v>59954.080000000002</v>
      </c>
      <c r="F660" s="27">
        <v>4172.82</v>
      </c>
      <c r="G660" s="27">
        <v>34139.61</v>
      </c>
      <c r="H660" s="27">
        <v>162.97</v>
      </c>
      <c r="I660" s="27">
        <v>1915.17</v>
      </c>
      <c r="J660" s="6">
        <v>3157</v>
      </c>
      <c r="K660" s="6">
        <v>91</v>
      </c>
      <c r="L660" s="27">
        <v>10.813940449794108</v>
      </c>
      <c r="M660" s="27">
        <v>21.045824175824176</v>
      </c>
      <c r="N660" s="34">
        <v>15.104719827586207</v>
      </c>
    </row>
    <row r="661" spans="1:14" x14ac:dyDescent="0.35">
      <c r="A661" s="82">
        <v>658</v>
      </c>
      <c r="B661" s="89" t="str">
        <f>_xlfn.XLOOKUP(A661,'Model Modeshare by TAZ'!A:A,'Model Modeshare by TAZ'!B:B)</f>
        <v>San Jose</v>
      </c>
      <c r="C661" s="90" t="str">
        <f>_xlfn.XLOOKUP(A661,'Model Modeshare by TAZ'!A:A,'Model Modeshare by TAZ'!D:D)</f>
        <v>NO</v>
      </c>
      <c r="D661" s="27">
        <v>6441.52</v>
      </c>
      <c r="E661" s="27">
        <v>86119.4</v>
      </c>
      <c r="F661" s="27">
        <v>6794.56</v>
      </c>
      <c r="G661" s="27">
        <v>47915.199999999997</v>
      </c>
      <c r="H661" s="27">
        <v>841.29</v>
      </c>
      <c r="I661" s="27">
        <v>8516.32</v>
      </c>
      <c r="J661" s="6">
        <v>4363</v>
      </c>
      <c r="K661" s="6">
        <v>438</v>
      </c>
      <c r="L661" s="27">
        <v>10.982168232867293</v>
      </c>
      <c r="M661" s="27">
        <v>19.443652968036528</v>
      </c>
      <c r="N661" s="34">
        <v>15.94102062070402</v>
      </c>
    </row>
    <row r="662" spans="1:14" x14ac:dyDescent="0.35">
      <c r="A662" s="82">
        <v>659</v>
      </c>
      <c r="B662" s="89" t="str">
        <f>_xlfn.XLOOKUP(A662,'Model Modeshare by TAZ'!A:A,'Model Modeshare by TAZ'!B:B)</f>
        <v>San Jose</v>
      </c>
      <c r="C662" s="90" t="str">
        <f>_xlfn.XLOOKUP(A662,'Model Modeshare by TAZ'!A:A,'Model Modeshare by TAZ'!D:D)</f>
        <v>NO</v>
      </c>
      <c r="D662" s="27">
        <v>3390.38</v>
      </c>
      <c r="E662" s="27">
        <v>61762.34</v>
      </c>
      <c r="F662" s="27">
        <v>2941.78</v>
      </c>
      <c r="G662" s="27">
        <v>27646.28</v>
      </c>
      <c r="H662" s="27">
        <v>119.05</v>
      </c>
      <c r="I662" s="27">
        <v>1360.79</v>
      </c>
      <c r="J662" s="6">
        <v>1822</v>
      </c>
      <c r="K662" s="6">
        <v>60</v>
      </c>
      <c r="L662" s="27">
        <v>15.173589462129527</v>
      </c>
      <c r="M662" s="27">
        <v>22.679833333333331</v>
      </c>
      <c r="N662" s="34">
        <v>24.04854941551541</v>
      </c>
    </row>
    <row r="663" spans="1:14" x14ac:dyDescent="0.35">
      <c r="A663" s="82">
        <v>660</v>
      </c>
      <c r="B663" s="89" t="str">
        <f>_xlfn.XLOOKUP(A663,'Model Modeshare by TAZ'!A:A,'Model Modeshare by TAZ'!B:B)</f>
        <v>San Jose</v>
      </c>
      <c r="C663" s="90" t="str">
        <f>_xlfn.XLOOKUP(A663,'Model Modeshare by TAZ'!A:A,'Model Modeshare by TAZ'!D:D)</f>
        <v>NO</v>
      </c>
      <c r="D663" s="27">
        <v>8360.4</v>
      </c>
      <c r="E663" s="27">
        <v>114329.26</v>
      </c>
      <c r="F663" s="27">
        <v>8122.01</v>
      </c>
      <c r="G663" s="27">
        <v>62346.720000000001</v>
      </c>
      <c r="H663" s="27">
        <v>910.94</v>
      </c>
      <c r="I663" s="27">
        <v>9560.73</v>
      </c>
      <c r="J663" s="6">
        <v>5669</v>
      </c>
      <c r="K663" s="6">
        <v>527</v>
      </c>
      <c r="L663" s="27">
        <v>10.997833833127537</v>
      </c>
      <c r="M663" s="27">
        <v>18.141802656546488</v>
      </c>
      <c r="N663" s="34">
        <v>16.212848612007747</v>
      </c>
    </row>
    <row r="664" spans="1:14" x14ac:dyDescent="0.35">
      <c r="A664" s="82">
        <v>661</v>
      </c>
      <c r="B664" s="89" t="str">
        <f>_xlfn.XLOOKUP(A664,'Model Modeshare by TAZ'!A:A,'Model Modeshare by TAZ'!B:B)</f>
        <v>San Jose</v>
      </c>
      <c r="C664" s="90" t="str">
        <f>_xlfn.XLOOKUP(A664,'Model Modeshare by TAZ'!A:A,'Model Modeshare by TAZ'!D:D)</f>
        <v>NO</v>
      </c>
      <c r="D664" s="27">
        <v>7951.43</v>
      </c>
      <c r="E664" s="27">
        <v>136060.97</v>
      </c>
      <c r="F664" s="27">
        <v>7736.01</v>
      </c>
      <c r="G664" s="27">
        <v>72655.259999999995</v>
      </c>
      <c r="H664" s="27">
        <v>774.68</v>
      </c>
      <c r="I664" s="27">
        <v>8587.85</v>
      </c>
      <c r="J664" s="6">
        <v>5442</v>
      </c>
      <c r="K664" s="6">
        <v>418</v>
      </c>
      <c r="L664" s="27">
        <v>13.350837927232634</v>
      </c>
      <c r="M664" s="27">
        <v>20.545095693779906</v>
      </c>
      <c r="N664" s="34">
        <v>22.946158703071671</v>
      </c>
    </row>
    <row r="665" spans="1:14" x14ac:dyDescent="0.35">
      <c r="A665" s="82">
        <v>662</v>
      </c>
      <c r="B665" s="89" t="str">
        <f>_xlfn.XLOOKUP(A665,'Model Modeshare by TAZ'!A:A,'Model Modeshare by TAZ'!B:B)</f>
        <v>San Jose</v>
      </c>
      <c r="C665" s="90" t="str">
        <f>_xlfn.XLOOKUP(A665,'Model Modeshare by TAZ'!A:A,'Model Modeshare by TAZ'!D:D)</f>
        <v>NO</v>
      </c>
      <c r="D665" s="27">
        <v>2521.46</v>
      </c>
      <c r="E665" s="27">
        <v>55822.09</v>
      </c>
      <c r="F665" s="27">
        <v>2133.2600000000002</v>
      </c>
      <c r="G665" s="27">
        <v>24172.6</v>
      </c>
      <c r="H665" s="27">
        <v>345.71</v>
      </c>
      <c r="I665" s="27">
        <v>4661.82</v>
      </c>
      <c r="J665" s="6">
        <v>1473</v>
      </c>
      <c r="K665" s="6">
        <v>186</v>
      </c>
      <c r="L665" s="27">
        <v>16.410454854039376</v>
      </c>
      <c r="M665" s="27">
        <v>25.063548387096773</v>
      </c>
      <c r="N665" s="34">
        <v>27.190584689572031</v>
      </c>
    </row>
    <row r="666" spans="1:14" x14ac:dyDescent="0.35">
      <c r="A666" s="82">
        <v>663</v>
      </c>
      <c r="B666" s="89" t="str">
        <f>_xlfn.XLOOKUP(A666,'Model Modeshare by TAZ'!A:A,'Model Modeshare by TAZ'!B:B)</f>
        <v>San Jose</v>
      </c>
      <c r="C666" s="90" t="str">
        <f>_xlfn.XLOOKUP(A666,'Model Modeshare by TAZ'!A:A,'Model Modeshare by TAZ'!D:D)</f>
        <v>NO</v>
      </c>
      <c r="D666" s="27">
        <v>3765.96</v>
      </c>
      <c r="E666" s="27">
        <v>93109.49</v>
      </c>
      <c r="F666" s="27">
        <v>300.54000000000002</v>
      </c>
      <c r="G666" s="27">
        <v>3371.18</v>
      </c>
      <c r="H666" s="27">
        <v>197.89</v>
      </c>
      <c r="I666" s="27">
        <v>2689.41</v>
      </c>
      <c r="J666" s="6">
        <v>191</v>
      </c>
      <c r="K666" s="6">
        <v>156</v>
      </c>
      <c r="L666" s="27">
        <v>17.650157068062825</v>
      </c>
      <c r="M666" s="27">
        <v>17.239807692307693</v>
      </c>
      <c r="N666" s="34">
        <v>36.467319884726223</v>
      </c>
    </row>
    <row r="667" spans="1:14" x14ac:dyDescent="0.35">
      <c r="A667" s="82">
        <v>664</v>
      </c>
      <c r="B667" s="89" t="str">
        <f>_xlfn.XLOOKUP(A667,'Model Modeshare by TAZ'!A:A,'Model Modeshare by TAZ'!B:B)</f>
        <v>San Jose</v>
      </c>
      <c r="C667" s="90" t="str">
        <f>_xlfn.XLOOKUP(A667,'Model Modeshare by TAZ'!A:A,'Model Modeshare by TAZ'!D:D)</f>
        <v>NO</v>
      </c>
      <c r="D667" s="27">
        <v>4336.78</v>
      </c>
      <c r="E667" s="27">
        <v>107499.27</v>
      </c>
      <c r="F667" s="27">
        <v>0.79</v>
      </c>
      <c r="G667" s="27">
        <v>11.77</v>
      </c>
      <c r="H667" s="27">
        <v>5860.43</v>
      </c>
      <c r="I667" s="27">
        <v>79694.240000000005</v>
      </c>
      <c r="J667" s="6">
        <v>0</v>
      </c>
      <c r="K667" s="6">
        <v>5047</v>
      </c>
      <c r="L667" s="27">
        <v>0</v>
      </c>
      <c r="M667" s="27">
        <v>15.790418070140678</v>
      </c>
      <c r="N667" s="34">
        <v>34.455316029324351</v>
      </c>
    </row>
    <row r="668" spans="1:14" x14ac:dyDescent="0.35">
      <c r="A668" s="82">
        <v>665</v>
      </c>
      <c r="B668" s="89" t="str">
        <f>_xlfn.XLOOKUP(A668,'Model Modeshare by TAZ'!A:A,'Model Modeshare by TAZ'!B:B)</f>
        <v>San Jose</v>
      </c>
      <c r="C668" s="90" t="str">
        <f>_xlfn.XLOOKUP(A668,'Model Modeshare by TAZ'!A:A,'Model Modeshare by TAZ'!D:D)</f>
        <v>NO</v>
      </c>
      <c r="D668" s="27">
        <v>4274.8</v>
      </c>
      <c r="E668" s="27">
        <v>104862.87</v>
      </c>
      <c r="F668" s="27">
        <v>2130.2600000000002</v>
      </c>
      <c r="G668" s="27">
        <v>23830.62</v>
      </c>
      <c r="H668" s="27">
        <v>697.53</v>
      </c>
      <c r="I668" s="27">
        <v>9507.9699999999993</v>
      </c>
      <c r="J668" s="6">
        <v>1284</v>
      </c>
      <c r="K668" s="6">
        <v>552</v>
      </c>
      <c r="L668" s="27">
        <v>18.559672897196261</v>
      </c>
      <c r="M668" s="27">
        <v>17.224583333333332</v>
      </c>
      <c r="N668" s="34">
        <v>34.954297385620912</v>
      </c>
    </row>
    <row r="669" spans="1:14" x14ac:dyDescent="0.35">
      <c r="A669" s="82">
        <v>666</v>
      </c>
      <c r="B669" s="89" t="str">
        <f>_xlfn.XLOOKUP(A669,'Model Modeshare by TAZ'!A:A,'Model Modeshare by TAZ'!B:B)</f>
        <v>San Jose</v>
      </c>
      <c r="C669" s="90" t="str">
        <f>_xlfn.XLOOKUP(A669,'Model Modeshare by TAZ'!A:A,'Model Modeshare by TAZ'!D:D)</f>
        <v>NO</v>
      </c>
      <c r="D669" s="27">
        <v>5101.17</v>
      </c>
      <c r="E669" s="27">
        <v>101885.59</v>
      </c>
      <c r="F669" s="27">
        <v>5392.97</v>
      </c>
      <c r="G669" s="27">
        <v>54113.120000000003</v>
      </c>
      <c r="H669" s="27">
        <v>195.12</v>
      </c>
      <c r="I669" s="27">
        <v>2581.6799999999998</v>
      </c>
      <c r="J669" s="6">
        <v>3417</v>
      </c>
      <c r="K669" s="6">
        <v>106</v>
      </c>
      <c r="L669" s="27">
        <v>15.836441322797777</v>
      </c>
      <c r="M669" s="27">
        <v>24.355471698113206</v>
      </c>
      <c r="N669" s="34">
        <v>23.954612546125464</v>
      </c>
    </row>
    <row r="670" spans="1:14" x14ac:dyDescent="0.35">
      <c r="A670" s="82">
        <v>667</v>
      </c>
      <c r="B670" s="89" t="str">
        <f>_xlfn.XLOOKUP(A670,'Model Modeshare by TAZ'!A:A,'Model Modeshare by TAZ'!B:B)</f>
        <v>San Jose</v>
      </c>
      <c r="C670" s="90" t="str">
        <f>_xlfn.XLOOKUP(A670,'Model Modeshare by TAZ'!A:A,'Model Modeshare by TAZ'!D:D)</f>
        <v>NO</v>
      </c>
      <c r="D670" s="27">
        <v>173.31</v>
      </c>
      <c r="E670" s="27">
        <v>4395.7299999999996</v>
      </c>
      <c r="F670" s="27">
        <v>2.19</v>
      </c>
      <c r="G670" s="27">
        <v>34.24</v>
      </c>
      <c r="H670" s="27">
        <v>316.89999999999998</v>
      </c>
      <c r="I670" s="27">
        <v>4251.6099999999997</v>
      </c>
      <c r="J670" s="6">
        <v>7</v>
      </c>
      <c r="K670" s="6">
        <v>273</v>
      </c>
      <c r="L670" s="27">
        <v>4.8914285714285715</v>
      </c>
      <c r="M670" s="27">
        <v>15.573663003663002</v>
      </c>
      <c r="N670" s="34">
        <v>22.58475</v>
      </c>
    </row>
    <row r="671" spans="1:14" x14ac:dyDescent="0.35">
      <c r="A671" s="82">
        <v>668</v>
      </c>
      <c r="B671" s="89" t="str">
        <f>_xlfn.XLOOKUP(A671,'Model Modeshare by TAZ'!A:A,'Model Modeshare by TAZ'!B:B)</f>
        <v>San Jose</v>
      </c>
      <c r="C671" s="90" t="str">
        <f>_xlfn.XLOOKUP(A671,'Model Modeshare by TAZ'!A:A,'Model Modeshare by TAZ'!D:D)</f>
        <v>NO</v>
      </c>
      <c r="D671" s="27">
        <v>4579.28</v>
      </c>
      <c r="E671" s="27">
        <v>109846.65</v>
      </c>
      <c r="F671" s="27">
        <v>10</v>
      </c>
      <c r="G671" s="27">
        <v>127.37</v>
      </c>
      <c r="H671" s="27">
        <v>2981.04</v>
      </c>
      <c r="I671" s="27">
        <v>40451.31</v>
      </c>
      <c r="J671" s="6">
        <v>8</v>
      </c>
      <c r="K671" s="6">
        <v>2573</v>
      </c>
      <c r="L671" s="27">
        <v>15.921250000000001</v>
      </c>
      <c r="M671" s="27">
        <v>15.72145744267392</v>
      </c>
      <c r="N671" s="34">
        <v>39.09777218132507</v>
      </c>
    </row>
    <row r="672" spans="1:14" x14ac:dyDescent="0.35">
      <c r="A672" s="82">
        <v>669</v>
      </c>
      <c r="B672" s="89" t="str">
        <f>_xlfn.XLOOKUP(A672,'Model Modeshare by TAZ'!A:A,'Model Modeshare by TAZ'!B:B)</f>
        <v>San Jose</v>
      </c>
      <c r="C672" s="90" t="str">
        <f>_xlfn.XLOOKUP(A672,'Model Modeshare by TAZ'!A:A,'Model Modeshare by TAZ'!D:D)</f>
        <v>NO</v>
      </c>
      <c r="D672" s="27">
        <v>1105.76</v>
      </c>
      <c r="E672" s="27">
        <v>22437.39</v>
      </c>
      <c r="F672" s="27">
        <v>1130.96</v>
      </c>
      <c r="G672" s="27">
        <v>11807.81</v>
      </c>
      <c r="H672" s="27">
        <v>0</v>
      </c>
      <c r="I672" s="27">
        <v>0</v>
      </c>
      <c r="J672" s="6">
        <v>754</v>
      </c>
      <c r="K672" s="6">
        <v>0</v>
      </c>
      <c r="L672" s="27">
        <v>15.660225464190981</v>
      </c>
      <c r="M672" s="27">
        <v>0</v>
      </c>
      <c r="N672" s="34">
        <v>21.712029177718833</v>
      </c>
    </row>
    <row r="673" spans="1:14" x14ac:dyDescent="0.35">
      <c r="A673" s="82">
        <v>670</v>
      </c>
      <c r="B673" s="89" t="str">
        <f>_xlfn.XLOOKUP(A673,'Model Modeshare by TAZ'!A:A,'Model Modeshare by TAZ'!B:B)</f>
        <v>San Jose</v>
      </c>
      <c r="C673" s="90" t="str">
        <f>_xlfn.XLOOKUP(A673,'Model Modeshare by TAZ'!A:A,'Model Modeshare by TAZ'!D:D)</f>
        <v>NO</v>
      </c>
      <c r="D673" s="27">
        <v>4980.21</v>
      </c>
      <c r="E673" s="27">
        <v>103232.73</v>
      </c>
      <c r="F673" s="27">
        <v>3807.11</v>
      </c>
      <c r="G673" s="27">
        <v>39544.74</v>
      </c>
      <c r="H673" s="27">
        <v>890.79</v>
      </c>
      <c r="I673" s="27">
        <v>12078.11</v>
      </c>
      <c r="J673" s="6">
        <v>2425</v>
      </c>
      <c r="K673" s="6">
        <v>584</v>
      </c>
      <c r="L673" s="27">
        <v>16.307109278350513</v>
      </c>
      <c r="M673" s="27">
        <v>20.681695205479453</v>
      </c>
      <c r="N673" s="34">
        <v>33.508072449318711</v>
      </c>
    </row>
    <row r="674" spans="1:14" x14ac:dyDescent="0.35">
      <c r="A674" s="82">
        <v>671</v>
      </c>
      <c r="B674" s="89" t="str">
        <f>_xlfn.XLOOKUP(A674,'Model Modeshare by TAZ'!A:A,'Model Modeshare by TAZ'!B:B)</f>
        <v>San Jose</v>
      </c>
      <c r="C674" s="90" t="str">
        <f>_xlfn.XLOOKUP(A674,'Model Modeshare by TAZ'!A:A,'Model Modeshare by TAZ'!D:D)</f>
        <v>NO</v>
      </c>
      <c r="D674" s="27">
        <v>3015.88</v>
      </c>
      <c r="E674" s="27">
        <v>63122.12</v>
      </c>
      <c r="F674" s="27">
        <v>3216.96</v>
      </c>
      <c r="G674" s="27">
        <v>34327.129999999997</v>
      </c>
      <c r="H674" s="27">
        <v>77.39</v>
      </c>
      <c r="I674" s="27">
        <v>1103.8</v>
      </c>
      <c r="J674" s="6">
        <v>2067</v>
      </c>
      <c r="K674" s="6">
        <v>42</v>
      </c>
      <c r="L674" s="27">
        <v>16.607223028543782</v>
      </c>
      <c r="M674" s="27">
        <v>26.280952380952378</v>
      </c>
      <c r="N674" s="34">
        <v>25.866405879563775</v>
      </c>
    </row>
    <row r="675" spans="1:14" x14ac:dyDescent="0.35">
      <c r="A675" s="82">
        <v>672</v>
      </c>
      <c r="B675" s="89" t="str">
        <f>_xlfn.XLOOKUP(A675,'Model Modeshare by TAZ'!A:A,'Model Modeshare by TAZ'!B:B)</f>
        <v>San Jose</v>
      </c>
      <c r="C675" s="90" t="str">
        <f>_xlfn.XLOOKUP(A675,'Model Modeshare by TAZ'!A:A,'Model Modeshare by TAZ'!D:D)</f>
        <v>NO</v>
      </c>
      <c r="D675" s="27">
        <v>3533.31</v>
      </c>
      <c r="E675" s="27">
        <v>75233.990000000005</v>
      </c>
      <c r="F675" s="27">
        <v>3504.37</v>
      </c>
      <c r="G675" s="27">
        <v>38492.480000000003</v>
      </c>
      <c r="H675" s="27">
        <v>86.43</v>
      </c>
      <c r="I675" s="27">
        <v>1258.46</v>
      </c>
      <c r="J675" s="6">
        <v>2202</v>
      </c>
      <c r="K675" s="6">
        <v>46</v>
      </c>
      <c r="L675" s="27">
        <v>17.480690281562218</v>
      </c>
      <c r="M675" s="27">
        <v>27.357826086956521</v>
      </c>
      <c r="N675" s="34">
        <v>28.520658362989323</v>
      </c>
    </row>
    <row r="676" spans="1:14" x14ac:dyDescent="0.35">
      <c r="A676" s="82">
        <v>673</v>
      </c>
      <c r="B676" s="89" t="str">
        <f>_xlfn.XLOOKUP(A676,'Model Modeshare by TAZ'!A:A,'Model Modeshare by TAZ'!B:B)</f>
        <v>San Jose</v>
      </c>
      <c r="C676" s="90" t="str">
        <f>_xlfn.XLOOKUP(A676,'Model Modeshare by TAZ'!A:A,'Model Modeshare by TAZ'!D:D)</f>
        <v>NO</v>
      </c>
      <c r="D676" s="27">
        <v>2778.58</v>
      </c>
      <c r="E676" s="27">
        <v>60065.760000000002</v>
      </c>
      <c r="F676" s="27">
        <v>2733.29</v>
      </c>
      <c r="G676" s="27">
        <v>29975.98</v>
      </c>
      <c r="H676" s="27">
        <v>775.32</v>
      </c>
      <c r="I676" s="27">
        <v>10274</v>
      </c>
      <c r="J676" s="6">
        <v>1855</v>
      </c>
      <c r="K676" s="6">
        <v>505</v>
      </c>
      <c r="L676" s="27">
        <v>16.15955795148248</v>
      </c>
      <c r="M676" s="27">
        <v>20.344554455445543</v>
      </c>
      <c r="N676" s="34">
        <v>34.339750000000002</v>
      </c>
    </row>
    <row r="677" spans="1:14" x14ac:dyDescent="0.35">
      <c r="A677" s="82">
        <v>674</v>
      </c>
      <c r="B677" s="89" t="str">
        <f>_xlfn.XLOOKUP(A677,'Model Modeshare by TAZ'!A:A,'Model Modeshare by TAZ'!B:B)</f>
        <v>San Jose</v>
      </c>
      <c r="C677" s="90" t="str">
        <f>_xlfn.XLOOKUP(A677,'Model Modeshare by TAZ'!A:A,'Model Modeshare by TAZ'!D:D)</f>
        <v>NO</v>
      </c>
      <c r="D677" s="27">
        <v>4304.63</v>
      </c>
      <c r="E677" s="27">
        <v>84895.57</v>
      </c>
      <c r="F677" s="27">
        <v>2864.49</v>
      </c>
      <c r="G677" s="27">
        <v>28246.33</v>
      </c>
      <c r="H677" s="27">
        <v>590.29</v>
      </c>
      <c r="I677" s="27">
        <v>7041.62</v>
      </c>
      <c r="J677" s="6">
        <v>1755</v>
      </c>
      <c r="K677" s="6">
        <v>318</v>
      </c>
      <c r="L677" s="27">
        <v>16.094774928774928</v>
      </c>
      <c r="M677" s="27">
        <v>22.143459119496853</v>
      </c>
      <c r="N677" s="34">
        <v>27.340651230101301</v>
      </c>
    </row>
    <row r="678" spans="1:14" x14ac:dyDescent="0.35">
      <c r="A678" s="82">
        <v>675</v>
      </c>
      <c r="B678" s="89" t="str">
        <f>_xlfn.XLOOKUP(A678,'Model Modeshare by TAZ'!A:A,'Model Modeshare by TAZ'!B:B)</f>
        <v>San Jose</v>
      </c>
      <c r="C678" s="90" t="str">
        <f>_xlfn.XLOOKUP(A678,'Model Modeshare by TAZ'!A:A,'Model Modeshare by TAZ'!D:D)</f>
        <v>NO</v>
      </c>
      <c r="D678" s="27">
        <v>3257.92</v>
      </c>
      <c r="E678" s="27">
        <v>70325.89</v>
      </c>
      <c r="F678" s="27">
        <v>4013.07</v>
      </c>
      <c r="G678" s="27">
        <v>43094.78</v>
      </c>
      <c r="H678" s="27">
        <v>15.35</v>
      </c>
      <c r="I678" s="27">
        <v>208.81</v>
      </c>
      <c r="J678" s="6">
        <v>2521</v>
      </c>
      <c r="K678" s="6">
        <v>8</v>
      </c>
      <c r="L678" s="27">
        <v>17.094319714399049</v>
      </c>
      <c r="M678" s="27">
        <v>26.10125</v>
      </c>
      <c r="N678" s="34">
        <v>24.525856069592724</v>
      </c>
    </row>
    <row r="679" spans="1:14" x14ac:dyDescent="0.35">
      <c r="A679" s="82">
        <v>676</v>
      </c>
      <c r="B679" s="89" t="str">
        <f>_xlfn.XLOOKUP(A679,'Model Modeshare by TAZ'!A:A,'Model Modeshare by TAZ'!B:B)</f>
        <v>San Jose</v>
      </c>
      <c r="C679" s="90" t="str">
        <f>_xlfn.XLOOKUP(A679,'Model Modeshare by TAZ'!A:A,'Model Modeshare by TAZ'!D:D)</f>
        <v>NO</v>
      </c>
      <c r="D679" s="27">
        <v>6386.43</v>
      </c>
      <c r="E679" s="27">
        <v>116529.14</v>
      </c>
      <c r="F679" s="27">
        <v>8542.25</v>
      </c>
      <c r="G679" s="27">
        <v>80487.91</v>
      </c>
      <c r="H679" s="27">
        <v>293.16000000000003</v>
      </c>
      <c r="I679" s="27">
        <v>3424.84</v>
      </c>
      <c r="J679" s="6">
        <v>5378</v>
      </c>
      <c r="K679" s="6">
        <v>164</v>
      </c>
      <c r="L679" s="27">
        <v>14.966141688359986</v>
      </c>
      <c r="M679" s="27">
        <v>20.883170731707317</v>
      </c>
      <c r="N679" s="34">
        <v>23.19580476362324</v>
      </c>
    </row>
    <row r="680" spans="1:14" x14ac:dyDescent="0.35">
      <c r="A680" s="82">
        <v>677</v>
      </c>
      <c r="B680" s="89" t="str">
        <f>_xlfn.XLOOKUP(A680,'Model Modeshare by TAZ'!A:A,'Model Modeshare by TAZ'!B:B)</f>
        <v>San Jose</v>
      </c>
      <c r="C680" s="90" t="str">
        <f>_xlfn.XLOOKUP(A680,'Model Modeshare by TAZ'!A:A,'Model Modeshare by TAZ'!D:D)</f>
        <v>NO</v>
      </c>
      <c r="D680" s="27">
        <v>2211.02</v>
      </c>
      <c r="E680" s="27">
        <v>40646.25</v>
      </c>
      <c r="F680" s="27">
        <v>1670.87</v>
      </c>
      <c r="G680" s="27">
        <v>15145.73</v>
      </c>
      <c r="H680" s="27">
        <v>350.69</v>
      </c>
      <c r="I680" s="27">
        <v>4027.43</v>
      </c>
      <c r="J680" s="6">
        <v>1058</v>
      </c>
      <c r="K680" s="6">
        <v>224</v>
      </c>
      <c r="L680" s="27">
        <v>14.315434782608696</v>
      </c>
      <c r="M680" s="27">
        <v>17.979598214285712</v>
      </c>
      <c r="N680" s="34">
        <v>29.238135725429018</v>
      </c>
    </row>
    <row r="681" spans="1:14" x14ac:dyDescent="0.35">
      <c r="A681" s="82">
        <v>678</v>
      </c>
      <c r="B681" s="89" t="str">
        <f>_xlfn.XLOOKUP(A681,'Model Modeshare by TAZ'!A:A,'Model Modeshare by TAZ'!B:B)</f>
        <v>San Jose</v>
      </c>
      <c r="C681" s="90" t="str">
        <f>_xlfn.XLOOKUP(A681,'Model Modeshare by TAZ'!A:A,'Model Modeshare by TAZ'!D:D)</f>
        <v>NO</v>
      </c>
      <c r="D681" s="27">
        <v>5427.3</v>
      </c>
      <c r="E681" s="27">
        <v>95304.91</v>
      </c>
      <c r="F681" s="27">
        <v>4128.3999999999996</v>
      </c>
      <c r="G681" s="27">
        <v>37823.72</v>
      </c>
      <c r="H681" s="27">
        <v>630.76</v>
      </c>
      <c r="I681" s="27">
        <v>7331.75</v>
      </c>
      <c r="J681" s="6">
        <v>2608</v>
      </c>
      <c r="K681" s="6">
        <v>346</v>
      </c>
      <c r="L681" s="27">
        <v>14.502960122699387</v>
      </c>
      <c r="M681" s="27">
        <v>21.190028901734102</v>
      </c>
      <c r="N681" s="34">
        <v>29.37865605958023</v>
      </c>
    </row>
    <row r="682" spans="1:14" x14ac:dyDescent="0.35">
      <c r="A682" s="82">
        <v>679</v>
      </c>
      <c r="B682" s="89" t="str">
        <f>_xlfn.XLOOKUP(A682,'Model Modeshare by TAZ'!A:A,'Model Modeshare by TAZ'!B:B)</f>
        <v>San Jose</v>
      </c>
      <c r="C682" s="90" t="str">
        <f>_xlfn.XLOOKUP(A682,'Model Modeshare by TAZ'!A:A,'Model Modeshare by TAZ'!D:D)</f>
        <v>NO</v>
      </c>
      <c r="D682" s="27">
        <v>5154.67</v>
      </c>
      <c r="E682" s="27">
        <v>97998.78</v>
      </c>
      <c r="F682" s="27">
        <v>4741.75</v>
      </c>
      <c r="G682" s="27">
        <v>44098.25</v>
      </c>
      <c r="H682" s="27">
        <v>514.78</v>
      </c>
      <c r="I682" s="27">
        <v>6087.35</v>
      </c>
      <c r="J682" s="6">
        <v>3102</v>
      </c>
      <c r="K682" s="6">
        <v>279</v>
      </c>
      <c r="L682" s="27">
        <v>14.21607027724049</v>
      </c>
      <c r="M682" s="27">
        <v>21.818458781362008</v>
      </c>
      <c r="N682" s="34">
        <v>23.897379473528542</v>
      </c>
    </row>
    <row r="683" spans="1:14" x14ac:dyDescent="0.35">
      <c r="A683" s="82">
        <v>680</v>
      </c>
      <c r="B683" s="89" t="str">
        <f>_xlfn.XLOOKUP(A683,'Model Modeshare by TAZ'!A:A,'Model Modeshare by TAZ'!B:B)</f>
        <v>San Jose</v>
      </c>
      <c r="C683" s="90" t="str">
        <f>_xlfn.XLOOKUP(A683,'Model Modeshare by TAZ'!A:A,'Model Modeshare by TAZ'!D:D)</f>
        <v>NO</v>
      </c>
      <c r="D683" s="27">
        <v>3228.31</v>
      </c>
      <c r="E683" s="27">
        <v>61809.75</v>
      </c>
      <c r="F683" s="27">
        <v>3144.93</v>
      </c>
      <c r="G683" s="27">
        <v>29666.16</v>
      </c>
      <c r="H683" s="27">
        <v>58.64</v>
      </c>
      <c r="I683" s="27">
        <v>683.94</v>
      </c>
      <c r="J683" s="6">
        <v>1994</v>
      </c>
      <c r="K683" s="6">
        <v>31</v>
      </c>
      <c r="L683" s="27">
        <v>14.877713139418255</v>
      </c>
      <c r="M683" s="27">
        <v>22.062580645161294</v>
      </c>
      <c r="N683" s="34">
        <v>23.310434567901233</v>
      </c>
    </row>
    <row r="684" spans="1:14" x14ac:dyDescent="0.35">
      <c r="A684" s="82">
        <v>681</v>
      </c>
      <c r="B684" s="89" t="str">
        <f>_xlfn.XLOOKUP(A684,'Model Modeshare by TAZ'!A:A,'Model Modeshare by TAZ'!B:B)</f>
        <v>San Jose</v>
      </c>
      <c r="C684" s="90" t="str">
        <f>_xlfn.XLOOKUP(A684,'Model Modeshare by TAZ'!A:A,'Model Modeshare by TAZ'!D:D)</f>
        <v>NO</v>
      </c>
      <c r="D684" s="27">
        <v>2218.52</v>
      </c>
      <c r="E684" s="27">
        <v>39987.79</v>
      </c>
      <c r="F684" s="27">
        <v>1906.38</v>
      </c>
      <c r="G684" s="27">
        <v>15604.02</v>
      </c>
      <c r="H684" s="27">
        <v>541.38</v>
      </c>
      <c r="I684" s="27">
        <v>6142.1</v>
      </c>
      <c r="J684" s="6">
        <v>1257</v>
      </c>
      <c r="K684" s="6">
        <v>435</v>
      </c>
      <c r="L684" s="27">
        <v>12.413699284009548</v>
      </c>
      <c r="M684" s="27">
        <v>14.119770114942529</v>
      </c>
      <c r="N684" s="34">
        <v>26.685697399527186</v>
      </c>
    </row>
    <row r="685" spans="1:14" x14ac:dyDescent="0.35">
      <c r="A685" s="82">
        <v>682</v>
      </c>
      <c r="B685" s="89" t="str">
        <f>_xlfn.XLOOKUP(A685,'Model Modeshare by TAZ'!A:A,'Model Modeshare by TAZ'!B:B)</f>
        <v>San Jose</v>
      </c>
      <c r="C685" s="90" t="str">
        <f>_xlfn.XLOOKUP(A685,'Model Modeshare by TAZ'!A:A,'Model Modeshare by TAZ'!D:D)</f>
        <v>NO</v>
      </c>
      <c r="D685" s="27">
        <v>1577.18</v>
      </c>
      <c r="E685" s="27">
        <v>27744.1</v>
      </c>
      <c r="F685" s="27">
        <v>1221.96</v>
      </c>
      <c r="G685" s="27">
        <v>10614.57</v>
      </c>
      <c r="H685" s="27">
        <v>70.72</v>
      </c>
      <c r="I685" s="27">
        <v>837.79</v>
      </c>
      <c r="J685" s="6">
        <v>812</v>
      </c>
      <c r="K685" s="6">
        <v>38</v>
      </c>
      <c r="L685" s="27">
        <v>13.072130541871921</v>
      </c>
      <c r="M685" s="27">
        <v>22.047105263157892</v>
      </c>
      <c r="N685" s="34">
        <v>25.114529411764703</v>
      </c>
    </row>
    <row r="686" spans="1:14" x14ac:dyDescent="0.35">
      <c r="A686" s="82">
        <v>683</v>
      </c>
      <c r="B686" s="89" t="str">
        <f>_xlfn.XLOOKUP(A686,'Model Modeshare by TAZ'!A:A,'Model Modeshare by TAZ'!B:B)</f>
        <v>San Jose</v>
      </c>
      <c r="C686" s="90" t="str">
        <f>_xlfn.XLOOKUP(A686,'Model Modeshare by TAZ'!A:A,'Model Modeshare by TAZ'!D:D)</f>
        <v>NO</v>
      </c>
      <c r="D686" s="27">
        <v>4949.21</v>
      </c>
      <c r="E686" s="27">
        <v>93397.97</v>
      </c>
      <c r="F686" s="27">
        <v>3419.37</v>
      </c>
      <c r="G686" s="27">
        <v>30289.4</v>
      </c>
      <c r="H686" s="27">
        <v>1137.6500000000001</v>
      </c>
      <c r="I686" s="27">
        <v>13194.7</v>
      </c>
      <c r="J686" s="6">
        <v>2210</v>
      </c>
      <c r="K686" s="6">
        <v>976</v>
      </c>
      <c r="L686" s="27">
        <v>13.705610859728507</v>
      </c>
      <c r="M686" s="27">
        <v>13.519159836065574</v>
      </c>
      <c r="N686" s="34">
        <v>29.57925925925926</v>
      </c>
    </row>
    <row r="687" spans="1:14" x14ac:dyDescent="0.35">
      <c r="A687" s="82">
        <v>684</v>
      </c>
      <c r="B687" s="89" t="str">
        <f>_xlfn.XLOOKUP(A687,'Model Modeshare by TAZ'!A:A,'Model Modeshare by TAZ'!B:B)</f>
        <v>San Jose</v>
      </c>
      <c r="C687" s="90" t="str">
        <f>_xlfn.XLOOKUP(A687,'Model Modeshare by TAZ'!A:A,'Model Modeshare by TAZ'!D:D)</f>
        <v>NO</v>
      </c>
      <c r="D687" s="27">
        <v>2930.56</v>
      </c>
      <c r="E687" s="27">
        <v>53660.41</v>
      </c>
      <c r="F687" s="27">
        <v>2867.62</v>
      </c>
      <c r="G687" s="27">
        <v>25384.1</v>
      </c>
      <c r="H687" s="27">
        <v>92.94</v>
      </c>
      <c r="I687" s="27">
        <v>1106.26</v>
      </c>
      <c r="J687" s="6">
        <v>1825</v>
      </c>
      <c r="K687" s="6">
        <v>50</v>
      </c>
      <c r="L687" s="27">
        <v>13.909095890410958</v>
      </c>
      <c r="M687" s="27">
        <v>22.1252</v>
      </c>
      <c r="N687" s="34">
        <v>21.761600000000001</v>
      </c>
    </row>
    <row r="688" spans="1:14" x14ac:dyDescent="0.35">
      <c r="A688" s="82">
        <v>685</v>
      </c>
      <c r="B688" s="89" t="str">
        <f>_xlfn.XLOOKUP(A688,'Model Modeshare by TAZ'!A:A,'Model Modeshare by TAZ'!B:B)</f>
        <v>San Jose</v>
      </c>
      <c r="C688" s="90" t="str">
        <f>_xlfn.XLOOKUP(A688,'Model Modeshare by TAZ'!A:A,'Model Modeshare by TAZ'!D:D)</f>
        <v>NO</v>
      </c>
      <c r="D688" s="27">
        <v>2302.9499999999998</v>
      </c>
      <c r="E688" s="27">
        <v>42162.66</v>
      </c>
      <c r="F688" s="27">
        <v>2385.73</v>
      </c>
      <c r="G688" s="27">
        <v>21484.17</v>
      </c>
      <c r="H688" s="27">
        <v>83.95</v>
      </c>
      <c r="I688" s="27">
        <v>1005.37</v>
      </c>
      <c r="J688" s="6">
        <v>1474</v>
      </c>
      <c r="K688" s="6">
        <v>45</v>
      </c>
      <c r="L688" s="27">
        <v>14.575420624151967</v>
      </c>
      <c r="M688" s="27">
        <v>22.341555555555555</v>
      </c>
      <c r="N688" s="34">
        <v>23.354318630678076</v>
      </c>
    </row>
    <row r="689" spans="1:14" x14ac:dyDescent="0.35">
      <c r="A689" s="82">
        <v>686</v>
      </c>
      <c r="B689" s="89" t="str">
        <f>_xlfn.XLOOKUP(A689,'Model Modeshare by TAZ'!A:A,'Model Modeshare by TAZ'!B:B)</f>
        <v>San Jose</v>
      </c>
      <c r="C689" s="90" t="str">
        <f>_xlfn.XLOOKUP(A689,'Model Modeshare by TAZ'!A:A,'Model Modeshare by TAZ'!D:D)</f>
        <v>NO</v>
      </c>
      <c r="D689" s="27">
        <v>4792.43</v>
      </c>
      <c r="E689" s="27">
        <v>85815.64</v>
      </c>
      <c r="F689" s="27">
        <v>3987.43</v>
      </c>
      <c r="G689" s="27">
        <v>32224.22</v>
      </c>
      <c r="H689" s="27">
        <v>1462.76</v>
      </c>
      <c r="I689" s="27">
        <v>16954.04</v>
      </c>
      <c r="J689" s="6">
        <v>2838</v>
      </c>
      <c r="K689" s="6">
        <v>1294</v>
      </c>
      <c r="L689" s="27">
        <v>11.354552501761804</v>
      </c>
      <c r="M689" s="27">
        <v>13.102040185471408</v>
      </c>
      <c r="N689" s="34">
        <v>25.090672797676671</v>
      </c>
    </row>
    <row r="690" spans="1:14" x14ac:dyDescent="0.35">
      <c r="A690" s="82">
        <v>687</v>
      </c>
      <c r="B690" s="89" t="str">
        <f>_xlfn.XLOOKUP(A690,'Model Modeshare by TAZ'!A:A,'Model Modeshare by TAZ'!B:B)</f>
        <v>San Jose</v>
      </c>
      <c r="C690" s="90" t="str">
        <f>_xlfn.XLOOKUP(A690,'Model Modeshare by TAZ'!A:A,'Model Modeshare by TAZ'!D:D)</f>
        <v>NO</v>
      </c>
      <c r="D690" s="27">
        <v>5527.35</v>
      </c>
      <c r="E690" s="27">
        <v>106196.18</v>
      </c>
      <c r="F690" s="27">
        <v>844.18</v>
      </c>
      <c r="G690" s="27">
        <v>6722.95</v>
      </c>
      <c r="H690" s="27">
        <v>1650.1</v>
      </c>
      <c r="I690" s="27">
        <v>18801.78</v>
      </c>
      <c r="J690" s="6">
        <v>578</v>
      </c>
      <c r="K690" s="6">
        <v>1418</v>
      </c>
      <c r="L690" s="27">
        <v>11.631401384083045</v>
      </c>
      <c r="M690" s="27">
        <v>13.259365303244005</v>
      </c>
      <c r="N690" s="34">
        <v>39.771788577154311</v>
      </c>
    </row>
    <row r="691" spans="1:14" x14ac:dyDescent="0.35">
      <c r="A691" s="82">
        <v>688</v>
      </c>
      <c r="B691" s="89" t="str">
        <f>_xlfn.XLOOKUP(A691,'Model Modeshare by TAZ'!A:A,'Model Modeshare by TAZ'!B:B)</f>
        <v>San Jose</v>
      </c>
      <c r="C691" s="90" t="str">
        <f>_xlfn.XLOOKUP(A691,'Model Modeshare by TAZ'!A:A,'Model Modeshare by TAZ'!D:D)</f>
        <v>NO</v>
      </c>
      <c r="D691" s="27">
        <v>8367</v>
      </c>
      <c r="E691" s="27">
        <v>156408.98000000001</v>
      </c>
      <c r="F691" s="27">
        <v>959.44</v>
      </c>
      <c r="G691" s="27">
        <v>8459.7900000000009</v>
      </c>
      <c r="H691" s="27">
        <v>2137.0500000000002</v>
      </c>
      <c r="I691" s="27">
        <v>24545.23</v>
      </c>
      <c r="J691" s="6">
        <v>576</v>
      </c>
      <c r="K691" s="6">
        <v>1916</v>
      </c>
      <c r="L691" s="27">
        <v>14.687135416666669</v>
      </c>
      <c r="M691" s="27">
        <v>12.810662839248433</v>
      </c>
      <c r="N691" s="34">
        <v>67.211817817014449</v>
      </c>
    </row>
    <row r="692" spans="1:14" x14ac:dyDescent="0.35">
      <c r="A692" s="82">
        <v>689</v>
      </c>
      <c r="B692" s="89" t="str">
        <f>_xlfn.XLOOKUP(A692,'Model Modeshare by TAZ'!A:A,'Model Modeshare by TAZ'!B:B)</f>
        <v>San Jose</v>
      </c>
      <c r="C692" s="90" t="str">
        <f>_xlfn.XLOOKUP(A692,'Model Modeshare by TAZ'!A:A,'Model Modeshare by TAZ'!D:D)</f>
        <v>NO</v>
      </c>
      <c r="D692" s="27">
        <v>7436.72</v>
      </c>
      <c r="E692" s="27">
        <v>130257.13</v>
      </c>
      <c r="F692" s="27">
        <v>4075.85</v>
      </c>
      <c r="G692" s="27">
        <v>32065.8</v>
      </c>
      <c r="H692" s="27">
        <v>678.36</v>
      </c>
      <c r="I692" s="27">
        <v>7617.57</v>
      </c>
      <c r="J692" s="6">
        <v>2798</v>
      </c>
      <c r="K692" s="6">
        <v>377</v>
      </c>
      <c r="L692" s="27">
        <v>11.460257326661901</v>
      </c>
      <c r="M692" s="27">
        <v>20.205755968169761</v>
      </c>
      <c r="N692" s="34">
        <v>28.360614173228345</v>
      </c>
    </row>
    <row r="693" spans="1:14" x14ac:dyDescent="0.35">
      <c r="A693" s="82">
        <v>690</v>
      </c>
      <c r="B693" s="89" t="str">
        <f>_xlfn.XLOOKUP(A693,'Model Modeshare by TAZ'!A:A,'Model Modeshare by TAZ'!B:B)</f>
        <v>San Jose</v>
      </c>
      <c r="C693" s="90" t="str">
        <f>_xlfn.XLOOKUP(A693,'Model Modeshare by TAZ'!A:A,'Model Modeshare by TAZ'!D:D)</f>
        <v>NO</v>
      </c>
      <c r="D693" s="27">
        <v>3925.35</v>
      </c>
      <c r="E693" s="27">
        <v>66727.31</v>
      </c>
      <c r="F693" s="27">
        <v>4319.7700000000004</v>
      </c>
      <c r="G693" s="27">
        <v>35351.050000000003</v>
      </c>
      <c r="H693" s="27">
        <v>50.22</v>
      </c>
      <c r="I693" s="27">
        <v>561.32000000000005</v>
      </c>
      <c r="J693" s="6">
        <v>2780</v>
      </c>
      <c r="K693" s="6">
        <v>27</v>
      </c>
      <c r="L693" s="27">
        <v>12.716205035971225</v>
      </c>
      <c r="M693" s="27">
        <v>20.78962962962963</v>
      </c>
      <c r="N693" s="34">
        <v>21.53255076594229</v>
      </c>
    </row>
    <row r="694" spans="1:14" x14ac:dyDescent="0.35">
      <c r="A694" s="82">
        <v>691</v>
      </c>
      <c r="B694" s="89" t="str">
        <f>_xlfn.XLOOKUP(A694,'Model Modeshare by TAZ'!A:A,'Model Modeshare by TAZ'!B:B)</f>
        <v>San Jose</v>
      </c>
      <c r="C694" s="90" t="str">
        <f>_xlfn.XLOOKUP(A694,'Model Modeshare by TAZ'!A:A,'Model Modeshare by TAZ'!D:D)</f>
        <v>NO</v>
      </c>
      <c r="D694" s="27">
        <v>1460.4</v>
      </c>
      <c r="E694" s="27">
        <v>26563.040000000001</v>
      </c>
      <c r="F694" s="27">
        <v>1343.57</v>
      </c>
      <c r="G694" s="27">
        <v>11462.87</v>
      </c>
      <c r="H694" s="27">
        <v>99.41</v>
      </c>
      <c r="I694" s="27">
        <v>1153.77</v>
      </c>
      <c r="J694" s="6">
        <v>814</v>
      </c>
      <c r="K694" s="6">
        <v>53</v>
      </c>
      <c r="L694" s="27">
        <v>14.082149877149877</v>
      </c>
      <c r="M694" s="27">
        <v>21.769245283018869</v>
      </c>
      <c r="N694" s="34">
        <v>24.235444059976935</v>
      </c>
    </row>
    <row r="695" spans="1:14" x14ac:dyDescent="0.35">
      <c r="A695" s="82">
        <v>692</v>
      </c>
      <c r="B695" s="89" t="str">
        <f>_xlfn.XLOOKUP(A695,'Model Modeshare by TAZ'!A:A,'Model Modeshare by TAZ'!B:B)</f>
        <v>San Jose</v>
      </c>
      <c r="C695" s="90" t="str">
        <f>_xlfn.XLOOKUP(A695,'Model Modeshare by TAZ'!A:A,'Model Modeshare by TAZ'!D:D)</f>
        <v>NO</v>
      </c>
      <c r="D695" s="27">
        <v>1873.39</v>
      </c>
      <c r="E695" s="27">
        <v>33148.629999999997</v>
      </c>
      <c r="F695" s="27">
        <v>1771.06</v>
      </c>
      <c r="G695" s="27">
        <v>15279.75</v>
      </c>
      <c r="H695" s="27">
        <v>79.83</v>
      </c>
      <c r="I695" s="27">
        <v>935.12</v>
      </c>
      <c r="J695" s="6">
        <v>1084</v>
      </c>
      <c r="K695" s="6">
        <v>43</v>
      </c>
      <c r="L695" s="27">
        <v>14.095710332103321</v>
      </c>
      <c r="M695" s="27">
        <v>21.746976744186046</v>
      </c>
      <c r="N695" s="34">
        <v>25.62141969831411</v>
      </c>
    </row>
    <row r="696" spans="1:14" x14ac:dyDescent="0.35">
      <c r="A696" s="82">
        <v>693</v>
      </c>
      <c r="B696" s="89" t="str">
        <f>_xlfn.XLOOKUP(A696,'Model Modeshare by TAZ'!A:A,'Model Modeshare by TAZ'!B:B)</f>
        <v>Unincorporated</v>
      </c>
      <c r="C696" s="90" t="str">
        <f>_xlfn.XLOOKUP(A696,'Model Modeshare by TAZ'!A:A,'Model Modeshare by TAZ'!D:D)</f>
        <v>NO</v>
      </c>
      <c r="D696" s="27">
        <v>882.75</v>
      </c>
      <c r="E696" s="27">
        <v>34161.040000000001</v>
      </c>
      <c r="F696" s="27">
        <v>552.59</v>
      </c>
      <c r="G696" s="27">
        <v>8729.4699999999993</v>
      </c>
      <c r="H696" s="27">
        <v>2436.17</v>
      </c>
      <c r="I696" s="27">
        <v>53029.83</v>
      </c>
      <c r="J696" s="6">
        <v>300</v>
      </c>
      <c r="K696" s="6">
        <v>1698</v>
      </c>
      <c r="L696" s="27">
        <v>29.098233333333329</v>
      </c>
      <c r="M696" s="27">
        <v>31.230759717314488</v>
      </c>
      <c r="N696" s="34">
        <v>60.878318318318321</v>
      </c>
    </row>
    <row r="697" spans="1:14" x14ac:dyDescent="0.35">
      <c r="A697" s="82">
        <v>694</v>
      </c>
      <c r="B697" s="89" t="str">
        <f>_xlfn.XLOOKUP(A697,'Model Modeshare by TAZ'!A:A,'Model Modeshare by TAZ'!B:B)</f>
        <v>San Jose</v>
      </c>
      <c r="C697" s="90" t="str">
        <f>_xlfn.XLOOKUP(A697,'Model Modeshare by TAZ'!A:A,'Model Modeshare by TAZ'!D:D)</f>
        <v>NO</v>
      </c>
      <c r="D697" s="27">
        <v>1565.81</v>
      </c>
      <c r="E697" s="27">
        <v>43726.1</v>
      </c>
      <c r="F697" s="27">
        <v>1221.6099999999999</v>
      </c>
      <c r="G697" s="27">
        <v>14048.67</v>
      </c>
      <c r="H697" s="27">
        <v>43.51</v>
      </c>
      <c r="I697" s="27">
        <v>691.37</v>
      </c>
      <c r="J697" s="6">
        <v>687</v>
      </c>
      <c r="K697" s="6">
        <v>22</v>
      </c>
      <c r="L697" s="27">
        <v>20.449301310043669</v>
      </c>
      <c r="M697" s="27">
        <v>31.425909090909091</v>
      </c>
      <c r="N697" s="34">
        <v>35.283328631875882</v>
      </c>
    </row>
    <row r="698" spans="1:14" x14ac:dyDescent="0.35">
      <c r="A698" s="82">
        <v>695</v>
      </c>
      <c r="B698" s="89" t="str">
        <f>_xlfn.XLOOKUP(A698,'Model Modeshare by TAZ'!A:A,'Model Modeshare by TAZ'!B:B)</f>
        <v>Unincorporated</v>
      </c>
      <c r="C698" s="90" t="str">
        <f>_xlfn.XLOOKUP(A698,'Model Modeshare by TAZ'!A:A,'Model Modeshare by TAZ'!D:D)</f>
        <v>NO</v>
      </c>
      <c r="D698" s="27">
        <v>480.36</v>
      </c>
      <c r="E698" s="27">
        <v>18728.23</v>
      </c>
      <c r="F698" s="27">
        <v>481.21</v>
      </c>
      <c r="G698" s="27">
        <v>7672.06</v>
      </c>
      <c r="H698" s="27">
        <v>16.760000000000002</v>
      </c>
      <c r="I698" s="27">
        <v>399.48</v>
      </c>
      <c r="J698" s="6">
        <v>276</v>
      </c>
      <c r="K698" s="6">
        <v>8</v>
      </c>
      <c r="L698" s="27">
        <v>27.797318840579713</v>
      </c>
      <c r="M698" s="27">
        <v>49.935000000000002</v>
      </c>
      <c r="N698" s="34">
        <v>53.50700704225352</v>
      </c>
    </row>
    <row r="699" spans="1:14" x14ac:dyDescent="0.35">
      <c r="A699" s="82">
        <v>696</v>
      </c>
      <c r="B699" s="89" t="str">
        <f>_xlfn.XLOOKUP(A699,'Model Modeshare by TAZ'!A:A,'Model Modeshare by TAZ'!B:B)</f>
        <v>Unincorporated</v>
      </c>
      <c r="C699" s="90" t="str">
        <f>_xlfn.XLOOKUP(A699,'Model Modeshare by TAZ'!A:A,'Model Modeshare by TAZ'!D:D)</f>
        <v>NO</v>
      </c>
      <c r="D699" s="27">
        <v>1289.42</v>
      </c>
      <c r="E699" s="27">
        <v>53636.9</v>
      </c>
      <c r="F699" s="27">
        <v>715.32</v>
      </c>
      <c r="G699" s="27">
        <v>11957.66</v>
      </c>
      <c r="H699" s="27">
        <v>146.71</v>
      </c>
      <c r="I699" s="27">
        <v>3464.27</v>
      </c>
      <c r="J699" s="6">
        <v>398</v>
      </c>
      <c r="K699" s="6">
        <v>86</v>
      </c>
      <c r="L699" s="27">
        <v>30.044371859296483</v>
      </c>
      <c r="M699" s="27">
        <v>40.282209302325583</v>
      </c>
      <c r="N699" s="34">
        <v>59.530165289256196</v>
      </c>
    </row>
    <row r="700" spans="1:14" x14ac:dyDescent="0.35">
      <c r="A700" s="82">
        <v>697</v>
      </c>
      <c r="B700" s="89" t="str">
        <f>_xlfn.XLOOKUP(A700,'Model Modeshare by TAZ'!A:A,'Model Modeshare by TAZ'!B:B)</f>
        <v>San Jose</v>
      </c>
      <c r="C700" s="90" t="str">
        <f>_xlfn.XLOOKUP(A700,'Model Modeshare by TAZ'!A:A,'Model Modeshare by TAZ'!D:D)</f>
        <v>NO</v>
      </c>
      <c r="D700" s="27">
        <v>5176.22</v>
      </c>
      <c r="E700" s="27">
        <v>98178.76</v>
      </c>
      <c r="F700" s="27">
        <v>3730.22</v>
      </c>
      <c r="G700" s="27">
        <v>34546.29</v>
      </c>
      <c r="H700" s="27">
        <v>890.48</v>
      </c>
      <c r="I700" s="27">
        <v>11941.99</v>
      </c>
      <c r="J700" s="6">
        <v>2435</v>
      </c>
      <c r="K700" s="6">
        <v>666</v>
      </c>
      <c r="L700" s="27">
        <v>14.187388090349076</v>
      </c>
      <c r="M700" s="27">
        <v>17.930915915915914</v>
      </c>
      <c r="N700" s="34">
        <v>29.489974201870364</v>
      </c>
    </row>
    <row r="701" spans="1:14" x14ac:dyDescent="0.35">
      <c r="A701" s="82">
        <v>698</v>
      </c>
      <c r="B701" s="89" t="str">
        <f>_xlfn.XLOOKUP(A701,'Model Modeshare by TAZ'!A:A,'Model Modeshare by TAZ'!B:B)</f>
        <v>Unincorporated</v>
      </c>
      <c r="C701" s="90" t="str">
        <f>_xlfn.XLOOKUP(A701,'Model Modeshare by TAZ'!A:A,'Model Modeshare by TAZ'!D:D)</f>
        <v>NO</v>
      </c>
      <c r="D701" s="27">
        <v>852.46</v>
      </c>
      <c r="E701" s="27">
        <v>10682.14</v>
      </c>
      <c r="F701" s="27">
        <v>95.72</v>
      </c>
      <c r="G701" s="27">
        <v>623.03</v>
      </c>
      <c r="H701" s="27">
        <v>106.4</v>
      </c>
      <c r="I701" s="27">
        <v>1009.55</v>
      </c>
      <c r="J701" s="6">
        <v>131</v>
      </c>
      <c r="K701" s="6">
        <v>85</v>
      </c>
      <c r="L701" s="27">
        <v>4.7559541984732823</v>
      </c>
      <c r="M701" s="27">
        <v>11.877058823529412</v>
      </c>
      <c r="N701" s="34">
        <v>14.11662037037037</v>
      </c>
    </row>
    <row r="702" spans="1:14" x14ac:dyDescent="0.35">
      <c r="A702" s="82">
        <v>699</v>
      </c>
      <c r="B702" s="89" t="str">
        <f>_xlfn.XLOOKUP(A702,'Model Modeshare by TAZ'!A:A,'Model Modeshare by TAZ'!B:B)</f>
        <v>San Jose</v>
      </c>
      <c r="C702" s="90" t="str">
        <f>_xlfn.XLOOKUP(A702,'Model Modeshare by TAZ'!A:A,'Model Modeshare by TAZ'!D:D)</f>
        <v>NO</v>
      </c>
      <c r="D702" s="27">
        <v>1736.65</v>
      </c>
      <c r="E702" s="27">
        <v>27348.61</v>
      </c>
      <c r="F702" s="27">
        <v>1514.71</v>
      </c>
      <c r="G702" s="27">
        <v>9710.64</v>
      </c>
      <c r="H702" s="27">
        <v>84.15</v>
      </c>
      <c r="I702" s="27">
        <v>873.51</v>
      </c>
      <c r="J702" s="6">
        <v>1007</v>
      </c>
      <c r="K702" s="6">
        <v>47</v>
      </c>
      <c r="L702" s="27">
        <v>9.6431380337636536</v>
      </c>
      <c r="M702" s="27">
        <v>18.585319148936168</v>
      </c>
      <c r="N702" s="34">
        <v>19.086053130929791</v>
      </c>
    </row>
    <row r="703" spans="1:14" x14ac:dyDescent="0.35">
      <c r="A703" s="82">
        <v>700</v>
      </c>
      <c r="B703" s="89" t="str">
        <f>_xlfn.XLOOKUP(A703,'Model Modeshare by TAZ'!A:A,'Model Modeshare by TAZ'!B:B)</f>
        <v>San Jose</v>
      </c>
      <c r="C703" s="90" t="str">
        <f>_xlfn.XLOOKUP(A703,'Model Modeshare by TAZ'!A:A,'Model Modeshare by TAZ'!D:D)</f>
        <v>NO</v>
      </c>
      <c r="D703" s="27">
        <v>2672.59</v>
      </c>
      <c r="E703" s="27">
        <v>31721.14</v>
      </c>
      <c r="F703" s="27">
        <v>2896.34</v>
      </c>
      <c r="G703" s="27">
        <v>15721.9</v>
      </c>
      <c r="H703" s="27">
        <v>139.77000000000001</v>
      </c>
      <c r="I703" s="27">
        <v>1408.78</v>
      </c>
      <c r="J703" s="6">
        <v>2107</v>
      </c>
      <c r="K703" s="6">
        <v>79</v>
      </c>
      <c r="L703" s="27">
        <v>7.461746559088752</v>
      </c>
      <c r="M703" s="27">
        <v>17.8326582278481</v>
      </c>
      <c r="N703" s="34">
        <v>13.214368709972552</v>
      </c>
    </row>
    <row r="704" spans="1:14" x14ac:dyDescent="0.35">
      <c r="A704" s="82">
        <v>701</v>
      </c>
      <c r="B704" s="89" t="str">
        <f>_xlfn.XLOOKUP(A704,'Model Modeshare by TAZ'!A:A,'Model Modeshare by TAZ'!B:B)</f>
        <v>San Jose</v>
      </c>
      <c r="C704" s="90" t="str">
        <f>_xlfn.XLOOKUP(A704,'Model Modeshare by TAZ'!A:A,'Model Modeshare by TAZ'!D:D)</f>
        <v>NO</v>
      </c>
      <c r="D704" s="27">
        <v>4152.03</v>
      </c>
      <c r="E704" s="27">
        <v>61918.25</v>
      </c>
      <c r="F704" s="27">
        <v>3121.64</v>
      </c>
      <c r="G704" s="27">
        <v>18092.34</v>
      </c>
      <c r="H704" s="27">
        <v>805.15</v>
      </c>
      <c r="I704" s="27">
        <v>8105.01</v>
      </c>
      <c r="J704" s="6">
        <v>2217</v>
      </c>
      <c r="K704" s="6">
        <v>561</v>
      </c>
      <c r="L704" s="27">
        <v>8.1607307171853858</v>
      </c>
      <c r="M704" s="27">
        <v>14.447433155080214</v>
      </c>
      <c r="N704" s="34">
        <v>19.677289416846651</v>
      </c>
    </row>
    <row r="705" spans="1:14" x14ac:dyDescent="0.35">
      <c r="A705" s="82">
        <v>702</v>
      </c>
      <c r="B705" s="89" t="str">
        <f>_xlfn.XLOOKUP(A705,'Model Modeshare by TAZ'!A:A,'Model Modeshare by TAZ'!B:B)</f>
        <v>San Jose</v>
      </c>
      <c r="C705" s="90" t="str">
        <f>_xlfn.XLOOKUP(A705,'Model Modeshare by TAZ'!A:A,'Model Modeshare by TAZ'!D:D)</f>
        <v>NO</v>
      </c>
      <c r="D705" s="27">
        <v>3877.69</v>
      </c>
      <c r="E705" s="27">
        <v>43207.74</v>
      </c>
      <c r="F705" s="27">
        <v>1769.16</v>
      </c>
      <c r="G705" s="27">
        <v>7556.58</v>
      </c>
      <c r="H705" s="27">
        <v>1069.46</v>
      </c>
      <c r="I705" s="27">
        <v>10509.42</v>
      </c>
      <c r="J705" s="6">
        <v>1253</v>
      </c>
      <c r="K705" s="6">
        <v>962</v>
      </c>
      <c r="L705" s="27">
        <v>6.0307901037509977</v>
      </c>
      <c r="M705" s="27">
        <v>10.924553014553014</v>
      </c>
      <c r="N705" s="34">
        <v>14.830325056433407</v>
      </c>
    </row>
    <row r="706" spans="1:14" x14ac:dyDescent="0.35">
      <c r="A706" s="82">
        <v>703</v>
      </c>
      <c r="B706" s="89" t="str">
        <f>_xlfn.XLOOKUP(A706,'Model Modeshare by TAZ'!A:A,'Model Modeshare by TAZ'!B:B)</f>
        <v>San Jose</v>
      </c>
      <c r="C706" s="90" t="str">
        <f>_xlfn.XLOOKUP(A706,'Model Modeshare by TAZ'!A:A,'Model Modeshare by TAZ'!D:D)</f>
        <v>NO</v>
      </c>
      <c r="D706" s="27">
        <v>1947.31</v>
      </c>
      <c r="E706" s="27">
        <v>19635.310000000001</v>
      </c>
      <c r="F706" s="27">
        <v>1656.49</v>
      </c>
      <c r="G706" s="27">
        <v>7718.35</v>
      </c>
      <c r="H706" s="27">
        <v>515.53</v>
      </c>
      <c r="I706" s="27">
        <v>5263.04</v>
      </c>
      <c r="J706" s="6">
        <v>1123</v>
      </c>
      <c r="K706" s="6">
        <v>352</v>
      </c>
      <c r="L706" s="27">
        <v>6.8729741763134466</v>
      </c>
      <c r="M706" s="27">
        <v>14.951818181818181</v>
      </c>
      <c r="N706" s="34">
        <v>14.284081355932203</v>
      </c>
    </row>
    <row r="707" spans="1:14" x14ac:dyDescent="0.35">
      <c r="A707" s="82">
        <v>704</v>
      </c>
      <c r="B707" s="89" t="str">
        <f>_xlfn.XLOOKUP(A707,'Model Modeshare by TAZ'!A:A,'Model Modeshare by TAZ'!B:B)</f>
        <v>San Jose</v>
      </c>
      <c r="C707" s="90" t="str">
        <f>_xlfn.XLOOKUP(A707,'Model Modeshare by TAZ'!A:A,'Model Modeshare by TAZ'!D:D)</f>
        <v>NO</v>
      </c>
      <c r="D707" s="27">
        <v>2386.79</v>
      </c>
      <c r="E707" s="27">
        <v>27090.83</v>
      </c>
      <c r="F707" s="27">
        <v>2412.04</v>
      </c>
      <c r="G707" s="27">
        <v>12546.19</v>
      </c>
      <c r="H707" s="27">
        <v>463.33</v>
      </c>
      <c r="I707" s="27">
        <v>4671.57</v>
      </c>
      <c r="J707" s="6">
        <v>1596</v>
      </c>
      <c r="K707" s="6">
        <v>312</v>
      </c>
      <c r="L707" s="27">
        <v>7.8610213032581457</v>
      </c>
      <c r="M707" s="27">
        <v>14.972980769230768</v>
      </c>
      <c r="N707" s="34">
        <v>14.56787211740042</v>
      </c>
    </row>
    <row r="708" spans="1:14" x14ac:dyDescent="0.35">
      <c r="A708" s="82">
        <v>705</v>
      </c>
      <c r="B708" s="89" t="str">
        <f>_xlfn.XLOOKUP(A708,'Model Modeshare by TAZ'!A:A,'Model Modeshare by TAZ'!B:B)</f>
        <v>San Jose</v>
      </c>
      <c r="C708" s="90" t="str">
        <f>_xlfn.XLOOKUP(A708,'Model Modeshare by TAZ'!A:A,'Model Modeshare by TAZ'!D:D)</f>
        <v>NO</v>
      </c>
      <c r="D708" s="27">
        <v>2707.14</v>
      </c>
      <c r="E708" s="27">
        <v>27231.47</v>
      </c>
      <c r="F708" s="27">
        <v>2522.73</v>
      </c>
      <c r="G708" s="27">
        <v>11053.93</v>
      </c>
      <c r="H708" s="27">
        <v>136.61000000000001</v>
      </c>
      <c r="I708" s="27">
        <v>1308.05</v>
      </c>
      <c r="J708" s="6">
        <v>1670</v>
      </c>
      <c r="K708" s="6">
        <v>76</v>
      </c>
      <c r="L708" s="27">
        <v>6.6191197604790419</v>
      </c>
      <c r="M708" s="27">
        <v>17.211184210526316</v>
      </c>
      <c r="N708" s="34">
        <v>10.43274341351661</v>
      </c>
    </row>
    <row r="709" spans="1:14" x14ac:dyDescent="0.35">
      <c r="A709" s="82">
        <v>706</v>
      </c>
      <c r="B709" s="89" t="str">
        <f>_xlfn.XLOOKUP(A709,'Model Modeshare by TAZ'!A:A,'Model Modeshare by TAZ'!B:B)</f>
        <v>San Jose</v>
      </c>
      <c r="C709" s="90" t="str">
        <f>_xlfn.XLOOKUP(A709,'Model Modeshare by TAZ'!A:A,'Model Modeshare by TAZ'!D:D)</f>
        <v>NO</v>
      </c>
      <c r="D709" s="27">
        <v>75.510000000000005</v>
      </c>
      <c r="E709" s="27">
        <v>1809.37</v>
      </c>
      <c r="F709" s="27">
        <v>138.94</v>
      </c>
      <c r="G709" s="27">
        <v>1546.49</v>
      </c>
      <c r="H709" s="27">
        <v>4.8899999999999997</v>
      </c>
      <c r="I709" s="27">
        <v>67.150000000000006</v>
      </c>
      <c r="J709" s="6">
        <v>82</v>
      </c>
      <c r="K709" s="6">
        <v>3</v>
      </c>
      <c r="L709" s="27">
        <v>18.859634146341463</v>
      </c>
      <c r="M709" s="27">
        <v>22.383333333333336</v>
      </c>
      <c r="N709" s="34">
        <v>28.704823529411762</v>
      </c>
    </row>
    <row r="710" spans="1:14" x14ac:dyDescent="0.35">
      <c r="A710" s="82">
        <v>707</v>
      </c>
      <c r="B710" s="89" t="str">
        <f>_xlfn.XLOOKUP(A710,'Model Modeshare by TAZ'!A:A,'Model Modeshare by TAZ'!B:B)</f>
        <v>San Jose</v>
      </c>
      <c r="C710" s="90" t="str">
        <f>_xlfn.XLOOKUP(A710,'Model Modeshare by TAZ'!A:A,'Model Modeshare by TAZ'!D:D)</f>
        <v>NO</v>
      </c>
      <c r="D710" s="27">
        <v>5932.21</v>
      </c>
      <c r="E710" s="27">
        <v>68148.5</v>
      </c>
      <c r="F710" s="27">
        <v>4291.2700000000004</v>
      </c>
      <c r="G710" s="27">
        <v>19862.7</v>
      </c>
      <c r="H710" s="27">
        <v>453.74</v>
      </c>
      <c r="I710" s="27">
        <v>4484.29</v>
      </c>
      <c r="J710" s="6">
        <v>2940</v>
      </c>
      <c r="K710" s="6">
        <v>255</v>
      </c>
      <c r="L710" s="27">
        <v>6.7560204081632653</v>
      </c>
      <c r="M710" s="27">
        <v>17.585450980392157</v>
      </c>
      <c r="N710" s="34">
        <v>13.568312989045385</v>
      </c>
    </row>
    <row r="711" spans="1:14" x14ac:dyDescent="0.35">
      <c r="A711" s="82">
        <v>708</v>
      </c>
      <c r="B711" s="89" t="str">
        <f>_xlfn.XLOOKUP(A711,'Model Modeshare by TAZ'!A:A,'Model Modeshare by TAZ'!B:B)</f>
        <v>San Jose</v>
      </c>
      <c r="C711" s="90" t="str">
        <f>_xlfn.XLOOKUP(A711,'Model Modeshare by TAZ'!A:A,'Model Modeshare by TAZ'!D:D)</f>
        <v>NO</v>
      </c>
      <c r="D711" s="27">
        <v>4735.9399999999996</v>
      </c>
      <c r="E711" s="27">
        <v>52094.06</v>
      </c>
      <c r="F711" s="27">
        <v>2431.25</v>
      </c>
      <c r="G711" s="27">
        <v>11236.94</v>
      </c>
      <c r="H711" s="27">
        <v>1612.74</v>
      </c>
      <c r="I711" s="27">
        <v>15592.58</v>
      </c>
      <c r="J711" s="6">
        <v>1654</v>
      </c>
      <c r="K711" s="6">
        <v>1422</v>
      </c>
      <c r="L711" s="27">
        <v>6.7937968561064093</v>
      </c>
      <c r="M711" s="27">
        <v>10.965246132208158</v>
      </c>
      <c r="N711" s="34">
        <v>19.778920676202862</v>
      </c>
    </row>
    <row r="712" spans="1:14" x14ac:dyDescent="0.35">
      <c r="A712" s="82">
        <v>709</v>
      </c>
      <c r="B712" s="89" t="str">
        <f>_xlfn.XLOOKUP(A712,'Model Modeshare by TAZ'!A:A,'Model Modeshare by TAZ'!B:B)</f>
        <v>San Jose</v>
      </c>
      <c r="C712" s="90" t="str">
        <f>_xlfn.XLOOKUP(A712,'Model Modeshare by TAZ'!A:A,'Model Modeshare by TAZ'!D:D)</f>
        <v>NO</v>
      </c>
      <c r="D712" s="27">
        <v>3112.53</v>
      </c>
      <c r="E712" s="27">
        <v>34898.400000000001</v>
      </c>
      <c r="F712" s="27">
        <v>2481.08</v>
      </c>
      <c r="G712" s="27">
        <v>12234.74</v>
      </c>
      <c r="H712" s="27">
        <v>789.8</v>
      </c>
      <c r="I712" s="27">
        <v>7562</v>
      </c>
      <c r="J712" s="6">
        <v>1660</v>
      </c>
      <c r="K712" s="6">
        <v>643</v>
      </c>
      <c r="L712" s="27">
        <v>7.3703253012048195</v>
      </c>
      <c r="M712" s="27">
        <v>11.760497667185071</v>
      </c>
      <c r="N712" s="34">
        <v>16.25540165002171</v>
      </c>
    </row>
    <row r="713" spans="1:14" x14ac:dyDescent="0.35">
      <c r="A713" s="82">
        <v>710</v>
      </c>
      <c r="B713" s="89" t="str">
        <f>_xlfn.XLOOKUP(A713,'Model Modeshare by TAZ'!A:A,'Model Modeshare by TAZ'!B:B)</f>
        <v>San Jose</v>
      </c>
      <c r="C713" s="90" t="str">
        <f>_xlfn.XLOOKUP(A713,'Model Modeshare by TAZ'!A:A,'Model Modeshare by TAZ'!D:D)</f>
        <v>NO</v>
      </c>
      <c r="D713" s="27">
        <v>5782.73</v>
      </c>
      <c r="E713" s="27">
        <v>107924.02</v>
      </c>
      <c r="F713" s="27">
        <v>2737.72</v>
      </c>
      <c r="G713" s="27">
        <v>18352.22</v>
      </c>
      <c r="H713" s="27">
        <v>2361.86</v>
      </c>
      <c r="I713" s="27">
        <v>24970.31</v>
      </c>
      <c r="J713" s="6">
        <v>1571</v>
      </c>
      <c r="K713" s="6">
        <v>2115</v>
      </c>
      <c r="L713" s="27">
        <v>11.681871419478041</v>
      </c>
      <c r="M713" s="27">
        <v>11.806293144208038</v>
      </c>
      <c r="N713" s="34">
        <v>32.98028486163863</v>
      </c>
    </row>
    <row r="714" spans="1:14" x14ac:dyDescent="0.35">
      <c r="A714" s="82">
        <v>711</v>
      </c>
      <c r="B714" s="89" t="str">
        <f>_xlfn.XLOOKUP(A714,'Model Modeshare by TAZ'!A:A,'Model Modeshare by TAZ'!B:B)</f>
        <v>San Jose</v>
      </c>
      <c r="C714" s="90" t="str">
        <f>_xlfn.XLOOKUP(A714,'Model Modeshare by TAZ'!A:A,'Model Modeshare by TAZ'!D:D)</f>
        <v>NO</v>
      </c>
      <c r="D714" s="27">
        <v>1525.22</v>
      </c>
      <c r="E714" s="27">
        <v>24768.67</v>
      </c>
      <c r="F714" s="27">
        <v>1553.29</v>
      </c>
      <c r="G714" s="27">
        <v>10787.42</v>
      </c>
      <c r="H714" s="27">
        <v>69.599999999999994</v>
      </c>
      <c r="I714" s="27">
        <v>707.2</v>
      </c>
      <c r="J714" s="6">
        <v>928</v>
      </c>
      <c r="K714" s="6">
        <v>35</v>
      </c>
      <c r="L714" s="27">
        <v>11.624375000000001</v>
      </c>
      <c r="M714" s="27">
        <v>20.205714285714286</v>
      </c>
      <c r="N714" s="34">
        <v>22.06834890965732</v>
      </c>
    </row>
    <row r="715" spans="1:14" x14ac:dyDescent="0.35">
      <c r="A715" s="82">
        <v>712</v>
      </c>
      <c r="B715" s="89" t="str">
        <f>_xlfn.XLOOKUP(A715,'Model Modeshare by TAZ'!A:A,'Model Modeshare by TAZ'!B:B)</f>
        <v>San Jose</v>
      </c>
      <c r="C715" s="90" t="str">
        <f>_xlfn.XLOOKUP(A715,'Model Modeshare by TAZ'!A:A,'Model Modeshare by TAZ'!D:D)</f>
        <v>NO</v>
      </c>
      <c r="D715" s="27">
        <v>5092.1899999999996</v>
      </c>
      <c r="E715" s="27">
        <v>81099.92</v>
      </c>
      <c r="F715" s="27">
        <v>3655</v>
      </c>
      <c r="G715" s="27">
        <v>24079.75</v>
      </c>
      <c r="H715" s="27">
        <v>882.28</v>
      </c>
      <c r="I715" s="27">
        <v>8649.9</v>
      </c>
      <c r="J715" s="6">
        <v>2223</v>
      </c>
      <c r="K715" s="6">
        <v>555</v>
      </c>
      <c r="L715" s="27">
        <v>10.832096266306793</v>
      </c>
      <c r="M715" s="27">
        <v>15.585405405405405</v>
      </c>
      <c r="N715" s="34">
        <v>26.551483081353492</v>
      </c>
    </row>
    <row r="716" spans="1:14" x14ac:dyDescent="0.35">
      <c r="A716" s="82">
        <v>713</v>
      </c>
      <c r="B716" s="89" t="str">
        <f>_xlfn.XLOOKUP(A716,'Model Modeshare by TAZ'!A:A,'Model Modeshare by TAZ'!B:B)</f>
        <v>San Jose</v>
      </c>
      <c r="C716" s="90" t="str">
        <f>_xlfn.XLOOKUP(A716,'Model Modeshare by TAZ'!A:A,'Model Modeshare by TAZ'!D:D)</f>
        <v>NO</v>
      </c>
      <c r="D716" s="27">
        <v>3389.69</v>
      </c>
      <c r="E716" s="27">
        <v>46704.7</v>
      </c>
      <c r="F716" s="27">
        <v>1879.57</v>
      </c>
      <c r="G716" s="27">
        <v>10098.120000000001</v>
      </c>
      <c r="H716" s="27">
        <v>1192.6600000000001</v>
      </c>
      <c r="I716" s="27">
        <v>11418.11</v>
      </c>
      <c r="J716" s="6">
        <v>1265</v>
      </c>
      <c r="K716" s="6">
        <v>1040</v>
      </c>
      <c r="L716" s="27">
        <v>7.982703557312254</v>
      </c>
      <c r="M716" s="27">
        <v>10.978951923076924</v>
      </c>
      <c r="N716" s="34">
        <v>25.030776572668113</v>
      </c>
    </row>
    <row r="717" spans="1:14" x14ac:dyDescent="0.35">
      <c r="A717" s="82">
        <v>714</v>
      </c>
      <c r="B717" s="89" t="str">
        <f>_xlfn.XLOOKUP(A717,'Model Modeshare by TAZ'!A:A,'Model Modeshare by TAZ'!B:B)</f>
        <v>San Jose</v>
      </c>
      <c r="C717" s="90" t="str">
        <f>_xlfn.XLOOKUP(A717,'Model Modeshare by TAZ'!A:A,'Model Modeshare by TAZ'!D:D)</f>
        <v>NO</v>
      </c>
      <c r="D717" s="27">
        <v>1145.94</v>
      </c>
      <c r="E717" s="27">
        <v>19509.22</v>
      </c>
      <c r="F717" s="27">
        <v>1019.04</v>
      </c>
      <c r="G717" s="27">
        <v>7428.14</v>
      </c>
      <c r="H717" s="27">
        <v>312.61</v>
      </c>
      <c r="I717" s="27">
        <v>3167.55</v>
      </c>
      <c r="J717" s="6">
        <v>613</v>
      </c>
      <c r="K717" s="6">
        <v>239</v>
      </c>
      <c r="L717" s="27">
        <v>12.11768352365416</v>
      </c>
      <c r="M717" s="27">
        <v>13.253347280334729</v>
      </c>
      <c r="N717" s="34">
        <v>26.910469483568075</v>
      </c>
    </row>
    <row r="718" spans="1:14" x14ac:dyDescent="0.35">
      <c r="A718" s="82">
        <v>715</v>
      </c>
      <c r="B718" s="89" t="str">
        <f>_xlfn.XLOOKUP(A718,'Model Modeshare by TAZ'!A:A,'Model Modeshare by TAZ'!B:B)</f>
        <v>San Jose</v>
      </c>
      <c r="C718" s="90" t="str">
        <f>_xlfn.XLOOKUP(A718,'Model Modeshare by TAZ'!A:A,'Model Modeshare by TAZ'!D:D)</f>
        <v>NO</v>
      </c>
      <c r="D718" s="27">
        <v>5055.57</v>
      </c>
      <c r="E718" s="27">
        <v>90827.67</v>
      </c>
      <c r="F718" s="27">
        <v>3205.98</v>
      </c>
      <c r="G718" s="27">
        <v>23813.65</v>
      </c>
      <c r="H718" s="27">
        <v>877.47</v>
      </c>
      <c r="I718" s="27">
        <v>8822.7900000000009</v>
      </c>
      <c r="J718" s="6">
        <v>2098</v>
      </c>
      <c r="K718" s="6">
        <v>578</v>
      </c>
      <c r="L718" s="27">
        <v>11.350643469971402</v>
      </c>
      <c r="M718" s="27">
        <v>15.264342560553635</v>
      </c>
      <c r="N718" s="34">
        <v>28.972507473841553</v>
      </c>
    </row>
    <row r="719" spans="1:14" x14ac:dyDescent="0.35">
      <c r="A719" s="82">
        <v>716</v>
      </c>
      <c r="B719" s="89" t="str">
        <f>_xlfn.XLOOKUP(A719,'Model Modeshare by TAZ'!A:A,'Model Modeshare by TAZ'!B:B)</f>
        <v>San Jose</v>
      </c>
      <c r="C719" s="90" t="str">
        <f>_xlfn.XLOOKUP(A719,'Model Modeshare by TAZ'!A:A,'Model Modeshare by TAZ'!D:D)</f>
        <v>NO</v>
      </c>
      <c r="D719" s="27">
        <v>4935.47</v>
      </c>
      <c r="E719" s="27">
        <v>76638.289999999994</v>
      </c>
      <c r="F719" s="27">
        <v>6993.52</v>
      </c>
      <c r="G719" s="27">
        <v>48841.96</v>
      </c>
      <c r="H719" s="27">
        <v>128.94</v>
      </c>
      <c r="I719" s="27">
        <v>1257.3900000000001</v>
      </c>
      <c r="J719" s="6">
        <v>4739</v>
      </c>
      <c r="K719" s="6">
        <v>72</v>
      </c>
      <c r="L719" s="27">
        <v>10.306385313357248</v>
      </c>
      <c r="M719" s="27">
        <v>17.463750000000001</v>
      </c>
      <c r="N719" s="34">
        <v>18.806620245271251</v>
      </c>
    </row>
    <row r="720" spans="1:14" x14ac:dyDescent="0.35">
      <c r="A720" s="82">
        <v>717</v>
      </c>
      <c r="B720" s="89" t="str">
        <f>_xlfn.XLOOKUP(A720,'Model Modeshare by TAZ'!A:A,'Model Modeshare by TAZ'!B:B)</f>
        <v>San Jose</v>
      </c>
      <c r="C720" s="90" t="str">
        <f>_xlfn.XLOOKUP(A720,'Model Modeshare by TAZ'!A:A,'Model Modeshare by TAZ'!D:D)</f>
        <v>NO</v>
      </c>
      <c r="D720" s="27">
        <v>2335.02</v>
      </c>
      <c r="E720" s="27">
        <v>27736.37</v>
      </c>
      <c r="F720" s="27">
        <v>2089.88</v>
      </c>
      <c r="G720" s="27">
        <v>10724.52</v>
      </c>
      <c r="H720" s="27">
        <v>407.82</v>
      </c>
      <c r="I720" s="27">
        <v>4408.43</v>
      </c>
      <c r="J720" s="6">
        <v>1479</v>
      </c>
      <c r="K720" s="6">
        <v>223</v>
      </c>
      <c r="L720" s="27">
        <v>7.2511967545638951</v>
      </c>
      <c r="M720" s="27">
        <v>19.768744394618835</v>
      </c>
      <c r="N720" s="34">
        <v>14.132978848413632</v>
      </c>
    </row>
    <row r="721" spans="1:14" x14ac:dyDescent="0.35">
      <c r="A721" s="82">
        <v>718</v>
      </c>
      <c r="B721" s="89" t="str">
        <f>_xlfn.XLOOKUP(A721,'Model Modeshare by TAZ'!A:A,'Model Modeshare by TAZ'!B:B)</f>
        <v>San Jose</v>
      </c>
      <c r="C721" s="90" t="str">
        <f>_xlfn.XLOOKUP(A721,'Model Modeshare by TAZ'!A:A,'Model Modeshare by TAZ'!D:D)</f>
        <v>NO</v>
      </c>
      <c r="D721" s="27">
        <v>1866.85</v>
      </c>
      <c r="E721" s="27">
        <v>23225.42</v>
      </c>
      <c r="F721" s="27">
        <v>875.85</v>
      </c>
      <c r="G721" s="27">
        <v>4908.05</v>
      </c>
      <c r="H721" s="27">
        <v>578.91999999999996</v>
      </c>
      <c r="I721" s="27">
        <v>6313.21</v>
      </c>
      <c r="J721" s="6">
        <v>678</v>
      </c>
      <c r="K721" s="6">
        <v>497</v>
      </c>
      <c r="L721" s="27">
        <v>7.2390117994100294</v>
      </c>
      <c r="M721" s="27">
        <v>12.702635814889335</v>
      </c>
      <c r="N721" s="34">
        <v>24.731038297872342</v>
      </c>
    </row>
    <row r="722" spans="1:14" x14ac:dyDescent="0.35">
      <c r="A722" s="82">
        <v>719</v>
      </c>
      <c r="B722" s="89" t="str">
        <f>_xlfn.XLOOKUP(A722,'Model Modeshare by TAZ'!A:A,'Model Modeshare by TAZ'!B:B)</f>
        <v>San Jose</v>
      </c>
      <c r="C722" s="90" t="str">
        <f>_xlfn.XLOOKUP(A722,'Model Modeshare by TAZ'!A:A,'Model Modeshare by TAZ'!D:D)</f>
        <v>NO</v>
      </c>
      <c r="D722" s="27">
        <v>651.32000000000005</v>
      </c>
      <c r="E722" s="27">
        <v>7799.06</v>
      </c>
      <c r="F722" s="27">
        <v>814.56</v>
      </c>
      <c r="G722" s="27">
        <v>4388.49</v>
      </c>
      <c r="H722" s="27">
        <v>1.9</v>
      </c>
      <c r="I722" s="27">
        <v>18.79</v>
      </c>
      <c r="J722" s="6">
        <v>568</v>
      </c>
      <c r="K722" s="6">
        <v>1</v>
      </c>
      <c r="L722" s="27">
        <v>7.7262147887323938</v>
      </c>
      <c r="M722" s="27">
        <v>18.79</v>
      </c>
      <c r="N722" s="34">
        <v>10.810509666080844</v>
      </c>
    </row>
    <row r="723" spans="1:14" x14ac:dyDescent="0.35">
      <c r="A723" s="82">
        <v>720</v>
      </c>
      <c r="B723" s="89" t="str">
        <f>_xlfn.XLOOKUP(A723,'Model Modeshare by TAZ'!A:A,'Model Modeshare by TAZ'!B:B)</f>
        <v>San Jose</v>
      </c>
      <c r="C723" s="90" t="str">
        <f>_xlfn.XLOOKUP(A723,'Model Modeshare by TAZ'!A:A,'Model Modeshare by TAZ'!D:D)</f>
        <v>NO</v>
      </c>
      <c r="D723" s="27">
        <v>1708.32</v>
      </c>
      <c r="E723" s="27">
        <v>20967.48</v>
      </c>
      <c r="F723" s="27">
        <v>1029.6099999999999</v>
      </c>
      <c r="G723" s="27">
        <v>5260.55</v>
      </c>
      <c r="H723" s="27">
        <v>474.33</v>
      </c>
      <c r="I723" s="27">
        <v>5060.9799999999996</v>
      </c>
      <c r="J723" s="6">
        <v>733</v>
      </c>
      <c r="K723" s="6">
        <v>405</v>
      </c>
      <c r="L723" s="27">
        <v>7.1767394270122784</v>
      </c>
      <c r="M723" s="27">
        <v>12.496246913580245</v>
      </c>
      <c r="N723" s="34">
        <v>16.312319859402457</v>
      </c>
    </row>
    <row r="724" spans="1:14" x14ac:dyDescent="0.35">
      <c r="A724" s="82">
        <v>721</v>
      </c>
      <c r="B724" s="89" t="str">
        <f>_xlfn.XLOOKUP(A724,'Model Modeshare by TAZ'!A:A,'Model Modeshare by TAZ'!B:B)</f>
        <v>San Jose</v>
      </c>
      <c r="C724" s="90" t="str">
        <f>_xlfn.XLOOKUP(A724,'Model Modeshare by TAZ'!A:A,'Model Modeshare by TAZ'!D:D)</f>
        <v>NO</v>
      </c>
      <c r="D724" s="27">
        <v>2741.99</v>
      </c>
      <c r="E724" s="27">
        <v>44762.8</v>
      </c>
      <c r="F724" s="27">
        <v>2860.73</v>
      </c>
      <c r="G724" s="27">
        <v>20710.2</v>
      </c>
      <c r="H724" s="27">
        <v>126.41</v>
      </c>
      <c r="I724" s="27">
        <v>1226.1600000000001</v>
      </c>
      <c r="J724" s="6">
        <v>1789</v>
      </c>
      <c r="K724" s="6">
        <v>68</v>
      </c>
      <c r="L724" s="27">
        <v>11.576411403018447</v>
      </c>
      <c r="M724" s="27">
        <v>18.031764705882352</v>
      </c>
      <c r="N724" s="34">
        <v>22.310506192784061</v>
      </c>
    </row>
    <row r="725" spans="1:14" x14ac:dyDescent="0.35">
      <c r="A725" s="82">
        <v>722</v>
      </c>
      <c r="B725" s="89" t="str">
        <f>_xlfn.XLOOKUP(A725,'Model Modeshare by TAZ'!A:A,'Model Modeshare by TAZ'!B:B)</f>
        <v>San Jose</v>
      </c>
      <c r="C725" s="90" t="str">
        <f>_xlfn.XLOOKUP(A725,'Model Modeshare by TAZ'!A:A,'Model Modeshare by TAZ'!D:D)</f>
        <v>NO</v>
      </c>
      <c r="D725" s="27">
        <v>1318.85</v>
      </c>
      <c r="E725" s="27">
        <v>22497.1</v>
      </c>
      <c r="F725" s="27">
        <v>1473.94</v>
      </c>
      <c r="G725" s="27">
        <v>11947.94</v>
      </c>
      <c r="H725" s="27">
        <v>215.57</v>
      </c>
      <c r="I725" s="27">
        <v>2398.7800000000002</v>
      </c>
      <c r="J725" s="6">
        <v>954</v>
      </c>
      <c r="K725" s="6">
        <v>109</v>
      </c>
      <c r="L725" s="27">
        <v>12.524046121593292</v>
      </c>
      <c r="M725" s="27">
        <v>22.007155963302754</v>
      </c>
      <c r="N725" s="34">
        <v>18.149971777986828</v>
      </c>
    </row>
    <row r="726" spans="1:14" x14ac:dyDescent="0.35">
      <c r="A726" s="82">
        <v>723</v>
      </c>
      <c r="B726" s="89" t="str">
        <f>_xlfn.XLOOKUP(A726,'Model Modeshare by TAZ'!A:A,'Model Modeshare by TAZ'!B:B)</f>
        <v>San Jose</v>
      </c>
      <c r="C726" s="90" t="str">
        <f>_xlfn.XLOOKUP(A726,'Model Modeshare by TAZ'!A:A,'Model Modeshare by TAZ'!D:D)</f>
        <v>NO</v>
      </c>
      <c r="D726" s="27">
        <v>890.09</v>
      </c>
      <c r="E726" s="27">
        <v>13579.72</v>
      </c>
      <c r="F726" s="27">
        <v>1.59</v>
      </c>
      <c r="G726" s="27">
        <v>17.39</v>
      </c>
      <c r="H726" s="27">
        <v>382.48</v>
      </c>
      <c r="I726" s="27">
        <v>3592.98</v>
      </c>
      <c r="J726" s="6">
        <v>7</v>
      </c>
      <c r="K726" s="6">
        <v>321</v>
      </c>
      <c r="L726" s="27">
        <v>2.4842857142857144</v>
      </c>
      <c r="M726" s="27">
        <v>11.193084112149533</v>
      </c>
      <c r="N726" s="34">
        <v>20.52533536585366</v>
      </c>
    </row>
    <row r="727" spans="1:14" x14ac:dyDescent="0.35">
      <c r="A727" s="82">
        <v>724</v>
      </c>
      <c r="B727" s="89" t="str">
        <f>_xlfn.XLOOKUP(A727,'Model Modeshare by TAZ'!A:A,'Model Modeshare by TAZ'!B:B)</f>
        <v>San Jose</v>
      </c>
      <c r="C727" s="90" t="str">
        <f>_xlfn.XLOOKUP(A727,'Model Modeshare by TAZ'!A:A,'Model Modeshare by TAZ'!D:D)</f>
        <v>NO</v>
      </c>
      <c r="D727" s="27">
        <v>1215.0899999999999</v>
      </c>
      <c r="E727" s="27">
        <v>16233.98</v>
      </c>
      <c r="F727" s="27">
        <v>4424.34</v>
      </c>
      <c r="G727" s="27">
        <v>33129.760000000002</v>
      </c>
      <c r="H727" s="27">
        <v>14.06</v>
      </c>
      <c r="I727" s="27">
        <v>134.91999999999999</v>
      </c>
      <c r="J727" s="6">
        <v>2871</v>
      </c>
      <c r="K727" s="6">
        <v>7</v>
      </c>
      <c r="L727" s="27">
        <v>11.539449669104842</v>
      </c>
      <c r="M727" s="27">
        <v>19.274285714285714</v>
      </c>
      <c r="N727" s="34">
        <v>16.625548992355803</v>
      </c>
    </row>
    <row r="728" spans="1:14" x14ac:dyDescent="0.35">
      <c r="A728" s="82">
        <v>725</v>
      </c>
      <c r="B728" s="89" t="str">
        <f>_xlfn.XLOOKUP(A728,'Model Modeshare by TAZ'!A:A,'Model Modeshare by TAZ'!B:B)</f>
        <v>San Jose</v>
      </c>
      <c r="C728" s="90" t="str">
        <f>_xlfn.XLOOKUP(A728,'Model Modeshare by TAZ'!A:A,'Model Modeshare by TAZ'!D:D)</f>
        <v>NO</v>
      </c>
      <c r="D728" s="27">
        <v>5964.06</v>
      </c>
      <c r="E728" s="27">
        <v>98982.06</v>
      </c>
      <c r="F728" s="27">
        <v>2796</v>
      </c>
      <c r="G728" s="27">
        <v>20446.3</v>
      </c>
      <c r="H728" s="27">
        <v>846.88</v>
      </c>
      <c r="I728" s="27">
        <v>8075.98</v>
      </c>
      <c r="J728" s="6">
        <v>1903</v>
      </c>
      <c r="K728" s="6">
        <v>731</v>
      </c>
      <c r="L728" s="27">
        <v>10.744245927482922</v>
      </c>
      <c r="M728" s="27">
        <v>11.047852257181942</v>
      </c>
      <c r="N728" s="34">
        <v>21.065645406226274</v>
      </c>
    </row>
    <row r="729" spans="1:14" x14ac:dyDescent="0.35">
      <c r="A729" s="82">
        <v>726</v>
      </c>
      <c r="B729" s="89" t="str">
        <f>_xlfn.XLOOKUP(A729,'Model Modeshare by TAZ'!A:A,'Model Modeshare by TAZ'!B:B)</f>
        <v>San Jose</v>
      </c>
      <c r="C729" s="90" t="str">
        <f>_xlfn.XLOOKUP(A729,'Model Modeshare by TAZ'!A:A,'Model Modeshare by TAZ'!D:D)</f>
        <v>NO</v>
      </c>
      <c r="D729" s="27">
        <v>3222.24</v>
      </c>
      <c r="E729" s="27">
        <v>41595.93</v>
      </c>
      <c r="F729" s="27">
        <v>2259.83</v>
      </c>
      <c r="G729" s="27">
        <v>15431.88</v>
      </c>
      <c r="H729" s="27">
        <v>169.22</v>
      </c>
      <c r="I729" s="27">
        <v>1615.65</v>
      </c>
      <c r="J729" s="6">
        <v>1534</v>
      </c>
      <c r="K729" s="6">
        <v>94</v>
      </c>
      <c r="L729" s="27">
        <v>10.059895697522816</v>
      </c>
      <c r="M729" s="27">
        <v>17.18776595744681</v>
      </c>
      <c r="N729" s="34">
        <v>16.127561425061423</v>
      </c>
    </row>
    <row r="730" spans="1:14" x14ac:dyDescent="0.35">
      <c r="A730" s="82">
        <v>727</v>
      </c>
      <c r="B730" s="89" t="str">
        <f>_xlfn.XLOOKUP(A730,'Model Modeshare by TAZ'!A:A,'Model Modeshare by TAZ'!B:B)</f>
        <v>San Jose</v>
      </c>
      <c r="C730" s="90" t="str">
        <f>_xlfn.XLOOKUP(A730,'Model Modeshare by TAZ'!A:A,'Model Modeshare by TAZ'!D:D)</f>
        <v>NO</v>
      </c>
      <c r="D730" s="27">
        <v>2095.2399999999998</v>
      </c>
      <c r="E730" s="27">
        <v>33816.69</v>
      </c>
      <c r="F730" s="27">
        <v>3281.69</v>
      </c>
      <c r="G730" s="27">
        <v>25695.34</v>
      </c>
      <c r="H730" s="27">
        <v>631.5</v>
      </c>
      <c r="I730" s="27">
        <v>5815.86</v>
      </c>
      <c r="J730" s="6">
        <v>2162</v>
      </c>
      <c r="K730" s="6">
        <v>429</v>
      </c>
      <c r="L730" s="27">
        <v>11.884986123959298</v>
      </c>
      <c r="M730" s="27">
        <v>13.556783216783217</v>
      </c>
      <c r="N730" s="34">
        <v>21.540621381705904</v>
      </c>
    </row>
    <row r="731" spans="1:14" x14ac:dyDescent="0.35">
      <c r="A731" s="82">
        <v>728</v>
      </c>
      <c r="B731" s="89" t="str">
        <f>_xlfn.XLOOKUP(A731,'Model Modeshare by TAZ'!A:A,'Model Modeshare by TAZ'!B:B)</f>
        <v>San Jose</v>
      </c>
      <c r="C731" s="90" t="str">
        <f>_xlfn.XLOOKUP(A731,'Model Modeshare by TAZ'!A:A,'Model Modeshare by TAZ'!D:D)</f>
        <v>NO</v>
      </c>
      <c r="D731" s="27">
        <v>1495.65</v>
      </c>
      <c r="E731" s="27">
        <v>17605.259999999998</v>
      </c>
      <c r="F731" s="27">
        <v>1554.6</v>
      </c>
      <c r="G731" s="27">
        <v>8845.01</v>
      </c>
      <c r="H731" s="27">
        <v>76.849999999999994</v>
      </c>
      <c r="I731" s="27">
        <v>747.32</v>
      </c>
      <c r="J731" s="6">
        <v>1023</v>
      </c>
      <c r="K731" s="6">
        <v>42</v>
      </c>
      <c r="L731" s="27">
        <v>8.6461485826001958</v>
      </c>
      <c r="M731" s="27">
        <v>17.793333333333333</v>
      </c>
      <c r="N731" s="34">
        <v>13.041746478873238</v>
      </c>
    </row>
    <row r="732" spans="1:14" x14ac:dyDescent="0.35">
      <c r="A732" s="82">
        <v>729</v>
      </c>
      <c r="B732" s="89" t="str">
        <f>_xlfn.XLOOKUP(A732,'Model Modeshare by TAZ'!A:A,'Model Modeshare by TAZ'!B:B)</f>
        <v>San Jose</v>
      </c>
      <c r="C732" s="90" t="str">
        <f>_xlfn.XLOOKUP(A732,'Model Modeshare by TAZ'!A:A,'Model Modeshare by TAZ'!D:D)</f>
        <v>NO</v>
      </c>
      <c r="D732" s="27">
        <v>1396.78</v>
      </c>
      <c r="E732" s="27">
        <v>15729.71</v>
      </c>
      <c r="F732" s="27">
        <v>1440.16</v>
      </c>
      <c r="G732" s="27">
        <v>8352.08</v>
      </c>
      <c r="H732" s="27">
        <v>48.08</v>
      </c>
      <c r="I732" s="27">
        <v>461.56</v>
      </c>
      <c r="J732" s="6">
        <v>966</v>
      </c>
      <c r="K732" s="6">
        <v>26</v>
      </c>
      <c r="L732" s="27">
        <v>8.6460455486542447</v>
      </c>
      <c r="M732" s="27">
        <v>17.752307692307692</v>
      </c>
      <c r="N732" s="34">
        <v>12.402752016129034</v>
      </c>
    </row>
    <row r="733" spans="1:14" x14ac:dyDescent="0.35">
      <c r="A733" s="82">
        <v>730</v>
      </c>
      <c r="B733" s="89" t="str">
        <f>_xlfn.XLOOKUP(A733,'Model Modeshare by TAZ'!A:A,'Model Modeshare by TAZ'!B:B)</f>
        <v>San Jose</v>
      </c>
      <c r="C733" s="90" t="str">
        <f>_xlfn.XLOOKUP(A733,'Model Modeshare by TAZ'!A:A,'Model Modeshare by TAZ'!D:D)</f>
        <v>NO</v>
      </c>
      <c r="D733" s="27">
        <v>2074.9499999999998</v>
      </c>
      <c r="E733" s="27">
        <v>20071.740000000002</v>
      </c>
      <c r="F733" s="27">
        <v>2478.7800000000002</v>
      </c>
      <c r="G733" s="27">
        <v>11942.63</v>
      </c>
      <c r="H733" s="27">
        <v>69.22</v>
      </c>
      <c r="I733" s="27">
        <v>665.35</v>
      </c>
      <c r="J733" s="6">
        <v>1625</v>
      </c>
      <c r="K733" s="6">
        <v>38</v>
      </c>
      <c r="L733" s="27">
        <v>7.3493107692307689</v>
      </c>
      <c r="M733" s="27">
        <v>17.50921052631579</v>
      </c>
      <c r="N733" s="34">
        <v>10.317708959711364</v>
      </c>
    </row>
    <row r="734" spans="1:14" x14ac:dyDescent="0.35">
      <c r="A734" s="82">
        <v>731</v>
      </c>
      <c r="B734" s="89" t="str">
        <f>_xlfn.XLOOKUP(A734,'Model Modeshare by TAZ'!A:A,'Model Modeshare by TAZ'!B:B)</f>
        <v>San Jose</v>
      </c>
      <c r="C734" s="90" t="str">
        <f>_xlfn.XLOOKUP(A734,'Model Modeshare by TAZ'!A:A,'Model Modeshare by TAZ'!D:D)</f>
        <v>NO</v>
      </c>
      <c r="D734" s="27">
        <v>3881.43</v>
      </c>
      <c r="E734" s="27">
        <v>55845.599999999999</v>
      </c>
      <c r="F734" s="27">
        <v>2877.8</v>
      </c>
      <c r="G734" s="27">
        <v>19120.57</v>
      </c>
      <c r="H734" s="27">
        <v>1164.26</v>
      </c>
      <c r="I734" s="27">
        <v>11556.86</v>
      </c>
      <c r="J734" s="6">
        <v>1778</v>
      </c>
      <c r="K734" s="6">
        <v>1010</v>
      </c>
      <c r="L734" s="27">
        <v>10.753976377952755</v>
      </c>
      <c r="M734" s="27">
        <v>11.442435643564357</v>
      </c>
      <c r="N734" s="34">
        <v>20.656933285509325</v>
      </c>
    </row>
    <row r="735" spans="1:14" x14ac:dyDescent="0.35">
      <c r="A735" s="82">
        <v>732</v>
      </c>
      <c r="B735" s="89" t="str">
        <f>_xlfn.XLOOKUP(A735,'Model Modeshare by TAZ'!A:A,'Model Modeshare by TAZ'!B:B)</f>
        <v>San Jose</v>
      </c>
      <c r="C735" s="90" t="str">
        <f>_xlfn.XLOOKUP(A735,'Model Modeshare by TAZ'!A:A,'Model Modeshare by TAZ'!D:D)</f>
        <v>NO</v>
      </c>
      <c r="D735" s="27">
        <v>6465.14</v>
      </c>
      <c r="E735" s="27">
        <v>103547.89</v>
      </c>
      <c r="F735" s="27">
        <v>1193.3599999999999</v>
      </c>
      <c r="G735" s="27">
        <v>7064.37</v>
      </c>
      <c r="H735" s="27">
        <v>579.87</v>
      </c>
      <c r="I735" s="27">
        <v>6483.4</v>
      </c>
      <c r="J735" s="6">
        <v>800</v>
      </c>
      <c r="K735" s="6">
        <v>499</v>
      </c>
      <c r="L735" s="27">
        <v>8.8304624999999994</v>
      </c>
      <c r="M735" s="27">
        <v>12.992785571142283</v>
      </c>
      <c r="N735" s="34">
        <v>32.687282525019242</v>
      </c>
    </row>
    <row r="736" spans="1:14" x14ac:dyDescent="0.35">
      <c r="A736" s="82">
        <v>733</v>
      </c>
      <c r="B736" s="89" t="str">
        <f>_xlfn.XLOOKUP(A736,'Model Modeshare by TAZ'!A:A,'Model Modeshare by TAZ'!B:B)</f>
        <v>San Jose</v>
      </c>
      <c r="C736" s="90" t="str">
        <f>_xlfn.XLOOKUP(A736,'Model Modeshare by TAZ'!A:A,'Model Modeshare by TAZ'!D:D)</f>
        <v>NO</v>
      </c>
      <c r="D736" s="27">
        <v>2347.46</v>
      </c>
      <c r="E736" s="27">
        <v>25141.97</v>
      </c>
      <c r="F736" s="27">
        <v>1333.85</v>
      </c>
      <c r="G736" s="27">
        <v>6836.7</v>
      </c>
      <c r="H736" s="27">
        <v>508.51</v>
      </c>
      <c r="I736" s="27">
        <v>5572.95</v>
      </c>
      <c r="J736" s="6">
        <v>922</v>
      </c>
      <c r="K736" s="6">
        <v>419</v>
      </c>
      <c r="L736" s="27">
        <v>7.4150759219088931</v>
      </c>
      <c r="M736" s="27">
        <v>13.300596658711216</v>
      </c>
      <c r="N736" s="34">
        <v>16.859806114839671</v>
      </c>
    </row>
    <row r="737" spans="1:14" x14ac:dyDescent="0.35">
      <c r="A737" s="82">
        <v>734</v>
      </c>
      <c r="B737" s="89" t="str">
        <f>_xlfn.XLOOKUP(A737,'Model Modeshare by TAZ'!A:A,'Model Modeshare by TAZ'!B:B)</f>
        <v>Unincorporated</v>
      </c>
      <c r="C737" s="90" t="str">
        <f>_xlfn.XLOOKUP(A737,'Model Modeshare by TAZ'!A:A,'Model Modeshare by TAZ'!D:D)</f>
        <v>NO</v>
      </c>
      <c r="D737" s="27">
        <v>156.66</v>
      </c>
      <c r="E737" s="27">
        <v>5566.95</v>
      </c>
      <c r="F737" s="27">
        <v>105.52</v>
      </c>
      <c r="G737" s="27">
        <v>1788.82</v>
      </c>
      <c r="H737" s="27">
        <v>56.61</v>
      </c>
      <c r="I737" s="27">
        <v>1085.53</v>
      </c>
      <c r="J737" s="6">
        <v>64</v>
      </c>
      <c r="K737" s="6">
        <v>42</v>
      </c>
      <c r="L737" s="27">
        <v>27.950312499999999</v>
      </c>
      <c r="M737" s="27">
        <v>25.845952380952379</v>
      </c>
      <c r="N737" s="34">
        <v>51.434999999999995</v>
      </c>
    </row>
    <row r="738" spans="1:14" x14ac:dyDescent="0.35">
      <c r="A738" s="82">
        <v>735</v>
      </c>
      <c r="B738" s="89" t="str">
        <f>_xlfn.XLOOKUP(A738,'Model Modeshare by TAZ'!A:A,'Model Modeshare by TAZ'!B:B)</f>
        <v>San Jose</v>
      </c>
      <c r="C738" s="90" t="str">
        <f>_xlfn.XLOOKUP(A738,'Model Modeshare by TAZ'!A:A,'Model Modeshare by TAZ'!D:D)</f>
        <v>NO</v>
      </c>
      <c r="D738" s="27">
        <v>3306.19</v>
      </c>
      <c r="E738" s="27">
        <v>59248.27</v>
      </c>
      <c r="F738" s="27">
        <v>4982.63</v>
      </c>
      <c r="G738" s="27">
        <v>56923.43</v>
      </c>
      <c r="H738" s="27">
        <v>49.25</v>
      </c>
      <c r="I738" s="27">
        <v>738.23</v>
      </c>
      <c r="J738" s="6">
        <v>3018</v>
      </c>
      <c r="K738" s="6">
        <v>25</v>
      </c>
      <c r="L738" s="27">
        <v>18.861308813783964</v>
      </c>
      <c r="M738" s="27">
        <v>29.529199999999999</v>
      </c>
      <c r="N738" s="34">
        <v>26.648120276043375</v>
      </c>
    </row>
    <row r="739" spans="1:14" x14ac:dyDescent="0.35">
      <c r="A739" s="82">
        <v>736</v>
      </c>
      <c r="B739" s="89" t="str">
        <f>_xlfn.XLOOKUP(A739,'Model Modeshare by TAZ'!A:A,'Model Modeshare by TAZ'!B:B)</f>
        <v>Unincorporated</v>
      </c>
      <c r="C739" s="90" t="str">
        <f>_xlfn.XLOOKUP(A739,'Model Modeshare by TAZ'!A:A,'Model Modeshare by TAZ'!D:D)</f>
        <v>NO</v>
      </c>
      <c r="D739" s="27">
        <v>0</v>
      </c>
      <c r="E739" s="27">
        <v>0</v>
      </c>
      <c r="F739" s="27">
        <v>6.99</v>
      </c>
      <c r="G739" s="27">
        <v>125.32</v>
      </c>
      <c r="H739" s="27">
        <v>0</v>
      </c>
      <c r="I739" s="27">
        <v>0</v>
      </c>
      <c r="J739" s="6">
        <v>13</v>
      </c>
      <c r="K739" s="6">
        <v>0</v>
      </c>
      <c r="L739" s="27">
        <v>9.6399999999999988</v>
      </c>
      <c r="M739" s="27">
        <v>0</v>
      </c>
      <c r="N739" s="34">
        <v>14.863076923076923</v>
      </c>
    </row>
    <row r="740" spans="1:14" x14ac:dyDescent="0.35">
      <c r="A740" s="82">
        <v>737</v>
      </c>
      <c r="B740" s="89" t="str">
        <f>_xlfn.XLOOKUP(A740,'Model Modeshare by TAZ'!A:A,'Model Modeshare by TAZ'!B:B)</f>
        <v>San Jose</v>
      </c>
      <c r="C740" s="90" t="str">
        <f>_xlfn.XLOOKUP(A740,'Model Modeshare by TAZ'!A:A,'Model Modeshare by TAZ'!D:D)</f>
        <v>NO</v>
      </c>
      <c r="D740" s="27">
        <v>3788.55</v>
      </c>
      <c r="E740" s="27">
        <v>71671.839999999997</v>
      </c>
      <c r="F740" s="27">
        <v>4824.83</v>
      </c>
      <c r="G740" s="27">
        <v>50866.26</v>
      </c>
      <c r="H740" s="27">
        <v>8.44</v>
      </c>
      <c r="I740" s="27">
        <v>118.11</v>
      </c>
      <c r="J740" s="6">
        <v>2902</v>
      </c>
      <c r="K740" s="6">
        <v>4</v>
      </c>
      <c r="L740" s="27">
        <v>17.528001378359754</v>
      </c>
      <c r="M740" s="27">
        <v>29.5275</v>
      </c>
      <c r="N740" s="34">
        <v>21.69273571920165</v>
      </c>
    </row>
    <row r="741" spans="1:14" x14ac:dyDescent="0.35">
      <c r="A741" s="82">
        <v>738</v>
      </c>
      <c r="B741" s="89" t="str">
        <f>_xlfn.XLOOKUP(A741,'Model Modeshare by TAZ'!A:A,'Model Modeshare by TAZ'!B:B)</f>
        <v>San Jose</v>
      </c>
      <c r="C741" s="90" t="str">
        <f>_xlfn.XLOOKUP(A741,'Model Modeshare by TAZ'!A:A,'Model Modeshare by TAZ'!D:D)</f>
        <v>NO</v>
      </c>
      <c r="D741" s="27">
        <v>2097.09</v>
      </c>
      <c r="E741" s="27">
        <v>41093.85</v>
      </c>
      <c r="F741" s="27">
        <v>0</v>
      </c>
      <c r="G741" s="27">
        <v>0</v>
      </c>
      <c r="H741" s="27">
        <v>1586.82</v>
      </c>
      <c r="I741" s="27">
        <v>19786.580000000002</v>
      </c>
      <c r="J741" s="6">
        <v>0</v>
      </c>
      <c r="K741" s="6">
        <v>1321</v>
      </c>
      <c r="L741" s="27">
        <v>0</v>
      </c>
      <c r="M741" s="27">
        <v>14.978485995457987</v>
      </c>
      <c r="N741" s="34">
        <v>24.16019682059046</v>
      </c>
    </row>
    <row r="742" spans="1:14" x14ac:dyDescent="0.35">
      <c r="A742" s="82">
        <v>739</v>
      </c>
      <c r="B742" s="89" t="str">
        <f>_xlfn.XLOOKUP(A742,'Model Modeshare by TAZ'!A:A,'Model Modeshare by TAZ'!B:B)</f>
        <v>San Jose</v>
      </c>
      <c r="C742" s="90" t="str">
        <f>_xlfn.XLOOKUP(A742,'Model Modeshare by TAZ'!A:A,'Model Modeshare by TAZ'!D:D)</f>
        <v>NO</v>
      </c>
      <c r="D742" s="27">
        <v>476.38</v>
      </c>
      <c r="E742" s="27">
        <v>10363.549999999999</v>
      </c>
      <c r="F742" s="27">
        <v>513.84</v>
      </c>
      <c r="G742" s="27">
        <v>5243.43</v>
      </c>
      <c r="H742" s="27">
        <v>556.17999999999995</v>
      </c>
      <c r="I742" s="27">
        <v>7248.73</v>
      </c>
      <c r="J742" s="6">
        <v>295</v>
      </c>
      <c r="K742" s="6">
        <v>405</v>
      </c>
      <c r="L742" s="27">
        <v>17.77433898305085</v>
      </c>
      <c r="M742" s="27">
        <v>17.898098765432099</v>
      </c>
      <c r="N742" s="34">
        <v>34.244785714285712</v>
      </c>
    </row>
    <row r="743" spans="1:14" x14ac:dyDescent="0.35">
      <c r="A743" s="82">
        <v>740</v>
      </c>
      <c r="B743" s="89" t="str">
        <f>_xlfn.XLOOKUP(A743,'Model Modeshare by TAZ'!A:A,'Model Modeshare by TAZ'!B:B)</f>
        <v>Unincorporated</v>
      </c>
      <c r="C743" s="90" t="str">
        <f>_xlfn.XLOOKUP(A743,'Model Modeshare by TAZ'!A:A,'Model Modeshare by TAZ'!D:D)</f>
        <v>NO</v>
      </c>
      <c r="D743" s="27">
        <v>1049.2</v>
      </c>
      <c r="E743" s="27">
        <v>15637.62</v>
      </c>
      <c r="F743" s="27">
        <v>965.37</v>
      </c>
      <c r="G743" s="27">
        <v>7046.05</v>
      </c>
      <c r="H743" s="27">
        <v>18.73</v>
      </c>
      <c r="I743" s="27">
        <v>253.98</v>
      </c>
      <c r="J743" s="6">
        <v>581</v>
      </c>
      <c r="K743" s="6">
        <v>9</v>
      </c>
      <c r="L743" s="27">
        <v>12.127452667814113</v>
      </c>
      <c r="M743" s="27">
        <v>28.22</v>
      </c>
      <c r="N743" s="34">
        <v>16.002033898305086</v>
      </c>
    </row>
    <row r="744" spans="1:14" x14ac:dyDescent="0.35">
      <c r="A744" s="82">
        <v>741</v>
      </c>
      <c r="B744" s="89" t="str">
        <f>_xlfn.XLOOKUP(A744,'Model Modeshare by TAZ'!A:A,'Model Modeshare by TAZ'!B:B)</f>
        <v>San Jose</v>
      </c>
      <c r="C744" s="90" t="str">
        <f>_xlfn.XLOOKUP(A744,'Model Modeshare by TAZ'!A:A,'Model Modeshare by TAZ'!D:D)</f>
        <v>NO</v>
      </c>
      <c r="D744" s="27">
        <v>1857.43</v>
      </c>
      <c r="E744" s="27">
        <v>45558.81</v>
      </c>
      <c r="F744" s="27">
        <v>31.94</v>
      </c>
      <c r="G744" s="27">
        <v>353.35</v>
      </c>
      <c r="H744" s="27">
        <v>1492.92</v>
      </c>
      <c r="I744" s="27">
        <v>19497.72</v>
      </c>
      <c r="J744" s="6">
        <v>24</v>
      </c>
      <c r="K744" s="6">
        <v>1200</v>
      </c>
      <c r="L744" s="27">
        <v>14.722916666666668</v>
      </c>
      <c r="M744" s="27">
        <v>16.248100000000001</v>
      </c>
      <c r="N744" s="34">
        <v>36.9231045751634</v>
      </c>
    </row>
    <row r="745" spans="1:14" x14ac:dyDescent="0.35">
      <c r="A745" s="82">
        <v>742</v>
      </c>
      <c r="B745" s="89" t="str">
        <f>_xlfn.XLOOKUP(A745,'Model Modeshare by TAZ'!A:A,'Model Modeshare by TAZ'!B:B)</f>
        <v>San Jose</v>
      </c>
      <c r="C745" s="90" t="str">
        <f>_xlfn.XLOOKUP(A745,'Model Modeshare by TAZ'!A:A,'Model Modeshare by TAZ'!D:D)</f>
        <v>NO</v>
      </c>
      <c r="D745" s="27">
        <v>1306.6500000000001</v>
      </c>
      <c r="E745" s="27">
        <v>33321.519999999997</v>
      </c>
      <c r="F745" s="27">
        <v>876.47</v>
      </c>
      <c r="G745" s="27">
        <v>10453.290000000001</v>
      </c>
      <c r="H745" s="27">
        <v>57.59</v>
      </c>
      <c r="I745" s="27">
        <v>815.82</v>
      </c>
      <c r="J745" s="6">
        <v>516</v>
      </c>
      <c r="K745" s="6">
        <v>31</v>
      </c>
      <c r="L745" s="27">
        <v>20.258313953488372</v>
      </c>
      <c r="M745" s="27">
        <v>26.31677419354839</v>
      </c>
      <c r="N745" s="34">
        <v>32.882212065813526</v>
      </c>
    </row>
    <row r="746" spans="1:14" x14ac:dyDescent="0.35">
      <c r="A746" s="82">
        <v>743</v>
      </c>
      <c r="B746" s="89" t="str">
        <f>_xlfn.XLOOKUP(A746,'Model Modeshare by TAZ'!A:A,'Model Modeshare by TAZ'!B:B)</f>
        <v>San Jose</v>
      </c>
      <c r="C746" s="90" t="str">
        <f>_xlfn.XLOOKUP(A746,'Model Modeshare by TAZ'!A:A,'Model Modeshare by TAZ'!D:D)</f>
        <v>NO</v>
      </c>
      <c r="D746" s="27">
        <v>5420.15</v>
      </c>
      <c r="E746" s="27">
        <v>89763.54</v>
      </c>
      <c r="F746" s="27">
        <v>4076.63</v>
      </c>
      <c r="G746" s="27">
        <v>23664.720000000001</v>
      </c>
      <c r="H746" s="27">
        <v>2209.19</v>
      </c>
      <c r="I746" s="27">
        <v>23877.41</v>
      </c>
      <c r="J746" s="6">
        <v>2758</v>
      </c>
      <c r="K746" s="6">
        <v>1952</v>
      </c>
      <c r="L746" s="27">
        <v>8.5803915881073252</v>
      </c>
      <c r="M746" s="27">
        <v>12.232279713114753</v>
      </c>
      <c r="N746" s="34">
        <v>32.627957537154991</v>
      </c>
    </row>
    <row r="747" spans="1:14" x14ac:dyDescent="0.35">
      <c r="A747" s="82">
        <v>744</v>
      </c>
      <c r="B747" s="89" t="str">
        <f>_xlfn.XLOOKUP(A747,'Model Modeshare by TAZ'!A:A,'Model Modeshare by TAZ'!B:B)</f>
        <v>San Jose</v>
      </c>
      <c r="C747" s="90" t="str">
        <f>_xlfn.XLOOKUP(A747,'Model Modeshare by TAZ'!A:A,'Model Modeshare by TAZ'!D:D)</f>
        <v>NO</v>
      </c>
      <c r="D747" s="27">
        <v>7176.92</v>
      </c>
      <c r="E747" s="27">
        <v>108251.81</v>
      </c>
      <c r="F747" s="27">
        <v>4965.74</v>
      </c>
      <c r="G747" s="27">
        <v>27675.26</v>
      </c>
      <c r="H747" s="27">
        <v>1885.65</v>
      </c>
      <c r="I747" s="27">
        <v>20299.37</v>
      </c>
      <c r="J747" s="6">
        <v>3581</v>
      </c>
      <c r="K747" s="6">
        <v>1687</v>
      </c>
      <c r="L747" s="27">
        <v>7.7283607930745601</v>
      </c>
      <c r="M747" s="27">
        <v>12.032821576763485</v>
      </c>
      <c r="N747" s="34">
        <v>25.755138572513289</v>
      </c>
    </row>
    <row r="748" spans="1:14" x14ac:dyDescent="0.35">
      <c r="A748" s="82">
        <v>745</v>
      </c>
      <c r="B748" s="89" t="str">
        <f>_xlfn.XLOOKUP(A748,'Model Modeshare by TAZ'!A:A,'Model Modeshare by TAZ'!B:B)</f>
        <v>San Jose</v>
      </c>
      <c r="C748" s="90" t="str">
        <f>_xlfn.XLOOKUP(A748,'Model Modeshare by TAZ'!A:A,'Model Modeshare by TAZ'!D:D)</f>
        <v>NO</v>
      </c>
      <c r="D748" s="27">
        <v>1547.96</v>
      </c>
      <c r="E748" s="27">
        <v>30679.54</v>
      </c>
      <c r="F748" s="27">
        <v>156.97999999999999</v>
      </c>
      <c r="G748" s="27">
        <v>1036.29</v>
      </c>
      <c r="H748" s="27">
        <v>614.13</v>
      </c>
      <c r="I748" s="27">
        <v>7223.38</v>
      </c>
      <c r="J748" s="6">
        <v>96</v>
      </c>
      <c r="K748" s="6">
        <v>542</v>
      </c>
      <c r="L748" s="27">
        <v>10.7946875</v>
      </c>
      <c r="M748" s="27">
        <v>13.327269372693728</v>
      </c>
      <c r="N748" s="34">
        <v>52.61054858934169</v>
      </c>
    </row>
    <row r="749" spans="1:14" x14ac:dyDescent="0.35">
      <c r="A749" s="82">
        <v>746</v>
      </c>
      <c r="B749" s="89" t="str">
        <f>_xlfn.XLOOKUP(A749,'Model Modeshare by TAZ'!A:A,'Model Modeshare by TAZ'!B:B)</f>
        <v>San Jose</v>
      </c>
      <c r="C749" s="90" t="str">
        <f>_xlfn.XLOOKUP(A749,'Model Modeshare by TAZ'!A:A,'Model Modeshare by TAZ'!D:D)</f>
        <v>NO</v>
      </c>
      <c r="D749" s="27">
        <v>5421.24</v>
      </c>
      <c r="E749" s="27">
        <v>92509.08</v>
      </c>
      <c r="F749" s="27">
        <v>3831.79</v>
      </c>
      <c r="G749" s="27">
        <v>24754.02</v>
      </c>
      <c r="H749" s="27">
        <v>1020.39</v>
      </c>
      <c r="I749" s="27">
        <v>12006.95</v>
      </c>
      <c r="J749" s="6">
        <v>2502</v>
      </c>
      <c r="K749" s="6">
        <v>859</v>
      </c>
      <c r="L749" s="27">
        <v>9.8936930455635501</v>
      </c>
      <c r="M749" s="27">
        <v>13.977823050058207</v>
      </c>
      <c r="N749" s="34">
        <v>30.964284439155016</v>
      </c>
    </row>
    <row r="750" spans="1:14" x14ac:dyDescent="0.35">
      <c r="A750" s="82">
        <v>747</v>
      </c>
      <c r="B750" s="89" t="str">
        <f>_xlfn.XLOOKUP(A750,'Model Modeshare by TAZ'!A:A,'Model Modeshare by TAZ'!B:B)</f>
        <v>San Jose</v>
      </c>
      <c r="C750" s="90" t="str">
        <f>_xlfn.XLOOKUP(A750,'Model Modeshare by TAZ'!A:A,'Model Modeshare by TAZ'!D:D)</f>
        <v>NO</v>
      </c>
      <c r="D750" s="27">
        <v>3630.43</v>
      </c>
      <c r="E750" s="27">
        <v>55613.13</v>
      </c>
      <c r="F750" s="27">
        <v>3360.06</v>
      </c>
      <c r="G750" s="27">
        <v>21259.79</v>
      </c>
      <c r="H750" s="27">
        <v>1024.3499999999999</v>
      </c>
      <c r="I750" s="27">
        <v>11218.69</v>
      </c>
      <c r="J750" s="6">
        <v>2017</v>
      </c>
      <c r="K750" s="6">
        <v>833</v>
      </c>
      <c r="L750" s="27">
        <v>10.540302429350522</v>
      </c>
      <c r="M750" s="27">
        <v>13.467815126050422</v>
      </c>
      <c r="N750" s="34">
        <v>26.656473684210525</v>
      </c>
    </row>
    <row r="751" spans="1:14" x14ac:dyDescent="0.35">
      <c r="A751" s="82">
        <v>748</v>
      </c>
      <c r="B751" s="89" t="str">
        <f>_xlfn.XLOOKUP(A751,'Model Modeshare by TAZ'!A:A,'Model Modeshare by TAZ'!B:B)</f>
        <v>San Jose</v>
      </c>
      <c r="C751" s="90" t="str">
        <f>_xlfn.XLOOKUP(A751,'Model Modeshare by TAZ'!A:A,'Model Modeshare by TAZ'!D:D)</f>
        <v>NO</v>
      </c>
      <c r="D751" s="27">
        <v>4318.46</v>
      </c>
      <c r="E751" s="27">
        <v>55447.57</v>
      </c>
      <c r="F751" s="27">
        <v>4652.88</v>
      </c>
      <c r="G751" s="27">
        <v>27005.46</v>
      </c>
      <c r="H751" s="27">
        <v>1093.52</v>
      </c>
      <c r="I751" s="27">
        <v>11960.6</v>
      </c>
      <c r="J751" s="6">
        <v>2945</v>
      </c>
      <c r="K751" s="6">
        <v>604</v>
      </c>
      <c r="L751" s="27">
        <v>9.169935483870967</v>
      </c>
      <c r="M751" s="27">
        <v>19.802317880794703</v>
      </c>
      <c r="N751" s="34">
        <v>17.374370245139477</v>
      </c>
    </row>
    <row r="752" spans="1:14" x14ac:dyDescent="0.35">
      <c r="A752" s="82">
        <v>749</v>
      </c>
      <c r="B752" s="89" t="str">
        <f>_xlfn.XLOOKUP(A752,'Model Modeshare by TAZ'!A:A,'Model Modeshare by TAZ'!B:B)</f>
        <v>San Jose</v>
      </c>
      <c r="C752" s="90" t="str">
        <f>_xlfn.XLOOKUP(A752,'Model Modeshare by TAZ'!A:A,'Model Modeshare by TAZ'!D:D)</f>
        <v>NO</v>
      </c>
      <c r="D752" s="27">
        <v>6111.9</v>
      </c>
      <c r="E752" s="27">
        <v>100610.12</v>
      </c>
      <c r="F752" s="27">
        <v>4392.05</v>
      </c>
      <c r="G752" s="27">
        <v>29229.38</v>
      </c>
      <c r="H752" s="27">
        <v>721.57</v>
      </c>
      <c r="I752" s="27">
        <v>8734.94</v>
      </c>
      <c r="J752" s="6">
        <v>2872</v>
      </c>
      <c r="K752" s="6">
        <v>393</v>
      </c>
      <c r="L752" s="27">
        <v>10.177360724233983</v>
      </c>
      <c r="M752" s="27">
        <v>22.226310432569974</v>
      </c>
      <c r="N752" s="34">
        <v>27.54215620214395</v>
      </c>
    </row>
    <row r="753" spans="1:14" x14ac:dyDescent="0.35">
      <c r="A753" s="82">
        <v>750</v>
      </c>
      <c r="B753" s="89" t="str">
        <f>_xlfn.XLOOKUP(A753,'Model Modeshare by TAZ'!A:A,'Model Modeshare by TAZ'!B:B)</f>
        <v>San Jose</v>
      </c>
      <c r="C753" s="90" t="str">
        <f>_xlfn.XLOOKUP(A753,'Model Modeshare by TAZ'!A:A,'Model Modeshare by TAZ'!D:D)</f>
        <v>NO</v>
      </c>
      <c r="D753" s="27">
        <v>2981.26</v>
      </c>
      <c r="E753" s="27">
        <v>48586.87</v>
      </c>
      <c r="F753" s="27">
        <v>1794.43</v>
      </c>
      <c r="G753" s="27">
        <v>12271.47</v>
      </c>
      <c r="H753" s="27">
        <v>963.78</v>
      </c>
      <c r="I753" s="27">
        <v>11703.8</v>
      </c>
      <c r="J753" s="6">
        <v>1234</v>
      </c>
      <c r="K753" s="6">
        <v>810</v>
      </c>
      <c r="L753" s="27">
        <v>9.9444651539708264</v>
      </c>
      <c r="M753" s="27">
        <v>14.449135802469135</v>
      </c>
      <c r="N753" s="34">
        <v>30.159354207436401</v>
      </c>
    </row>
    <row r="754" spans="1:14" x14ac:dyDescent="0.35">
      <c r="A754" s="82">
        <v>751</v>
      </c>
      <c r="B754" s="89" t="str">
        <f>_xlfn.XLOOKUP(A754,'Model Modeshare by TAZ'!A:A,'Model Modeshare by TAZ'!B:B)</f>
        <v>San Jose</v>
      </c>
      <c r="C754" s="90" t="str">
        <f>_xlfn.XLOOKUP(A754,'Model Modeshare by TAZ'!A:A,'Model Modeshare by TAZ'!D:D)</f>
        <v>NO</v>
      </c>
      <c r="D754" s="27">
        <v>4631.18</v>
      </c>
      <c r="E754" s="27">
        <v>76750.36</v>
      </c>
      <c r="F754" s="27">
        <v>2947.01</v>
      </c>
      <c r="G754" s="27">
        <v>18242.41</v>
      </c>
      <c r="H754" s="27">
        <v>835.83</v>
      </c>
      <c r="I754" s="27">
        <v>9399.14</v>
      </c>
      <c r="J754" s="6">
        <v>1885</v>
      </c>
      <c r="K754" s="6">
        <v>649</v>
      </c>
      <c r="L754" s="27">
        <v>9.677671087533156</v>
      </c>
      <c r="M754" s="27">
        <v>14.482496147919877</v>
      </c>
      <c r="N754" s="34">
        <v>25.383962115232833</v>
      </c>
    </row>
    <row r="755" spans="1:14" x14ac:dyDescent="0.35">
      <c r="A755" s="82">
        <v>752</v>
      </c>
      <c r="B755" s="89" t="str">
        <f>_xlfn.XLOOKUP(A755,'Model Modeshare by TAZ'!A:A,'Model Modeshare by TAZ'!B:B)</f>
        <v>San Jose</v>
      </c>
      <c r="C755" s="90" t="str">
        <f>_xlfn.XLOOKUP(A755,'Model Modeshare by TAZ'!A:A,'Model Modeshare by TAZ'!D:D)</f>
        <v>NO</v>
      </c>
      <c r="D755" s="27">
        <v>4744.46</v>
      </c>
      <c r="E755" s="27">
        <v>74048.75</v>
      </c>
      <c r="F755" s="27">
        <v>4366.84</v>
      </c>
      <c r="G755" s="27">
        <v>27273.45</v>
      </c>
      <c r="H755" s="27">
        <v>96.97</v>
      </c>
      <c r="I755" s="27">
        <v>1150.1500000000001</v>
      </c>
      <c r="J755" s="6">
        <v>2811</v>
      </c>
      <c r="K755" s="6">
        <v>51</v>
      </c>
      <c r="L755" s="27">
        <v>9.7024012806830306</v>
      </c>
      <c r="M755" s="27">
        <v>22.551960784313728</v>
      </c>
      <c r="N755" s="34">
        <v>18.958721174004193</v>
      </c>
    </row>
    <row r="756" spans="1:14" x14ac:dyDescent="0.35">
      <c r="A756" s="82">
        <v>753</v>
      </c>
      <c r="B756" s="89" t="str">
        <f>_xlfn.XLOOKUP(A756,'Model Modeshare by TAZ'!A:A,'Model Modeshare by TAZ'!B:B)</f>
        <v>San Jose</v>
      </c>
      <c r="C756" s="90" t="str">
        <f>_xlfn.XLOOKUP(A756,'Model Modeshare by TAZ'!A:A,'Model Modeshare by TAZ'!D:D)</f>
        <v>NO</v>
      </c>
      <c r="D756" s="27">
        <v>4780.82</v>
      </c>
      <c r="E756" s="27">
        <v>86611.76</v>
      </c>
      <c r="F756" s="27">
        <v>2222.58</v>
      </c>
      <c r="G756" s="27">
        <v>14064.14</v>
      </c>
      <c r="H756" s="27">
        <v>1512.24</v>
      </c>
      <c r="I756" s="27">
        <v>17506.28</v>
      </c>
      <c r="J756" s="6">
        <v>1377</v>
      </c>
      <c r="K756" s="6">
        <v>1275</v>
      </c>
      <c r="L756" s="27">
        <v>10.21360929557008</v>
      </c>
      <c r="M756" s="27">
        <v>13.730415686274508</v>
      </c>
      <c r="N756" s="34">
        <v>40.590365761689291</v>
      </c>
    </row>
    <row r="757" spans="1:14" x14ac:dyDescent="0.35">
      <c r="A757" s="82">
        <v>754</v>
      </c>
      <c r="B757" s="89" t="str">
        <f>_xlfn.XLOOKUP(A757,'Model Modeshare by TAZ'!A:A,'Model Modeshare by TAZ'!B:B)</f>
        <v>San Jose</v>
      </c>
      <c r="C757" s="90" t="str">
        <f>_xlfn.XLOOKUP(A757,'Model Modeshare by TAZ'!A:A,'Model Modeshare by TAZ'!D:D)</f>
        <v>NO</v>
      </c>
      <c r="D757" s="27">
        <v>6981.52</v>
      </c>
      <c r="E757" s="27">
        <v>100519.51</v>
      </c>
      <c r="F757" s="27">
        <v>3501.75</v>
      </c>
      <c r="G757" s="27">
        <v>16775.62</v>
      </c>
      <c r="H757" s="27">
        <v>1807.95</v>
      </c>
      <c r="I757" s="27">
        <v>19581.330000000002</v>
      </c>
      <c r="J757" s="6">
        <v>2660</v>
      </c>
      <c r="K757" s="6">
        <v>1640</v>
      </c>
      <c r="L757" s="27">
        <v>6.3066240601503756</v>
      </c>
      <c r="M757" s="27">
        <v>11.939835365853659</v>
      </c>
      <c r="N757" s="34">
        <v>19.583095348837208</v>
      </c>
    </row>
    <row r="758" spans="1:14" x14ac:dyDescent="0.35">
      <c r="A758" s="82">
        <v>755</v>
      </c>
      <c r="B758" s="89" t="str">
        <f>_xlfn.XLOOKUP(A758,'Model Modeshare by TAZ'!A:A,'Model Modeshare by TAZ'!B:B)</f>
        <v>San Jose</v>
      </c>
      <c r="C758" s="90" t="str">
        <f>_xlfn.XLOOKUP(A758,'Model Modeshare by TAZ'!A:A,'Model Modeshare by TAZ'!D:D)</f>
        <v>NO</v>
      </c>
      <c r="D758" s="27">
        <v>123.88</v>
      </c>
      <c r="E758" s="27">
        <v>2433.0500000000002</v>
      </c>
      <c r="F758" s="27">
        <v>0.73</v>
      </c>
      <c r="G758" s="27">
        <v>5</v>
      </c>
      <c r="H758" s="27">
        <v>261.33</v>
      </c>
      <c r="I758" s="27">
        <v>3108.42</v>
      </c>
      <c r="J758" s="6">
        <v>7</v>
      </c>
      <c r="K758" s="6">
        <v>214</v>
      </c>
      <c r="L758" s="27">
        <v>0.7142857142857143</v>
      </c>
      <c r="M758" s="27">
        <v>14.525327102803738</v>
      </c>
      <c r="N758" s="34">
        <v>31.170045248868778</v>
      </c>
    </row>
    <row r="759" spans="1:14" x14ac:dyDescent="0.35">
      <c r="A759" s="82">
        <v>756</v>
      </c>
      <c r="B759" s="89" t="str">
        <f>_xlfn.XLOOKUP(A759,'Model Modeshare by TAZ'!A:A,'Model Modeshare by TAZ'!B:B)</f>
        <v>San Jose</v>
      </c>
      <c r="C759" s="90" t="str">
        <f>_xlfn.XLOOKUP(A759,'Model Modeshare by TAZ'!A:A,'Model Modeshare by TAZ'!D:D)</f>
        <v>NO</v>
      </c>
      <c r="D759" s="27">
        <v>1480.24</v>
      </c>
      <c r="E759" s="27">
        <v>29365.84</v>
      </c>
      <c r="F759" s="27">
        <v>310.58</v>
      </c>
      <c r="G759" s="27">
        <v>1962.44</v>
      </c>
      <c r="H759" s="27">
        <v>522.45000000000005</v>
      </c>
      <c r="I759" s="27">
        <v>6021.66</v>
      </c>
      <c r="J759" s="6">
        <v>186</v>
      </c>
      <c r="K759" s="6">
        <v>450</v>
      </c>
      <c r="L759" s="27">
        <v>10.550752688172043</v>
      </c>
      <c r="M759" s="27">
        <v>13.381466666666666</v>
      </c>
      <c r="N759" s="34">
        <v>30.169135220125785</v>
      </c>
    </row>
    <row r="760" spans="1:14" x14ac:dyDescent="0.35">
      <c r="A760" s="82">
        <v>757</v>
      </c>
      <c r="B760" s="89" t="str">
        <f>_xlfn.XLOOKUP(A760,'Model Modeshare by TAZ'!A:A,'Model Modeshare by TAZ'!B:B)</f>
        <v>San Jose</v>
      </c>
      <c r="C760" s="90" t="str">
        <f>_xlfn.XLOOKUP(A760,'Model Modeshare by TAZ'!A:A,'Model Modeshare by TAZ'!D:D)</f>
        <v>NO</v>
      </c>
      <c r="D760" s="27">
        <v>197.03</v>
      </c>
      <c r="E760" s="27">
        <v>3820.47</v>
      </c>
      <c r="F760" s="27">
        <v>8.69</v>
      </c>
      <c r="G760" s="27">
        <v>48.92</v>
      </c>
      <c r="H760" s="27">
        <v>248.07</v>
      </c>
      <c r="I760" s="27">
        <v>2868.88</v>
      </c>
      <c r="J760" s="6">
        <v>11</v>
      </c>
      <c r="K760" s="6">
        <v>204</v>
      </c>
      <c r="L760" s="27">
        <v>4.4472727272727273</v>
      </c>
      <c r="M760" s="27">
        <v>14.063137254901962</v>
      </c>
      <c r="N760" s="34">
        <v>32.408000000000001</v>
      </c>
    </row>
    <row r="761" spans="1:14" x14ac:dyDescent="0.35">
      <c r="A761" s="82">
        <v>758</v>
      </c>
      <c r="B761" s="89" t="str">
        <f>_xlfn.XLOOKUP(A761,'Model Modeshare by TAZ'!A:A,'Model Modeshare by TAZ'!B:B)</f>
        <v>San Jose</v>
      </c>
      <c r="C761" s="90" t="str">
        <f>_xlfn.XLOOKUP(A761,'Model Modeshare by TAZ'!A:A,'Model Modeshare by TAZ'!D:D)</f>
        <v>NO</v>
      </c>
      <c r="D761" s="27">
        <v>530.82000000000005</v>
      </c>
      <c r="E761" s="27">
        <v>10785.35</v>
      </c>
      <c r="F761" s="27">
        <v>0</v>
      </c>
      <c r="G761" s="27">
        <v>0</v>
      </c>
      <c r="H761" s="27">
        <v>244.74</v>
      </c>
      <c r="I761" s="27">
        <v>2793.08</v>
      </c>
      <c r="J761" s="6">
        <v>7</v>
      </c>
      <c r="K761" s="6">
        <v>200</v>
      </c>
      <c r="L761" s="27">
        <v>0</v>
      </c>
      <c r="M761" s="27">
        <v>13.965399999999999</v>
      </c>
      <c r="N761" s="34">
        <v>31.704589371980678</v>
      </c>
    </row>
    <row r="762" spans="1:14" x14ac:dyDescent="0.35">
      <c r="A762" s="82">
        <v>759</v>
      </c>
      <c r="B762" s="89" t="str">
        <f>_xlfn.XLOOKUP(A762,'Model Modeshare by TAZ'!A:A,'Model Modeshare by TAZ'!B:B)</f>
        <v>San Jose</v>
      </c>
      <c r="C762" s="90" t="str">
        <f>_xlfn.XLOOKUP(A762,'Model Modeshare by TAZ'!A:A,'Model Modeshare by TAZ'!D:D)</f>
        <v>NO</v>
      </c>
      <c r="D762" s="27">
        <v>1224.54</v>
      </c>
      <c r="E762" s="27">
        <v>24609.03</v>
      </c>
      <c r="F762" s="27">
        <v>179.81</v>
      </c>
      <c r="G762" s="27">
        <v>1100.0999999999999</v>
      </c>
      <c r="H762" s="27">
        <v>1338.15</v>
      </c>
      <c r="I762" s="27">
        <v>15235.87</v>
      </c>
      <c r="J762" s="6">
        <v>116</v>
      </c>
      <c r="K762" s="6">
        <v>1177</v>
      </c>
      <c r="L762" s="27">
        <v>9.4836206896551722</v>
      </c>
      <c r="M762" s="27">
        <v>12.944664401019542</v>
      </c>
      <c r="N762" s="34">
        <v>31.986279969064192</v>
      </c>
    </row>
    <row r="763" spans="1:14" x14ac:dyDescent="0.35">
      <c r="A763" s="82">
        <v>760</v>
      </c>
      <c r="B763" s="89" t="str">
        <f>_xlfn.XLOOKUP(A763,'Model Modeshare by TAZ'!A:A,'Model Modeshare by TAZ'!B:B)</f>
        <v>San Jose</v>
      </c>
      <c r="C763" s="90" t="str">
        <f>_xlfn.XLOOKUP(A763,'Model Modeshare by TAZ'!A:A,'Model Modeshare by TAZ'!D:D)</f>
        <v>NO</v>
      </c>
      <c r="D763" s="27">
        <v>2265.59</v>
      </c>
      <c r="E763" s="27">
        <v>29240.19</v>
      </c>
      <c r="F763" s="27">
        <v>883.31</v>
      </c>
      <c r="G763" s="27">
        <v>3492.91</v>
      </c>
      <c r="H763" s="27">
        <v>936.07</v>
      </c>
      <c r="I763" s="27">
        <v>10378.69</v>
      </c>
      <c r="J763" s="6">
        <v>692</v>
      </c>
      <c r="K763" s="6">
        <v>816</v>
      </c>
      <c r="L763" s="27">
        <v>5.0475578034682078</v>
      </c>
      <c r="M763" s="27">
        <v>12.718982843137255</v>
      </c>
      <c r="N763" s="34">
        <v>17.686737400530504</v>
      </c>
    </row>
    <row r="764" spans="1:14" x14ac:dyDescent="0.35">
      <c r="A764" s="82">
        <v>761</v>
      </c>
      <c r="B764" s="89" t="str">
        <f>_xlfn.XLOOKUP(A764,'Model Modeshare by TAZ'!A:A,'Model Modeshare by TAZ'!B:B)</f>
        <v>San Jose</v>
      </c>
      <c r="C764" s="90" t="str">
        <f>_xlfn.XLOOKUP(A764,'Model Modeshare by TAZ'!A:A,'Model Modeshare by TAZ'!D:D)</f>
        <v>NO</v>
      </c>
      <c r="D764" s="27">
        <v>2643.09</v>
      </c>
      <c r="E764" s="27">
        <v>29219.46</v>
      </c>
      <c r="F764" s="27">
        <v>807.36</v>
      </c>
      <c r="G764" s="27">
        <v>3029.39</v>
      </c>
      <c r="H764" s="27">
        <v>1025.05</v>
      </c>
      <c r="I764" s="27">
        <v>11166.52</v>
      </c>
      <c r="J764" s="6">
        <v>637</v>
      </c>
      <c r="K764" s="6">
        <v>902</v>
      </c>
      <c r="L764" s="27">
        <v>4.7557142857142853</v>
      </c>
      <c r="M764" s="27">
        <v>12.379733924611974</v>
      </c>
      <c r="N764" s="34">
        <v>23.281734892787522</v>
      </c>
    </row>
    <row r="765" spans="1:14" x14ac:dyDescent="0.35">
      <c r="A765" s="82">
        <v>762</v>
      </c>
      <c r="B765" s="89" t="str">
        <f>_xlfn.XLOOKUP(A765,'Model Modeshare by TAZ'!A:A,'Model Modeshare by TAZ'!B:B)</f>
        <v>San Jose</v>
      </c>
      <c r="C765" s="90" t="str">
        <f>_xlfn.XLOOKUP(A765,'Model Modeshare by TAZ'!A:A,'Model Modeshare by TAZ'!D:D)</f>
        <v>NO</v>
      </c>
      <c r="D765" s="27">
        <v>1083.52</v>
      </c>
      <c r="E765" s="27">
        <v>14149.65</v>
      </c>
      <c r="F765" s="27">
        <v>737.85</v>
      </c>
      <c r="G765" s="27">
        <v>3300.48</v>
      </c>
      <c r="H765" s="27">
        <v>204.11</v>
      </c>
      <c r="I765" s="27">
        <v>2270.7600000000002</v>
      </c>
      <c r="J765" s="6">
        <v>526</v>
      </c>
      <c r="K765" s="6">
        <v>134</v>
      </c>
      <c r="L765" s="27">
        <v>6.27467680608365</v>
      </c>
      <c r="M765" s="27">
        <v>16.945970149253732</v>
      </c>
      <c r="N765" s="34">
        <v>17.695500000000003</v>
      </c>
    </row>
    <row r="766" spans="1:14" x14ac:dyDescent="0.35">
      <c r="A766" s="82">
        <v>763</v>
      </c>
      <c r="B766" s="89" t="str">
        <f>_xlfn.XLOOKUP(A766,'Model Modeshare by TAZ'!A:A,'Model Modeshare by TAZ'!B:B)</f>
        <v>San Jose</v>
      </c>
      <c r="C766" s="90" t="str">
        <f>_xlfn.XLOOKUP(A766,'Model Modeshare by TAZ'!A:A,'Model Modeshare by TAZ'!D:D)</f>
        <v>NO</v>
      </c>
      <c r="D766" s="27">
        <v>1797.84</v>
      </c>
      <c r="E766" s="27">
        <v>22716.59</v>
      </c>
      <c r="F766" s="27">
        <v>736.33</v>
      </c>
      <c r="G766" s="27">
        <v>3017.34</v>
      </c>
      <c r="H766" s="27">
        <v>481.37</v>
      </c>
      <c r="I766" s="27">
        <v>5238.28</v>
      </c>
      <c r="J766" s="6">
        <v>563</v>
      </c>
      <c r="K766" s="6">
        <v>420</v>
      </c>
      <c r="L766" s="27">
        <v>5.3593960923623447</v>
      </c>
      <c r="M766" s="27">
        <v>12.472095238095237</v>
      </c>
      <c r="N766" s="34">
        <v>18.223611393692778</v>
      </c>
    </row>
    <row r="767" spans="1:14" x14ac:dyDescent="0.35">
      <c r="A767" s="82">
        <v>764</v>
      </c>
      <c r="B767" s="89" t="str">
        <f>_xlfn.XLOOKUP(A767,'Model Modeshare by TAZ'!A:A,'Model Modeshare by TAZ'!B:B)</f>
        <v>San Jose</v>
      </c>
      <c r="C767" s="90" t="str">
        <f>_xlfn.XLOOKUP(A767,'Model Modeshare by TAZ'!A:A,'Model Modeshare by TAZ'!D:D)</f>
        <v>NO</v>
      </c>
      <c r="D767" s="27">
        <v>2263.58</v>
      </c>
      <c r="E767" s="27">
        <v>46971.79</v>
      </c>
      <c r="F767" s="27">
        <v>136.88</v>
      </c>
      <c r="G767" s="27">
        <v>838.94</v>
      </c>
      <c r="H767" s="27">
        <v>418.92</v>
      </c>
      <c r="I767" s="27">
        <v>4733.47</v>
      </c>
      <c r="J767" s="6">
        <v>146</v>
      </c>
      <c r="K767" s="6">
        <v>363</v>
      </c>
      <c r="L767" s="27">
        <v>5.7461643835616441</v>
      </c>
      <c r="M767" s="27">
        <v>13.039862258953169</v>
      </c>
      <c r="N767" s="34">
        <v>25.211905697445975</v>
      </c>
    </row>
    <row r="768" spans="1:14" x14ac:dyDescent="0.35">
      <c r="A768" s="82">
        <v>765</v>
      </c>
      <c r="B768" s="89" t="str">
        <f>_xlfn.XLOOKUP(A768,'Model Modeshare by TAZ'!A:A,'Model Modeshare by TAZ'!B:B)</f>
        <v>San Jose</v>
      </c>
      <c r="C768" s="90" t="str">
        <f>_xlfn.XLOOKUP(A768,'Model Modeshare by TAZ'!A:A,'Model Modeshare by TAZ'!D:D)</f>
        <v>NO</v>
      </c>
      <c r="D768" s="27">
        <v>1922.84</v>
      </c>
      <c r="E768" s="27">
        <v>38891.599999999999</v>
      </c>
      <c r="F768" s="27">
        <v>65.8</v>
      </c>
      <c r="G768" s="27">
        <v>399.44</v>
      </c>
      <c r="H768" s="27">
        <v>2169</v>
      </c>
      <c r="I768" s="27">
        <v>24573.94</v>
      </c>
      <c r="J768" s="6">
        <v>160</v>
      </c>
      <c r="K768" s="6">
        <v>1909</v>
      </c>
      <c r="L768" s="27">
        <v>2.4965000000000002</v>
      </c>
      <c r="M768" s="27">
        <v>12.872676794133053</v>
      </c>
      <c r="N768" s="34">
        <v>36.116573223779604</v>
      </c>
    </row>
    <row r="769" spans="1:14" x14ac:dyDescent="0.35">
      <c r="A769" s="82">
        <v>766</v>
      </c>
      <c r="B769" s="89" t="str">
        <f>_xlfn.XLOOKUP(A769,'Model Modeshare by TAZ'!A:A,'Model Modeshare by TAZ'!B:B)</f>
        <v>San Jose</v>
      </c>
      <c r="C769" s="90" t="str">
        <f>_xlfn.XLOOKUP(A769,'Model Modeshare by TAZ'!A:A,'Model Modeshare by TAZ'!D:D)</f>
        <v>NO</v>
      </c>
      <c r="D769" s="27">
        <v>475.87</v>
      </c>
      <c r="E769" s="27">
        <v>10409.85</v>
      </c>
      <c r="F769" s="27">
        <v>108.18</v>
      </c>
      <c r="G769" s="27">
        <v>840.71</v>
      </c>
      <c r="H769" s="27">
        <v>713.96</v>
      </c>
      <c r="I769" s="27">
        <v>9462.61</v>
      </c>
      <c r="J769" s="6">
        <v>96</v>
      </c>
      <c r="K769" s="6">
        <v>1049</v>
      </c>
      <c r="L769" s="27">
        <v>8.7573958333333337</v>
      </c>
      <c r="M769" s="27">
        <v>9.0206005719733078</v>
      </c>
      <c r="N769" s="34">
        <v>34.816820960698692</v>
      </c>
    </row>
    <row r="770" spans="1:14" x14ac:dyDescent="0.35">
      <c r="A770" s="82">
        <v>767</v>
      </c>
      <c r="B770" s="89" t="str">
        <f>_xlfn.XLOOKUP(A770,'Model Modeshare by TAZ'!A:A,'Model Modeshare by TAZ'!B:B)</f>
        <v>San Jose</v>
      </c>
      <c r="C770" s="90" t="str">
        <f>_xlfn.XLOOKUP(A770,'Model Modeshare by TAZ'!A:A,'Model Modeshare by TAZ'!D:D)</f>
        <v>NO</v>
      </c>
      <c r="D770" s="27">
        <v>3438.5</v>
      </c>
      <c r="E770" s="27">
        <v>51703.3</v>
      </c>
      <c r="F770" s="27">
        <v>2259.94</v>
      </c>
      <c r="G770" s="27">
        <v>14640.41</v>
      </c>
      <c r="H770" s="27">
        <v>1257.3499999999999</v>
      </c>
      <c r="I770" s="27">
        <v>13891.95</v>
      </c>
      <c r="J770" s="6">
        <v>1599</v>
      </c>
      <c r="K770" s="6">
        <v>1206</v>
      </c>
      <c r="L770" s="27">
        <v>9.1559787367104448</v>
      </c>
      <c r="M770" s="27">
        <v>11.51902985074627</v>
      </c>
      <c r="N770" s="34">
        <v>28.857532976827095</v>
      </c>
    </row>
    <row r="771" spans="1:14" x14ac:dyDescent="0.35">
      <c r="A771" s="82">
        <v>768</v>
      </c>
      <c r="B771" s="89" t="str">
        <f>_xlfn.XLOOKUP(A771,'Model Modeshare by TAZ'!A:A,'Model Modeshare by TAZ'!B:B)</f>
        <v>San Jose</v>
      </c>
      <c r="C771" s="90" t="str">
        <f>_xlfn.XLOOKUP(A771,'Model Modeshare by TAZ'!A:A,'Model Modeshare by TAZ'!D:D)</f>
        <v>NO</v>
      </c>
      <c r="D771" s="27">
        <v>3496.22</v>
      </c>
      <c r="E771" s="27">
        <v>65435.34</v>
      </c>
      <c r="F771" s="27">
        <v>1539.63</v>
      </c>
      <c r="G771" s="27">
        <v>9082.25</v>
      </c>
      <c r="H771" s="27">
        <v>2486.5100000000002</v>
      </c>
      <c r="I771" s="27">
        <v>28093.63</v>
      </c>
      <c r="J771" s="6">
        <v>978</v>
      </c>
      <c r="K771" s="6">
        <v>2273</v>
      </c>
      <c r="L771" s="27">
        <v>9.2865541922290387</v>
      </c>
      <c r="M771" s="27">
        <v>12.359714034315882</v>
      </c>
      <c r="N771" s="34">
        <v>30.858784989234081</v>
      </c>
    </row>
    <row r="772" spans="1:14" x14ac:dyDescent="0.35">
      <c r="A772" s="82">
        <v>769</v>
      </c>
      <c r="B772" s="89" t="str">
        <f>_xlfn.XLOOKUP(A772,'Model Modeshare by TAZ'!A:A,'Model Modeshare by TAZ'!B:B)</f>
        <v>San Jose</v>
      </c>
      <c r="C772" s="90" t="str">
        <f>_xlfn.XLOOKUP(A772,'Model Modeshare by TAZ'!A:A,'Model Modeshare by TAZ'!D:D)</f>
        <v>NO</v>
      </c>
      <c r="D772" s="27">
        <v>2736.28</v>
      </c>
      <c r="E772" s="27">
        <v>49680.59</v>
      </c>
      <c r="F772" s="27">
        <v>1119.21</v>
      </c>
      <c r="G772" s="27">
        <v>6178.88</v>
      </c>
      <c r="H772" s="27">
        <v>1318.18</v>
      </c>
      <c r="I772" s="27">
        <v>14417.39</v>
      </c>
      <c r="J772" s="6">
        <v>695</v>
      </c>
      <c r="K772" s="6">
        <v>1176</v>
      </c>
      <c r="L772" s="27">
        <v>8.8904748201438846</v>
      </c>
      <c r="M772" s="27">
        <v>12.25968537414966</v>
      </c>
      <c r="N772" s="34">
        <v>29.085018706574026</v>
      </c>
    </row>
    <row r="773" spans="1:14" x14ac:dyDescent="0.35">
      <c r="A773" s="82">
        <v>770</v>
      </c>
      <c r="B773" s="89" t="str">
        <f>_xlfn.XLOOKUP(A773,'Model Modeshare by TAZ'!A:A,'Model Modeshare by TAZ'!B:B)</f>
        <v>San Jose</v>
      </c>
      <c r="C773" s="90" t="str">
        <f>_xlfn.XLOOKUP(A773,'Model Modeshare by TAZ'!A:A,'Model Modeshare by TAZ'!D:D)</f>
        <v>NO</v>
      </c>
      <c r="D773" s="27">
        <v>7034.91</v>
      </c>
      <c r="E773" s="27">
        <v>134607.65</v>
      </c>
      <c r="F773" s="27">
        <v>3172.88</v>
      </c>
      <c r="G773" s="27">
        <v>19567.98</v>
      </c>
      <c r="H773" s="27">
        <v>2350.5500000000002</v>
      </c>
      <c r="I773" s="27">
        <v>26717.88</v>
      </c>
      <c r="J773" s="6">
        <v>2087</v>
      </c>
      <c r="K773" s="6">
        <v>2105</v>
      </c>
      <c r="L773" s="27">
        <v>9.3761284139913741</v>
      </c>
      <c r="M773" s="27">
        <v>12.692579572446556</v>
      </c>
      <c r="N773" s="34">
        <v>34.156159351145035</v>
      </c>
    </row>
    <row r="774" spans="1:14" x14ac:dyDescent="0.35">
      <c r="A774" s="82">
        <v>771</v>
      </c>
      <c r="B774" s="89" t="str">
        <f>_xlfn.XLOOKUP(A774,'Model Modeshare by TAZ'!A:A,'Model Modeshare by TAZ'!B:B)</f>
        <v>San Jose</v>
      </c>
      <c r="C774" s="90" t="str">
        <f>_xlfn.XLOOKUP(A774,'Model Modeshare by TAZ'!A:A,'Model Modeshare by TAZ'!D:D)</f>
        <v>NO</v>
      </c>
      <c r="D774" s="27">
        <v>2497.6799999999998</v>
      </c>
      <c r="E774" s="27">
        <v>42914.75</v>
      </c>
      <c r="F774" s="27">
        <v>1722.48</v>
      </c>
      <c r="G774" s="27">
        <v>10186.91</v>
      </c>
      <c r="H774" s="27">
        <v>494.42</v>
      </c>
      <c r="I774" s="27">
        <v>5509.26</v>
      </c>
      <c r="J774" s="6">
        <v>1054</v>
      </c>
      <c r="K774" s="6">
        <v>405</v>
      </c>
      <c r="L774" s="27">
        <v>9.6649999999999991</v>
      </c>
      <c r="M774" s="27">
        <v>13.603111111111112</v>
      </c>
      <c r="N774" s="34">
        <v>29.051158327621657</v>
      </c>
    </row>
    <row r="775" spans="1:14" x14ac:dyDescent="0.35">
      <c r="A775" s="82">
        <v>772</v>
      </c>
      <c r="B775" s="89" t="str">
        <f>_xlfn.XLOOKUP(A775,'Model Modeshare by TAZ'!A:A,'Model Modeshare by TAZ'!B:B)</f>
        <v>San Jose</v>
      </c>
      <c r="C775" s="90" t="str">
        <f>_xlfn.XLOOKUP(A775,'Model Modeshare by TAZ'!A:A,'Model Modeshare by TAZ'!D:D)</f>
        <v>NO</v>
      </c>
      <c r="D775" s="27">
        <v>1191.81</v>
      </c>
      <c r="E775" s="27">
        <v>15576.3</v>
      </c>
      <c r="F775" s="27">
        <v>1233.8</v>
      </c>
      <c r="G775" s="27">
        <v>6376.74</v>
      </c>
      <c r="H775" s="27">
        <v>182.19</v>
      </c>
      <c r="I775" s="27">
        <v>2026.55</v>
      </c>
      <c r="J775" s="6">
        <v>797</v>
      </c>
      <c r="K775" s="6">
        <v>99</v>
      </c>
      <c r="L775" s="27">
        <v>8.0009284818067758</v>
      </c>
      <c r="M775" s="27">
        <v>20.47020202020202</v>
      </c>
      <c r="N775" s="34">
        <v>17.936785714285715</v>
      </c>
    </row>
    <row r="776" spans="1:14" x14ac:dyDescent="0.35">
      <c r="A776" s="82">
        <v>773</v>
      </c>
      <c r="B776" s="89" t="str">
        <f>_xlfn.XLOOKUP(A776,'Model Modeshare by TAZ'!A:A,'Model Modeshare by TAZ'!B:B)</f>
        <v>San Jose</v>
      </c>
      <c r="C776" s="90" t="str">
        <f>_xlfn.XLOOKUP(A776,'Model Modeshare by TAZ'!A:A,'Model Modeshare by TAZ'!D:D)</f>
        <v>NO</v>
      </c>
      <c r="D776" s="27">
        <v>1450.51</v>
      </c>
      <c r="E776" s="27">
        <v>15416.53</v>
      </c>
      <c r="F776" s="27">
        <v>1396.97</v>
      </c>
      <c r="G776" s="27">
        <v>6043.89</v>
      </c>
      <c r="H776" s="27">
        <v>506.48</v>
      </c>
      <c r="I776" s="27">
        <v>5463.71</v>
      </c>
      <c r="J776" s="6">
        <v>941</v>
      </c>
      <c r="K776" s="6">
        <v>337</v>
      </c>
      <c r="L776" s="27">
        <v>6.422837407013815</v>
      </c>
      <c r="M776" s="27">
        <v>16.212789317507418</v>
      </c>
      <c r="N776" s="34">
        <v>15.716361502347416</v>
      </c>
    </row>
    <row r="777" spans="1:14" x14ac:dyDescent="0.35">
      <c r="A777" s="82">
        <v>774</v>
      </c>
      <c r="B777" s="89" t="str">
        <f>_xlfn.XLOOKUP(A777,'Model Modeshare by TAZ'!A:A,'Model Modeshare by TAZ'!B:B)</f>
        <v>San Jose</v>
      </c>
      <c r="C777" s="90" t="str">
        <f>_xlfn.XLOOKUP(A777,'Model Modeshare by TAZ'!A:A,'Model Modeshare by TAZ'!D:D)</f>
        <v>NO</v>
      </c>
      <c r="D777" s="27">
        <v>550.20000000000005</v>
      </c>
      <c r="E777" s="27">
        <v>6210.4</v>
      </c>
      <c r="F777" s="27">
        <v>517.66</v>
      </c>
      <c r="G777" s="27">
        <v>2343.54</v>
      </c>
      <c r="H777" s="27">
        <v>345.82</v>
      </c>
      <c r="I777" s="27">
        <v>3724.65</v>
      </c>
      <c r="J777" s="6">
        <v>351</v>
      </c>
      <c r="K777" s="6">
        <v>295</v>
      </c>
      <c r="L777" s="27">
        <v>6.6767521367521363</v>
      </c>
      <c r="M777" s="27">
        <v>12.62593220338983</v>
      </c>
      <c r="N777" s="34">
        <v>19.770557275541798</v>
      </c>
    </row>
    <row r="778" spans="1:14" x14ac:dyDescent="0.35">
      <c r="A778" s="82">
        <v>775</v>
      </c>
      <c r="B778" s="89" t="str">
        <f>_xlfn.XLOOKUP(A778,'Model Modeshare by TAZ'!A:A,'Model Modeshare by TAZ'!B:B)</f>
        <v>San Jose</v>
      </c>
      <c r="C778" s="90" t="str">
        <f>_xlfn.XLOOKUP(A778,'Model Modeshare by TAZ'!A:A,'Model Modeshare by TAZ'!D:D)</f>
        <v>NO</v>
      </c>
      <c r="D778" s="27">
        <v>4331.12</v>
      </c>
      <c r="E778" s="27">
        <v>72707.75</v>
      </c>
      <c r="F778" s="27">
        <v>683.39</v>
      </c>
      <c r="G778" s="27">
        <v>3119.09</v>
      </c>
      <c r="H778" s="27">
        <v>1542.59</v>
      </c>
      <c r="I778" s="27">
        <v>16458.490000000002</v>
      </c>
      <c r="J778" s="6">
        <v>549</v>
      </c>
      <c r="K778" s="6">
        <v>1360</v>
      </c>
      <c r="L778" s="27">
        <v>5.6814025500910752</v>
      </c>
      <c r="M778" s="27">
        <v>12.101830882352942</v>
      </c>
      <c r="N778" s="34">
        <v>22.736207438449448</v>
      </c>
    </row>
    <row r="779" spans="1:14" x14ac:dyDescent="0.35">
      <c r="A779" s="82">
        <v>776</v>
      </c>
      <c r="B779" s="89" t="str">
        <f>_xlfn.XLOOKUP(A779,'Model Modeshare by TAZ'!A:A,'Model Modeshare by TAZ'!B:B)</f>
        <v>San Jose</v>
      </c>
      <c r="C779" s="90" t="str">
        <f>_xlfn.XLOOKUP(A779,'Model Modeshare by TAZ'!A:A,'Model Modeshare by TAZ'!D:D)</f>
        <v>NO</v>
      </c>
      <c r="D779" s="27">
        <v>1002.19</v>
      </c>
      <c r="E779" s="27">
        <v>13523.36</v>
      </c>
      <c r="F779" s="27">
        <v>770.37</v>
      </c>
      <c r="G779" s="27">
        <v>3786.53</v>
      </c>
      <c r="H779" s="27">
        <v>167.43</v>
      </c>
      <c r="I779" s="27">
        <v>1828.15</v>
      </c>
      <c r="J779" s="6">
        <v>502</v>
      </c>
      <c r="K779" s="6">
        <v>110</v>
      </c>
      <c r="L779" s="27">
        <v>7.54288844621514</v>
      </c>
      <c r="M779" s="27">
        <v>16.619545454545456</v>
      </c>
      <c r="N779" s="34">
        <v>17.582794117647058</v>
      </c>
    </row>
    <row r="780" spans="1:14" x14ac:dyDescent="0.35">
      <c r="A780" s="82">
        <v>777</v>
      </c>
      <c r="B780" s="89" t="str">
        <f>_xlfn.XLOOKUP(A780,'Model Modeshare by TAZ'!A:A,'Model Modeshare by TAZ'!B:B)</f>
        <v>San Jose</v>
      </c>
      <c r="C780" s="90" t="str">
        <f>_xlfn.XLOOKUP(A780,'Model Modeshare by TAZ'!A:A,'Model Modeshare by TAZ'!D:D)</f>
        <v>NO</v>
      </c>
      <c r="D780" s="27">
        <v>1864.09</v>
      </c>
      <c r="E780" s="27">
        <v>22755.5</v>
      </c>
      <c r="F780" s="27">
        <v>687.49</v>
      </c>
      <c r="G780" s="27">
        <v>3149.47</v>
      </c>
      <c r="H780" s="27">
        <v>389.1</v>
      </c>
      <c r="I780" s="27">
        <v>4171.12</v>
      </c>
      <c r="J780" s="6">
        <v>453</v>
      </c>
      <c r="K780" s="6">
        <v>335</v>
      </c>
      <c r="L780" s="27">
        <v>6.9524724061810153</v>
      </c>
      <c r="M780" s="27">
        <v>12.45110447761194</v>
      </c>
      <c r="N780" s="34">
        <v>31.729390862944161</v>
      </c>
    </row>
    <row r="781" spans="1:14" x14ac:dyDescent="0.35">
      <c r="A781" s="82">
        <v>778</v>
      </c>
      <c r="B781" s="89" t="str">
        <f>_xlfn.XLOOKUP(A781,'Model Modeshare by TAZ'!A:A,'Model Modeshare by TAZ'!B:B)</f>
        <v>San Jose</v>
      </c>
      <c r="C781" s="90" t="str">
        <f>_xlfn.XLOOKUP(A781,'Model Modeshare by TAZ'!A:A,'Model Modeshare by TAZ'!D:D)</f>
        <v>NO</v>
      </c>
      <c r="D781" s="27">
        <v>2358.7600000000002</v>
      </c>
      <c r="E781" s="27">
        <v>28085.16</v>
      </c>
      <c r="F781" s="27">
        <v>1697.34</v>
      </c>
      <c r="G781" s="27">
        <v>8138.59</v>
      </c>
      <c r="H781" s="27">
        <v>1024.32</v>
      </c>
      <c r="I781" s="27">
        <v>10936.77</v>
      </c>
      <c r="J781" s="6">
        <v>1175</v>
      </c>
      <c r="K781" s="6">
        <v>908</v>
      </c>
      <c r="L781" s="27">
        <v>6.926459574468085</v>
      </c>
      <c r="M781" s="27">
        <v>12.04490088105727</v>
      </c>
      <c r="N781" s="34">
        <v>19.510292846855499</v>
      </c>
    </row>
    <row r="782" spans="1:14" x14ac:dyDescent="0.35">
      <c r="A782" s="82">
        <v>779</v>
      </c>
      <c r="B782" s="89" t="str">
        <f>_xlfn.XLOOKUP(A782,'Model Modeshare by TAZ'!A:A,'Model Modeshare by TAZ'!B:B)</f>
        <v>San Jose</v>
      </c>
      <c r="C782" s="90" t="str">
        <f>_xlfn.XLOOKUP(A782,'Model Modeshare by TAZ'!A:A,'Model Modeshare by TAZ'!D:D)</f>
        <v>NO</v>
      </c>
      <c r="D782" s="27">
        <v>1926.87</v>
      </c>
      <c r="E782" s="27">
        <v>18275.82</v>
      </c>
      <c r="F782" s="27">
        <v>2154.67</v>
      </c>
      <c r="G782" s="27">
        <v>9802.91</v>
      </c>
      <c r="H782" s="27">
        <v>626.35</v>
      </c>
      <c r="I782" s="27">
        <v>6979.49</v>
      </c>
      <c r="J782" s="6">
        <v>1425</v>
      </c>
      <c r="K782" s="6">
        <v>413</v>
      </c>
      <c r="L782" s="27">
        <v>6.879235087719298</v>
      </c>
      <c r="M782" s="27">
        <v>16.899491525423727</v>
      </c>
      <c r="N782" s="34">
        <v>14.365881392818281</v>
      </c>
    </row>
    <row r="783" spans="1:14" x14ac:dyDescent="0.35">
      <c r="A783" s="82">
        <v>780</v>
      </c>
      <c r="B783" s="89" t="str">
        <f>_xlfn.XLOOKUP(A783,'Model Modeshare by TAZ'!A:A,'Model Modeshare by TAZ'!B:B)</f>
        <v>San Jose</v>
      </c>
      <c r="C783" s="90" t="str">
        <f>_xlfn.XLOOKUP(A783,'Model Modeshare by TAZ'!A:A,'Model Modeshare by TAZ'!D:D)</f>
        <v>NO</v>
      </c>
      <c r="D783" s="27">
        <v>3115.43</v>
      </c>
      <c r="E783" s="27">
        <v>43178.98</v>
      </c>
      <c r="F783" s="27">
        <v>2303.38</v>
      </c>
      <c r="G783" s="27">
        <v>12106.93</v>
      </c>
      <c r="H783" s="27">
        <v>426.46</v>
      </c>
      <c r="I783" s="27">
        <v>4855.08</v>
      </c>
      <c r="J783" s="6">
        <v>1455</v>
      </c>
      <c r="K783" s="6">
        <v>232</v>
      </c>
      <c r="L783" s="27">
        <v>8.3209140893470792</v>
      </c>
      <c r="M783" s="27">
        <v>20.92706896551724</v>
      </c>
      <c r="N783" s="34">
        <v>17.102661529342026</v>
      </c>
    </row>
    <row r="784" spans="1:14" x14ac:dyDescent="0.35">
      <c r="A784" s="82">
        <v>781</v>
      </c>
      <c r="B784" s="89" t="str">
        <f>_xlfn.XLOOKUP(A784,'Model Modeshare by TAZ'!A:A,'Model Modeshare by TAZ'!B:B)</f>
        <v>San Jose</v>
      </c>
      <c r="C784" s="90" t="str">
        <f>_xlfn.XLOOKUP(A784,'Model Modeshare by TAZ'!A:A,'Model Modeshare by TAZ'!D:D)</f>
        <v>NO</v>
      </c>
      <c r="D784" s="27">
        <v>497.52</v>
      </c>
      <c r="E784" s="27">
        <v>4880.8999999999996</v>
      </c>
      <c r="F784" s="27">
        <v>398.22</v>
      </c>
      <c r="G784" s="27">
        <v>1765.9</v>
      </c>
      <c r="H784" s="27">
        <v>0</v>
      </c>
      <c r="I784" s="27">
        <v>0</v>
      </c>
      <c r="J784" s="6">
        <v>271</v>
      </c>
      <c r="K784" s="6">
        <v>0</v>
      </c>
      <c r="L784" s="27">
        <v>6.5162361623616238</v>
      </c>
      <c r="M784" s="27">
        <v>0</v>
      </c>
      <c r="N784" s="34">
        <v>9.77239852398524</v>
      </c>
    </row>
    <row r="785" spans="1:14" x14ac:dyDescent="0.35">
      <c r="A785" s="82">
        <v>782</v>
      </c>
      <c r="B785" s="89" t="str">
        <f>_xlfn.XLOOKUP(A785,'Model Modeshare by TAZ'!A:A,'Model Modeshare by TAZ'!B:B)</f>
        <v>San Jose</v>
      </c>
      <c r="C785" s="90" t="str">
        <f>_xlfn.XLOOKUP(A785,'Model Modeshare by TAZ'!A:A,'Model Modeshare by TAZ'!D:D)</f>
        <v>NO</v>
      </c>
      <c r="D785" s="27">
        <v>1466.86</v>
      </c>
      <c r="E785" s="27">
        <v>19991.64</v>
      </c>
      <c r="F785" s="27">
        <v>857.29</v>
      </c>
      <c r="G785" s="27">
        <v>3872.9</v>
      </c>
      <c r="H785" s="27">
        <v>1324.51</v>
      </c>
      <c r="I785" s="27">
        <v>15051.16</v>
      </c>
      <c r="J785" s="6">
        <v>621</v>
      </c>
      <c r="K785" s="6">
        <v>1154</v>
      </c>
      <c r="L785" s="27">
        <v>6.2365539452495975</v>
      </c>
      <c r="M785" s="27">
        <v>13.042599653379549</v>
      </c>
      <c r="N785" s="34">
        <v>18.412366197183101</v>
      </c>
    </row>
    <row r="786" spans="1:14" x14ac:dyDescent="0.35">
      <c r="A786" s="82">
        <v>783</v>
      </c>
      <c r="B786" s="89" t="str">
        <f>_xlfn.XLOOKUP(A786,'Model Modeshare by TAZ'!A:A,'Model Modeshare by TAZ'!B:B)</f>
        <v>San Jose</v>
      </c>
      <c r="C786" s="90" t="str">
        <f>_xlfn.XLOOKUP(A786,'Model Modeshare by TAZ'!A:A,'Model Modeshare by TAZ'!D:D)</f>
        <v>NO</v>
      </c>
      <c r="D786" s="27">
        <v>11513.04</v>
      </c>
      <c r="E786" s="27">
        <v>182671.02</v>
      </c>
      <c r="F786" s="27">
        <v>26.4</v>
      </c>
      <c r="G786" s="27">
        <v>137.27000000000001</v>
      </c>
      <c r="H786" s="27">
        <v>3285.48</v>
      </c>
      <c r="I786" s="27">
        <v>35818.339999999997</v>
      </c>
      <c r="J786" s="6">
        <v>18</v>
      </c>
      <c r="K786" s="6">
        <v>2906</v>
      </c>
      <c r="L786" s="27">
        <v>7.6261111111111113</v>
      </c>
      <c r="M786" s="27">
        <v>12.325650378527184</v>
      </c>
      <c r="N786" s="34">
        <v>55.387099863201094</v>
      </c>
    </row>
    <row r="787" spans="1:14" x14ac:dyDescent="0.35">
      <c r="A787" s="82">
        <v>784</v>
      </c>
      <c r="B787" s="89" t="str">
        <f>_xlfn.XLOOKUP(A787,'Model Modeshare by TAZ'!A:A,'Model Modeshare by TAZ'!B:B)</f>
        <v>San Jose</v>
      </c>
      <c r="C787" s="90" t="str">
        <f>_xlfn.XLOOKUP(A787,'Model Modeshare by TAZ'!A:A,'Model Modeshare by TAZ'!D:D)</f>
        <v>NO</v>
      </c>
      <c r="D787" s="27">
        <v>3315.97</v>
      </c>
      <c r="E787" s="27">
        <v>51402.239999999998</v>
      </c>
      <c r="F787" s="27">
        <v>1368.66</v>
      </c>
      <c r="G787" s="27">
        <v>6926.72</v>
      </c>
      <c r="H787" s="27">
        <v>1445.67</v>
      </c>
      <c r="I787" s="27">
        <v>15721.85</v>
      </c>
      <c r="J787" s="6">
        <v>1004</v>
      </c>
      <c r="K787" s="6">
        <v>1281</v>
      </c>
      <c r="L787" s="27">
        <v>6.899123505976096</v>
      </c>
      <c r="M787" s="27">
        <v>12.273106947697112</v>
      </c>
      <c r="N787" s="34">
        <v>24.163632385120351</v>
      </c>
    </row>
    <row r="788" spans="1:14" x14ac:dyDescent="0.35">
      <c r="A788" s="82">
        <v>785</v>
      </c>
      <c r="B788" s="89" t="str">
        <f>_xlfn.XLOOKUP(A788,'Model Modeshare by TAZ'!A:A,'Model Modeshare by TAZ'!B:B)</f>
        <v>Unincorporated</v>
      </c>
      <c r="C788" s="90" t="str">
        <f>_xlfn.XLOOKUP(A788,'Model Modeshare by TAZ'!A:A,'Model Modeshare by TAZ'!D:D)</f>
        <v>NO</v>
      </c>
      <c r="D788" s="27">
        <v>1879.89</v>
      </c>
      <c r="E788" s="27">
        <v>21863</v>
      </c>
      <c r="F788" s="27">
        <v>1586.93</v>
      </c>
      <c r="G788" s="27">
        <v>7344.1</v>
      </c>
      <c r="H788" s="27">
        <v>324.81</v>
      </c>
      <c r="I788" s="27">
        <v>3367.36</v>
      </c>
      <c r="J788" s="6">
        <v>1202</v>
      </c>
      <c r="K788" s="6">
        <v>184</v>
      </c>
      <c r="L788" s="27">
        <v>6.1099001663893517</v>
      </c>
      <c r="M788" s="27">
        <v>18.300869565217393</v>
      </c>
      <c r="N788" s="34">
        <v>14.846075036075035</v>
      </c>
    </row>
    <row r="789" spans="1:14" x14ac:dyDescent="0.35">
      <c r="A789" s="82">
        <v>786</v>
      </c>
      <c r="B789" s="89" t="str">
        <f>_xlfn.XLOOKUP(A789,'Model Modeshare by TAZ'!A:A,'Model Modeshare by TAZ'!B:B)</f>
        <v>Unincorporated</v>
      </c>
      <c r="C789" s="90" t="str">
        <f>_xlfn.XLOOKUP(A789,'Model Modeshare by TAZ'!A:A,'Model Modeshare by TAZ'!D:D)</f>
        <v>NO</v>
      </c>
      <c r="D789" s="27">
        <v>2098.27</v>
      </c>
      <c r="E789" s="27">
        <v>22850.82</v>
      </c>
      <c r="F789" s="27">
        <v>1337.8</v>
      </c>
      <c r="G789" s="27">
        <v>5993.65</v>
      </c>
      <c r="H789" s="27">
        <v>344.99</v>
      </c>
      <c r="I789" s="27">
        <v>3603.22</v>
      </c>
      <c r="J789" s="6">
        <v>1034</v>
      </c>
      <c r="K789" s="6">
        <v>242</v>
      </c>
      <c r="L789" s="27">
        <v>5.7965667311411986</v>
      </c>
      <c r="M789" s="27">
        <v>14.889338842975206</v>
      </c>
      <c r="N789" s="34">
        <v>14.249404388714735</v>
      </c>
    </row>
    <row r="790" spans="1:14" x14ac:dyDescent="0.35">
      <c r="A790" s="82">
        <v>787</v>
      </c>
      <c r="B790" s="89" t="str">
        <f>_xlfn.XLOOKUP(A790,'Model Modeshare by TAZ'!A:A,'Model Modeshare by TAZ'!B:B)</f>
        <v>Unincorporated</v>
      </c>
      <c r="C790" s="90" t="str">
        <f>_xlfn.XLOOKUP(A790,'Model Modeshare by TAZ'!A:A,'Model Modeshare by TAZ'!D:D)</f>
        <v>NO</v>
      </c>
      <c r="D790" s="27">
        <v>1424.02</v>
      </c>
      <c r="E790" s="27">
        <v>15315.69</v>
      </c>
      <c r="F790" s="27">
        <v>1304.04</v>
      </c>
      <c r="G790" s="27">
        <v>6090.7</v>
      </c>
      <c r="H790" s="27">
        <v>100.43</v>
      </c>
      <c r="I790" s="27">
        <v>1061.23</v>
      </c>
      <c r="J790" s="6">
        <v>1034</v>
      </c>
      <c r="K790" s="6">
        <v>56</v>
      </c>
      <c r="L790" s="27">
        <v>5.890425531914893</v>
      </c>
      <c r="M790" s="27">
        <v>18.950535714285714</v>
      </c>
      <c r="N790" s="34">
        <v>12.190422018348624</v>
      </c>
    </row>
    <row r="791" spans="1:14" x14ac:dyDescent="0.35">
      <c r="A791" s="82">
        <v>788</v>
      </c>
      <c r="B791" s="89" t="str">
        <f>_xlfn.XLOOKUP(A791,'Model Modeshare by TAZ'!A:A,'Model Modeshare by TAZ'!B:B)</f>
        <v>Unincorporated</v>
      </c>
      <c r="C791" s="90" t="str">
        <f>_xlfn.XLOOKUP(A791,'Model Modeshare by TAZ'!A:A,'Model Modeshare by TAZ'!D:D)</f>
        <v>NO</v>
      </c>
      <c r="D791" s="27">
        <v>1350.47</v>
      </c>
      <c r="E791" s="27">
        <v>14572.1</v>
      </c>
      <c r="F791" s="27">
        <v>946.53</v>
      </c>
      <c r="G791" s="27">
        <v>4257</v>
      </c>
      <c r="H791" s="27">
        <v>115.5</v>
      </c>
      <c r="I791" s="27">
        <v>1193.03</v>
      </c>
      <c r="J791" s="6">
        <v>835</v>
      </c>
      <c r="K791" s="6">
        <v>63</v>
      </c>
      <c r="L791" s="27">
        <v>5.0982035928143716</v>
      </c>
      <c r="M791" s="27">
        <v>18.936984126984125</v>
      </c>
      <c r="N791" s="34">
        <v>11.270957683741647</v>
      </c>
    </row>
    <row r="792" spans="1:14" x14ac:dyDescent="0.35">
      <c r="A792" s="82">
        <v>789</v>
      </c>
      <c r="B792" s="89" t="str">
        <f>_xlfn.XLOOKUP(A792,'Model Modeshare by TAZ'!A:A,'Model Modeshare by TAZ'!B:B)</f>
        <v>San Jose</v>
      </c>
      <c r="C792" s="90" t="str">
        <f>_xlfn.XLOOKUP(A792,'Model Modeshare by TAZ'!A:A,'Model Modeshare by TAZ'!D:D)</f>
        <v>NO</v>
      </c>
      <c r="D792" s="27">
        <v>3267.49</v>
      </c>
      <c r="E792" s="27">
        <v>50855.66</v>
      </c>
      <c r="F792" s="27">
        <v>3319.86</v>
      </c>
      <c r="G792" s="27">
        <v>20839.8</v>
      </c>
      <c r="H792" s="27">
        <v>873.56</v>
      </c>
      <c r="I792" s="27">
        <v>9468.4</v>
      </c>
      <c r="J792" s="6">
        <v>2487</v>
      </c>
      <c r="K792" s="6">
        <v>605</v>
      </c>
      <c r="L792" s="27">
        <v>8.3794933655006023</v>
      </c>
      <c r="M792" s="27">
        <v>15.650247933884296</v>
      </c>
      <c r="N792" s="34">
        <v>24.492965717981889</v>
      </c>
    </row>
    <row r="793" spans="1:14" x14ac:dyDescent="0.35">
      <c r="A793" s="82">
        <v>790</v>
      </c>
      <c r="B793" s="89" t="str">
        <f>_xlfn.XLOOKUP(A793,'Model Modeshare by TAZ'!A:A,'Model Modeshare by TAZ'!B:B)</f>
        <v>San Jose</v>
      </c>
      <c r="C793" s="90" t="str">
        <f>_xlfn.XLOOKUP(A793,'Model Modeshare by TAZ'!A:A,'Model Modeshare by TAZ'!D:D)</f>
        <v>NO</v>
      </c>
      <c r="D793" s="27">
        <v>16829.740000000002</v>
      </c>
      <c r="E793" s="27">
        <v>333703.40999999997</v>
      </c>
      <c r="F793" s="27">
        <v>2825.06</v>
      </c>
      <c r="G793" s="27">
        <v>18093.62</v>
      </c>
      <c r="H793" s="27">
        <v>4747.46</v>
      </c>
      <c r="I793" s="27">
        <v>55152</v>
      </c>
      <c r="J793" s="6">
        <v>1836</v>
      </c>
      <c r="K793" s="6">
        <v>4165</v>
      </c>
      <c r="L793" s="27">
        <v>9.8549128540305002</v>
      </c>
      <c r="M793" s="27">
        <v>13.241776710684274</v>
      </c>
      <c r="N793" s="34">
        <v>41.479025162472922</v>
      </c>
    </row>
    <row r="794" spans="1:14" x14ac:dyDescent="0.35">
      <c r="A794" s="82">
        <v>791</v>
      </c>
      <c r="B794" s="89" t="str">
        <f>_xlfn.XLOOKUP(A794,'Model Modeshare by TAZ'!A:A,'Model Modeshare by TAZ'!B:B)</f>
        <v>San Jose</v>
      </c>
      <c r="C794" s="90" t="str">
        <f>_xlfn.XLOOKUP(A794,'Model Modeshare by TAZ'!A:A,'Model Modeshare by TAZ'!D:D)</f>
        <v>NO</v>
      </c>
      <c r="D794" s="27">
        <v>7765.26</v>
      </c>
      <c r="E794" s="27">
        <v>100626.05</v>
      </c>
      <c r="F794" s="27">
        <v>4817</v>
      </c>
      <c r="G794" s="27">
        <v>22489.919999999998</v>
      </c>
      <c r="H794" s="27">
        <v>1515.34</v>
      </c>
      <c r="I794" s="27">
        <v>15472.14</v>
      </c>
      <c r="J794" s="6">
        <v>4486</v>
      </c>
      <c r="K794" s="6">
        <v>1089</v>
      </c>
      <c r="L794" s="27">
        <v>5.013357111012037</v>
      </c>
      <c r="M794" s="27">
        <v>14.207658402203856</v>
      </c>
      <c r="N794" s="34">
        <v>14.229481614349776</v>
      </c>
    </row>
    <row r="795" spans="1:14" x14ac:dyDescent="0.35">
      <c r="A795" s="82">
        <v>792</v>
      </c>
      <c r="B795" s="89" t="str">
        <f>_xlfn.XLOOKUP(A795,'Model Modeshare by TAZ'!A:A,'Model Modeshare by TAZ'!B:B)</f>
        <v>San Jose</v>
      </c>
      <c r="C795" s="90" t="str">
        <f>_xlfn.XLOOKUP(A795,'Model Modeshare by TAZ'!A:A,'Model Modeshare by TAZ'!D:D)</f>
        <v>NO</v>
      </c>
      <c r="D795" s="27">
        <v>679.32</v>
      </c>
      <c r="E795" s="27">
        <v>9815.6</v>
      </c>
      <c r="F795" s="27">
        <v>1167.97</v>
      </c>
      <c r="G795" s="27">
        <v>7261.54</v>
      </c>
      <c r="H795" s="27">
        <v>715.86</v>
      </c>
      <c r="I795" s="27">
        <v>7870.08</v>
      </c>
      <c r="J795" s="6">
        <v>909</v>
      </c>
      <c r="K795" s="6">
        <v>635</v>
      </c>
      <c r="L795" s="27">
        <v>7.9884928492849285</v>
      </c>
      <c r="M795" s="27">
        <v>12.393826771653544</v>
      </c>
      <c r="N795" s="34">
        <v>30.900123056994818</v>
      </c>
    </row>
    <row r="796" spans="1:14" x14ac:dyDescent="0.35">
      <c r="A796" s="82">
        <v>793</v>
      </c>
      <c r="B796" s="89" t="str">
        <f>_xlfn.XLOOKUP(A796,'Model Modeshare by TAZ'!A:A,'Model Modeshare by TAZ'!B:B)</f>
        <v>San Jose</v>
      </c>
      <c r="C796" s="90" t="str">
        <f>_xlfn.XLOOKUP(A796,'Model Modeshare by TAZ'!A:A,'Model Modeshare by TAZ'!D:D)</f>
        <v>NO</v>
      </c>
      <c r="D796" s="27">
        <v>10311.200000000001</v>
      </c>
      <c r="E796" s="27">
        <v>188762.9</v>
      </c>
      <c r="F796" s="27">
        <v>2528.69</v>
      </c>
      <c r="G796" s="27">
        <v>15252.27</v>
      </c>
      <c r="H796" s="27">
        <v>3368.1</v>
      </c>
      <c r="I796" s="27">
        <v>36637.97</v>
      </c>
      <c r="J796" s="6">
        <v>1923</v>
      </c>
      <c r="K796" s="6">
        <v>3030</v>
      </c>
      <c r="L796" s="27">
        <v>7.9314976599063964</v>
      </c>
      <c r="M796" s="27">
        <v>12.091739273927393</v>
      </c>
      <c r="N796" s="34">
        <v>58.619388249545736</v>
      </c>
    </row>
    <row r="797" spans="1:14" x14ac:dyDescent="0.35">
      <c r="A797" s="82">
        <v>794</v>
      </c>
      <c r="B797" s="89" t="str">
        <f>_xlfn.XLOOKUP(A797,'Model Modeshare by TAZ'!A:A,'Model Modeshare by TAZ'!B:B)</f>
        <v>San Jose</v>
      </c>
      <c r="C797" s="90" t="str">
        <f>_xlfn.XLOOKUP(A797,'Model Modeshare by TAZ'!A:A,'Model Modeshare by TAZ'!D:D)</f>
        <v>NO</v>
      </c>
      <c r="D797" s="27">
        <v>9659.33</v>
      </c>
      <c r="E797" s="27">
        <v>168812.87</v>
      </c>
      <c r="F797" s="27">
        <v>4411.01</v>
      </c>
      <c r="G797" s="27">
        <v>26288.83</v>
      </c>
      <c r="H797" s="27">
        <v>995.63</v>
      </c>
      <c r="I797" s="27">
        <v>10618.12</v>
      </c>
      <c r="J797" s="6">
        <v>3311</v>
      </c>
      <c r="K797" s="6">
        <v>670</v>
      </c>
      <c r="L797" s="27">
        <v>7.9398459679855033</v>
      </c>
      <c r="M797" s="27">
        <v>15.847940298507464</v>
      </c>
      <c r="N797" s="34">
        <v>23.779665913087165</v>
      </c>
    </row>
    <row r="798" spans="1:14" x14ac:dyDescent="0.35">
      <c r="A798" s="82">
        <v>795</v>
      </c>
      <c r="B798" s="89" t="str">
        <f>_xlfn.XLOOKUP(A798,'Model Modeshare by TAZ'!A:A,'Model Modeshare by TAZ'!B:B)</f>
        <v>Unincorporated</v>
      </c>
      <c r="C798" s="90" t="str">
        <f>_xlfn.XLOOKUP(A798,'Model Modeshare by TAZ'!A:A,'Model Modeshare by TAZ'!D:D)</f>
        <v>NO</v>
      </c>
      <c r="D798" s="27">
        <v>11349.57</v>
      </c>
      <c r="E798" s="27">
        <v>224680.7</v>
      </c>
      <c r="F798" s="27">
        <v>3659.58</v>
      </c>
      <c r="G798" s="27">
        <v>22991.62</v>
      </c>
      <c r="H798" s="27">
        <v>10892.87</v>
      </c>
      <c r="I798" s="27">
        <v>120197.49</v>
      </c>
      <c r="J798" s="6">
        <v>2423</v>
      </c>
      <c r="K798" s="6">
        <v>9680</v>
      </c>
      <c r="L798" s="27">
        <v>9.4889063144861741</v>
      </c>
      <c r="M798" s="27">
        <v>12.417096074380165</v>
      </c>
      <c r="N798" s="34">
        <v>33.194036189374536</v>
      </c>
    </row>
    <row r="799" spans="1:14" x14ac:dyDescent="0.35">
      <c r="A799" s="82">
        <v>796</v>
      </c>
      <c r="B799" s="89" t="str">
        <f>_xlfn.XLOOKUP(A799,'Model Modeshare by TAZ'!A:A,'Model Modeshare by TAZ'!B:B)</f>
        <v>San Jose</v>
      </c>
      <c r="C799" s="90" t="str">
        <f>_xlfn.XLOOKUP(A799,'Model Modeshare by TAZ'!A:A,'Model Modeshare by TAZ'!D:D)</f>
        <v>NO</v>
      </c>
      <c r="D799" s="27">
        <v>6528.75</v>
      </c>
      <c r="E799" s="27">
        <v>117876.58</v>
      </c>
      <c r="F799" s="27">
        <v>4297.47</v>
      </c>
      <c r="G799" s="27">
        <v>26978.23</v>
      </c>
      <c r="H799" s="27">
        <v>2587.36</v>
      </c>
      <c r="I799" s="27">
        <v>28377.21</v>
      </c>
      <c r="J799" s="6">
        <v>2754</v>
      </c>
      <c r="K799" s="6">
        <v>2244</v>
      </c>
      <c r="L799" s="27">
        <v>9.7960167029774876</v>
      </c>
      <c r="M799" s="27">
        <v>12.645815508021389</v>
      </c>
      <c r="N799" s="34">
        <v>29.140460184073628</v>
      </c>
    </row>
    <row r="800" spans="1:14" x14ac:dyDescent="0.35">
      <c r="A800" s="82">
        <v>797</v>
      </c>
      <c r="B800" s="89" t="str">
        <f>_xlfn.XLOOKUP(A800,'Model Modeshare by TAZ'!A:A,'Model Modeshare by TAZ'!B:B)</f>
        <v>Unincorporated</v>
      </c>
      <c r="C800" s="90" t="str">
        <f>_xlfn.XLOOKUP(A800,'Model Modeshare by TAZ'!A:A,'Model Modeshare by TAZ'!D:D)</f>
        <v>NO</v>
      </c>
      <c r="D800" s="27">
        <v>4509.6400000000003</v>
      </c>
      <c r="E800" s="27">
        <v>209585.85</v>
      </c>
      <c r="F800" s="27">
        <v>6807.96</v>
      </c>
      <c r="G800" s="27">
        <v>132237.47</v>
      </c>
      <c r="H800" s="27">
        <v>1635.55</v>
      </c>
      <c r="I800" s="27">
        <v>38299.339999999997</v>
      </c>
      <c r="J800" s="6">
        <v>4043</v>
      </c>
      <c r="K800" s="6">
        <v>1032</v>
      </c>
      <c r="L800" s="27">
        <v>32.707759089784815</v>
      </c>
      <c r="M800" s="27">
        <v>37.111763565891472</v>
      </c>
      <c r="N800" s="34">
        <v>55.067996059113305</v>
      </c>
    </row>
    <row r="801" spans="1:14" x14ac:dyDescent="0.35">
      <c r="A801" s="82">
        <v>798</v>
      </c>
      <c r="B801" s="89" t="str">
        <f>_xlfn.XLOOKUP(A801,'Model Modeshare by TAZ'!A:A,'Model Modeshare by TAZ'!B:B)</f>
        <v>San Jose</v>
      </c>
      <c r="C801" s="90" t="str">
        <f>_xlfn.XLOOKUP(A801,'Model Modeshare by TAZ'!A:A,'Model Modeshare by TAZ'!D:D)</f>
        <v>NO</v>
      </c>
      <c r="D801" s="27">
        <v>3261.76</v>
      </c>
      <c r="E801" s="27">
        <v>47611.7</v>
      </c>
      <c r="F801" s="27">
        <v>2203.4699999999998</v>
      </c>
      <c r="G801" s="27">
        <v>12666.64</v>
      </c>
      <c r="H801" s="27">
        <v>318.33</v>
      </c>
      <c r="I801" s="27">
        <v>3136.86</v>
      </c>
      <c r="J801" s="6">
        <v>1385</v>
      </c>
      <c r="K801" s="6">
        <v>176</v>
      </c>
      <c r="L801" s="27">
        <v>9.145588447653429</v>
      </c>
      <c r="M801" s="27">
        <v>17.823068181818183</v>
      </c>
      <c r="N801" s="34">
        <v>20.534196028187061</v>
      </c>
    </row>
    <row r="802" spans="1:14" x14ac:dyDescent="0.35">
      <c r="A802" s="82">
        <v>799</v>
      </c>
      <c r="B802" s="89" t="str">
        <f>_xlfn.XLOOKUP(A802,'Model Modeshare by TAZ'!A:A,'Model Modeshare by TAZ'!B:B)</f>
        <v>Campbell</v>
      </c>
      <c r="C802" s="90" t="str">
        <f>_xlfn.XLOOKUP(A802,'Model Modeshare by TAZ'!A:A,'Model Modeshare by TAZ'!D:D)</f>
        <v>NO</v>
      </c>
      <c r="D802" s="27">
        <v>3059.52</v>
      </c>
      <c r="E802" s="27">
        <v>36745.89</v>
      </c>
      <c r="F802" s="27">
        <v>2426.31</v>
      </c>
      <c r="G802" s="27">
        <v>12626.23</v>
      </c>
      <c r="H802" s="27">
        <v>687.06</v>
      </c>
      <c r="I802" s="27">
        <v>7622.19</v>
      </c>
      <c r="J802" s="6">
        <v>1722</v>
      </c>
      <c r="K802" s="6">
        <v>565</v>
      </c>
      <c r="L802" s="27">
        <v>7.3323054587688734</v>
      </c>
      <c r="M802" s="27">
        <v>13.490601769911503</v>
      </c>
      <c r="N802" s="34">
        <v>16.496571928290336</v>
      </c>
    </row>
    <row r="803" spans="1:14" x14ac:dyDescent="0.35">
      <c r="A803" s="82">
        <v>800</v>
      </c>
      <c r="B803" s="89" t="str">
        <f>_xlfn.XLOOKUP(A803,'Model Modeshare by TAZ'!A:A,'Model Modeshare by TAZ'!B:B)</f>
        <v>San Jose</v>
      </c>
      <c r="C803" s="90" t="str">
        <f>_xlfn.XLOOKUP(A803,'Model Modeshare by TAZ'!A:A,'Model Modeshare by TAZ'!D:D)</f>
        <v>NO</v>
      </c>
      <c r="D803" s="27">
        <v>13545.27</v>
      </c>
      <c r="E803" s="27">
        <v>268142.53999999998</v>
      </c>
      <c r="F803" s="27">
        <v>9346.26</v>
      </c>
      <c r="G803" s="27">
        <v>62298.080000000002</v>
      </c>
      <c r="H803" s="27">
        <v>1786.52</v>
      </c>
      <c r="I803" s="27">
        <v>25599.11</v>
      </c>
      <c r="J803" s="6">
        <v>5033</v>
      </c>
      <c r="K803" s="6">
        <v>979</v>
      </c>
      <c r="L803" s="27">
        <v>12.377921716669979</v>
      </c>
      <c r="M803" s="27">
        <v>26.148222676200206</v>
      </c>
      <c r="N803" s="34">
        <v>30.206393878908848</v>
      </c>
    </row>
    <row r="804" spans="1:14" x14ac:dyDescent="0.35">
      <c r="A804" s="82">
        <v>801</v>
      </c>
      <c r="B804" s="89" t="str">
        <f>_xlfn.XLOOKUP(A804,'Model Modeshare by TAZ'!A:A,'Model Modeshare by TAZ'!B:B)</f>
        <v>San Jose</v>
      </c>
      <c r="C804" s="90" t="str">
        <f>_xlfn.XLOOKUP(A804,'Model Modeshare by TAZ'!A:A,'Model Modeshare by TAZ'!D:D)</f>
        <v>NO</v>
      </c>
      <c r="D804" s="27">
        <v>1243.48</v>
      </c>
      <c r="E804" s="27">
        <v>33603.57</v>
      </c>
      <c r="F804" s="27">
        <v>0</v>
      </c>
      <c r="G804" s="27">
        <v>0</v>
      </c>
      <c r="H804" s="27">
        <v>3157.09</v>
      </c>
      <c r="I804" s="27">
        <v>43781.120000000003</v>
      </c>
      <c r="J804" s="6">
        <v>0</v>
      </c>
      <c r="K804" s="6">
        <v>2597</v>
      </c>
      <c r="L804" s="27">
        <v>0</v>
      </c>
      <c r="M804" s="27">
        <v>16.85834424335772</v>
      </c>
      <c r="N804" s="34">
        <v>37.27157874470543</v>
      </c>
    </row>
    <row r="805" spans="1:14" x14ac:dyDescent="0.35">
      <c r="A805" s="82">
        <v>802</v>
      </c>
      <c r="B805" s="89" t="str">
        <f>_xlfn.XLOOKUP(A805,'Model Modeshare by TAZ'!A:A,'Model Modeshare by TAZ'!B:B)</f>
        <v>San Jose</v>
      </c>
      <c r="C805" s="90" t="str">
        <f>_xlfn.XLOOKUP(A805,'Model Modeshare by TAZ'!A:A,'Model Modeshare by TAZ'!D:D)</f>
        <v>NO</v>
      </c>
      <c r="D805" s="27">
        <v>7267.49</v>
      </c>
      <c r="E805" s="27">
        <v>165405.19</v>
      </c>
      <c r="F805" s="27">
        <v>0</v>
      </c>
      <c r="G805" s="27">
        <v>0</v>
      </c>
      <c r="H805" s="27">
        <v>3830.35</v>
      </c>
      <c r="I805" s="27">
        <v>47575.19</v>
      </c>
      <c r="J805" s="6">
        <v>0</v>
      </c>
      <c r="K805" s="6">
        <v>3407</v>
      </c>
      <c r="L805" s="27">
        <v>0</v>
      </c>
      <c r="M805" s="27">
        <v>13.963953624889934</v>
      </c>
      <c r="N805" s="34">
        <v>41.037396536542417</v>
      </c>
    </row>
    <row r="806" spans="1:14" x14ac:dyDescent="0.35">
      <c r="A806" s="82">
        <v>803</v>
      </c>
      <c r="B806" s="89" t="str">
        <f>_xlfn.XLOOKUP(A806,'Model Modeshare by TAZ'!A:A,'Model Modeshare by TAZ'!B:B)</f>
        <v>San Jose</v>
      </c>
      <c r="C806" s="90" t="str">
        <f>_xlfn.XLOOKUP(A806,'Model Modeshare by TAZ'!A:A,'Model Modeshare by TAZ'!D:D)</f>
        <v>NO</v>
      </c>
      <c r="D806" s="27">
        <v>2342.73</v>
      </c>
      <c r="E806" s="27">
        <v>55210.63</v>
      </c>
      <c r="F806" s="27">
        <v>430.05</v>
      </c>
      <c r="G806" s="27">
        <v>3288.84</v>
      </c>
      <c r="H806" s="27">
        <v>2205.84</v>
      </c>
      <c r="I806" s="27">
        <v>29338.49</v>
      </c>
      <c r="J806" s="6">
        <v>264</v>
      </c>
      <c r="K806" s="6">
        <v>1854</v>
      </c>
      <c r="L806" s="27">
        <v>12.457727272727274</v>
      </c>
      <c r="M806" s="27">
        <v>15.824428263214672</v>
      </c>
      <c r="N806" s="34">
        <v>33.825491029272897</v>
      </c>
    </row>
    <row r="807" spans="1:14" x14ac:dyDescent="0.35">
      <c r="A807" s="82">
        <v>804</v>
      </c>
      <c r="B807" s="89" t="str">
        <f>_xlfn.XLOOKUP(A807,'Model Modeshare by TAZ'!A:A,'Model Modeshare by TAZ'!B:B)</f>
        <v>San Jose</v>
      </c>
      <c r="C807" s="90" t="str">
        <f>_xlfn.XLOOKUP(A807,'Model Modeshare by TAZ'!A:A,'Model Modeshare by TAZ'!D:D)</f>
        <v>NO</v>
      </c>
      <c r="D807" s="27">
        <v>6626.62</v>
      </c>
      <c r="E807" s="27">
        <v>120562.93</v>
      </c>
      <c r="F807" s="27">
        <v>5312.55</v>
      </c>
      <c r="G807" s="27">
        <v>38778.959999999999</v>
      </c>
      <c r="H807" s="27">
        <v>144.76</v>
      </c>
      <c r="I807" s="27">
        <v>1835.67</v>
      </c>
      <c r="J807" s="6">
        <v>3455</v>
      </c>
      <c r="K807" s="6">
        <v>78</v>
      </c>
      <c r="L807" s="27">
        <v>11.224011577424022</v>
      </c>
      <c r="M807" s="27">
        <v>23.534230769230771</v>
      </c>
      <c r="N807" s="34">
        <v>22.98009906594962</v>
      </c>
    </row>
    <row r="808" spans="1:14" x14ac:dyDescent="0.35">
      <c r="A808" s="82">
        <v>805</v>
      </c>
      <c r="B808" s="89" t="str">
        <f>_xlfn.XLOOKUP(A808,'Model Modeshare by TAZ'!A:A,'Model Modeshare by TAZ'!B:B)</f>
        <v>San Jose</v>
      </c>
      <c r="C808" s="90" t="str">
        <f>_xlfn.XLOOKUP(A808,'Model Modeshare by TAZ'!A:A,'Model Modeshare by TAZ'!D:D)</f>
        <v>NO</v>
      </c>
      <c r="D808" s="27">
        <v>4387.93</v>
      </c>
      <c r="E808" s="27">
        <v>82437.23</v>
      </c>
      <c r="F808" s="27">
        <v>2967.41</v>
      </c>
      <c r="G808" s="27">
        <v>27838.97</v>
      </c>
      <c r="H808" s="27">
        <v>104.75</v>
      </c>
      <c r="I808" s="27">
        <v>1164.8399999999999</v>
      </c>
      <c r="J808" s="6">
        <v>2019</v>
      </c>
      <c r="K808" s="6">
        <v>56</v>
      </c>
      <c r="L808" s="27">
        <v>13.788494304110946</v>
      </c>
      <c r="M808" s="27">
        <v>20.800714285714285</v>
      </c>
      <c r="N808" s="34">
        <v>20.20922409638554</v>
      </c>
    </row>
    <row r="809" spans="1:14" x14ac:dyDescent="0.35">
      <c r="A809" s="82">
        <v>806</v>
      </c>
      <c r="B809" s="89" t="str">
        <f>_xlfn.XLOOKUP(A809,'Model Modeshare by TAZ'!A:A,'Model Modeshare by TAZ'!B:B)</f>
        <v>San Jose</v>
      </c>
      <c r="C809" s="90" t="str">
        <f>_xlfn.XLOOKUP(A809,'Model Modeshare by TAZ'!A:A,'Model Modeshare by TAZ'!D:D)</f>
        <v>NO</v>
      </c>
      <c r="D809" s="27">
        <v>1615.56</v>
      </c>
      <c r="E809" s="27">
        <v>33914.28</v>
      </c>
      <c r="F809" s="27">
        <v>3845.62</v>
      </c>
      <c r="G809" s="27">
        <v>40996.82</v>
      </c>
      <c r="H809" s="27">
        <v>554.42999999999995</v>
      </c>
      <c r="I809" s="27">
        <v>6728.1</v>
      </c>
      <c r="J809" s="6">
        <v>2393</v>
      </c>
      <c r="K809" s="6">
        <v>300</v>
      </c>
      <c r="L809" s="27">
        <v>17.131976598412034</v>
      </c>
      <c r="M809" s="27">
        <v>22.427</v>
      </c>
      <c r="N809" s="34">
        <v>31.221128852580765</v>
      </c>
    </row>
    <row r="810" spans="1:14" x14ac:dyDescent="0.35">
      <c r="A810" s="82">
        <v>807</v>
      </c>
      <c r="B810" s="89" t="str">
        <f>_xlfn.XLOOKUP(A810,'Model Modeshare by TAZ'!A:A,'Model Modeshare by TAZ'!B:B)</f>
        <v>San Jose</v>
      </c>
      <c r="C810" s="90" t="str">
        <f>_xlfn.XLOOKUP(A810,'Model Modeshare by TAZ'!A:A,'Model Modeshare by TAZ'!D:D)</f>
        <v>NO</v>
      </c>
      <c r="D810" s="27">
        <v>1387.56</v>
      </c>
      <c r="E810" s="27">
        <v>38508.720000000001</v>
      </c>
      <c r="F810" s="27">
        <v>7.52</v>
      </c>
      <c r="G810" s="27">
        <v>105.99</v>
      </c>
      <c r="H810" s="27">
        <v>958.1</v>
      </c>
      <c r="I810" s="27">
        <v>14491.76</v>
      </c>
      <c r="J810" s="6">
        <v>4</v>
      </c>
      <c r="K810" s="6">
        <v>781</v>
      </c>
      <c r="L810" s="27">
        <v>26.497499999999999</v>
      </c>
      <c r="M810" s="27">
        <v>18.55539052496799</v>
      </c>
      <c r="N810" s="34">
        <v>58.129719745222936</v>
      </c>
    </row>
    <row r="811" spans="1:14" x14ac:dyDescent="0.35">
      <c r="A811" s="82">
        <v>808</v>
      </c>
      <c r="B811" s="89" t="str">
        <f>_xlfn.XLOOKUP(A811,'Model Modeshare by TAZ'!A:A,'Model Modeshare by TAZ'!B:B)</f>
        <v>San Jose</v>
      </c>
      <c r="C811" s="90" t="str">
        <f>_xlfn.XLOOKUP(A811,'Model Modeshare by TAZ'!A:A,'Model Modeshare by TAZ'!D:D)</f>
        <v>NO</v>
      </c>
      <c r="D811" s="27">
        <v>3098.57</v>
      </c>
      <c r="E811" s="27">
        <v>76872.100000000006</v>
      </c>
      <c r="F811" s="27">
        <v>0</v>
      </c>
      <c r="G811" s="27">
        <v>0</v>
      </c>
      <c r="H811" s="27">
        <v>3209.22</v>
      </c>
      <c r="I811" s="27">
        <v>43802.78</v>
      </c>
      <c r="J811" s="6">
        <v>2</v>
      </c>
      <c r="K811" s="6">
        <v>2785</v>
      </c>
      <c r="L811" s="27">
        <v>0</v>
      </c>
      <c r="M811" s="27">
        <v>15.728107719928186</v>
      </c>
      <c r="N811" s="34">
        <v>36.175213491209185</v>
      </c>
    </row>
    <row r="812" spans="1:14" x14ac:dyDescent="0.35">
      <c r="A812" s="82">
        <v>809</v>
      </c>
      <c r="B812" s="89" t="str">
        <f>_xlfn.XLOOKUP(A812,'Model Modeshare by TAZ'!A:A,'Model Modeshare by TAZ'!B:B)</f>
        <v>San Jose</v>
      </c>
      <c r="C812" s="90" t="str">
        <f>_xlfn.XLOOKUP(A812,'Model Modeshare by TAZ'!A:A,'Model Modeshare by TAZ'!D:D)</f>
        <v>NO</v>
      </c>
      <c r="D812" s="27">
        <v>2378.06</v>
      </c>
      <c r="E812" s="27">
        <v>56209.35</v>
      </c>
      <c r="F812" s="27">
        <v>0</v>
      </c>
      <c r="G812" s="27">
        <v>0</v>
      </c>
      <c r="H812" s="27">
        <v>2232.16</v>
      </c>
      <c r="I812" s="27">
        <v>30284.71</v>
      </c>
      <c r="J812" s="6">
        <v>2</v>
      </c>
      <c r="K812" s="6">
        <v>1957</v>
      </c>
      <c r="L812" s="27">
        <v>0</v>
      </c>
      <c r="M812" s="27">
        <v>15.475068983137454</v>
      </c>
      <c r="N812" s="34">
        <v>35.114839203675345</v>
      </c>
    </row>
    <row r="813" spans="1:14" x14ac:dyDescent="0.35">
      <c r="A813" s="82">
        <v>810</v>
      </c>
      <c r="B813" s="89" t="str">
        <f>_xlfn.XLOOKUP(A813,'Model Modeshare by TAZ'!A:A,'Model Modeshare by TAZ'!B:B)</f>
        <v>Unincorporated</v>
      </c>
      <c r="C813" s="90" t="str">
        <f>_xlfn.XLOOKUP(A813,'Model Modeshare by TAZ'!A:A,'Model Modeshare by TAZ'!D:D)</f>
        <v>NO</v>
      </c>
      <c r="D813" s="27">
        <v>9.42</v>
      </c>
      <c r="E813" s="27">
        <v>220.16</v>
      </c>
      <c r="F813" s="27">
        <v>118.57</v>
      </c>
      <c r="G813" s="27">
        <v>1462.28</v>
      </c>
      <c r="H813" s="27">
        <v>5.84</v>
      </c>
      <c r="I813" s="27">
        <v>78.27</v>
      </c>
      <c r="J813" s="6">
        <v>63</v>
      </c>
      <c r="K813" s="6">
        <v>3</v>
      </c>
      <c r="L813" s="27">
        <v>23.210793650793651</v>
      </c>
      <c r="M813" s="27">
        <v>26.09</v>
      </c>
      <c r="N813" s="34">
        <v>32.974393939393941</v>
      </c>
    </row>
    <row r="814" spans="1:14" x14ac:dyDescent="0.35">
      <c r="A814" s="82">
        <v>811</v>
      </c>
      <c r="B814" s="89" t="str">
        <f>_xlfn.XLOOKUP(A814,'Model Modeshare by TAZ'!A:A,'Model Modeshare by TAZ'!B:B)</f>
        <v>San Jose</v>
      </c>
      <c r="C814" s="90" t="str">
        <f>_xlfn.XLOOKUP(A814,'Model Modeshare by TAZ'!A:A,'Model Modeshare by TAZ'!D:D)</f>
        <v>NO</v>
      </c>
      <c r="D814" s="27">
        <v>3154.77</v>
      </c>
      <c r="E814" s="27">
        <v>54248.78</v>
      </c>
      <c r="F814" s="27">
        <v>2021.51</v>
      </c>
      <c r="G814" s="27">
        <v>16015.83</v>
      </c>
      <c r="H814" s="27">
        <v>680.23</v>
      </c>
      <c r="I814" s="27">
        <v>7652.85</v>
      </c>
      <c r="J814" s="6">
        <v>1388</v>
      </c>
      <c r="K814" s="6">
        <v>554</v>
      </c>
      <c r="L814" s="27">
        <v>11.53878242074928</v>
      </c>
      <c r="M814" s="27">
        <v>13.813808664259929</v>
      </c>
      <c r="N814" s="34">
        <v>41.428733264675593</v>
      </c>
    </row>
    <row r="815" spans="1:14" x14ac:dyDescent="0.35">
      <c r="A815" s="82">
        <v>812</v>
      </c>
      <c r="B815" s="89" t="str">
        <f>_xlfn.XLOOKUP(A815,'Model Modeshare by TAZ'!A:A,'Model Modeshare by TAZ'!B:B)</f>
        <v>Los Gatos</v>
      </c>
      <c r="C815" s="90" t="str">
        <f>_xlfn.XLOOKUP(A815,'Model Modeshare by TAZ'!A:A,'Model Modeshare by TAZ'!D:D)</f>
        <v>NO</v>
      </c>
      <c r="D815" s="27">
        <v>219.69</v>
      </c>
      <c r="E815" s="27">
        <v>4927.97</v>
      </c>
      <c r="F815" s="27">
        <v>138.86000000000001</v>
      </c>
      <c r="G815" s="27">
        <v>1338.2</v>
      </c>
      <c r="H815" s="27">
        <v>77.17</v>
      </c>
      <c r="I815" s="27">
        <v>1074.1500000000001</v>
      </c>
      <c r="J815" s="6">
        <v>70</v>
      </c>
      <c r="K815" s="6">
        <v>56</v>
      </c>
      <c r="L815" s="27">
        <v>19.117142857142859</v>
      </c>
      <c r="M815" s="27">
        <v>19.181250000000002</v>
      </c>
      <c r="N815" s="34">
        <v>36.623492063492066</v>
      </c>
    </row>
    <row r="816" spans="1:14" x14ac:dyDescent="0.35">
      <c r="A816" s="82">
        <v>813</v>
      </c>
      <c r="B816" s="89" t="str">
        <f>_xlfn.XLOOKUP(A816,'Model Modeshare by TAZ'!A:A,'Model Modeshare by TAZ'!B:B)</f>
        <v>San Jose</v>
      </c>
      <c r="C816" s="90" t="str">
        <f>_xlfn.XLOOKUP(A816,'Model Modeshare by TAZ'!A:A,'Model Modeshare by TAZ'!D:D)</f>
        <v>NO</v>
      </c>
      <c r="D816" s="27">
        <v>3943.3</v>
      </c>
      <c r="E816" s="27">
        <v>69692.63</v>
      </c>
      <c r="F816" s="27">
        <v>875.23</v>
      </c>
      <c r="G816" s="27">
        <v>4615.47</v>
      </c>
      <c r="H816" s="27">
        <v>2863.52</v>
      </c>
      <c r="I816" s="27">
        <v>29014.48</v>
      </c>
      <c r="J816" s="6">
        <v>871</v>
      </c>
      <c r="K816" s="6">
        <v>2486</v>
      </c>
      <c r="L816" s="27">
        <v>5.2990470723306551</v>
      </c>
      <c r="M816" s="27">
        <v>11.671150442477876</v>
      </c>
      <c r="N816" s="34">
        <v>20.842791182603516</v>
      </c>
    </row>
    <row r="817" spans="1:14" x14ac:dyDescent="0.35">
      <c r="A817" s="82">
        <v>814</v>
      </c>
      <c r="B817" s="89" t="str">
        <f>_xlfn.XLOOKUP(A817,'Model Modeshare by TAZ'!A:A,'Model Modeshare by TAZ'!B:B)</f>
        <v>San Jose</v>
      </c>
      <c r="C817" s="90" t="str">
        <f>_xlfn.XLOOKUP(A817,'Model Modeshare by TAZ'!A:A,'Model Modeshare by TAZ'!D:D)</f>
        <v>NO</v>
      </c>
      <c r="D817" s="27">
        <v>2542.89</v>
      </c>
      <c r="E817" s="27">
        <v>42701.91</v>
      </c>
      <c r="F817" s="27">
        <v>0</v>
      </c>
      <c r="G817" s="27">
        <v>0</v>
      </c>
      <c r="H817" s="27">
        <v>2142.08</v>
      </c>
      <c r="I817" s="27">
        <v>21482.62</v>
      </c>
      <c r="J817" s="6">
        <v>0</v>
      </c>
      <c r="K817" s="6">
        <v>1937</v>
      </c>
      <c r="L817" s="27">
        <v>0</v>
      </c>
      <c r="M817" s="27">
        <v>11.090665978316984</v>
      </c>
      <c r="N817" s="34">
        <v>22.755110996386165</v>
      </c>
    </row>
    <row r="818" spans="1:14" x14ac:dyDescent="0.35">
      <c r="A818" s="82">
        <v>815</v>
      </c>
      <c r="B818" s="89" t="str">
        <f>_xlfn.XLOOKUP(A818,'Model Modeshare by TAZ'!A:A,'Model Modeshare by TAZ'!B:B)</f>
        <v>San Jose</v>
      </c>
      <c r="C818" s="90" t="str">
        <f>_xlfn.XLOOKUP(A818,'Model Modeshare by TAZ'!A:A,'Model Modeshare by TAZ'!D:D)</f>
        <v>NO</v>
      </c>
      <c r="D818" s="27">
        <v>479.8</v>
      </c>
      <c r="E818" s="27">
        <v>8266.2900000000009</v>
      </c>
      <c r="F818" s="27">
        <v>0</v>
      </c>
      <c r="G818" s="27">
        <v>0</v>
      </c>
      <c r="H818" s="27">
        <v>416.42</v>
      </c>
      <c r="I818" s="27">
        <v>4235.6499999999996</v>
      </c>
      <c r="J818" s="6">
        <v>0</v>
      </c>
      <c r="K818" s="6">
        <v>360</v>
      </c>
      <c r="L818" s="27">
        <v>0</v>
      </c>
      <c r="M818" s="27">
        <v>11.765694444444444</v>
      </c>
      <c r="N818" s="34">
        <v>25.55927777777778</v>
      </c>
    </row>
    <row r="819" spans="1:14" x14ac:dyDescent="0.35">
      <c r="A819" s="82">
        <v>816</v>
      </c>
      <c r="B819" s="89" t="str">
        <f>_xlfn.XLOOKUP(A819,'Model Modeshare by TAZ'!A:A,'Model Modeshare by TAZ'!B:B)</f>
        <v>San Jose</v>
      </c>
      <c r="C819" s="90" t="str">
        <f>_xlfn.XLOOKUP(A819,'Model Modeshare by TAZ'!A:A,'Model Modeshare by TAZ'!D:D)</f>
        <v>NO</v>
      </c>
      <c r="D819" s="27">
        <v>34.200000000000003</v>
      </c>
      <c r="E819" s="27">
        <v>462.95</v>
      </c>
      <c r="F819" s="27">
        <v>0</v>
      </c>
      <c r="G819" s="27">
        <v>0</v>
      </c>
      <c r="H819" s="27">
        <v>27.26</v>
      </c>
      <c r="I819" s="27">
        <v>273.08999999999997</v>
      </c>
      <c r="J819" s="6">
        <v>0</v>
      </c>
      <c r="K819" s="6">
        <v>22</v>
      </c>
      <c r="L819" s="27">
        <v>0</v>
      </c>
      <c r="M819" s="27">
        <v>12.413181818181817</v>
      </c>
      <c r="N819" s="34">
        <v>17.876818181818184</v>
      </c>
    </row>
    <row r="820" spans="1:14" x14ac:dyDescent="0.35">
      <c r="A820" s="82">
        <v>817</v>
      </c>
      <c r="B820" s="89" t="str">
        <f>_xlfn.XLOOKUP(A820,'Model Modeshare by TAZ'!A:A,'Model Modeshare by TAZ'!B:B)</f>
        <v>San Jose</v>
      </c>
      <c r="C820" s="90" t="str">
        <f>_xlfn.XLOOKUP(A820,'Model Modeshare by TAZ'!A:A,'Model Modeshare by TAZ'!D:D)</f>
        <v>NO</v>
      </c>
      <c r="D820" s="27">
        <v>493.26</v>
      </c>
      <c r="E820" s="27">
        <v>11729.31</v>
      </c>
      <c r="F820" s="27">
        <v>426.42</v>
      </c>
      <c r="G820" s="27">
        <v>4442.1899999999996</v>
      </c>
      <c r="H820" s="27">
        <v>155.34</v>
      </c>
      <c r="I820" s="27">
        <v>2130.77</v>
      </c>
      <c r="J820" s="6">
        <v>239</v>
      </c>
      <c r="K820" s="6">
        <v>99</v>
      </c>
      <c r="L820" s="27">
        <v>18.586569037656901</v>
      </c>
      <c r="M820" s="27">
        <v>21.522929292929291</v>
      </c>
      <c r="N820" s="34">
        <v>32.752426035502957</v>
      </c>
    </row>
    <row r="821" spans="1:14" x14ac:dyDescent="0.35">
      <c r="A821" s="82">
        <v>818</v>
      </c>
      <c r="B821" s="89" t="str">
        <f>_xlfn.XLOOKUP(A821,'Model Modeshare by TAZ'!A:A,'Model Modeshare by TAZ'!B:B)</f>
        <v>San Jose</v>
      </c>
      <c r="C821" s="90" t="str">
        <f>_xlfn.XLOOKUP(A821,'Model Modeshare by TAZ'!A:A,'Model Modeshare by TAZ'!D:D)</f>
        <v>NO</v>
      </c>
      <c r="D821" s="27">
        <v>5556.59</v>
      </c>
      <c r="E821" s="27">
        <v>130389.69</v>
      </c>
      <c r="F821" s="27">
        <v>4721.5600000000004</v>
      </c>
      <c r="G821" s="27">
        <v>44851.97</v>
      </c>
      <c r="H821" s="27">
        <v>316.89999999999998</v>
      </c>
      <c r="I821" s="27">
        <v>4101.72</v>
      </c>
      <c r="J821" s="6">
        <v>2789</v>
      </c>
      <c r="K821" s="6">
        <v>167</v>
      </c>
      <c r="L821" s="27">
        <v>16.081738974542848</v>
      </c>
      <c r="M821" s="27">
        <v>24.561197604790422</v>
      </c>
      <c r="N821" s="34">
        <v>29.56499661705007</v>
      </c>
    </row>
    <row r="822" spans="1:14" x14ac:dyDescent="0.35">
      <c r="A822" s="82">
        <v>819</v>
      </c>
      <c r="B822" s="89" t="str">
        <f>_xlfn.XLOOKUP(A822,'Model Modeshare by TAZ'!A:A,'Model Modeshare by TAZ'!B:B)</f>
        <v>Unincorporated</v>
      </c>
      <c r="C822" s="90" t="str">
        <f>_xlfn.XLOOKUP(A822,'Model Modeshare by TAZ'!A:A,'Model Modeshare by TAZ'!D:D)</f>
        <v>NO</v>
      </c>
      <c r="D822" s="27">
        <v>55.08</v>
      </c>
      <c r="E822" s="27">
        <v>1370.75</v>
      </c>
      <c r="F822" s="27">
        <v>7.46</v>
      </c>
      <c r="G822" s="27">
        <v>103.44</v>
      </c>
      <c r="H822" s="27">
        <v>0</v>
      </c>
      <c r="I822" s="27">
        <v>0</v>
      </c>
      <c r="J822" s="6">
        <v>4</v>
      </c>
      <c r="K822" s="6">
        <v>0</v>
      </c>
      <c r="L822" s="27">
        <v>25.86</v>
      </c>
      <c r="M822" s="27">
        <v>0</v>
      </c>
      <c r="N822" s="34">
        <v>15.115</v>
      </c>
    </row>
    <row r="823" spans="1:14" x14ac:dyDescent="0.35">
      <c r="A823" s="82">
        <v>820</v>
      </c>
      <c r="B823" s="89" t="str">
        <f>_xlfn.XLOOKUP(A823,'Model Modeshare by TAZ'!A:A,'Model Modeshare by TAZ'!B:B)</f>
        <v>San Jose</v>
      </c>
      <c r="C823" s="90" t="str">
        <f>_xlfn.XLOOKUP(A823,'Model Modeshare by TAZ'!A:A,'Model Modeshare by TAZ'!D:D)</f>
        <v>NO</v>
      </c>
      <c r="D823" s="27">
        <v>2070.4699999999998</v>
      </c>
      <c r="E823" s="27">
        <v>25967.03</v>
      </c>
      <c r="F823" s="27">
        <v>1132.51</v>
      </c>
      <c r="G823" s="27">
        <v>6920.96</v>
      </c>
      <c r="H823" s="27">
        <v>394.18</v>
      </c>
      <c r="I823" s="27">
        <v>4349.58</v>
      </c>
      <c r="J823" s="6">
        <v>849</v>
      </c>
      <c r="K823" s="6">
        <v>344</v>
      </c>
      <c r="L823" s="27">
        <v>8.1518963486454652</v>
      </c>
      <c r="M823" s="27">
        <v>12.644127906976744</v>
      </c>
      <c r="N823" s="34">
        <v>26.746948868398995</v>
      </c>
    </row>
    <row r="824" spans="1:14" x14ac:dyDescent="0.35">
      <c r="A824" s="82">
        <v>821</v>
      </c>
      <c r="B824" s="89" t="str">
        <f>_xlfn.XLOOKUP(A824,'Model Modeshare by TAZ'!A:A,'Model Modeshare by TAZ'!B:B)</f>
        <v>San Jose</v>
      </c>
      <c r="C824" s="90" t="str">
        <f>_xlfn.XLOOKUP(A824,'Model Modeshare by TAZ'!A:A,'Model Modeshare by TAZ'!D:D)</f>
        <v>NO</v>
      </c>
      <c r="D824" s="27">
        <v>0</v>
      </c>
      <c r="E824" s="27">
        <v>0</v>
      </c>
      <c r="F824" s="27">
        <v>29.84</v>
      </c>
      <c r="G824" s="27">
        <v>511.04</v>
      </c>
      <c r="H824" s="27">
        <v>0</v>
      </c>
      <c r="I824" s="27">
        <v>0</v>
      </c>
      <c r="J824" s="6">
        <v>48</v>
      </c>
      <c r="K824" s="6">
        <v>0</v>
      </c>
      <c r="L824" s="27">
        <v>10.646666666666667</v>
      </c>
      <c r="M824" s="27">
        <v>0</v>
      </c>
      <c r="N824" s="34">
        <v>22.274791666666669</v>
      </c>
    </row>
    <row r="825" spans="1:14" x14ac:dyDescent="0.35">
      <c r="A825" s="82">
        <v>822</v>
      </c>
      <c r="B825" s="89" t="str">
        <f>_xlfn.XLOOKUP(A825,'Model Modeshare by TAZ'!A:A,'Model Modeshare by TAZ'!B:B)</f>
        <v>San Jose</v>
      </c>
      <c r="C825" s="90" t="str">
        <f>_xlfn.XLOOKUP(A825,'Model Modeshare by TAZ'!A:A,'Model Modeshare by TAZ'!D:D)</f>
        <v>NO</v>
      </c>
      <c r="D825" s="27">
        <v>367.57</v>
      </c>
      <c r="E825" s="27">
        <v>10992.24</v>
      </c>
      <c r="F825" s="27">
        <v>173.52</v>
      </c>
      <c r="G825" s="27">
        <v>2523.98</v>
      </c>
      <c r="H825" s="27">
        <v>220.1</v>
      </c>
      <c r="I825" s="27">
        <v>3834.01</v>
      </c>
      <c r="J825" s="6">
        <v>102</v>
      </c>
      <c r="K825" s="6">
        <v>161</v>
      </c>
      <c r="L825" s="27">
        <v>24.744901960784315</v>
      </c>
      <c r="M825" s="27">
        <v>23.813726708074537</v>
      </c>
      <c r="N825" s="34">
        <v>58.698288973384031</v>
      </c>
    </row>
    <row r="826" spans="1:14" x14ac:dyDescent="0.35">
      <c r="A826" s="82">
        <v>823</v>
      </c>
      <c r="B826" s="89" t="str">
        <f>_xlfn.XLOOKUP(A826,'Model Modeshare by TAZ'!A:A,'Model Modeshare by TAZ'!B:B)</f>
        <v>Unincorporated</v>
      </c>
      <c r="C826" s="90" t="str">
        <f>_xlfn.XLOOKUP(A826,'Model Modeshare by TAZ'!A:A,'Model Modeshare by TAZ'!D:D)</f>
        <v>NO</v>
      </c>
      <c r="D826" s="27">
        <v>189.84</v>
      </c>
      <c r="E826" s="27">
        <v>6379.8</v>
      </c>
      <c r="F826" s="27">
        <v>376.71</v>
      </c>
      <c r="G826" s="27">
        <v>6156.48</v>
      </c>
      <c r="H826" s="27">
        <v>406.5</v>
      </c>
      <c r="I826" s="27">
        <v>7281.19</v>
      </c>
      <c r="J826" s="6">
        <v>231</v>
      </c>
      <c r="K826" s="6">
        <v>292</v>
      </c>
      <c r="L826" s="27">
        <v>26.651428571428571</v>
      </c>
      <c r="M826" s="27">
        <v>24.935582191780821</v>
      </c>
      <c r="N826" s="34">
        <v>50.684282982791586</v>
      </c>
    </row>
    <row r="827" spans="1:14" x14ac:dyDescent="0.35">
      <c r="A827" s="82">
        <v>824</v>
      </c>
      <c r="B827" s="89" t="str">
        <f>_xlfn.XLOOKUP(A827,'Model Modeshare by TAZ'!A:A,'Model Modeshare by TAZ'!B:B)</f>
        <v>Unincorporated</v>
      </c>
      <c r="C827" s="90" t="str">
        <f>_xlfn.XLOOKUP(A827,'Model Modeshare by TAZ'!A:A,'Model Modeshare by TAZ'!D:D)</f>
        <v>NO</v>
      </c>
      <c r="D827" s="27">
        <v>21.26</v>
      </c>
      <c r="E827" s="27">
        <v>725.1</v>
      </c>
      <c r="F827" s="27">
        <v>0.03</v>
      </c>
      <c r="G827" s="27">
        <v>0.12</v>
      </c>
      <c r="H827" s="27">
        <v>6.53</v>
      </c>
      <c r="I827" s="27">
        <v>115.8</v>
      </c>
      <c r="J827" s="6">
        <v>3</v>
      </c>
      <c r="K827" s="6">
        <v>5</v>
      </c>
      <c r="L827" s="27">
        <v>0.04</v>
      </c>
      <c r="M827" s="27">
        <v>23.16</v>
      </c>
      <c r="N827" s="34">
        <v>14.73</v>
      </c>
    </row>
    <row r="828" spans="1:14" x14ac:dyDescent="0.35">
      <c r="A828" s="82">
        <v>825</v>
      </c>
      <c r="B828" s="89" t="str">
        <f>_xlfn.XLOOKUP(A828,'Model Modeshare by TAZ'!A:A,'Model Modeshare by TAZ'!B:B)</f>
        <v>San Jose</v>
      </c>
      <c r="C828" s="90" t="str">
        <f>_xlfn.XLOOKUP(A828,'Model Modeshare by TAZ'!A:A,'Model Modeshare by TAZ'!D:D)</f>
        <v>NO</v>
      </c>
      <c r="D828" s="27">
        <v>466.37</v>
      </c>
      <c r="E828" s="27">
        <v>19031.419999999998</v>
      </c>
      <c r="F828" s="27">
        <v>0</v>
      </c>
      <c r="G828" s="27">
        <v>0</v>
      </c>
      <c r="H828" s="27">
        <v>0</v>
      </c>
      <c r="I828" s="27">
        <v>0</v>
      </c>
      <c r="J828" s="6">
        <v>3</v>
      </c>
      <c r="K828" s="6">
        <v>0</v>
      </c>
      <c r="L828" s="27">
        <v>0</v>
      </c>
      <c r="M828" s="27">
        <v>0</v>
      </c>
      <c r="N828" s="34">
        <v>10.456666666666667</v>
      </c>
    </row>
    <row r="829" spans="1:14" x14ac:dyDescent="0.35">
      <c r="A829" s="82">
        <v>826</v>
      </c>
      <c r="B829" s="89" t="str">
        <f>_xlfn.XLOOKUP(A829,'Model Modeshare by TAZ'!A:A,'Model Modeshare by TAZ'!B:B)</f>
        <v>Unincorporated</v>
      </c>
      <c r="C829" s="90" t="str">
        <f>_xlfn.XLOOKUP(A829,'Model Modeshare by TAZ'!A:A,'Model Modeshare by TAZ'!D:D)</f>
        <v>NO</v>
      </c>
      <c r="D829" s="27">
        <v>9447.81</v>
      </c>
      <c r="E829" s="27">
        <v>234266.85</v>
      </c>
      <c r="F829" s="27">
        <v>9748.48</v>
      </c>
      <c r="G829" s="27">
        <v>110145.85</v>
      </c>
      <c r="H829" s="27">
        <v>133.82</v>
      </c>
      <c r="I829" s="27">
        <v>2129.48</v>
      </c>
      <c r="J829" s="6">
        <v>5726</v>
      </c>
      <c r="K829" s="6">
        <v>71</v>
      </c>
      <c r="L829" s="27">
        <v>19.236089765979742</v>
      </c>
      <c r="M829" s="27">
        <v>29.992676056338027</v>
      </c>
      <c r="N829" s="34">
        <v>30.86483698464723</v>
      </c>
    </row>
    <row r="830" spans="1:14" x14ac:dyDescent="0.35">
      <c r="A830" s="82">
        <v>827</v>
      </c>
      <c r="B830" s="89" t="str">
        <f>_xlfn.XLOOKUP(A830,'Model Modeshare by TAZ'!A:A,'Model Modeshare by TAZ'!B:B)</f>
        <v>San Jose</v>
      </c>
      <c r="C830" s="90" t="str">
        <f>_xlfn.XLOOKUP(A830,'Model Modeshare by TAZ'!A:A,'Model Modeshare by TAZ'!D:D)</f>
        <v>NO</v>
      </c>
      <c r="D830" s="27">
        <v>760.21</v>
      </c>
      <c r="E830" s="27">
        <v>17703.96</v>
      </c>
      <c r="F830" s="27">
        <v>4.55</v>
      </c>
      <c r="G830" s="27">
        <v>73.099999999999994</v>
      </c>
      <c r="H830" s="27">
        <v>847.97</v>
      </c>
      <c r="I830" s="27">
        <v>11290.64</v>
      </c>
      <c r="J830" s="6">
        <v>6</v>
      </c>
      <c r="K830" s="6">
        <v>715</v>
      </c>
      <c r="L830" s="27">
        <v>12.183333333333332</v>
      </c>
      <c r="M830" s="27">
        <v>15.791104895104894</v>
      </c>
      <c r="N830" s="34">
        <v>34.911941747572811</v>
      </c>
    </row>
    <row r="831" spans="1:14" x14ac:dyDescent="0.35">
      <c r="A831" s="82">
        <v>828</v>
      </c>
      <c r="B831" s="89" t="str">
        <f>_xlfn.XLOOKUP(A831,'Model Modeshare by TAZ'!A:A,'Model Modeshare by TAZ'!B:B)</f>
        <v>San Jose</v>
      </c>
      <c r="C831" s="90" t="str">
        <f>_xlfn.XLOOKUP(A831,'Model Modeshare by TAZ'!A:A,'Model Modeshare by TAZ'!D:D)</f>
        <v>NO</v>
      </c>
      <c r="D831" s="27">
        <v>2569.85</v>
      </c>
      <c r="E831" s="27">
        <v>55992.36</v>
      </c>
      <c r="F831" s="27">
        <v>29.75</v>
      </c>
      <c r="G831" s="27">
        <v>191.72</v>
      </c>
      <c r="H831" s="27">
        <v>664.8</v>
      </c>
      <c r="I831" s="27">
        <v>7618.87</v>
      </c>
      <c r="J831" s="6">
        <v>21</v>
      </c>
      <c r="K831" s="6">
        <v>514</v>
      </c>
      <c r="L831" s="27">
        <v>9.1295238095238087</v>
      </c>
      <c r="M831" s="27">
        <v>14.822704280155643</v>
      </c>
      <c r="N831" s="34">
        <v>36.236953271028035</v>
      </c>
    </row>
    <row r="832" spans="1:14" x14ac:dyDescent="0.35">
      <c r="A832" s="82">
        <v>829</v>
      </c>
      <c r="B832" s="89" t="str">
        <f>_xlfn.XLOOKUP(A832,'Model Modeshare by TAZ'!A:A,'Model Modeshare by TAZ'!B:B)</f>
        <v>San Jose</v>
      </c>
      <c r="C832" s="90" t="str">
        <f>_xlfn.XLOOKUP(A832,'Model Modeshare by TAZ'!A:A,'Model Modeshare by TAZ'!D:D)</f>
        <v>NO</v>
      </c>
      <c r="D832" s="27">
        <v>1535.41</v>
      </c>
      <c r="E832" s="27">
        <v>32426.799999999999</v>
      </c>
      <c r="F832" s="27">
        <v>104.63</v>
      </c>
      <c r="G832" s="27">
        <v>667.43</v>
      </c>
      <c r="H832" s="27">
        <v>175.58</v>
      </c>
      <c r="I832" s="27">
        <v>1973.52</v>
      </c>
      <c r="J832" s="6">
        <v>100</v>
      </c>
      <c r="K832" s="6">
        <v>158</v>
      </c>
      <c r="L832" s="27">
        <v>6.6742999999999997</v>
      </c>
      <c r="M832" s="27">
        <v>12.490632911392405</v>
      </c>
      <c r="N832" s="34">
        <v>28.919031007751936</v>
      </c>
    </row>
    <row r="833" spans="1:14" x14ac:dyDescent="0.35">
      <c r="A833" s="82">
        <v>830</v>
      </c>
      <c r="B833" s="89" t="str">
        <f>_xlfn.XLOOKUP(A833,'Model Modeshare by TAZ'!A:A,'Model Modeshare by TAZ'!B:B)</f>
        <v>San Jose</v>
      </c>
      <c r="C833" s="90" t="str">
        <f>_xlfn.XLOOKUP(A833,'Model Modeshare by TAZ'!A:A,'Model Modeshare by TAZ'!D:D)</f>
        <v>NO</v>
      </c>
      <c r="D833" s="27">
        <v>1849.84</v>
      </c>
      <c r="E833" s="27">
        <v>39760.120000000003</v>
      </c>
      <c r="F833" s="27">
        <v>0</v>
      </c>
      <c r="G833" s="27">
        <v>0</v>
      </c>
      <c r="H833" s="27">
        <v>2126.14</v>
      </c>
      <c r="I833" s="27">
        <v>25785.27</v>
      </c>
      <c r="J833" s="6">
        <v>1</v>
      </c>
      <c r="K833" s="6">
        <v>1810</v>
      </c>
      <c r="L833" s="27">
        <v>0</v>
      </c>
      <c r="M833" s="27">
        <v>14.246005524861879</v>
      </c>
      <c r="N833" s="34">
        <v>39.049442297073433</v>
      </c>
    </row>
    <row r="834" spans="1:14" x14ac:dyDescent="0.35">
      <c r="A834" s="82">
        <v>831</v>
      </c>
      <c r="B834" s="89" t="str">
        <f>_xlfn.XLOOKUP(A834,'Model Modeshare by TAZ'!A:A,'Model Modeshare by TAZ'!B:B)</f>
        <v>San Jose</v>
      </c>
      <c r="C834" s="90" t="str">
        <f>_xlfn.XLOOKUP(A834,'Model Modeshare by TAZ'!A:A,'Model Modeshare by TAZ'!D:D)</f>
        <v>NO</v>
      </c>
      <c r="D834" s="27">
        <v>2752.88</v>
      </c>
      <c r="E834" s="27">
        <v>46700.07</v>
      </c>
      <c r="F834" s="27">
        <v>3413.51</v>
      </c>
      <c r="G834" s="27">
        <v>31423.21</v>
      </c>
      <c r="H834" s="27">
        <v>10.51</v>
      </c>
      <c r="I834" s="27">
        <v>111.03</v>
      </c>
      <c r="J834" s="6">
        <v>2134</v>
      </c>
      <c r="K834" s="6">
        <v>5</v>
      </c>
      <c r="L834" s="27">
        <v>14.725028116213682</v>
      </c>
      <c r="M834" s="27">
        <v>22.206</v>
      </c>
      <c r="N834" s="34">
        <v>20.211608228143991</v>
      </c>
    </row>
    <row r="835" spans="1:14" x14ac:dyDescent="0.35">
      <c r="A835" s="82">
        <v>832</v>
      </c>
      <c r="B835" s="89" t="str">
        <f>_xlfn.XLOOKUP(A835,'Model Modeshare by TAZ'!A:A,'Model Modeshare by TAZ'!B:B)</f>
        <v>San Jose</v>
      </c>
      <c r="C835" s="90" t="str">
        <f>_xlfn.XLOOKUP(A835,'Model Modeshare by TAZ'!A:A,'Model Modeshare by TAZ'!D:D)</f>
        <v>NO</v>
      </c>
      <c r="D835" s="27">
        <v>2100.4899999999998</v>
      </c>
      <c r="E835" s="27">
        <v>37793.49</v>
      </c>
      <c r="F835" s="27">
        <v>2403</v>
      </c>
      <c r="G835" s="27">
        <v>23356.61</v>
      </c>
      <c r="H835" s="27">
        <v>43.13</v>
      </c>
      <c r="I835" s="27">
        <v>472.89</v>
      </c>
      <c r="J835" s="6">
        <v>1541</v>
      </c>
      <c r="K835" s="6">
        <v>22</v>
      </c>
      <c r="L835" s="27">
        <v>15.156787800129786</v>
      </c>
      <c r="M835" s="27">
        <v>21.495000000000001</v>
      </c>
      <c r="N835" s="34">
        <v>20.948899552143313</v>
      </c>
    </row>
    <row r="836" spans="1:14" x14ac:dyDescent="0.35">
      <c r="A836" s="82">
        <v>833</v>
      </c>
      <c r="B836" s="89" t="str">
        <f>_xlfn.XLOOKUP(A836,'Model Modeshare by TAZ'!A:A,'Model Modeshare by TAZ'!B:B)</f>
        <v>San Jose</v>
      </c>
      <c r="C836" s="90" t="str">
        <f>_xlfn.XLOOKUP(A836,'Model Modeshare by TAZ'!A:A,'Model Modeshare by TAZ'!D:D)</f>
        <v>NO</v>
      </c>
      <c r="D836" s="27">
        <v>1797.62</v>
      </c>
      <c r="E836" s="27">
        <v>34392.32</v>
      </c>
      <c r="F836" s="27">
        <v>1942.07</v>
      </c>
      <c r="G836" s="27">
        <v>18846.939999999999</v>
      </c>
      <c r="H836" s="27">
        <v>123.57</v>
      </c>
      <c r="I836" s="27">
        <v>1424.29</v>
      </c>
      <c r="J836" s="6">
        <v>1279</v>
      </c>
      <c r="K836" s="6">
        <v>66</v>
      </c>
      <c r="L836" s="27">
        <v>14.735684128225175</v>
      </c>
      <c r="M836" s="27">
        <v>21.580151515151513</v>
      </c>
      <c r="N836" s="34">
        <v>23.175806691449814</v>
      </c>
    </row>
    <row r="837" spans="1:14" x14ac:dyDescent="0.35">
      <c r="A837" s="82">
        <v>834</v>
      </c>
      <c r="B837" s="89" t="str">
        <f>_xlfn.XLOOKUP(A837,'Model Modeshare by TAZ'!A:A,'Model Modeshare by TAZ'!B:B)</f>
        <v>Unincorporated</v>
      </c>
      <c r="C837" s="90" t="str">
        <f>_xlfn.XLOOKUP(A837,'Model Modeshare by TAZ'!A:A,'Model Modeshare by TAZ'!D:D)</f>
        <v>NO</v>
      </c>
      <c r="D837" s="27">
        <v>1825.87</v>
      </c>
      <c r="E837" s="27">
        <v>30636.11</v>
      </c>
      <c r="F837" s="27">
        <v>1596.78</v>
      </c>
      <c r="G837" s="27">
        <v>13805.18</v>
      </c>
      <c r="H837" s="27">
        <v>43.46</v>
      </c>
      <c r="I837" s="27">
        <v>445.07</v>
      </c>
      <c r="J837" s="6">
        <v>1065</v>
      </c>
      <c r="K837" s="6">
        <v>23</v>
      </c>
      <c r="L837" s="27">
        <v>12.962610328638497</v>
      </c>
      <c r="M837" s="27">
        <v>19.350869565217391</v>
      </c>
      <c r="N837" s="34">
        <v>19.454577205882355</v>
      </c>
    </row>
    <row r="838" spans="1:14" x14ac:dyDescent="0.35">
      <c r="A838" s="82">
        <v>835</v>
      </c>
      <c r="B838" s="89" t="str">
        <f>_xlfn.XLOOKUP(A838,'Model Modeshare by TAZ'!A:A,'Model Modeshare by TAZ'!B:B)</f>
        <v>San Jose</v>
      </c>
      <c r="C838" s="90" t="str">
        <f>_xlfn.XLOOKUP(A838,'Model Modeshare by TAZ'!A:A,'Model Modeshare by TAZ'!D:D)</f>
        <v>NO</v>
      </c>
      <c r="D838" s="27">
        <v>2197.4699999999998</v>
      </c>
      <c r="E838" s="27">
        <v>36040.620000000003</v>
      </c>
      <c r="F838" s="27">
        <v>2126.5</v>
      </c>
      <c r="G838" s="27">
        <v>17347.73</v>
      </c>
      <c r="H838" s="27">
        <v>41.41</v>
      </c>
      <c r="I838" s="27">
        <v>417.41</v>
      </c>
      <c r="J838" s="6">
        <v>1456</v>
      </c>
      <c r="K838" s="6">
        <v>22</v>
      </c>
      <c r="L838" s="27">
        <v>11.914649725274725</v>
      </c>
      <c r="M838" s="27">
        <v>18.973181818181818</v>
      </c>
      <c r="N838" s="34">
        <v>16.774350473612991</v>
      </c>
    </row>
    <row r="839" spans="1:14" x14ac:dyDescent="0.35">
      <c r="A839" s="82">
        <v>836</v>
      </c>
      <c r="B839" s="89" t="str">
        <f>_xlfn.XLOOKUP(A839,'Model Modeshare by TAZ'!A:A,'Model Modeshare by TAZ'!B:B)</f>
        <v>San Jose</v>
      </c>
      <c r="C839" s="90" t="str">
        <f>_xlfn.XLOOKUP(A839,'Model Modeshare by TAZ'!A:A,'Model Modeshare by TAZ'!D:D)</f>
        <v>NO</v>
      </c>
      <c r="D839" s="27">
        <v>6280.5</v>
      </c>
      <c r="E839" s="27">
        <v>113478.38</v>
      </c>
      <c r="F839" s="27">
        <v>4738.79</v>
      </c>
      <c r="G839" s="27">
        <v>41505.31</v>
      </c>
      <c r="H839" s="27">
        <v>900.66</v>
      </c>
      <c r="I839" s="27">
        <v>9530.65</v>
      </c>
      <c r="J839" s="6">
        <v>3216</v>
      </c>
      <c r="K839" s="6">
        <v>591</v>
      </c>
      <c r="L839" s="27">
        <v>12.905879975124378</v>
      </c>
      <c r="M839" s="27">
        <v>16.126311336717428</v>
      </c>
      <c r="N839" s="34">
        <v>22.508641975308642</v>
      </c>
    </row>
    <row r="840" spans="1:14" x14ac:dyDescent="0.35">
      <c r="A840" s="82">
        <v>837</v>
      </c>
      <c r="B840" s="89" t="str">
        <f>_xlfn.XLOOKUP(A840,'Model Modeshare by TAZ'!A:A,'Model Modeshare by TAZ'!B:B)</f>
        <v>San Jose</v>
      </c>
      <c r="C840" s="90" t="str">
        <f>_xlfn.XLOOKUP(A840,'Model Modeshare by TAZ'!A:A,'Model Modeshare by TAZ'!D:D)</f>
        <v>NO</v>
      </c>
      <c r="D840" s="27">
        <v>2476.94</v>
      </c>
      <c r="E840" s="27">
        <v>53573.46</v>
      </c>
      <c r="F840" s="27">
        <v>0.17</v>
      </c>
      <c r="G840" s="27">
        <v>0.23</v>
      </c>
      <c r="H840" s="27">
        <v>788.48</v>
      </c>
      <c r="I840" s="27">
        <v>11186.92</v>
      </c>
      <c r="J840" s="6">
        <v>3</v>
      </c>
      <c r="K840" s="6">
        <v>637</v>
      </c>
      <c r="L840" s="27">
        <v>7.6666666666666675E-2</v>
      </c>
      <c r="M840" s="27">
        <v>17.561883830455258</v>
      </c>
      <c r="N840" s="34">
        <v>26.327546875000003</v>
      </c>
    </row>
    <row r="841" spans="1:14" x14ac:dyDescent="0.35">
      <c r="A841" s="82">
        <v>838</v>
      </c>
      <c r="B841" s="89" t="str">
        <f>_xlfn.XLOOKUP(A841,'Model Modeshare by TAZ'!A:A,'Model Modeshare by TAZ'!B:B)</f>
        <v>San Jose</v>
      </c>
      <c r="C841" s="90" t="str">
        <f>_xlfn.XLOOKUP(A841,'Model Modeshare by TAZ'!A:A,'Model Modeshare by TAZ'!D:D)</f>
        <v>NO</v>
      </c>
      <c r="D841" s="27">
        <v>1704.97</v>
      </c>
      <c r="E841" s="27">
        <v>44233.68</v>
      </c>
      <c r="F841" s="27">
        <v>7.27</v>
      </c>
      <c r="G841" s="27">
        <v>59.6</v>
      </c>
      <c r="H841" s="27">
        <v>1764.99</v>
      </c>
      <c r="I841" s="27">
        <v>24466.31</v>
      </c>
      <c r="J841" s="6">
        <v>7</v>
      </c>
      <c r="K841" s="6">
        <v>1516</v>
      </c>
      <c r="L841" s="27">
        <v>8.5142857142857142</v>
      </c>
      <c r="M841" s="27">
        <v>16.13872691292876</v>
      </c>
      <c r="N841" s="34">
        <v>34.692107682206171</v>
      </c>
    </row>
    <row r="842" spans="1:14" x14ac:dyDescent="0.35">
      <c r="A842" s="82">
        <v>839</v>
      </c>
      <c r="B842" s="89" t="str">
        <f>_xlfn.XLOOKUP(A842,'Model Modeshare by TAZ'!A:A,'Model Modeshare by TAZ'!B:B)</f>
        <v>San Jose</v>
      </c>
      <c r="C842" s="90" t="str">
        <f>_xlfn.XLOOKUP(A842,'Model Modeshare by TAZ'!A:A,'Model Modeshare by TAZ'!D:D)</f>
        <v>NO</v>
      </c>
      <c r="D842" s="27">
        <v>2283.52</v>
      </c>
      <c r="E842" s="27">
        <v>56309.46</v>
      </c>
      <c r="F842" s="27">
        <v>0</v>
      </c>
      <c r="G842" s="27">
        <v>0</v>
      </c>
      <c r="H842" s="27">
        <v>2947.32</v>
      </c>
      <c r="I842" s="27">
        <v>37990.39</v>
      </c>
      <c r="J842" s="6">
        <v>3</v>
      </c>
      <c r="K842" s="6">
        <v>2510</v>
      </c>
      <c r="L842" s="27">
        <v>0</v>
      </c>
      <c r="M842" s="27">
        <v>15.135613545816733</v>
      </c>
      <c r="N842" s="34">
        <v>31.517067250298449</v>
      </c>
    </row>
    <row r="843" spans="1:14" x14ac:dyDescent="0.35">
      <c r="A843" s="82">
        <v>840</v>
      </c>
      <c r="B843" s="89" t="str">
        <f>_xlfn.XLOOKUP(A843,'Model Modeshare by TAZ'!A:A,'Model Modeshare by TAZ'!B:B)</f>
        <v>San Jose</v>
      </c>
      <c r="C843" s="90" t="str">
        <f>_xlfn.XLOOKUP(A843,'Model Modeshare by TAZ'!A:A,'Model Modeshare by TAZ'!D:D)</f>
        <v>NO</v>
      </c>
      <c r="D843" s="27">
        <v>1064.08</v>
      </c>
      <c r="E843" s="27">
        <v>13228.25</v>
      </c>
      <c r="F843" s="27">
        <v>1155.77</v>
      </c>
      <c r="G843" s="27">
        <v>7132.8</v>
      </c>
      <c r="H843" s="27">
        <v>74.900000000000006</v>
      </c>
      <c r="I843" s="27">
        <v>902.59</v>
      </c>
      <c r="J843" s="6">
        <v>776</v>
      </c>
      <c r="K843" s="6">
        <v>39</v>
      </c>
      <c r="L843" s="27">
        <v>9.1917525773195887</v>
      </c>
      <c r="M843" s="27">
        <v>23.143333333333334</v>
      </c>
      <c r="N843" s="34">
        <v>13.991889570552146</v>
      </c>
    </row>
    <row r="844" spans="1:14" x14ac:dyDescent="0.35">
      <c r="A844" s="82">
        <v>841</v>
      </c>
      <c r="B844" s="89" t="str">
        <f>_xlfn.XLOOKUP(A844,'Model Modeshare by TAZ'!A:A,'Model Modeshare by TAZ'!B:B)</f>
        <v>San Jose</v>
      </c>
      <c r="C844" s="90" t="str">
        <f>_xlfn.XLOOKUP(A844,'Model Modeshare by TAZ'!A:A,'Model Modeshare by TAZ'!D:D)</f>
        <v>NO</v>
      </c>
      <c r="D844" s="27">
        <v>1056.1600000000001</v>
      </c>
      <c r="E844" s="27">
        <v>15748.68</v>
      </c>
      <c r="F844" s="27">
        <v>1370.28</v>
      </c>
      <c r="G844" s="27">
        <v>9812.86</v>
      </c>
      <c r="H844" s="27">
        <v>27.3</v>
      </c>
      <c r="I844" s="27">
        <v>307.62</v>
      </c>
      <c r="J844" s="6">
        <v>852</v>
      </c>
      <c r="K844" s="6">
        <v>14</v>
      </c>
      <c r="L844" s="27">
        <v>11.517441314553992</v>
      </c>
      <c r="M844" s="27">
        <v>21.972857142857144</v>
      </c>
      <c r="N844" s="34">
        <v>17.962748267898384</v>
      </c>
    </row>
    <row r="845" spans="1:14" x14ac:dyDescent="0.35">
      <c r="A845" s="82">
        <v>842</v>
      </c>
      <c r="B845" s="89" t="str">
        <f>_xlfn.XLOOKUP(A845,'Model Modeshare by TAZ'!A:A,'Model Modeshare by TAZ'!B:B)</f>
        <v>San Jose</v>
      </c>
      <c r="C845" s="90" t="str">
        <f>_xlfn.XLOOKUP(A845,'Model Modeshare by TAZ'!A:A,'Model Modeshare by TAZ'!D:D)</f>
        <v>NO</v>
      </c>
      <c r="D845" s="27">
        <v>684.16</v>
      </c>
      <c r="E845" s="27">
        <v>14071.75</v>
      </c>
      <c r="F845" s="27">
        <v>2.29</v>
      </c>
      <c r="G845" s="27">
        <v>14.82</v>
      </c>
      <c r="H845" s="27">
        <v>408.63</v>
      </c>
      <c r="I845" s="27">
        <v>4569.72</v>
      </c>
      <c r="J845" s="6">
        <v>14</v>
      </c>
      <c r="K845" s="6">
        <v>359</v>
      </c>
      <c r="L845" s="27">
        <v>1.0585714285714285</v>
      </c>
      <c r="M845" s="27">
        <v>12.729025069637883</v>
      </c>
      <c r="N845" s="34">
        <v>28.129034852546916</v>
      </c>
    </row>
    <row r="846" spans="1:14" x14ac:dyDescent="0.35">
      <c r="A846" s="82">
        <v>843</v>
      </c>
      <c r="B846" s="89" t="str">
        <f>_xlfn.XLOOKUP(A846,'Model Modeshare by TAZ'!A:A,'Model Modeshare by TAZ'!B:B)</f>
        <v>San Jose</v>
      </c>
      <c r="C846" s="90" t="str">
        <f>_xlfn.XLOOKUP(A846,'Model Modeshare by TAZ'!A:A,'Model Modeshare by TAZ'!D:D)</f>
        <v>NO</v>
      </c>
      <c r="D846" s="27">
        <v>393.21</v>
      </c>
      <c r="E846" s="27">
        <v>4329.25</v>
      </c>
      <c r="F846" s="27">
        <v>454.46</v>
      </c>
      <c r="G846" s="27">
        <v>1868.05</v>
      </c>
      <c r="H846" s="27">
        <v>512.78</v>
      </c>
      <c r="I846" s="27">
        <v>5388.82</v>
      </c>
      <c r="J846" s="6">
        <v>454</v>
      </c>
      <c r="K846" s="6">
        <v>482</v>
      </c>
      <c r="L846" s="27">
        <v>4.1146475770925113</v>
      </c>
      <c r="M846" s="27">
        <v>11.1801244813278</v>
      </c>
      <c r="N846" s="34">
        <v>11.268322649572649</v>
      </c>
    </row>
    <row r="847" spans="1:14" x14ac:dyDescent="0.35">
      <c r="A847" s="82">
        <v>844</v>
      </c>
      <c r="B847" s="89" t="str">
        <f>_xlfn.XLOOKUP(A847,'Model Modeshare by TAZ'!A:A,'Model Modeshare by TAZ'!B:B)</f>
        <v>San Jose</v>
      </c>
      <c r="C847" s="90" t="str">
        <f>_xlfn.XLOOKUP(A847,'Model Modeshare by TAZ'!A:A,'Model Modeshare by TAZ'!D:D)</f>
        <v>NO</v>
      </c>
      <c r="D847" s="27">
        <v>3292.33</v>
      </c>
      <c r="E847" s="27">
        <v>55220.26</v>
      </c>
      <c r="F847" s="27">
        <v>2971.59</v>
      </c>
      <c r="G847" s="27">
        <v>21105.52</v>
      </c>
      <c r="H847" s="27">
        <v>474.94</v>
      </c>
      <c r="I847" s="27">
        <v>5128.51</v>
      </c>
      <c r="J847" s="6">
        <v>2511</v>
      </c>
      <c r="K847" s="6">
        <v>284</v>
      </c>
      <c r="L847" s="27">
        <v>8.405225009956192</v>
      </c>
      <c r="M847" s="27">
        <v>18.058133802816901</v>
      </c>
      <c r="N847" s="34">
        <v>17.973248658318425</v>
      </c>
    </row>
    <row r="848" spans="1:14" x14ac:dyDescent="0.35">
      <c r="A848" s="82">
        <v>845</v>
      </c>
      <c r="B848" s="89" t="str">
        <f>_xlfn.XLOOKUP(A848,'Model Modeshare by TAZ'!A:A,'Model Modeshare by TAZ'!B:B)</f>
        <v>Unincorporated</v>
      </c>
      <c r="C848" s="90" t="str">
        <f>_xlfn.XLOOKUP(A848,'Model Modeshare by TAZ'!A:A,'Model Modeshare by TAZ'!D:D)</f>
        <v>NO</v>
      </c>
      <c r="D848" s="27">
        <v>3336.52</v>
      </c>
      <c r="E848" s="27">
        <v>63117.120000000003</v>
      </c>
      <c r="F848" s="27">
        <v>2504.5</v>
      </c>
      <c r="G848" s="27">
        <v>21387.07</v>
      </c>
      <c r="H848" s="27">
        <v>752.94</v>
      </c>
      <c r="I848" s="27">
        <v>8540.65</v>
      </c>
      <c r="J848" s="6">
        <v>1563</v>
      </c>
      <c r="K848" s="6">
        <v>599</v>
      </c>
      <c r="L848" s="27">
        <v>13.683346129238643</v>
      </c>
      <c r="M848" s="27">
        <v>14.258180300500834</v>
      </c>
      <c r="N848" s="34">
        <v>28.603936170212766</v>
      </c>
    </row>
    <row r="849" spans="1:14" x14ac:dyDescent="0.35">
      <c r="A849" s="82">
        <v>846</v>
      </c>
      <c r="B849" s="89" t="str">
        <f>_xlfn.XLOOKUP(A849,'Model Modeshare by TAZ'!A:A,'Model Modeshare by TAZ'!B:B)</f>
        <v>San Jose</v>
      </c>
      <c r="C849" s="90" t="str">
        <f>_xlfn.XLOOKUP(A849,'Model Modeshare by TAZ'!A:A,'Model Modeshare by TAZ'!D:D)</f>
        <v>NO</v>
      </c>
      <c r="D849" s="27">
        <v>3283.72</v>
      </c>
      <c r="E849" s="27">
        <v>55479.22</v>
      </c>
      <c r="F849" s="27">
        <v>1552.19</v>
      </c>
      <c r="G849" s="27">
        <v>10778.98</v>
      </c>
      <c r="H849" s="27">
        <v>449.58</v>
      </c>
      <c r="I849" s="27">
        <v>4960.43</v>
      </c>
      <c r="J849" s="6">
        <v>1095</v>
      </c>
      <c r="K849" s="6">
        <v>366</v>
      </c>
      <c r="L849" s="27">
        <v>9.8438173515981724</v>
      </c>
      <c r="M849" s="27">
        <v>13.55308743169399</v>
      </c>
      <c r="N849" s="34">
        <v>30.434305270362763</v>
      </c>
    </row>
    <row r="850" spans="1:14" x14ac:dyDescent="0.35">
      <c r="A850" s="82">
        <v>847</v>
      </c>
      <c r="B850" s="89" t="str">
        <f>_xlfn.XLOOKUP(A850,'Model Modeshare by TAZ'!A:A,'Model Modeshare by TAZ'!B:B)</f>
        <v>San Jose</v>
      </c>
      <c r="C850" s="90" t="str">
        <f>_xlfn.XLOOKUP(A850,'Model Modeshare by TAZ'!A:A,'Model Modeshare by TAZ'!D:D)</f>
        <v>NO</v>
      </c>
      <c r="D850" s="27">
        <v>563.79</v>
      </c>
      <c r="E850" s="27">
        <v>8926.9599999999991</v>
      </c>
      <c r="F850" s="27">
        <v>719.89</v>
      </c>
      <c r="G850" s="27">
        <v>5220.43</v>
      </c>
      <c r="H850" s="27">
        <v>84.15</v>
      </c>
      <c r="I850" s="27">
        <v>931.11</v>
      </c>
      <c r="J850" s="6">
        <v>455</v>
      </c>
      <c r="K850" s="6">
        <v>47</v>
      </c>
      <c r="L850" s="27">
        <v>11.473472527472529</v>
      </c>
      <c r="M850" s="27">
        <v>19.810851063829787</v>
      </c>
      <c r="N850" s="34">
        <v>21.91426294820717</v>
      </c>
    </row>
    <row r="851" spans="1:14" x14ac:dyDescent="0.35">
      <c r="A851" s="82">
        <v>848</v>
      </c>
      <c r="B851" s="89" t="str">
        <f>_xlfn.XLOOKUP(A851,'Model Modeshare by TAZ'!A:A,'Model Modeshare by TAZ'!B:B)</f>
        <v>San Jose</v>
      </c>
      <c r="C851" s="90" t="str">
        <f>_xlfn.XLOOKUP(A851,'Model Modeshare by TAZ'!A:A,'Model Modeshare by TAZ'!D:D)</f>
        <v>NO</v>
      </c>
      <c r="D851" s="27">
        <v>2061.4699999999998</v>
      </c>
      <c r="E851" s="27">
        <v>39835.17</v>
      </c>
      <c r="F851" s="27">
        <v>1809.65</v>
      </c>
      <c r="G851" s="27">
        <v>14939.37</v>
      </c>
      <c r="H851" s="27">
        <v>207.6</v>
      </c>
      <c r="I851" s="27">
        <v>2547.17</v>
      </c>
      <c r="J851" s="6">
        <v>1164</v>
      </c>
      <c r="K851" s="6">
        <v>110</v>
      </c>
      <c r="L851" s="27">
        <v>12.83451030927835</v>
      </c>
      <c r="M851" s="27">
        <v>23.15609090909091</v>
      </c>
      <c r="N851" s="34">
        <v>24.343406593406595</v>
      </c>
    </row>
    <row r="852" spans="1:14" x14ac:dyDescent="0.35">
      <c r="A852" s="82">
        <v>849</v>
      </c>
      <c r="B852" s="89" t="str">
        <f>_xlfn.XLOOKUP(A852,'Model Modeshare by TAZ'!A:A,'Model Modeshare by TAZ'!B:B)</f>
        <v>San Jose</v>
      </c>
      <c r="C852" s="90" t="str">
        <f>_xlfn.XLOOKUP(A852,'Model Modeshare by TAZ'!A:A,'Model Modeshare by TAZ'!D:D)</f>
        <v>NO</v>
      </c>
      <c r="D852" s="27">
        <v>2220.84</v>
      </c>
      <c r="E852" s="27">
        <v>56236.15</v>
      </c>
      <c r="F852" s="27">
        <v>2.63</v>
      </c>
      <c r="G852" s="27">
        <v>18.18</v>
      </c>
      <c r="H852" s="27">
        <v>427.01</v>
      </c>
      <c r="I852" s="27">
        <v>5675.38</v>
      </c>
      <c r="J852" s="6">
        <v>0</v>
      </c>
      <c r="K852" s="6">
        <v>350</v>
      </c>
      <c r="L852" s="27">
        <v>0</v>
      </c>
      <c r="M852" s="27">
        <v>16.21537142857143</v>
      </c>
      <c r="N852" s="34">
        <v>44.298228571428567</v>
      </c>
    </row>
    <row r="853" spans="1:14" x14ac:dyDescent="0.35">
      <c r="A853" s="82">
        <v>850</v>
      </c>
      <c r="B853" s="89" t="str">
        <f>_xlfn.XLOOKUP(A853,'Model Modeshare by TAZ'!A:A,'Model Modeshare by TAZ'!B:B)</f>
        <v>San Jose</v>
      </c>
      <c r="C853" s="90" t="str">
        <f>_xlfn.XLOOKUP(A853,'Model Modeshare by TAZ'!A:A,'Model Modeshare by TAZ'!D:D)</f>
        <v>NO</v>
      </c>
      <c r="D853" s="27">
        <v>8936.98</v>
      </c>
      <c r="E853" s="27">
        <v>156727.85</v>
      </c>
      <c r="F853" s="27">
        <v>5723.92</v>
      </c>
      <c r="G853" s="27">
        <v>36711.9</v>
      </c>
      <c r="H853" s="27">
        <v>1704.91</v>
      </c>
      <c r="I853" s="27">
        <v>19822.41</v>
      </c>
      <c r="J853" s="6">
        <v>3865</v>
      </c>
      <c r="K853" s="6">
        <v>1498</v>
      </c>
      <c r="L853" s="27">
        <v>9.4985510996119018</v>
      </c>
      <c r="M853" s="27">
        <v>13.232583444592791</v>
      </c>
      <c r="N853" s="34">
        <v>28.879584187954503</v>
      </c>
    </row>
    <row r="854" spans="1:14" x14ac:dyDescent="0.35">
      <c r="A854" s="82">
        <v>851</v>
      </c>
      <c r="B854" s="89" t="str">
        <f>_xlfn.XLOOKUP(A854,'Model Modeshare by TAZ'!A:A,'Model Modeshare by TAZ'!B:B)</f>
        <v>San Jose</v>
      </c>
      <c r="C854" s="90" t="str">
        <f>_xlfn.XLOOKUP(A854,'Model Modeshare by TAZ'!A:A,'Model Modeshare by TAZ'!D:D)</f>
        <v>NO</v>
      </c>
      <c r="D854" s="27">
        <v>97.84</v>
      </c>
      <c r="E854" s="27">
        <v>2520.33</v>
      </c>
      <c r="F854" s="27">
        <v>7.17</v>
      </c>
      <c r="G854" s="27">
        <v>95.42</v>
      </c>
      <c r="H854" s="27">
        <v>20.95</v>
      </c>
      <c r="I854" s="27">
        <v>334.45</v>
      </c>
      <c r="J854" s="6">
        <v>6</v>
      </c>
      <c r="K854" s="6">
        <v>14</v>
      </c>
      <c r="L854" s="27">
        <v>15.903333333333334</v>
      </c>
      <c r="M854" s="27">
        <v>23.889285714285712</v>
      </c>
      <c r="N854" s="34">
        <v>25.936500000000002</v>
      </c>
    </row>
    <row r="855" spans="1:14" x14ac:dyDescent="0.35">
      <c r="A855" s="82">
        <v>852</v>
      </c>
      <c r="B855" s="89" t="str">
        <f>_xlfn.XLOOKUP(A855,'Model Modeshare by TAZ'!A:A,'Model Modeshare by TAZ'!B:B)</f>
        <v>San Jose</v>
      </c>
      <c r="C855" s="90" t="str">
        <f>_xlfn.XLOOKUP(A855,'Model Modeshare by TAZ'!A:A,'Model Modeshare by TAZ'!D:D)</f>
        <v>NO</v>
      </c>
      <c r="D855" s="27">
        <v>14.51</v>
      </c>
      <c r="E855" s="27">
        <v>379.24</v>
      </c>
      <c r="F855" s="27">
        <v>0</v>
      </c>
      <c r="G855" s="27">
        <v>0</v>
      </c>
      <c r="H855" s="27">
        <v>54.36</v>
      </c>
      <c r="I855" s="27">
        <v>892.84</v>
      </c>
      <c r="J855" s="6">
        <v>0</v>
      </c>
      <c r="K855" s="6">
        <v>42</v>
      </c>
      <c r="L855" s="27">
        <v>0</v>
      </c>
      <c r="M855" s="27">
        <v>21.25809523809524</v>
      </c>
      <c r="N855" s="34">
        <v>49.857619047619046</v>
      </c>
    </row>
    <row r="856" spans="1:14" x14ac:dyDescent="0.35">
      <c r="A856" s="82">
        <v>853</v>
      </c>
      <c r="B856" s="89" t="str">
        <f>_xlfn.XLOOKUP(A856,'Model Modeshare by TAZ'!A:A,'Model Modeshare by TAZ'!B:B)</f>
        <v>Unincorporated</v>
      </c>
      <c r="C856" s="90" t="str">
        <f>_xlfn.XLOOKUP(A856,'Model Modeshare by TAZ'!A:A,'Model Modeshare by TAZ'!D:D)</f>
        <v>NO</v>
      </c>
      <c r="D856" s="27">
        <v>15.55</v>
      </c>
      <c r="E856" s="27">
        <v>429.48</v>
      </c>
      <c r="F856" s="27">
        <v>34.25</v>
      </c>
      <c r="G856" s="27">
        <v>508.39</v>
      </c>
      <c r="H856" s="27">
        <v>26.23</v>
      </c>
      <c r="I856" s="27">
        <v>430.33</v>
      </c>
      <c r="J856" s="6">
        <v>22</v>
      </c>
      <c r="K856" s="6">
        <v>19</v>
      </c>
      <c r="L856" s="27">
        <v>23.108636363636364</v>
      </c>
      <c r="M856" s="27">
        <v>22.648947368421052</v>
      </c>
      <c r="N856" s="34">
        <v>43.926341463414637</v>
      </c>
    </row>
    <row r="857" spans="1:14" x14ac:dyDescent="0.35">
      <c r="A857" s="82">
        <v>854</v>
      </c>
      <c r="B857" s="89" t="str">
        <f>_xlfn.XLOOKUP(A857,'Model Modeshare by TAZ'!A:A,'Model Modeshare by TAZ'!B:B)</f>
        <v>Unincorporated</v>
      </c>
      <c r="C857" s="90" t="str">
        <f>_xlfn.XLOOKUP(A857,'Model Modeshare by TAZ'!A:A,'Model Modeshare by TAZ'!D:D)</f>
        <v>NO</v>
      </c>
      <c r="D857" s="27">
        <v>196.36</v>
      </c>
      <c r="E857" s="27">
        <v>6201.59</v>
      </c>
      <c r="F857" s="27">
        <v>60.7</v>
      </c>
      <c r="G857" s="27">
        <v>889.45</v>
      </c>
      <c r="H857" s="27">
        <v>0</v>
      </c>
      <c r="I857" s="27">
        <v>0</v>
      </c>
      <c r="J857" s="6">
        <v>43</v>
      </c>
      <c r="K857" s="6">
        <v>0</v>
      </c>
      <c r="L857" s="27">
        <v>20.684883720930234</v>
      </c>
      <c r="M857" s="27">
        <v>0</v>
      </c>
      <c r="N857" s="34">
        <v>32.237906976744185</v>
      </c>
    </row>
    <row r="858" spans="1:14" x14ac:dyDescent="0.35">
      <c r="A858" s="82">
        <v>855</v>
      </c>
      <c r="B858" s="89" t="str">
        <f>_xlfn.XLOOKUP(A858,'Model Modeshare by TAZ'!A:A,'Model Modeshare by TAZ'!B:B)</f>
        <v>San Jose</v>
      </c>
      <c r="C858" s="90" t="str">
        <f>_xlfn.XLOOKUP(A858,'Model Modeshare by TAZ'!A:A,'Model Modeshare by TAZ'!D:D)</f>
        <v>NO</v>
      </c>
      <c r="D858" s="27">
        <v>4.8899999999999997</v>
      </c>
      <c r="E858" s="27">
        <v>125.35</v>
      </c>
      <c r="F858" s="27">
        <v>63.68</v>
      </c>
      <c r="G858" s="27">
        <v>919.46</v>
      </c>
      <c r="H858" s="27">
        <v>14</v>
      </c>
      <c r="I858" s="27">
        <v>227.94</v>
      </c>
      <c r="J858" s="6">
        <v>28</v>
      </c>
      <c r="K858" s="6">
        <v>8</v>
      </c>
      <c r="L858" s="27">
        <v>32.837857142857146</v>
      </c>
      <c r="M858" s="27">
        <v>28.4925</v>
      </c>
      <c r="N858" s="34">
        <v>40.338055555555556</v>
      </c>
    </row>
    <row r="859" spans="1:14" x14ac:dyDescent="0.35">
      <c r="A859" s="82">
        <v>856</v>
      </c>
      <c r="B859" s="89" t="str">
        <f>_xlfn.XLOOKUP(A859,'Model Modeshare by TAZ'!A:A,'Model Modeshare by TAZ'!B:B)</f>
        <v>San Jose</v>
      </c>
      <c r="C859" s="90" t="str">
        <f>_xlfn.XLOOKUP(A859,'Model Modeshare by TAZ'!A:A,'Model Modeshare by TAZ'!D:D)</f>
        <v>NO</v>
      </c>
      <c r="D859" s="27">
        <v>0</v>
      </c>
      <c r="E859" s="27">
        <v>0</v>
      </c>
      <c r="F859" s="27">
        <v>6.76</v>
      </c>
      <c r="G859" s="27">
        <v>101.47</v>
      </c>
      <c r="H859" s="27">
        <v>491.84</v>
      </c>
      <c r="I859" s="27">
        <v>8167.25</v>
      </c>
      <c r="J859" s="6">
        <v>6</v>
      </c>
      <c r="K859" s="6">
        <v>392</v>
      </c>
      <c r="L859" s="27">
        <v>16.911666666666665</v>
      </c>
      <c r="M859" s="27">
        <v>20.834821428571427</v>
      </c>
      <c r="N859" s="34">
        <v>52.87424623115578</v>
      </c>
    </row>
    <row r="860" spans="1:14" x14ac:dyDescent="0.35">
      <c r="A860" s="82">
        <v>857</v>
      </c>
      <c r="B860" s="89" t="str">
        <f>_xlfn.XLOOKUP(A860,'Model Modeshare by TAZ'!A:A,'Model Modeshare by TAZ'!B:B)</f>
        <v>San Jose</v>
      </c>
      <c r="C860" s="90" t="str">
        <f>_xlfn.XLOOKUP(A860,'Model Modeshare by TAZ'!A:A,'Model Modeshare by TAZ'!D:D)</f>
        <v>NO</v>
      </c>
      <c r="D860" s="27">
        <v>4325.13</v>
      </c>
      <c r="E860" s="27">
        <v>163217.73000000001</v>
      </c>
      <c r="F860" s="27">
        <v>0</v>
      </c>
      <c r="G860" s="27">
        <v>0</v>
      </c>
      <c r="H860" s="27">
        <v>5288.26</v>
      </c>
      <c r="I860" s="27">
        <v>103017.29</v>
      </c>
      <c r="J860" s="6">
        <v>0</v>
      </c>
      <c r="K860" s="6">
        <v>4295</v>
      </c>
      <c r="L860" s="27">
        <v>0</v>
      </c>
      <c r="M860" s="27">
        <v>23.985399301513386</v>
      </c>
      <c r="N860" s="34">
        <v>60.821115250291037</v>
      </c>
    </row>
    <row r="861" spans="1:14" x14ac:dyDescent="0.35">
      <c r="A861" s="82">
        <v>858</v>
      </c>
      <c r="B861" s="89" t="str">
        <f>_xlfn.XLOOKUP(A861,'Model Modeshare by TAZ'!A:A,'Model Modeshare by TAZ'!B:B)</f>
        <v>San Jose</v>
      </c>
      <c r="C861" s="90" t="str">
        <f>_xlfn.XLOOKUP(A861,'Model Modeshare by TAZ'!A:A,'Model Modeshare by TAZ'!D:D)</f>
        <v>NO</v>
      </c>
      <c r="D861" s="27">
        <v>158.12</v>
      </c>
      <c r="E861" s="27">
        <v>5487.24</v>
      </c>
      <c r="F861" s="27">
        <v>0.04</v>
      </c>
      <c r="G861" s="27">
        <v>0.15</v>
      </c>
      <c r="H861" s="27">
        <v>3.91</v>
      </c>
      <c r="I861" s="27">
        <v>70.959999999999994</v>
      </c>
      <c r="J861" s="6">
        <v>0</v>
      </c>
      <c r="K861" s="6">
        <v>3</v>
      </c>
      <c r="L861" s="27">
        <v>0</v>
      </c>
      <c r="M861" s="27">
        <v>23.653333333333332</v>
      </c>
      <c r="N861" s="34">
        <v>28.923333333333332</v>
      </c>
    </row>
    <row r="862" spans="1:14" x14ac:dyDescent="0.35">
      <c r="A862" s="82">
        <v>859</v>
      </c>
      <c r="B862" s="89" t="str">
        <f>_xlfn.XLOOKUP(A862,'Model Modeshare by TAZ'!A:A,'Model Modeshare by TAZ'!B:B)</f>
        <v>San Jose</v>
      </c>
      <c r="C862" s="90" t="str">
        <f>_xlfn.XLOOKUP(A862,'Model Modeshare by TAZ'!A:A,'Model Modeshare by TAZ'!D:D)</f>
        <v>NO</v>
      </c>
      <c r="D862" s="27">
        <v>0</v>
      </c>
      <c r="E862" s="27">
        <v>0</v>
      </c>
      <c r="F862" s="27">
        <v>0</v>
      </c>
      <c r="G862" s="27">
        <v>0</v>
      </c>
      <c r="H862" s="27">
        <v>7.39</v>
      </c>
      <c r="I862" s="27">
        <v>138.4</v>
      </c>
      <c r="J862" s="6">
        <v>0</v>
      </c>
      <c r="K862" s="6">
        <v>6</v>
      </c>
      <c r="L862" s="27">
        <v>0</v>
      </c>
      <c r="M862" s="27">
        <v>23.066666666666666</v>
      </c>
      <c r="N862" s="34">
        <v>24.63</v>
      </c>
    </row>
    <row r="863" spans="1:14" x14ac:dyDescent="0.35">
      <c r="A863" s="82">
        <v>860</v>
      </c>
      <c r="B863" s="89" t="str">
        <f>_xlfn.XLOOKUP(A863,'Model Modeshare by TAZ'!A:A,'Model Modeshare by TAZ'!B:B)</f>
        <v>San Jose</v>
      </c>
      <c r="C863" s="90" t="str">
        <f>_xlfn.XLOOKUP(A863,'Model Modeshare by TAZ'!A:A,'Model Modeshare by TAZ'!D:D)</f>
        <v>NO</v>
      </c>
      <c r="D863" s="27">
        <v>5.51</v>
      </c>
      <c r="E863" s="27">
        <v>191.82</v>
      </c>
      <c r="F863" s="27">
        <v>0</v>
      </c>
      <c r="G863" s="27">
        <v>0</v>
      </c>
      <c r="H863" s="27">
        <v>0</v>
      </c>
      <c r="I863" s="27">
        <v>0</v>
      </c>
      <c r="J863" s="6">
        <v>0</v>
      </c>
      <c r="K863" s="6">
        <v>0</v>
      </c>
      <c r="L863" s="27">
        <v>0</v>
      </c>
      <c r="M863" s="27">
        <v>0</v>
      </c>
      <c r="N863" s="34">
        <v>0</v>
      </c>
    </row>
    <row r="864" spans="1:14" x14ac:dyDescent="0.35">
      <c r="A864" s="82">
        <v>861</v>
      </c>
      <c r="B864" s="89" t="str">
        <f>_xlfn.XLOOKUP(A864,'Model Modeshare by TAZ'!A:A,'Model Modeshare by TAZ'!B:B)</f>
        <v>Unincorporated</v>
      </c>
      <c r="C864" s="90" t="str">
        <f>_xlfn.XLOOKUP(A864,'Model Modeshare by TAZ'!A:A,'Model Modeshare by TAZ'!D:D)</f>
        <v>NO</v>
      </c>
      <c r="D864" s="27">
        <v>10.050000000000001</v>
      </c>
      <c r="E864" s="27">
        <v>310.3</v>
      </c>
      <c r="F864" s="27">
        <v>110.67</v>
      </c>
      <c r="G864" s="27">
        <v>1817</v>
      </c>
      <c r="H864" s="27">
        <v>0</v>
      </c>
      <c r="I864" s="27">
        <v>0</v>
      </c>
      <c r="J864" s="6">
        <v>72</v>
      </c>
      <c r="K864" s="6">
        <v>0</v>
      </c>
      <c r="L864" s="27">
        <v>25.236111111111111</v>
      </c>
      <c r="M864" s="27">
        <v>0</v>
      </c>
      <c r="N864" s="34">
        <v>37.775972222222222</v>
      </c>
    </row>
    <row r="865" spans="1:14" x14ac:dyDescent="0.35">
      <c r="A865" s="82">
        <v>862</v>
      </c>
      <c r="B865" s="89" t="str">
        <f>_xlfn.XLOOKUP(A865,'Model Modeshare by TAZ'!A:A,'Model Modeshare by TAZ'!B:B)</f>
        <v>Unincorporated</v>
      </c>
      <c r="C865" s="90" t="str">
        <f>_xlfn.XLOOKUP(A865,'Model Modeshare by TAZ'!A:A,'Model Modeshare by TAZ'!D:D)</f>
        <v>NO</v>
      </c>
      <c r="D865" s="27">
        <v>90.26</v>
      </c>
      <c r="E865" s="27">
        <v>3148.99</v>
      </c>
      <c r="F865" s="27">
        <v>346.08</v>
      </c>
      <c r="G865" s="27">
        <v>5763.99</v>
      </c>
      <c r="H865" s="27">
        <v>0</v>
      </c>
      <c r="I865" s="27">
        <v>0</v>
      </c>
      <c r="J865" s="6">
        <v>205</v>
      </c>
      <c r="K865" s="6">
        <v>0</v>
      </c>
      <c r="L865" s="27">
        <v>28.117024390243902</v>
      </c>
      <c r="M865" s="27">
        <v>0</v>
      </c>
      <c r="N865" s="34">
        <v>41.836195121951221</v>
      </c>
    </row>
    <row r="866" spans="1:14" x14ac:dyDescent="0.35">
      <c r="A866" s="82">
        <v>863</v>
      </c>
      <c r="B866" s="89" t="str">
        <f>_xlfn.XLOOKUP(A866,'Model Modeshare by TAZ'!A:A,'Model Modeshare by TAZ'!B:B)</f>
        <v>Unincorporated</v>
      </c>
      <c r="C866" s="90" t="str">
        <f>_xlfn.XLOOKUP(A866,'Model Modeshare by TAZ'!A:A,'Model Modeshare by TAZ'!D:D)</f>
        <v>NO</v>
      </c>
      <c r="D866" s="27">
        <v>0</v>
      </c>
      <c r="E866" s="27">
        <v>0</v>
      </c>
      <c r="F866" s="27">
        <v>0</v>
      </c>
      <c r="G866" s="27">
        <v>0</v>
      </c>
      <c r="H866" s="27">
        <v>0</v>
      </c>
      <c r="I866" s="27">
        <v>0</v>
      </c>
      <c r="J866" s="6">
        <v>0</v>
      </c>
      <c r="K866" s="6">
        <v>0</v>
      </c>
      <c r="L866" s="27">
        <v>0</v>
      </c>
      <c r="M866" s="27">
        <v>0</v>
      </c>
      <c r="N866" s="34">
        <v>0</v>
      </c>
    </row>
    <row r="867" spans="1:14" x14ac:dyDescent="0.35">
      <c r="A867" s="82">
        <v>864</v>
      </c>
      <c r="B867" s="89" t="str">
        <f>_xlfn.XLOOKUP(A867,'Model Modeshare by TAZ'!A:A,'Model Modeshare by TAZ'!B:B)</f>
        <v>Unincorporated</v>
      </c>
      <c r="C867" s="90" t="str">
        <f>_xlfn.XLOOKUP(A867,'Model Modeshare by TAZ'!A:A,'Model Modeshare by TAZ'!D:D)</f>
        <v>NO</v>
      </c>
      <c r="D867" s="27">
        <v>861.73</v>
      </c>
      <c r="E867" s="27">
        <v>29236.85</v>
      </c>
      <c r="F867" s="27">
        <v>505.98</v>
      </c>
      <c r="G867" s="27">
        <v>6843.48</v>
      </c>
      <c r="H867" s="27">
        <v>113.15</v>
      </c>
      <c r="I867" s="27">
        <v>1921.58</v>
      </c>
      <c r="J867" s="6">
        <v>318</v>
      </c>
      <c r="K867" s="6">
        <v>59</v>
      </c>
      <c r="L867" s="27">
        <v>21.520377358490563</v>
      </c>
      <c r="M867" s="27">
        <v>32.569152542372883</v>
      </c>
      <c r="N867" s="34">
        <v>31.663660477453583</v>
      </c>
    </row>
    <row r="868" spans="1:14" x14ac:dyDescent="0.35">
      <c r="A868" s="82">
        <v>865</v>
      </c>
      <c r="B868" s="89" t="str">
        <f>_xlfn.XLOOKUP(A868,'Model Modeshare by TAZ'!A:A,'Model Modeshare by TAZ'!B:B)</f>
        <v>Unincorporated</v>
      </c>
      <c r="C868" s="90" t="str">
        <f>_xlfn.XLOOKUP(A868,'Model Modeshare by TAZ'!A:A,'Model Modeshare by TAZ'!D:D)</f>
        <v>NO</v>
      </c>
      <c r="D868" s="27">
        <v>272.58</v>
      </c>
      <c r="E868" s="27">
        <v>9198.11</v>
      </c>
      <c r="F868" s="27">
        <v>304.55</v>
      </c>
      <c r="G868" s="27">
        <v>4915.2299999999996</v>
      </c>
      <c r="H868" s="27">
        <v>362.6</v>
      </c>
      <c r="I868" s="27">
        <v>6716.85</v>
      </c>
      <c r="J868" s="6">
        <v>186</v>
      </c>
      <c r="K868" s="6">
        <v>266</v>
      </c>
      <c r="L868" s="27">
        <v>26.42596774193548</v>
      </c>
      <c r="M868" s="27">
        <v>25.251315789473686</v>
      </c>
      <c r="N868" s="34">
        <v>37.781460176991153</v>
      </c>
    </row>
    <row r="869" spans="1:14" x14ac:dyDescent="0.35">
      <c r="A869" s="82">
        <v>866</v>
      </c>
      <c r="B869" s="89" t="str">
        <f>_xlfn.XLOOKUP(A869,'Model Modeshare by TAZ'!A:A,'Model Modeshare by TAZ'!B:B)</f>
        <v>Santa Clara</v>
      </c>
      <c r="C869" s="90" t="str">
        <f>_xlfn.XLOOKUP(A869,'Model Modeshare by TAZ'!A:A,'Model Modeshare by TAZ'!D:D)</f>
        <v>NO</v>
      </c>
      <c r="D869" s="27">
        <v>4262.53</v>
      </c>
      <c r="E869" s="27">
        <v>86907.98</v>
      </c>
      <c r="F869" s="27">
        <v>420.53</v>
      </c>
      <c r="G869" s="27">
        <v>2208.5</v>
      </c>
      <c r="H869" s="27">
        <v>2800.37</v>
      </c>
      <c r="I869" s="27">
        <v>34806.54</v>
      </c>
      <c r="J869" s="6">
        <v>381</v>
      </c>
      <c r="K869" s="6">
        <v>2331</v>
      </c>
      <c r="L869" s="27">
        <v>5.7965879265091864</v>
      </c>
      <c r="M869" s="27">
        <v>14.932020592020592</v>
      </c>
      <c r="N869" s="34">
        <v>31.340829646017699</v>
      </c>
    </row>
    <row r="870" spans="1:14" x14ac:dyDescent="0.35">
      <c r="A870" s="82">
        <v>867</v>
      </c>
      <c r="B870" s="89" t="str">
        <f>_xlfn.XLOOKUP(A870,'Model Modeshare by TAZ'!A:A,'Model Modeshare by TAZ'!B:B)</f>
        <v>San Jose</v>
      </c>
      <c r="C870" s="90" t="str">
        <f>_xlfn.XLOOKUP(A870,'Model Modeshare by TAZ'!A:A,'Model Modeshare by TAZ'!D:D)</f>
        <v>NO</v>
      </c>
      <c r="D870" s="27">
        <v>2431.17</v>
      </c>
      <c r="E870" s="27">
        <v>29356.57</v>
      </c>
      <c r="F870" s="27">
        <v>799.14</v>
      </c>
      <c r="G870" s="27">
        <v>3528.6</v>
      </c>
      <c r="H870" s="27">
        <v>541.15</v>
      </c>
      <c r="I870" s="27">
        <v>5566.64</v>
      </c>
      <c r="J870" s="6">
        <v>690</v>
      </c>
      <c r="K870" s="6">
        <v>492</v>
      </c>
      <c r="L870" s="27">
        <v>5.1139130434782611</v>
      </c>
      <c r="M870" s="27">
        <v>11.314308943089431</v>
      </c>
      <c r="N870" s="34">
        <v>18.701023688663284</v>
      </c>
    </row>
    <row r="871" spans="1:14" x14ac:dyDescent="0.35">
      <c r="A871" s="82">
        <v>868</v>
      </c>
      <c r="B871" s="89" t="str">
        <f>_xlfn.XLOOKUP(A871,'Model Modeshare by TAZ'!A:A,'Model Modeshare by TAZ'!B:B)</f>
        <v>San Jose</v>
      </c>
      <c r="C871" s="90" t="str">
        <f>_xlfn.XLOOKUP(A871,'Model Modeshare by TAZ'!A:A,'Model Modeshare by TAZ'!D:D)</f>
        <v>NO</v>
      </c>
      <c r="D871" s="27">
        <v>643.48</v>
      </c>
      <c r="E871" s="27">
        <v>10785.14</v>
      </c>
      <c r="F871" s="27">
        <v>175.41</v>
      </c>
      <c r="G871" s="27">
        <v>800.86</v>
      </c>
      <c r="H871" s="27">
        <v>1059.73</v>
      </c>
      <c r="I871" s="27">
        <v>11043.21</v>
      </c>
      <c r="J871" s="6">
        <v>136</v>
      </c>
      <c r="K871" s="6">
        <v>958</v>
      </c>
      <c r="L871" s="27">
        <v>5.8886764705882353</v>
      </c>
      <c r="M871" s="27">
        <v>11.527359081419624</v>
      </c>
      <c r="N871" s="34">
        <v>24.137157221206582</v>
      </c>
    </row>
    <row r="872" spans="1:14" x14ac:dyDescent="0.35">
      <c r="A872" s="82">
        <v>869</v>
      </c>
      <c r="B872" s="89" t="str">
        <f>_xlfn.XLOOKUP(A872,'Model Modeshare by TAZ'!A:A,'Model Modeshare by TAZ'!B:B)</f>
        <v>Los Gatos</v>
      </c>
      <c r="C872" s="90" t="str">
        <f>_xlfn.XLOOKUP(A872,'Model Modeshare by TAZ'!A:A,'Model Modeshare by TAZ'!D:D)</f>
        <v>NO</v>
      </c>
      <c r="D872" s="27">
        <v>3063.31</v>
      </c>
      <c r="E872" s="27">
        <v>54865.42</v>
      </c>
      <c r="F872" s="27">
        <v>2584.0100000000002</v>
      </c>
      <c r="G872" s="27">
        <v>19717.400000000001</v>
      </c>
      <c r="H872" s="27">
        <v>378.83</v>
      </c>
      <c r="I872" s="27">
        <v>4490.6000000000004</v>
      </c>
      <c r="J872" s="6">
        <v>1573</v>
      </c>
      <c r="K872" s="6">
        <v>200</v>
      </c>
      <c r="L872" s="27">
        <v>12.53490146217419</v>
      </c>
      <c r="M872" s="27">
        <v>22.453000000000003</v>
      </c>
      <c r="N872" s="34">
        <v>25.463581500282007</v>
      </c>
    </row>
    <row r="873" spans="1:14" x14ac:dyDescent="0.35">
      <c r="A873" s="82">
        <v>870</v>
      </c>
      <c r="B873" s="89" t="str">
        <f>_xlfn.XLOOKUP(A873,'Model Modeshare by TAZ'!A:A,'Model Modeshare by TAZ'!B:B)</f>
        <v>San Jose</v>
      </c>
      <c r="C873" s="90" t="str">
        <f>_xlfn.XLOOKUP(A873,'Model Modeshare by TAZ'!A:A,'Model Modeshare by TAZ'!D:D)</f>
        <v>NO</v>
      </c>
      <c r="D873" s="27">
        <v>925.41</v>
      </c>
      <c r="E873" s="27">
        <v>11618.72</v>
      </c>
      <c r="F873" s="27">
        <v>1106.56</v>
      </c>
      <c r="G873" s="27">
        <v>7004.4</v>
      </c>
      <c r="H873" s="27">
        <v>9.76</v>
      </c>
      <c r="I873" s="27">
        <v>118.53</v>
      </c>
      <c r="J873" s="6">
        <v>787</v>
      </c>
      <c r="K873" s="6">
        <v>5</v>
      </c>
      <c r="L873" s="27">
        <v>8.9001270648030495</v>
      </c>
      <c r="M873" s="27">
        <v>23.706</v>
      </c>
      <c r="N873" s="34">
        <v>12.79875</v>
      </c>
    </row>
    <row r="874" spans="1:14" x14ac:dyDescent="0.35">
      <c r="A874" s="82">
        <v>871</v>
      </c>
      <c r="B874" s="89" t="str">
        <f>_xlfn.XLOOKUP(A874,'Model Modeshare by TAZ'!A:A,'Model Modeshare by TAZ'!B:B)</f>
        <v>San Jose</v>
      </c>
      <c r="C874" s="90" t="str">
        <f>_xlfn.XLOOKUP(A874,'Model Modeshare by TAZ'!A:A,'Model Modeshare by TAZ'!D:D)</f>
        <v>NO</v>
      </c>
      <c r="D874" s="27">
        <v>7855.72</v>
      </c>
      <c r="E874" s="27">
        <v>146042.42000000001</v>
      </c>
      <c r="F874" s="27">
        <v>5388.58</v>
      </c>
      <c r="G874" s="27">
        <v>40791.31</v>
      </c>
      <c r="H874" s="27">
        <v>1538</v>
      </c>
      <c r="I874" s="27">
        <v>18680.02</v>
      </c>
      <c r="J874" s="6">
        <v>3386</v>
      </c>
      <c r="K874" s="6">
        <v>1160</v>
      </c>
      <c r="L874" s="27">
        <v>12.047049616066154</v>
      </c>
      <c r="M874" s="27">
        <v>16.103465517241379</v>
      </c>
      <c r="N874" s="34">
        <v>25.402408710954688</v>
      </c>
    </row>
    <row r="875" spans="1:14" x14ac:dyDescent="0.35">
      <c r="A875" s="82">
        <v>872</v>
      </c>
      <c r="B875" s="89" t="str">
        <f>_xlfn.XLOOKUP(A875,'Model Modeshare by TAZ'!A:A,'Model Modeshare by TAZ'!B:B)</f>
        <v>Los Gatos</v>
      </c>
      <c r="C875" s="90" t="str">
        <f>_xlfn.XLOOKUP(A875,'Model Modeshare by TAZ'!A:A,'Model Modeshare by TAZ'!D:D)</f>
        <v>NO</v>
      </c>
      <c r="D875" s="27">
        <v>959.87</v>
      </c>
      <c r="E875" s="27">
        <v>21645.759999999998</v>
      </c>
      <c r="F875" s="27">
        <v>949.54</v>
      </c>
      <c r="G875" s="27">
        <v>9628.4699999999993</v>
      </c>
      <c r="H875" s="27">
        <v>29.57</v>
      </c>
      <c r="I875" s="27">
        <v>472.55</v>
      </c>
      <c r="J875" s="6">
        <v>580</v>
      </c>
      <c r="K875" s="6">
        <v>15</v>
      </c>
      <c r="L875" s="27">
        <v>16.600810344827586</v>
      </c>
      <c r="M875" s="27">
        <v>31.503333333333334</v>
      </c>
      <c r="N875" s="34">
        <v>30.501899159663868</v>
      </c>
    </row>
    <row r="876" spans="1:14" x14ac:dyDescent="0.35">
      <c r="A876" s="82">
        <v>873</v>
      </c>
      <c r="B876" s="89" t="str">
        <f>_xlfn.XLOOKUP(A876,'Model Modeshare by TAZ'!A:A,'Model Modeshare by TAZ'!B:B)</f>
        <v>Los Gatos</v>
      </c>
      <c r="C876" s="90" t="str">
        <f>_xlfn.XLOOKUP(A876,'Model Modeshare by TAZ'!A:A,'Model Modeshare by TAZ'!D:D)</f>
        <v>NO</v>
      </c>
      <c r="D876" s="27">
        <v>3363.83</v>
      </c>
      <c r="E876" s="27">
        <v>62008.05</v>
      </c>
      <c r="F876" s="27">
        <v>3458.75</v>
      </c>
      <c r="G876" s="27">
        <v>27610.65</v>
      </c>
      <c r="H876" s="27">
        <v>156.75</v>
      </c>
      <c r="I876" s="27">
        <v>1947.41</v>
      </c>
      <c r="J876" s="6">
        <v>2102</v>
      </c>
      <c r="K876" s="6">
        <v>81</v>
      </c>
      <c r="L876" s="27">
        <v>13.135418648905805</v>
      </c>
      <c r="M876" s="27">
        <v>24.042098765432101</v>
      </c>
      <c r="N876" s="34">
        <v>23.660027485112231</v>
      </c>
    </row>
    <row r="877" spans="1:14" x14ac:dyDescent="0.35">
      <c r="A877" s="82">
        <v>874</v>
      </c>
      <c r="B877" s="89" t="str">
        <f>_xlfn.XLOOKUP(A877,'Model Modeshare by TAZ'!A:A,'Model Modeshare by TAZ'!B:B)</f>
        <v>Los Gatos</v>
      </c>
      <c r="C877" s="90" t="str">
        <f>_xlfn.XLOOKUP(A877,'Model Modeshare by TAZ'!A:A,'Model Modeshare by TAZ'!D:D)</f>
        <v>NO</v>
      </c>
      <c r="D877" s="27">
        <v>1334.25</v>
      </c>
      <c r="E877" s="27">
        <v>25486.41</v>
      </c>
      <c r="F877" s="27">
        <v>2739.96</v>
      </c>
      <c r="G877" s="27">
        <v>20544.349999999999</v>
      </c>
      <c r="H877" s="27">
        <v>2227.8200000000002</v>
      </c>
      <c r="I877" s="27">
        <v>28829.32</v>
      </c>
      <c r="J877" s="6">
        <v>1674</v>
      </c>
      <c r="K877" s="6">
        <v>1852</v>
      </c>
      <c r="L877" s="27">
        <v>12.272610513739545</v>
      </c>
      <c r="M877" s="27">
        <v>15.56658747300216</v>
      </c>
      <c r="N877" s="34">
        <v>36.251205331820763</v>
      </c>
    </row>
    <row r="878" spans="1:14" x14ac:dyDescent="0.35">
      <c r="A878" s="82">
        <v>875</v>
      </c>
      <c r="B878" s="89" t="str">
        <f>_xlfn.XLOOKUP(A878,'Model Modeshare by TAZ'!A:A,'Model Modeshare by TAZ'!B:B)</f>
        <v>San Jose</v>
      </c>
      <c r="C878" s="90" t="str">
        <f>_xlfn.XLOOKUP(A878,'Model Modeshare by TAZ'!A:A,'Model Modeshare by TAZ'!D:D)</f>
        <v>NO</v>
      </c>
      <c r="D878" s="27">
        <v>8107.32</v>
      </c>
      <c r="E878" s="27">
        <v>165253.03</v>
      </c>
      <c r="F878" s="27">
        <v>3859.72</v>
      </c>
      <c r="G878" s="27">
        <v>33278.559999999998</v>
      </c>
      <c r="H878" s="27">
        <v>1090.79</v>
      </c>
      <c r="I878" s="27">
        <v>13902.56</v>
      </c>
      <c r="J878" s="6">
        <v>2400</v>
      </c>
      <c r="K878" s="6">
        <v>908</v>
      </c>
      <c r="L878" s="27">
        <v>13.866066666666665</v>
      </c>
      <c r="M878" s="27">
        <v>15.311189427312774</v>
      </c>
      <c r="N878" s="34">
        <v>27.241254534461913</v>
      </c>
    </row>
    <row r="879" spans="1:14" x14ac:dyDescent="0.35">
      <c r="A879" s="82">
        <v>876</v>
      </c>
      <c r="B879" s="89" t="str">
        <f>_xlfn.XLOOKUP(A879,'Model Modeshare by TAZ'!A:A,'Model Modeshare by TAZ'!B:B)</f>
        <v>Santa Clara</v>
      </c>
      <c r="C879" s="90" t="str">
        <f>_xlfn.XLOOKUP(A879,'Model Modeshare by TAZ'!A:A,'Model Modeshare by TAZ'!D:D)</f>
        <v>NO</v>
      </c>
      <c r="D879" s="27">
        <v>3212.82</v>
      </c>
      <c r="E879" s="27">
        <v>37190.33</v>
      </c>
      <c r="F879" s="27">
        <v>2123.94</v>
      </c>
      <c r="G879" s="27">
        <v>8614.4500000000007</v>
      </c>
      <c r="H879" s="27">
        <v>708</v>
      </c>
      <c r="I879" s="27">
        <v>7920.14</v>
      </c>
      <c r="J879" s="6">
        <v>1625</v>
      </c>
      <c r="K879" s="6">
        <v>582</v>
      </c>
      <c r="L879" s="27">
        <v>5.3012000000000006</v>
      </c>
      <c r="M879" s="27">
        <v>13.608487972508591</v>
      </c>
      <c r="N879" s="34">
        <v>12.711694608065246</v>
      </c>
    </row>
    <row r="880" spans="1:14" x14ac:dyDescent="0.35">
      <c r="A880" s="82">
        <v>877</v>
      </c>
      <c r="B880" s="89" t="str">
        <f>_xlfn.XLOOKUP(A880,'Model Modeshare by TAZ'!A:A,'Model Modeshare by TAZ'!B:B)</f>
        <v>San Jose</v>
      </c>
      <c r="C880" s="90" t="str">
        <f>_xlfn.XLOOKUP(A880,'Model Modeshare by TAZ'!A:A,'Model Modeshare by TAZ'!D:D)</f>
        <v>NO</v>
      </c>
      <c r="D880" s="27">
        <v>7100.81</v>
      </c>
      <c r="E880" s="27">
        <v>193874.87</v>
      </c>
      <c r="F880" s="27">
        <v>0</v>
      </c>
      <c r="G880" s="27">
        <v>0</v>
      </c>
      <c r="H880" s="27">
        <v>3081.61</v>
      </c>
      <c r="I880" s="27">
        <v>43692.98</v>
      </c>
      <c r="J880" s="6">
        <v>0</v>
      </c>
      <c r="K880" s="6">
        <v>2688</v>
      </c>
      <c r="L880" s="27">
        <v>0</v>
      </c>
      <c r="M880" s="27">
        <v>16.254828869047621</v>
      </c>
      <c r="N880" s="34">
        <v>37.619501488095239</v>
      </c>
    </row>
    <row r="881" spans="1:14" x14ac:dyDescent="0.35">
      <c r="A881" s="82">
        <v>878</v>
      </c>
      <c r="B881" s="89" t="str">
        <f>_xlfn.XLOOKUP(A881,'Model Modeshare by TAZ'!A:A,'Model Modeshare by TAZ'!B:B)</f>
        <v>San Jose</v>
      </c>
      <c r="C881" s="90" t="str">
        <f>_xlfn.XLOOKUP(A881,'Model Modeshare by TAZ'!A:A,'Model Modeshare by TAZ'!D:D)</f>
        <v>NO</v>
      </c>
      <c r="D881" s="27">
        <v>7969.28</v>
      </c>
      <c r="E881" s="27">
        <v>142485.42000000001</v>
      </c>
      <c r="F881" s="27">
        <v>188.79</v>
      </c>
      <c r="G881" s="27">
        <v>1423.67</v>
      </c>
      <c r="H881" s="27">
        <v>1142.74</v>
      </c>
      <c r="I881" s="27">
        <v>12501.93</v>
      </c>
      <c r="J881" s="6">
        <v>124</v>
      </c>
      <c r="K881" s="6">
        <v>983</v>
      </c>
      <c r="L881" s="27">
        <v>11.481209677419356</v>
      </c>
      <c r="M881" s="27">
        <v>12.718138351983724</v>
      </c>
      <c r="N881" s="34">
        <v>81.26357723577236</v>
      </c>
    </row>
    <row r="882" spans="1:14" x14ac:dyDescent="0.35">
      <c r="A882" s="82">
        <v>879</v>
      </c>
      <c r="B882" s="89" t="str">
        <f>_xlfn.XLOOKUP(A882,'Model Modeshare by TAZ'!A:A,'Model Modeshare by TAZ'!B:B)</f>
        <v>San Jose</v>
      </c>
      <c r="C882" s="90" t="str">
        <f>_xlfn.XLOOKUP(A882,'Model Modeshare by TAZ'!A:A,'Model Modeshare by TAZ'!D:D)</f>
        <v>NO</v>
      </c>
      <c r="D882" s="27">
        <v>5656.5</v>
      </c>
      <c r="E882" s="27">
        <v>98269.69</v>
      </c>
      <c r="F882" s="27">
        <v>3895.96</v>
      </c>
      <c r="G882" s="27">
        <v>31370.17</v>
      </c>
      <c r="H882" s="27">
        <v>598.57000000000005</v>
      </c>
      <c r="I882" s="27">
        <v>5960.64</v>
      </c>
      <c r="J882" s="6">
        <v>3058</v>
      </c>
      <c r="K882" s="6">
        <v>411</v>
      </c>
      <c r="L882" s="27">
        <v>10.258394375408763</v>
      </c>
      <c r="M882" s="27">
        <v>14.502773722627738</v>
      </c>
      <c r="N882" s="34">
        <v>21.641571057941771</v>
      </c>
    </row>
    <row r="883" spans="1:14" x14ac:dyDescent="0.35">
      <c r="A883" s="82">
        <v>880</v>
      </c>
      <c r="B883" s="89" t="str">
        <f>_xlfn.XLOOKUP(A883,'Model Modeshare by TAZ'!A:A,'Model Modeshare by TAZ'!B:B)</f>
        <v>San Jose</v>
      </c>
      <c r="C883" s="90" t="str">
        <f>_xlfn.XLOOKUP(A883,'Model Modeshare by TAZ'!A:A,'Model Modeshare by TAZ'!D:D)</f>
        <v>NO</v>
      </c>
      <c r="D883" s="27">
        <v>1794.43</v>
      </c>
      <c r="E883" s="27">
        <v>35092.449999999997</v>
      </c>
      <c r="F883" s="27">
        <v>999.44</v>
      </c>
      <c r="G883" s="27">
        <v>9342.2000000000007</v>
      </c>
      <c r="H883" s="27">
        <v>222.67</v>
      </c>
      <c r="I883" s="27">
        <v>2970.23</v>
      </c>
      <c r="J883" s="6">
        <v>597</v>
      </c>
      <c r="K883" s="6">
        <v>148</v>
      </c>
      <c r="L883" s="27">
        <v>15.648576214405361</v>
      </c>
      <c r="M883" s="27">
        <v>20.069121621621623</v>
      </c>
      <c r="N883" s="34">
        <v>41.938697986577182</v>
      </c>
    </row>
    <row r="884" spans="1:14" x14ac:dyDescent="0.35">
      <c r="A884" s="82">
        <v>881</v>
      </c>
      <c r="B884" s="89" t="str">
        <f>_xlfn.XLOOKUP(A884,'Model Modeshare by TAZ'!A:A,'Model Modeshare by TAZ'!B:B)</f>
        <v>San Jose</v>
      </c>
      <c r="C884" s="90" t="str">
        <f>_xlfn.XLOOKUP(A884,'Model Modeshare by TAZ'!A:A,'Model Modeshare by TAZ'!D:D)</f>
        <v>NO</v>
      </c>
      <c r="D884" s="27">
        <v>3041.26</v>
      </c>
      <c r="E884" s="27">
        <v>37441.58</v>
      </c>
      <c r="F884" s="27">
        <v>2310.79</v>
      </c>
      <c r="G884" s="27">
        <v>13420.35</v>
      </c>
      <c r="H884" s="27">
        <v>348.42</v>
      </c>
      <c r="I884" s="27">
        <v>3617.2</v>
      </c>
      <c r="J884" s="6">
        <v>2122</v>
      </c>
      <c r="K884" s="6">
        <v>208</v>
      </c>
      <c r="L884" s="27">
        <v>6.3243873704052787</v>
      </c>
      <c r="M884" s="27">
        <v>17.390384615384615</v>
      </c>
      <c r="N884" s="34">
        <v>11.160283261802574</v>
      </c>
    </row>
    <row r="885" spans="1:14" x14ac:dyDescent="0.35">
      <c r="A885" s="82">
        <v>882</v>
      </c>
      <c r="B885" s="89" t="str">
        <f>_xlfn.XLOOKUP(A885,'Model Modeshare by TAZ'!A:A,'Model Modeshare by TAZ'!B:B)</f>
        <v>San Jose</v>
      </c>
      <c r="C885" s="90" t="str">
        <f>_xlfn.XLOOKUP(A885,'Model Modeshare by TAZ'!A:A,'Model Modeshare by TAZ'!D:D)</f>
        <v>NO</v>
      </c>
      <c r="D885" s="27">
        <v>2678.2</v>
      </c>
      <c r="E885" s="27">
        <v>46263.32</v>
      </c>
      <c r="F885" s="27">
        <v>2217.96</v>
      </c>
      <c r="G885" s="27">
        <v>17443.05</v>
      </c>
      <c r="H885" s="27">
        <v>42.83</v>
      </c>
      <c r="I885" s="27">
        <v>446.4</v>
      </c>
      <c r="J885" s="6">
        <v>1913</v>
      </c>
      <c r="K885" s="6">
        <v>23</v>
      </c>
      <c r="L885" s="27">
        <v>9.1181651855723995</v>
      </c>
      <c r="M885" s="27">
        <v>19.408695652173911</v>
      </c>
      <c r="N885" s="34">
        <v>15.509287190082645</v>
      </c>
    </row>
    <row r="886" spans="1:14" x14ac:dyDescent="0.35">
      <c r="A886" s="82">
        <v>883</v>
      </c>
      <c r="B886" s="89" t="str">
        <f>_xlfn.XLOOKUP(A886,'Model Modeshare by TAZ'!A:A,'Model Modeshare by TAZ'!B:B)</f>
        <v>San Jose</v>
      </c>
      <c r="C886" s="90" t="str">
        <f>_xlfn.XLOOKUP(A886,'Model Modeshare by TAZ'!A:A,'Model Modeshare by TAZ'!D:D)</f>
        <v>NO</v>
      </c>
      <c r="D886" s="27">
        <v>1667.11</v>
      </c>
      <c r="E886" s="27">
        <v>19050.5</v>
      </c>
      <c r="F886" s="27">
        <v>854.79</v>
      </c>
      <c r="G886" s="27">
        <v>3709.39</v>
      </c>
      <c r="H886" s="27">
        <v>893.04</v>
      </c>
      <c r="I886" s="27">
        <v>9331.84</v>
      </c>
      <c r="J886" s="6">
        <v>574</v>
      </c>
      <c r="K886" s="6">
        <v>789</v>
      </c>
      <c r="L886" s="27">
        <v>6.4623519163763063</v>
      </c>
      <c r="M886" s="27">
        <v>11.827427122940431</v>
      </c>
      <c r="N886" s="34">
        <v>23.074827586206897</v>
      </c>
    </row>
    <row r="887" spans="1:14" x14ac:dyDescent="0.35">
      <c r="A887" s="82">
        <v>884</v>
      </c>
      <c r="B887" s="89" t="str">
        <f>_xlfn.XLOOKUP(A887,'Model Modeshare by TAZ'!A:A,'Model Modeshare by TAZ'!B:B)</f>
        <v>San Jose</v>
      </c>
      <c r="C887" s="90" t="str">
        <f>_xlfn.XLOOKUP(A887,'Model Modeshare by TAZ'!A:A,'Model Modeshare by TAZ'!D:D)</f>
        <v>NO</v>
      </c>
      <c r="D887" s="27">
        <v>1468</v>
      </c>
      <c r="E887" s="27">
        <v>22684.21</v>
      </c>
      <c r="F887" s="27">
        <v>441.68</v>
      </c>
      <c r="G887" s="27">
        <v>2148.65</v>
      </c>
      <c r="H887" s="27">
        <v>297.64</v>
      </c>
      <c r="I887" s="27">
        <v>3156.16</v>
      </c>
      <c r="J887" s="6">
        <v>340</v>
      </c>
      <c r="K887" s="6">
        <v>264</v>
      </c>
      <c r="L887" s="27">
        <v>6.3195588235294125</v>
      </c>
      <c r="M887" s="27">
        <v>11.955151515151515</v>
      </c>
      <c r="N887" s="34">
        <v>28.479850993377486</v>
      </c>
    </row>
    <row r="888" spans="1:14" x14ac:dyDescent="0.35">
      <c r="A888" s="82">
        <v>885</v>
      </c>
      <c r="B888" s="89" t="str">
        <f>_xlfn.XLOOKUP(A888,'Model Modeshare by TAZ'!A:A,'Model Modeshare by TAZ'!B:B)</f>
        <v>San Jose</v>
      </c>
      <c r="C888" s="90" t="str">
        <f>_xlfn.XLOOKUP(A888,'Model Modeshare by TAZ'!A:A,'Model Modeshare by TAZ'!D:D)</f>
        <v>NO</v>
      </c>
      <c r="D888" s="27">
        <v>1037.94</v>
      </c>
      <c r="E888" s="27">
        <v>15500.56</v>
      </c>
      <c r="F888" s="27">
        <v>372.47</v>
      </c>
      <c r="G888" s="27">
        <v>1686.72</v>
      </c>
      <c r="H888" s="27">
        <v>483.51</v>
      </c>
      <c r="I888" s="27">
        <v>5063.63</v>
      </c>
      <c r="J888" s="6">
        <v>287</v>
      </c>
      <c r="K888" s="6">
        <v>431</v>
      </c>
      <c r="L888" s="27">
        <v>5.8770731707317072</v>
      </c>
      <c r="M888" s="27">
        <v>11.748561484918794</v>
      </c>
      <c r="N888" s="34">
        <v>22.570362116991642</v>
      </c>
    </row>
    <row r="889" spans="1:14" x14ac:dyDescent="0.35">
      <c r="A889" s="82">
        <v>886</v>
      </c>
      <c r="B889" s="89" t="str">
        <f>_xlfn.XLOOKUP(A889,'Model Modeshare by TAZ'!A:A,'Model Modeshare by TAZ'!B:B)</f>
        <v>San Jose</v>
      </c>
      <c r="C889" s="90" t="str">
        <f>_xlfn.XLOOKUP(A889,'Model Modeshare by TAZ'!A:A,'Model Modeshare by TAZ'!D:D)</f>
        <v>NO</v>
      </c>
      <c r="D889" s="27">
        <v>3843.89</v>
      </c>
      <c r="E889" s="27">
        <v>61730.63</v>
      </c>
      <c r="F889" s="27">
        <v>1105.31</v>
      </c>
      <c r="G889" s="27">
        <v>5326.28</v>
      </c>
      <c r="H889" s="27">
        <v>1575.61</v>
      </c>
      <c r="I889" s="27">
        <v>16523.580000000002</v>
      </c>
      <c r="J889" s="6">
        <v>924</v>
      </c>
      <c r="K889" s="6">
        <v>1431</v>
      </c>
      <c r="L889" s="27">
        <v>5.7643722943722944</v>
      </c>
      <c r="M889" s="27">
        <v>11.546876310272538</v>
      </c>
      <c r="N889" s="34">
        <v>22.922730360934182</v>
      </c>
    </row>
    <row r="890" spans="1:14" x14ac:dyDescent="0.35">
      <c r="A890" s="82">
        <v>887</v>
      </c>
      <c r="B890" s="89" t="str">
        <f>_xlfn.XLOOKUP(A890,'Model Modeshare by TAZ'!A:A,'Model Modeshare by TAZ'!B:B)</f>
        <v>San Jose</v>
      </c>
      <c r="C890" s="90" t="str">
        <f>_xlfn.XLOOKUP(A890,'Model Modeshare by TAZ'!A:A,'Model Modeshare by TAZ'!D:D)</f>
        <v>NO</v>
      </c>
      <c r="D890" s="27">
        <v>729.71</v>
      </c>
      <c r="E890" s="27">
        <v>11861.94</v>
      </c>
      <c r="F890" s="27">
        <v>1248.6099999999999</v>
      </c>
      <c r="G890" s="27">
        <v>5973.44</v>
      </c>
      <c r="H890" s="27">
        <v>565.48</v>
      </c>
      <c r="I890" s="27">
        <v>5839.55</v>
      </c>
      <c r="J890" s="6">
        <v>1174</v>
      </c>
      <c r="K890" s="6">
        <v>423</v>
      </c>
      <c r="L890" s="27">
        <v>5.0881090289608171</v>
      </c>
      <c r="M890" s="27">
        <v>13.805082742316785</v>
      </c>
      <c r="N890" s="34">
        <v>15.707351283656855</v>
      </c>
    </row>
    <row r="891" spans="1:14" x14ac:dyDescent="0.35">
      <c r="A891" s="82">
        <v>888</v>
      </c>
      <c r="B891" s="89" t="str">
        <f>_xlfn.XLOOKUP(A891,'Model Modeshare by TAZ'!A:A,'Model Modeshare by TAZ'!B:B)</f>
        <v>San Jose</v>
      </c>
      <c r="C891" s="90" t="str">
        <f>_xlfn.XLOOKUP(A891,'Model Modeshare by TAZ'!A:A,'Model Modeshare by TAZ'!D:D)</f>
        <v>NO</v>
      </c>
      <c r="D891" s="27">
        <v>376.03</v>
      </c>
      <c r="E891" s="27">
        <v>5888.8</v>
      </c>
      <c r="F891" s="27">
        <v>4.32</v>
      </c>
      <c r="G891" s="27">
        <v>12.82</v>
      </c>
      <c r="H891" s="27">
        <v>183.64</v>
      </c>
      <c r="I891" s="27">
        <v>1885.25</v>
      </c>
      <c r="J891" s="6">
        <v>23</v>
      </c>
      <c r="K891" s="6">
        <v>151</v>
      </c>
      <c r="L891" s="27">
        <v>0.55739130434782613</v>
      </c>
      <c r="M891" s="27">
        <v>12.485099337748345</v>
      </c>
      <c r="N891" s="34">
        <v>16.94948275862069</v>
      </c>
    </row>
    <row r="892" spans="1:14" x14ac:dyDescent="0.35">
      <c r="A892" s="82">
        <v>889</v>
      </c>
      <c r="B892" s="89" t="str">
        <f>_xlfn.XLOOKUP(A892,'Model Modeshare by TAZ'!A:A,'Model Modeshare by TAZ'!B:B)</f>
        <v>San Jose</v>
      </c>
      <c r="C892" s="90" t="str">
        <f>_xlfn.XLOOKUP(A892,'Model Modeshare by TAZ'!A:A,'Model Modeshare by TAZ'!D:D)</f>
        <v>NO</v>
      </c>
      <c r="D892" s="27">
        <v>2922.75</v>
      </c>
      <c r="E892" s="27">
        <v>30070.400000000001</v>
      </c>
      <c r="F892" s="27">
        <v>2430.14</v>
      </c>
      <c r="G892" s="27">
        <v>11801.94</v>
      </c>
      <c r="H892" s="27">
        <v>259.14</v>
      </c>
      <c r="I892" s="27">
        <v>2581.09</v>
      </c>
      <c r="J892" s="6">
        <v>1906</v>
      </c>
      <c r="K892" s="6">
        <v>147</v>
      </c>
      <c r="L892" s="27">
        <v>6.1919937040923401</v>
      </c>
      <c r="M892" s="27">
        <v>17.55843537414966</v>
      </c>
      <c r="N892" s="34">
        <v>12.144057476863127</v>
      </c>
    </row>
    <row r="893" spans="1:14" x14ac:dyDescent="0.35">
      <c r="A893" s="82">
        <v>890</v>
      </c>
      <c r="B893" s="89" t="str">
        <f>_xlfn.XLOOKUP(A893,'Model Modeshare by TAZ'!A:A,'Model Modeshare by TAZ'!B:B)</f>
        <v>San Jose</v>
      </c>
      <c r="C893" s="90" t="str">
        <f>_xlfn.XLOOKUP(A893,'Model Modeshare by TAZ'!A:A,'Model Modeshare by TAZ'!D:D)</f>
        <v>NO</v>
      </c>
      <c r="D893" s="27">
        <v>4521.29</v>
      </c>
      <c r="E893" s="27">
        <v>75267.86</v>
      </c>
      <c r="F893" s="27">
        <v>4586.17</v>
      </c>
      <c r="G893" s="27">
        <v>31145.71</v>
      </c>
      <c r="H893" s="27">
        <v>247.35</v>
      </c>
      <c r="I893" s="27">
        <v>2713.45</v>
      </c>
      <c r="J893" s="6">
        <v>3041</v>
      </c>
      <c r="K893" s="6">
        <v>140</v>
      </c>
      <c r="L893" s="27">
        <v>10.241930286090101</v>
      </c>
      <c r="M893" s="27">
        <v>19.381785714285712</v>
      </c>
      <c r="N893" s="34">
        <v>23.789415278214399</v>
      </c>
    </row>
    <row r="894" spans="1:14" x14ac:dyDescent="0.35">
      <c r="A894" s="82">
        <v>891</v>
      </c>
      <c r="B894" s="89" t="str">
        <f>_xlfn.XLOOKUP(A894,'Model Modeshare by TAZ'!A:A,'Model Modeshare by TAZ'!B:B)</f>
        <v>San Jose</v>
      </c>
      <c r="C894" s="90" t="str">
        <f>_xlfn.XLOOKUP(A894,'Model Modeshare by TAZ'!A:A,'Model Modeshare by TAZ'!D:D)</f>
        <v>NO</v>
      </c>
      <c r="D894" s="27">
        <v>6195.93</v>
      </c>
      <c r="E894" s="27">
        <v>105721.48</v>
      </c>
      <c r="F894" s="27">
        <v>5884.76</v>
      </c>
      <c r="G894" s="27">
        <v>39126.79</v>
      </c>
      <c r="H894" s="27">
        <v>490.98</v>
      </c>
      <c r="I894" s="27">
        <v>5267.59</v>
      </c>
      <c r="J894" s="6">
        <v>3917</v>
      </c>
      <c r="K894" s="6">
        <v>278</v>
      </c>
      <c r="L894" s="27">
        <v>9.9889685984171557</v>
      </c>
      <c r="M894" s="27">
        <v>18.948165467625898</v>
      </c>
      <c r="N894" s="34">
        <v>22.249837902264602</v>
      </c>
    </row>
    <row r="895" spans="1:14" x14ac:dyDescent="0.35">
      <c r="A895" s="82">
        <v>892</v>
      </c>
      <c r="B895" s="89" t="str">
        <f>_xlfn.XLOOKUP(A895,'Model Modeshare by TAZ'!A:A,'Model Modeshare by TAZ'!B:B)</f>
        <v>San Jose</v>
      </c>
      <c r="C895" s="90" t="str">
        <f>_xlfn.XLOOKUP(A895,'Model Modeshare by TAZ'!A:A,'Model Modeshare by TAZ'!D:D)</f>
        <v>NO</v>
      </c>
      <c r="D895" s="27">
        <v>5943.32</v>
      </c>
      <c r="E895" s="27">
        <v>96478.64</v>
      </c>
      <c r="F895" s="27">
        <v>4999.8999999999996</v>
      </c>
      <c r="G895" s="27">
        <v>31482.91</v>
      </c>
      <c r="H895" s="27">
        <v>564.35</v>
      </c>
      <c r="I895" s="27">
        <v>6553.45</v>
      </c>
      <c r="J895" s="6">
        <v>3310</v>
      </c>
      <c r="K895" s="6">
        <v>310</v>
      </c>
      <c r="L895" s="27">
        <v>9.5114531722054387</v>
      </c>
      <c r="M895" s="27">
        <v>21.140161290322581</v>
      </c>
      <c r="N895" s="34">
        <v>23.396720994475139</v>
      </c>
    </row>
    <row r="896" spans="1:14" x14ac:dyDescent="0.35">
      <c r="A896" s="82">
        <v>893</v>
      </c>
      <c r="B896" s="89" t="str">
        <f>_xlfn.XLOOKUP(A896,'Model Modeshare by TAZ'!A:A,'Model Modeshare by TAZ'!B:B)</f>
        <v>San Jose</v>
      </c>
      <c r="C896" s="90" t="str">
        <f>_xlfn.XLOOKUP(A896,'Model Modeshare by TAZ'!A:A,'Model Modeshare by TAZ'!D:D)</f>
        <v>NO</v>
      </c>
      <c r="D896" s="27">
        <v>9736.25</v>
      </c>
      <c r="E896" s="27">
        <v>130633.52</v>
      </c>
      <c r="F896" s="27">
        <v>7566.69</v>
      </c>
      <c r="G896" s="27">
        <v>40253.760000000002</v>
      </c>
      <c r="H896" s="27">
        <v>2750.87</v>
      </c>
      <c r="I896" s="27">
        <v>30736.93</v>
      </c>
      <c r="J896" s="6">
        <v>5149</v>
      </c>
      <c r="K896" s="6">
        <v>2392</v>
      </c>
      <c r="L896" s="27">
        <v>7.8177820936104103</v>
      </c>
      <c r="M896" s="27">
        <v>12.84988712374582</v>
      </c>
      <c r="N896" s="34">
        <v>19.711620474738098</v>
      </c>
    </row>
    <row r="897" spans="1:14" x14ac:dyDescent="0.35">
      <c r="A897" s="82">
        <v>894</v>
      </c>
      <c r="B897" s="89" t="str">
        <f>_xlfn.XLOOKUP(A897,'Model Modeshare by TAZ'!A:A,'Model Modeshare by TAZ'!B:B)</f>
        <v>San Jose</v>
      </c>
      <c r="C897" s="90" t="str">
        <f>_xlfn.XLOOKUP(A897,'Model Modeshare by TAZ'!A:A,'Model Modeshare by TAZ'!D:D)</f>
        <v>NO</v>
      </c>
      <c r="D897" s="27">
        <v>5880.2</v>
      </c>
      <c r="E897" s="27">
        <v>68143.55</v>
      </c>
      <c r="F897" s="27">
        <v>6612.08</v>
      </c>
      <c r="G897" s="27">
        <v>33098.06</v>
      </c>
      <c r="H897" s="27">
        <v>606.98</v>
      </c>
      <c r="I897" s="27">
        <v>6535.84</v>
      </c>
      <c r="J897" s="6">
        <v>4241</v>
      </c>
      <c r="K897" s="6">
        <v>335</v>
      </c>
      <c r="L897" s="27">
        <v>7.8043055883046444</v>
      </c>
      <c r="M897" s="27">
        <v>19.509970149253732</v>
      </c>
      <c r="N897" s="34">
        <v>14.726791958041959</v>
      </c>
    </row>
    <row r="898" spans="1:14" x14ac:dyDescent="0.35">
      <c r="A898" s="82">
        <v>895</v>
      </c>
      <c r="B898" s="89" t="str">
        <f>_xlfn.XLOOKUP(A898,'Model Modeshare by TAZ'!A:A,'Model Modeshare by TAZ'!B:B)</f>
        <v>San Jose</v>
      </c>
      <c r="C898" s="90" t="str">
        <f>_xlfn.XLOOKUP(A898,'Model Modeshare by TAZ'!A:A,'Model Modeshare by TAZ'!D:D)</f>
        <v>NO</v>
      </c>
      <c r="D898" s="27">
        <v>6679.41</v>
      </c>
      <c r="E898" s="27">
        <v>119148.54</v>
      </c>
      <c r="F898" s="27">
        <v>4508.33</v>
      </c>
      <c r="G898" s="27">
        <v>28507.73</v>
      </c>
      <c r="H898" s="27">
        <v>1044.77</v>
      </c>
      <c r="I898" s="27">
        <v>11999.61</v>
      </c>
      <c r="J898" s="6">
        <v>2802</v>
      </c>
      <c r="K898" s="6">
        <v>580</v>
      </c>
      <c r="L898" s="27">
        <v>10.174064953604567</v>
      </c>
      <c r="M898" s="27">
        <v>20.688982758620689</v>
      </c>
      <c r="N898" s="34">
        <v>25.642241277350678</v>
      </c>
    </row>
    <row r="899" spans="1:14" x14ac:dyDescent="0.35">
      <c r="A899" s="82">
        <v>896</v>
      </c>
      <c r="B899" s="89" t="str">
        <f>_xlfn.XLOOKUP(A899,'Model Modeshare by TAZ'!A:A,'Model Modeshare by TAZ'!B:B)</f>
        <v>San Jose</v>
      </c>
      <c r="C899" s="90" t="str">
        <f>_xlfn.XLOOKUP(A899,'Model Modeshare by TAZ'!A:A,'Model Modeshare by TAZ'!D:D)</f>
        <v>NO</v>
      </c>
      <c r="D899" s="27">
        <v>4367.8599999999997</v>
      </c>
      <c r="E899" s="27">
        <v>77162.58</v>
      </c>
      <c r="F899" s="27">
        <v>3711.06</v>
      </c>
      <c r="G899" s="27">
        <v>24954.31</v>
      </c>
      <c r="H899" s="27">
        <v>660.28</v>
      </c>
      <c r="I899" s="27">
        <v>8074.24</v>
      </c>
      <c r="J899" s="6">
        <v>2431</v>
      </c>
      <c r="K899" s="6">
        <v>363</v>
      </c>
      <c r="L899" s="27">
        <v>10.26503907856849</v>
      </c>
      <c r="M899" s="27">
        <v>22.243085399449036</v>
      </c>
      <c r="N899" s="34">
        <v>24.948600572655689</v>
      </c>
    </row>
    <row r="900" spans="1:14" x14ac:dyDescent="0.35">
      <c r="A900" s="82">
        <v>897</v>
      </c>
      <c r="B900" s="89" t="str">
        <f>_xlfn.XLOOKUP(A900,'Model Modeshare by TAZ'!A:A,'Model Modeshare by TAZ'!B:B)</f>
        <v>San Jose</v>
      </c>
      <c r="C900" s="90" t="str">
        <f>_xlfn.XLOOKUP(A900,'Model Modeshare by TAZ'!A:A,'Model Modeshare by TAZ'!D:D)</f>
        <v>NO</v>
      </c>
      <c r="D900" s="27">
        <v>4543.7</v>
      </c>
      <c r="E900" s="27">
        <v>56884.56</v>
      </c>
      <c r="F900" s="27">
        <v>3713.91</v>
      </c>
      <c r="G900" s="27">
        <v>18218.38</v>
      </c>
      <c r="H900" s="27">
        <v>1571.57</v>
      </c>
      <c r="I900" s="27">
        <v>16877.12</v>
      </c>
      <c r="J900" s="6">
        <v>2384</v>
      </c>
      <c r="K900" s="6">
        <v>1371</v>
      </c>
      <c r="L900" s="27">
        <v>7.6419379194630874</v>
      </c>
      <c r="M900" s="27">
        <v>12.310080233406271</v>
      </c>
      <c r="N900" s="34">
        <v>17.92274034620506</v>
      </c>
    </row>
    <row r="901" spans="1:14" x14ac:dyDescent="0.35">
      <c r="A901" s="82">
        <v>898</v>
      </c>
      <c r="B901" s="89" t="str">
        <f>_xlfn.XLOOKUP(A901,'Model Modeshare by TAZ'!A:A,'Model Modeshare by TAZ'!B:B)</f>
        <v>San Jose</v>
      </c>
      <c r="C901" s="90" t="str">
        <f>_xlfn.XLOOKUP(A901,'Model Modeshare by TAZ'!A:A,'Model Modeshare by TAZ'!D:D)</f>
        <v>NO</v>
      </c>
      <c r="D901" s="27">
        <v>10576.19</v>
      </c>
      <c r="E901" s="27">
        <v>110359.57</v>
      </c>
      <c r="F901" s="27">
        <v>9342.7000000000007</v>
      </c>
      <c r="G901" s="27">
        <v>45232.92</v>
      </c>
      <c r="H901" s="27">
        <v>1410.01</v>
      </c>
      <c r="I901" s="27">
        <v>14998.85</v>
      </c>
      <c r="J901" s="6">
        <v>7329</v>
      </c>
      <c r="K901" s="6">
        <v>798</v>
      </c>
      <c r="L901" s="27">
        <v>6.1717724109701182</v>
      </c>
      <c r="M901" s="27">
        <v>18.795551378446117</v>
      </c>
      <c r="N901" s="34">
        <v>11.681290759197736</v>
      </c>
    </row>
    <row r="902" spans="1:14" x14ac:dyDescent="0.35">
      <c r="A902" s="82">
        <v>899</v>
      </c>
      <c r="B902" s="89" t="str">
        <f>_xlfn.XLOOKUP(A902,'Model Modeshare by TAZ'!A:A,'Model Modeshare by TAZ'!B:B)</f>
        <v>San Jose</v>
      </c>
      <c r="C902" s="90" t="str">
        <f>_xlfn.XLOOKUP(A902,'Model Modeshare by TAZ'!A:A,'Model Modeshare by TAZ'!D:D)</f>
        <v>NO</v>
      </c>
      <c r="D902" s="27">
        <v>6328.25</v>
      </c>
      <c r="E902" s="27">
        <v>74402.2</v>
      </c>
      <c r="F902" s="27">
        <v>6231.2</v>
      </c>
      <c r="G902" s="27">
        <v>33106.03</v>
      </c>
      <c r="H902" s="27">
        <v>467.27</v>
      </c>
      <c r="I902" s="27">
        <v>5128.32</v>
      </c>
      <c r="J902" s="6">
        <v>3974</v>
      </c>
      <c r="K902" s="6">
        <v>263</v>
      </c>
      <c r="L902" s="27">
        <v>8.3306567689984892</v>
      </c>
      <c r="M902" s="27">
        <v>19.499315589353611</v>
      </c>
      <c r="N902" s="34">
        <v>14.824224687278734</v>
      </c>
    </row>
    <row r="903" spans="1:14" x14ac:dyDescent="0.35">
      <c r="A903" s="82">
        <v>900</v>
      </c>
      <c r="B903" s="89" t="str">
        <f>_xlfn.XLOOKUP(A903,'Model Modeshare by TAZ'!A:A,'Model Modeshare by TAZ'!B:B)</f>
        <v>San Jose</v>
      </c>
      <c r="C903" s="90" t="str">
        <f>_xlfn.XLOOKUP(A903,'Model Modeshare by TAZ'!A:A,'Model Modeshare by TAZ'!D:D)</f>
        <v>NO</v>
      </c>
      <c r="D903" s="27">
        <v>13135.66</v>
      </c>
      <c r="E903" s="27">
        <v>221544.48</v>
      </c>
      <c r="F903" s="27">
        <v>10494.88</v>
      </c>
      <c r="G903" s="27">
        <v>65660.289999999994</v>
      </c>
      <c r="H903" s="27">
        <v>2102.75</v>
      </c>
      <c r="I903" s="27">
        <v>24119.49</v>
      </c>
      <c r="J903" s="6">
        <v>8008</v>
      </c>
      <c r="K903" s="6">
        <v>1500</v>
      </c>
      <c r="L903" s="27">
        <v>8.1993369130869116</v>
      </c>
      <c r="M903" s="27">
        <v>16.079660000000001</v>
      </c>
      <c r="N903" s="34">
        <v>21.768635885570045</v>
      </c>
    </row>
    <row r="904" spans="1:14" x14ac:dyDescent="0.35">
      <c r="A904" s="82">
        <v>901</v>
      </c>
      <c r="B904" s="89" t="str">
        <f>_xlfn.XLOOKUP(A904,'Model Modeshare by TAZ'!A:A,'Model Modeshare by TAZ'!B:B)</f>
        <v>Unincorporated</v>
      </c>
      <c r="C904" s="90" t="str">
        <f>_xlfn.XLOOKUP(A904,'Model Modeshare by TAZ'!A:A,'Model Modeshare by TAZ'!D:D)</f>
        <v>NO</v>
      </c>
      <c r="D904" s="27">
        <v>1977.45</v>
      </c>
      <c r="E904" s="27">
        <v>24227.77</v>
      </c>
      <c r="F904" s="27">
        <v>1597.1</v>
      </c>
      <c r="G904" s="27">
        <v>7410.77</v>
      </c>
      <c r="H904" s="27">
        <v>481.82</v>
      </c>
      <c r="I904" s="27">
        <v>5117.28</v>
      </c>
      <c r="J904" s="6">
        <v>1162</v>
      </c>
      <c r="K904" s="6">
        <v>321</v>
      </c>
      <c r="L904" s="27">
        <v>6.3775989672977627</v>
      </c>
      <c r="M904" s="27">
        <v>15.941682242990654</v>
      </c>
      <c r="N904" s="34">
        <v>17.780923803101821</v>
      </c>
    </row>
    <row r="905" spans="1:14" x14ac:dyDescent="0.35">
      <c r="A905" s="82">
        <v>902</v>
      </c>
      <c r="B905" s="89" t="str">
        <f>_xlfn.XLOOKUP(A905,'Model Modeshare by TAZ'!A:A,'Model Modeshare by TAZ'!B:B)</f>
        <v>San Jose</v>
      </c>
      <c r="C905" s="90" t="str">
        <f>_xlfn.XLOOKUP(A905,'Model Modeshare by TAZ'!A:A,'Model Modeshare by TAZ'!D:D)</f>
        <v>NO</v>
      </c>
      <c r="D905" s="27">
        <v>2671.58</v>
      </c>
      <c r="E905" s="27">
        <v>44433.88</v>
      </c>
      <c r="F905" s="27">
        <v>2000.32</v>
      </c>
      <c r="G905" s="27">
        <v>12185.42</v>
      </c>
      <c r="H905" s="27">
        <v>468.65</v>
      </c>
      <c r="I905" s="27">
        <v>5077.2700000000004</v>
      </c>
      <c r="J905" s="6">
        <v>1302</v>
      </c>
      <c r="K905" s="6">
        <v>339</v>
      </c>
      <c r="L905" s="27">
        <v>9.3590015360983099</v>
      </c>
      <c r="M905" s="27">
        <v>14.977197640117996</v>
      </c>
      <c r="N905" s="34">
        <v>23.444399756246192</v>
      </c>
    </row>
    <row r="906" spans="1:14" x14ac:dyDescent="0.35">
      <c r="A906" s="82">
        <v>903</v>
      </c>
      <c r="B906" s="89" t="str">
        <f>_xlfn.XLOOKUP(A906,'Model Modeshare by TAZ'!A:A,'Model Modeshare by TAZ'!B:B)</f>
        <v>San Jose</v>
      </c>
      <c r="C906" s="90" t="str">
        <f>_xlfn.XLOOKUP(A906,'Model Modeshare by TAZ'!A:A,'Model Modeshare by TAZ'!D:D)</f>
        <v>NO</v>
      </c>
      <c r="D906" s="27">
        <v>3965.23</v>
      </c>
      <c r="E906" s="27">
        <v>95553.919999999998</v>
      </c>
      <c r="F906" s="27">
        <v>0</v>
      </c>
      <c r="G906" s="27">
        <v>0</v>
      </c>
      <c r="H906" s="27">
        <v>0</v>
      </c>
      <c r="I906" s="27">
        <v>0</v>
      </c>
      <c r="J906" s="6">
        <v>1</v>
      </c>
      <c r="K906" s="6">
        <v>0</v>
      </c>
      <c r="L906" s="27">
        <v>0</v>
      </c>
      <c r="M906" s="27">
        <v>0</v>
      </c>
      <c r="N906" s="34">
        <v>42299.23</v>
      </c>
    </row>
    <row r="907" spans="1:14" x14ac:dyDescent="0.35">
      <c r="A907" s="82">
        <v>904</v>
      </c>
      <c r="B907" s="89" t="str">
        <f>_xlfn.XLOOKUP(A907,'Model Modeshare by TAZ'!A:A,'Model Modeshare by TAZ'!B:B)</f>
        <v>San Jose</v>
      </c>
      <c r="C907" s="90" t="str">
        <f>_xlfn.XLOOKUP(A907,'Model Modeshare by TAZ'!A:A,'Model Modeshare by TAZ'!D:D)</f>
        <v>NO</v>
      </c>
      <c r="D907" s="27">
        <v>3167.7</v>
      </c>
      <c r="E907" s="27">
        <v>81238.38</v>
      </c>
      <c r="F907" s="27">
        <v>2373.02</v>
      </c>
      <c r="G907" s="27">
        <v>22090.35</v>
      </c>
      <c r="H907" s="27">
        <v>2302.46</v>
      </c>
      <c r="I907" s="27">
        <v>40423.370000000003</v>
      </c>
      <c r="J907" s="6">
        <v>1583</v>
      </c>
      <c r="K907" s="6">
        <v>1713</v>
      </c>
      <c r="L907" s="27">
        <v>13.954737839545167</v>
      </c>
      <c r="M907" s="27">
        <v>23.597997664915354</v>
      </c>
      <c r="N907" s="34">
        <v>37.240400485436894</v>
      </c>
    </row>
    <row r="908" spans="1:14" x14ac:dyDescent="0.35">
      <c r="A908" s="82">
        <v>905</v>
      </c>
      <c r="B908" s="89" t="str">
        <f>_xlfn.XLOOKUP(A908,'Model Modeshare by TAZ'!A:A,'Model Modeshare by TAZ'!B:B)</f>
        <v>San Jose</v>
      </c>
      <c r="C908" s="90" t="str">
        <f>_xlfn.XLOOKUP(A908,'Model Modeshare by TAZ'!A:A,'Model Modeshare by TAZ'!D:D)</f>
        <v>NO</v>
      </c>
      <c r="D908" s="27">
        <v>414.95</v>
      </c>
      <c r="E908" s="27">
        <v>10077.56</v>
      </c>
      <c r="F908" s="27">
        <v>0</v>
      </c>
      <c r="G908" s="27">
        <v>0</v>
      </c>
      <c r="H908" s="27">
        <v>624.92999999999995</v>
      </c>
      <c r="I908" s="27">
        <v>7933.36</v>
      </c>
      <c r="J908" s="6">
        <v>0</v>
      </c>
      <c r="K908" s="6">
        <v>524</v>
      </c>
      <c r="L908" s="27">
        <v>0</v>
      </c>
      <c r="M908" s="27">
        <v>15.139999999999999</v>
      </c>
      <c r="N908" s="34">
        <v>35.009923664122141</v>
      </c>
    </row>
    <row r="909" spans="1:14" x14ac:dyDescent="0.35">
      <c r="A909" s="82">
        <v>906</v>
      </c>
      <c r="B909" s="89" t="str">
        <f>_xlfn.XLOOKUP(A909,'Model Modeshare by TAZ'!A:A,'Model Modeshare by TAZ'!B:B)</f>
        <v>San Jose</v>
      </c>
      <c r="C909" s="90" t="str">
        <f>_xlfn.XLOOKUP(A909,'Model Modeshare by TAZ'!A:A,'Model Modeshare by TAZ'!D:D)</f>
        <v>NO</v>
      </c>
      <c r="D909" s="27">
        <v>6435.92</v>
      </c>
      <c r="E909" s="27">
        <v>120791.35</v>
      </c>
      <c r="F909" s="27">
        <v>2523.9</v>
      </c>
      <c r="G909" s="27">
        <v>17021.310000000001</v>
      </c>
      <c r="H909" s="27">
        <v>1616.35</v>
      </c>
      <c r="I909" s="27">
        <v>16674.560000000001</v>
      </c>
      <c r="J909" s="6">
        <v>1372</v>
      </c>
      <c r="K909" s="6">
        <v>1401</v>
      </c>
      <c r="L909" s="27">
        <v>12.406202623906706</v>
      </c>
      <c r="M909" s="27">
        <v>11.90189864382584</v>
      </c>
      <c r="N909" s="34">
        <v>36.197630724846739</v>
      </c>
    </row>
    <row r="910" spans="1:14" x14ac:dyDescent="0.35">
      <c r="A910" s="82">
        <v>907</v>
      </c>
      <c r="B910" s="89" t="str">
        <f>_xlfn.XLOOKUP(A910,'Model Modeshare by TAZ'!A:A,'Model Modeshare by TAZ'!B:B)</f>
        <v>Campbell</v>
      </c>
      <c r="C910" s="90" t="str">
        <f>_xlfn.XLOOKUP(A910,'Model Modeshare by TAZ'!A:A,'Model Modeshare by TAZ'!D:D)</f>
        <v>NO</v>
      </c>
      <c r="D910" s="27">
        <v>4928.29</v>
      </c>
      <c r="E910" s="27">
        <v>76512.56</v>
      </c>
      <c r="F910" s="27">
        <v>2472.6999999999998</v>
      </c>
      <c r="G910" s="27">
        <v>13497.61</v>
      </c>
      <c r="H910" s="27">
        <v>1640.33</v>
      </c>
      <c r="I910" s="27">
        <v>18537.419999999998</v>
      </c>
      <c r="J910" s="6">
        <v>1701</v>
      </c>
      <c r="K910" s="6">
        <v>1427</v>
      </c>
      <c r="L910" s="27">
        <v>7.9351028806584365</v>
      </c>
      <c r="M910" s="27">
        <v>12.990483531885072</v>
      </c>
      <c r="N910" s="34">
        <v>22.980872762148337</v>
      </c>
    </row>
    <row r="911" spans="1:14" x14ac:dyDescent="0.35">
      <c r="A911" s="82">
        <v>908</v>
      </c>
      <c r="B911" s="89" t="str">
        <f>_xlfn.XLOOKUP(A911,'Model Modeshare by TAZ'!A:A,'Model Modeshare by TAZ'!B:B)</f>
        <v>San Jose</v>
      </c>
      <c r="C911" s="90" t="str">
        <f>_xlfn.XLOOKUP(A911,'Model Modeshare by TAZ'!A:A,'Model Modeshare by TAZ'!D:D)</f>
        <v>NO</v>
      </c>
      <c r="D911" s="27">
        <v>4703.0600000000004</v>
      </c>
      <c r="E911" s="27">
        <v>64724.42</v>
      </c>
      <c r="F911" s="27">
        <v>4015.94</v>
      </c>
      <c r="G911" s="27">
        <v>24382.13</v>
      </c>
      <c r="H911" s="27">
        <v>986.7</v>
      </c>
      <c r="I911" s="27">
        <v>9864.5300000000007</v>
      </c>
      <c r="J911" s="6">
        <v>2646</v>
      </c>
      <c r="K911" s="6">
        <v>693</v>
      </c>
      <c r="L911" s="27">
        <v>9.2147127739984889</v>
      </c>
      <c r="M911" s="27">
        <v>14.234531024531025</v>
      </c>
      <c r="N911" s="34">
        <v>21.608256963162624</v>
      </c>
    </row>
    <row r="912" spans="1:14" x14ac:dyDescent="0.35">
      <c r="A912" s="82">
        <v>909</v>
      </c>
      <c r="B912" s="89" t="str">
        <f>_xlfn.XLOOKUP(A912,'Model Modeshare by TAZ'!A:A,'Model Modeshare by TAZ'!B:B)</f>
        <v>San Jose</v>
      </c>
      <c r="C912" s="90" t="str">
        <f>_xlfn.XLOOKUP(A912,'Model Modeshare by TAZ'!A:A,'Model Modeshare by TAZ'!D:D)</f>
        <v>NO</v>
      </c>
      <c r="D912" s="27">
        <v>3777.99</v>
      </c>
      <c r="E912" s="27">
        <v>54107.75</v>
      </c>
      <c r="F912" s="27">
        <v>3114.98</v>
      </c>
      <c r="G912" s="27">
        <v>18600.86</v>
      </c>
      <c r="H912" s="27">
        <v>560.91999999999996</v>
      </c>
      <c r="I912" s="27">
        <v>5583.61</v>
      </c>
      <c r="J912" s="6">
        <v>1979</v>
      </c>
      <c r="K912" s="6">
        <v>317</v>
      </c>
      <c r="L912" s="27">
        <v>9.3991207680646802</v>
      </c>
      <c r="M912" s="27">
        <v>17.613911671924289</v>
      </c>
      <c r="N912" s="34">
        <v>20.536310975609759</v>
      </c>
    </row>
    <row r="913" spans="1:14" x14ac:dyDescent="0.35">
      <c r="A913" s="82">
        <v>910</v>
      </c>
      <c r="B913" s="89" t="str">
        <f>_xlfn.XLOOKUP(A913,'Model Modeshare by TAZ'!A:A,'Model Modeshare by TAZ'!B:B)</f>
        <v>San Jose</v>
      </c>
      <c r="C913" s="90" t="str">
        <f>_xlfn.XLOOKUP(A913,'Model Modeshare by TAZ'!A:A,'Model Modeshare by TAZ'!D:D)</f>
        <v>NO</v>
      </c>
      <c r="D913" s="27">
        <v>2531.0100000000002</v>
      </c>
      <c r="E913" s="27">
        <v>33496.01</v>
      </c>
      <c r="F913" s="27">
        <v>2210.9699999999998</v>
      </c>
      <c r="G913" s="27">
        <v>13229.31</v>
      </c>
      <c r="H913" s="27">
        <v>262.95</v>
      </c>
      <c r="I913" s="27">
        <v>2690.71</v>
      </c>
      <c r="J913" s="6">
        <v>1453</v>
      </c>
      <c r="K913" s="6">
        <v>146</v>
      </c>
      <c r="L913" s="27">
        <v>9.104824501032347</v>
      </c>
      <c r="M913" s="27">
        <v>18.429520547945206</v>
      </c>
      <c r="N913" s="34">
        <v>17.33055659787367</v>
      </c>
    </row>
    <row r="914" spans="1:14" x14ac:dyDescent="0.35">
      <c r="A914" s="82">
        <v>911</v>
      </c>
      <c r="B914" s="89" t="str">
        <f>_xlfn.XLOOKUP(A914,'Model Modeshare by TAZ'!A:A,'Model Modeshare by TAZ'!B:B)</f>
        <v>San Jose</v>
      </c>
      <c r="C914" s="90" t="str">
        <f>_xlfn.XLOOKUP(A914,'Model Modeshare by TAZ'!A:A,'Model Modeshare by TAZ'!D:D)</f>
        <v>NO</v>
      </c>
      <c r="D914" s="27">
        <v>5866.03</v>
      </c>
      <c r="E914" s="27">
        <v>66228.72</v>
      </c>
      <c r="F914" s="27">
        <v>6134.13</v>
      </c>
      <c r="G914" s="27">
        <v>33387.85</v>
      </c>
      <c r="H914" s="27">
        <v>590.09</v>
      </c>
      <c r="I914" s="27">
        <v>5602.18</v>
      </c>
      <c r="J914" s="6">
        <v>4026</v>
      </c>
      <c r="K914" s="6">
        <v>333</v>
      </c>
      <c r="L914" s="27">
        <v>8.293057625434674</v>
      </c>
      <c r="M914" s="27">
        <v>16.823363363363363</v>
      </c>
      <c r="N914" s="34">
        <v>12.787873365450791</v>
      </c>
    </row>
    <row r="915" spans="1:14" x14ac:dyDescent="0.35">
      <c r="A915" s="82">
        <v>912</v>
      </c>
      <c r="B915" s="89" t="str">
        <f>_xlfn.XLOOKUP(A915,'Model Modeshare by TAZ'!A:A,'Model Modeshare by TAZ'!B:B)</f>
        <v>San Jose</v>
      </c>
      <c r="C915" s="90" t="str">
        <f>_xlfn.XLOOKUP(A915,'Model Modeshare by TAZ'!A:A,'Model Modeshare by TAZ'!D:D)</f>
        <v>NO</v>
      </c>
      <c r="D915" s="27">
        <v>2891.21</v>
      </c>
      <c r="E915" s="27">
        <v>50280.86</v>
      </c>
      <c r="F915" s="27">
        <v>2847.77</v>
      </c>
      <c r="G915" s="27">
        <v>21840.2</v>
      </c>
      <c r="H915" s="27">
        <v>523.16999999999996</v>
      </c>
      <c r="I915" s="27">
        <v>6063.2</v>
      </c>
      <c r="J915" s="6">
        <v>1765</v>
      </c>
      <c r="K915" s="6">
        <v>278</v>
      </c>
      <c r="L915" s="27">
        <v>12.374050991501417</v>
      </c>
      <c r="M915" s="27">
        <v>21.810071942446044</v>
      </c>
      <c r="N915" s="34">
        <v>23.920533529123837</v>
      </c>
    </row>
    <row r="916" spans="1:14" x14ac:dyDescent="0.35">
      <c r="A916" s="82">
        <v>913</v>
      </c>
      <c r="B916" s="89" t="str">
        <f>_xlfn.XLOOKUP(A916,'Model Modeshare by TAZ'!A:A,'Model Modeshare by TAZ'!B:B)</f>
        <v>San Jose</v>
      </c>
      <c r="C916" s="90" t="str">
        <f>_xlfn.XLOOKUP(A916,'Model Modeshare by TAZ'!A:A,'Model Modeshare by TAZ'!D:D)</f>
        <v>NO</v>
      </c>
      <c r="D916" s="27">
        <v>1127.93</v>
      </c>
      <c r="E916" s="27">
        <v>21131.71</v>
      </c>
      <c r="F916" s="27">
        <v>936.73</v>
      </c>
      <c r="G916" s="27">
        <v>7554.63</v>
      </c>
      <c r="H916" s="27">
        <v>297.60000000000002</v>
      </c>
      <c r="I916" s="27">
        <v>3540.87</v>
      </c>
      <c r="J916" s="6">
        <v>605</v>
      </c>
      <c r="K916" s="6">
        <v>221</v>
      </c>
      <c r="L916" s="27">
        <v>12.48699173553719</v>
      </c>
      <c r="M916" s="27">
        <v>16.022036199095023</v>
      </c>
      <c r="N916" s="34">
        <v>27.505048426150118</v>
      </c>
    </row>
    <row r="917" spans="1:14" x14ac:dyDescent="0.35">
      <c r="A917" s="82">
        <v>914</v>
      </c>
      <c r="B917" s="89" t="str">
        <f>_xlfn.XLOOKUP(A917,'Model Modeshare by TAZ'!A:A,'Model Modeshare by TAZ'!B:B)</f>
        <v>San Jose</v>
      </c>
      <c r="C917" s="90" t="str">
        <f>_xlfn.XLOOKUP(A917,'Model Modeshare by TAZ'!A:A,'Model Modeshare by TAZ'!D:D)</f>
        <v>NO</v>
      </c>
      <c r="D917" s="27">
        <v>6166.06</v>
      </c>
      <c r="E917" s="27">
        <v>115416.19</v>
      </c>
      <c r="F917" s="27">
        <v>5295.94</v>
      </c>
      <c r="G917" s="27">
        <v>41526.629999999997</v>
      </c>
      <c r="H917" s="27">
        <v>471.22</v>
      </c>
      <c r="I917" s="27">
        <v>5509.52</v>
      </c>
      <c r="J917" s="6">
        <v>3187</v>
      </c>
      <c r="K917" s="6">
        <v>253</v>
      </c>
      <c r="L917" s="27">
        <v>13.030006275494195</v>
      </c>
      <c r="M917" s="27">
        <v>21.776758893280633</v>
      </c>
      <c r="N917" s="34">
        <v>26.355994186046509</v>
      </c>
    </row>
    <row r="918" spans="1:14" x14ac:dyDescent="0.35">
      <c r="A918" s="82">
        <v>915</v>
      </c>
      <c r="B918" s="89" t="str">
        <f>_xlfn.XLOOKUP(A918,'Model Modeshare by TAZ'!A:A,'Model Modeshare by TAZ'!B:B)</f>
        <v>San Jose</v>
      </c>
      <c r="C918" s="90" t="str">
        <f>_xlfn.XLOOKUP(A918,'Model Modeshare by TAZ'!A:A,'Model Modeshare by TAZ'!D:D)</f>
        <v>NO</v>
      </c>
      <c r="D918" s="27">
        <v>6395.61</v>
      </c>
      <c r="E918" s="27">
        <v>111632.98</v>
      </c>
      <c r="F918" s="27">
        <v>5799.1</v>
      </c>
      <c r="G918" s="27">
        <v>42327.48</v>
      </c>
      <c r="H918" s="27">
        <v>1149.46</v>
      </c>
      <c r="I918" s="27">
        <v>13085.32</v>
      </c>
      <c r="J918" s="6">
        <v>3557</v>
      </c>
      <c r="K918" s="6">
        <v>747</v>
      </c>
      <c r="L918" s="27">
        <v>11.899769468653361</v>
      </c>
      <c r="M918" s="27">
        <v>17.517161981258365</v>
      </c>
      <c r="N918" s="34">
        <v>24.159862918215612</v>
      </c>
    </row>
    <row r="919" spans="1:14" x14ac:dyDescent="0.35">
      <c r="A919" s="82">
        <v>916</v>
      </c>
      <c r="B919" s="89" t="str">
        <f>_xlfn.XLOOKUP(A919,'Model Modeshare by TAZ'!A:A,'Model Modeshare by TAZ'!B:B)</f>
        <v>San Jose</v>
      </c>
      <c r="C919" s="90" t="str">
        <f>_xlfn.XLOOKUP(A919,'Model Modeshare by TAZ'!A:A,'Model Modeshare by TAZ'!D:D)</f>
        <v>NO</v>
      </c>
      <c r="D919" s="27">
        <v>4666.33</v>
      </c>
      <c r="E919" s="27">
        <v>50828.68</v>
      </c>
      <c r="F919" s="27">
        <v>4747.07</v>
      </c>
      <c r="G919" s="27">
        <v>26547.24</v>
      </c>
      <c r="H919" s="27">
        <v>408.61</v>
      </c>
      <c r="I919" s="27">
        <v>3800.96</v>
      </c>
      <c r="J919" s="6">
        <v>3134</v>
      </c>
      <c r="K919" s="6">
        <v>230</v>
      </c>
      <c r="L919" s="27">
        <v>8.4707211231652852</v>
      </c>
      <c r="M919" s="27">
        <v>16.525913043478262</v>
      </c>
      <c r="N919" s="34">
        <v>13.975659928656363</v>
      </c>
    </row>
    <row r="920" spans="1:14" x14ac:dyDescent="0.35">
      <c r="A920" s="82">
        <v>917</v>
      </c>
      <c r="B920" s="89" t="str">
        <f>_xlfn.XLOOKUP(A920,'Model Modeshare by TAZ'!A:A,'Model Modeshare by TAZ'!B:B)</f>
        <v>San Jose</v>
      </c>
      <c r="C920" s="90" t="str">
        <f>_xlfn.XLOOKUP(A920,'Model Modeshare by TAZ'!A:A,'Model Modeshare by TAZ'!D:D)</f>
        <v>NO</v>
      </c>
      <c r="D920" s="27">
        <v>2734.11</v>
      </c>
      <c r="E920" s="27">
        <v>43836.73</v>
      </c>
      <c r="F920" s="27">
        <v>2121.5100000000002</v>
      </c>
      <c r="G920" s="27">
        <v>15255.45</v>
      </c>
      <c r="H920" s="27">
        <v>256.62</v>
      </c>
      <c r="I920" s="27">
        <v>2593.83</v>
      </c>
      <c r="J920" s="6">
        <v>1274</v>
      </c>
      <c r="K920" s="6">
        <v>135</v>
      </c>
      <c r="L920" s="27">
        <v>11.97445054945055</v>
      </c>
      <c r="M920" s="27">
        <v>19.213555555555555</v>
      </c>
      <c r="N920" s="34">
        <v>25.16749467707594</v>
      </c>
    </row>
    <row r="921" spans="1:14" x14ac:dyDescent="0.35">
      <c r="A921" s="82">
        <v>918</v>
      </c>
      <c r="B921" s="89" t="str">
        <f>_xlfn.XLOOKUP(A921,'Model Modeshare by TAZ'!A:A,'Model Modeshare by TAZ'!B:B)</f>
        <v>San Jose</v>
      </c>
      <c r="C921" s="90" t="str">
        <f>_xlfn.XLOOKUP(A921,'Model Modeshare by TAZ'!A:A,'Model Modeshare by TAZ'!D:D)</f>
        <v>NO</v>
      </c>
      <c r="D921" s="27">
        <v>4172.24</v>
      </c>
      <c r="E921" s="27">
        <v>71145.95</v>
      </c>
      <c r="F921" s="27">
        <v>3581.22</v>
      </c>
      <c r="G921" s="27">
        <v>25046.11</v>
      </c>
      <c r="H921" s="27">
        <v>503.24</v>
      </c>
      <c r="I921" s="27">
        <v>5045.9799999999996</v>
      </c>
      <c r="J921" s="6">
        <v>2123</v>
      </c>
      <c r="K921" s="6">
        <v>266</v>
      </c>
      <c r="L921" s="27">
        <v>11.797508243052285</v>
      </c>
      <c r="M921" s="27">
        <v>18.969849624060149</v>
      </c>
      <c r="N921" s="34">
        <v>26.500452071996651</v>
      </c>
    </row>
    <row r="922" spans="1:14" x14ac:dyDescent="0.35">
      <c r="A922" s="82">
        <v>919</v>
      </c>
      <c r="B922" s="89" t="str">
        <f>_xlfn.XLOOKUP(A922,'Model Modeshare by TAZ'!A:A,'Model Modeshare by TAZ'!B:B)</f>
        <v>San Jose</v>
      </c>
      <c r="C922" s="90" t="str">
        <f>_xlfn.XLOOKUP(A922,'Model Modeshare by TAZ'!A:A,'Model Modeshare by TAZ'!D:D)</f>
        <v>NO</v>
      </c>
      <c r="D922" s="27">
        <v>5895.64</v>
      </c>
      <c r="E922" s="27">
        <v>109171.14</v>
      </c>
      <c r="F922" s="27">
        <v>5042.51</v>
      </c>
      <c r="G922" s="27">
        <v>36065.74</v>
      </c>
      <c r="H922" s="27">
        <v>911.93</v>
      </c>
      <c r="I922" s="27">
        <v>9926.8799999999992</v>
      </c>
      <c r="J922" s="6">
        <v>3094</v>
      </c>
      <c r="K922" s="6">
        <v>479</v>
      </c>
      <c r="L922" s="27">
        <v>11.65667097608274</v>
      </c>
      <c r="M922" s="27">
        <v>20.724175365344465</v>
      </c>
      <c r="N922" s="34">
        <v>27.539890848026868</v>
      </c>
    </row>
    <row r="923" spans="1:14" x14ac:dyDescent="0.35">
      <c r="A923" s="82">
        <v>920</v>
      </c>
      <c r="B923" s="89" t="str">
        <f>_xlfn.XLOOKUP(A923,'Model Modeshare by TAZ'!A:A,'Model Modeshare by TAZ'!B:B)</f>
        <v>San Jose</v>
      </c>
      <c r="C923" s="90" t="str">
        <f>_xlfn.XLOOKUP(A923,'Model Modeshare by TAZ'!A:A,'Model Modeshare by TAZ'!D:D)</f>
        <v>NO</v>
      </c>
      <c r="D923" s="27">
        <v>3091.63</v>
      </c>
      <c r="E923" s="27">
        <v>35531.74</v>
      </c>
      <c r="F923" s="27">
        <v>1958.87</v>
      </c>
      <c r="G923" s="27">
        <v>9161.69</v>
      </c>
      <c r="H923" s="27">
        <v>693.26</v>
      </c>
      <c r="I923" s="27">
        <v>7007.58</v>
      </c>
      <c r="J923" s="6">
        <v>1346</v>
      </c>
      <c r="K923" s="6">
        <v>568</v>
      </c>
      <c r="L923" s="27">
        <v>6.8066047548291237</v>
      </c>
      <c r="M923" s="27">
        <v>12.337288732394367</v>
      </c>
      <c r="N923" s="34">
        <v>22.474482758620692</v>
      </c>
    </row>
    <row r="924" spans="1:14" x14ac:dyDescent="0.35">
      <c r="A924" s="82">
        <v>921</v>
      </c>
      <c r="B924" s="89" t="str">
        <f>_xlfn.XLOOKUP(A924,'Model Modeshare by TAZ'!A:A,'Model Modeshare by TAZ'!B:B)</f>
        <v>San Jose</v>
      </c>
      <c r="C924" s="90" t="str">
        <f>_xlfn.XLOOKUP(A924,'Model Modeshare by TAZ'!A:A,'Model Modeshare by TAZ'!D:D)</f>
        <v>NO</v>
      </c>
      <c r="D924" s="27">
        <v>9194.99</v>
      </c>
      <c r="E924" s="27">
        <v>251482.38</v>
      </c>
      <c r="F924" s="27">
        <v>8969.91</v>
      </c>
      <c r="G924" s="27">
        <v>105755.14</v>
      </c>
      <c r="H924" s="27">
        <v>858.83</v>
      </c>
      <c r="I924" s="27">
        <v>13688.53</v>
      </c>
      <c r="J924" s="6">
        <v>5521</v>
      </c>
      <c r="K924" s="6">
        <v>453</v>
      </c>
      <c r="L924" s="27">
        <v>19.155069733743886</v>
      </c>
      <c r="M924" s="27">
        <v>30.217505518763797</v>
      </c>
      <c r="N924" s="34">
        <v>35.209030800133917</v>
      </c>
    </row>
    <row r="925" spans="1:14" x14ac:dyDescent="0.35">
      <c r="A925" s="82">
        <v>922</v>
      </c>
      <c r="B925" s="89" t="str">
        <f>_xlfn.XLOOKUP(A925,'Model Modeshare by TAZ'!A:A,'Model Modeshare by TAZ'!B:B)</f>
        <v>San Jose</v>
      </c>
      <c r="C925" s="90" t="str">
        <f>_xlfn.XLOOKUP(A925,'Model Modeshare by TAZ'!A:A,'Model Modeshare by TAZ'!D:D)</f>
        <v>NO</v>
      </c>
      <c r="D925" s="27">
        <v>9566.67</v>
      </c>
      <c r="E925" s="27">
        <v>234095.8</v>
      </c>
      <c r="F925" s="27">
        <v>8074</v>
      </c>
      <c r="G925" s="27">
        <v>92650.27</v>
      </c>
      <c r="H925" s="27">
        <v>244.22</v>
      </c>
      <c r="I925" s="27">
        <v>3468.04</v>
      </c>
      <c r="J925" s="6">
        <v>5015</v>
      </c>
      <c r="K925" s="6">
        <v>130</v>
      </c>
      <c r="L925" s="27">
        <v>18.474630109670986</v>
      </c>
      <c r="M925" s="27">
        <v>26.677230769230768</v>
      </c>
      <c r="N925" s="34">
        <v>30.610719144800775</v>
      </c>
    </row>
    <row r="926" spans="1:14" x14ac:dyDescent="0.35">
      <c r="A926" s="82">
        <v>923</v>
      </c>
      <c r="B926" s="89" t="str">
        <f>_xlfn.XLOOKUP(A926,'Model Modeshare by TAZ'!A:A,'Model Modeshare by TAZ'!B:B)</f>
        <v>San Jose</v>
      </c>
      <c r="C926" s="90" t="str">
        <f>_xlfn.XLOOKUP(A926,'Model Modeshare by TAZ'!A:A,'Model Modeshare by TAZ'!D:D)</f>
        <v>NO</v>
      </c>
      <c r="D926" s="27">
        <v>6868.83</v>
      </c>
      <c r="E926" s="27">
        <v>136201.85</v>
      </c>
      <c r="F926" s="27">
        <v>7233.82</v>
      </c>
      <c r="G926" s="27">
        <v>72148.53</v>
      </c>
      <c r="H926" s="27">
        <v>422.9</v>
      </c>
      <c r="I926" s="27">
        <v>5203.55</v>
      </c>
      <c r="J926" s="6">
        <v>4449</v>
      </c>
      <c r="K926" s="6">
        <v>230</v>
      </c>
      <c r="L926" s="27">
        <v>16.216797033041132</v>
      </c>
      <c r="M926" s="27">
        <v>22.624130434782611</v>
      </c>
      <c r="N926" s="34">
        <v>25.452878820260739</v>
      </c>
    </row>
    <row r="927" spans="1:14" x14ac:dyDescent="0.35">
      <c r="A927" s="82">
        <v>924</v>
      </c>
      <c r="B927" s="89" t="str">
        <f>_xlfn.XLOOKUP(A927,'Model Modeshare by TAZ'!A:A,'Model Modeshare by TAZ'!B:B)</f>
        <v>San Jose</v>
      </c>
      <c r="C927" s="90" t="str">
        <f>_xlfn.XLOOKUP(A927,'Model Modeshare by TAZ'!A:A,'Model Modeshare by TAZ'!D:D)</f>
        <v>NO</v>
      </c>
      <c r="D927" s="27">
        <v>5866.44</v>
      </c>
      <c r="E927" s="27">
        <v>105116.4</v>
      </c>
      <c r="F927" s="27">
        <v>4301.25</v>
      </c>
      <c r="G927" s="27">
        <v>40000.519999999997</v>
      </c>
      <c r="H927" s="27">
        <v>391.92</v>
      </c>
      <c r="I927" s="27">
        <v>4385.4799999999996</v>
      </c>
      <c r="J927" s="6">
        <v>2513</v>
      </c>
      <c r="K927" s="6">
        <v>220</v>
      </c>
      <c r="L927" s="27">
        <v>15.917437325905292</v>
      </c>
      <c r="M927" s="27">
        <v>19.933999999999997</v>
      </c>
      <c r="N927" s="34">
        <v>24.752564946944748</v>
      </c>
    </row>
    <row r="928" spans="1:14" x14ac:dyDescent="0.35">
      <c r="A928" s="82">
        <v>925</v>
      </c>
      <c r="B928" s="89" t="str">
        <f>_xlfn.XLOOKUP(A928,'Model Modeshare by TAZ'!A:A,'Model Modeshare by TAZ'!B:B)</f>
        <v>San Jose</v>
      </c>
      <c r="C928" s="90" t="str">
        <f>_xlfn.XLOOKUP(A928,'Model Modeshare by TAZ'!A:A,'Model Modeshare by TAZ'!D:D)</f>
        <v>NO</v>
      </c>
      <c r="D928" s="27">
        <v>4876.47</v>
      </c>
      <c r="E928" s="27">
        <v>59276.67</v>
      </c>
      <c r="F928" s="27">
        <v>4243.82</v>
      </c>
      <c r="G928" s="27">
        <v>32236.59</v>
      </c>
      <c r="H928" s="27">
        <v>316.62</v>
      </c>
      <c r="I928" s="27">
        <v>3397.87</v>
      </c>
      <c r="J928" s="6">
        <v>2777</v>
      </c>
      <c r="K928" s="6">
        <v>181</v>
      </c>
      <c r="L928" s="27">
        <v>11.608422758372344</v>
      </c>
      <c r="M928" s="27">
        <v>18.772762430939228</v>
      </c>
      <c r="N928" s="34">
        <v>20.105821501014198</v>
      </c>
    </row>
    <row r="929" spans="1:14" x14ac:dyDescent="0.35">
      <c r="A929" s="82">
        <v>926</v>
      </c>
      <c r="B929" s="89" t="str">
        <f>_xlfn.XLOOKUP(A929,'Model Modeshare by TAZ'!A:A,'Model Modeshare by TAZ'!B:B)</f>
        <v>San Jose</v>
      </c>
      <c r="C929" s="90" t="str">
        <f>_xlfn.XLOOKUP(A929,'Model Modeshare by TAZ'!A:A,'Model Modeshare by TAZ'!D:D)</f>
        <v>NO</v>
      </c>
      <c r="D929" s="27">
        <v>7819.84</v>
      </c>
      <c r="E929" s="27">
        <v>139365.31</v>
      </c>
      <c r="F929" s="27">
        <v>6932.01</v>
      </c>
      <c r="G929" s="27">
        <v>64259.13</v>
      </c>
      <c r="H929" s="27">
        <v>1405.52</v>
      </c>
      <c r="I929" s="27">
        <v>15694.29</v>
      </c>
      <c r="J929" s="6">
        <v>4299</v>
      </c>
      <c r="K929" s="6">
        <v>805</v>
      </c>
      <c r="L929" s="27">
        <v>14.947459874389391</v>
      </c>
      <c r="M929" s="27">
        <v>19.496012422360248</v>
      </c>
      <c r="N929" s="34">
        <v>21.738475705329151</v>
      </c>
    </row>
    <row r="930" spans="1:14" x14ac:dyDescent="0.35">
      <c r="A930" s="82">
        <v>927</v>
      </c>
      <c r="B930" s="89" t="str">
        <f>_xlfn.XLOOKUP(A930,'Model Modeshare by TAZ'!A:A,'Model Modeshare by TAZ'!B:B)</f>
        <v>San Jose</v>
      </c>
      <c r="C930" s="90" t="str">
        <f>_xlfn.XLOOKUP(A930,'Model Modeshare by TAZ'!A:A,'Model Modeshare by TAZ'!D:D)</f>
        <v>NO</v>
      </c>
      <c r="D930" s="27">
        <v>3299.67</v>
      </c>
      <c r="E930" s="27">
        <v>55416.98</v>
      </c>
      <c r="F930" s="27">
        <v>3721.23</v>
      </c>
      <c r="G930" s="27">
        <v>29808.05</v>
      </c>
      <c r="H930" s="27">
        <v>150.6</v>
      </c>
      <c r="I930" s="27">
        <v>1650.31</v>
      </c>
      <c r="J930" s="6">
        <v>2305</v>
      </c>
      <c r="K930" s="6">
        <v>86</v>
      </c>
      <c r="L930" s="27">
        <v>12.931908893709327</v>
      </c>
      <c r="M930" s="27">
        <v>19.189651162790696</v>
      </c>
      <c r="N930" s="34">
        <v>21.288435800920119</v>
      </c>
    </row>
    <row r="931" spans="1:14" x14ac:dyDescent="0.35">
      <c r="A931" s="82">
        <v>928</v>
      </c>
      <c r="B931" s="89" t="str">
        <f>_xlfn.XLOOKUP(A931,'Model Modeshare by TAZ'!A:A,'Model Modeshare by TAZ'!B:B)</f>
        <v>San Jose</v>
      </c>
      <c r="C931" s="90" t="str">
        <f>_xlfn.XLOOKUP(A931,'Model Modeshare by TAZ'!A:A,'Model Modeshare by TAZ'!D:D)</f>
        <v>NO</v>
      </c>
      <c r="D931" s="27">
        <v>6648.09</v>
      </c>
      <c r="E931" s="27">
        <v>116877.15</v>
      </c>
      <c r="F931" s="27">
        <v>5624.78</v>
      </c>
      <c r="G931" s="27">
        <v>44879.76</v>
      </c>
      <c r="H931" s="27">
        <v>368.46</v>
      </c>
      <c r="I931" s="27">
        <v>3857.72</v>
      </c>
      <c r="J931" s="6">
        <v>3623</v>
      </c>
      <c r="K931" s="6">
        <v>208</v>
      </c>
      <c r="L931" s="27">
        <v>12.387457907811207</v>
      </c>
      <c r="M931" s="27">
        <v>18.54673076923077</v>
      </c>
      <c r="N931" s="34">
        <v>21.869381362568522</v>
      </c>
    </row>
    <row r="932" spans="1:14" x14ac:dyDescent="0.35">
      <c r="A932" s="82">
        <v>929</v>
      </c>
      <c r="B932" s="89" t="str">
        <f>_xlfn.XLOOKUP(A932,'Model Modeshare by TAZ'!A:A,'Model Modeshare by TAZ'!B:B)</f>
        <v>San Jose</v>
      </c>
      <c r="C932" s="90" t="str">
        <f>_xlfn.XLOOKUP(A932,'Model Modeshare by TAZ'!A:A,'Model Modeshare by TAZ'!D:D)</f>
        <v>NO</v>
      </c>
      <c r="D932" s="27">
        <v>9794.99</v>
      </c>
      <c r="E932" s="27">
        <v>179107.04</v>
      </c>
      <c r="F932" s="27">
        <v>7511.62</v>
      </c>
      <c r="G932" s="27">
        <v>66536.95</v>
      </c>
      <c r="H932" s="27">
        <v>445.56</v>
      </c>
      <c r="I932" s="27">
        <v>5108.51</v>
      </c>
      <c r="J932" s="6">
        <v>5961</v>
      </c>
      <c r="K932" s="6">
        <v>254</v>
      </c>
      <c r="L932" s="27">
        <v>11.162044958899513</v>
      </c>
      <c r="M932" s="27">
        <v>20.11224409448819</v>
      </c>
      <c r="N932" s="34">
        <v>19.634394207562348</v>
      </c>
    </row>
    <row r="933" spans="1:14" x14ac:dyDescent="0.35">
      <c r="A933" s="82">
        <v>930</v>
      </c>
      <c r="B933" s="89" t="str">
        <f>_xlfn.XLOOKUP(A933,'Model Modeshare by TAZ'!A:A,'Model Modeshare by TAZ'!B:B)</f>
        <v>San Jose</v>
      </c>
      <c r="C933" s="90" t="str">
        <f>_xlfn.XLOOKUP(A933,'Model Modeshare by TAZ'!A:A,'Model Modeshare by TAZ'!D:D)</f>
        <v>NO</v>
      </c>
      <c r="D933" s="27">
        <v>5394.25</v>
      </c>
      <c r="E933" s="27">
        <v>84228.25</v>
      </c>
      <c r="F933" s="27">
        <v>6311.55</v>
      </c>
      <c r="G933" s="27">
        <v>52783.7</v>
      </c>
      <c r="H933" s="27">
        <v>34.67</v>
      </c>
      <c r="I933" s="27">
        <v>400.3</v>
      </c>
      <c r="J933" s="6">
        <v>4045</v>
      </c>
      <c r="K933" s="6">
        <v>21</v>
      </c>
      <c r="L933" s="27">
        <v>13.049122373300371</v>
      </c>
      <c r="M933" s="27">
        <v>19.061904761904763</v>
      </c>
      <c r="N933" s="34">
        <v>17.1404697491392</v>
      </c>
    </row>
    <row r="934" spans="1:14" x14ac:dyDescent="0.35">
      <c r="A934" s="82">
        <v>931</v>
      </c>
      <c r="B934" s="89" t="str">
        <f>_xlfn.XLOOKUP(A934,'Model Modeshare by TAZ'!A:A,'Model Modeshare by TAZ'!B:B)</f>
        <v>San Jose</v>
      </c>
      <c r="C934" s="90" t="str">
        <f>_xlfn.XLOOKUP(A934,'Model Modeshare by TAZ'!A:A,'Model Modeshare by TAZ'!D:D)</f>
        <v>NO</v>
      </c>
      <c r="D934" s="27">
        <v>4714.91</v>
      </c>
      <c r="E934" s="27">
        <v>83337.740000000005</v>
      </c>
      <c r="F934" s="27">
        <v>5776.16</v>
      </c>
      <c r="G934" s="27">
        <v>52137.440000000002</v>
      </c>
      <c r="H934" s="27">
        <v>304.23</v>
      </c>
      <c r="I934" s="27">
        <v>3122.99</v>
      </c>
      <c r="J934" s="6">
        <v>4022</v>
      </c>
      <c r="K934" s="6">
        <v>175</v>
      </c>
      <c r="L934" s="27">
        <v>12.963063152660368</v>
      </c>
      <c r="M934" s="27">
        <v>17.845657142857142</v>
      </c>
      <c r="N934" s="34">
        <v>19.649947581605911</v>
      </c>
    </row>
    <row r="935" spans="1:14" x14ac:dyDescent="0.35">
      <c r="A935" s="82">
        <v>932</v>
      </c>
      <c r="B935" s="89" t="str">
        <f>_xlfn.XLOOKUP(A935,'Model Modeshare by TAZ'!A:A,'Model Modeshare by TAZ'!B:B)</f>
        <v>San Jose</v>
      </c>
      <c r="C935" s="90" t="str">
        <f>_xlfn.XLOOKUP(A935,'Model Modeshare by TAZ'!A:A,'Model Modeshare by TAZ'!D:D)</f>
        <v>NO</v>
      </c>
      <c r="D935" s="27">
        <v>11125.84</v>
      </c>
      <c r="E935" s="27">
        <v>216912.46</v>
      </c>
      <c r="F935" s="27">
        <v>11649.8</v>
      </c>
      <c r="G935" s="27">
        <v>79584.399999999994</v>
      </c>
      <c r="H935" s="27">
        <v>818.83</v>
      </c>
      <c r="I935" s="27">
        <v>12259.01</v>
      </c>
      <c r="J935" s="6">
        <v>5518</v>
      </c>
      <c r="K935" s="6">
        <v>444</v>
      </c>
      <c r="L935" s="27">
        <v>14.422689380210221</v>
      </c>
      <c r="M935" s="27">
        <v>27.610382882882885</v>
      </c>
      <c r="N935" s="34">
        <v>29.858760483059374</v>
      </c>
    </row>
    <row r="936" spans="1:14" x14ac:dyDescent="0.35">
      <c r="A936" s="82">
        <v>933</v>
      </c>
      <c r="B936" s="89" t="str">
        <f>_xlfn.XLOOKUP(A936,'Model Modeshare by TAZ'!A:A,'Model Modeshare by TAZ'!B:B)</f>
        <v>San Jose</v>
      </c>
      <c r="C936" s="90" t="str">
        <f>_xlfn.XLOOKUP(A936,'Model Modeshare by TAZ'!A:A,'Model Modeshare by TAZ'!D:D)</f>
        <v>NO</v>
      </c>
      <c r="D936" s="27">
        <v>5345.14</v>
      </c>
      <c r="E936" s="27">
        <v>91761.39</v>
      </c>
      <c r="F936" s="27">
        <v>6065.68</v>
      </c>
      <c r="G936" s="27">
        <v>50829.64</v>
      </c>
      <c r="H936" s="27">
        <v>857.33</v>
      </c>
      <c r="I936" s="27">
        <v>8813.35</v>
      </c>
      <c r="J936" s="6">
        <v>3871</v>
      </c>
      <c r="K936" s="6">
        <v>525</v>
      </c>
      <c r="L936" s="27">
        <v>13.130880909325755</v>
      </c>
      <c r="M936" s="27">
        <v>16.787333333333333</v>
      </c>
      <c r="N936" s="34">
        <v>23.07173566878981</v>
      </c>
    </row>
    <row r="937" spans="1:14" x14ac:dyDescent="0.35">
      <c r="A937" s="82">
        <v>934</v>
      </c>
      <c r="B937" s="89" t="str">
        <f>_xlfn.XLOOKUP(A937,'Model Modeshare by TAZ'!A:A,'Model Modeshare by TAZ'!B:B)</f>
        <v>San Jose</v>
      </c>
      <c r="C937" s="90" t="str">
        <f>_xlfn.XLOOKUP(A937,'Model Modeshare by TAZ'!A:A,'Model Modeshare by TAZ'!D:D)</f>
        <v>NO</v>
      </c>
      <c r="D937" s="27">
        <v>7184.49</v>
      </c>
      <c r="E937" s="27">
        <v>82096.95</v>
      </c>
      <c r="F937" s="27">
        <v>7158.8</v>
      </c>
      <c r="G937" s="27">
        <v>43029.7</v>
      </c>
      <c r="H937" s="27">
        <v>1080.6300000000001</v>
      </c>
      <c r="I937" s="27">
        <v>10560.38</v>
      </c>
      <c r="J937" s="6">
        <v>6075</v>
      </c>
      <c r="K937" s="6">
        <v>640</v>
      </c>
      <c r="L937" s="27">
        <v>7.0830781893004113</v>
      </c>
      <c r="M937" s="27">
        <v>16.50059375</v>
      </c>
      <c r="N937" s="34">
        <v>11.743374534623975</v>
      </c>
    </row>
    <row r="938" spans="1:14" x14ac:dyDescent="0.35">
      <c r="A938" s="82">
        <v>935</v>
      </c>
      <c r="B938" s="89" t="str">
        <f>_xlfn.XLOOKUP(A938,'Model Modeshare by TAZ'!A:A,'Model Modeshare by TAZ'!B:B)</f>
        <v>San Jose</v>
      </c>
      <c r="C938" s="90" t="str">
        <f>_xlfn.XLOOKUP(A938,'Model Modeshare by TAZ'!A:A,'Model Modeshare by TAZ'!D:D)</f>
        <v>NO</v>
      </c>
      <c r="D938" s="27">
        <v>5226.75</v>
      </c>
      <c r="E938" s="27">
        <v>82160.52</v>
      </c>
      <c r="F938" s="27">
        <v>5563.17</v>
      </c>
      <c r="G938" s="27">
        <v>41884.839999999997</v>
      </c>
      <c r="H938" s="27">
        <v>50.11</v>
      </c>
      <c r="I938" s="27">
        <v>529.63</v>
      </c>
      <c r="J938" s="6">
        <v>4649</v>
      </c>
      <c r="K938" s="6">
        <v>27</v>
      </c>
      <c r="L938" s="27">
        <v>9.0094299849429973</v>
      </c>
      <c r="M938" s="27">
        <v>19.615925925925925</v>
      </c>
      <c r="N938" s="34">
        <v>15.259287852865695</v>
      </c>
    </row>
    <row r="939" spans="1:14" x14ac:dyDescent="0.35">
      <c r="A939" s="82">
        <v>936</v>
      </c>
      <c r="B939" s="89" t="str">
        <f>_xlfn.XLOOKUP(A939,'Model Modeshare by TAZ'!A:A,'Model Modeshare by TAZ'!B:B)</f>
        <v>San Jose</v>
      </c>
      <c r="C939" s="90" t="str">
        <f>_xlfn.XLOOKUP(A939,'Model Modeshare by TAZ'!A:A,'Model Modeshare by TAZ'!D:D)</f>
        <v>NO</v>
      </c>
      <c r="D939" s="27">
        <v>3730.69</v>
      </c>
      <c r="E939" s="27">
        <v>64270.41</v>
      </c>
      <c r="F939" s="27">
        <v>3783.77</v>
      </c>
      <c r="G939" s="27">
        <v>28193.759999999998</v>
      </c>
      <c r="H939" s="27">
        <v>605.24</v>
      </c>
      <c r="I939" s="27">
        <v>6165.13</v>
      </c>
      <c r="J939" s="6">
        <v>3411</v>
      </c>
      <c r="K939" s="6">
        <v>359</v>
      </c>
      <c r="L939" s="27">
        <v>8.2655408970976243</v>
      </c>
      <c r="M939" s="27">
        <v>17.173064066852369</v>
      </c>
      <c r="N939" s="34">
        <v>17.932379310344828</v>
      </c>
    </row>
    <row r="940" spans="1:14" x14ac:dyDescent="0.35">
      <c r="A940" s="82">
        <v>937</v>
      </c>
      <c r="B940" s="89" t="str">
        <f>_xlfn.XLOOKUP(A940,'Model Modeshare by TAZ'!A:A,'Model Modeshare by TAZ'!B:B)</f>
        <v>San Jose</v>
      </c>
      <c r="C940" s="90" t="str">
        <f>_xlfn.XLOOKUP(A940,'Model Modeshare by TAZ'!A:A,'Model Modeshare by TAZ'!D:D)</f>
        <v>NO</v>
      </c>
      <c r="D940" s="27">
        <v>7763.95</v>
      </c>
      <c r="E940" s="27">
        <v>149699.19</v>
      </c>
      <c r="F940" s="27">
        <v>6725.46</v>
      </c>
      <c r="G940" s="27">
        <v>61422.06</v>
      </c>
      <c r="H940" s="27">
        <v>1325.46</v>
      </c>
      <c r="I940" s="27">
        <v>14367.48</v>
      </c>
      <c r="J940" s="6">
        <v>4480</v>
      </c>
      <c r="K940" s="6">
        <v>870</v>
      </c>
      <c r="L940" s="27">
        <v>13.71028125</v>
      </c>
      <c r="M940" s="27">
        <v>16.514344827586207</v>
      </c>
      <c r="N940" s="34">
        <v>22.04267663551402</v>
      </c>
    </row>
    <row r="941" spans="1:14" x14ac:dyDescent="0.35">
      <c r="A941" s="82">
        <v>938</v>
      </c>
      <c r="B941" s="89" t="str">
        <f>_xlfn.XLOOKUP(A941,'Model Modeshare by TAZ'!A:A,'Model Modeshare by TAZ'!B:B)</f>
        <v>San Jose</v>
      </c>
      <c r="C941" s="90" t="str">
        <f>_xlfn.XLOOKUP(A941,'Model Modeshare by TAZ'!A:A,'Model Modeshare by TAZ'!D:D)</f>
        <v>NO</v>
      </c>
      <c r="D941" s="27">
        <v>4067.78</v>
      </c>
      <c r="E941" s="27">
        <v>69117.899999999994</v>
      </c>
      <c r="F941" s="27">
        <v>4100.12</v>
      </c>
      <c r="G941" s="27">
        <v>36568.5</v>
      </c>
      <c r="H941" s="27">
        <v>789.32</v>
      </c>
      <c r="I941" s="27">
        <v>8162.75</v>
      </c>
      <c r="J941" s="6">
        <v>2592</v>
      </c>
      <c r="K941" s="6">
        <v>441</v>
      </c>
      <c r="L941" s="27">
        <v>14.108217592592593</v>
      </c>
      <c r="M941" s="27">
        <v>18.509637188208618</v>
      </c>
      <c r="N941" s="34">
        <v>24.107392021101219</v>
      </c>
    </row>
    <row r="942" spans="1:14" x14ac:dyDescent="0.35">
      <c r="A942" s="82">
        <v>939</v>
      </c>
      <c r="B942" s="89" t="str">
        <f>_xlfn.XLOOKUP(A942,'Model Modeshare by TAZ'!A:A,'Model Modeshare by TAZ'!B:B)</f>
        <v>San Jose</v>
      </c>
      <c r="C942" s="90" t="str">
        <f>_xlfn.XLOOKUP(A942,'Model Modeshare by TAZ'!A:A,'Model Modeshare by TAZ'!D:D)</f>
        <v>NO</v>
      </c>
      <c r="D942" s="27">
        <v>2149.16</v>
      </c>
      <c r="E942" s="27">
        <v>36326.959999999999</v>
      </c>
      <c r="F942" s="27">
        <v>2807.33</v>
      </c>
      <c r="G942" s="27">
        <v>24222.28</v>
      </c>
      <c r="H942" s="27">
        <v>50.48</v>
      </c>
      <c r="I942" s="27">
        <v>534.02</v>
      </c>
      <c r="J942" s="6">
        <v>1856</v>
      </c>
      <c r="K942" s="6">
        <v>27</v>
      </c>
      <c r="L942" s="27">
        <v>13.050797413793102</v>
      </c>
      <c r="M942" s="27">
        <v>19.778518518518517</v>
      </c>
      <c r="N942" s="34">
        <v>19.111226765799259</v>
      </c>
    </row>
    <row r="943" spans="1:14" x14ac:dyDescent="0.35">
      <c r="A943" s="82">
        <v>940</v>
      </c>
      <c r="B943" s="89" t="str">
        <f>_xlfn.XLOOKUP(A943,'Model Modeshare by TAZ'!A:A,'Model Modeshare by TAZ'!B:B)</f>
        <v>San Jose</v>
      </c>
      <c r="C943" s="90" t="str">
        <f>_xlfn.XLOOKUP(A943,'Model Modeshare by TAZ'!A:A,'Model Modeshare by TAZ'!D:D)</f>
        <v>NO</v>
      </c>
      <c r="D943" s="27">
        <v>7358.36</v>
      </c>
      <c r="E943" s="27">
        <v>121450.01</v>
      </c>
      <c r="F943" s="27">
        <v>7794.34</v>
      </c>
      <c r="G943" s="27">
        <v>65531.199999999997</v>
      </c>
      <c r="H943" s="27">
        <v>303.75</v>
      </c>
      <c r="I943" s="27">
        <v>3246.21</v>
      </c>
      <c r="J943" s="6">
        <v>6223</v>
      </c>
      <c r="K943" s="6">
        <v>171</v>
      </c>
      <c r="L943" s="27">
        <v>10.530483689538807</v>
      </c>
      <c r="M943" s="27">
        <v>18.983684210526317</v>
      </c>
      <c r="N943" s="34">
        <v>16.527943384422898</v>
      </c>
    </row>
    <row r="944" spans="1:14" x14ac:dyDescent="0.35">
      <c r="A944" s="82">
        <v>941</v>
      </c>
      <c r="B944" s="89" t="str">
        <f>_xlfn.XLOOKUP(A944,'Model Modeshare by TAZ'!A:A,'Model Modeshare by TAZ'!B:B)</f>
        <v>San Jose</v>
      </c>
      <c r="C944" s="90" t="str">
        <f>_xlfn.XLOOKUP(A944,'Model Modeshare by TAZ'!A:A,'Model Modeshare by TAZ'!D:D)</f>
        <v>NO</v>
      </c>
      <c r="D944" s="27">
        <v>7006.93</v>
      </c>
      <c r="E944" s="27">
        <v>114500.51</v>
      </c>
      <c r="F944" s="27">
        <v>5495.76</v>
      </c>
      <c r="G944" s="27">
        <v>48031.92</v>
      </c>
      <c r="H944" s="27">
        <v>969.86</v>
      </c>
      <c r="I944" s="27">
        <v>10385.66</v>
      </c>
      <c r="J944" s="6">
        <v>3961</v>
      </c>
      <c r="K944" s="6">
        <v>549</v>
      </c>
      <c r="L944" s="27">
        <v>12.126210552890683</v>
      </c>
      <c r="M944" s="27">
        <v>18.917413479052822</v>
      </c>
      <c r="N944" s="34">
        <v>21.759077605321508</v>
      </c>
    </row>
    <row r="945" spans="1:14" x14ac:dyDescent="0.35">
      <c r="A945" s="82">
        <v>942</v>
      </c>
      <c r="B945" s="89" t="str">
        <f>_xlfn.XLOOKUP(A945,'Model Modeshare by TAZ'!A:A,'Model Modeshare by TAZ'!B:B)</f>
        <v>San Jose</v>
      </c>
      <c r="C945" s="90" t="str">
        <f>_xlfn.XLOOKUP(A945,'Model Modeshare by TAZ'!A:A,'Model Modeshare by TAZ'!D:D)</f>
        <v>NO</v>
      </c>
      <c r="D945" s="27">
        <v>256.07</v>
      </c>
      <c r="E945" s="27">
        <v>7311.56</v>
      </c>
      <c r="F945" s="27">
        <v>0</v>
      </c>
      <c r="G945" s="27">
        <v>0</v>
      </c>
      <c r="H945" s="27">
        <v>0</v>
      </c>
      <c r="I945" s="27">
        <v>0</v>
      </c>
      <c r="J945" s="6">
        <v>0</v>
      </c>
      <c r="K945" s="6">
        <v>1</v>
      </c>
      <c r="L945" s="27">
        <v>0</v>
      </c>
      <c r="M945" s="27">
        <v>0</v>
      </c>
      <c r="N945" s="34">
        <v>0</v>
      </c>
    </row>
    <row r="946" spans="1:14" x14ac:dyDescent="0.35">
      <c r="A946" s="82">
        <v>943</v>
      </c>
      <c r="B946" s="89" t="str">
        <f>_xlfn.XLOOKUP(A946,'Model Modeshare by TAZ'!A:A,'Model Modeshare by TAZ'!B:B)</f>
        <v>San Jose</v>
      </c>
      <c r="C946" s="90" t="str">
        <f>_xlfn.XLOOKUP(A946,'Model Modeshare by TAZ'!A:A,'Model Modeshare by TAZ'!D:D)</f>
        <v>NO</v>
      </c>
      <c r="D946" s="27">
        <v>4124.8599999999997</v>
      </c>
      <c r="E946" s="27">
        <v>68647.759999999995</v>
      </c>
      <c r="F946" s="27">
        <v>6700.19</v>
      </c>
      <c r="G946" s="27">
        <v>65278.57</v>
      </c>
      <c r="H946" s="27">
        <v>405.36</v>
      </c>
      <c r="I946" s="27">
        <v>4682.13</v>
      </c>
      <c r="J946" s="6">
        <v>4505</v>
      </c>
      <c r="K946" s="6">
        <v>221</v>
      </c>
      <c r="L946" s="27">
        <v>14.490248612652609</v>
      </c>
      <c r="M946" s="27">
        <v>21.186108597285067</v>
      </c>
      <c r="N946" s="34">
        <v>23.127924248836226</v>
      </c>
    </row>
    <row r="947" spans="1:14" x14ac:dyDescent="0.35">
      <c r="A947" s="82">
        <v>944</v>
      </c>
      <c r="B947" s="89" t="str">
        <f>_xlfn.XLOOKUP(A947,'Model Modeshare by TAZ'!A:A,'Model Modeshare by TAZ'!B:B)</f>
        <v>San Jose</v>
      </c>
      <c r="C947" s="90" t="str">
        <f>_xlfn.XLOOKUP(A947,'Model Modeshare by TAZ'!A:A,'Model Modeshare by TAZ'!D:D)</f>
        <v>NO</v>
      </c>
      <c r="D947" s="27">
        <v>7185.09</v>
      </c>
      <c r="E947" s="27">
        <v>87788.74</v>
      </c>
      <c r="F947" s="27">
        <v>7197.92</v>
      </c>
      <c r="G947" s="27">
        <v>45292.79</v>
      </c>
      <c r="H947" s="27">
        <v>530.98</v>
      </c>
      <c r="I947" s="27">
        <v>5412.72</v>
      </c>
      <c r="J947" s="6">
        <v>6561</v>
      </c>
      <c r="K947" s="6">
        <v>305</v>
      </c>
      <c r="L947" s="27">
        <v>6.9033363816491393</v>
      </c>
      <c r="M947" s="27">
        <v>17.746622950819674</v>
      </c>
      <c r="N947" s="34">
        <v>10.296121468103699</v>
      </c>
    </row>
    <row r="948" spans="1:14" x14ac:dyDescent="0.35">
      <c r="A948" s="82">
        <v>945</v>
      </c>
      <c r="B948" s="89" t="str">
        <f>_xlfn.XLOOKUP(A948,'Model Modeshare by TAZ'!A:A,'Model Modeshare by TAZ'!B:B)</f>
        <v>San Jose</v>
      </c>
      <c r="C948" s="90" t="str">
        <f>_xlfn.XLOOKUP(A948,'Model Modeshare by TAZ'!A:A,'Model Modeshare by TAZ'!D:D)</f>
        <v>NO</v>
      </c>
      <c r="D948" s="27">
        <v>3152.58</v>
      </c>
      <c r="E948" s="27">
        <v>60621.11</v>
      </c>
      <c r="F948" s="27">
        <v>3318.94</v>
      </c>
      <c r="G948" s="27">
        <v>31037.62</v>
      </c>
      <c r="H948" s="27">
        <v>476.78</v>
      </c>
      <c r="I948" s="27">
        <v>5550.36</v>
      </c>
      <c r="J948" s="6">
        <v>2147</v>
      </c>
      <c r="K948" s="6">
        <v>256</v>
      </c>
      <c r="L948" s="27">
        <v>14.456273870517</v>
      </c>
      <c r="M948" s="27">
        <v>21.681093749999999</v>
      </c>
      <c r="N948" s="34">
        <v>25.56468580940491</v>
      </c>
    </row>
    <row r="949" spans="1:14" x14ac:dyDescent="0.35">
      <c r="A949" s="82">
        <v>946</v>
      </c>
      <c r="B949" s="89" t="str">
        <f>_xlfn.XLOOKUP(A949,'Model Modeshare by TAZ'!A:A,'Model Modeshare by TAZ'!B:B)</f>
        <v>Unincorporated</v>
      </c>
      <c r="C949" s="90" t="str">
        <f>_xlfn.XLOOKUP(A949,'Model Modeshare by TAZ'!A:A,'Model Modeshare by TAZ'!D:D)</f>
        <v>NO</v>
      </c>
      <c r="D949" s="27">
        <v>1274.8800000000001</v>
      </c>
      <c r="E949" s="27">
        <v>24535.75</v>
      </c>
      <c r="F949" s="27">
        <v>1286.6099999999999</v>
      </c>
      <c r="G949" s="27">
        <v>11884.85</v>
      </c>
      <c r="H949" s="27">
        <v>54.94</v>
      </c>
      <c r="I949" s="27">
        <v>653.67999999999995</v>
      </c>
      <c r="J949" s="6">
        <v>772</v>
      </c>
      <c r="K949" s="6">
        <v>29</v>
      </c>
      <c r="L949" s="27">
        <v>15.394883419689119</v>
      </c>
      <c r="M949" s="27">
        <v>22.540689655172411</v>
      </c>
      <c r="N949" s="34">
        <v>25.133470661672909</v>
      </c>
    </row>
    <row r="950" spans="1:14" x14ac:dyDescent="0.35">
      <c r="A950" s="82">
        <v>947</v>
      </c>
      <c r="B950" s="89" t="str">
        <f>_xlfn.XLOOKUP(A950,'Model Modeshare by TAZ'!A:A,'Model Modeshare by TAZ'!B:B)</f>
        <v>San Jose</v>
      </c>
      <c r="C950" s="90" t="str">
        <f>_xlfn.XLOOKUP(A950,'Model Modeshare by TAZ'!A:A,'Model Modeshare by TAZ'!D:D)</f>
        <v>NO</v>
      </c>
      <c r="D950" s="27">
        <v>3674.34</v>
      </c>
      <c r="E950" s="27">
        <v>62186.33</v>
      </c>
      <c r="F950" s="27">
        <v>3925.79</v>
      </c>
      <c r="G950" s="27">
        <v>30878.62</v>
      </c>
      <c r="H950" s="27">
        <v>206.65</v>
      </c>
      <c r="I950" s="27">
        <v>2309.41</v>
      </c>
      <c r="J950" s="6">
        <v>3476</v>
      </c>
      <c r="K950" s="6">
        <v>118</v>
      </c>
      <c r="L950" s="27">
        <v>8.8833774453394696</v>
      </c>
      <c r="M950" s="27">
        <v>19.571271186440676</v>
      </c>
      <c r="N950" s="34">
        <v>18.343024485253199</v>
      </c>
    </row>
    <row r="951" spans="1:14" x14ac:dyDescent="0.35">
      <c r="A951" s="82">
        <v>948</v>
      </c>
      <c r="B951" s="89" t="str">
        <f>_xlfn.XLOOKUP(A951,'Model Modeshare by TAZ'!A:A,'Model Modeshare by TAZ'!B:B)</f>
        <v>San Jose</v>
      </c>
      <c r="C951" s="90" t="str">
        <f>_xlfn.XLOOKUP(A951,'Model Modeshare by TAZ'!A:A,'Model Modeshare by TAZ'!D:D)</f>
        <v>NO</v>
      </c>
      <c r="D951" s="27">
        <v>341.83</v>
      </c>
      <c r="E951" s="27">
        <v>2810.21</v>
      </c>
      <c r="F951" s="27">
        <v>185.96</v>
      </c>
      <c r="G951" s="27">
        <v>762.33</v>
      </c>
      <c r="H951" s="27">
        <v>1676</v>
      </c>
      <c r="I951" s="27">
        <v>17173.810000000001</v>
      </c>
      <c r="J951" s="6">
        <v>194</v>
      </c>
      <c r="K951" s="6">
        <v>1740</v>
      </c>
      <c r="L951" s="27">
        <v>3.9295360824742271</v>
      </c>
      <c r="M951" s="27">
        <v>9.870005747126438</v>
      </c>
      <c r="N951" s="34">
        <v>17.798298862461223</v>
      </c>
    </row>
    <row r="952" spans="1:14" x14ac:dyDescent="0.35">
      <c r="A952" s="82">
        <v>949</v>
      </c>
      <c r="B952" s="89" t="str">
        <f>_xlfn.XLOOKUP(A952,'Model Modeshare by TAZ'!A:A,'Model Modeshare by TAZ'!B:B)</f>
        <v>San Jose</v>
      </c>
      <c r="C952" s="90" t="str">
        <f>_xlfn.XLOOKUP(A952,'Model Modeshare by TAZ'!A:A,'Model Modeshare by TAZ'!D:D)</f>
        <v>NO</v>
      </c>
      <c r="D952" s="27">
        <v>1602.52</v>
      </c>
      <c r="E952" s="27">
        <v>37297.629999999997</v>
      </c>
      <c r="F952" s="27">
        <v>171.27</v>
      </c>
      <c r="G952" s="27">
        <v>1235.8</v>
      </c>
      <c r="H952" s="27">
        <v>1610.59</v>
      </c>
      <c r="I952" s="27">
        <v>19391.07</v>
      </c>
      <c r="J952" s="6">
        <v>188</v>
      </c>
      <c r="K952" s="6">
        <v>1379</v>
      </c>
      <c r="L952" s="27">
        <v>6.573404255319149</v>
      </c>
      <c r="M952" s="27">
        <v>14.061689630166788</v>
      </c>
      <c r="N952" s="34">
        <v>24.536024250159539</v>
      </c>
    </row>
    <row r="953" spans="1:14" x14ac:dyDescent="0.35">
      <c r="A953" s="82">
        <v>950</v>
      </c>
      <c r="B953" s="89" t="str">
        <f>_xlfn.XLOOKUP(A953,'Model Modeshare by TAZ'!A:A,'Model Modeshare by TAZ'!B:B)</f>
        <v>San Jose</v>
      </c>
      <c r="C953" s="90" t="str">
        <f>_xlfn.XLOOKUP(A953,'Model Modeshare by TAZ'!A:A,'Model Modeshare by TAZ'!D:D)</f>
        <v>NO</v>
      </c>
      <c r="D953" s="27">
        <v>1547.68</v>
      </c>
      <c r="E953" s="27">
        <v>35658.769999999997</v>
      </c>
      <c r="F953" s="27">
        <v>12.52</v>
      </c>
      <c r="G953" s="27">
        <v>95.34</v>
      </c>
      <c r="H953" s="27">
        <v>989.14</v>
      </c>
      <c r="I953" s="27">
        <v>12174.55</v>
      </c>
      <c r="J953" s="6">
        <v>14</v>
      </c>
      <c r="K953" s="6">
        <v>847</v>
      </c>
      <c r="L953" s="27">
        <v>6.8100000000000005</v>
      </c>
      <c r="M953" s="27">
        <v>14.373730814639904</v>
      </c>
      <c r="N953" s="34">
        <v>31.642636469221838</v>
      </c>
    </row>
    <row r="954" spans="1:14" x14ac:dyDescent="0.35">
      <c r="A954" s="82">
        <v>951</v>
      </c>
      <c r="B954" s="89" t="str">
        <f>_xlfn.XLOOKUP(A954,'Model Modeshare by TAZ'!A:A,'Model Modeshare by TAZ'!B:B)</f>
        <v>San Jose</v>
      </c>
      <c r="C954" s="90" t="str">
        <f>_xlfn.XLOOKUP(A954,'Model Modeshare by TAZ'!A:A,'Model Modeshare by TAZ'!D:D)</f>
        <v>NO</v>
      </c>
      <c r="D954" s="27">
        <v>4440.59</v>
      </c>
      <c r="E954" s="27">
        <v>97385.61</v>
      </c>
      <c r="F954" s="27">
        <v>657.73</v>
      </c>
      <c r="G954" s="27">
        <v>4120.3599999999997</v>
      </c>
      <c r="H954" s="27">
        <v>4054.18</v>
      </c>
      <c r="I954" s="27">
        <v>49291.92</v>
      </c>
      <c r="J954" s="6">
        <v>463</v>
      </c>
      <c r="K954" s="6">
        <v>3460</v>
      </c>
      <c r="L954" s="27">
        <v>8.8992656587473</v>
      </c>
      <c r="M954" s="27">
        <v>14.246219653179191</v>
      </c>
      <c r="N954" s="34">
        <v>26.013780270201377</v>
      </c>
    </row>
    <row r="955" spans="1:14" x14ac:dyDescent="0.35">
      <c r="A955" s="82">
        <v>952</v>
      </c>
      <c r="B955" s="89" t="str">
        <f>_xlfn.XLOOKUP(A955,'Model Modeshare by TAZ'!A:A,'Model Modeshare by TAZ'!B:B)</f>
        <v>San Jose</v>
      </c>
      <c r="C955" s="90" t="str">
        <f>_xlfn.XLOOKUP(A955,'Model Modeshare by TAZ'!A:A,'Model Modeshare by TAZ'!D:D)</f>
        <v>NO</v>
      </c>
      <c r="D955" s="27">
        <v>15103.01</v>
      </c>
      <c r="E955" s="27">
        <v>362082.11</v>
      </c>
      <c r="F955" s="27">
        <v>4942.99</v>
      </c>
      <c r="G955" s="27">
        <v>35551.97</v>
      </c>
      <c r="H955" s="27">
        <v>7406.13</v>
      </c>
      <c r="I955" s="27">
        <v>96469.18</v>
      </c>
      <c r="J955" s="6">
        <v>3248</v>
      </c>
      <c r="K955" s="6">
        <v>6390</v>
      </c>
      <c r="L955" s="27">
        <v>10.945803571428572</v>
      </c>
      <c r="M955" s="27">
        <v>15.09689827856025</v>
      </c>
      <c r="N955" s="34">
        <v>30.159381614442829</v>
      </c>
    </row>
    <row r="956" spans="1:14" x14ac:dyDescent="0.35">
      <c r="A956" s="82">
        <v>953</v>
      </c>
      <c r="B956" s="89" t="str">
        <f>_xlfn.XLOOKUP(A956,'Model Modeshare by TAZ'!A:A,'Model Modeshare by TAZ'!B:B)</f>
        <v>San Jose</v>
      </c>
      <c r="C956" s="90" t="str">
        <f>_xlfn.XLOOKUP(A956,'Model Modeshare by TAZ'!A:A,'Model Modeshare by TAZ'!D:D)</f>
        <v>NO</v>
      </c>
      <c r="D956" s="27">
        <v>26030.81</v>
      </c>
      <c r="E956" s="27">
        <v>652356.77</v>
      </c>
      <c r="F956" s="27">
        <v>1728.26</v>
      </c>
      <c r="G956" s="27">
        <v>10024.15</v>
      </c>
      <c r="H956" s="27">
        <v>8056.86</v>
      </c>
      <c r="I956" s="27">
        <v>117720.03</v>
      </c>
      <c r="J956" s="6">
        <v>581</v>
      </c>
      <c r="K956" s="6">
        <v>7127</v>
      </c>
      <c r="L956" s="27">
        <v>17.25327022375215</v>
      </c>
      <c r="M956" s="27">
        <v>16.517472990037884</v>
      </c>
      <c r="N956" s="34">
        <v>36.499878048780488</v>
      </c>
    </row>
    <row r="957" spans="1:14" x14ac:dyDescent="0.35">
      <c r="A957" s="82">
        <v>954</v>
      </c>
      <c r="B957" s="89" t="str">
        <f>_xlfn.XLOOKUP(A957,'Model Modeshare by TAZ'!A:A,'Model Modeshare by TAZ'!B:B)</f>
        <v>San Jose</v>
      </c>
      <c r="C957" s="90" t="str">
        <f>_xlfn.XLOOKUP(A957,'Model Modeshare by TAZ'!A:A,'Model Modeshare by TAZ'!D:D)</f>
        <v>NO</v>
      </c>
      <c r="D957" s="27">
        <v>8087.02</v>
      </c>
      <c r="E957" s="27">
        <v>120319.01</v>
      </c>
      <c r="F957" s="27">
        <v>7967.19</v>
      </c>
      <c r="G957" s="27">
        <v>54739.040000000001</v>
      </c>
      <c r="H957" s="27">
        <v>926.2</v>
      </c>
      <c r="I957" s="27">
        <v>11578.87</v>
      </c>
      <c r="J957" s="6">
        <v>5497</v>
      </c>
      <c r="K957" s="6">
        <v>515</v>
      </c>
      <c r="L957" s="27">
        <v>9.9579843551027842</v>
      </c>
      <c r="M957" s="27">
        <v>22.483242718446604</v>
      </c>
      <c r="N957" s="34">
        <v>17.269293080505655</v>
      </c>
    </row>
    <row r="958" spans="1:14" x14ac:dyDescent="0.35">
      <c r="A958" s="82">
        <v>955</v>
      </c>
      <c r="B958" s="89" t="str">
        <f>_xlfn.XLOOKUP(A958,'Model Modeshare by TAZ'!A:A,'Model Modeshare by TAZ'!B:B)</f>
        <v>San Jose</v>
      </c>
      <c r="C958" s="90" t="str">
        <f>_xlfn.XLOOKUP(A958,'Model Modeshare by TAZ'!A:A,'Model Modeshare by TAZ'!D:D)</f>
        <v>NO</v>
      </c>
      <c r="D958" s="27">
        <v>3905.93</v>
      </c>
      <c r="E958" s="27">
        <v>46195.87</v>
      </c>
      <c r="F958" s="27">
        <v>4305.0200000000004</v>
      </c>
      <c r="G958" s="27">
        <v>26793.81</v>
      </c>
      <c r="H958" s="27">
        <v>146.91</v>
      </c>
      <c r="I958" s="27">
        <v>1624.35</v>
      </c>
      <c r="J958" s="6">
        <v>2945</v>
      </c>
      <c r="K958" s="6">
        <v>84</v>
      </c>
      <c r="L958" s="27">
        <v>9.0980679117147716</v>
      </c>
      <c r="M958" s="27">
        <v>19.337499999999999</v>
      </c>
      <c r="N958" s="34">
        <v>13.489630241003631</v>
      </c>
    </row>
    <row r="959" spans="1:14" x14ac:dyDescent="0.35">
      <c r="A959" s="82">
        <v>956</v>
      </c>
      <c r="B959" s="89" t="str">
        <f>_xlfn.XLOOKUP(A959,'Model Modeshare by TAZ'!A:A,'Model Modeshare by TAZ'!B:B)</f>
        <v>San Jose</v>
      </c>
      <c r="C959" s="90" t="str">
        <f>_xlfn.XLOOKUP(A959,'Model Modeshare by TAZ'!A:A,'Model Modeshare by TAZ'!D:D)</f>
        <v>NO</v>
      </c>
      <c r="D959" s="27">
        <v>2819.62</v>
      </c>
      <c r="E959" s="27">
        <v>40933.82</v>
      </c>
      <c r="F959" s="27">
        <v>3778.24</v>
      </c>
      <c r="G959" s="27">
        <v>27684.78</v>
      </c>
      <c r="H959" s="27">
        <v>36.17</v>
      </c>
      <c r="I959" s="27">
        <v>456.47</v>
      </c>
      <c r="J959" s="6">
        <v>2517</v>
      </c>
      <c r="K959" s="6">
        <v>18</v>
      </c>
      <c r="L959" s="27">
        <v>10.99911799761621</v>
      </c>
      <c r="M959" s="27">
        <v>25.359444444444446</v>
      </c>
      <c r="N959" s="34">
        <v>16.581577909270219</v>
      </c>
    </row>
    <row r="960" spans="1:14" x14ac:dyDescent="0.35">
      <c r="A960" s="82">
        <v>957</v>
      </c>
      <c r="B960" s="89" t="str">
        <f>_xlfn.XLOOKUP(A960,'Model Modeshare by TAZ'!A:A,'Model Modeshare by TAZ'!B:B)</f>
        <v>San Jose</v>
      </c>
      <c r="C960" s="90" t="str">
        <f>_xlfn.XLOOKUP(A960,'Model Modeshare by TAZ'!A:A,'Model Modeshare by TAZ'!D:D)</f>
        <v>NO</v>
      </c>
      <c r="D960" s="27">
        <v>5859.92</v>
      </c>
      <c r="E960" s="27">
        <v>82032.039999999994</v>
      </c>
      <c r="F960" s="27">
        <v>5217.49</v>
      </c>
      <c r="G960" s="27">
        <v>36594.129999999997</v>
      </c>
      <c r="H960" s="27">
        <v>1186.3800000000001</v>
      </c>
      <c r="I960" s="27">
        <v>13028.47</v>
      </c>
      <c r="J960" s="6">
        <v>3306</v>
      </c>
      <c r="K960" s="6">
        <v>837</v>
      </c>
      <c r="L960" s="27">
        <v>11.069004839685419</v>
      </c>
      <c r="M960" s="27">
        <v>15.565675029868578</v>
      </c>
      <c r="N960" s="34">
        <v>25.963154718802802</v>
      </c>
    </row>
    <row r="961" spans="1:14" x14ac:dyDescent="0.35">
      <c r="A961" s="82">
        <v>958</v>
      </c>
      <c r="B961" s="89" t="str">
        <f>_xlfn.XLOOKUP(A961,'Model Modeshare by TAZ'!A:A,'Model Modeshare by TAZ'!B:B)</f>
        <v>San Jose</v>
      </c>
      <c r="C961" s="90" t="str">
        <f>_xlfn.XLOOKUP(A961,'Model Modeshare by TAZ'!A:A,'Model Modeshare by TAZ'!D:D)</f>
        <v>NO</v>
      </c>
      <c r="D961" s="27">
        <v>1718.69</v>
      </c>
      <c r="E961" s="27">
        <v>46558.9</v>
      </c>
      <c r="F961" s="27">
        <v>0</v>
      </c>
      <c r="G961" s="27">
        <v>0</v>
      </c>
      <c r="H961" s="27">
        <v>2323.3200000000002</v>
      </c>
      <c r="I961" s="27">
        <v>34184.629999999997</v>
      </c>
      <c r="J961" s="6">
        <v>0</v>
      </c>
      <c r="K961" s="6">
        <v>2074</v>
      </c>
      <c r="L961" s="27">
        <v>0</v>
      </c>
      <c r="M961" s="27">
        <v>16.482463837994214</v>
      </c>
      <c r="N961" s="34">
        <v>38.501571841851494</v>
      </c>
    </row>
    <row r="962" spans="1:14" x14ac:dyDescent="0.35">
      <c r="A962" s="82">
        <v>959</v>
      </c>
      <c r="B962" s="89" t="str">
        <f>_xlfn.XLOOKUP(A962,'Model Modeshare by TAZ'!A:A,'Model Modeshare by TAZ'!B:B)</f>
        <v>San Jose</v>
      </c>
      <c r="C962" s="90" t="str">
        <f>_xlfn.XLOOKUP(A962,'Model Modeshare by TAZ'!A:A,'Model Modeshare by TAZ'!D:D)</f>
        <v>NO</v>
      </c>
      <c r="D962" s="27">
        <v>3727.85</v>
      </c>
      <c r="E962" s="27">
        <v>64382.37</v>
      </c>
      <c r="F962" s="27">
        <v>2586.96</v>
      </c>
      <c r="G962" s="27">
        <v>20699.18</v>
      </c>
      <c r="H962" s="27">
        <v>465.65</v>
      </c>
      <c r="I962" s="27">
        <v>5638.13</v>
      </c>
      <c r="J962" s="6">
        <v>1688</v>
      </c>
      <c r="K962" s="6">
        <v>249</v>
      </c>
      <c r="L962" s="27">
        <v>12.26254739336493</v>
      </c>
      <c r="M962" s="27">
        <v>22.643092369477912</v>
      </c>
      <c r="N962" s="34">
        <v>28.669173980382034</v>
      </c>
    </row>
    <row r="963" spans="1:14" x14ac:dyDescent="0.35">
      <c r="A963" s="82">
        <v>960</v>
      </c>
      <c r="B963" s="89" t="str">
        <f>_xlfn.XLOOKUP(A963,'Model Modeshare by TAZ'!A:A,'Model Modeshare by TAZ'!B:B)</f>
        <v>San Jose</v>
      </c>
      <c r="C963" s="90" t="str">
        <f>_xlfn.XLOOKUP(A963,'Model Modeshare by TAZ'!A:A,'Model Modeshare by TAZ'!D:D)</f>
        <v>NO</v>
      </c>
      <c r="D963" s="27">
        <v>2766.61</v>
      </c>
      <c r="E963" s="27">
        <v>77353.34</v>
      </c>
      <c r="F963" s="27">
        <v>0</v>
      </c>
      <c r="G963" s="27">
        <v>0</v>
      </c>
      <c r="H963" s="27">
        <v>2332.61</v>
      </c>
      <c r="I963" s="27">
        <v>34416.910000000003</v>
      </c>
      <c r="J963" s="6">
        <v>0</v>
      </c>
      <c r="K963" s="6">
        <v>1974</v>
      </c>
      <c r="L963" s="27">
        <v>0</v>
      </c>
      <c r="M963" s="27">
        <v>17.435111448834856</v>
      </c>
      <c r="N963" s="34">
        <v>38.818895643363732</v>
      </c>
    </row>
    <row r="964" spans="1:14" x14ac:dyDescent="0.35">
      <c r="A964" s="82">
        <v>961</v>
      </c>
      <c r="B964" s="89" t="str">
        <f>_xlfn.XLOOKUP(A964,'Model Modeshare by TAZ'!A:A,'Model Modeshare by TAZ'!B:B)</f>
        <v>San Jose</v>
      </c>
      <c r="C964" s="90" t="str">
        <f>_xlfn.XLOOKUP(A964,'Model Modeshare by TAZ'!A:A,'Model Modeshare by TAZ'!D:D)</f>
        <v>NO</v>
      </c>
      <c r="D964" s="27">
        <v>2147.16</v>
      </c>
      <c r="E964" s="27">
        <v>58921.760000000002</v>
      </c>
      <c r="F964" s="27">
        <v>0</v>
      </c>
      <c r="G964" s="27">
        <v>0</v>
      </c>
      <c r="H964" s="27">
        <v>2005.11</v>
      </c>
      <c r="I964" s="27">
        <v>28851.27</v>
      </c>
      <c r="J964" s="6">
        <v>0</v>
      </c>
      <c r="K964" s="6">
        <v>1751</v>
      </c>
      <c r="L964" s="27">
        <v>0</v>
      </c>
      <c r="M964" s="27">
        <v>16.477024557395772</v>
      </c>
      <c r="N964" s="34">
        <v>37.112347230154199</v>
      </c>
    </row>
    <row r="965" spans="1:14" x14ac:dyDescent="0.35">
      <c r="A965" s="82">
        <v>962</v>
      </c>
      <c r="B965" s="89" t="str">
        <f>_xlfn.XLOOKUP(A965,'Model Modeshare by TAZ'!A:A,'Model Modeshare by TAZ'!B:B)</f>
        <v>San Jose</v>
      </c>
      <c r="C965" s="90" t="str">
        <f>_xlfn.XLOOKUP(A965,'Model Modeshare by TAZ'!A:A,'Model Modeshare by TAZ'!D:D)</f>
        <v>NO</v>
      </c>
      <c r="D965" s="27">
        <v>4116.05</v>
      </c>
      <c r="E965" s="27">
        <v>105662.34</v>
      </c>
      <c r="F965" s="27">
        <v>0</v>
      </c>
      <c r="G965" s="27">
        <v>0</v>
      </c>
      <c r="H965" s="27">
        <v>3491.42</v>
      </c>
      <c r="I965" s="27">
        <v>47594.34</v>
      </c>
      <c r="J965" s="6">
        <v>0</v>
      </c>
      <c r="K965" s="6">
        <v>3126</v>
      </c>
      <c r="L965" s="27">
        <v>0</v>
      </c>
      <c r="M965" s="27">
        <v>15.225316698656428</v>
      </c>
      <c r="N965" s="34">
        <v>37.518058221369159</v>
      </c>
    </row>
    <row r="966" spans="1:14" x14ac:dyDescent="0.35">
      <c r="A966" s="82">
        <v>963</v>
      </c>
      <c r="B966" s="89" t="str">
        <f>_xlfn.XLOOKUP(A966,'Model Modeshare by TAZ'!A:A,'Model Modeshare by TAZ'!B:B)</f>
        <v>San Jose</v>
      </c>
      <c r="C966" s="90" t="str">
        <f>_xlfn.XLOOKUP(A966,'Model Modeshare by TAZ'!A:A,'Model Modeshare by TAZ'!D:D)</f>
        <v>NO</v>
      </c>
      <c r="D966" s="27">
        <v>5539.64</v>
      </c>
      <c r="E966" s="27">
        <v>140694.79</v>
      </c>
      <c r="F966" s="27">
        <v>6.11</v>
      </c>
      <c r="G966" s="27">
        <v>48.13</v>
      </c>
      <c r="H966" s="27">
        <v>2122.7600000000002</v>
      </c>
      <c r="I966" s="27">
        <v>28558.12</v>
      </c>
      <c r="J966" s="6">
        <v>4</v>
      </c>
      <c r="K966" s="6">
        <v>1881</v>
      </c>
      <c r="L966" s="27">
        <v>12.032500000000001</v>
      </c>
      <c r="M966" s="27">
        <v>15.18241360978203</v>
      </c>
      <c r="N966" s="34">
        <v>41.07968700265252</v>
      </c>
    </row>
    <row r="967" spans="1:14" x14ac:dyDescent="0.35">
      <c r="A967" s="82">
        <v>964</v>
      </c>
      <c r="B967" s="89" t="str">
        <f>_xlfn.XLOOKUP(A967,'Model Modeshare by TAZ'!A:A,'Model Modeshare by TAZ'!B:B)</f>
        <v>San Jose</v>
      </c>
      <c r="C967" s="90" t="str">
        <f>_xlfn.XLOOKUP(A967,'Model Modeshare by TAZ'!A:A,'Model Modeshare by TAZ'!D:D)</f>
        <v>NO</v>
      </c>
      <c r="D967" s="27">
        <v>4575.26</v>
      </c>
      <c r="E967" s="27">
        <v>117507.2</v>
      </c>
      <c r="F967" s="27">
        <v>1.56</v>
      </c>
      <c r="G967" s="27">
        <v>13.46</v>
      </c>
      <c r="H967" s="27">
        <v>1971.55</v>
      </c>
      <c r="I967" s="27">
        <v>26514.32</v>
      </c>
      <c r="J967" s="6">
        <v>0</v>
      </c>
      <c r="K967" s="6">
        <v>1747</v>
      </c>
      <c r="L967" s="27">
        <v>0</v>
      </c>
      <c r="M967" s="27">
        <v>15.17705781339439</v>
      </c>
      <c r="N967" s="34">
        <v>37.830228963938183</v>
      </c>
    </row>
    <row r="968" spans="1:14" x14ac:dyDescent="0.35">
      <c r="A968" s="82">
        <v>965</v>
      </c>
      <c r="B968" s="89" t="str">
        <f>_xlfn.XLOOKUP(A968,'Model Modeshare by TAZ'!A:A,'Model Modeshare by TAZ'!B:B)</f>
        <v>San Jose</v>
      </c>
      <c r="C968" s="90" t="str">
        <f>_xlfn.XLOOKUP(A968,'Model Modeshare by TAZ'!A:A,'Model Modeshare by TAZ'!D:D)</f>
        <v>NO</v>
      </c>
      <c r="D968" s="27">
        <v>7066.81</v>
      </c>
      <c r="E968" s="27">
        <v>177007.47</v>
      </c>
      <c r="F968" s="27">
        <v>0</v>
      </c>
      <c r="G968" s="27">
        <v>0</v>
      </c>
      <c r="H968" s="27">
        <v>4967.41</v>
      </c>
      <c r="I968" s="27">
        <v>62150.28</v>
      </c>
      <c r="J968" s="6">
        <v>0</v>
      </c>
      <c r="K968" s="6">
        <v>4127</v>
      </c>
      <c r="L968" s="27">
        <v>0</v>
      </c>
      <c r="M968" s="27">
        <v>15.059433002180761</v>
      </c>
      <c r="N968" s="34">
        <v>36.170884419675303</v>
      </c>
    </row>
    <row r="969" spans="1:14" x14ac:dyDescent="0.35">
      <c r="A969" s="82">
        <v>966</v>
      </c>
      <c r="B969" s="89" t="str">
        <f>_xlfn.XLOOKUP(A969,'Model Modeshare by TAZ'!A:A,'Model Modeshare by TAZ'!B:B)</f>
        <v>San Jose</v>
      </c>
      <c r="C969" s="90" t="str">
        <f>_xlfn.XLOOKUP(A969,'Model Modeshare by TAZ'!A:A,'Model Modeshare by TAZ'!D:D)</f>
        <v>NO</v>
      </c>
      <c r="D969" s="27">
        <v>1752.62</v>
      </c>
      <c r="E969" s="27">
        <v>44979.77</v>
      </c>
      <c r="F969" s="27">
        <v>0</v>
      </c>
      <c r="G969" s="27">
        <v>0</v>
      </c>
      <c r="H969" s="27">
        <v>368.01</v>
      </c>
      <c r="I969" s="27">
        <v>4800.8900000000003</v>
      </c>
      <c r="J969" s="6">
        <v>0</v>
      </c>
      <c r="K969" s="6">
        <v>304</v>
      </c>
      <c r="L969" s="27">
        <v>0</v>
      </c>
      <c r="M969" s="27">
        <v>15.792401315789474</v>
      </c>
      <c r="N969" s="34">
        <v>48.906085526315792</v>
      </c>
    </row>
    <row r="970" spans="1:14" x14ac:dyDescent="0.35">
      <c r="A970" s="82">
        <v>967</v>
      </c>
      <c r="B970" s="89" t="str">
        <f>_xlfn.XLOOKUP(A970,'Model Modeshare by TAZ'!A:A,'Model Modeshare by TAZ'!B:B)</f>
        <v>San Jose</v>
      </c>
      <c r="C970" s="90" t="str">
        <f>_xlfn.XLOOKUP(A970,'Model Modeshare by TAZ'!A:A,'Model Modeshare by TAZ'!D:D)</f>
        <v>NO</v>
      </c>
      <c r="D970" s="27">
        <v>2221.3200000000002</v>
      </c>
      <c r="E970" s="27">
        <v>57168.81</v>
      </c>
      <c r="F970" s="27">
        <v>0</v>
      </c>
      <c r="G970" s="27">
        <v>0</v>
      </c>
      <c r="H970" s="27">
        <v>1203.06</v>
      </c>
      <c r="I970" s="27">
        <v>15770.17</v>
      </c>
      <c r="J970" s="6">
        <v>0</v>
      </c>
      <c r="K970" s="6">
        <v>1006</v>
      </c>
      <c r="L970" s="27">
        <v>0</v>
      </c>
      <c r="M970" s="27">
        <v>15.676113320079523</v>
      </c>
      <c r="N970" s="34">
        <v>35.928548707753478</v>
      </c>
    </row>
    <row r="971" spans="1:14" x14ac:dyDescent="0.35">
      <c r="A971" s="82">
        <v>968</v>
      </c>
      <c r="B971" s="89" t="str">
        <f>_xlfn.XLOOKUP(A971,'Model Modeshare by TAZ'!A:A,'Model Modeshare by TAZ'!B:B)</f>
        <v>San Jose</v>
      </c>
      <c r="C971" s="90" t="str">
        <f>_xlfn.XLOOKUP(A971,'Model Modeshare by TAZ'!A:A,'Model Modeshare by TAZ'!D:D)</f>
        <v>NO</v>
      </c>
      <c r="D971" s="27">
        <v>886.27</v>
      </c>
      <c r="E971" s="27">
        <v>22466.080000000002</v>
      </c>
      <c r="F971" s="27">
        <v>0</v>
      </c>
      <c r="G971" s="27">
        <v>0</v>
      </c>
      <c r="H971" s="27">
        <v>2251.73</v>
      </c>
      <c r="I971" s="27">
        <v>32202.67</v>
      </c>
      <c r="J971" s="6">
        <v>0</v>
      </c>
      <c r="K971" s="6">
        <v>1977</v>
      </c>
      <c r="L971" s="27">
        <v>0</v>
      </c>
      <c r="M971" s="27">
        <v>16.288654527061205</v>
      </c>
      <c r="N971" s="34">
        <v>35.389448659585234</v>
      </c>
    </row>
    <row r="972" spans="1:14" x14ac:dyDescent="0.35">
      <c r="A972" s="82">
        <v>969</v>
      </c>
      <c r="B972" s="89" t="str">
        <f>_xlfn.XLOOKUP(A972,'Model Modeshare by TAZ'!A:A,'Model Modeshare by TAZ'!B:B)</f>
        <v>San Jose</v>
      </c>
      <c r="C972" s="90" t="str">
        <f>_xlfn.XLOOKUP(A972,'Model Modeshare by TAZ'!A:A,'Model Modeshare by TAZ'!D:D)</f>
        <v>NO</v>
      </c>
      <c r="D972" s="27">
        <v>931.26</v>
      </c>
      <c r="E972" s="27">
        <v>17003.400000000001</v>
      </c>
      <c r="F972" s="27">
        <v>25.19</v>
      </c>
      <c r="G972" s="27">
        <v>216.59</v>
      </c>
      <c r="H972" s="27">
        <v>1590.8</v>
      </c>
      <c r="I972" s="27">
        <v>22340.5</v>
      </c>
      <c r="J972" s="6">
        <v>0</v>
      </c>
      <c r="K972" s="6">
        <v>1373</v>
      </c>
      <c r="L972" s="27">
        <v>0</v>
      </c>
      <c r="M972" s="27">
        <v>16.271303714493808</v>
      </c>
      <c r="N972" s="34">
        <v>34.219970866715222</v>
      </c>
    </row>
    <row r="973" spans="1:14" x14ac:dyDescent="0.35">
      <c r="A973" s="82">
        <v>970</v>
      </c>
      <c r="B973" s="89" t="str">
        <f>_xlfn.XLOOKUP(A973,'Model Modeshare by TAZ'!A:A,'Model Modeshare by TAZ'!B:B)</f>
        <v>San Jose</v>
      </c>
      <c r="C973" s="90" t="str">
        <f>_xlfn.XLOOKUP(A973,'Model Modeshare by TAZ'!A:A,'Model Modeshare by TAZ'!D:D)</f>
        <v>NO</v>
      </c>
      <c r="D973" s="27">
        <v>2350.54</v>
      </c>
      <c r="E973" s="27">
        <v>64370.1</v>
      </c>
      <c r="F973" s="27">
        <v>0</v>
      </c>
      <c r="G973" s="27">
        <v>0</v>
      </c>
      <c r="H973" s="27">
        <v>1711.06</v>
      </c>
      <c r="I973" s="27">
        <v>24814.52</v>
      </c>
      <c r="J973" s="6">
        <v>0</v>
      </c>
      <c r="K973" s="6">
        <v>1432</v>
      </c>
      <c r="L973" s="27">
        <v>0</v>
      </c>
      <c r="M973" s="27">
        <v>17.328575418994415</v>
      </c>
      <c r="N973" s="34">
        <v>38.185384078212294</v>
      </c>
    </row>
    <row r="974" spans="1:14" x14ac:dyDescent="0.35">
      <c r="A974" s="82">
        <v>971</v>
      </c>
      <c r="B974" s="89" t="str">
        <f>_xlfn.XLOOKUP(A974,'Model Modeshare by TAZ'!A:A,'Model Modeshare by TAZ'!B:B)</f>
        <v>San Jose</v>
      </c>
      <c r="C974" s="90" t="str">
        <f>_xlfn.XLOOKUP(A974,'Model Modeshare by TAZ'!A:A,'Model Modeshare by TAZ'!D:D)</f>
        <v>NO</v>
      </c>
      <c r="D974" s="27">
        <v>4502.6499999999996</v>
      </c>
      <c r="E974" s="27">
        <v>119914.66</v>
      </c>
      <c r="F974" s="27">
        <v>0</v>
      </c>
      <c r="G974" s="27">
        <v>0</v>
      </c>
      <c r="H974" s="27">
        <v>2401.92</v>
      </c>
      <c r="I974" s="27">
        <v>34346.370000000003</v>
      </c>
      <c r="J974" s="6">
        <v>0</v>
      </c>
      <c r="K974" s="6">
        <v>2041</v>
      </c>
      <c r="L974" s="27">
        <v>0</v>
      </c>
      <c r="M974" s="27">
        <v>16.828206761391478</v>
      </c>
      <c r="N974" s="34">
        <v>40.392052915237628</v>
      </c>
    </row>
    <row r="975" spans="1:14" x14ac:dyDescent="0.35">
      <c r="A975" s="82">
        <v>972</v>
      </c>
      <c r="B975" s="89" t="str">
        <f>_xlfn.XLOOKUP(A975,'Model Modeshare by TAZ'!A:A,'Model Modeshare by TAZ'!B:B)</f>
        <v>San Jose</v>
      </c>
      <c r="C975" s="90" t="str">
        <f>_xlfn.XLOOKUP(A975,'Model Modeshare by TAZ'!A:A,'Model Modeshare by TAZ'!D:D)</f>
        <v>NO</v>
      </c>
      <c r="D975" s="27">
        <v>13175.55</v>
      </c>
      <c r="E975" s="27">
        <v>315843.92</v>
      </c>
      <c r="F975" s="27">
        <v>1874.19</v>
      </c>
      <c r="G975" s="27">
        <v>12536.88</v>
      </c>
      <c r="H975" s="27">
        <v>4479.53</v>
      </c>
      <c r="I975" s="27">
        <v>66149.09</v>
      </c>
      <c r="J975" s="6">
        <v>972</v>
      </c>
      <c r="K975" s="6">
        <v>3708</v>
      </c>
      <c r="L975" s="27">
        <v>12.898024691358025</v>
      </c>
      <c r="M975" s="27">
        <v>17.839560409924488</v>
      </c>
      <c r="N975" s="34">
        <v>36.740594017094018</v>
      </c>
    </row>
    <row r="976" spans="1:14" x14ac:dyDescent="0.35">
      <c r="A976" s="82">
        <v>973</v>
      </c>
      <c r="B976" s="89" t="str">
        <f>_xlfn.XLOOKUP(A976,'Model Modeshare by TAZ'!A:A,'Model Modeshare by TAZ'!B:B)</f>
        <v>San Jose</v>
      </c>
      <c r="C976" s="90" t="str">
        <f>_xlfn.XLOOKUP(A976,'Model Modeshare by TAZ'!A:A,'Model Modeshare by TAZ'!D:D)</f>
        <v>NO</v>
      </c>
      <c r="D976" s="27">
        <v>2886.4</v>
      </c>
      <c r="E976" s="27">
        <v>73158.259999999995</v>
      </c>
      <c r="F976" s="27">
        <v>0</v>
      </c>
      <c r="G976" s="27">
        <v>0</v>
      </c>
      <c r="H976" s="27">
        <v>4821.1099999999997</v>
      </c>
      <c r="I976" s="27">
        <v>64379.4</v>
      </c>
      <c r="J976" s="6">
        <v>4</v>
      </c>
      <c r="K976" s="6">
        <v>4171</v>
      </c>
      <c r="L976" s="27">
        <v>0</v>
      </c>
      <c r="M976" s="27">
        <v>15.435003596259889</v>
      </c>
      <c r="N976" s="34">
        <v>37.511537724550898</v>
      </c>
    </row>
    <row r="977" spans="1:14" x14ac:dyDescent="0.35">
      <c r="A977" s="82">
        <v>974</v>
      </c>
      <c r="B977" s="89" t="str">
        <f>_xlfn.XLOOKUP(A977,'Model Modeshare by TAZ'!A:A,'Model Modeshare by TAZ'!B:B)</f>
        <v>San Jose</v>
      </c>
      <c r="C977" s="90" t="str">
        <f>_xlfn.XLOOKUP(A977,'Model Modeshare by TAZ'!A:A,'Model Modeshare by TAZ'!D:D)</f>
        <v>NO</v>
      </c>
      <c r="D977" s="27">
        <v>4056.16</v>
      </c>
      <c r="E977" s="27">
        <v>112708.94</v>
      </c>
      <c r="F977" s="27">
        <v>0</v>
      </c>
      <c r="G977" s="27">
        <v>0</v>
      </c>
      <c r="H977" s="27">
        <v>2868.98</v>
      </c>
      <c r="I977" s="27">
        <v>41041.29</v>
      </c>
      <c r="J977" s="6">
        <v>0</v>
      </c>
      <c r="K977" s="6">
        <v>2362</v>
      </c>
      <c r="L977" s="27">
        <v>0</v>
      </c>
      <c r="M977" s="27">
        <v>17.37565198983912</v>
      </c>
      <c r="N977" s="34">
        <v>39.083488569009312</v>
      </c>
    </row>
    <row r="978" spans="1:14" x14ac:dyDescent="0.35">
      <c r="A978" s="82">
        <v>975</v>
      </c>
      <c r="B978" s="89" t="str">
        <f>_xlfn.XLOOKUP(A978,'Model Modeshare by TAZ'!A:A,'Model Modeshare by TAZ'!B:B)</f>
        <v>San Jose</v>
      </c>
      <c r="C978" s="90" t="str">
        <f>_xlfn.XLOOKUP(A978,'Model Modeshare by TAZ'!A:A,'Model Modeshare by TAZ'!D:D)</f>
        <v>NO</v>
      </c>
      <c r="D978" s="27">
        <v>5718.1</v>
      </c>
      <c r="E978" s="27">
        <v>97992.18</v>
      </c>
      <c r="F978" s="27">
        <v>9045.83</v>
      </c>
      <c r="G978" s="27">
        <v>56921.68</v>
      </c>
      <c r="H978" s="27">
        <v>1747.78</v>
      </c>
      <c r="I978" s="27">
        <v>25169.22</v>
      </c>
      <c r="J978" s="6">
        <v>6179</v>
      </c>
      <c r="K978" s="6">
        <v>968</v>
      </c>
      <c r="L978" s="27">
        <v>9.2121184657711606</v>
      </c>
      <c r="M978" s="27">
        <v>26.001260330578514</v>
      </c>
      <c r="N978" s="34">
        <v>25.170922065202181</v>
      </c>
    </row>
    <row r="979" spans="1:14" x14ac:dyDescent="0.35">
      <c r="A979" s="82">
        <v>976</v>
      </c>
      <c r="B979" s="89" t="str">
        <f>_xlfn.XLOOKUP(A979,'Model Modeshare by TAZ'!A:A,'Model Modeshare by TAZ'!B:B)</f>
        <v>San Jose</v>
      </c>
      <c r="C979" s="90" t="str">
        <f>_xlfn.XLOOKUP(A979,'Model Modeshare by TAZ'!A:A,'Model Modeshare by TAZ'!D:D)</f>
        <v>NO</v>
      </c>
      <c r="D979" s="27">
        <v>12809.38</v>
      </c>
      <c r="E979" s="27">
        <v>273466.76</v>
      </c>
      <c r="F979" s="27">
        <v>7471.83</v>
      </c>
      <c r="G979" s="27">
        <v>49762.76</v>
      </c>
      <c r="H979" s="27">
        <v>7202.45</v>
      </c>
      <c r="I979" s="27">
        <v>106475.43</v>
      </c>
      <c r="J979" s="6">
        <v>3538</v>
      </c>
      <c r="K979" s="6">
        <v>6185</v>
      </c>
      <c r="L979" s="27">
        <v>14.065223289994348</v>
      </c>
      <c r="M979" s="27">
        <v>17.21510590137429</v>
      </c>
      <c r="N979" s="34">
        <v>37.071236243957628</v>
      </c>
    </row>
    <row r="980" spans="1:14" x14ac:dyDescent="0.35">
      <c r="A980" s="82">
        <v>977</v>
      </c>
      <c r="B980" s="89" t="str">
        <f>_xlfn.XLOOKUP(A980,'Model Modeshare by TAZ'!A:A,'Model Modeshare by TAZ'!B:B)</f>
        <v>San Jose</v>
      </c>
      <c r="C980" s="90" t="str">
        <f>_xlfn.XLOOKUP(A980,'Model Modeshare by TAZ'!A:A,'Model Modeshare by TAZ'!D:D)</f>
        <v>NO</v>
      </c>
      <c r="D980" s="27">
        <v>9888.39</v>
      </c>
      <c r="E980" s="27">
        <v>267995.92</v>
      </c>
      <c r="F980" s="27">
        <v>0</v>
      </c>
      <c r="G980" s="27">
        <v>0</v>
      </c>
      <c r="H980" s="27">
        <v>5822.84</v>
      </c>
      <c r="I980" s="27">
        <v>85113.97</v>
      </c>
      <c r="J980" s="6">
        <v>0</v>
      </c>
      <c r="K980" s="6">
        <v>5076</v>
      </c>
      <c r="L980" s="27">
        <v>0</v>
      </c>
      <c r="M980" s="27">
        <v>16.767921591804569</v>
      </c>
      <c r="N980" s="34">
        <v>39.577828999211981</v>
      </c>
    </row>
    <row r="981" spans="1:14" x14ac:dyDescent="0.35">
      <c r="A981" s="82">
        <v>978</v>
      </c>
      <c r="B981" s="89" t="str">
        <f>_xlfn.XLOOKUP(A981,'Model Modeshare by TAZ'!A:A,'Model Modeshare by TAZ'!B:B)</f>
        <v>San Jose</v>
      </c>
      <c r="C981" s="90" t="str">
        <f>_xlfn.XLOOKUP(A981,'Model Modeshare by TAZ'!A:A,'Model Modeshare by TAZ'!D:D)</f>
        <v>NO</v>
      </c>
      <c r="D981" s="27">
        <v>910.64</v>
      </c>
      <c r="E981" s="27">
        <v>24350.44</v>
      </c>
      <c r="F981" s="27">
        <v>3.38</v>
      </c>
      <c r="G981" s="27">
        <v>34.61</v>
      </c>
      <c r="H981" s="27">
        <v>497.86</v>
      </c>
      <c r="I981" s="27">
        <v>7630.06</v>
      </c>
      <c r="J981" s="6">
        <v>7</v>
      </c>
      <c r="K981" s="6">
        <v>457</v>
      </c>
      <c r="L981" s="27">
        <v>4.944285714285714</v>
      </c>
      <c r="M981" s="27">
        <v>16.695973741794312</v>
      </c>
      <c r="N981" s="34">
        <v>41.527435344827587</v>
      </c>
    </row>
    <row r="982" spans="1:14" x14ac:dyDescent="0.35">
      <c r="A982" s="82">
        <v>979</v>
      </c>
      <c r="B982" s="89" t="str">
        <f>_xlfn.XLOOKUP(A982,'Model Modeshare by TAZ'!A:A,'Model Modeshare by TAZ'!B:B)</f>
        <v>San Jose</v>
      </c>
      <c r="C982" s="90" t="str">
        <f>_xlfn.XLOOKUP(A982,'Model Modeshare by TAZ'!A:A,'Model Modeshare by TAZ'!D:D)</f>
        <v>NO</v>
      </c>
      <c r="D982" s="27">
        <v>1347.73</v>
      </c>
      <c r="E982" s="27">
        <v>32014.44</v>
      </c>
      <c r="F982" s="27">
        <v>685.27</v>
      </c>
      <c r="G982" s="27">
        <v>5537.89</v>
      </c>
      <c r="H982" s="27">
        <v>835.96</v>
      </c>
      <c r="I982" s="27">
        <v>13079.14</v>
      </c>
      <c r="J982" s="6">
        <v>460</v>
      </c>
      <c r="K982" s="6">
        <v>645</v>
      </c>
      <c r="L982" s="27">
        <v>12.038891304347827</v>
      </c>
      <c r="M982" s="27">
        <v>20.277736434108526</v>
      </c>
      <c r="N982" s="34">
        <v>35.136832579185516</v>
      </c>
    </row>
    <row r="983" spans="1:14" x14ac:dyDescent="0.35">
      <c r="A983" s="82">
        <v>980</v>
      </c>
      <c r="B983" s="89" t="str">
        <f>_xlfn.XLOOKUP(A983,'Model Modeshare by TAZ'!A:A,'Model Modeshare by TAZ'!B:B)</f>
        <v>San Jose</v>
      </c>
      <c r="C983" s="90" t="str">
        <f>_xlfn.XLOOKUP(A983,'Model Modeshare by TAZ'!A:A,'Model Modeshare by TAZ'!D:D)</f>
        <v>NO</v>
      </c>
      <c r="D983" s="27">
        <v>247.14</v>
      </c>
      <c r="E983" s="27">
        <v>4519.83</v>
      </c>
      <c r="F983" s="27">
        <v>69.599999999999994</v>
      </c>
      <c r="G983" s="27">
        <v>604.62</v>
      </c>
      <c r="H983" s="27">
        <v>205.13</v>
      </c>
      <c r="I983" s="27">
        <v>3373.09</v>
      </c>
      <c r="J983" s="6">
        <v>50</v>
      </c>
      <c r="K983" s="6">
        <v>140</v>
      </c>
      <c r="L983" s="27">
        <v>12.0924</v>
      </c>
      <c r="M983" s="27">
        <v>24.093500000000002</v>
      </c>
      <c r="N983" s="34">
        <v>42.609000000000002</v>
      </c>
    </row>
    <row r="984" spans="1:14" x14ac:dyDescent="0.35">
      <c r="A984" s="82">
        <v>981</v>
      </c>
      <c r="B984" s="89" t="str">
        <f>_xlfn.XLOOKUP(A984,'Model Modeshare by TAZ'!A:A,'Model Modeshare by TAZ'!B:B)</f>
        <v>San Jose</v>
      </c>
      <c r="C984" s="90" t="str">
        <f>_xlfn.XLOOKUP(A984,'Model Modeshare by TAZ'!A:A,'Model Modeshare by TAZ'!D:D)</f>
        <v>NO</v>
      </c>
      <c r="D984" s="27">
        <v>3409.41</v>
      </c>
      <c r="E984" s="27">
        <v>41821.31</v>
      </c>
      <c r="F984" s="27">
        <v>2804.44</v>
      </c>
      <c r="G984" s="27">
        <v>16175.15</v>
      </c>
      <c r="H984" s="27">
        <v>602.96</v>
      </c>
      <c r="I984" s="27">
        <v>7455.15</v>
      </c>
      <c r="J984" s="6">
        <v>2018</v>
      </c>
      <c r="K984" s="6">
        <v>325</v>
      </c>
      <c r="L984" s="27">
        <v>8.0154360753221017</v>
      </c>
      <c r="M984" s="27">
        <v>22.938923076923075</v>
      </c>
      <c r="N984" s="34">
        <v>14.77354246692275</v>
      </c>
    </row>
    <row r="985" spans="1:14" x14ac:dyDescent="0.35">
      <c r="A985" s="82">
        <v>982</v>
      </c>
      <c r="B985" s="89" t="str">
        <f>_xlfn.XLOOKUP(A985,'Model Modeshare by TAZ'!A:A,'Model Modeshare by TAZ'!B:B)</f>
        <v>San Jose</v>
      </c>
      <c r="C985" s="90" t="str">
        <f>_xlfn.XLOOKUP(A985,'Model Modeshare by TAZ'!A:A,'Model Modeshare by TAZ'!D:D)</f>
        <v>NO</v>
      </c>
      <c r="D985" s="27">
        <v>3526.46</v>
      </c>
      <c r="E985" s="27">
        <v>53371.96</v>
      </c>
      <c r="F985" s="27">
        <v>3608.29</v>
      </c>
      <c r="G985" s="27">
        <v>25071.47</v>
      </c>
      <c r="H985" s="27">
        <v>352.78</v>
      </c>
      <c r="I985" s="27">
        <v>4396.71</v>
      </c>
      <c r="J985" s="6">
        <v>2495</v>
      </c>
      <c r="K985" s="6">
        <v>189</v>
      </c>
      <c r="L985" s="27">
        <v>10.048685370741483</v>
      </c>
      <c r="M985" s="27">
        <v>23.263015873015874</v>
      </c>
      <c r="N985" s="34">
        <v>18.088274962742176</v>
      </c>
    </row>
    <row r="986" spans="1:14" x14ac:dyDescent="0.35">
      <c r="A986" s="82">
        <v>983</v>
      </c>
      <c r="B986" s="89" t="str">
        <f>_xlfn.XLOOKUP(A986,'Model Modeshare by TAZ'!A:A,'Model Modeshare by TAZ'!B:B)</f>
        <v>San Jose</v>
      </c>
      <c r="C986" s="90" t="str">
        <f>_xlfn.XLOOKUP(A986,'Model Modeshare by TAZ'!A:A,'Model Modeshare by TAZ'!D:D)</f>
        <v>NO</v>
      </c>
      <c r="D986" s="27">
        <v>9888.19</v>
      </c>
      <c r="E986" s="27">
        <v>171294.64</v>
      </c>
      <c r="F986" s="27">
        <v>10639.97</v>
      </c>
      <c r="G986" s="27">
        <v>83869.8</v>
      </c>
      <c r="H986" s="27">
        <v>344.01</v>
      </c>
      <c r="I986" s="27">
        <v>4218.12</v>
      </c>
      <c r="J986" s="6">
        <v>6718</v>
      </c>
      <c r="K986" s="6">
        <v>186</v>
      </c>
      <c r="L986" s="27">
        <v>12.484340577552844</v>
      </c>
      <c r="M986" s="27">
        <v>22.67806451612903</v>
      </c>
      <c r="N986" s="34">
        <v>21.383098203939745</v>
      </c>
    </row>
    <row r="987" spans="1:14" x14ac:dyDescent="0.35">
      <c r="A987" s="82">
        <v>984</v>
      </c>
      <c r="B987" s="89" t="str">
        <f>_xlfn.XLOOKUP(A987,'Model Modeshare by TAZ'!A:A,'Model Modeshare by TAZ'!B:B)</f>
        <v>San Jose</v>
      </c>
      <c r="C987" s="90" t="str">
        <f>_xlfn.XLOOKUP(A987,'Model Modeshare by TAZ'!A:A,'Model Modeshare by TAZ'!D:D)</f>
        <v>NO</v>
      </c>
      <c r="D987" s="27">
        <v>5436.35</v>
      </c>
      <c r="E987" s="27">
        <v>105187.51</v>
      </c>
      <c r="F987" s="27">
        <v>4157.47</v>
      </c>
      <c r="G987" s="27">
        <v>33976.9</v>
      </c>
      <c r="H987" s="27">
        <v>957.59</v>
      </c>
      <c r="I987" s="27">
        <v>11577.56</v>
      </c>
      <c r="J987" s="6">
        <v>2713</v>
      </c>
      <c r="K987" s="6">
        <v>595</v>
      </c>
      <c r="L987" s="27">
        <v>12.523737559896794</v>
      </c>
      <c r="M987" s="27">
        <v>19.458084033613446</v>
      </c>
      <c r="N987" s="34">
        <v>31.091369407496977</v>
      </c>
    </row>
    <row r="988" spans="1:14" x14ac:dyDescent="0.35">
      <c r="A988" s="82">
        <v>985</v>
      </c>
      <c r="B988" s="89" t="str">
        <f>_xlfn.XLOOKUP(A988,'Model Modeshare by TAZ'!A:A,'Model Modeshare by TAZ'!B:B)</f>
        <v>San Jose</v>
      </c>
      <c r="C988" s="90" t="str">
        <f>_xlfn.XLOOKUP(A988,'Model Modeshare by TAZ'!A:A,'Model Modeshare by TAZ'!D:D)</f>
        <v>NO</v>
      </c>
      <c r="D988" s="27">
        <v>3642.63</v>
      </c>
      <c r="E988" s="27">
        <v>59830.83</v>
      </c>
      <c r="F988" s="27">
        <v>2438.5500000000002</v>
      </c>
      <c r="G988" s="27">
        <v>19384.61</v>
      </c>
      <c r="H988" s="27">
        <v>224.96</v>
      </c>
      <c r="I988" s="27">
        <v>2863.06</v>
      </c>
      <c r="J988" s="6">
        <v>1562</v>
      </c>
      <c r="K988" s="6">
        <v>120</v>
      </c>
      <c r="L988" s="27">
        <v>12.410121638924457</v>
      </c>
      <c r="M988" s="27">
        <v>23.858833333333333</v>
      </c>
      <c r="N988" s="34">
        <v>27.378394768133173</v>
      </c>
    </row>
    <row r="989" spans="1:14" x14ac:dyDescent="0.35">
      <c r="A989" s="82">
        <v>986</v>
      </c>
      <c r="B989" s="89" t="str">
        <f>_xlfn.XLOOKUP(A989,'Model Modeshare by TAZ'!A:A,'Model Modeshare by TAZ'!B:B)</f>
        <v>San Jose</v>
      </c>
      <c r="C989" s="90" t="str">
        <f>_xlfn.XLOOKUP(A989,'Model Modeshare by TAZ'!A:A,'Model Modeshare by TAZ'!D:D)</f>
        <v>NO</v>
      </c>
      <c r="D989" s="27">
        <v>8346.31</v>
      </c>
      <c r="E989" s="27">
        <v>140341.39000000001</v>
      </c>
      <c r="F989" s="27">
        <v>6899.48</v>
      </c>
      <c r="G989" s="27">
        <v>54240.05</v>
      </c>
      <c r="H989" s="27">
        <v>837.52</v>
      </c>
      <c r="I989" s="27">
        <v>10088.68</v>
      </c>
      <c r="J989" s="6">
        <v>4684</v>
      </c>
      <c r="K989" s="6">
        <v>461</v>
      </c>
      <c r="L989" s="27">
        <v>11.579856959863365</v>
      </c>
      <c r="M989" s="27">
        <v>21.884338394793925</v>
      </c>
      <c r="N989" s="34">
        <v>23.607399416909622</v>
      </c>
    </row>
    <row r="990" spans="1:14" x14ac:dyDescent="0.35">
      <c r="A990" s="82">
        <v>987</v>
      </c>
      <c r="B990" s="89" t="str">
        <f>_xlfn.XLOOKUP(A990,'Model Modeshare by TAZ'!A:A,'Model Modeshare by TAZ'!B:B)</f>
        <v>San Jose</v>
      </c>
      <c r="C990" s="90" t="str">
        <f>_xlfn.XLOOKUP(A990,'Model Modeshare by TAZ'!A:A,'Model Modeshare by TAZ'!D:D)</f>
        <v>NO</v>
      </c>
      <c r="D990" s="27">
        <v>882.12</v>
      </c>
      <c r="E990" s="27">
        <v>10676.36</v>
      </c>
      <c r="F990" s="27">
        <v>711.95</v>
      </c>
      <c r="G990" s="27">
        <v>4361.5</v>
      </c>
      <c r="H990" s="27">
        <v>143.46</v>
      </c>
      <c r="I990" s="27">
        <v>1633.65</v>
      </c>
      <c r="J990" s="6">
        <v>475</v>
      </c>
      <c r="K990" s="6">
        <v>79</v>
      </c>
      <c r="L990" s="27">
        <v>9.1821052631578954</v>
      </c>
      <c r="M990" s="27">
        <v>20.679113924050633</v>
      </c>
      <c r="N990" s="34">
        <v>14.307454873646209</v>
      </c>
    </row>
    <row r="991" spans="1:14" x14ac:dyDescent="0.35">
      <c r="A991" s="82">
        <v>988</v>
      </c>
      <c r="B991" s="89" t="str">
        <f>_xlfn.XLOOKUP(A991,'Model Modeshare by TAZ'!A:A,'Model Modeshare by TAZ'!B:B)</f>
        <v>San Jose</v>
      </c>
      <c r="C991" s="90" t="str">
        <f>_xlfn.XLOOKUP(A991,'Model Modeshare by TAZ'!A:A,'Model Modeshare by TAZ'!D:D)</f>
        <v>NO</v>
      </c>
      <c r="D991" s="27">
        <v>3275.43</v>
      </c>
      <c r="E991" s="27">
        <v>39809.57</v>
      </c>
      <c r="F991" s="27">
        <v>4001.49</v>
      </c>
      <c r="G991" s="27">
        <v>25339.96</v>
      </c>
      <c r="H991" s="27">
        <v>364.56</v>
      </c>
      <c r="I991" s="27">
        <v>4163.21</v>
      </c>
      <c r="J991" s="6">
        <v>2635</v>
      </c>
      <c r="K991" s="6">
        <v>205</v>
      </c>
      <c r="L991" s="27">
        <v>9.6166831119544582</v>
      </c>
      <c r="M991" s="27">
        <v>20.308341463414635</v>
      </c>
      <c r="N991" s="34">
        <v>14.94094014084507</v>
      </c>
    </row>
    <row r="992" spans="1:14" x14ac:dyDescent="0.35">
      <c r="A992" s="82">
        <v>989</v>
      </c>
      <c r="B992" s="89" t="str">
        <f>_xlfn.XLOOKUP(A992,'Model Modeshare by TAZ'!A:A,'Model Modeshare by TAZ'!B:B)</f>
        <v>San Jose</v>
      </c>
      <c r="C992" s="90" t="str">
        <f>_xlfn.XLOOKUP(A992,'Model Modeshare by TAZ'!A:A,'Model Modeshare by TAZ'!D:D)</f>
        <v>NO</v>
      </c>
      <c r="D992" s="27">
        <v>3947.57</v>
      </c>
      <c r="E992" s="27">
        <v>44609.42</v>
      </c>
      <c r="F992" s="27">
        <v>1890.33</v>
      </c>
      <c r="G992" s="27">
        <v>11499.69</v>
      </c>
      <c r="H992" s="27">
        <v>965.05</v>
      </c>
      <c r="I992" s="27">
        <v>10894.18</v>
      </c>
      <c r="J992" s="6">
        <v>1270</v>
      </c>
      <c r="K992" s="6">
        <v>875</v>
      </c>
      <c r="L992" s="27">
        <v>9.0548740157480321</v>
      </c>
      <c r="M992" s="27">
        <v>12.450491428571429</v>
      </c>
      <c r="N992" s="34">
        <v>22.895748251748252</v>
      </c>
    </row>
    <row r="993" spans="1:14" x14ac:dyDescent="0.35">
      <c r="A993" s="82">
        <v>990</v>
      </c>
      <c r="B993" s="89" t="str">
        <f>_xlfn.XLOOKUP(A993,'Model Modeshare by TAZ'!A:A,'Model Modeshare by TAZ'!B:B)</f>
        <v>San Jose</v>
      </c>
      <c r="C993" s="90" t="str">
        <f>_xlfn.XLOOKUP(A993,'Model Modeshare by TAZ'!A:A,'Model Modeshare by TAZ'!D:D)</f>
        <v>NO</v>
      </c>
      <c r="D993" s="27">
        <v>1536.09</v>
      </c>
      <c r="E993" s="27">
        <v>17150.23</v>
      </c>
      <c r="F993" s="27">
        <v>2186.9299999999998</v>
      </c>
      <c r="G993" s="27">
        <v>13204.44</v>
      </c>
      <c r="H993" s="27">
        <v>80.94</v>
      </c>
      <c r="I993" s="27">
        <v>917.69</v>
      </c>
      <c r="J993" s="6">
        <v>1604</v>
      </c>
      <c r="K993" s="6">
        <v>45</v>
      </c>
      <c r="L993" s="27">
        <v>8.2321945137157115</v>
      </c>
      <c r="M993" s="27">
        <v>20.393111111111111</v>
      </c>
      <c r="N993" s="34">
        <v>11.701006670709521</v>
      </c>
    </row>
    <row r="994" spans="1:14" x14ac:dyDescent="0.35">
      <c r="A994" s="82">
        <v>991</v>
      </c>
      <c r="B994" s="89" t="str">
        <f>_xlfn.XLOOKUP(A994,'Model Modeshare by TAZ'!A:A,'Model Modeshare by TAZ'!B:B)</f>
        <v>San Jose</v>
      </c>
      <c r="C994" s="90" t="str">
        <f>_xlfn.XLOOKUP(A994,'Model Modeshare by TAZ'!A:A,'Model Modeshare by TAZ'!D:D)</f>
        <v>NO</v>
      </c>
      <c r="D994" s="27">
        <v>2282.1799999999998</v>
      </c>
      <c r="E994" s="27">
        <v>25665.98</v>
      </c>
      <c r="F994" s="27">
        <v>1863.38</v>
      </c>
      <c r="G994" s="27">
        <v>10567.41</v>
      </c>
      <c r="H994" s="27">
        <v>482.72</v>
      </c>
      <c r="I994" s="27">
        <v>5299.7</v>
      </c>
      <c r="J994" s="6">
        <v>1377</v>
      </c>
      <c r="K994" s="6">
        <v>359</v>
      </c>
      <c r="L994" s="27">
        <v>7.6742265795206972</v>
      </c>
      <c r="M994" s="27">
        <v>14.762395543175487</v>
      </c>
      <c r="N994" s="34">
        <v>14.471756912442396</v>
      </c>
    </row>
    <row r="995" spans="1:14" x14ac:dyDescent="0.35">
      <c r="A995" s="82">
        <v>992</v>
      </c>
      <c r="B995" s="89" t="str">
        <f>_xlfn.XLOOKUP(A995,'Model Modeshare by TAZ'!A:A,'Model Modeshare by TAZ'!B:B)</f>
        <v>San Jose</v>
      </c>
      <c r="C995" s="90" t="str">
        <f>_xlfn.XLOOKUP(A995,'Model Modeshare by TAZ'!A:A,'Model Modeshare by TAZ'!D:D)</f>
        <v>NO</v>
      </c>
      <c r="D995" s="27">
        <v>1663.53</v>
      </c>
      <c r="E995" s="27">
        <v>21363.03</v>
      </c>
      <c r="F995" s="27">
        <v>2068.23</v>
      </c>
      <c r="G995" s="27">
        <v>12511.1</v>
      </c>
      <c r="H995" s="27">
        <v>443.16</v>
      </c>
      <c r="I995" s="27">
        <v>4933.71</v>
      </c>
      <c r="J995" s="6">
        <v>1597</v>
      </c>
      <c r="K995" s="6">
        <v>270</v>
      </c>
      <c r="L995" s="27">
        <v>7.8341264871634317</v>
      </c>
      <c r="M995" s="27">
        <v>18.273</v>
      </c>
      <c r="N995" s="34">
        <v>15.141703267273702</v>
      </c>
    </row>
    <row r="996" spans="1:14" x14ac:dyDescent="0.35">
      <c r="A996" s="82">
        <v>993</v>
      </c>
      <c r="B996" s="89" t="str">
        <f>_xlfn.XLOOKUP(A996,'Model Modeshare by TAZ'!A:A,'Model Modeshare by TAZ'!B:B)</f>
        <v>San Jose</v>
      </c>
      <c r="C996" s="90" t="str">
        <f>_xlfn.XLOOKUP(A996,'Model Modeshare by TAZ'!A:A,'Model Modeshare by TAZ'!D:D)</f>
        <v>NO</v>
      </c>
      <c r="D996" s="27">
        <v>3968.23</v>
      </c>
      <c r="E996" s="27">
        <v>45429.42</v>
      </c>
      <c r="F996" s="27">
        <v>3959.04</v>
      </c>
      <c r="G996" s="27">
        <v>23712.48</v>
      </c>
      <c r="H996" s="27">
        <v>65.59</v>
      </c>
      <c r="I996" s="27">
        <v>733.42</v>
      </c>
      <c r="J996" s="6">
        <v>2859</v>
      </c>
      <c r="K996" s="6">
        <v>37</v>
      </c>
      <c r="L996" s="27">
        <v>8.2939769150052456</v>
      </c>
      <c r="M996" s="27">
        <v>19.822162162162162</v>
      </c>
      <c r="N996" s="34">
        <v>11.130013812154695</v>
      </c>
    </row>
    <row r="997" spans="1:14" x14ac:dyDescent="0.35">
      <c r="A997" s="82">
        <v>994</v>
      </c>
      <c r="B997" s="89" t="str">
        <f>_xlfn.XLOOKUP(A997,'Model Modeshare by TAZ'!A:A,'Model Modeshare by TAZ'!B:B)</f>
        <v>San Jose</v>
      </c>
      <c r="C997" s="90" t="str">
        <f>_xlfn.XLOOKUP(A997,'Model Modeshare by TAZ'!A:A,'Model Modeshare by TAZ'!D:D)</f>
        <v>NO</v>
      </c>
      <c r="D997" s="27">
        <v>1640.79</v>
      </c>
      <c r="E997" s="27">
        <v>22289.91</v>
      </c>
      <c r="F997" s="27">
        <v>1636.5</v>
      </c>
      <c r="G997" s="27">
        <v>11125.51</v>
      </c>
      <c r="H997" s="27">
        <v>216.69</v>
      </c>
      <c r="I997" s="27">
        <v>2425.39</v>
      </c>
      <c r="J997" s="6">
        <v>1161</v>
      </c>
      <c r="K997" s="6">
        <v>126</v>
      </c>
      <c r="L997" s="27">
        <v>9.5826959517657198</v>
      </c>
      <c r="M997" s="27">
        <v>19.249126984126985</v>
      </c>
      <c r="N997" s="34">
        <v>17.868593628593629</v>
      </c>
    </row>
    <row r="998" spans="1:14" x14ac:dyDescent="0.35">
      <c r="A998" s="82">
        <v>995</v>
      </c>
      <c r="B998" s="89" t="str">
        <f>_xlfn.XLOOKUP(A998,'Model Modeshare by TAZ'!A:A,'Model Modeshare by TAZ'!B:B)</f>
        <v>San Jose</v>
      </c>
      <c r="C998" s="90" t="str">
        <f>_xlfn.XLOOKUP(A998,'Model Modeshare by TAZ'!A:A,'Model Modeshare by TAZ'!D:D)</f>
        <v>NO</v>
      </c>
      <c r="D998" s="27">
        <v>965.72</v>
      </c>
      <c r="E998" s="27">
        <v>17669.98</v>
      </c>
      <c r="F998" s="27">
        <v>874.49</v>
      </c>
      <c r="G998" s="27">
        <v>6675.46</v>
      </c>
      <c r="H998" s="27">
        <v>87.12</v>
      </c>
      <c r="I998" s="27">
        <v>1147.3800000000001</v>
      </c>
      <c r="J998" s="6">
        <v>506</v>
      </c>
      <c r="K998" s="6">
        <v>48</v>
      </c>
      <c r="L998" s="27">
        <v>13.192608695652174</v>
      </c>
      <c r="M998" s="27">
        <v>23.903750000000002</v>
      </c>
      <c r="N998" s="34">
        <v>24.263267148014442</v>
      </c>
    </row>
    <row r="999" spans="1:14" x14ac:dyDescent="0.35">
      <c r="A999" s="82">
        <v>996</v>
      </c>
      <c r="B999" s="89" t="str">
        <f>_xlfn.XLOOKUP(A999,'Model Modeshare by TAZ'!A:A,'Model Modeshare by TAZ'!B:B)</f>
        <v>San Jose</v>
      </c>
      <c r="C999" s="90" t="str">
        <f>_xlfn.XLOOKUP(A999,'Model Modeshare by TAZ'!A:A,'Model Modeshare by TAZ'!D:D)</f>
        <v>NO</v>
      </c>
      <c r="D999" s="27">
        <v>6474.66</v>
      </c>
      <c r="E999" s="27">
        <v>108858.05</v>
      </c>
      <c r="F999" s="27">
        <v>7305.33</v>
      </c>
      <c r="G999" s="27">
        <v>56799.77</v>
      </c>
      <c r="H999" s="27">
        <v>77.23</v>
      </c>
      <c r="I999" s="27">
        <v>953.39</v>
      </c>
      <c r="J999" s="6">
        <v>4196</v>
      </c>
      <c r="K999" s="6">
        <v>42</v>
      </c>
      <c r="L999" s="27">
        <v>13.536646806482363</v>
      </c>
      <c r="M999" s="27">
        <v>22.699761904761903</v>
      </c>
      <c r="N999" s="34">
        <v>23.493414346389805</v>
      </c>
    </row>
    <row r="1000" spans="1:14" x14ac:dyDescent="0.35">
      <c r="A1000" s="82">
        <v>997</v>
      </c>
      <c r="B1000" s="89" t="str">
        <f>_xlfn.XLOOKUP(A1000,'Model Modeshare by TAZ'!A:A,'Model Modeshare by TAZ'!B:B)</f>
        <v>San Jose</v>
      </c>
      <c r="C1000" s="90" t="str">
        <f>_xlfn.XLOOKUP(A1000,'Model Modeshare by TAZ'!A:A,'Model Modeshare by TAZ'!D:D)</f>
        <v>NO</v>
      </c>
      <c r="D1000" s="27">
        <v>9182.7199999999993</v>
      </c>
      <c r="E1000" s="27">
        <v>216466.81</v>
      </c>
      <c r="F1000" s="27">
        <v>4.9400000000000004</v>
      </c>
      <c r="G1000" s="27">
        <v>49.26</v>
      </c>
      <c r="H1000" s="27">
        <v>4495.42</v>
      </c>
      <c r="I1000" s="27">
        <v>56461.27</v>
      </c>
      <c r="J1000" s="6">
        <v>0</v>
      </c>
      <c r="K1000" s="6">
        <v>3838</v>
      </c>
      <c r="L1000" s="27">
        <v>0</v>
      </c>
      <c r="M1000" s="27">
        <v>14.711117769671704</v>
      </c>
      <c r="N1000" s="34">
        <v>34.165359562272016</v>
      </c>
    </row>
    <row r="1001" spans="1:14" x14ac:dyDescent="0.35">
      <c r="A1001" s="82">
        <v>998</v>
      </c>
      <c r="B1001" s="89" t="str">
        <f>_xlfn.XLOOKUP(A1001,'Model Modeshare by TAZ'!A:A,'Model Modeshare by TAZ'!B:B)</f>
        <v>San Jose</v>
      </c>
      <c r="C1001" s="90" t="str">
        <f>_xlfn.XLOOKUP(A1001,'Model Modeshare by TAZ'!A:A,'Model Modeshare by TAZ'!D:D)</f>
        <v>NO</v>
      </c>
      <c r="D1001" s="27">
        <v>1122.46</v>
      </c>
      <c r="E1001" s="27">
        <v>24556.09</v>
      </c>
      <c r="F1001" s="27">
        <v>965.91</v>
      </c>
      <c r="G1001" s="27">
        <v>7506.82</v>
      </c>
      <c r="H1001" s="27">
        <v>1171.5999999999999</v>
      </c>
      <c r="I1001" s="27">
        <v>15640.52</v>
      </c>
      <c r="J1001" s="6">
        <v>582</v>
      </c>
      <c r="K1001" s="6">
        <v>1029</v>
      </c>
      <c r="L1001" s="27">
        <v>12.898316151202749</v>
      </c>
      <c r="M1001" s="27">
        <v>15.199727891156463</v>
      </c>
      <c r="N1001" s="34">
        <v>30.76084419615146</v>
      </c>
    </row>
    <row r="1002" spans="1:14" x14ac:dyDescent="0.35">
      <c r="A1002" s="82">
        <v>999</v>
      </c>
      <c r="B1002" s="89" t="str">
        <f>_xlfn.XLOOKUP(A1002,'Model Modeshare by TAZ'!A:A,'Model Modeshare by TAZ'!B:B)</f>
        <v>Unincorporated</v>
      </c>
      <c r="C1002" s="90" t="str">
        <f>_xlfn.XLOOKUP(A1002,'Model Modeshare by TAZ'!A:A,'Model Modeshare by TAZ'!D:D)</f>
        <v>NO</v>
      </c>
      <c r="D1002" s="27">
        <v>274.39</v>
      </c>
      <c r="E1002" s="27">
        <v>8285.65</v>
      </c>
      <c r="F1002" s="27">
        <v>299.64</v>
      </c>
      <c r="G1002" s="27">
        <v>3960.17</v>
      </c>
      <c r="H1002" s="27">
        <v>20.23</v>
      </c>
      <c r="I1002" s="27">
        <v>374.1</v>
      </c>
      <c r="J1002" s="6">
        <v>200</v>
      </c>
      <c r="K1002" s="6">
        <v>10</v>
      </c>
      <c r="L1002" s="27">
        <v>19.800850000000001</v>
      </c>
      <c r="M1002" s="27">
        <v>37.410000000000004</v>
      </c>
      <c r="N1002" s="34">
        <v>33.122761904761902</v>
      </c>
    </row>
    <row r="1003" spans="1:14" x14ac:dyDescent="0.35">
      <c r="A1003" s="82">
        <v>1000</v>
      </c>
      <c r="B1003" s="89" t="str">
        <f>_xlfn.XLOOKUP(A1003,'Model Modeshare by TAZ'!A:A,'Model Modeshare by TAZ'!B:B)</f>
        <v>San Jose</v>
      </c>
      <c r="C1003" s="90" t="str">
        <f>_xlfn.XLOOKUP(A1003,'Model Modeshare by TAZ'!A:A,'Model Modeshare by TAZ'!D:D)</f>
        <v>NO</v>
      </c>
      <c r="D1003" s="27">
        <v>2460.04</v>
      </c>
      <c r="E1003" s="27">
        <v>32965.410000000003</v>
      </c>
      <c r="F1003" s="27">
        <v>2732.79</v>
      </c>
      <c r="G1003" s="27">
        <v>18682.740000000002</v>
      </c>
      <c r="H1003" s="27">
        <v>121.73</v>
      </c>
      <c r="I1003" s="27">
        <v>1432.84</v>
      </c>
      <c r="J1003" s="6">
        <v>1767</v>
      </c>
      <c r="K1003" s="6">
        <v>64</v>
      </c>
      <c r="L1003" s="27">
        <v>10.57314091680815</v>
      </c>
      <c r="M1003" s="27">
        <v>22.388124999999999</v>
      </c>
      <c r="N1003" s="34">
        <v>15.966499180775532</v>
      </c>
    </row>
    <row r="1004" spans="1:14" x14ac:dyDescent="0.35">
      <c r="A1004" s="82">
        <v>1001</v>
      </c>
      <c r="B1004" s="89" t="str">
        <f>_xlfn.XLOOKUP(A1004,'Model Modeshare by TAZ'!A:A,'Model Modeshare by TAZ'!B:B)</f>
        <v>San Jose</v>
      </c>
      <c r="C1004" s="90" t="str">
        <f>_xlfn.XLOOKUP(A1004,'Model Modeshare by TAZ'!A:A,'Model Modeshare by TAZ'!D:D)</f>
        <v>NO</v>
      </c>
      <c r="D1004" s="27">
        <v>2796.78</v>
      </c>
      <c r="E1004" s="27">
        <v>34038.9</v>
      </c>
      <c r="F1004" s="27">
        <v>3040.78</v>
      </c>
      <c r="G1004" s="27">
        <v>18463.490000000002</v>
      </c>
      <c r="H1004" s="27">
        <v>224.81</v>
      </c>
      <c r="I1004" s="27">
        <v>2580.73</v>
      </c>
      <c r="J1004" s="6">
        <v>2045</v>
      </c>
      <c r="K1004" s="6">
        <v>120</v>
      </c>
      <c r="L1004" s="27">
        <v>9.0286014669926651</v>
      </c>
      <c r="M1004" s="27">
        <v>21.506083333333333</v>
      </c>
      <c r="N1004" s="34">
        <v>13.178341801385681</v>
      </c>
    </row>
    <row r="1005" spans="1:14" x14ac:dyDescent="0.35">
      <c r="A1005" s="82">
        <v>1002</v>
      </c>
      <c r="B1005" s="89" t="str">
        <f>_xlfn.XLOOKUP(A1005,'Model Modeshare by TAZ'!A:A,'Model Modeshare by TAZ'!B:B)</f>
        <v>San Jose</v>
      </c>
      <c r="C1005" s="90" t="str">
        <f>_xlfn.XLOOKUP(A1005,'Model Modeshare by TAZ'!A:A,'Model Modeshare by TAZ'!D:D)</f>
        <v>NO</v>
      </c>
      <c r="D1005" s="27">
        <v>2287.7800000000002</v>
      </c>
      <c r="E1005" s="27">
        <v>27937.759999999998</v>
      </c>
      <c r="F1005" s="27">
        <v>2285.69</v>
      </c>
      <c r="G1005" s="27">
        <v>14011.55</v>
      </c>
      <c r="H1005" s="27">
        <v>45.98</v>
      </c>
      <c r="I1005" s="27">
        <v>533.28</v>
      </c>
      <c r="J1005" s="6">
        <v>1579</v>
      </c>
      <c r="K1005" s="6">
        <v>23</v>
      </c>
      <c r="L1005" s="27">
        <v>8.8736858771374276</v>
      </c>
      <c r="M1005" s="27">
        <v>23.186086956521738</v>
      </c>
      <c r="N1005" s="34">
        <v>12.580274656679149</v>
      </c>
    </row>
    <row r="1006" spans="1:14" x14ac:dyDescent="0.35">
      <c r="A1006" s="82">
        <v>1003</v>
      </c>
      <c r="B1006" s="89" t="str">
        <f>_xlfn.XLOOKUP(A1006,'Model Modeshare by TAZ'!A:A,'Model Modeshare by TAZ'!B:B)</f>
        <v>San Jose</v>
      </c>
      <c r="C1006" s="90" t="str">
        <f>_xlfn.XLOOKUP(A1006,'Model Modeshare by TAZ'!A:A,'Model Modeshare by TAZ'!D:D)</f>
        <v>NO</v>
      </c>
      <c r="D1006" s="27">
        <v>4657.12</v>
      </c>
      <c r="E1006" s="27">
        <v>76921.17</v>
      </c>
      <c r="F1006" s="27">
        <v>3123.69</v>
      </c>
      <c r="G1006" s="27">
        <v>23660.26</v>
      </c>
      <c r="H1006" s="27">
        <v>34.64</v>
      </c>
      <c r="I1006" s="27">
        <v>393.18</v>
      </c>
      <c r="J1006" s="6">
        <v>1991</v>
      </c>
      <c r="K1006" s="6">
        <v>18</v>
      </c>
      <c r="L1006" s="27">
        <v>11.883606228026117</v>
      </c>
      <c r="M1006" s="27">
        <v>21.843333333333334</v>
      </c>
      <c r="N1006" s="34">
        <v>18.871976107516179</v>
      </c>
    </row>
    <row r="1007" spans="1:14" x14ac:dyDescent="0.35">
      <c r="A1007" s="82">
        <v>1004</v>
      </c>
      <c r="B1007" s="89" t="str">
        <f>_xlfn.XLOOKUP(A1007,'Model Modeshare by TAZ'!A:A,'Model Modeshare by TAZ'!B:B)</f>
        <v>San Jose</v>
      </c>
      <c r="C1007" s="90" t="str">
        <f>_xlfn.XLOOKUP(A1007,'Model Modeshare by TAZ'!A:A,'Model Modeshare by TAZ'!D:D)</f>
        <v>NO</v>
      </c>
      <c r="D1007" s="27">
        <v>5216.26</v>
      </c>
      <c r="E1007" s="27">
        <v>80845.25</v>
      </c>
      <c r="F1007" s="27">
        <v>6102.13</v>
      </c>
      <c r="G1007" s="27">
        <v>42390.37</v>
      </c>
      <c r="H1007" s="27">
        <v>58.56</v>
      </c>
      <c r="I1007" s="27">
        <v>652.07000000000005</v>
      </c>
      <c r="J1007" s="6">
        <v>3943</v>
      </c>
      <c r="K1007" s="6">
        <v>31</v>
      </c>
      <c r="L1007" s="27">
        <v>10.750791275678418</v>
      </c>
      <c r="M1007" s="27">
        <v>21.034516129032259</v>
      </c>
      <c r="N1007" s="34">
        <v>16.370933568193255</v>
      </c>
    </row>
    <row r="1008" spans="1:14" x14ac:dyDescent="0.35">
      <c r="A1008" s="82">
        <v>1005</v>
      </c>
      <c r="B1008" s="89" t="str">
        <f>_xlfn.XLOOKUP(A1008,'Model Modeshare by TAZ'!A:A,'Model Modeshare by TAZ'!B:B)</f>
        <v>San Jose</v>
      </c>
      <c r="C1008" s="90" t="str">
        <f>_xlfn.XLOOKUP(A1008,'Model Modeshare by TAZ'!A:A,'Model Modeshare by TAZ'!D:D)</f>
        <v>NO</v>
      </c>
      <c r="D1008" s="27">
        <v>929.96</v>
      </c>
      <c r="E1008" s="27">
        <v>19698.61</v>
      </c>
      <c r="F1008" s="27">
        <v>3853.21</v>
      </c>
      <c r="G1008" s="27">
        <v>24366.77</v>
      </c>
      <c r="H1008" s="27">
        <v>1980.77</v>
      </c>
      <c r="I1008" s="27">
        <v>22412.85</v>
      </c>
      <c r="J1008" s="6">
        <v>2687</v>
      </c>
      <c r="K1008" s="6">
        <v>1753</v>
      </c>
      <c r="L1008" s="27">
        <v>9.0683922590249342</v>
      </c>
      <c r="M1008" s="27">
        <v>12.785424985738732</v>
      </c>
      <c r="N1008" s="34">
        <v>16.936173423423423</v>
      </c>
    </row>
    <row r="1009" spans="1:14" x14ac:dyDescent="0.35">
      <c r="A1009" s="82">
        <v>1006</v>
      </c>
      <c r="B1009" s="89" t="str">
        <f>_xlfn.XLOOKUP(A1009,'Model Modeshare by TAZ'!A:A,'Model Modeshare by TAZ'!B:B)</f>
        <v>San Jose</v>
      </c>
      <c r="C1009" s="90" t="str">
        <f>_xlfn.XLOOKUP(A1009,'Model Modeshare by TAZ'!A:A,'Model Modeshare by TAZ'!D:D)</f>
        <v>NO</v>
      </c>
      <c r="D1009" s="27">
        <v>5366.41</v>
      </c>
      <c r="E1009" s="27">
        <v>98129.97</v>
      </c>
      <c r="F1009" s="27">
        <v>2850.27</v>
      </c>
      <c r="G1009" s="27">
        <v>19798.349999999999</v>
      </c>
      <c r="H1009" s="27">
        <v>910.81</v>
      </c>
      <c r="I1009" s="27">
        <v>10937.05</v>
      </c>
      <c r="J1009" s="6">
        <v>1764</v>
      </c>
      <c r="K1009" s="6">
        <v>724</v>
      </c>
      <c r="L1009" s="27">
        <v>11.223554421768707</v>
      </c>
      <c r="M1009" s="27">
        <v>15.1064226519337</v>
      </c>
      <c r="N1009" s="34">
        <v>33.705675241157557</v>
      </c>
    </row>
    <row r="1010" spans="1:14" x14ac:dyDescent="0.35">
      <c r="A1010" s="82">
        <v>1007</v>
      </c>
      <c r="B1010" s="89" t="str">
        <f>_xlfn.XLOOKUP(A1010,'Model Modeshare by TAZ'!A:A,'Model Modeshare by TAZ'!B:B)</f>
        <v>San Jose</v>
      </c>
      <c r="C1010" s="90" t="str">
        <f>_xlfn.XLOOKUP(A1010,'Model Modeshare by TAZ'!A:A,'Model Modeshare by TAZ'!D:D)</f>
        <v>NO</v>
      </c>
      <c r="D1010" s="27">
        <v>4349.38</v>
      </c>
      <c r="E1010" s="27">
        <v>64786.66</v>
      </c>
      <c r="F1010" s="27">
        <v>5196.71</v>
      </c>
      <c r="G1010" s="27">
        <v>36957.279999999999</v>
      </c>
      <c r="H1010" s="27">
        <v>12.29</v>
      </c>
      <c r="I1010" s="27">
        <v>141.87</v>
      </c>
      <c r="J1010" s="6">
        <v>3263</v>
      </c>
      <c r="K1010" s="6">
        <v>6</v>
      </c>
      <c r="L1010" s="27">
        <v>11.326166104811524</v>
      </c>
      <c r="M1010" s="27">
        <v>23.645</v>
      </c>
      <c r="N1010" s="34">
        <v>18.163120220250839</v>
      </c>
    </row>
    <row r="1011" spans="1:14" x14ac:dyDescent="0.35">
      <c r="A1011" s="82">
        <v>1008</v>
      </c>
      <c r="B1011" s="89" t="str">
        <f>_xlfn.XLOOKUP(A1011,'Model Modeshare by TAZ'!A:A,'Model Modeshare by TAZ'!B:B)</f>
        <v>San Jose</v>
      </c>
      <c r="C1011" s="90" t="str">
        <f>_xlfn.XLOOKUP(A1011,'Model Modeshare by TAZ'!A:A,'Model Modeshare by TAZ'!D:D)</f>
        <v>NO</v>
      </c>
      <c r="D1011" s="27">
        <v>5728.17</v>
      </c>
      <c r="E1011" s="27">
        <v>88719.01</v>
      </c>
      <c r="F1011" s="27">
        <v>5375.36</v>
      </c>
      <c r="G1011" s="27">
        <v>38754.46</v>
      </c>
      <c r="H1011" s="27">
        <v>185.55</v>
      </c>
      <c r="I1011" s="27">
        <v>2174.9299999999998</v>
      </c>
      <c r="J1011" s="6">
        <v>3266</v>
      </c>
      <c r="K1011" s="6">
        <v>100</v>
      </c>
      <c r="L1011" s="27">
        <v>11.866031843233312</v>
      </c>
      <c r="M1011" s="27">
        <v>21.749299999999998</v>
      </c>
      <c r="N1011" s="34">
        <v>17.974786096256683</v>
      </c>
    </row>
    <row r="1012" spans="1:14" x14ac:dyDescent="0.35">
      <c r="A1012" s="82">
        <v>1009</v>
      </c>
      <c r="B1012" s="89" t="str">
        <f>_xlfn.XLOOKUP(A1012,'Model Modeshare by TAZ'!A:A,'Model Modeshare by TAZ'!B:B)</f>
        <v>San Jose</v>
      </c>
      <c r="C1012" s="90" t="str">
        <f>_xlfn.XLOOKUP(A1012,'Model Modeshare by TAZ'!A:A,'Model Modeshare by TAZ'!D:D)</f>
        <v>NO</v>
      </c>
      <c r="D1012" s="27">
        <v>4526.74</v>
      </c>
      <c r="E1012" s="27">
        <v>89386.94</v>
      </c>
      <c r="F1012" s="27">
        <v>3342.22</v>
      </c>
      <c r="G1012" s="27">
        <v>23738.55</v>
      </c>
      <c r="H1012" s="27">
        <v>1914.36</v>
      </c>
      <c r="I1012" s="27">
        <v>25288.66</v>
      </c>
      <c r="J1012" s="6">
        <v>2319</v>
      </c>
      <c r="K1012" s="6">
        <v>1637</v>
      </c>
      <c r="L1012" s="27">
        <v>10.236545924967658</v>
      </c>
      <c r="M1012" s="27">
        <v>15.448173488087965</v>
      </c>
      <c r="N1012" s="34">
        <v>22.639668857431747</v>
      </c>
    </row>
    <row r="1013" spans="1:14" x14ac:dyDescent="0.35">
      <c r="A1013" s="82">
        <v>1010</v>
      </c>
      <c r="B1013" s="89" t="str">
        <f>_xlfn.XLOOKUP(A1013,'Model Modeshare by TAZ'!A:A,'Model Modeshare by TAZ'!B:B)</f>
        <v>San Jose</v>
      </c>
      <c r="C1013" s="90" t="str">
        <f>_xlfn.XLOOKUP(A1013,'Model Modeshare by TAZ'!A:A,'Model Modeshare by TAZ'!D:D)</f>
        <v>NO</v>
      </c>
      <c r="D1013" s="27">
        <v>5893.55</v>
      </c>
      <c r="E1013" s="27">
        <v>117807.16</v>
      </c>
      <c r="F1013" s="27">
        <v>3285.33</v>
      </c>
      <c r="G1013" s="27">
        <v>23085.68</v>
      </c>
      <c r="H1013" s="27">
        <v>3047.98</v>
      </c>
      <c r="I1013" s="27">
        <v>36292.550000000003</v>
      </c>
      <c r="J1013" s="6">
        <v>2190</v>
      </c>
      <c r="K1013" s="6">
        <v>2579</v>
      </c>
      <c r="L1013" s="27">
        <v>10.541406392694064</v>
      </c>
      <c r="M1013" s="27">
        <v>14.072334238076776</v>
      </c>
      <c r="N1013" s="34">
        <v>24.387775214929754</v>
      </c>
    </row>
    <row r="1014" spans="1:14" x14ac:dyDescent="0.35">
      <c r="A1014" s="82">
        <v>1011</v>
      </c>
      <c r="B1014" s="89" t="str">
        <f>_xlfn.XLOOKUP(A1014,'Model Modeshare by TAZ'!A:A,'Model Modeshare by TAZ'!B:B)</f>
        <v>San Jose</v>
      </c>
      <c r="C1014" s="90" t="str">
        <f>_xlfn.XLOOKUP(A1014,'Model Modeshare by TAZ'!A:A,'Model Modeshare by TAZ'!D:D)</f>
        <v>NO</v>
      </c>
      <c r="D1014" s="27">
        <v>937.24</v>
      </c>
      <c r="E1014" s="27">
        <v>22001.55</v>
      </c>
      <c r="F1014" s="27">
        <v>28.13</v>
      </c>
      <c r="G1014" s="27">
        <v>208.87</v>
      </c>
      <c r="H1014" s="27">
        <v>1553.69</v>
      </c>
      <c r="I1014" s="27">
        <v>17941.29</v>
      </c>
      <c r="J1014" s="6">
        <v>21</v>
      </c>
      <c r="K1014" s="6">
        <v>1316</v>
      </c>
      <c r="L1014" s="27">
        <v>9.9461904761904769</v>
      </c>
      <c r="M1014" s="27">
        <v>13.633199088145897</v>
      </c>
      <c r="N1014" s="34">
        <v>26.744091249065072</v>
      </c>
    </row>
    <row r="1015" spans="1:14" x14ac:dyDescent="0.35">
      <c r="A1015" s="82">
        <v>1012</v>
      </c>
      <c r="B1015" s="89" t="str">
        <f>_xlfn.XLOOKUP(A1015,'Model Modeshare by TAZ'!A:A,'Model Modeshare by TAZ'!B:B)</f>
        <v>San Jose</v>
      </c>
      <c r="C1015" s="90" t="str">
        <f>_xlfn.XLOOKUP(A1015,'Model Modeshare by TAZ'!A:A,'Model Modeshare by TAZ'!D:D)</f>
        <v>NO</v>
      </c>
      <c r="D1015" s="27">
        <v>484.79</v>
      </c>
      <c r="E1015" s="27">
        <v>10667.01</v>
      </c>
      <c r="F1015" s="27">
        <v>89.67</v>
      </c>
      <c r="G1015" s="27">
        <v>639.07000000000005</v>
      </c>
      <c r="H1015" s="27">
        <v>473.1</v>
      </c>
      <c r="I1015" s="27">
        <v>5775.82</v>
      </c>
      <c r="J1015" s="6">
        <v>76</v>
      </c>
      <c r="K1015" s="6">
        <v>396</v>
      </c>
      <c r="L1015" s="27">
        <v>8.4088157894736852</v>
      </c>
      <c r="M1015" s="27">
        <v>14.58540404040404</v>
      </c>
      <c r="N1015" s="34">
        <v>26.46209745762712</v>
      </c>
    </row>
    <row r="1016" spans="1:14" x14ac:dyDescent="0.35">
      <c r="A1016" s="82">
        <v>1013</v>
      </c>
      <c r="B1016" s="89" t="str">
        <f>_xlfn.XLOOKUP(A1016,'Model Modeshare by TAZ'!A:A,'Model Modeshare by TAZ'!B:B)</f>
        <v>San Jose</v>
      </c>
      <c r="C1016" s="90" t="str">
        <f>_xlfn.XLOOKUP(A1016,'Model Modeshare by TAZ'!A:A,'Model Modeshare by TAZ'!D:D)</f>
        <v>NO</v>
      </c>
      <c r="D1016" s="27">
        <v>2138.19</v>
      </c>
      <c r="E1016" s="27">
        <v>26201.52</v>
      </c>
      <c r="F1016" s="27">
        <v>2448.4899999999998</v>
      </c>
      <c r="G1016" s="27">
        <v>15450.05</v>
      </c>
      <c r="H1016" s="27">
        <v>92.83</v>
      </c>
      <c r="I1016" s="27">
        <v>1047.1199999999999</v>
      </c>
      <c r="J1016" s="6">
        <v>1691</v>
      </c>
      <c r="K1016" s="6">
        <v>51</v>
      </c>
      <c r="L1016" s="27">
        <v>9.1366351271437019</v>
      </c>
      <c r="M1016" s="27">
        <v>20.531764705882352</v>
      </c>
      <c r="N1016" s="34">
        <v>13.15138346727899</v>
      </c>
    </row>
    <row r="1017" spans="1:14" x14ac:dyDescent="0.35">
      <c r="A1017" s="82">
        <v>1014</v>
      </c>
      <c r="B1017" s="89" t="str">
        <f>_xlfn.XLOOKUP(A1017,'Model Modeshare by TAZ'!A:A,'Model Modeshare by TAZ'!B:B)</f>
        <v>San Jose</v>
      </c>
      <c r="C1017" s="90" t="str">
        <f>_xlfn.XLOOKUP(A1017,'Model Modeshare by TAZ'!A:A,'Model Modeshare by TAZ'!D:D)</f>
        <v>NO</v>
      </c>
      <c r="D1017" s="27">
        <v>1858.51</v>
      </c>
      <c r="E1017" s="27">
        <v>28876.36</v>
      </c>
      <c r="F1017" s="27">
        <v>2153.19</v>
      </c>
      <c r="G1017" s="27">
        <v>15784.87</v>
      </c>
      <c r="H1017" s="27">
        <v>1.91</v>
      </c>
      <c r="I1017" s="27">
        <v>21.14</v>
      </c>
      <c r="J1017" s="6">
        <v>1573</v>
      </c>
      <c r="K1017" s="6">
        <v>1</v>
      </c>
      <c r="L1017" s="27">
        <v>10.034882390336936</v>
      </c>
      <c r="M1017" s="27">
        <v>21.14</v>
      </c>
      <c r="N1017" s="34">
        <v>14.863824650571791</v>
      </c>
    </row>
    <row r="1018" spans="1:14" x14ac:dyDescent="0.35">
      <c r="A1018" s="82">
        <v>1015</v>
      </c>
      <c r="B1018" s="89" t="str">
        <f>_xlfn.XLOOKUP(A1018,'Model Modeshare by TAZ'!A:A,'Model Modeshare by TAZ'!B:B)</f>
        <v>San Jose</v>
      </c>
      <c r="C1018" s="90" t="str">
        <f>_xlfn.XLOOKUP(A1018,'Model Modeshare by TAZ'!A:A,'Model Modeshare by TAZ'!D:D)</f>
        <v>NO</v>
      </c>
      <c r="D1018" s="27">
        <v>2688.81</v>
      </c>
      <c r="E1018" s="27">
        <v>31684.19</v>
      </c>
      <c r="F1018" s="27">
        <v>2948.6</v>
      </c>
      <c r="G1018" s="27">
        <v>17162.349999999999</v>
      </c>
      <c r="H1018" s="27">
        <v>364.53</v>
      </c>
      <c r="I1018" s="27">
        <v>3913.62</v>
      </c>
      <c r="J1018" s="6">
        <v>2213</v>
      </c>
      <c r="K1018" s="6">
        <v>214</v>
      </c>
      <c r="L1018" s="27">
        <v>7.7552417532760956</v>
      </c>
      <c r="M1018" s="27">
        <v>18.287943925233645</v>
      </c>
      <c r="N1018" s="34">
        <v>11.892257931602801</v>
      </c>
    </row>
    <row r="1019" spans="1:14" x14ac:dyDescent="0.35">
      <c r="A1019" s="82">
        <v>1016</v>
      </c>
      <c r="B1019" s="89" t="str">
        <f>_xlfn.XLOOKUP(A1019,'Model Modeshare by TAZ'!A:A,'Model Modeshare by TAZ'!B:B)</f>
        <v>San Jose</v>
      </c>
      <c r="C1019" s="90" t="str">
        <f>_xlfn.XLOOKUP(A1019,'Model Modeshare by TAZ'!A:A,'Model Modeshare by TAZ'!D:D)</f>
        <v>NO</v>
      </c>
      <c r="D1019" s="27">
        <v>1289.92</v>
      </c>
      <c r="E1019" s="27">
        <v>30221.24</v>
      </c>
      <c r="F1019" s="27">
        <v>257.73</v>
      </c>
      <c r="G1019" s="27">
        <v>2014.22</v>
      </c>
      <c r="H1019" s="27">
        <v>886.84</v>
      </c>
      <c r="I1019" s="27">
        <v>10951.37</v>
      </c>
      <c r="J1019" s="6">
        <v>211</v>
      </c>
      <c r="K1019" s="6">
        <v>1059</v>
      </c>
      <c r="L1019" s="27">
        <v>9.5460663507109</v>
      </c>
      <c r="M1019" s="27">
        <v>10.341237016052881</v>
      </c>
      <c r="N1019" s="34">
        <v>32.760598425196847</v>
      </c>
    </row>
    <row r="1020" spans="1:14" x14ac:dyDescent="0.35">
      <c r="A1020" s="82">
        <v>1017</v>
      </c>
      <c r="B1020" s="89" t="str">
        <f>_xlfn.XLOOKUP(A1020,'Model Modeshare by TAZ'!A:A,'Model Modeshare by TAZ'!B:B)</f>
        <v>San Jose</v>
      </c>
      <c r="C1020" s="90" t="str">
        <f>_xlfn.XLOOKUP(A1020,'Model Modeshare by TAZ'!A:A,'Model Modeshare by TAZ'!D:D)</f>
        <v>NO</v>
      </c>
      <c r="D1020" s="27">
        <v>4901.8900000000003</v>
      </c>
      <c r="E1020" s="27">
        <v>63549.51</v>
      </c>
      <c r="F1020" s="27">
        <v>1724.75</v>
      </c>
      <c r="G1020" s="27">
        <v>9960.82</v>
      </c>
      <c r="H1020" s="27">
        <v>797.18</v>
      </c>
      <c r="I1020" s="27">
        <v>8723.3700000000008</v>
      </c>
      <c r="J1020" s="6">
        <v>1357</v>
      </c>
      <c r="K1020" s="6">
        <v>742</v>
      </c>
      <c r="L1020" s="27">
        <v>7.3403242446573325</v>
      </c>
      <c r="M1020" s="27">
        <v>11.75656334231806</v>
      </c>
      <c r="N1020" s="34">
        <v>25.07851834206765</v>
      </c>
    </row>
    <row r="1021" spans="1:14" x14ac:dyDescent="0.35">
      <c r="A1021" s="82">
        <v>1018</v>
      </c>
      <c r="B1021" s="89" t="str">
        <f>_xlfn.XLOOKUP(A1021,'Model Modeshare by TAZ'!A:A,'Model Modeshare by TAZ'!B:B)</f>
        <v>Unincorporated</v>
      </c>
      <c r="C1021" s="90" t="str">
        <f>_xlfn.XLOOKUP(A1021,'Model Modeshare by TAZ'!A:A,'Model Modeshare by TAZ'!D:D)</f>
        <v>NO</v>
      </c>
      <c r="D1021" s="27">
        <v>2337.64</v>
      </c>
      <c r="E1021" s="27">
        <v>46358.16</v>
      </c>
      <c r="F1021" s="27">
        <v>2064.2600000000002</v>
      </c>
      <c r="G1021" s="27">
        <v>18886.34</v>
      </c>
      <c r="H1021" s="27">
        <v>166.86</v>
      </c>
      <c r="I1021" s="27">
        <v>1885.16</v>
      </c>
      <c r="J1021" s="6">
        <v>1245</v>
      </c>
      <c r="K1021" s="6">
        <v>94</v>
      </c>
      <c r="L1021" s="27">
        <v>15.169751004016064</v>
      </c>
      <c r="M1021" s="27">
        <v>20.054893617021278</v>
      </c>
      <c r="N1021" s="34">
        <v>25.514339058999251</v>
      </c>
    </row>
    <row r="1022" spans="1:14" x14ac:dyDescent="0.35">
      <c r="A1022" s="82">
        <v>1019</v>
      </c>
      <c r="B1022" s="89" t="str">
        <f>_xlfn.XLOOKUP(A1022,'Model Modeshare by TAZ'!A:A,'Model Modeshare by TAZ'!B:B)</f>
        <v>San Jose</v>
      </c>
      <c r="C1022" s="90" t="str">
        <f>_xlfn.XLOOKUP(A1022,'Model Modeshare by TAZ'!A:A,'Model Modeshare by TAZ'!D:D)</f>
        <v>NO</v>
      </c>
      <c r="D1022" s="27">
        <v>12252.58</v>
      </c>
      <c r="E1022" s="27">
        <v>212368.11</v>
      </c>
      <c r="F1022" s="27">
        <v>10756.53</v>
      </c>
      <c r="G1022" s="27">
        <v>85798.09</v>
      </c>
      <c r="H1022" s="27">
        <v>1516.93</v>
      </c>
      <c r="I1022" s="27">
        <v>17949.82</v>
      </c>
      <c r="J1022" s="6">
        <v>7842</v>
      </c>
      <c r="K1022" s="6">
        <v>831</v>
      </c>
      <c r="L1022" s="27">
        <v>10.940842897220097</v>
      </c>
      <c r="M1022" s="27">
        <v>21.60026474127557</v>
      </c>
      <c r="N1022" s="34">
        <v>22.908690187939584</v>
      </c>
    </row>
    <row r="1023" spans="1:14" x14ac:dyDescent="0.35">
      <c r="A1023" s="82">
        <v>1020</v>
      </c>
      <c r="B1023" s="89" t="str">
        <f>_xlfn.XLOOKUP(A1023,'Model Modeshare by TAZ'!A:A,'Model Modeshare by TAZ'!B:B)</f>
        <v>Unincorporated</v>
      </c>
      <c r="C1023" s="90" t="str">
        <f>_xlfn.XLOOKUP(A1023,'Model Modeshare by TAZ'!A:A,'Model Modeshare by TAZ'!D:D)</f>
        <v>NO</v>
      </c>
      <c r="D1023" s="27">
        <v>2228.42</v>
      </c>
      <c r="E1023" s="27">
        <v>43036.82</v>
      </c>
      <c r="F1023" s="27">
        <v>3333</v>
      </c>
      <c r="G1023" s="27">
        <v>29076.61</v>
      </c>
      <c r="H1023" s="27">
        <v>11.29</v>
      </c>
      <c r="I1023" s="27">
        <v>137.28</v>
      </c>
      <c r="J1023" s="6">
        <v>2036</v>
      </c>
      <c r="K1023" s="6">
        <v>6</v>
      </c>
      <c r="L1023" s="27">
        <v>14.281242632612967</v>
      </c>
      <c r="M1023" s="27">
        <v>22.88</v>
      </c>
      <c r="N1023" s="34">
        <v>21.77543584720862</v>
      </c>
    </row>
    <row r="1024" spans="1:14" x14ac:dyDescent="0.35">
      <c r="A1024" s="82">
        <v>1021</v>
      </c>
      <c r="B1024" s="89" t="str">
        <f>_xlfn.XLOOKUP(A1024,'Model Modeshare by TAZ'!A:A,'Model Modeshare by TAZ'!B:B)</f>
        <v>Unincorporated</v>
      </c>
      <c r="C1024" s="90" t="str">
        <f>_xlfn.XLOOKUP(A1024,'Model Modeshare by TAZ'!A:A,'Model Modeshare by TAZ'!D:D)</f>
        <v>NO</v>
      </c>
      <c r="D1024" s="27">
        <v>2179.9499999999998</v>
      </c>
      <c r="E1024" s="27">
        <v>50957.25</v>
      </c>
      <c r="F1024" s="27">
        <v>2382.23</v>
      </c>
      <c r="G1024" s="27">
        <v>26230.57</v>
      </c>
      <c r="H1024" s="27">
        <v>108.08</v>
      </c>
      <c r="I1024" s="27">
        <v>1467</v>
      </c>
      <c r="J1024" s="6">
        <v>1396</v>
      </c>
      <c r="K1024" s="6">
        <v>57</v>
      </c>
      <c r="L1024" s="27">
        <v>18.789806590257879</v>
      </c>
      <c r="M1024" s="27">
        <v>25.736842105263158</v>
      </c>
      <c r="N1024" s="34">
        <v>30.938692360633173</v>
      </c>
    </row>
    <row r="1025" spans="1:14" x14ac:dyDescent="0.35">
      <c r="A1025" s="82">
        <v>1022</v>
      </c>
      <c r="B1025" s="89" t="str">
        <f>_xlfn.XLOOKUP(A1025,'Model Modeshare by TAZ'!A:A,'Model Modeshare by TAZ'!B:B)</f>
        <v>Unincorporated</v>
      </c>
      <c r="C1025" s="90" t="str">
        <f>_xlfn.XLOOKUP(A1025,'Model Modeshare by TAZ'!A:A,'Model Modeshare by TAZ'!D:D)</f>
        <v>NO</v>
      </c>
      <c r="D1025" s="27">
        <v>3819.23</v>
      </c>
      <c r="E1025" s="27">
        <v>76273.679999999993</v>
      </c>
      <c r="F1025" s="27">
        <v>4187.67</v>
      </c>
      <c r="G1025" s="27">
        <v>41049.97</v>
      </c>
      <c r="H1025" s="27">
        <v>564.96</v>
      </c>
      <c r="I1025" s="27">
        <v>6523.27</v>
      </c>
      <c r="J1025" s="6">
        <v>2423</v>
      </c>
      <c r="K1025" s="6">
        <v>306</v>
      </c>
      <c r="L1025" s="27">
        <v>16.941795295088735</v>
      </c>
      <c r="M1025" s="27">
        <v>21.317875816993464</v>
      </c>
      <c r="N1025" s="34">
        <v>27.67925247343349</v>
      </c>
    </row>
    <row r="1026" spans="1:14" x14ac:dyDescent="0.35">
      <c r="A1026" s="82">
        <v>1023</v>
      </c>
      <c r="B1026" s="89" t="str">
        <f>_xlfn.XLOOKUP(A1026,'Model Modeshare by TAZ'!A:A,'Model Modeshare by TAZ'!B:B)</f>
        <v>San Jose</v>
      </c>
      <c r="C1026" s="90" t="str">
        <f>_xlfn.XLOOKUP(A1026,'Model Modeshare by TAZ'!A:A,'Model Modeshare by TAZ'!D:D)</f>
        <v>NO</v>
      </c>
      <c r="D1026" s="27">
        <v>4493.21</v>
      </c>
      <c r="E1026" s="27">
        <v>82385.710000000006</v>
      </c>
      <c r="F1026" s="27">
        <v>3294.88</v>
      </c>
      <c r="G1026" s="27">
        <v>25791.47</v>
      </c>
      <c r="H1026" s="27">
        <v>631.16</v>
      </c>
      <c r="I1026" s="27">
        <v>7305.38</v>
      </c>
      <c r="J1026" s="6">
        <v>2456</v>
      </c>
      <c r="K1026" s="6">
        <v>364</v>
      </c>
      <c r="L1026" s="27">
        <v>10.501412866449511</v>
      </c>
      <c r="M1026" s="27">
        <v>20.069725274725275</v>
      </c>
      <c r="N1026" s="34">
        <v>22.906152482269501</v>
      </c>
    </row>
    <row r="1027" spans="1:14" x14ac:dyDescent="0.35">
      <c r="A1027" s="82">
        <v>1024</v>
      </c>
      <c r="B1027" s="89" t="str">
        <f>_xlfn.XLOOKUP(A1027,'Model Modeshare by TAZ'!A:A,'Model Modeshare by TAZ'!B:B)</f>
        <v>San Jose</v>
      </c>
      <c r="C1027" s="90" t="str">
        <f>_xlfn.XLOOKUP(A1027,'Model Modeshare by TAZ'!A:A,'Model Modeshare by TAZ'!D:D)</f>
        <v>NO</v>
      </c>
      <c r="D1027" s="27">
        <v>663.24</v>
      </c>
      <c r="E1027" s="27">
        <v>11295.05</v>
      </c>
      <c r="F1027" s="27">
        <v>390.46</v>
      </c>
      <c r="G1027" s="27">
        <v>2953.36</v>
      </c>
      <c r="H1027" s="27">
        <v>1283.95</v>
      </c>
      <c r="I1027" s="27">
        <v>14844.74</v>
      </c>
      <c r="J1027" s="6">
        <v>329</v>
      </c>
      <c r="K1027" s="6">
        <v>1099</v>
      </c>
      <c r="L1027" s="27">
        <v>8.9767781155015207</v>
      </c>
      <c r="M1027" s="27">
        <v>13.507497725204731</v>
      </c>
      <c r="N1027" s="34">
        <v>32.933928571428574</v>
      </c>
    </row>
    <row r="1028" spans="1:14" x14ac:dyDescent="0.35">
      <c r="A1028" s="82">
        <v>1025</v>
      </c>
      <c r="B1028" s="89" t="str">
        <f>_xlfn.XLOOKUP(A1028,'Model Modeshare by TAZ'!A:A,'Model Modeshare by TAZ'!B:B)</f>
        <v>San Jose</v>
      </c>
      <c r="C1028" s="90" t="str">
        <f>_xlfn.XLOOKUP(A1028,'Model Modeshare by TAZ'!A:A,'Model Modeshare by TAZ'!D:D)</f>
        <v>NO</v>
      </c>
      <c r="D1028" s="27">
        <v>11037.16</v>
      </c>
      <c r="E1028" s="27">
        <v>179244.98</v>
      </c>
      <c r="F1028" s="27">
        <v>6443.71</v>
      </c>
      <c r="G1028" s="27">
        <v>47464.6</v>
      </c>
      <c r="H1028" s="27">
        <v>1610.91</v>
      </c>
      <c r="I1028" s="27">
        <v>18241.939999999999</v>
      </c>
      <c r="J1028" s="6">
        <v>5260</v>
      </c>
      <c r="K1028" s="6">
        <v>1145</v>
      </c>
      <c r="L1028" s="27">
        <v>9.0236882129277571</v>
      </c>
      <c r="M1028" s="27">
        <v>15.931825327510916</v>
      </c>
      <c r="N1028" s="34">
        <v>24.349664324746293</v>
      </c>
    </row>
    <row r="1029" spans="1:14" x14ac:dyDescent="0.35">
      <c r="A1029" s="82">
        <v>1026</v>
      </c>
      <c r="B1029" s="89" t="str">
        <f>_xlfn.XLOOKUP(A1029,'Model Modeshare by TAZ'!A:A,'Model Modeshare by TAZ'!B:B)</f>
        <v>San Jose</v>
      </c>
      <c r="C1029" s="90" t="str">
        <f>_xlfn.XLOOKUP(A1029,'Model Modeshare by TAZ'!A:A,'Model Modeshare by TAZ'!D:D)</f>
        <v>NO</v>
      </c>
      <c r="D1029" s="27">
        <v>4255.82</v>
      </c>
      <c r="E1029" s="27">
        <v>70928.100000000006</v>
      </c>
      <c r="F1029" s="27">
        <v>1175.25</v>
      </c>
      <c r="G1029" s="27">
        <v>6185.24</v>
      </c>
      <c r="H1029" s="27">
        <v>3756.84</v>
      </c>
      <c r="I1029" s="27">
        <v>39999.660000000003</v>
      </c>
      <c r="J1029" s="6">
        <v>1024</v>
      </c>
      <c r="K1029" s="6">
        <v>3427</v>
      </c>
      <c r="L1029" s="27">
        <v>6.0402734374999998</v>
      </c>
      <c r="M1029" s="27">
        <v>11.671917128683981</v>
      </c>
      <c r="N1029" s="34">
        <v>20.198600314536058</v>
      </c>
    </row>
    <row r="1030" spans="1:14" x14ac:dyDescent="0.35">
      <c r="A1030" s="82">
        <v>1027</v>
      </c>
      <c r="B1030" s="89" t="str">
        <f>_xlfn.XLOOKUP(A1030,'Model Modeshare by TAZ'!A:A,'Model Modeshare by TAZ'!B:B)</f>
        <v>San Jose</v>
      </c>
      <c r="C1030" s="90" t="str">
        <f>_xlfn.XLOOKUP(A1030,'Model Modeshare by TAZ'!A:A,'Model Modeshare by TAZ'!D:D)</f>
        <v>NO</v>
      </c>
      <c r="D1030" s="27">
        <v>2904.04</v>
      </c>
      <c r="E1030" s="27">
        <v>35482.269999999997</v>
      </c>
      <c r="F1030" s="27">
        <v>2734.47</v>
      </c>
      <c r="G1030" s="27">
        <v>15311.42</v>
      </c>
      <c r="H1030" s="27">
        <v>478.89</v>
      </c>
      <c r="I1030" s="27">
        <v>5089.51</v>
      </c>
      <c r="J1030" s="6">
        <v>2419</v>
      </c>
      <c r="K1030" s="6">
        <v>277</v>
      </c>
      <c r="L1030" s="27">
        <v>6.3296486151302194</v>
      </c>
      <c r="M1030" s="27">
        <v>18.373682310469317</v>
      </c>
      <c r="N1030" s="34">
        <v>12.724562314540059</v>
      </c>
    </row>
    <row r="1031" spans="1:14" x14ac:dyDescent="0.35">
      <c r="A1031" s="82">
        <v>1028</v>
      </c>
      <c r="B1031" s="89" t="str">
        <f>_xlfn.XLOOKUP(A1031,'Model Modeshare by TAZ'!A:A,'Model Modeshare by TAZ'!B:B)</f>
        <v>San Jose</v>
      </c>
      <c r="C1031" s="90" t="str">
        <f>_xlfn.XLOOKUP(A1031,'Model Modeshare by TAZ'!A:A,'Model Modeshare by TAZ'!D:D)</f>
        <v>NO</v>
      </c>
      <c r="D1031" s="27">
        <v>2412.92</v>
      </c>
      <c r="E1031" s="27">
        <v>30088.07</v>
      </c>
      <c r="F1031" s="27">
        <v>1455.06</v>
      </c>
      <c r="G1031" s="27">
        <v>8107.35</v>
      </c>
      <c r="H1031" s="27">
        <v>219.43</v>
      </c>
      <c r="I1031" s="27">
        <v>2286.02</v>
      </c>
      <c r="J1031" s="6">
        <v>1193</v>
      </c>
      <c r="K1031" s="6">
        <v>126</v>
      </c>
      <c r="L1031" s="27">
        <v>6.7957669740150886</v>
      </c>
      <c r="M1031" s="27">
        <v>18.143015873015873</v>
      </c>
      <c r="N1031" s="34">
        <v>11.377611827141774</v>
      </c>
    </row>
    <row r="1032" spans="1:14" x14ac:dyDescent="0.35">
      <c r="A1032" s="82">
        <v>1029</v>
      </c>
      <c r="B1032" s="89" t="str">
        <f>_xlfn.XLOOKUP(A1032,'Model Modeshare by TAZ'!A:A,'Model Modeshare by TAZ'!B:B)</f>
        <v>San Jose</v>
      </c>
      <c r="C1032" s="90" t="str">
        <f>_xlfn.XLOOKUP(A1032,'Model Modeshare by TAZ'!A:A,'Model Modeshare by TAZ'!D:D)</f>
        <v>NO</v>
      </c>
      <c r="D1032" s="27">
        <v>2860.78</v>
      </c>
      <c r="E1032" s="27">
        <v>31158.34</v>
      </c>
      <c r="F1032" s="27">
        <v>2578.1799999999998</v>
      </c>
      <c r="G1032" s="27">
        <v>14385.67</v>
      </c>
      <c r="H1032" s="27">
        <v>725.13</v>
      </c>
      <c r="I1032" s="27">
        <v>7853.42</v>
      </c>
      <c r="J1032" s="6">
        <v>2376</v>
      </c>
      <c r="K1032" s="6">
        <v>617</v>
      </c>
      <c r="L1032" s="27">
        <v>6.054574915824916</v>
      </c>
      <c r="M1032" s="27">
        <v>12.728395461912481</v>
      </c>
      <c r="N1032" s="34">
        <v>12.886054126294688</v>
      </c>
    </row>
    <row r="1033" spans="1:14" x14ac:dyDescent="0.35">
      <c r="A1033" s="82">
        <v>1030</v>
      </c>
      <c r="B1033" s="89" t="str">
        <f>_xlfn.XLOOKUP(A1033,'Model Modeshare by TAZ'!A:A,'Model Modeshare by TAZ'!B:B)</f>
        <v>Unincorporated</v>
      </c>
      <c r="C1033" s="90" t="str">
        <f>_xlfn.XLOOKUP(A1033,'Model Modeshare by TAZ'!A:A,'Model Modeshare by TAZ'!D:D)</f>
        <v>NO</v>
      </c>
      <c r="D1033" s="27">
        <v>8268.4599999999991</v>
      </c>
      <c r="E1033" s="27">
        <v>112077.99</v>
      </c>
      <c r="F1033" s="27">
        <v>7159.41</v>
      </c>
      <c r="G1033" s="27">
        <v>50111.54</v>
      </c>
      <c r="H1033" s="27">
        <v>1359.65</v>
      </c>
      <c r="I1033" s="27">
        <v>14786.33</v>
      </c>
      <c r="J1033" s="6">
        <v>5449</v>
      </c>
      <c r="K1033" s="6">
        <v>945</v>
      </c>
      <c r="L1033" s="27">
        <v>9.1964654064966052</v>
      </c>
      <c r="M1033" s="27">
        <v>15.646910052910053</v>
      </c>
      <c r="N1033" s="34">
        <v>15.528750390991554</v>
      </c>
    </row>
    <row r="1034" spans="1:14" x14ac:dyDescent="0.35">
      <c r="A1034" s="82">
        <v>1031</v>
      </c>
      <c r="B1034" s="89" t="str">
        <f>_xlfn.XLOOKUP(A1034,'Model Modeshare by TAZ'!A:A,'Model Modeshare by TAZ'!B:B)</f>
        <v>Unincorporated</v>
      </c>
      <c r="C1034" s="90" t="str">
        <f>_xlfn.XLOOKUP(A1034,'Model Modeshare by TAZ'!A:A,'Model Modeshare by TAZ'!D:D)</f>
        <v>NO</v>
      </c>
      <c r="D1034" s="27">
        <v>5242.2</v>
      </c>
      <c r="E1034" s="27">
        <v>59042.16</v>
      </c>
      <c r="F1034" s="27">
        <v>5268.63</v>
      </c>
      <c r="G1034" s="27">
        <v>33037.879999999997</v>
      </c>
      <c r="H1034" s="27">
        <v>1063.4100000000001</v>
      </c>
      <c r="I1034" s="27">
        <v>10635.56</v>
      </c>
      <c r="J1034" s="6">
        <v>4195</v>
      </c>
      <c r="K1034" s="6">
        <v>783</v>
      </c>
      <c r="L1034" s="27">
        <v>7.8755375446960665</v>
      </c>
      <c r="M1034" s="27">
        <v>13.58309067688378</v>
      </c>
      <c r="N1034" s="34">
        <v>12.566516673362797</v>
      </c>
    </row>
    <row r="1035" spans="1:14" x14ac:dyDescent="0.35">
      <c r="A1035" s="82">
        <v>1032</v>
      </c>
      <c r="B1035" s="89" t="str">
        <f>_xlfn.XLOOKUP(A1035,'Model Modeshare by TAZ'!A:A,'Model Modeshare by TAZ'!B:B)</f>
        <v>San Jose</v>
      </c>
      <c r="C1035" s="90" t="str">
        <f>_xlfn.XLOOKUP(A1035,'Model Modeshare by TAZ'!A:A,'Model Modeshare by TAZ'!D:D)</f>
        <v>NO</v>
      </c>
      <c r="D1035" s="27">
        <v>2951.42</v>
      </c>
      <c r="E1035" s="27">
        <v>49323.16</v>
      </c>
      <c r="F1035" s="27">
        <v>3442.39</v>
      </c>
      <c r="G1035" s="27">
        <v>30152.77</v>
      </c>
      <c r="H1035" s="27">
        <v>90.31</v>
      </c>
      <c r="I1035" s="27">
        <v>958.19</v>
      </c>
      <c r="J1035" s="6">
        <v>2455</v>
      </c>
      <c r="K1035" s="6">
        <v>51</v>
      </c>
      <c r="L1035" s="27">
        <v>12.282187372708758</v>
      </c>
      <c r="M1035" s="27">
        <v>18.788039215686275</v>
      </c>
      <c r="N1035" s="34">
        <v>18.336612130885875</v>
      </c>
    </row>
    <row r="1036" spans="1:14" x14ac:dyDescent="0.35">
      <c r="A1036" s="82">
        <v>1033</v>
      </c>
      <c r="B1036" s="89" t="str">
        <f>_xlfn.XLOOKUP(A1036,'Model Modeshare by TAZ'!A:A,'Model Modeshare by TAZ'!B:B)</f>
        <v>Unincorporated</v>
      </c>
      <c r="C1036" s="90" t="str">
        <f>_xlfn.XLOOKUP(A1036,'Model Modeshare by TAZ'!A:A,'Model Modeshare by TAZ'!D:D)</f>
        <v>NO</v>
      </c>
      <c r="D1036" s="27">
        <v>4587.42</v>
      </c>
      <c r="E1036" s="27">
        <v>60227.59</v>
      </c>
      <c r="F1036" s="27">
        <v>4021.74</v>
      </c>
      <c r="G1036" s="27">
        <v>27677.33</v>
      </c>
      <c r="H1036" s="27">
        <v>624.33000000000004</v>
      </c>
      <c r="I1036" s="27">
        <v>6171.05</v>
      </c>
      <c r="J1036" s="6">
        <v>3105</v>
      </c>
      <c r="K1036" s="6">
        <v>384</v>
      </c>
      <c r="L1036" s="27">
        <v>8.9137938808373605</v>
      </c>
      <c r="M1036" s="27">
        <v>16.070442708333335</v>
      </c>
      <c r="N1036" s="34">
        <v>14.953210088850673</v>
      </c>
    </row>
    <row r="1037" spans="1:14" x14ac:dyDescent="0.35">
      <c r="A1037" s="82">
        <v>1034</v>
      </c>
      <c r="B1037" s="89" t="str">
        <f>_xlfn.XLOOKUP(A1037,'Model Modeshare by TAZ'!A:A,'Model Modeshare by TAZ'!B:B)</f>
        <v>San Jose</v>
      </c>
      <c r="C1037" s="90" t="str">
        <f>_xlfn.XLOOKUP(A1037,'Model Modeshare by TAZ'!A:A,'Model Modeshare by TAZ'!D:D)</f>
        <v>NO</v>
      </c>
      <c r="D1037" s="27">
        <v>6566.81</v>
      </c>
      <c r="E1037" s="27">
        <v>119970.94</v>
      </c>
      <c r="F1037" s="27">
        <v>3483.43</v>
      </c>
      <c r="G1037" s="27">
        <v>27702.18</v>
      </c>
      <c r="H1037" s="27">
        <v>966.92</v>
      </c>
      <c r="I1037" s="27">
        <v>10988.08</v>
      </c>
      <c r="J1037" s="6">
        <v>2914</v>
      </c>
      <c r="K1037" s="6">
        <v>890</v>
      </c>
      <c r="L1037" s="27">
        <v>9.5065820178448863</v>
      </c>
      <c r="M1037" s="27">
        <v>12.346157303370786</v>
      </c>
      <c r="N1037" s="34">
        <v>25.700628286014723</v>
      </c>
    </row>
    <row r="1038" spans="1:14" x14ac:dyDescent="0.35">
      <c r="A1038" s="82">
        <v>1035</v>
      </c>
      <c r="B1038" s="89" t="str">
        <f>_xlfn.XLOOKUP(A1038,'Model Modeshare by TAZ'!A:A,'Model Modeshare by TAZ'!B:B)</f>
        <v>San Jose</v>
      </c>
      <c r="C1038" s="90" t="str">
        <f>_xlfn.XLOOKUP(A1038,'Model Modeshare by TAZ'!A:A,'Model Modeshare by TAZ'!D:D)</f>
        <v>NO</v>
      </c>
      <c r="D1038" s="27">
        <v>4244.01</v>
      </c>
      <c r="E1038" s="27">
        <v>82265.14</v>
      </c>
      <c r="F1038" s="27">
        <v>1242.3</v>
      </c>
      <c r="G1038" s="27">
        <v>9751.73</v>
      </c>
      <c r="H1038" s="27">
        <v>2400.6</v>
      </c>
      <c r="I1038" s="27">
        <v>27668.560000000001</v>
      </c>
      <c r="J1038" s="6">
        <v>1030</v>
      </c>
      <c r="K1038" s="6">
        <v>2303</v>
      </c>
      <c r="L1038" s="27">
        <v>9.467699029126214</v>
      </c>
      <c r="M1038" s="27">
        <v>12.014138080764221</v>
      </c>
      <c r="N1038" s="34">
        <v>35.285571557155713</v>
      </c>
    </row>
    <row r="1039" spans="1:14" x14ac:dyDescent="0.35">
      <c r="A1039" s="82">
        <v>1036</v>
      </c>
      <c r="B1039" s="89" t="str">
        <f>_xlfn.XLOOKUP(A1039,'Model Modeshare by TAZ'!A:A,'Model Modeshare by TAZ'!B:B)</f>
        <v>San Jose</v>
      </c>
      <c r="C1039" s="90" t="str">
        <f>_xlfn.XLOOKUP(A1039,'Model Modeshare by TAZ'!A:A,'Model Modeshare by TAZ'!D:D)</f>
        <v>NO</v>
      </c>
      <c r="D1039" s="27">
        <v>2437.48</v>
      </c>
      <c r="E1039" s="27">
        <v>41461.4</v>
      </c>
      <c r="F1039" s="27">
        <v>2066.71</v>
      </c>
      <c r="G1039" s="27">
        <v>15477.53</v>
      </c>
      <c r="H1039" s="27">
        <v>359.91</v>
      </c>
      <c r="I1039" s="27">
        <v>4059.54</v>
      </c>
      <c r="J1039" s="6">
        <v>1501</v>
      </c>
      <c r="K1039" s="6">
        <v>209</v>
      </c>
      <c r="L1039" s="27">
        <v>10.311479013990674</v>
      </c>
      <c r="M1039" s="27">
        <v>19.423636363636362</v>
      </c>
      <c r="N1039" s="34">
        <v>22.76163157894737</v>
      </c>
    </row>
    <row r="1040" spans="1:14" x14ac:dyDescent="0.35">
      <c r="A1040" s="82">
        <v>1037</v>
      </c>
      <c r="B1040" s="89" t="str">
        <f>_xlfn.XLOOKUP(A1040,'Model Modeshare by TAZ'!A:A,'Model Modeshare by TAZ'!B:B)</f>
        <v>San Jose</v>
      </c>
      <c r="C1040" s="90" t="str">
        <f>_xlfn.XLOOKUP(A1040,'Model Modeshare by TAZ'!A:A,'Model Modeshare by TAZ'!D:D)</f>
        <v>NO</v>
      </c>
      <c r="D1040" s="27">
        <v>5909.22</v>
      </c>
      <c r="E1040" s="27">
        <v>97998.43</v>
      </c>
      <c r="F1040" s="27">
        <v>5834.06</v>
      </c>
      <c r="G1040" s="27">
        <v>43986.05</v>
      </c>
      <c r="H1040" s="27">
        <v>385.39</v>
      </c>
      <c r="I1040" s="27">
        <v>4311.12</v>
      </c>
      <c r="J1040" s="6">
        <v>4334</v>
      </c>
      <c r="K1040" s="6">
        <v>224</v>
      </c>
      <c r="L1040" s="27">
        <v>10.14906552838025</v>
      </c>
      <c r="M1040" s="27">
        <v>19.24607142857143</v>
      </c>
      <c r="N1040" s="34">
        <v>18.657784115840279</v>
      </c>
    </row>
    <row r="1041" spans="1:14" x14ac:dyDescent="0.35">
      <c r="A1041" s="82">
        <v>1038</v>
      </c>
      <c r="B1041" s="89" t="str">
        <f>_xlfn.XLOOKUP(A1041,'Model Modeshare by TAZ'!A:A,'Model Modeshare by TAZ'!B:B)</f>
        <v>San Jose</v>
      </c>
      <c r="C1041" s="90" t="str">
        <f>_xlfn.XLOOKUP(A1041,'Model Modeshare by TAZ'!A:A,'Model Modeshare by TAZ'!D:D)</f>
        <v>NO</v>
      </c>
      <c r="D1041" s="27">
        <v>327.60000000000002</v>
      </c>
      <c r="E1041" s="27">
        <v>4431.3599999999997</v>
      </c>
      <c r="F1041" s="27">
        <v>233.97</v>
      </c>
      <c r="G1041" s="27">
        <v>1523.59</v>
      </c>
      <c r="H1041" s="27">
        <v>387.1</v>
      </c>
      <c r="I1041" s="27">
        <v>4064.47</v>
      </c>
      <c r="J1041" s="6">
        <v>212</v>
      </c>
      <c r="K1041" s="6">
        <v>375</v>
      </c>
      <c r="L1041" s="27">
        <v>7.1867452830188672</v>
      </c>
      <c r="M1041" s="27">
        <v>10.838586666666666</v>
      </c>
      <c r="N1041" s="34">
        <v>18.804667802385008</v>
      </c>
    </row>
    <row r="1042" spans="1:14" x14ac:dyDescent="0.35">
      <c r="A1042" s="82">
        <v>1039</v>
      </c>
      <c r="B1042" s="89" t="str">
        <f>_xlfn.XLOOKUP(A1042,'Model Modeshare by TAZ'!A:A,'Model Modeshare by TAZ'!B:B)</f>
        <v>San Jose</v>
      </c>
      <c r="C1042" s="90" t="str">
        <f>_xlfn.XLOOKUP(A1042,'Model Modeshare by TAZ'!A:A,'Model Modeshare by TAZ'!D:D)</f>
        <v>NO</v>
      </c>
      <c r="D1042" s="27">
        <v>2206.08</v>
      </c>
      <c r="E1042" s="27">
        <v>25077.71</v>
      </c>
      <c r="F1042" s="27">
        <v>2420.65</v>
      </c>
      <c r="G1042" s="27">
        <v>15070.06</v>
      </c>
      <c r="H1042" s="27">
        <v>427.03</v>
      </c>
      <c r="I1042" s="27">
        <v>4426.38</v>
      </c>
      <c r="J1042" s="6">
        <v>2204</v>
      </c>
      <c r="K1042" s="6">
        <v>314</v>
      </c>
      <c r="L1042" s="27">
        <v>6.8375952813067151</v>
      </c>
      <c r="M1042" s="27">
        <v>14.096751592356688</v>
      </c>
      <c r="N1042" s="34">
        <v>11.711286735504368</v>
      </c>
    </row>
    <row r="1043" spans="1:14" x14ac:dyDescent="0.35">
      <c r="A1043" s="82">
        <v>1040</v>
      </c>
      <c r="B1043" s="89" t="str">
        <f>_xlfn.XLOOKUP(A1043,'Model Modeshare by TAZ'!A:A,'Model Modeshare by TAZ'!B:B)</f>
        <v>San Jose</v>
      </c>
      <c r="C1043" s="90" t="str">
        <f>_xlfn.XLOOKUP(A1043,'Model Modeshare by TAZ'!A:A,'Model Modeshare by TAZ'!D:D)</f>
        <v>NO</v>
      </c>
      <c r="D1043" s="27">
        <v>5837.39</v>
      </c>
      <c r="E1043" s="27">
        <v>76099.06</v>
      </c>
      <c r="F1043" s="27">
        <v>5568.83</v>
      </c>
      <c r="G1043" s="27">
        <v>37982.71</v>
      </c>
      <c r="H1043" s="27">
        <v>317.49</v>
      </c>
      <c r="I1043" s="27">
        <v>3156.9</v>
      </c>
      <c r="J1043" s="6">
        <v>4364</v>
      </c>
      <c r="K1043" s="6">
        <v>184</v>
      </c>
      <c r="L1043" s="27">
        <v>8.7036457378551777</v>
      </c>
      <c r="M1043" s="27">
        <v>17.157065217391306</v>
      </c>
      <c r="N1043" s="34">
        <v>13.314408531222515</v>
      </c>
    </row>
    <row r="1044" spans="1:14" x14ac:dyDescent="0.35">
      <c r="A1044" s="82">
        <v>1041</v>
      </c>
      <c r="B1044" s="89" t="str">
        <f>_xlfn.XLOOKUP(A1044,'Model Modeshare by TAZ'!A:A,'Model Modeshare by TAZ'!B:B)</f>
        <v>San Jose</v>
      </c>
      <c r="C1044" s="90" t="str">
        <f>_xlfn.XLOOKUP(A1044,'Model Modeshare by TAZ'!A:A,'Model Modeshare by TAZ'!D:D)</f>
        <v>NO</v>
      </c>
      <c r="D1044" s="27">
        <v>1693.28</v>
      </c>
      <c r="E1044" s="27">
        <v>14590.47</v>
      </c>
      <c r="F1044" s="27">
        <v>1762.25</v>
      </c>
      <c r="G1044" s="27">
        <v>7048.24</v>
      </c>
      <c r="H1044" s="27">
        <v>308</v>
      </c>
      <c r="I1044" s="27">
        <v>3163.13</v>
      </c>
      <c r="J1044" s="6">
        <v>1628</v>
      </c>
      <c r="K1044" s="6">
        <v>225</v>
      </c>
      <c r="L1044" s="27">
        <v>4.3293857493857493</v>
      </c>
      <c r="M1044" s="27">
        <v>14.058355555555556</v>
      </c>
      <c r="N1044" s="34">
        <v>7.8825418240690777</v>
      </c>
    </row>
    <row r="1045" spans="1:14" x14ac:dyDescent="0.35">
      <c r="A1045" s="82">
        <v>1042</v>
      </c>
      <c r="B1045" s="89" t="str">
        <f>_xlfn.XLOOKUP(A1045,'Model Modeshare by TAZ'!A:A,'Model Modeshare by TAZ'!B:B)</f>
        <v>San Jose</v>
      </c>
      <c r="C1045" s="90" t="str">
        <f>_xlfn.XLOOKUP(A1045,'Model Modeshare by TAZ'!A:A,'Model Modeshare by TAZ'!D:D)</f>
        <v>NO</v>
      </c>
      <c r="D1045" s="27">
        <v>3366.47</v>
      </c>
      <c r="E1045" s="27">
        <v>33172.160000000003</v>
      </c>
      <c r="F1045" s="27">
        <v>3868.59</v>
      </c>
      <c r="G1045" s="27">
        <v>20211.37</v>
      </c>
      <c r="H1045" s="27">
        <v>136.13</v>
      </c>
      <c r="I1045" s="27">
        <v>1392.05</v>
      </c>
      <c r="J1045" s="6">
        <v>3366</v>
      </c>
      <c r="K1045" s="6">
        <v>80</v>
      </c>
      <c r="L1045" s="27">
        <v>6.0045662507427213</v>
      </c>
      <c r="M1045" s="27">
        <v>17.400624999999998</v>
      </c>
      <c r="N1045" s="34">
        <v>8.2102901915264077</v>
      </c>
    </row>
    <row r="1046" spans="1:14" x14ac:dyDescent="0.35">
      <c r="A1046" s="82">
        <v>1043</v>
      </c>
      <c r="B1046" s="89" t="str">
        <f>_xlfn.XLOOKUP(A1046,'Model Modeshare by TAZ'!A:A,'Model Modeshare by TAZ'!B:B)</f>
        <v>San Jose</v>
      </c>
      <c r="C1046" s="90" t="str">
        <f>_xlfn.XLOOKUP(A1046,'Model Modeshare by TAZ'!A:A,'Model Modeshare by TAZ'!D:D)</f>
        <v>NO</v>
      </c>
      <c r="D1046" s="27">
        <v>5263.35</v>
      </c>
      <c r="E1046" s="27">
        <v>68496.09</v>
      </c>
      <c r="F1046" s="27">
        <v>4135.74</v>
      </c>
      <c r="G1046" s="27">
        <v>28300.83</v>
      </c>
      <c r="H1046" s="27">
        <v>760.93</v>
      </c>
      <c r="I1046" s="27">
        <v>8086.51</v>
      </c>
      <c r="J1046" s="6">
        <v>3286</v>
      </c>
      <c r="K1046" s="6">
        <v>458</v>
      </c>
      <c r="L1046" s="27">
        <v>8.6125471698113216</v>
      </c>
      <c r="M1046" s="27">
        <v>17.65613537117904</v>
      </c>
      <c r="N1046" s="34">
        <v>16.630608974358974</v>
      </c>
    </row>
    <row r="1047" spans="1:14" x14ac:dyDescent="0.35">
      <c r="A1047" s="82">
        <v>1044</v>
      </c>
      <c r="B1047" s="89" t="str">
        <f>_xlfn.XLOOKUP(A1047,'Model Modeshare by TAZ'!A:A,'Model Modeshare by TAZ'!B:B)</f>
        <v>San Jose</v>
      </c>
      <c r="C1047" s="90" t="str">
        <f>_xlfn.XLOOKUP(A1047,'Model Modeshare by TAZ'!A:A,'Model Modeshare by TAZ'!D:D)</f>
        <v>NO</v>
      </c>
      <c r="D1047" s="27">
        <v>3667.44</v>
      </c>
      <c r="E1047" s="27">
        <v>40501.839999999997</v>
      </c>
      <c r="F1047" s="27">
        <v>3886.34</v>
      </c>
      <c r="G1047" s="27">
        <v>23022.34</v>
      </c>
      <c r="H1047" s="27">
        <v>155.96</v>
      </c>
      <c r="I1047" s="27">
        <v>1537.42</v>
      </c>
      <c r="J1047" s="6">
        <v>3038</v>
      </c>
      <c r="K1047" s="6">
        <v>91</v>
      </c>
      <c r="L1047" s="27">
        <v>7.5781237656352864</v>
      </c>
      <c r="M1047" s="27">
        <v>16.894725274725275</v>
      </c>
      <c r="N1047" s="34">
        <v>9.9875775007989773</v>
      </c>
    </row>
    <row r="1048" spans="1:14" x14ac:dyDescent="0.35">
      <c r="A1048" s="82">
        <v>1045</v>
      </c>
      <c r="B1048" s="89" t="str">
        <f>_xlfn.XLOOKUP(A1048,'Model Modeshare by TAZ'!A:A,'Model Modeshare by TAZ'!B:B)</f>
        <v>San Jose</v>
      </c>
      <c r="C1048" s="90" t="str">
        <f>_xlfn.XLOOKUP(A1048,'Model Modeshare by TAZ'!A:A,'Model Modeshare by TAZ'!D:D)</f>
        <v>NO</v>
      </c>
      <c r="D1048" s="27">
        <v>6254.41</v>
      </c>
      <c r="E1048" s="27">
        <v>65250.05</v>
      </c>
      <c r="F1048" s="27">
        <v>4688.63</v>
      </c>
      <c r="G1048" s="27">
        <v>26953.72</v>
      </c>
      <c r="H1048" s="27">
        <v>897.05</v>
      </c>
      <c r="I1048" s="27">
        <v>9129.68</v>
      </c>
      <c r="J1048" s="6">
        <v>4075</v>
      </c>
      <c r="K1048" s="6">
        <v>540</v>
      </c>
      <c r="L1048" s="27">
        <v>6.6144098159509204</v>
      </c>
      <c r="M1048" s="27">
        <v>16.906814814814815</v>
      </c>
      <c r="N1048" s="34">
        <v>12.135891657638137</v>
      </c>
    </row>
    <row r="1049" spans="1:14" x14ac:dyDescent="0.35">
      <c r="A1049" s="82">
        <v>1046</v>
      </c>
      <c r="B1049" s="89" t="str">
        <f>_xlfn.XLOOKUP(A1049,'Model Modeshare by TAZ'!A:A,'Model Modeshare by TAZ'!B:B)</f>
        <v>San Jose</v>
      </c>
      <c r="C1049" s="90" t="str">
        <f>_xlfn.XLOOKUP(A1049,'Model Modeshare by TAZ'!A:A,'Model Modeshare by TAZ'!D:D)</f>
        <v>NO</v>
      </c>
      <c r="D1049" s="27">
        <v>3289.24</v>
      </c>
      <c r="E1049" s="27">
        <v>34793.22</v>
      </c>
      <c r="F1049" s="27">
        <v>2517.1</v>
      </c>
      <c r="G1049" s="27">
        <v>15107.08</v>
      </c>
      <c r="H1049" s="27">
        <v>614.91999999999996</v>
      </c>
      <c r="I1049" s="27">
        <v>6085.75</v>
      </c>
      <c r="J1049" s="6">
        <v>2045</v>
      </c>
      <c r="K1049" s="6">
        <v>438</v>
      </c>
      <c r="L1049" s="27">
        <v>7.3873251833740827</v>
      </c>
      <c r="M1049" s="27">
        <v>13.894406392694064</v>
      </c>
      <c r="N1049" s="34">
        <v>14.343020539669755</v>
      </c>
    </row>
    <row r="1050" spans="1:14" x14ac:dyDescent="0.35">
      <c r="A1050" s="82">
        <v>1047</v>
      </c>
      <c r="B1050" s="89" t="str">
        <f>_xlfn.XLOOKUP(A1050,'Model Modeshare by TAZ'!A:A,'Model Modeshare by TAZ'!B:B)</f>
        <v>San Jose</v>
      </c>
      <c r="C1050" s="90" t="str">
        <f>_xlfn.XLOOKUP(A1050,'Model Modeshare by TAZ'!A:A,'Model Modeshare by TAZ'!D:D)</f>
        <v>NO</v>
      </c>
      <c r="D1050" s="27">
        <v>7690.43</v>
      </c>
      <c r="E1050" s="27">
        <v>113099.82</v>
      </c>
      <c r="F1050" s="27">
        <v>5369.15</v>
      </c>
      <c r="G1050" s="27">
        <v>39904.65</v>
      </c>
      <c r="H1050" s="27">
        <v>337.86</v>
      </c>
      <c r="I1050" s="27">
        <v>3366.4</v>
      </c>
      <c r="J1050" s="6">
        <v>4340</v>
      </c>
      <c r="K1050" s="6">
        <v>199</v>
      </c>
      <c r="L1050" s="27">
        <v>9.1946198156682026</v>
      </c>
      <c r="M1050" s="27">
        <v>16.916582914572864</v>
      </c>
      <c r="N1050" s="34">
        <v>14.537492839832561</v>
      </c>
    </row>
    <row r="1051" spans="1:14" x14ac:dyDescent="0.35">
      <c r="A1051" s="82">
        <v>1048</v>
      </c>
      <c r="B1051" s="89" t="str">
        <f>_xlfn.XLOOKUP(A1051,'Model Modeshare by TAZ'!A:A,'Model Modeshare by TAZ'!B:B)</f>
        <v>San Jose</v>
      </c>
      <c r="C1051" s="90" t="str">
        <f>_xlfn.XLOOKUP(A1051,'Model Modeshare by TAZ'!A:A,'Model Modeshare by TAZ'!D:D)</f>
        <v>NO</v>
      </c>
      <c r="D1051" s="27">
        <v>4392.34</v>
      </c>
      <c r="E1051" s="27">
        <v>55484.800000000003</v>
      </c>
      <c r="F1051" s="27">
        <v>3343.11</v>
      </c>
      <c r="G1051" s="27">
        <v>22072.79</v>
      </c>
      <c r="H1051" s="27">
        <v>832.78</v>
      </c>
      <c r="I1051" s="27">
        <v>8201.31</v>
      </c>
      <c r="J1051" s="6">
        <v>2770</v>
      </c>
      <c r="K1051" s="6">
        <v>619</v>
      </c>
      <c r="L1051" s="27">
        <v>7.9685162454873648</v>
      </c>
      <c r="M1051" s="27">
        <v>13.249289176090468</v>
      </c>
      <c r="N1051" s="34">
        <v>14.552903511360283</v>
      </c>
    </row>
    <row r="1052" spans="1:14" x14ac:dyDescent="0.35">
      <c r="A1052" s="82">
        <v>1049</v>
      </c>
      <c r="B1052" s="89" t="str">
        <f>_xlfn.XLOOKUP(A1052,'Model Modeshare by TAZ'!A:A,'Model Modeshare by TAZ'!B:B)</f>
        <v>San Jose</v>
      </c>
      <c r="C1052" s="90" t="str">
        <f>_xlfn.XLOOKUP(A1052,'Model Modeshare by TAZ'!A:A,'Model Modeshare by TAZ'!D:D)</f>
        <v>NO</v>
      </c>
      <c r="D1052" s="27">
        <v>3770.83</v>
      </c>
      <c r="E1052" s="27">
        <v>62013.48</v>
      </c>
      <c r="F1052" s="27">
        <v>4259.3900000000003</v>
      </c>
      <c r="G1052" s="27">
        <v>34470.92</v>
      </c>
      <c r="H1052" s="27">
        <v>2.86</v>
      </c>
      <c r="I1052" s="27">
        <v>29.27</v>
      </c>
      <c r="J1052" s="6">
        <v>3308</v>
      </c>
      <c r="K1052" s="6">
        <v>1</v>
      </c>
      <c r="L1052" s="27">
        <v>10.420471584038694</v>
      </c>
      <c r="M1052" s="27">
        <v>29.27</v>
      </c>
      <c r="N1052" s="34">
        <v>14.608105167724389</v>
      </c>
    </row>
    <row r="1053" spans="1:14" x14ac:dyDescent="0.35">
      <c r="A1053" s="82">
        <v>1050</v>
      </c>
      <c r="B1053" s="89" t="str">
        <f>_xlfn.XLOOKUP(A1053,'Model Modeshare by TAZ'!A:A,'Model Modeshare by TAZ'!B:B)</f>
        <v>San Jose</v>
      </c>
      <c r="C1053" s="90" t="str">
        <f>_xlfn.XLOOKUP(A1053,'Model Modeshare by TAZ'!A:A,'Model Modeshare by TAZ'!D:D)</f>
        <v>NO</v>
      </c>
      <c r="D1053" s="27">
        <v>2505.33</v>
      </c>
      <c r="E1053" s="27">
        <v>34172.980000000003</v>
      </c>
      <c r="F1053" s="27">
        <v>2563.5</v>
      </c>
      <c r="G1053" s="27">
        <v>18902.39</v>
      </c>
      <c r="H1053" s="27">
        <v>92.39</v>
      </c>
      <c r="I1053" s="27">
        <v>910.39</v>
      </c>
      <c r="J1053" s="6">
        <v>1967</v>
      </c>
      <c r="K1053" s="6">
        <v>51</v>
      </c>
      <c r="L1053" s="27">
        <v>9.6097559735638018</v>
      </c>
      <c r="M1053" s="27">
        <v>17.850784313725491</v>
      </c>
      <c r="N1053" s="34">
        <v>13.82549554013875</v>
      </c>
    </row>
    <row r="1054" spans="1:14" x14ac:dyDescent="0.35">
      <c r="A1054" s="82">
        <v>1051</v>
      </c>
      <c r="B1054" s="89" t="str">
        <f>_xlfn.XLOOKUP(A1054,'Model Modeshare by TAZ'!A:A,'Model Modeshare by TAZ'!B:B)</f>
        <v>San Jose</v>
      </c>
      <c r="C1054" s="90" t="str">
        <f>_xlfn.XLOOKUP(A1054,'Model Modeshare by TAZ'!A:A,'Model Modeshare by TAZ'!D:D)</f>
        <v>NO</v>
      </c>
      <c r="D1054" s="27">
        <v>2345.7199999999998</v>
      </c>
      <c r="E1054" s="27">
        <v>33808.199999999997</v>
      </c>
      <c r="F1054" s="27">
        <v>2316.1</v>
      </c>
      <c r="G1054" s="27">
        <v>17477.95</v>
      </c>
      <c r="H1054" s="27">
        <v>260.74</v>
      </c>
      <c r="I1054" s="27">
        <v>2634.41</v>
      </c>
      <c r="J1054" s="6">
        <v>1770</v>
      </c>
      <c r="K1054" s="6">
        <v>147</v>
      </c>
      <c r="L1054" s="27">
        <v>9.8745480225988711</v>
      </c>
      <c r="M1054" s="27">
        <v>17.921156462585031</v>
      </c>
      <c r="N1054" s="34">
        <v>15.23848721961398</v>
      </c>
    </row>
    <row r="1055" spans="1:14" x14ac:dyDescent="0.35">
      <c r="A1055" s="82">
        <v>1052</v>
      </c>
      <c r="B1055" s="89" t="str">
        <f>_xlfn.XLOOKUP(A1055,'Model Modeshare by TAZ'!A:A,'Model Modeshare by TAZ'!B:B)</f>
        <v>San Jose</v>
      </c>
      <c r="C1055" s="90" t="str">
        <f>_xlfn.XLOOKUP(A1055,'Model Modeshare by TAZ'!A:A,'Model Modeshare by TAZ'!D:D)</f>
        <v>NO</v>
      </c>
      <c r="D1055" s="27">
        <v>2115.56</v>
      </c>
      <c r="E1055" s="27">
        <v>21655.14</v>
      </c>
      <c r="F1055" s="27">
        <v>2515.0500000000002</v>
      </c>
      <c r="G1055" s="27">
        <v>13967.85</v>
      </c>
      <c r="H1055" s="27">
        <v>163.55000000000001</v>
      </c>
      <c r="I1055" s="27">
        <v>1663.3</v>
      </c>
      <c r="J1055" s="6">
        <v>2199</v>
      </c>
      <c r="K1055" s="6">
        <v>93</v>
      </c>
      <c r="L1055" s="27">
        <v>6.351909959072306</v>
      </c>
      <c r="M1055" s="27">
        <v>17.884946236559138</v>
      </c>
      <c r="N1055" s="34">
        <v>8.8446247818499124</v>
      </c>
    </row>
    <row r="1056" spans="1:14" x14ac:dyDescent="0.35">
      <c r="A1056" s="82">
        <v>1053</v>
      </c>
      <c r="B1056" s="89" t="str">
        <f>_xlfn.XLOOKUP(A1056,'Model Modeshare by TAZ'!A:A,'Model Modeshare by TAZ'!B:B)</f>
        <v>San Jose</v>
      </c>
      <c r="C1056" s="90" t="str">
        <f>_xlfn.XLOOKUP(A1056,'Model Modeshare by TAZ'!A:A,'Model Modeshare by TAZ'!D:D)</f>
        <v>NO</v>
      </c>
      <c r="D1056" s="27">
        <v>6564.46</v>
      </c>
      <c r="E1056" s="27">
        <v>96329.06</v>
      </c>
      <c r="F1056" s="27">
        <v>7343.76</v>
      </c>
      <c r="G1056" s="27">
        <v>55819.33</v>
      </c>
      <c r="H1056" s="27">
        <v>447.19</v>
      </c>
      <c r="I1056" s="27">
        <v>4537.96</v>
      </c>
      <c r="J1056" s="6">
        <v>5475</v>
      </c>
      <c r="K1056" s="6">
        <v>257</v>
      </c>
      <c r="L1056" s="27">
        <v>10.195311415525115</v>
      </c>
      <c r="M1056" s="27">
        <v>17.657431906614786</v>
      </c>
      <c r="N1056" s="34">
        <v>15.632864619678996</v>
      </c>
    </row>
    <row r="1057" spans="1:14" x14ac:dyDescent="0.35">
      <c r="A1057" s="82">
        <v>1054</v>
      </c>
      <c r="B1057" s="89" t="str">
        <f>_xlfn.XLOOKUP(A1057,'Model Modeshare by TAZ'!A:A,'Model Modeshare by TAZ'!B:B)</f>
        <v>San Jose</v>
      </c>
      <c r="C1057" s="90" t="str">
        <f>_xlfn.XLOOKUP(A1057,'Model Modeshare by TAZ'!A:A,'Model Modeshare by TAZ'!D:D)</f>
        <v>NO</v>
      </c>
      <c r="D1057" s="27">
        <v>1622.22</v>
      </c>
      <c r="E1057" s="27">
        <v>26711.73</v>
      </c>
      <c r="F1057" s="27">
        <v>1479.78</v>
      </c>
      <c r="G1057" s="27">
        <v>11969.68</v>
      </c>
      <c r="H1057" s="27">
        <v>454.91</v>
      </c>
      <c r="I1057" s="27">
        <v>4813.6099999999997</v>
      </c>
      <c r="J1057" s="6">
        <v>1109</v>
      </c>
      <c r="K1057" s="6">
        <v>305</v>
      </c>
      <c r="L1057" s="27">
        <v>10.79321911632101</v>
      </c>
      <c r="M1057" s="27">
        <v>15.782327868852457</v>
      </c>
      <c r="N1057" s="34">
        <v>20.62973125884017</v>
      </c>
    </row>
    <row r="1058" spans="1:14" x14ac:dyDescent="0.35">
      <c r="A1058" s="82">
        <v>1055</v>
      </c>
      <c r="B1058" s="89" t="str">
        <f>_xlfn.XLOOKUP(A1058,'Model Modeshare by TAZ'!A:A,'Model Modeshare by TAZ'!B:B)</f>
        <v>San Jose</v>
      </c>
      <c r="C1058" s="90" t="str">
        <f>_xlfn.XLOOKUP(A1058,'Model Modeshare by TAZ'!A:A,'Model Modeshare by TAZ'!D:D)</f>
        <v>NO</v>
      </c>
      <c r="D1058" s="27">
        <v>2453.83</v>
      </c>
      <c r="E1058" s="27">
        <v>40066.81</v>
      </c>
      <c r="F1058" s="27">
        <v>1844.15</v>
      </c>
      <c r="G1058" s="27">
        <v>14150.85</v>
      </c>
      <c r="H1058" s="27">
        <v>563.32000000000005</v>
      </c>
      <c r="I1058" s="27">
        <v>5474.92</v>
      </c>
      <c r="J1058" s="6">
        <v>1588</v>
      </c>
      <c r="K1058" s="6">
        <v>440</v>
      </c>
      <c r="L1058" s="27">
        <v>8.9111146095717881</v>
      </c>
      <c r="M1058" s="27">
        <v>12.443</v>
      </c>
      <c r="N1058" s="34">
        <v>21.797011834319523</v>
      </c>
    </row>
    <row r="1059" spans="1:14" x14ac:dyDescent="0.35">
      <c r="A1059" s="82">
        <v>1056</v>
      </c>
      <c r="B1059" s="89" t="str">
        <f>_xlfn.XLOOKUP(A1059,'Model Modeshare by TAZ'!A:A,'Model Modeshare by TAZ'!B:B)</f>
        <v>San Jose</v>
      </c>
      <c r="C1059" s="90" t="str">
        <f>_xlfn.XLOOKUP(A1059,'Model Modeshare by TAZ'!A:A,'Model Modeshare by TAZ'!D:D)</f>
        <v>NO</v>
      </c>
      <c r="D1059" s="27">
        <v>5744.33</v>
      </c>
      <c r="E1059" s="27">
        <v>92195.74</v>
      </c>
      <c r="F1059" s="27">
        <v>3504</v>
      </c>
      <c r="G1059" s="27">
        <v>26817.82</v>
      </c>
      <c r="H1059" s="27">
        <v>775.99</v>
      </c>
      <c r="I1059" s="27">
        <v>7982.96</v>
      </c>
      <c r="J1059" s="6">
        <v>2820</v>
      </c>
      <c r="K1059" s="6">
        <v>529</v>
      </c>
      <c r="L1059" s="27">
        <v>9.5098652482269497</v>
      </c>
      <c r="M1059" s="27">
        <v>15.090661625708885</v>
      </c>
      <c r="N1059" s="34">
        <v>23.808919080322486</v>
      </c>
    </row>
    <row r="1060" spans="1:14" x14ac:dyDescent="0.35">
      <c r="A1060" s="82">
        <v>1057</v>
      </c>
      <c r="B1060" s="89" t="str">
        <f>_xlfn.XLOOKUP(A1060,'Model Modeshare by TAZ'!A:A,'Model Modeshare by TAZ'!B:B)</f>
        <v>San Jose</v>
      </c>
      <c r="C1060" s="90" t="str">
        <f>_xlfn.XLOOKUP(A1060,'Model Modeshare by TAZ'!A:A,'Model Modeshare by TAZ'!D:D)</f>
        <v>NO</v>
      </c>
      <c r="D1060" s="27">
        <v>7776.41</v>
      </c>
      <c r="E1060" s="27">
        <v>115190.6</v>
      </c>
      <c r="F1060" s="27">
        <v>0.75</v>
      </c>
      <c r="G1060" s="27">
        <v>5.32</v>
      </c>
      <c r="H1060" s="27">
        <v>2545.98</v>
      </c>
      <c r="I1060" s="27">
        <v>25458.09</v>
      </c>
      <c r="J1060" s="6">
        <v>4</v>
      </c>
      <c r="K1060" s="6">
        <v>2320</v>
      </c>
      <c r="L1060" s="27">
        <v>1.33</v>
      </c>
      <c r="M1060" s="27">
        <v>10.973314655172414</v>
      </c>
      <c r="N1060" s="34">
        <v>65.092065404475036</v>
      </c>
    </row>
    <row r="1061" spans="1:14" x14ac:dyDescent="0.35">
      <c r="A1061" s="82">
        <v>1058</v>
      </c>
      <c r="B1061" s="89" t="str">
        <f>_xlfn.XLOOKUP(A1061,'Model Modeshare by TAZ'!A:A,'Model Modeshare by TAZ'!B:B)</f>
        <v>San Jose</v>
      </c>
      <c r="C1061" s="90" t="str">
        <f>_xlfn.XLOOKUP(A1061,'Model Modeshare by TAZ'!A:A,'Model Modeshare by TAZ'!D:D)</f>
        <v>NO</v>
      </c>
      <c r="D1061" s="27">
        <v>7129.34</v>
      </c>
      <c r="E1061" s="27">
        <v>94168.89</v>
      </c>
      <c r="F1061" s="27">
        <v>5259.99</v>
      </c>
      <c r="G1061" s="27">
        <v>31140.63</v>
      </c>
      <c r="H1061" s="27">
        <v>705.41</v>
      </c>
      <c r="I1061" s="27">
        <v>7105.53</v>
      </c>
      <c r="J1061" s="6">
        <v>4477</v>
      </c>
      <c r="K1061" s="6">
        <v>407</v>
      </c>
      <c r="L1061" s="27">
        <v>6.9556913111458565</v>
      </c>
      <c r="M1061" s="27">
        <v>17.458304668304667</v>
      </c>
      <c r="N1061" s="34">
        <v>12.868226863226862</v>
      </c>
    </row>
    <row r="1062" spans="1:14" x14ac:dyDescent="0.35">
      <c r="A1062" s="82">
        <v>1059</v>
      </c>
      <c r="B1062" s="89" t="str">
        <f>_xlfn.XLOOKUP(A1062,'Model Modeshare by TAZ'!A:A,'Model Modeshare by TAZ'!B:B)</f>
        <v>San Jose</v>
      </c>
      <c r="C1062" s="90" t="str">
        <f>_xlfn.XLOOKUP(A1062,'Model Modeshare by TAZ'!A:A,'Model Modeshare by TAZ'!D:D)</f>
        <v>NO</v>
      </c>
      <c r="D1062" s="27">
        <v>2448.3200000000002</v>
      </c>
      <c r="E1062" s="27">
        <v>31959.98</v>
      </c>
      <c r="F1062" s="27">
        <v>1873.6</v>
      </c>
      <c r="G1062" s="27">
        <v>12827.09</v>
      </c>
      <c r="H1062" s="27">
        <v>339.46</v>
      </c>
      <c r="I1062" s="27">
        <v>3302.9</v>
      </c>
      <c r="J1062" s="6">
        <v>1452</v>
      </c>
      <c r="K1062" s="6">
        <v>222</v>
      </c>
      <c r="L1062" s="27">
        <v>8.8340840220385672</v>
      </c>
      <c r="M1062" s="27">
        <v>14.877927927927928</v>
      </c>
      <c r="N1062" s="34">
        <v>16.222371565113502</v>
      </c>
    </row>
    <row r="1063" spans="1:14" x14ac:dyDescent="0.35">
      <c r="A1063" s="82">
        <v>1060</v>
      </c>
      <c r="B1063" s="89" t="str">
        <f>_xlfn.XLOOKUP(A1063,'Model Modeshare by TAZ'!A:A,'Model Modeshare by TAZ'!B:B)</f>
        <v>San Jose</v>
      </c>
      <c r="C1063" s="90" t="str">
        <f>_xlfn.XLOOKUP(A1063,'Model Modeshare by TAZ'!A:A,'Model Modeshare by TAZ'!D:D)</f>
        <v>NO</v>
      </c>
      <c r="D1063" s="27">
        <v>7131.69</v>
      </c>
      <c r="E1063" s="27">
        <v>118346.46</v>
      </c>
      <c r="F1063" s="27">
        <v>6334.99</v>
      </c>
      <c r="G1063" s="27">
        <v>49599.23</v>
      </c>
      <c r="H1063" s="27">
        <v>832.28</v>
      </c>
      <c r="I1063" s="27">
        <v>8484.17</v>
      </c>
      <c r="J1063" s="6">
        <v>5039</v>
      </c>
      <c r="K1063" s="6">
        <v>491</v>
      </c>
      <c r="L1063" s="27">
        <v>9.8430700535820606</v>
      </c>
      <c r="M1063" s="27">
        <v>17.279368635437883</v>
      </c>
      <c r="N1063" s="34">
        <v>19.076757685352622</v>
      </c>
    </row>
    <row r="1064" spans="1:14" x14ac:dyDescent="0.35">
      <c r="A1064" s="82">
        <v>1061</v>
      </c>
      <c r="B1064" s="89" t="str">
        <f>_xlfn.XLOOKUP(A1064,'Model Modeshare by TAZ'!A:A,'Model Modeshare by TAZ'!B:B)</f>
        <v>San Jose</v>
      </c>
      <c r="C1064" s="90" t="str">
        <f>_xlfn.XLOOKUP(A1064,'Model Modeshare by TAZ'!A:A,'Model Modeshare by TAZ'!D:D)</f>
        <v>NO</v>
      </c>
      <c r="D1064" s="27">
        <v>6972.57</v>
      </c>
      <c r="E1064" s="27">
        <v>117222.72</v>
      </c>
      <c r="F1064" s="27">
        <v>5167.68</v>
      </c>
      <c r="G1064" s="27">
        <v>37761.79</v>
      </c>
      <c r="H1064" s="27">
        <v>1533.62</v>
      </c>
      <c r="I1064" s="27">
        <v>15386.69</v>
      </c>
      <c r="J1064" s="6">
        <v>4240</v>
      </c>
      <c r="K1064" s="6">
        <v>1413</v>
      </c>
      <c r="L1064" s="27">
        <v>8.9060825471698113</v>
      </c>
      <c r="M1064" s="27">
        <v>10.889377211606512</v>
      </c>
      <c r="N1064" s="34">
        <v>23.414358747567661</v>
      </c>
    </row>
    <row r="1065" spans="1:14" x14ac:dyDescent="0.35">
      <c r="A1065" s="82">
        <v>1062</v>
      </c>
      <c r="B1065" s="89" t="str">
        <f>_xlfn.XLOOKUP(A1065,'Model Modeshare by TAZ'!A:A,'Model Modeshare by TAZ'!B:B)</f>
        <v>San Jose</v>
      </c>
      <c r="C1065" s="90" t="str">
        <f>_xlfn.XLOOKUP(A1065,'Model Modeshare by TAZ'!A:A,'Model Modeshare by TAZ'!D:D)</f>
        <v>NO</v>
      </c>
      <c r="D1065" s="27">
        <v>5640.2</v>
      </c>
      <c r="E1065" s="27">
        <v>112213.71</v>
      </c>
      <c r="F1065" s="27">
        <v>5626.58</v>
      </c>
      <c r="G1065" s="27">
        <v>52124.89</v>
      </c>
      <c r="H1065" s="27">
        <v>939.24</v>
      </c>
      <c r="I1065" s="27">
        <v>10783.52</v>
      </c>
      <c r="J1065" s="6">
        <v>3905</v>
      </c>
      <c r="K1065" s="6">
        <v>505</v>
      </c>
      <c r="L1065" s="27">
        <v>13.348243277848912</v>
      </c>
      <c r="M1065" s="27">
        <v>21.353504950495051</v>
      </c>
      <c r="N1065" s="34">
        <v>26.859798185941045</v>
      </c>
    </row>
    <row r="1066" spans="1:14" x14ac:dyDescent="0.35">
      <c r="A1066" s="82">
        <v>1063</v>
      </c>
      <c r="B1066" s="89" t="str">
        <f>_xlfn.XLOOKUP(A1066,'Model Modeshare by TAZ'!A:A,'Model Modeshare by TAZ'!B:B)</f>
        <v>San Jose</v>
      </c>
      <c r="C1066" s="90" t="str">
        <f>_xlfn.XLOOKUP(A1066,'Model Modeshare by TAZ'!A:A,'Model Modeshare by TAZ'!D:D)</f>
        <v>NO</v>
      </c>
      <c r="D1066" s="27">
        <v>7365.94</v>
      </c>
      <c r="E1066" s="27">
        <v>136997.76000000001</v>
      </c>
      <c r="F1066" s="27">
        <v>5314.14</v>
      </c>
      <c r="G1066" s="27">
        <v>48912.63</v>
      </c>
      <c r="H1066" s="27">
        <v>703.86</v>
      </c>
      <c r="I1066" s="27">
        <v>7928.44</v>
      </c>
      <c r="J1066" s="6">
        <v>3575</v>
      </c>
      <c r="K1066" s="6">
        <v>382</v>
      </c>
      <c r="L1066" s="27">
        <v>13.681854545454545</v>
      </c>
      <c r="M1066" s="27">
        <v>20.755078534031412</v>
      </c>
      <c r="N1066" s="34">
        <v>25.955281779125603</v>
      </c>
    </row>
    <row r="1067" spans="1:14" x14ac:dyDescent="0.35">
      <c r="A1067" s="82">
        <v>1064</v>
      </c>
      <c r="B1067" s="89" t="str">
        <f>_xlfn.XLOOKUP(A1067,'Model Modeshare by TAZ'!A:A,'Model Modeshare by TAZ'!B:B)</f>
        <v>Unincorporated</v>
      </c>
      <c r="C1067" s="90" t="str">
        <f>_xlfn.XLOOKUP(A1067,'Model Modeshare by TAZ'!A:A,'Model Modeshare by TAZ'!D:D)</f>
        <v>NO</v>
      </c>
      <c r="D1067" s="27">
        <v>1815.77</v>
      </c>
      <c r="E1067" s="27">
        <v>41789.29</v>
      </c>
      <c r="F1067" s="27">
        <v>2008.56</v>
      </c>
      <c r="G1067" s="27">
        <v>22946.82</v>
      </c>
      <c r="H1067" s="27">
        <v>14.65</v>
      </c>
      <c r="I1067" s="27">
        <v>200.29</v>
      </c>
      <c r="J1067" s="6">
        <v>1253</v>
      </c>
      <c r="K1067" s="6">
        <v>7</v>
      </c>
      <c r="L1067" s="27">
        <v>18.313503591380687</v>
      </c>
      <c r="M1067" s="27">
        <v>28.612857142857141</v>
      </c>
      <c r="N1067" s="34">
        <v>28.198253968253969</v>
      </c>
    </row>
    <row r="1068" spans="1:14" x14ac:dyDescent="0.35">
      <c r="A1068" s="82">
        <v>1065</v>
      </c>
      <c r="B1068" s="89" t="str">
        <f>_xlfn.XLOOKUP(A1068,'Model Modeshare by TAZ'!A:A,'Model Modeshare by TAZ'!B:B)</f>
        <v>Unincorporated</v>
      </c>
      <c r="C1068" s="90" t="str">
        <f>_xlfn.XLOOKUP(A1068,'Model Modeshare by TAZ'!A:A,'Model Modeshare by TAZ'!D:D)</f>
        <v>NO</v>
      </c>
      <c r="D1068" s="27">
        <v>428.45</v>
      </c>
      <c r="E1068" s="27">
        <v>9285.85</v>
      </c>
      <c r="F1068" s="27">
        <v>288.73</v>
      </c>
      <c r="G1068" s="27">
        <v>3075.02</v>
      </c>
      <c r="H1068" s="27">
        <v>79.459999999999994</v>
      </c>
      <c r="I1068" s="27">
        <v>977.09</v>
      </c>
      <c r="J1068" s="6">
        <v>190</v>
      </c>
      <c r="K1068" s="6">
        <v>56</v>
      </c>
      <c r="L1068" s="27">
        <v>16.184315789473683</v>
      </c>
      <c r="M1068" s="27">
        <v>17.448035714285716</v>
      </c>
      <c r="N1068" s="34">
        <v>24.816341463414634</v>
      </c>
    </row>
    <row r="1069" spans="1:14" x14ac:dyDescent="0.35">
      <c r="A1069" s="82">
        <v>1066</v>
      </c>
      <c r="B1069" s="89" t="str">
        <f>_xlfn.XLOOKUP(A1069,'Model Modeshare by TAZ'!A:A,'Model Modeshare by TAZ'!B:B)</f>
        <v>San Jose</v>
      </c>
      <c r="C1069" s="90" t="str">
        <f>_xlfn.XLOOKUP(A1069,'Model Modeshare by TAZ'!A:A,'Model Modeshare by TAZ'!D:D)</f>
        <v>NO</v>
      </c>
      <c r="D1069" s="27">
        <v>102.56</v>
      </c>
      <c r="E1069" s="27">
        <v>1625.8</v>
      </c>
      <c r="F1069" s="27">
        <v>3.11</v>
      </c>
      <c r="G1069" s="27">
        <v>25.27</v>
      </c>
      <c r="H1069" s="27">
        <v>149.15</v>
      </c>
      <c r="I1069" s="27">
        <v>1551.9</v>
      </c>
      <c r="J1069" s="6">
        <v>8</v>
      </c>
      <c r="K1069" s="6">
        <v>138</v>
      </c>
      <c r="L1069" s="27">
        <v>3.1587499999999999</v>
      </c>
      <c r="M1069" s="27">
        <v>11.245652173913044</v>
      </c>
      <c r="N1069" s="34">
        <v>44.589520547945206</v>
      </c>
    </row>
    <row r="1070" spans="1:14" x14ac:dyDescent="0.35">
      <c r="A1070" s="82">
        <v>1067</v>
      </c>
      <c r="B1070" s="89" t="str">
        <f>_xlfn.XLOOKUP(A1070,'Model Modeshare by TAZ'!A:A,'Model Modeshare by TAZ'!B:B)</f>
        <v>San Jose</v>
      </c>
      <c r="C1070" s="90" t="str">
        <f>_xlfn.XLOOKUP(A1070,'Model Modeshare by TAZ'!A:A,'Model Modeshare by TAZ'!D:D)</f>
        <v>NO</v>
      </c>
      <c r="D1070" s="27">
        <v>2312.81</v>
      </c>
      <c r="E1070" s="27">
        <v>43339.82</v>
      </c>
      <c r="F1070" s="27">
        <v>2148.96</v>
      </c>
      <c r="G1070" s="27">
        <v>20475.5</v>
      </c>
      <c r="H1070" s="27">
        <v>67.48</v>
      </c>
      <c r="I1070" s="27">
        <v>787.7</v>
      </c>
      <c r="J1070" s="6">
        <v>1416</v>
      </c>
      <c r="K1070" s="6">
        <v>35</v>
      </c>
      <c r="L1070" s="27">
        <v>14.460098870056497</v>
      </c>
      <c r="M1070" s="27">
        <v>22.505714285714287</v>
      </c>
      <c r="N1070" s="34">
        <v>22.211998621640248</v>
      </c>
    </row>
    <row r="1071" spans="1:14" x14ac:dyDescent="0.35">
      <c r="A1071" s="82">
        <v>1068</v>
      </c>
      <c r="B1071" s="89" t="str">
        <f>_xlfn.XLOOKUP(A1071,'Model Modeshare by TAZ'!A:A,'Model Modeshare by TAZ'!B:B)</f>
        <v>San Jose</v>
      </c>
      <c r="C1071" s="90" t="str">
        <f>_xlfn.XLOOKUP(A1071,'Model Modeshare by TAZ'!A:A,'Model Modeshare by TAZ'!D:D)</f>
        <v>NO</v>
      </c>
      <c r="D1071" s="27">
        <v>4493.21</v>
      </c>
      <c r="E1071" s="27">
        <v>73438.2</v>
      </c>
      <c r="F1071" s="27">
        <v>4831.3</v>
      </c>
      <c r="G1071" s="27">
        <v>39169.39</v>
      </c>
      <c r="H1071" s="27">
        <v>244</v>
      </c>
      <c r="I1071" s="27">
        <v>2455.83</v>
      </c>
      <c r="J1071" s="6">
        <v>3243</v>
      </c>
      <c r="K1071" s="6">
        <v>134</v>
      </c>
      <c r="L1071" s="27">
        <v>12.078134443416589</v>
      </c>
      <c r="M1071" s="27">
        <v>18.327089552238807</v>
      </c>
      <c r="N1071" s="34">
        <v>18.851948474977792</v>
      </c>
    </row>
    <row r="1072" spans="1:14" x14ac:dyDescent="0.35">
      <c r="A1072" s="82">
        <v>1069</v>
      </c>
      <c r="B1072" s="89" t="str">
        <f>_xlfn.XLOOKUP(A1072,'Model Modeshare by TAZ'!A:A,'Model Modeshare by TAZ'!B:B)</f>
        <v>San Jose</v>
      </c>
      <c r="C1072" s="90" t="str">
        <f>_xlfn.XLOOKUP(A1072,'Model Modeshare by TAZ'!A:A,'Model Modeshare by TAZ'!D:D)</f>
        <v>NO</v>
      </c>
      <c r="D1072" s="27">
        <v>2823.14</v>
      </c>
      <c r="E1072" s="27">
        <v>47206.36</v>
      </c>
      <c r="F1072" s="27">
        <v>3109.56</v>
      </c>
      <c r="G1072" s="27">
        <v>27484.81</v>
      </c>
      <c r="H1072" s="27">
        <v>147.82</v>
      </c>
      <c r="I1072" s="27">
        <v>1539.01</v>
      </c>
      <c r="J1072" s="6">
        <v>2036</v>
      </c>
      <c r="K1072" s="6">
        <v>81</v>
      </c>
      <c r="L1072" s="27">
        <v>13.499415520628684</v>
      </c>
      <c r="M1072" s="27">
        <v>19.000123456790124</v>
      </c>
      <c r="N1072" s="34">
        <v>19.764430798299482</v>
      </c>
    </row>
    <row r="1073" spans="1:14" x14ac:dyDescent="0.35">
      <c r="A1073" s="82">
        <v>1070</v>
      </c>
      <c r="B1073" s="89" t="str">
        <f>_xlfn.XLOOKUP(A1073,'Model Modeshare by TAZ'!A:A,'Model Modeshare by TAZ'!B:B)</f>
        <v>San Jose</v>
      </c>
      <c r="C1073" s="90" t="str">
        <f>_xlfn.XLOOKUP(A1073,'Model Modeshare by TAZ'!A:A,'Model Modeshare by TAZ'!D:D)</f>
        <v>NO</v>
      </c>
      <c r="D1073" s="27">
        <v>4309.76</v>
      </c>
      <c r="E1073" s="27">
        <v>80830.25</v>
      </c>
      <c r="F1073" s="27">
        <v>4803.54</v>
      </c>
      <c r="G1073" s="27">
        <v>45546.14</v>
      </c>
      <c r="H1073" s="27">
        <v>166.31</v>
      </c>
      <c r="I1073" s="27">
        <v>1904.62</v>
      </c>
      <c r="J1073" s="6">
        <v>3216</v>
      </c>
      <c r="K1073" s="6">
        <v>90</v>
      </c>
      <c r="L1073" s="27">
        <v>14.16235696517413</v>
      </c>
      <c r="M1073" s="27">
        <v>21.162444444444443</v>
      </c>
      <c r="N1073" s="34">
        <v>20.814709618874772</v>
      </c>
    </row>
    <row r="1074" spans="1:14" x14ac:dyDescent="0.35">
      <c r="A1074" s="82">
        <v>1071</v>
      </c>
      <c r="B1074" s="89" t="str">
        <f>_xlfn.XLOOKUP(A1074,'Model Modeshare by TAZ'!A:A,'Model Modeshare by TAZ'!B:B)</f>
        <v>San Jose</v>
      </c>
      <c r="C1074" s="90" t="str">
        <f>_xlfn.XLOOKUP(A1074,'Model Modeshare by TAZ'!A:A,'Model Modeshare by TAZ'!D:D)</f>
        <v>NO</v>
      </c>
      <c r="D1074" s="27">
        <v>3357.54</v>
      </c>
      <c r="E1074" s="27">
        <v>61033.88</v>
      </c>
      <c r="F1074" s="27">
        <v>3750.79</v>
      </c>
      <c r="G1074" s="27">
        <v>33458.42</v>
      </c>
      <c r="H1074" s="27">
        <v>146.80000000000001</v>
      </c>
      <c r="I1074" s="27">
        <v>1597.76</v>
      </c>
      <c r="J1074" s="6">
        <v>2476</v>
      </c>
      <c r="K1074" s="6">
        <v>79</v>
      </c>
      <c r="L1074" s="27">
        <v>13.513093699515347</v>
      </c>
      <c r="M1074" s="27">
        <v>20.224810126582277</v>
      </c>
      <c r="N1074" s="34">
        <v>20.738152641878671</v>
      </c>
    </row>
    <row r="1075" spans="1:14" x14ac:dyDescent="0.35">
      <c r="A1075" s="82">
        <v>1072</v>
      </c>
      <c r="B1075" s="89" t="str">
        <f>_xlfn.XLOOKUP(A1075,'Model Modeshare by TAZ'!A:A,'Model Modeshare by TAZ'!B:B)</f>
        <v>San Jose</v>
      </c>
      <c r="C1075" s="90" t="str">
        <f>_xlfn.XLOOKUP(A1075,'Model Modeshare by TAZ'!A:A,'Model Modeshare by TAZ'!D:D)</f>
        <v>NO</v>
      </c>
      <c r="D1075" s="27">
        <v>2666.34</v>
      </c>
      <c r="E1075" s="27">
        <v>48703.29</v>
      </c>
      <c r="F1075" s="27">
        <v>2842.2</v>
      </c>
      <c r="G1075" s="27">
        <v>25413.1</v>
      </c>
      <c r="H1075" s="27">
        <v>0</v>
      </c>
      <c r="I1075" s="27">
        <v>0</v>
      </c>
      <c r="J1075" s="6">
        <v>1926</v>
      </c>
      <c r="K1075" s="6">
        <v>0</v>
      </c>
      <c r="L1075" s="27">
        <v>13.194755970924195</v>
      </c>
      <c r="M1075" s="27">
        <v>0</v>
      </c>
      <c r="N1075" s="34">
        <v>18.662969885773624</v>
      </c>
    </row>
    <row r="1076" spans="1:14" x14ac:dyDescent="0.35">
      <c r="A1076" s="82">
        <v>1073</v>
      </c>
      <c r="B1076" s="89" t="str">
        <f>_xlfn.XLOOKUP(A1076,'Model Modeshare by TAZ'!A:A,'Model Modeshare by TAZ'!B:B)</f>
        <v>San Jose</v>
      </c>
      <c r="C1076" s="90" t="str">
        <f>_xlfn.XLOOKUP(A1076,'Model Modeshare by TAZ'!A:A,'Model Modeshare by TAZ'!D:D)</f>
        <v>NO</v>
      </c>
      <c r="D1076" s="27">
        <v>5033.5600000000004</v>
      </c>
      <c r="E1076" s="27">
        <v>101173.92</v>
      </c>
      <c r="F1076" s="27">
        <v>4705.59</v>
      </c>
      <c r="G1076" s="27">
        <v>44463.9</v>
      </c>
      <c r="H1076" s="27">
        <v>418.36</v>
      </c>
      <c r="I1076" s="27">
        <v>4693.07</v>
      </c>
      <c r="J1076" s="6">
        <v>2847</v>
      </c>
      <c r="K1076" s="6">
        <v>225</v>
      </c>
      <c r="L1076" s="27">
        <v>15.617808219178082</v>
      </c>
      <c r="M1076" s="27">
        <v>20.858088888888886</v>
      </c>
      <c r="N1076" s="34">
        <v>27.646471354166668</v>
      </c>
    </row>
    <row r="1077" spans="1:14" x14ac:dyDescent="0.35">
      <c r="A1077" s="82">
        <v>1074</v>
      </c>
      <c r="B1077" s="89" t="str">
        <f>_xlfn.XLOOKUP(A1077,'Model Modeshare by TAZ'!A:A,'Model Modeshare by TAZ'!B:B)</f>
        <v>San Jose</v>
      </c>
      <c r="C1077" s="90" t="str">
        <f>_xlfn.XLOOKUP(A1077,'Model Modeshare by TAZ'!A:A,'Model Modeshare by TAZ'!D:D)</f>
        <v>NO</v>
      </c>
      <c r="D1077" s="27">
        <v>2655.36</v>
      </c>
      <c r="E1077" s="27">
        <v>61891.41</v>
      </c>
      <c r="F1077" s="27">
        <v>3122.31</v>
      </c>
      <c r="G1077" s="27">
        <v>33732.959999999999</v>
      </c>
      <c r="H1077" s="27">
        <v>583.12</v>
      </c>
      <c r="I1077" s="27">
        <v>7413.36</v>
      </c>
      <c r="J1077" s="6">
        <v>1909</v>
      </c>
      <c r="K1077" s="6">
        <v>309</v>
      </c>
      <c r="L1077" s="27">
        <v>17.670487166055526</v>
      </c>
      <c r="M1077" s="27">
        <v>23.991456310679609</v>
      </c>
      <c r="N1077" s="34">
        <v>30.158512173128944</v>
      </c>
    </row>
    <row r="1078" spans="1:14" x14ac:dyDescent="0.35">
      <c r="A1078" s="82">
        <v>1075</v>
      </c>
      <c r="B1078" s="89" t="str">
        <f>_xlfn.XLOOKUP(A1078,'Model Modeshare by TAZ'!A:A,'Model Modeshare by TAZ'!B:B)</f>
        <v>Unincorporated</v>
      </c>
      <c r="C1078" s="90" t="str">
        <f>_xlfn.XLOOKUP(A1078,'Model Modeshare by TAZ'!A:A,'Model Modeshare by TAZ'!D:D)</f>
        <v>NO</v>
      </c>
      <c r="D1078" s="27">
        <v>171.88</v>
      </c>
      <c r="E1078" s="27">
        <v>3923.39</v>
      </c>
      <c r="F1078" s="27">
        <v>195.96</v>
      </c>
      <c r="G1078" s="27">
        <v>2247.21</v>
      </c>
      <c r="H1078" s="27">
        <v>0</v>
      </c>
      <c r="I1078" s="27">
        <v>0</v>
      </c>
      <c r="J1078" s="6">
        <v>129</v>
      </c>
      <c r="K1078" s="6">
        <v>0</v>
      </c>
      <c r="L1078" s="27">
        <v>17.420232558139535</v>
      </c>
      <c r="M1078" s="27">
        <v>0</v>
      </c>
      <c r="N1078" s="34">
        <v>22.495193798449613</v>
      </c>
    </row>
    <row r="1079" spans="1:14" x14ac:dyDescent="0.35">
      <c r="A1079" s="82">
        <v>1076</v>
      </c>
      <c r="B1079" s="89" t="str">
        <f>_xlfn.XLOOKUP(A1079,'Model Modeshare by TAZ'!A:A,'Model Modeshare by TAZ'!B:B)</f>
        <v>San Jose</v>
      </c>
      <c r="C1079" s="90" t="str">
        <f>_xlfn.XLOOKUP(A1079,'Model Modeshare by TAZ'!A:A,'Model Modeshare by TAZ'!D:D)</f>
        <v>NO</v>
      </c>
      <c r="D1079" s="27">
        <v>15201.79</v>
      </c>
      <c r="E1079" s="27">
        <v>301655.13</v>
      </c>
      <c r="F1079" s="27">
        <v>9698.8700000000008</v>
      </c>
      <c r="G1079" s="27">
        <v>97906.66</v>
      </c>
      <c r="H1079" s="27">
        <v>997.92</v>
      </c>
      <c r="I1079" s="27">
        <v>11772.42</v>
      </c>
      <c r="J1079" s="6">
        <v>6032</v>
      </c>
      <c r="K1079" s="6">
        <v>547</v>
      </c>
      <c r="L1079" s="27">
        <v>16.231210212201592</v>
      </c>
      <c r="M1079" s="27">
        <v>21.521791590493603</v>
      </c>
      <c r="N1079" s="34">
        <v>48.043503571971428</v>
      </c>
    </row>
    <row r="1080" spans="1:14" x14ac:dyDescent="0.35">
      <c r="A1080" s="82">
        <v>1077</v>
      </c>
      <c r="B1080" s="89" t="str">
        <f>_xlfn.XLOOKUP(A1080,'Model Modeshare by TAZ'!A:A,'Model Modeshare by TAZ'!B:B)</f>
        <v>San Jose</v>
      </c>
      <c r="C1080" s="90" t="str">
        <f>_xlfn.XLOOKUP(A1080,'Model Modeshare by TAZ'!A:A,'Model Modeshare by TAZ'!D:D)</f>
        <v>NO</v>
      </c>
      <c r="D1080" s="27">
        <v>4462.17</v>
      </c>
      <c r="E1080" s="27">
        <v>88374.01</v>
      </c>
      <c r="F1080" s="27">
        <v>4090.06</v>
      </c>
      <c r="G1080" s="27">
        <v>39319.4</v>
      </c>
      <c r="H1080" s="27">
        <v>40.18</v>
      </c>
      <c r="I1080" s="27">
        <v>470.54</v>
      </c>
      <c r="J1080" s="6">
        <v>2604</v>
      </c>
      <c r="K1080" s="6">
        <v>21</v>
      </c>
      <c r="L1080" s="27">
        <v>15.099615975422427</v>
      </c>
      <c r="M1080" s="27">
        <v>22.406666666666666</v>
      </c>
      <c r="N1080" s="34">
        <v>22.071668571428571</v>
      </c>
    </row>
    <row r="1081" spans="1:14" x14ac:dyDescent="0.35">
      <c r="A1081" s="82">
        <v>1078</v>
      </c>
      <c r="B1081" s="89" t="str">
        <f>_xlfn.XLOOKUP(A1081,'Model Modeshare by TAZ'!A:A,'Model Modeshare by TAZ'!B:B)</f>
        <v>San Jose</v>
      </c>
      <c r="C1081" s="90" t="str">
        <f>_xlfn.XLOOKUP(A1081,'Model Modeshare by TAZ'!A:A,'Model Modeshare by TAZ'!D:D)</f>
        <v>NO</v>
      </c>
      <c r="D1081" s="27">
        <v>1191.24</v>
      </c>
      <c r="E1081" s="27">
        <v>26823.07</v>
      </c>
      <c r="F1081" s="27">
        <v>144.25</v>
      </c>
      <c r="G1081" s="27">
        <v>961.96</v>
      </c>
      <c r="H1081" s="27">
        <v>723.46</v>
      </c>
      <c r="I1081" s="27">
        <v>8576.15</v>
      </c>
      <c r="J1081" s="6">
        <v>80</v>
      </c>
      <c r="K1081" s="6">
        <v>547</v>
      </c>
      <c r="L1081" s="27">
        <v>12.0245</v>
      </c>
      <c r="M1081" s="27">
        <v>15.678519195612431</v>
      </c>
      <c r="N1081" s="34">
        <v>35.145821371610843</v>
      </c>
    </row>
    <row r="1082" spans="1:14" x14ac:dyDescent="0.35">
      <c r="A1082" s="82">
        <v>1079</v>
      </c>
      <c r="B1082" s="89" t="str">
        <f>_xlfn.XLOOKUP(A1082,'Model Modeshare by TAZ'!A:A,'Model Modeshare by TAZ'!B:B)</f>
        <v>San Jose</v>
      </c>
      <c r="C1082" s="90" t="str">
        <f>_xlfn.XLOOKUP(A1082,'Model Modeshare by TAZ'!A:A,'Model Modeshare by TAZ'!D:D)</f>
        <v>NO</v>
      </c>
      <c r="D1082" s="27">
        <v>13107.34</v>
      </c>
      <c r="E1082" s="27">
        <v>297644.37</v>
      </c>
      <c r="F1082" s="27">
        <v>357.62</v>
      </c>
      <c r="G1082" s="27">
        <v>2435.0300000000002</v>
      </c>
      <c r="H1082" s="27">
        <v>7377.32</v>
      </c>
      <c r="I1082" s="27">
        <v>91970.38</v>
      </c>
      <c r="J1082" s="6">
        <v>217</v>
      </c>
      <c r="K1082" s="6">
        <v>6802</v>
      </c>
      <c r="L1082" s="27">
        <v>11.221336405529955</v>
      </c>
      <c r="M1082" s="27">
        <v>13.521079094384005</v>
      </c>
      <c r="N1082" s="34">
        <v>37.9495968086622</v>
      </c>
    </row>
    <row r="1083" spans="1:14" x14ac:dyDescent="0.35">
      <c r="A1083" s="82">
        <v>1080</v>
      </c>
      <c r="B1083" s="89" t="str">
        <f>_xlfn.XLOOKUP(A1083,'Model Modeshare by TAZ'!A:A,'Model Modeshare by TAZ'!B:B)</f>
        <v>San Jose</v>
      </c>
      <c r="C1083" s="90" t="str">
        <f>_xlfn.XLOOKUP(A1083,'Model Modeshare by TAZ'!A:A,'Model Modeshare by TAZ'!D:D)</f>
        <v>NO</v>
      </c>
      <c r="D1083" s="27">
        <v>5513.64</v>
      </c>
      <c r="E1083" s="27">
        <v>120260.19</v>
      </c>
      <c r="F1083" s="27">
        <v>1776.64</v>
      </c>
      <c r="G1083" s="27">
        <v>12039.42</v>
      </c>
      <c r="H1083" s="27">
        <v>1138.8499999999999</v>
      </c>
      <c r="I1083" s="27">
        <v>13922.22</v>
      </c>
      <c r="J1083" s="6">
        <v>1200</v>
      </c>
      <c r="K1083" s="6">
        <v>1015</v>
      </c>
      <c r="L1083" s="27">
        <v>10.03285</v>
      </c>
      <c r="M1083" s="27">
        <v>13.71647290640394</v>
      </c>
      <c r="N1083" s="34">
        <v>31.774735891647854</v>
      </c>
    </row>
    <row r="1084" spans="1:14" x14ac:dyDescent="0.35">
      <c r="A1084" s="82">
        <v>1081</v>
      </c>
      <c r="B1084" s="89" t="str">
        <f>_xlfn.XLOOKUP(A1084,'Model Modeshare by TAZ'!A:A,'Model Modeshare by TAZ'!B:B)</f>
        <v>San Jose</v>
      </c>
      <c r="C1084" s="90" t="str">
        <f>_xlfn.XLOOKUP(A1084,'Model Modeshare by TAZ'!A:A,'Model Modeshare by TAZ'!D:D)</f>
        <v>NO</v>
      </c>
      <c r="D1084" s="27">
        <v>2192.64</v>
      </c>
      <c r="E1084" s="27">
        <v>49257.73</v>
      </c>
      <c r="F1084" s="27">
        <v>96.86</v>
      </c>
      <c r="G1084" s="27">
        <v>677.83</v>
      </c>
      <c r="H1084" s="27">
        <v>2160.9</v>
      </c>
      <c r="I1084" s="27">
        <v>26910.91</v>
      </c>
      <c r="J1084" s="6">
        <v>75</v>
      </c>
      <c r="K1084" s="6">
        <v>1957</v>
      </c>
      <c r="L1084" s="27">
        <v>9.0377333333333336</v>
      </c>
      <c r="M1084" s="27">
        <v>13.751103730199285</v>
      </c>
      <c r="N1084" s="34">
        <v>36.060408464566926</v>
      </c>
    </row>
    <row r="1085" spans="1:14" x14ac:dyDescent="0.35">
      <c r="A1085" s="82">
        <v>1082</v>
      </c>
      <c r="B1085" s="89" t="str">
        <f>_xlfn.XLOOKUP(A1085,'Model Modeshare by TAZ'!A:A,'Model Modeshare by TAZ'!B:B)</f>
        <v>San Jose</v>
      </c>
      <c r="C1085" s="90" t="str">
        <f>_xlfn.XLOOKUP(A1085,'Model Modeshare by TAZ'!A:A,'Model Modeshare by TAZ'!D:D)</f>
        <v>NO</v>
      </c>
      <c r="D1085" s="27">
        <v>3614.1</v>
      </c>
      <c r="E1085" s="27">
        <v>72034.05</v>
      </c>
      <c r="F1085" s="27">
        <v>1647.58</v>
      </c>
      <c r="G1085" s="27">
        <v>11106.24</v>
      </c>
      <c r="H1085" s="27">
        <v>1308.8</v>
      </c>
      <c r="I1085" s="27">
        <v>15862.13</v>
      </c>
      <c r="J1085" s="6">
        <v>1057</v>
      </c>
      <c r="K1085" s="6">
        <v>1177</v>
      </c>
      <c r="L1085" s="27">
        <v>10.507322611163671</v>
      </c>
      <c r="M1085" s="27">
        <v>13.476745964316057</v>
      </c>
      <c r="N1085" s="34">
        <v>34.656007162041185</v>
      </c>
    </row>
    <row r="1086" spans="1:14" x14ac:dyDescent="0.35">
      <c r="A1086" s="82">
        <v>1083</v>
      </c>
      <c r="B1086" s="89" t="str">
        <f>_xlfn.XLOOKUP(A1086,'Model Modeshare by TAZ'!A:A,'Model Modeshare by TAZ'!B:B)</f>
        <v>San Jose</v>
      </c>
      <c r="C1086" s="90" t="str">
        <f>_xlfn.XLOOKUP(A1086,'Model Modeshare by TAZ'!A:A,'Model Modeshare by TAZ'!D:D)</f>
        <v>NO</v>
      </c>
      <c r="D1086" s="27">
        <v>2653.12</v>
      </c>
      <c r="E1086" s="27">
        <v>49951.48</v>
      </c>
      <c r="F1086" s="27">
        <v>3084.64</v>
      </c>
      <c r="G1086" s="27">
        <v>21219.41</v>
      </c>
      <c r="H1086" s="27">
        <v>3412.84</v>
      </c>
      <c r="I1086" s="27">
        <v>42199.7</v>
      </c>
      <c r="J1086" s="6">
        <v>1971</v>
      </c>
      <c r="K1086" s="6">
        <v>3076</v>
      </c>
      <c r="L1086" s="27">
        <v>10.765809233891426</v>
      </c>
      <c r="M1086" s="27">
        <v>13.719018205461637</v>
      </c>
      <c r="N1086" s="34">
        <v>31.161478105805433</v>
      </c>
    </row>
    <row r="1087" spans="1:14" x14ac:dyDescent="0.35">
      <c r="A1087" s="82">
        <v>1084</v>
      </c>
      <c r="B1087" s="89" t="str">
        <f>_xlfn.XLOOKUP(A1087,'Model Modeshare by TAZ'!A:A,'Model Modeshare by TAZ'!B:B)</f>
        <v>San Jose</v>
      </c>
      <c r="C1087" s="90" t="str">
        <f>_xlfn.XLOOKUP(A1087,'Model Modeshare by TAZ'!A:A,'Model Modeshare by TAZ'!D:D)</f>
        <v>NO</v>
      </c>
      <c r="D1087" s="27">
        <v>5750.78</v>
      </c>
      <c r="E1087" s="27">
        <v>118648.02</v>
      </c>
      <c r="F1087" s="27">
        <v>992.89</v>
      </c>
      <c r="G1087" s="27">
        <v>6272.01</v>
      </c>
      <c r="H1087" s="27">
        <v>3153.79</v>
      </c>
      <c r="I1087" s="27">
        <v>36422.76</v>
      </c>
      <c r="J1087" s="6">
        <v>709</v>
      </c>
      <c r="K1087" s="6">
        <v>2886</v>
      </c>
      <c r="L1087" s="27">
        <v>8.846276445698166</v>
      </c>
      <c r="M1087" s="27">
        <v>12.620498960498962</v>
      </c>
      <c r="N1087" s="34">
        <v>30.013699582753826</v>
      </c>
    </row>
    <row r="1088" spans="1:14" x14ac:dyDescent="0.35">
      <c r="A1088" s="82">
        <v>1085</v>
      </c>
      <c r="B1088" s="89" t="str">
        <f>_xlfn.XLOOKUP(A1088,'Model Modeshare by TAZ'!A:A,'Model Modeshare by TAZ'!B:B)</f>
        <v>San Jose</v>
      </c>
      <c r="C1088" s="90" t="str">
        <f>_xlfn.XLOOKUP(A1088,'Model Modeshare by TAZ'!A:A,'Model Modeshare by TAZ'!D:D)</f>
        <v>NO</v>
      </c>
      <c r="D1088" s="27">
        <v>2345.1799999999998</v>
      </c>
      <c r="E1088" s="27">
        <v>48076.01</v>
      </c>
      <c r="F1088" s="27">
        <v>316.05</v>
      </c>
      <c r="G1088" s="27">
        <v>2065.7800000000002</v>
      </c>
      <c r="H1088" s="27">
        <v>1003.55</v>
      </c>
      <c r="I1088" s="27">
        <v>11535.95</v>
      </c>
      <c r="J1088" s="6">
        <v>222</v>
      </c>
      <c r="K1088" s="6">
        <v>901</v>
      </c>
      <c r="L1088" s="27">
        <v>9.3053153153153154</v>
      </c>
      <c r="M1088" s="27">
        <v>12.803496115427304</v>
      </c>
      <c r="N1088" s="34">
        <v>31.184069456812111</v>
      </c>
    </row>
    <row r="1089" spans="1:14" x14ac:dyDescent="0.35">
      <c r="A1089" s="82">
        <v>1086</v>
      </c>
      <c r="B1089" s="89" t="str">
        <f>_xlfn.XLOOKUP(A1089,'Model Modeshare by TAZ'!A:A,'Model Modeshare by TAZ'!B:B)</f>
        <v>San Jose</v>
      </c>
      <c r="C1089" s="90" t="str">
        <f>_xlfn.XLOOKUP(A1089,'Model Modeshare by TAZ'!A:A,'Model Modeshare by TAZ'!D:D)</f>
        <v>NO</v>
      </c>
      <c r="D1089" s="27">
        <v>380.96</v>
      </c>
      <c r="E1089" s="27">
        <v>5658.12</v>
      </c>
      <c r="F1089" s="27">
        <v>828.33</v>
      </c>
      <c r="G1089" s="27">
        <v>5631.53</v>
      </c>
      <c r="H1089" s="27">
        <v>33.340000000000003</v>
      </c>
      <c r="I1089" s="27">
        <v>378.78</v>
      </c>
      <c r="J1089" s="6">
        <v>576</v>
      </c>
      <c r="K1089" s="6">
        <v>17</v>
      </c>
      <c r="L1089" s="27">
        <v>9.7769618055555547</v>
      </c>
      <c r="M1089" s="27">
        <v>22.281176470588235</v>
      </c>
      <c r="N1089" s="34">
        <v>20.050067453625633</v>
      </c>
    </row>
    <row r="1090" spans="1:14" x14ac:dyDescent="0.35">
      <c r="A1090" s="82">
        <v>1087</v>
      </c>
      <c r="B1090" s="89" t="str">
        <f>_xlfn.XLOOKUP(A1090,'Model Modeshare by TAZ'!A:A,'Model Modeshare by TAZ'!B:B)</f>
        <v>San Jose</v>
      </c>
      <c r="C1090" s="90" t="str">
        <f>_xlfn.XLOOKUP(A1090,'Model Modeshare by TAZ'!A:A,'Model Modeshare by TAZ'!D:D)</f>
        <v>NO</v>
      </c>
      <c r="D1090" s="27">
        <v>2680.83</v>
      </c>
      <c r="E1090" s="27">
        <v>55090.64</v>
      </c>
      <c r="F1090" s="27">
        <v>901.48</v>
      </c>
      <c r="G1090" s="27">
        <v>6156.89</v>
      </c>
      <c r="H1090" s="27">
        <v>1067.75</v>
      </c>
      <c r="I1090" s="27">
        <v>13250.08</v>
      </c>
      <c r="J1090" s="6">
        <v>596</v>
      </c>
      <c r="K1090" s="6">
        <v>970</v>
      </c>
      <c r="L1090" s="27">
        <v>10.330352348993289</v>
      </c>
      <c r="M1090" s="27">
        <v>13.659876288659794</v>
      </c>
      <c r="N1090" s="34">
        <v>35.783684546615582</v>
      </c>
    </row>
    <row r="1091" spans="1:14" x14ac:dyDescent="0.35">
      <c r="A1091" s="82">
        <v>1088</v>
      </c>
      <c r="B1091" s="89" t="str">
        <f>_xlfn.XLOOKUP(A1091,'Model Modeshare by TAZ'!A:A,'Model Modeshare by TAZ'!B:B)</f>
        <v>San Jose</v>
      </c>
      <c r="C1091" s="90" t="str">
        <f>_xlfn.XLOOKUP(A1091,'Model Modeshare by TAZ'!A:A,'Model Modeshare by TAZ'!D:D)</f>
        <v>NO</v>
      </c>
      <c r="D1091" s="27">
        <v>1415.7</v>
      </c>
      <c r="E1091" s="27">
        <v>31718.11</v>
      </c>
      <c r="F1091" s="27">
        <v>36.049999999999997</v>
      </c>
      <c r="G1091" s="27">
        <v>254.39</v>
      </c>
      <c r="H1091" s="27">
        <v>3718.91</v>
      </c>
      <c r="I1091" s="27">
        <v>46870.14</v>
      </c>
      <c r="J1091" s="6">
        <v>18</v>
      </c>
      <c r="K1091" s="6">
        <v>3515</v>
      </c>
      <c r="L1091" s="27">
        <v>14.132777777777777</v>
      </c>
      <c r="M1091" s="27">
        <v>13.334321479374111</v>
      </c>
      <c r="N1091" s="34">
        <v>38.198058307387484</v>
      </c>
    </row>
    <row r="1092" spans="1:14" x14ac:dyDescent="0.35">
      <c r="A1092" s="82">
        <v>1089</v>
      </c>
      <c r="B1092" s="89" t="str">
        <f>_xlfn.XLOOKUP(A1092,'Model Modeshare by TAZ'!A:A,'Model Modeshare by TAZ'!B:B)</f>
        <v>San Jose</v>
      </c>
      <c r="C1092" s="90" t="str">
        <f>_xlfn.XLOOKUP(A1092,'Model Modeshare by TAZ'!A:A,'Model Modeshare by TAZ'!D:D)</f>
        <v>NO</v>
      </c>
      <c r="D1092" s="27">
        <v>862.96</v>
      </c>
      <c r="E1092" s="27">
        <v>13077.57</v>
      </c>
      <c r="F1092" s="27">
        <v>937.59</v>
      </c>
      <c r="G1092" s="27">
        <v>5801.48</v>
      </c>
      <c r="H1092" s="27">
        <v>203.42</v>
      </c>
      <c r="I1092" s="27">
        <v>2298.2399999999998</v>
      </c>
      <c r="J1092" s="6">
        <v>683</v>
      </c>
      <c r="K1092" s="6">
        <v>116</v>
      </c>
      <c r="L1092" s="27">
        <v>8.4941142020497793</v>
      </c>
      <c r="M1092" s="27">
        <v>19.812413793103445</v>
      </c>
      <c r="N1092" s="34">
        <v>20.136433041301629</v>
      </c>
    </row>
    <row r="1093" spans="1:14" x14ac:dyDescent="0.35">
      <c r="A1093" s="82">
        <v>1090</v>
      </c>
      <c r="B1093" s="89" t="str">
        <f>_xlfn.XLOOKUP(A1093,'Model Modeshare by TAZ'!A:A,'Model Modeshare by TAZ'!B:B)</f>
        <v>San Jose</v>
      </c>
      <c r="C1093" s="90" t="str">
        <f>_xlfn.XLOOKUP(A1093,'Model Modeshare by TAZ'!A:A,'Model Modeshare by TAZ'!D:D)</f>
        <v>NO</v>
      </c>
      <c r="D1093" s="27">
        <v>1110.9100000000001</v>
      </c>
      <c r="E1093" s="27">
        <v>17349.43</v>
      </c>
      <c r="F1093" s="27">
        <v>973.89</v>
      </c>
      <c r="G1093" s="27">
        <v>6197.11</v>
      </c>
      <c r="H1093" s="27">
        <v>305.33999999999997</v>
      </c>
      <c r="I1093" s="27">
        <v>3397.83</v>
      </c>
      <c r="J1093" s="6">
        <v>680</v>
      </c>
      <c r="K1093" s="6">
        <v>264</v>
      </c>
      <c r="L1093" s="27">
        <v>9.1133970588235282</v>
      </c>
      <c r="M1093" s="27">
        <v>12.870568181818182</v>
      </c>
      <c r="N1093" s="34">
        <v>22.051546610169492</v>
      </c>
    </row>
    <row r="1094" spans="1:14" x14ac:dyDescent="0.35">
      <c r="A1094" s="82">
        <v>1091</v>
      </c>
      <c r="B1094" s="89" t="str">
        <f>_xlfn.XLOOKUP(A1094,'Model Modeshare by TAZ'!A:A,'Model Modeshare by TAZ'!B:B)</f>
        <v>San Jose</v>
      </c>
      <c r="C1094" s="90" t="str">
        <f>_xlfn.XLOOKUP(A1094,'Model Modeshare by TAZ'!A:A,'Model Modeshare by TAZ'!D:D)</f>
        <v>NO</v>
      </c>
      <c r="D1094" s="27">
        <v>1537.7</v>
      </c>
      <c r="E1094" s="27">
        <v>24073.040000000001</v>
      </c>
      <c r="F1094" s="27">
        <v>1540.44</v>
      </c>
      <c r="G1094" s="27">
        <v>10067.83</v>
      </c>
      <c r="H1094" s="27">
        <v>100.84</v>
      </c>
      <c r="I1094" s="27">
        <v>1136.51</v>
      </c>
      <c r="J1094" s="6">
        <v>1048</v>
      </c>
      <c r="K1094" s="6">
        <v>56</v>
      </c>
      <c r="L1094" s="27">
        <v>9.6067080152671753</v>
      </c>
      <c r="M1094" s="27">
        <v>20.294821428571428</v>
      </c>
      <c r="N1094" s="34">
        <v>20.447789855072465</v>
      </c>
    </row>
    <row r="1095" spans="1:14" x14ac:dyDescent="0.35">
      <c r="A1095" s="82">
        <v>1092</v>
      </c>
      <c r="B1095" s="89" t="str">
        <f>_xlfn.XLOOKUP(A1095,'Model Modeshare by TAZ'!A:A,'Model Modeshare by TAZ'!B:B)</f>
        <v>San Jose</v>
      </c>
      <c r="C1095" s="90" t="str">
        <f>_xlfn.XLOOKUP(A1095,'Model Modeshare by TAZ'!A:A,'Model Modeshare by TAZ'!D:D)</f>
        <v>NO</v>
      </c>
      <c r="D1095" s="27">
        <v>829.71</v>
      </c>
      <c r="E1095" s="27">
        <v>12223.31</v>
      </c>
      <c r="F1095" s="27">
        <v>1181.69</v>
      </c>
      <c r="G1095" s="27">
        <v>7919.1</v>
      </c>
      <c r="H1095" s="27">
        <v>0</v>
      </c>
      <c r="I1095" s="27">
        <v>0</v>
      </c>
      <c r="J1095" s="6">
        <v>1116</v>
      </c>
      <c r="K1095" s="6">
        <v>0</v>
      </c>
      <c r="L1095" s="27">
        <v>7.0959677419354845</v>
      </c>
      <c r="M1095" s="27">
        <v>0</v>
      </c>
      <c r="N1095" s="34">
        <v>12.043198924731183</v>
      </c>
    </row>
    <row r="1096" spans="1:14" x14ac:dyDescent="0.35">
      <c r="A1096" s="82">
        <v>1093</v>
      </c>
      <c r="B1096" s="89" t="str">
        <f>_xlfn.XLOOKUP(A1096,'Model Modeshare by TAZ'!A:A,'Model Modeshare by TAZ'!B:B)</f>
        <v>San Jose</v>
      </c>
      <c r="C1096" s="90" t="str">
        <f>_xlfn.XLOOKUP(A1096,'Model Modeshare by TAZ'!A:A,'Model Modeshare by TAZ'!D:D)</f>
        <v>NO</v>
      </c>
      <c r="D1096" s="27">
        <v>418.32</v>
      </c>
      <c r="E1096" s="27">
        <v>6418.57</v>
      </c>
      <c r="F1096" s="27">
        <v>763.43</v>
      </c>
      <c r="G1096" s="27">
        <v>5315.17</v>
      </c>
      <c r="H1096" s="27">
        <v>0</v>
      </c>
      <c r="I1096" s="27">
        <v>0</v>
      </c>
      <c r="J1096" s="6">
        <v>482</v>
      </c>
      <c r="K1096" s="6">
        <v>0</v>
      </c>
      <c r="L1096" s="27">
        <v>11.027323651452281</v>
      </c>
      <c r="M1096" s="27">
        <v>0</v>
      </c>
      <c r="N1096" s="34">
        <v>17.636203319502073</v>
      </c>
    </row>
    <row r="1097" spans="1:14" x14ac:dyDescent="0.35">
      <c r="A1097" s="82">
        <v>1094</v>
      </c>
      <c r="B1097" s="89" t="str">
        <f>_xlfn.XLOOKUP(A1097,'Model Modeshare by TAZ'!A:A,'Model Modeshare by TAZ'!B:B)</f>
        <v>San Jose</v>
      </c>
      <c r="C1097" s="90" t="str">
        <f>_xlfn.XLOOKUP(A1097,'Model Modeshare by TAZ'!A:A,'Model Modeshare by TAZ'!D:D)</f>
        <v>NO</v>
      </c>
      <c r="D1097" s="27">
        <v>11298.79</v>
      </c>
      <c r="E1097" s="27">
        <v>265141.89</v>
      </c>
      <c r="F1097" s="27">
        <v>467.81</v>
      </c>
      <c r="G1097" s="27">
        <v>3148.81</v>
      </c>
      <c r="H1097" s="27">
        <v>3244.01</v>
      </c>
      <c r="I1097" s="27">
        <v>40126.019999999997</v>
      </c>
      <c r="J1097" s="6">
        <v>518</v>
      </c>
      <c r="K1097" s="6">
        <v>3102</v>
      </c>
      <c r="L1097" s="27">
        <v>6.0787837837837833</v>
      </c>
      <c r="M1097" s="27">
        <v>12.935531914893616</v>
      </c>
      <c r="N1097" s="34">
        <v>34.788381215469613</v>
      </c>
    </row>
    <row r="1098" spans="1:14" x14ac:dyDescent="0.35">
      <c r="A1098" s="82">
        <v>1095</v>
      </c>
      <c r="B1098" s="89" t="str">
        <f>_xlfn.XLOOKUP(A1098,'Model Modeshare by TAZ'!A:A,'Model Modeshare by TAZ'!B:B)</f>
        <v>San Jose</v>
      </c>
      <c r="C1098" s="90" t="str">
        <f>_xlfn.XLOOKUP(A1098,'Model Modeshare by TAZ'!A:A,'Model Modeshare by TAZ'!D:D)</f>
        <v>NO</v>
      </c>
      <c r="D1098" s="27">
        <v>1333.27</v>
      </c>
      <c r="E1098" s="27">
        <v>26548.82</v>
      </c>
      <c r="F1098" s="27">
        <v>602.71</v>
      </c>
      <c r="G1098" s="27">
        <v>4149.92</v>
      </c>
      <c r="H1098" s="27">
        <v>561.36</v>
      </c>
      <c r="I1098" s="27">
        <v>6962.15</v>
      </c>
      <c r="J1098" s="6">
        <v>414</v>
      </c>
      <c r="K1098" s="6">
        <v>516</v>
      </c>
      <c r="L1098" s="27">
        <v>10.023961352657006</v>
      </c>
      <c r="M1098" s="27">
        <v>13.492538759689921</v>
      </c>
      <c r="N1098" s="34">
        <v>32.98958064516129</v>
      </c>
    </row>
    <row r="1099" spans="1:14" x14ac:dyDescent="0.35">
      <c r="A1099" s="82">
        <v>1096</v>
      </c>
      <c r="B1099" s="89" t="str">
        <f>_xlfn.XLOOKUP(A1099,'Model Modeshare by TAZ'!A:A,'Model Modeshare by TAZ'!B:B)</f>
        <v>San Jose</v>
      </c>
      <c r="C1099" s="90" t="str">
        <f>_xlfn.XLOOKUP(A1099,'Model Modeshare by TAZ'!A:A,'Model Modeshare by TAZ'!D:D)</f>
        <v>NO</v>
      </c>
      <c r="D1099" s="27">
        <v>267.38</v>
      </c>
      <c r="E1099" s="27">
        <v>4209.3900000000003</v>
      </c>
      <c r="F1099" s="27">
        <v>886.88</v>
      </c>
      <c r="G1099" s="27">
        <v>6128.68</v>
      </c>
      <c r="H1099" s="27">
        <v>387.99</v>
      </c>
      <c r="I1099" s="27">
        <v>4686.28</v>
      </c>
      <c r="J1099" s="6">
        <v>658</v>
      </c>
      <c r="K1099" s="6">
        <v>365</v>
      </c>
      <c r="L1099" s="27">
        <v>9.314103343465046</v>
      </c>
      <c r="M1099" s="27">
        <v>12.839123287671232</v>
      </c>
      <c r="N1099" s="34">
        <v>26.153724340175952</v>
      </c>
    </row>
    <row r="1100" spans="1:14" x14ac:dyDescent="0.35">
      <c r="A1100" s="82">
        <v>1097</v>
      </c>
      <c r="B1100" s="89" t="str">
        <f>_xlfn.XLOOKUP(A1100,'Model Modeshare by TAZ'!A:A,'Model Modeshare by TAZ'!B:B)</f>
        <v>San Jose</v>
      </c>
      <c r="C1100" s="90" t="str">
        <f>_xlfn.XLOOKUP(A1100,'Model Modeshare by TAZ'!A:A,'Model Modeshare by TAZ'!D:D)</f>
        <v>NO</v>
      </c>
      <c r="D1100" s="27">
        <v>0</v>
      </c>
      <c r="E1100" s="27">
        <v>0</v>
      </c>
      <c r="F1100" s="27">
        <v>0.57999999999999996</v>
      </c>
      <c r="G1100" s="27">
        <v>3.49</v>
      </c>
      <c r="H1100" s="27">
        <v>1288.6300000000001</v>
      </c>
      <c r="I1100" s="27">
        <v>15631.85</v>
      </c>
      <c r="J1100" s="6">
        <v>2</v>
      </c>
      <c r="K1100" s="6">
        <v>1234</v>
      </c>
      <c r="L1100" s="27">
        <v>1.7450000000000001</v>
      </c>
      <c r="M1100" s="27">
        <v>12.667625607779579</v>
      </c>
      <c r="N1100" s="34">
        <v>39.467346278317152</v>
      </c>
    </row>
    <row r="1101" spans="1:14" x14ac:dyDescent="0.35">
      <c r="A1101" s="82">
        <v>1098</v>
      </c>
      <c r="B1101" s="89" t="str">
        <f>_xlfn.XLOOKUP(A1101,'Model Modeshare by TAZ'!A:A,'Model Modeshare by TAZ'!B:B)</f>
        <v>San Jose</v>
      </c>
      <c r="C1101" s="90" t="str">
        <f>_xlfn.XLOOKUP(A1101,'Model Modeshare by TAZ'!A:A,'Model Modeshare by TAZ'!D:D)</f>
        <v>NO</v>
      </c>
      <c r="D1101" s="27">
        <v>5017.1499999999996</v>
      </c>
      <c r="E1101" s="27">
        <v>103336.32000000001</v>
      </c>
      <c r="F1101" s="27">
        <v>2465.9299999999998</v>
      </c>
      <c r="G1101" s="27">
        <v>16765.55</v>
      </c>
      <c r="H1101" s="27">
        <v>1573.25</v>
      </c>
      <c r="I1101" s="27">
        <v>19435.47</v>
      </c>
      <c r="J1101" s="6">
        <v>1802</v>
      </c>
      <c r="K1101" s="6">
        <v>1484</v>
      </c>
      <c r="L1101" s="27">
        <v>9.3038568257491665</v>
      </c>
      <c r="M1101" s="27">
        <v>13.096677897574125</v>
      </c>
      <c r="N1101" s="34">
        <v>31.55134205721242</v>
      </c>
    </row>
    <row r="1102" spans="1:14" x14ac:dyDescent="0.35">
      <c r="A1102" s="82">
        <v>1099</v>
      </c>
      <c r="B1102" s="89" t="str">
        <f>_xlfn.XLOOKUP(A1102,'Model Modeshare by TAZ'!A:A,'Model Modeshare by TAZ'!B:B)</f>
        <v>San Jose</v>
      </c>
      <c r="C1102" s="90" t="str">
        <f>_xlfn.XLOOKUP(A1102,'Model Modeshare by TAZ'!A:A,'Model Modeshare by TAZ'!D:D)</f>
        <v>NO</v>
      </c>
      <c r="D1102" s="27">
        <v>1738.88</v>
      </c>
      <c r="E1102" s="27">
        <v>31382.97</v>
      </c>
      <c r="F1102" s="27">
        <v>1336.1</v>
      </c>
      <c r="G1102" s="27">
        <v>9009.3700000000008</v>
      </c>
      <c r="H1102" s="27">
        <v>620.03</v>
      </c>
      <c r="I1102" s="27">
        <v>7586.01</v>
      </c>
      <c r="J1102" s="6">
        <v>947</v>
      </c>
      <c r="K1102" s="6">
        <v>570</v>
      </c>
      <c r="L1102" s="27">
        <v>9.5135902851108778</v>
      </c>
      <c r="M1102" s="27">
        <v>13.308789473684211</v>
      </c>
      <c r="N1102" s="34">
        <v>31.851773236651287</v>
      </c>
    </row>
    <row r="1103" spans="1:14" x14ac:dyDescent="0.35">
      <c r="A1103" s="82">
        <v>1100</v>
      </c>
      <c r="B1103" s="89" t="str">
        <f>_xlfn.XLOOKUP(A1103,'Model Modeshare by TAZ'!A:A,'Model Modeshare by TAZ'!B:B)</f>
        <v>San Jose</v>
      </c>
      <c r="C1103" s="90" t="str">
        <f>_xlfn.XLOOKUP(A1103,'Model Modeshare by TAZ'!A:A,'Model Modeshare by TAZ'!D:D)</f>
        <v>NO</v>
      </c>
      <c r="D1103" s="27">
        <v>972.84</v>
      </c>
      <c r="E1103" s="27">
        <v>18488.32</v>
      </c>
      <c r="F1103" s="27">
        <v>1742.03</v>
      </c>
      <c r="G1103" s="27">
        <v>11207.26</v>
      </c>
      <c r="H1103" s="27">
        <v>1188.0999999999999</v>
      </c>
      <c r="I1103" s="27">
        <v>13420.48</v>
      </c>
      <c r="J1103" s="6">
        <v>1320</v>
      </c>
      <c r="K1103" s="6">
        <v>1109</v>
      </c>
      <c r="L1103" s="27">
        <v>8.4903484848484858</v>
      </c>
      <c r="M1103" s="27">
        <v>12.101424706943192</v>
      </c>
      <c r="N1103" s="34">
        <v>24.347970358172088</v>
      </c>
    </row>
    <row r="1104" spans="1:14" x14ac:dyDescent="0.35">
      <c r="A1104" s="82">
        <v>1101</v>
      </c>
      <c r="B1104" s="89" t="str">
        <f>_xlfn.XLOOKUP(A1104,'Model Modeshare by TAZ'!A:A,'Model Modeshare by TAZ'!B:B)</f>
        <v>San Jose</v>
      </c>
      <c r="C1104" s="90" t="str">
        <f>_xlfn.XLOOKUP(A1104,'Model Modeshare by TAZ'!A:A,'Model Modeshare by TAZ'!D:D)</f>
        <v>NO</v>
      </c>
      <c r="D1104" s="27">
        <v>1099.1600000000001</v>
      </c>
      <c r="E1104" s="27">
        <v>15663.1</v>
      </c>
      <c r="F1104" s="27">
        <v>633.69000000000005</v>
      </c>
      <c r="G1104" s="27">
        <v>3368.36</v>
      </c>
      <c r="H1104" s="27">
        <v>438.24</v>
      </c>
      <c r="I1104" s="27">
        <v>4805.1499999999996</v>
      </c>
      <c r="J1104" s="6">
        <v>562</v>
      </c>
      <c r="K1104" s="6">
        <v>420</v>
      </c>
      <c r="L1104" s="27">
        <v>5.9935231316725979</v>
      </c>
      <c r="M1104" s="27">
        <v>11.440833333333332</v>
      </c>
      <c r="N1104" s="34">
        <v>20.773329938900204</v>
      </c>
    </row>
    <row r="1105" spans="1:14" x14ac:dyDescent="0.35">
      <c r="A1105" s="82">
        <v>1102</v>
      </c>
      <c r="B1105" s="89" t="str">
        <f>_xlfn.XLOOKUP(A1105,'Model Modeshare by TAZ'!A:A,'Model Modeshare by TAZ'!B:B)</f>
        <v>San Jose</v>
      </c>
      <c r="C1105" s="90" t="str">
        <f>_xlfn.XLOOKUP(A1105,'Model Modeshare by TAZ'!A:A,'Model Modeshare by TAZ'!D:D)</f>
        <v>NO</v>
      </c>
      <c r="D1105" s="27">
        <v>447.44</v>
      </c>
      <c r="E1105" s="27">
        <v>6822.41</v>
      </c>
      <c r="F1105" s="27">
        <v>1235.19</v>
      </c>
      <c r="G1105" s="27">
        <v>6915.22</v>
      </c>
      <c r="H1105" s="27">
        <v>7.06</v>
      </c>
      <c r="I1105" s="27">
        <v>74.239999999999995</v>
      </c>
      <c r="J1105" s="6">
        <v>1019</v>
      </c>
      <c r="K1105" s="6">
        <v>4</v>
      </c>
      <c r="L1105" s="27">
        <v>6.7862806673209031</v>
      </c>
      <c r="M1105" s="27">
        <v>18.559999999999999</v>
      </c>
      <c r="N1105" s="34">
        <v>12.782805474095797</v>
      </c>
    </row>
    <row r="1106" spans="1:14" x14ac:dyDescent="0.35">
      <c r="A1106" s="82">
        <v>1103</v>
      </c>
      <c r="B1106" s="89" t="str">
        <f>_xlfn.XLOOKUP(A1106,'Model Modeshare by TAZ'!A:A,'Model Modeshare by TAZ'!B:B)</f>
        <v>San Jose</v>
      </c>
      <c r="C1106" s="90" t="str">
        <f>_xlfn.XLOOKUP(A1106,'Model Modeshare by TAZ'!A:A,'Model Modeshare by TAZ'!D:D)</f>
        <v>NO</v>
      </c>
      <c r="D1106" s="27">
        <v>707.86</v>
      </c>
      <c r="E1106" s="27">
        <v>10578.79</v>
      </c>
      <c r="F1106" s="27">
        <v>534.07000000000005</v>
      </c>
      <c r="G1106" s="27">
        <v>3125.69</v>
      </c>
      <c r="H1106" s="27">
        <v>113.17</v>
      </c>
      <c r="I1106" s="27">
        <v>1204.29</v>
      </c>
      <c r="J1106" s="6">
        <v>359</v>
      </c>
      <c r="K1106" s="6">
        <v>66</v>
      </c>
      <c r="L1106" s="27">
        <v>8.7066573816155994</v>
      </c>
      <c r="M1106" s="27">
        <v>18.246818181818181</v>
      </c>
      <c r="N1106" s="34">
        <v>20.686894117647061</v>
      </c>
    </row>
    <row r="1107" spans="1:14" x14ac:dyDescent="0.35">
      <c r="A1107" s="82">
        <v>1104</v>
      </c>
      <c r="B1107" s="89" t="str">
        <f>_xlfn.XLOOKUP(A1107,'Model Modeshare by TAZ'!A:A,'Model Modeshare by TAZ'!B:B)</f>
        <v>San Jose</v>
      </c>
      <c r="C1107" s="90" t="str">
        <f>_xlfn.XLOOKUP(A1107,'Model Modeshare by TAZ'!A:A,'Model Modeshare by TAZ'!D:D)</f>
        <v>NO</v>
      </c>
      <c r="D1107" s="27">
        <v>896.98</v>
      </c>
      <c r="E1107" s="27">
        <v>13249.39</v>
      </c>
      <c r="F1107" s="27">
        <v>743.11</v>
      </c>
      <c r="G1107" s="27">
        <v>4529.6000000000004</v>
      </c>
      <c r="H1107" s="27">
        <v>81.25</v>
      </c>
      <c r="I1107" s="27">
        <v>884.48</v>
      </c>
      <c r="J1107" s="6">
        <v>487</v>
      </c>
      <c r="K1107" s="6">
        <v>46</v>
      </c>
      <c r="L1107" s="27">
        <v>9.3010266940451753</v>
      </c>
      <c r="M1107" s="27">
        <v>19.227826086956522</v>
      </c>
      <c r="N1107" s="34">
        <v>18.500787992495308</v>
      </c>
    </row>
    <row r="1108" spans="1:14" x14ac:dyDescent="0.35">
      <c r="A1108" s="82">
        <v>1105</v>
      </c>
      <c r="B1108" s="89" t="str">
        <f>_xlfn.XLOOKUP(A1108,'Model Modeshare by TAZ'!A:A,'Model Modeshare by TAZ'!B:B)</f>
        <v>San Jose</v>
      </c>
      <c r="C1108" s="90" t="str">
        <f>_xlfn.XLOOKUP(A1108,'Model Modeshare by TAZ'!A:A,'Model Modeshare by TAZ'!D:D)</f>
        <v>NO</v>
      </c>
      <c r="D1108" s="27">
        <v>534.75</v>
      </c>
      <c r="E1108" s="27">
        <v>7513.93</v>
      </c>
      <c r="F1108" s="27">
        <v>634.66</v>
      </c>
      <c r="G1108" s="27">
        <v>3910.47</v>
      </c>
      <c r="H1108" s="27">
        <v>2.84</v>
      </c>
      <c r="I1108" s="27">
        <v>32.03</v>
      </c>
      <c r="J1108" s="6">
        <v>401</v>
      </c>
      <c r="K1108" s="6">
        <v>1</v>
      </c>
      <c r="L1108" s="27">
        <v>9.7517955112219443</v>
      </c>
      <c r="M1108" s="27">
        <v>32.03</v>
      </c>
      <c r="N1108" s="34">
        <v>15.104925373134328</v>
      </c>
    </row>
    <row r="1109" spans="1:14" x14ac:dyDescent="0.35">
      <c r="A1109" s="82">
        <v>1106</v>
      </c>
      <c r="B1109" s="89" t="str">
        <f>_xlfn.XLOOKUP(A1109,'Model Modeshare by TAZ'!A:A,'Model Modeshare by TAZ'!B:B)</f>
        <v>San Jose</v>
      </c>
      <c r="C1109" s="90" t="str">
        <f>_xlfn.XLOOKUP(A1109,'Model Modeshare by TAZ'!A:A,'Model Modeshare by TAZ'!D:D)</f>
        <v>NO</v>
      </c>
      <c r="D1109" s="27">
        <v>665.79</v>
      </c>
      <c r="E1109" s="27">
        <v>10559.47</v>
      </c>
      <c r="F1109" s="27">
        <v>632</v>
      </c>
      <c r="G1109" s="27">
        <v>4091.89</v>
      </c>
      <c r="H1109" s="27">
        <v>39.33</v>
      </c>
      <c r="I1109" s="27">
        <v>428.75</v>
      </c>
      <c r="J1109" s="6">
        <v>391</v>
      </c>
      <c r="K1109" s="6">
        <v>22</v>
      </c>
      <c r="L1109" s="27">
        <v>10.465191815856777</v>
      </c>
      <c r="M1109" s="27">
        <v>19.488636363636363</v>
      </c>
      <c r="N1109" s="34">
        <v>19.773849878934627</v>
      </c>
    </row>
    <row r="1110" spans="1:14" x14ac:dyDescent="0.35">
      <c r="A1110" s="82">
        <v>1107</v>
      </c>
      <c r="B1110" s="89" t="str">
        <f>_xlfn.XLOOKUP(A1110,'Model Modeshare by TAZ'!A:A,'Model Modeshare by TAZ'!B:B)</f>
        <v>San Jose</v>
      </c>
      <c r="C1110" s="90" t="str">
        <f>_xlfn.XLOOKUP(A1110,'Model Modeshare by TAZ'!A:A,'Model Modeshare by TAZ'!D:D)</f>
        <v>NO</v>
      </c>
      <c r="D1110" s="27">
        <v>1573.68</v>
      </c>
      <c r="E1110" s="27">
        <v>25103.15</v>
      </c>
      <c r="F1110" s="27">
        <v>593.92999999999995</v>
      </c>
      <c r="G1110" s="27">
        <v>2821.64</v>
      </c>
      <c r="H1110" s="27">
        <v>588.57000000000005</v>
      </c>
      <c r="I1110" s="27">
        <v>6515.15</v>
      </c>
      <c r="J1110" s="6">
        <v>535</v>
      </c>
      <c r="K1110" s="6">
        <v>583</v>
      </c>
      <c r="L1110" s="27">
        <v>5.2740934579439251</v>
      </c>
      <c r="M1110" s="27">
        <v>11.175214408233275</v>
      </c>
      <c r="N1110" s="34">
        <v>16.69220930232558</v>
      </c>
    </row>
    <row r="1111" spans="1:14" x14ac:dyDescent="0.35">
      <c r="A1111" s="82">
        <v>1108</v>
      </c>
      <c r="B1111" s="89" t="str">
        <f>_xlfn.XLOOKUP(A1111,'Model Modeshare by TAZ'!A:A,'Model Modeshare by TAZ'!B:B)</f>
        <v>San Jose</v>
      </c>
      <c r="C1111" s="90" t="str">
        <f>_xlfn.XLOOKUP(A1111,'Model Modeshare by TAZ'!A:A,'Model Modeshare by TAZ'!D:D)</f>
        <v>NO</v>
      </c>
      <c r="D1111" s="27">
        <v>350.55</v>
      </c>
      <c r="E1111" s="27">
        <v>4031.84</v>
      </c>
      <c r="F1111" s="27">
        <v>819.43</v>
      </c>
      <c r="G1111" s="27">
        <v>4230.29</v>
      </c>
      <c r="H1111" s="27">
        <v>119.13</v>
      </c>
      <c r="I1111" s="27">
        <v>1286.06</v>
      </c>
      <c r="J1111" s="6">
        <v>712</v>
      </c>
      <c r="K1111" s="6">
        <v>71</v>
      </c>
      <c r="L1111" s="27">
        <v>5.9414185393258423</v>
      </c>
      <c r="M1111" s="27">
        <v>18.113521126760563</v>
      </c>
      <c r="N1111" s="34">
        <v>12.206424010217113</v>
      </c>
    </row>
    <row r="1112" spans="1:14" x14ac:dyDescent="0.35">
      <c r="A1112" s="82">
        <v>1109</v>
      </c>
      <c r="B1112" s="89" t="str">
        <f>_xlfn.XLOOKUP(A1112,'Model Modeshare by TAZ'!A:A,'Model Modeshare by TAZ'!B:B)</f>
        <v>San Jose</v>
      </c>
      <c r="C1112" s="90" t="str">
        <f>_xlfn.XLOOKUP(A1112,'Model Modeshare by TAZ'!A:A,'Model Modeshare by TAZ'!D:D)</f>
        <v>NO</v>
      </c>
      <c r="D1112" s="27">
        <v>353.59</v>
      </c>
      <c r="E1112" s="27">
        <v>4363.25</v>
      </c>
      <c r="F1112" s="27">
        <v>289.51</v>
      </c>
      <c r="G1112" s="27">
        <v>1566.37</v>
      </c>
      <c r="H1112" s="27">
        <v>110.67</v>
      </c>
      <c r="I1112" s="27">
        <v>1203.06</v>
      </c>
      <c r="J1112" s="6">
        <v>206</v>
      </c>
      <c r="K1112" s="6">
        <v>99</v>
      </c>
      <c r="L1112" s="27">
        <v>7.6037378640776696</v>
      </c>
      <c r="M1112" s="27">
        <v>12.152121212121212</v>
      </c>
      <c r="N1112" s="34">
        <v>16.472196721311477</v>
      </c>
    </row>
    <row r="1113" spans="1:14" x14ac:dyDescent="0.35">
      <c r="A1113" s="82">
        <v>1110</v>
      </c>
      <c r="B1113" s="89" t="str">
        <f>_xlfn.XLOOKUP(A1113,'Model Modeshare by TAZ'!A:A,'Model Modeshare by TAZ'!B:B)</f>
        <v>San Jose</v>
      </c>
      <c r="C1113" s="90" t="str">
        <f>_xlfn.XLOOKUP(A1113,'Model Modeshare by TAZ'!A:A,'Model Modeshare by TAZ'!D:D)</f>
        <v>NO</v>
      </c>
      <c r="D1113" s="27">
        <v>384.87</v>
      </c>
      <c r="E1113" s="27">
        <v>4343.17</v>
      </c>
      <c r="F1113" s="27">
        <v>309.02999999999997</v>
      </c>
      <c r="G1113" s="27">
        <v>1705.39</v>
      </c>
      <c r="H1113" s="27">
        <v>35.03</v>
      </c>
      <c r="I1113" s="27">
        <v>361.44</v>
      </c>
      <c r="J1113" s="6">
        <v>310</v>
      </c>
      <c r="K1113" s="6">
        <v>20</v>
      </c>
      <c r="L1113" s="27">
        <v>5.5012580645161293</v>
      </c>
      <c r="M1113" s="27">
        <v>18.071999999999999</v>
      </c>
      <c r="N1113" s="34">
        <v>10.611515151515151</v>
      </c>
    </row>
    <row r="1114" spans="1:14" x14ac:dyDescent="0.35">
      <c r="A1114" s="82">
        <v>1111</v>
      </c>
      <c r="B1114" s="89" t="str">
        <f>_xlfn.XLOOKUP(A1114,'Model Modeshare by TAZ'!A:A,'Model Modeshare by TAZ'!B:B)</f>
        <v>San Jose</v>
      </c>
      <c r="C1114" s="90" t="str">
        <f>_xlfn.XLOOKUP(A1114,'Model Modeshare by TAZ'!A:A,'Model Modeshare by TAZ'!D:D)</f>
        <v>NO</v>
      </c>
      <c r="D1114" s="27">
        <v>528.49</v>
      </c>
      <c r="E1114" s="27">
        <v>6664.85</v>
      </c>
      <c r="F1114" s="27">
        <v>617.29999999999995</v>
      </c>
      <c r="G1114" s="27">
        <v>3847.82</v>
      </c>
      <c r="H1114" s="27">
        <v>9.33</v>
      </c>
      <c r="I1114" s="27">
        <v>97.63</v>
      </c>
      <c r="J1114" s="6">
        <v>401</v>
      </c>
      <c r="K1114" s="6">
        <v>5</v>
      </c>
      <c r="L1114" s="27">
        <v>9.5955610972568586</v>
      </c>
      <c r="M1114" s="27">
        <v>19.526</v>
      </c>
      <c r="N1114" s="34">
        <v>14.872733990147783</v>
      </c>
    </row>
    <row r="1115" spans="1:14" x14ac:dyDescent="0.35">
      <c r="A1115" s="82">
        <v>1112</v>
      </c>
      <c r="B1115" s="89" t="str">
        <f>_xlfn.XLOOKUP(A1115,'Model Modeshare by TAZ'!A:A,'Model Modeshare by TAZ'!B:B)</f>
        <v>San Jose</v>
      </c>
      <c r="C1115" s="90" t="str">
        <f>_xlfn.XLOOKUP(A1115,'Model Modeshare by TAZ'!A:A,'Model Modeshare by TAZ'!D:D)</f>
        <v>NO</v>
      </c>
      <c r="D1115" s="27">
        <v>1490.53</v>
      </c>
      <c r="E1115" s="27">
        <v>23704.75</v>
      </c>
      <c r="F1115" s="27">
        <v>1239.75</v>
      </c>
      <c r="G1115" s="27">
        <v>7300.46</v>
      </c>
      <c r="H1115" s="27">
        <v>334.96</v>
      </c>
      <c r="I1115" s="27">
        <v>3685.58</v>
      </c>
      <c r="J1115" s="6">
        <v>1185</v>
      </c>
      <c r="K1115" s="6">
        <v>269</v>
      </c>
      <c r="L1115" s="27">
        <v>6.1607257383966241</v>
      </c>
      <c r="M1115" s="27">
        <v>13.701040892193308</v>
      </c>
      <c r="N1115" s="34">
        <v>16.50819119669876</v>
      </c>
    </row>
    <row r="1116" spans="1:14" x14ac:dyDescent="0.35">
      <c r="A1116" s="82">
        <v>1113</v>
      </c>
      <c r="B1116" s="89" t="str">
        <f>_xlfn.XLOOKUP(A1116,'Model Modeshare by TAZ'!A:A,'Model Modeshare by TAZ'!B:B)</f>
        <v>San Jose</v>
      </c>
      <c r="C1116" s="90" t="str">
        <f>_xlfn.XLOOKUP(A1116,'Model Modeshare by TAZ'!A:A,'Model Modeshare by TAZ'!D:D)</f>
        <v>NO</v>
      </c>
      <c r="D1116" s="27">
        <v>804.69</v>
      </c>
      <c r="E1116" s="27">
        <v>10385.48</v>
      </c>
      <c r="F1116" s="27">
        <v>876.16</v>
      </c>
      <c r="G1116" s="27">
        <v>4583.46</v>
      </c>
      <c r="H1116" s="27">
        <v>46.27</v>
      </c>
      <c r="I1116" s="27">
        <v>514.86</v>
      </c>
      <c r="J1116" s="6">
        <v>780</v>
      </c>
      <c r="K1116" s="6">
        <v>28</v>
      </c>
      <c r="L1116" s="27">
        <v>5.8762307692307694</v>
      </c>
      <c r="M1116" s="27">
        <v>18.387857142857143</v>
      </c>
      <c r="N1116" s="34">
        <v>12.476051980198019</v>
      </c>
    </row>
    <row r="1117" spans="1:14" x14ac:dyDescent="0.35">
      <c r="A1117" s="82">
        <v>1114</v>
      </c>
      <c r="B1117" s="89" t="str">
        <f>_xlfn.XLOOKUP(A1117,'Model Modeshare by TAZ'!A:A,'Model Modeshare by TAZ'!B:B)</f>
        <v>San Jose</v>
      </c>
      <c r="C1117" s="90" t="str">
        <f>_xlfn.XLOOKUP(A1117,'Model Modeshare by TAZ'!A:A,'Model Modeshare by TAZ'!D:D)</f>
        <v>NO</v>
      </c>
      <c r="D1117" s="27">
        <v>582.53</v>
      </c>
      <c r="E1117" s="27">
        <v>8019.29</v>
      </c>
      <c r="F1117" s="27">
        <v>570.37</v>
      </c>
      <c r="G1117" s="27">
        <v>3045.74</v>
      </c>
      <c r="H1117" s="27">
        <v>2.94</v>
      </c>
      <c r="I1117" s="27">
        <v>34.18</v>
      </c>
      <c r="J1117" s="6">
        <v>442</v>
      </c>
      <c r="K1117" s="6">
        <v>1</v>
      </c>
      <c r="L1117" s="27">
        <v>6.8908144796380082</v>
      </c>
      <c r="M1117" s="27">
        <v>34.18</v>
      </c>
      <c r="N1117" s="34">
        <v>11.5358690744921</v>
      </c>
    </row>
    <row r="1118" spans="1:14" x14ac:dyDescent="0.35">
      <c r="A1118" s="82">
        <v>1115</v>
      </c>
      <c r="B1118" s="89" t="str">
        <f>_xlfn.XLOOKUP(A1118,'Model Modeshare by TAZ'!A:A,'Model Modeshare by TAZ'!B:B)</f>
        <v>San Jose</v>
      </c>
      <c r="C1118" s="90" t="str">
        <f>_xlfn.XLOOKUP(A1118,'Model Modeshare by TAZ'!A:A,'Model Modeshare by TAZ'!D:D)</f>
        <v>NO</v>
      </c>
      <c r="D1118" s="27">
        <v>718.36</v>
      </c>
      <c r="E1118" s="27">
        <v>10686.47</v>
      </c>
      <c r="F1118" s="27">
        <v>507.43</v>
      </c>
      <c r="G1118" s="27">
        <v>2938.71</v>
      </c>
      <c r="H1118" s="27">
        <v>129.72</v>
      </c>
      <c r="I1118" s="27">
        <v>1372.39</v>
      </c>
      <c r="J1118" s="6">
        <v>358</v>
      </c>
      <c r="K1118" s="6">
        <v>75</v>
      </c>
      <c r="L1118" s="27">
        <v>8.2086871508379886</v>
      </c>
      <c r="M1118" s="27">
        <v>18.298533333333335</v>
      </c>
      <c r="N1118" s="34">
        <v>18.35189376443418</v>
      </c>
    </row>
    <row r="1119" spans="1:14" x14ac:dyDescent="0.35">
      <c r="A1119" s="82">
        <v>1116</v>
      </c>
      <c r="B1119" s="89" t="str">
        <f>_xlfn.XLOOKUP(A1119,'Model Modeshare by TAZ'!A:A,'Model Modeshare by TAZ'!B:B)</f>
        <v>San Jose</v>
      </c>
      <c r="C1119" s="90" t="str">
        <f>_xlfn.XLOOKUP(A1119,'Model Modeshare by TAZ'!A:A,'Model Modeshare by TAZ'!D:D)</f>
        <v>NO</v>
      </c>
      <c r="D1119" s="27">
        <v>732.25</v>
      </c>
      <c r="E1119" s="27">
        <v>10189.01</v>
      </c>
      <c r="F1119" s="27">
        <v>660.14</v>
      </c>
      <c r="G1119" s="27">
        <v>4009.91</v>
      </c>
      <c r="H1119" s="27">
        <v>34.01</v>
      </c>
      <c r="I1119" s="27">
        <v>358.28</v>
      </c>
      <c r="J1119" s="6">
        <v>454</v>
      </c>
      <c r="K1119" s="6">
        <v>18</v>
      </c>
      <c r="L1119" s="27">
        <v>8.8324008810572678</v>
      </c>
      <c r="M1119" s="27">
        <v>19.904444444444444</v>
      </c>
      <c r="N1119" s="34">
        <v>17.333580508474576</v>
      </c>
    </row>
    <row r="1120" spans="1:14" x14ac:dyDescent="0.35">
      <c r="A1120" s="82">
        <v>1117</v>
      </c>
      <c r="B1120" s="89" t="str">
        <f>_xlfn.XLOOKUP(A1120,'Model Modeshare by TAZ'!A:A,'Model Modeshare by TAZ'!B:B)</f>
        <v>San Jose</v>
      </c>
      <c r="C1120" s="90" t="str">
        <f>_xlfn.XLOOKUP(A1120,'Model Modeshare by TAZ'!A:A,'Model Modeshare by TAZ'!D:D)</f>
        <v>NO</v>
      </c>
      <c r="D1120" s="27">
        <v>565.97</v>
      </c>
      <c r="E1120" s="27">
        <v>7738.2</v>
      </c>
      <c r="F1120" s="27">
        <v>629.41</v>
      </c>
      <c r="G1120" s="27">
        <v>3836.86</v>
      </c>
      <c r="H1120" s="27">
        <v>2.94</v>
      </c>
      <c r="I1120" s="27">
        <v>32.68</v>
      </c>
      <c r="J1120" s="6">
        <v>414</v>
      </c>
      <c r="K1120" s="6">
        <v>1</v>
      </c>
      <c r="L1120" s="27">
        <v>9.2677777777777788</v>
      </c>
      <c r="M1120" s="27">
        <v>32.68</v>
      </c>
      <c r="N1120" s="34">
        <v>14.652265060240962</v>
      </c>
    </row>
    <row r="1121" spans="1:14" x14ac:dyDescent="0.35">
      <c r="A1121" s="82">
        <v>1118</v>
      </c>
      <c r="B1121" s="89" t="str">
        <f>_xlfn.XLOOKUP(A1121,'Model Modeshare by TAZ'!A:A,'Model Modeshare by TAZ'!B:B)</f>
        <v>San Jose</v>
      </c>
      <c r="C1121" s="90" t="str">
        <f>_xlfn.XLOOKUP(A1121,'Model Modeshare by TAZ'!A:A,'Model Modeshare by TAZ'!D:D)</f>
        <v>NO</v>
      </c>
      <c r="D1121" s="27">
        <v>716.14</v>
      </c>
      <c r="E1121" s="27">
        <v>10360.42</v>
      </c>
      <c r="F1121" s="27">
        <v>629.1</v>
      </c>
      <c r="G1121" s="27">
        <v>3788.87</v>
      </c>
      <c r="H1121" s="27">
        <v>14.5</v>
      </c>
      <c r="I1121" s="27">
        <v>160.77000000000001</v>
      </c>
      <c r="J1121" s="6">
        <v>502</v>
      </c>
      <c r="K1121" s="6">
        <v>8</v>
      </c>
      <c r="L1121" s="27">
        <v>7.5475498007968129</v>
      </c>
      <c r="M1121" s="27">
        <v>20.096250000000001</v>
      </c>
      <c r="N1121" s="34">
        <v>15.699098039215686</v>
      </c>
    </row>
    <row r="1122" spans="1:14" x14ac:dyDescent="0.35">
      <c r="A1122" s="82">
        <v>1119</v>
      </c>
      <c r="B1122" s="89" t="str">
        <f>_xlfn.XLOOKUP(A1122,'Model Modeshare by TAZ'!A:A,'Model Modeshare by TAZ'!B:B)</f>
        <v>San Jose</v>
      </c>
      <c r="C1122" s="90" t="str">
        <f>_xlfn.XLOOKUP(A1122,'Model Modeshare by TAZ'!A:A,'Model Modeshare by TAZ'!D:D)</f>
        <v>NO</v>
      </c>
      <c r="D1122" s="27">
        <v>809.83</v>
      </c>
      <c r="E1122" s="27">
        <v>12033.22</v>
      </c>
      <c r="F1122" s="27">
        <v>742.31</v>
      </c>
      <c r="G1122" s="27">
        <v>4618.6499999999996</v>
      </c>
      <c r="H1122" s="27">
        <v>115.73</v>
      </c>
      <c r="I1122" s="27">
        <v>1285.33</v>
      </c>
      <c r="J1122" s="6">
        <v>569</v>
      </c>
      <c r="K1122" s="6">
        <v>68</v>
      </c>
      <c r="L1122" s="27">
        <v>8.1171353251318088</v>
      </c>
      <c r="M1122" s="27">
        <v>18.901911764705883</v>
      </c>
      <c r="N1122" s="34">
        <v>18.445353218210361</v>
      </c>
    </row>
    <row r="1123" spans="1:14" x14ac:dyDescent="0.35">
      <c r="A1123" s="82">
        <v>1120</v>
      </c>
      <c r="B1123" s="89" t="str">
        <f>_xlfn.XLOOKUP(A1123,'Model Modeshare by TAZ'!A:A,'Model Modeshare by TAZ'!B:B)</f>
        <v>San Jose</v>
      </c>
      <c r="C1123" s="90" t="str">
        <f>_xlfn.XLOOKUP(A1123,'Model Modeshare by TAZ'!A:A,'Model Modeshare by TAZ'!D:D)</f>
        <v>NO</v>
      </c>
      <c r="D1123" s="27">
        <v>876.62</v>
      </c>
      <c r="E1123" s="27">
        <v>13497.95</v>
      </c>
      <c r="F1123" s="27">
        <v>826.84</v>
      </c>
      <c r="G1123" s="27">
        <v>5306.27</v>
      </c>
      <c r="H1123" s="27">
        <v>10.31</v>
      </c>
      <c r="I1123" s="27">
        <v>108.33</v>
      </c>
      <c r="J1123" s="6">
        <v>616</v>
      </c>
      <c r="K1123" s="6">
        <v>5</v>
      </c>
      <c r="L1123" s="27">
        <v>8.6140746753246766</v>
      </c>
      <c r="M1123" s="27">
        <v>21.666</v>
      </c>
      <c r="N1123" s="34">
        <v>17.388083735909824</v>
      </c>
    </row>
    <row r="1124" spans="1:14" x14ac:dyDescent="0.35">
      <c r="A1124" s="82">
        <v>1121</v>
      </c>
      <c r="B1124" s="89" t="str">
        <f>_xlfn.XLOOKUP(A1124,'Model Modeshare by TAZ'!A:A,'Model Modeshare by TAZ'!B:B)</f>
        <v>San Jose</v>
      </c>
      <c r="C1124" s="90" t="str">
        <f>_xlfn.XLOOKUP(A1124,'Model Modeshare by TAZ'!A:A,'Model Modeshare by TAZ'!D:D)</f>
        <v>NO</v>
      </c>
      <c r="D1124" s="27">
        <v>472.61</v>
      </c>
      <c r="E1124" s="27">
        <v>6785.75</v>
      </c>
      <c r="F1124" s="27">
        <v>408.13</v>
      </c>
      <c r="G1124" s="27">
        <v>2454.96</v>
      </c>
      <c r="H1124" s="27">
        <v>43.44</v>
      </c>
      <c r="I1124" s="27">
        <v>487.13</v>
      </c>
      <c r="J1124" s="6">
        <v>324</v>
      </c>
      <c r="K1124" s="6">
        <v>27</v>
      </c>
      <c r="L1124" s="27">
        <v>7.5770370370370372</v>
      </c>
      <c r="M1124" s="27">
        <v>18.041851851851852</v>
      </c>
      <c r="N1124" s="34">
        <v>16.357008547008547</v>
      </c>
    </row>
    <row r="1125" spans="1:14" x14ac:dyDescent="0.35">
      <c r="A1125" s="82">
        <v>1122</v>
      </c>
      <c r="B1125" s="89" t="str">
        <f>_xlfn.XLOOKUP(A1125,'Model Modeshare by TAZ'!A:A,'Model Modeshare by TAZ'!B:B)</f>
        <v>San Jose</v>
      </c>
      <c r="C1125" s="90" t="str">
        <f>_xlfn.XLOOKUP(A1125,'Model Modeshare by TAZ'!A:A,'Model Modeshare by TAZ'!D:D)</f>
        <v>NO</v>
      </c>
      <c r="D1125" s="27">
        <v>651.19000000000005</v>
      </c>
      <c r="E1125" s="27">
        <v>9767.01</v>
      </c>
      <c r="F1125" s="27">
        <v>557.71</v>
      </c>
      <c r="G1125" s="27">
        <v>3432.87</v>
      </c>
      <c r="H1125" s="27">
        <v>56.98</v>
      </c>
      <c r="I1125" s="27">
        <v>622.73</v>
      </c>
      <c r="J1125" s="6">
        <v>446</v>
      </c>
      <c r="K1125" s="6">
        <v>33</v>
      </c>
      <c r="L1125" s="27">
        <v>7.6970179372197309</v>
      </c>
      <c r="M1125" s="27">
        <v>18.870606060606061</v>
      </c>
      <c r="N1125" s="34">
        <v>17.070062630480169</v>
      </c>
    </row>
    <row r="1126" spans="1:14" x14ac:dyDescent="0.35">
      <c r="A1126" s="82">
        <v>1123</v>
      </c>
      <c r="B1126" s="89" t="str">
        <f>_xlfn.XLOOKUP(A1126,'Model Modeshare by TAZ'!A:A,'Model Modeshare by TAZ'!B:B)</f>
        <v>San Jose</v>
      </c>
      <c r="C1126" s="90" t="str">
        <f>_xlfn.XLOOKUP(A1126,'Model Modeshare by TAZ'!A:A,'Model Modeshare by TAZ'!D:D)</f>
        <v>NO</v>
      </c>
      <c r="D1126" s="27">
        <v>492</v>
      </c>
      <c r="E1126" s="27">
        <v>7401.1</v>
      </c>
      <c r="F1126" s="27">
        <v>335.69</v>
      </c>
      <c r="G1126" s="27">
        <v>2135.56</v>
      </c>
      <c r="H1126" s="27">
        <v>73.55</v>
      </c>
      <c r="I1126" s="27">
        <v>826.44</v>
      </c>
      <c r="J1126" s="6">
        <v>254</v>
      </c>
      <c r="K1126" s="6">
        <v>51</v>
      </c>
      <c r="L1126" s="27">
        <v>8.407716535433071</v>
      </c>
      <c r="M1126" s="27">
        <v>16.204705882352943</v>
      </c>
      <c r="N1126" s="34">
        <v>19.666754098360656</v>
      </c>
    </row>
    <row r="1127" spans="1:14" x14ac:dyDescent="0.35">
      <c r="A1127" s="82">
        <v>1124</v>
      </c>
      <c r="B1127" s="89" t="str">
        <f>_xlfn.XLOOKUP(A1127,'Model Modeshare by TAZ'!A:A,'Model Modeshare by TAZ'!B:B)</f>
        <v>San Jose</v>
      </c>
      <c r="C1127" s="90" t="str">
        <f>_xlfn.XLOOKUP(A1127,'Model Modeshare by TAZ'!A:A,'Model Modeshare by TAZ'!D:D)</f>
        <v>NO</v>
      </c>
      <c r="D1127" s="27">
        <v>306.45</v>
      </c>
      <c r="E1127" s="27">
        <v>4409.29</v>
      </c>
      <c r="F1127" s="27">
        <v>370.84</v>
      </c>
      <c r="G1127" s="27">
        <v>2298.21</v>
      </c>
      <c r="H1127" s="27">
        <v>0</v>
      </c>
      <c r="I1127" s="27">
        <v>0</v>
      </c>
      <c r="J1127" s="6">
        <v>302</v>
      </c>
      <c r="K1127" s="6">
        <v>0</v>
      </c>
      <c r="L1127" s="27">
        <v>7.6099668874172188</v>
      </c>
      <c r="M1127" s="27">
        <v>0</v>
      </c>
      <c r="N1127" s="34">
        <v>12.977880794701987</v>
      </c>
    </row>
    <row r="1128" spans="1:14" x14ac:dyDescent="0.35">
      <c r="A1128" s="82">
        <v>1125</v>
      </c>
      <c r="B1128" s="89" t="str">
        <f>_xlfn.XLOOKUP(A1128,'Model Modeshare by TAZ'!A:A,'Model Modeshare by TAZ'!B:B)</f>
        <v>San Jose</v>
      </c>
      <c r="C1128" s="90" t="str">
        <f>_xlfn.XLOOKUP(A1128,'Model Modeshare by TAZ'!A:A,'Model Modeshare by TAZ'!D:D)</f>
        <v>NO</v>
      </c>
      <c r="D1128" s="27">
        <v>1853.82</v>
      </c>
      <c r="E1128" s="27">
        <v>30854.78</v>
      </c>
      <c r="F1128" s="27">
        <v>1026.6400000000001</v>
      </c>
      <c r="G1128" s="27">
        <v>6175.86</v>
      </c>
      <c r="H1128" s="27">
        <v>428.59</v>
      </c>
      <c r="I1128" s="27">
        <v>4593.1400000000003</v>
      </c>
      <c r="J1128" s="6">
        <v>886</v>
      </c>
      <c r="K1128" s="6">
        <v>405</v>
      </c>
      <c r="L1128" s="27">
        <v>6.9704966139954854</v>
      </c>
      <c r="M1128" s="27">
        <v>11.341086419753088</v>
      </c>
      <c r="N1128" s="34">
        <v>21.35938807126259</v>
      </c>
    </row>
    <row r="1129" spans="1:14" x14ac:dyDescent="0.35">
      <c r="A1129" s="82">
        <v>1126</v>
      </c>
      <c r="B1129" s="89" t="str">
        <f>_xlfn.XLOOKUP(A1129,'Model Modeshare by TAZ'!A:A,'Model Modeshare by TAZ'!B:B)</f>
        <v>San Jose</v>
      </c>
      <c r="C1129" s="90" t="str">
        <f>_xlfn.XLOOKUP(A1129,'Model Modeshare by TAZ'!A:A,'Model Modeshare by TAZ'!D:D)</f>
        <v>NO</v>
      </c>
      <c r="D1129" s="27">
        <v>1063.5899999999999</v>
      </c>
      <c r="E1129" s="27">
        <v>17148.25</v>
      </c>
      <c r="F1129" s="27">
        <v>723.86</v>
      </c>
      <c r="G1129" s="27">
        <v>4410.9799999999996</v>
      </c>
      <c r="H1129" s="27">
        <v>1203.53</v>
      </c>
      <c r="I1129" s="27">
        <v>13055.03</v>
      </c>
      <c r="J1129" s="6">
        <v>598</v>
      </c>
      <c r="K1129" s="6">
        <v>1183</v>
      </c>
      <c r="L1129" s="27">
        <v>7.3762207357859522</v>
      </c>
      <c r="M1129" s="27">
        <v>11.035528317836011</v>
      </c>
      <c r="N1129" s="34">
        <v>26.959399213924762</v>
      </c>
    </row>
    <row r="1130" spans="1:14" x14ac:dyDescent="0.35">
      <c r="A1130" s="82">
        <v>1127</v>
      </c>
      <c r="B1130" s="89" t="str">
        <f>_xlfn.XLOOKUP(A1130,'Model Modeshare by TAZ'!A:A,'Model Modeshare by TAZ'!B:B)</f>
        <v>San Jose</v>
      </c>
      <c r="C1130" s="90" t="str">
        <f>_xlfn.XLOOKUP(A1130,'Model Modeshare by TAZ'!A:A,'Model Modeshare by TAZ'!D:D)</f>
        <v>NO</v>
      </c>
      <c r="D1130" s="27">
        <v>789.88</v>
      </c>
      <c r="E1130" s="27">
        <v>12258.07</v>
      </c>
      <c r="F1130" s="27">
        <v>586.46</v>
      </c>
      <c r="G1130" s="27">
        <v>3749.75</v>
      </c>
      <c r="H1130" s="27">
        <v>47.38</v>
      </c>
      <c r="I1130" s="27">
        <v>529.5</v>
      </c>
      <c r="J1130" s="6">
        <v>459</v>
      </c>
      <c r="K1130" s="6">
        <v>28</v>
      </c>
      <c r="L1130" s="27">
        <v>8.1693899782135073</v>
      </c>
      <c r="M1130" s="27">
        <v>18.910714285714285</v>
      </c>
      <c r="N1130" s="34">
        <v>20.259322381930186</v>
      </c>
    </row>
    <row r="1131" spans="1:14" x14ac:dyDescent="0.35">
      <c r="A1131" s="82">
        <v>1128</v>
      </c>
      <c r="B1131" s="89" t="str">
        <f>_xlfn.XLOOKUP(A1131,'Model Modeshare by TAZ'!A:A,'Model Modeshare by TAZ'!B:B)</f>
        <v>San Jose</v>
      </c>
      <c r="C1131" s="90" t="str">
        <f>_xlfn.XLOOKUP(A1131,'Model Modeshare by TAZ'!A:A,'Model Modeshare by TAZ'!D:D)</f>
        <v>NO</v>
      </c>
      <c r="D1131" s="27">
        <v>612.65</v>
      </c>
      <c r="E1131" s="27">
        <v>9150.76</v>
      </c>
      <c r="F1131" s="27">
        <v>508.99</v>
      </c>
      <c r="G1131" s="27">
        <v>3261.81</v>
      </c>
      <c r="H1131" s="27">
        <v>7.61</v>
      </c>
      <c r="I1131" s="27">
        <v>85.93</v>
      </c>
      <c r="J1131" s="6">
        <v>415</v>
      </c>
      <c r="K1131" s="6">
        <v>4</v>
      </c>
      <c r="L1131" s="27">
        <v>7.8597831325301204</v>
      </c>
      <c r="M1131" s="27">
        <v>21.482500000000002</v>
      </c>
      <c r="N1131" s="34">
        <v>18.006801909307878</v>
      </c>
    </row>
    <row r="1132" spans="1:14" x14ac:dyDescent="0.35">
      <c r="A1132" s="82">
        <v>1129</v>
      </c>
      <c r="B1132" s="89" t="str">
        <f>_xlfn.XLOOKUP(A1132,'Model Modeshare by TAZ'!A:A,'Model Modeshare by TAZ'!B:B)</f>
        <v>San Jose</v>
      </c>
      <c r="C1132" s="90" t="str">
        <f>_xlfn.XLOOKUP(A1132,'Model Modeshare by TAZ'!A:A,'Model Modeshare by TAZ'!D:D)</f>
        <v>NO</v>
      </c>
      <c r="D1132" s="27">
        <v>1630.44</v>
      </c>
      <c r="E1132" s="27">
        <v>27280.959999999999</v>
      </c>
      <c r="F1132" s="27">
        <v>857.34</v>
      </c>
      <c r="G1132" s="27">
        <v>5452.27</v>
      </c>
      <c r="H1132" s="27">
        <v>248.21</v>
      </c>
      <c r="I1132" s="27">
        <v>2724.69</v>
      </c>
      <c r="J1132" s="6">
        <v>741</v>
      </c>
      <c r="K1132" s="6">
        <v>183</v>
      </c>
      <c r="L1132" s="27">
        <v>7.3579892037786783</v>
      </c>
      <c r="M1132" s="27">
        <v>14.889016393442624</v>
      </c>
      <c r="N1132" s="34">
        <v>24.697586580086579</v>
      </c>
    </row>
    <row r="1133" spans="1:14" x14ac:dyDescent="0.35">
      <c r="A1133" s="82">
        <v>1130</v>
      </c>
      <c r="B1133" s="89" t="str">
        <f>_xlfn.XLOOKUP(A1133,'Model Modeshare by TAZ'!A:A,'Model Modeshare by TAZ'!B:B)</f>
        <v>San Jose</v>
      </c>
      <c r="C1133" s="90" t="str">
        <f>_xlfn.XLOOKUP(A1133,'Model Modeshare by TAZ'!A:A,'Model Modeshare by TAZ'!D:D)</f>
        <v>NO</v>
      </c>
      <c r="D1133" s="27">
        <v>1464.98</v>
      </c>
      <c r="E1133" s="27">
        <v>24084.01</v>
      </c>
      <c r="F1133" s="27">
        <v>816.56</v>
      </c>
      <c r="G1133" s="27">
        <v>5343.45</v>
      </c>
      <c r="H1133" s="27">
        <v>110.57</v>
      </c>
      <c r="I1133" s="27">
        <v>1275.8800000000001</v>
      </c>
      <c r="J1133" s="6">
        <v>713</v>
      </c>
      <c r="K1133" s="6">
        <v>65</v>
      </c>
      <c r="L1133" s="27">
        <v>7.4943197755960727</v>
      </c>
      <c r="M1133" s="27">
        <v>19.62892307692308</v>
      </c>
      <c r="N1133" s="34">
        <v>24.059524421593832</v>
      </c>
    </row>
    <row r="1134" spans="1:14" x14ac:dyDescent="0.35">
      <c r="A1134" s="82">
        <v>1131</v>
      </c>
      <c r="B1134" s="89" t="str">
        <f>_xlfn.XLOOKUP(A1134,'Model Modeshare by TAZ'!A:A,'Model Modeshare by TAZ'!B:B)</f>
        <v>San Jose</v>
      </c>
      <c r="C1134" s="90" t="str">
        <f>_xlfn.XLOOKUP(A1134,'Model Modeshare by TAZ'!A:A,'Model Modeshare by TAZ'!D:D)</f>
        <v>NO</v>
      </c>
      <c r="D1134" s="27">
        <v>801.84</v>
      </c>
      <c r="E1134" s="27">
        <v>14130.44</v>
      </c>
      <c r="F1134" s="27">
        <v>409.4</v>
      </c>
      <c r="G1134" s="27">
        <v>2682.63</v>
      </c>
      <c r="H1134" s="27">
        <v>195.6</v>
      </c>
      <c r="I1134" s="27">
        <v>2253.66</v>
      </c>
      <c r="J1134" s="6">
        <v>358</v>
      </c>
      <c r="K1134" s="6">
        <v>186</v>
      </c>
      <c r="L1134" s="27">
        <v>7.4933798882681568</v>
      </c>
      <c r="M1134" s="27">
        <v>12.116451612903225</v>
      </c>
      <c r="N1134" s="34">
        <v>25.940845588235295</v>
      </c>
    </row>
    <row r="1135" spans="1:14" x14ac:dyDescent="0.35">
      <c r="A1135" s="82">
        <v>1132</v>
      </c>
      <c r="B1135" s="89" t="str">
        <f>_xlfn.XLOOKUP(A1135,'Model Modeshare by TAZ'!A:A,'Model Modeshare by TAZ'!B:B)</f>
        <v>San Jose</v>
      </c>
      <c r="C1135" s="90" t="str">
        <f>_xlfn.XLOOKUP(A1135,'Model Modeshare by TAZ'!A:A,'Model Modeshare by TAZ'!D:D)</f>
        <v>NO</v>
      </c>
      <c r="D1135" s="27">
        <v>2267.94</v>
      </c>
      <c r="E1135" s="27">
        <v>39285.120000000003</v>
      </c>
      <c r="F1135" s="27">
        <v>1053.21</v>
      </c>
      <c r="G1135" s="27">
        <v>6962.31</v>
      </c>
      <c r="H1135" s="27">
        <v>610.74</v>
      </c>
      <c r="I1135" s="27">
        <v>6760.61</v>
      </c>
      <c r="J1135" s="6">
        <v>1033</v>
      </c>
      <c r="K1135" s="6">
        <v>599</v>
      </c>
      <c r="L1135" s="27">
        <v>6.7398935140367868</v>
      </c>
      <c r="M1135" s="27">
        <v>11.286494156928214</v>
      </c>
      <c r="N1135" s="34">
        <v>30.321207107843136</v>
      </c>
    </row>
    <row r="1136" spans="1:14" x14ac:dyDescent="0.35">
      <c r="A1136" s="82">
        <v>1133</v>
      </c>
      <c r="B1136" s="89" t="str">
        <f>_xlfn.XLOOKUP(A1136,'Model Modeshare by TAZ'!A:A,'Model Modeshare by TAZ'!B:B)</f>
        <v>San Jose</v>
      </c>
      <c r="C1136" s="90" t="str">
        <f>_xlfn.XLOOKUP(A1136,'Model Modeshare by TAZ'!A:A,'Model Modeshare by TAZ'!D:D)</f>
        <v>NO</v>
      </c>
      <c r="D1136" s="27">
        <v>1273.21</v>
      </c>
      <c r="E1136" s="27">
        <v>23466.66</v>
      </c>
      <c r="F1136" s="27">
        <v>697.26</v>
      </c>
      <c r="G1136" s="27">
        <v>4643.72</v>
      </c>
      <c r="H1136" s="27">
        <v>155.38</v>
      </c>
      <c r="I1136" s="27">
        <v>1806.5</v>
      </c>
      <c r="J1136" s="6">
        <v>621</v>
      </c>
      <c r="K1136" s="6">
        <v>93</v>
      </c>
      <c r="L1136" s="27">
        <v>7.4778099838969405</v>
      </c>
      <c r="M1136" s="27">
        <v>19.4247311827957</v>
      </c>
      <c r="N1136" s="34">
        <v>22.353179271708683</v>
      </c>
    </row>
    <row r="1137" spans="1:14" x14ac:dyDescent="0.35">
      <c r="A1137" s="82">
        <v>1134</v>
      </c>
      <c r="B1137" s="89" t="str">
        <f>_xlfn.XLOOKUP(A1137,'Model Modeshare by TAZ'!A:A,'Model Modeshare by TAZ'!B:B)</f>
        <v>San Jose</v>
      </c>
      <c r="C1137" s="90" t="str">
        <f>_xlfn.XLOOKUP(A1137,'Model Modeshare by TAZ'!A:A,'Model Modeshare by TAZ'!D:D)</f>
        <v>NO</v>
      </c>
      <c r="D1137" s="27">
        <v>1494.58</v>
      </c>
      <c r="E1137" s="27">
        <v>27268.5</v>
      </c>
      <c r="F1137" s="27">
        <v>881.08</v>
      </c>
      <c r="G1137" s="27">
        <v>6112</v>
      </c>
      <c r="H1137" s="27">
        <v>295.94</v>
      </c>
      <c r="I1137" s="27">
        <v>3396.84</v>
      </c>
      <c r="J1137" s="6">
        <v>939</v>
      </c>
      <c r="K1137" s="6">
        <v>185</v>
      </c>
      <c r="L1137" s="27">
        <v>6.5090521831735888</v>
      </c>
      <c r="M1137" s="27">
        <v>18.361297297297298</v>
      </c>
      <c r="N1137" s="34">
        <v>24.895729537366549</v>
      </c>
    </row>
    <row r="1138" spans="1:14" x14ac:dyDescent="0.35">
      <c r="A1138" s="82">
        <v>1135</v>
      </c>
      <c r="B1138" s="89" t="str">
        <f>_xlfn.XLOOKUP(A1138,'Model Modeshare by TAZ'!A:A,'Model Modeshare by TAZ'!B:B)</f>
        <v>San Jose</v>
      </c>
      <c r="C1138" s="90" t="str">
        <f>_xlfn.XLOOKUP(A1138,'Model Modeshare by TAZ'!A:A,'Model Modeshare by TAZ'!D:D)</f>
        <v>NO</v>
      </c>
      <c r="D1138" s="27">
        <v>3490.14</v>
      </c>
      <c r="E1138" s="27">
        <v>68406.52</v>
      </c>
      <c r="F1138" s="27">
        <v>534.01</v>
      </c>
      <c r="G1138" s="27">
        <v>3705.58</v>
      </c>
      <c r="H1138" s="27">
        <v>1977.01</v>
      </c>
      <c r="I1138" s="27">
        <v>23633.38</v>
      </c>
      <c r="J1138" s="6">
        <v>765</v>
      </c>
      <c r="K1138" s="6">
        <v>2601</v>
      </c>
      <c r="L1138" s="27">
        <v>4.8438954248366013</v>
      </c>
      <c r="M1138" s="27">
        <v>9.0862668204536714</v>
      </c>
      <c r="N1138" s="34">
        <v>39.248357100415923</v>
      </c>
    </row>
    <row r="1139" spans="1:14" x14ac:dyDescent="0.35">
      <c r="A1139" s="82">
        <v>1136</v>
      </c>
      <c r="B1139" s="89" t="str">
        <f>_xlfn.XLOOKUP(A1139,'Model Modeshare by TAZ'!A:A,'Model Modeshare by TAZ'!B:B)</f>
        <v>San Jose</v>
      </c>
      <c r="C1139" s="90" t="str">
        <f>_xlfn.XLOOKUP(A1139,'Model Modeshare by TAZ'!A:A,'Model Modeshare by TAZ'!D:D)</f>
        <v>NO</v>
      </c>
      <c r="D1139" s="27">
        <v>1207.05</v>
      </c>
      <c r="E1139" s="27">
        <v>20944.03</v>
      </c>
      <c r="F1139" s="27">
        <v>444.31</v>
      </c>
      <c r="G1139" s="27">
        <v>2900.07</v>
      </c>
      <c r="H1139" s="27">
        <v>187.01</v>
      </c>
      <c r="I1139" s="27">
        <v>2100</v>
      </c>
      <c r="J1139" s="6">
        <v>389</v>
      </c>
      <c r="K1139" s="6">
        <v>166</v>
      </c>
      <c r="L1139" s="27">
        <v>7.4551928020565557</v>
      </c>
      <c r="M1139" s="27">
        <v>12.650602409638553</v>
      </c>
      <c r="N1139" s="34">
        <v>24.539873873873873</v>
      </c>
    </row>
    <row r="1140" spans="1:14" x14ac:dyDescent="0.35">
      <c r="A1140" s="82">
        <v>1137</v>
      </c>
      <c r="B1140" s="89" t="str">
        <f>_xlfn.XLOOKUP(A1140,'Model Modeshare by TAZ'!A:A,'Model Modeshare by TAZ'!B:B)</f>
        <v>San Jose</v>
      </c>
      <c r="C1140" s="90" t="str">
        <f>_xlfn.XLOOKUP(A1140,'Model Modeshare by TAZ'!A:A,'Model Modeshare by TAZ'!D:D)</f>
        <v>NO</v>
      </c>
      <c r="D1140" s="27">
        <v>1165.17</v>
      </c>
      <c r="E1140" s="27">
        <v>19756.849999999999</v>
      </c>
      <c r="F1140" s="27">
        <v>1182.95</v>
      </c>
      <c r="G1140" s="27">
        <v>8013.43</v>
      </c>
      <c r="H1140" s="27">
        <v>314.64999999999998</v>
      </c>
      <c r="I1140" s="27">
        <v>3514.65</v>
      </c>
      <c r="J1140" s="6">
        <v>1002</v>
      </c>
      <c r="K1140" s="6">
        <v>180</v>
      </c>
      <c r="L1140" s="27">
        <v>7.9974351297405191</v>
      </c>
      <c r="M1140" s="27">
        <v>19.525833333333335</v>
      </c>
      <c r="N1140" s="34">
        <v>19.513604060913707</v>
      </c>
    </row>
    <row r="1141" spans="1:14" x14ac:dyDescent="0.35">
      <c r="A1141" s="82">
        <v>1138</v>
      </c>
      <c r="B1141" s="89" t="str">
        <f>_xlfn.XLOOKUP(A1141,'Model Modeshare by TAZ'!A:A,'Model Modeshare by TAZ'!B:B)</f>
        <v>San Jose</v>
      </c>
      <c r="C1141" s="90" t="str">
        <f>_xlfn.XLOOKUP(A1141,'Model Modeshare by TAZ'!A:A,'Model Modeshare by TAZ'!D:D)</f>
        <v>NO</v>
      </c>
      <c r="D1141" s="27">
        <v>2246.73</v>
      </c>
      <c r="E1141" s="27">
        <v>37458.720000000001</v>
      </c>
      <c r="F1141" s="27">
        <v>1765.32</v>
      </c>
      <c r="G1141" s="27">
        <v>11478.03</v>
      </c>
      <c r="H1141" s="27">
        <v>587.89</v>
      </c>
      <c r="I1141" s="27">
        <v>6498.26</v>
      </c>
      <c r="J1141" s="6">
        <v>1281</v>
      </c>
      <c r="K1141" s="6">
        <v>508</v>
      </c>
      <c r="L1141" s="27">
        <v>8.9602107728337241</v>
      </c>
      <c r="M1141" s="27">
        <v>12.791850393700788</v>
      </c>
      <c r="N1141" s="34">
        <v>25.178183342649522</v>
      </c>
    </row>
    <row r="1142" spans="1:14" x14ac:dyDescent="0.35">
      <c r="A1142" s="82">
        <v>1139</v>
      </c>
      <c r="B1142" s="89" t="str">
        <f>_xlfn.XLOOKUP(A1142,'Model Modeshare by TAZ'!A:A,'Model Modeshare by TAZ'!B:B)</f>
        <v>San Jose</v>
      </c>
      <c r="C1142" s="90" t="str">
        <f>_xlfn.XLOOKUP(A1142,'Model Modeshare by TAZ'!A:A,'Model Modeshare by TAZ'!D:D)</f>
        <v>NO</v>
      </c>
      <c r="D1142" s="27">
        <v>1546.81</v>
      </c>
      <c r="E1142" s="27">
        <v>25447.98</v>
      </c>
      <c r="F1142" s="27">
        <v>1393.3</v>
      </c>
      <c r="G1142" s="27">
        <v>9498.9699999999993</v>
      </c>
      <c r="H1142" s="27">
        <v>162.47999999999999</v>
      </c>
      <c r="I1142" s="27">
        <v>1828.96</v>
      </c>
      <c r="J1142" s="6">
        <v>969</v>
      </c>
      <c r="K1142" s="6">
        <v>90</v>
      </c>
      <c r="L1142" s="27">
        <v>9.8028586171310614</v>
      </c>
      <c r="M1142" s="27">
        <v>20.321777777777779</v>
      </c>
      <c r="N1142" s="34">
        <v>21.650226628895183</v>
      </c>
    </row>
    <row r="1143" spans="1:14" x14ac:dyDescent="0.35">
      <c r="A1143" s="82">
        <v>1140</v>
      </c>
      <c r="B1143" s="89" t="str">
        <f>_xlfn.XLOOKUP(A1143,'Model Modeshare by TAZ'!A:A,'Model Modeshare by TAZ'!B:B)</f>
        <v>San Jose</v>
      </c>
      <c r="C1143" s="90" t="str">
        <f>_xlfn.XLOOKUP(A1143,'Model Modeshare by TAZ'!A:A,'Model Modeshare by TAZ'!D:D)</f>
        <v>NO</v>
      </c>
      <c r="D1143" s="27">
        <v>611.73</v>
      </c>
      <c r="E1143" s="27">
        <v>9924.5400000000009</v>
      </c>
      <c r="F1143" s="27">
        <v>768.4</v>
      </c>
      <c r="G1143" s="27">
        <v>5434.42</v>
      </c>
      <c r="H1143" s="27">
        <v>0</v>
      </c>
      <c r="I1143" s="27">
        <v>0</v>
      </c>
      <c r="J1143" s="6">
        <v>514</v>
      </c>
      <c r="K1143" s="6">
        <v>0</v>
      </c>
      <c r="L1143" s="27">
        <v>10.572801556420234</v>
      </c>
      <c r="M1143" s="27">
        <v>0</v>
      </c>
      <c r="N1143" s="34">
        <v>17.378560311284048</v>
      </c>
    </row>
    <row r="1144" spans="1:14" x14ac:dyDescent="0.35">
      <c r="A1144" s="82">
        <v>1141</v>
      </c>
      <c r="B1144" s="89" t="str">
        <f>_xlfn.XLOOKUP(A1144,'Model Modeshare by TAZ'!A:A,'Model Modeshare by TAZ'!B:B)</f>
        <v>San Jose</v>
      </c>
      <c r="C1144" s="90" t="str">
        <f>_xlfn.XLOOKUP(A1144,'Model Modeshare by TAZ'!A:A,'Model Modeshare by TAZ'!D:D)</f>
        <v>NO</v>
      </c>
      <c r="D1144" s="27">
        <v>5410.39</v>
      </c>
      <c r="E1144" s="27">
        <v>123666.43</v>
      </c>
      <c r="F1144" s="27">
        <v>1440.64</v>
      </c>
      <c r="G1144" s="27">
        <v>11673.47</v>
      </c>
      <c r="H1144" s="27">
        <v>696.95</v>
      </c>
      <c r="I1144" s="27">
        <v>8410.02</v>
      </c>
      <c r="J1144" s="6">
        <v>2773</v>
      </c>
      <c r="K1144" s="6">
        <v>681</v>
      </c>
      <c r="L1144" s="27">
        <v>4.2096898665705007</v>
      </c>
      <c r="M1144" s="27">
        <v>12.349515418502204</v>
      </c>
      <c r="N1144" s="34">
        <v>17.250263462651997</v>
      </c>
    </row>
    <row r="1145" spans="1:14" x14ac:dyDescent="0.35">
      <c r="A1145" s="82">
        <v>1142</v>
      </c>
      <c r="B1145" s="89" t="str">
        <f>_xlfn.XLOOKUP(A1145,'Model Modeshare by TAZ'!A:A,'Model Modeshare by TAZ'!B:B)</f>
        <v>San Jose</v>
      </c>
      <c r="C1145" s="90" t="str">
        <f>_xlfn.XLOOKUP(A1145,'Model Modeshare by TAZ'!A:A,'Model Modeshare by TAZ'!D:D)</f>
        <v>NO</v>
      </c>
      <c r="D1145" s="27">
        <v>18359.34</v>
      </c>
      <c r="E1145" s="27">
        <v>375832.42</v>
      </c>
      <c r="F1145" s="27">
        <v>0</v>
      </c>
      <c r="G1145" s="27">
        <v>0</v>
      </c>
      <c r="H1145" s="27">
        <v>2536.9499999999998</v>
      </c>
      <c r="I1145" s="27">
        <v>30529.45</v>
      </c>
      <c r="J1145" s="6">
        <v>36</v>
      </c>
      <c r="K1145" s="6">
        <v>2631</v>
      </c>
      <c r="L1145" s="27">
        <v>0</v>
      </c>
      <c r="M1145" s="27">
        <v>11.603743823641201</v>
      </c>
      <c r="N1145" s="34">
        <v>173.63210723659543</v>
      </c>
    </row>
    <row r="1146" spans="1:14" x14ac:dyDescent="0.35">
      <c r="A1146" s="82">
        <v>1143</v>
      </c>
      <c r="B1146" s="89" t="str">
        <f>_xlfn.XLOOKUP(A1146,'Model Modeshare by TAZ'!A:A,'Model Modeshare by TAZ'!B:B)</f>
        <v>San Jose</v>
      </c>
      <c r="C1146" s="90" t="str">
        <f>_xlfn.XLOOKUP(A1146,'Model Modeshare by TAZ'!A:A,'Model Modeshare by TAZ'!D:D)</f>
        <v>NO</v>
      </c>
      <c r="D1146" s="27">
        <v>2238.2199999999998</v>
      </c>
      <c r="E1146" s="27">
        <v>43815.23</v>
      </c>
      <c r="F1146" s="27">
        <v>83.47</v>
      </c>
      <c r="G1146" s="27">
        <v>617.79999999999995</v>
      </c>
      <c r="H1146" s="27">
        <v>229.57</v>
      </c>
      <c r="I1146" s="27">
        <v>2793.75</v>
      </c>
      <c r="J1146" s="6">
        <v>896</v>
      </c>
      <c r="K1146" s="6">
        <v>218</v>
      </c>
      <c r="L1146" s="27">
        <v>0.68950892857142854</v>
      </c>
      <c r="M1146" s="27">
        <v>12.815366972477063</v>
      </c>
      <c r="N1146" s="34">
        <v>60.17376122082586</v>
      </c>
    </row>
    <row r="1147" spans="1:14" x14ac:dyDescent="0.35">
      <c r="A1147" s="82">
        <v>1144</v>
      </c>
      <c r="B1147" s="89" t="str">
        <f>_xlfn.XLOOKUP(A1147,'Model Modeshare by TAZ'!A:A,'Model Modeshare by TAZ'!B:B)</f>
        <v>San Jose</v>
      </c>
      <c r="C1147" s="90" t="str">
        <f>_xlfn.XLOOKUP(A1147,'Model Modeshare by TAZ'!A:A,'Model Modeshare by TAZ'!D:D)</f>
        <v>NO</v>
      </c>
      <c r="D1147" s="27">
        <v>2073.73</v>
      </c>
      <c r="E1147" s="27">
        <v>35803.39</v>
      </c>
      <c r="F1147" s="27">
        <v>1080.1099999999999</v>
      </c>
      <c r="G1147" s="27">
        <v>8650.2199999999993</v>
      </c>
      <c r="H1147" s="27">
        <v>419.35</v>
      </c>
      <c r="I1147" s="27">
        <v>4981.46</v>
      </c>
      <c r="J1147" s="6">
        <v>1449</v>
      </c>
      <c r="K1147" s="6">
        <v>264</v>
      </c>
      <c r="L1147" s="27">
        <v>5.9697860593512759</v>
      </c>
      <c r="M1147" s="27">
        <v>18.869166666666668</v>
      </c>
      <c r="N1147" s="34">
        <v>18.647034442498541</v>
      </c>
    </row>
    <row r="1148" spans="1:14" x14ac:dyDescent="0.35">
      <c r="A1148" s="82">
        <v>1145</v>
      </c>
      <c r="B1148" s="89" t="str">
        <f>_xlfn.XLOOKUP(A1148,'Model Modeshare by TAZ'!A:A,'Model Modeshare by TAZ'!B:B)</f>
        <v>San Jose</v>
      </c>
      <c r="C1148" s="90" t="str">
        <f>_xlfn.XLOOKUP(A1148,'Model Modeshare by TAZ'!A:A,'Model Modeshare by TAZ'!D:D)</f>
        <v>NO</v>
      </c>
      <c r="D1148" s="27">
        <v>1357.12</v>
      </c>
      <c r="E1148" s="27">
        <v>23146.01</v>
      </c>
      <c r="F1148" s="27">
        <v>916.83</v>
      </c>
      <c r="G1148" s="27">
        <v>7190.28</v>
      </c>
      <c r="H1148" s="27">
        <v>225.69</v>
      </c>
      <c r="I1148" s="27">
        <v>2721.32</v>
      </c>
      <c r="J1148" s="6">
        <v>1091</v>
      </c>
      <c r="K1148" s="6">
        <v>143</v>
      </c>
      <c r="L1148" s="27">
        <v>6.5905407882676439</v>
      </c>
      <c r="M1148" s="27">
        <v>19.030209790209792</v>
      </c>
      <c r="N1148" s="34">
        <v>18.592204213938412</v>
      </c>
    </row>
    <row r="1149" spans="1:14" x14ac:dyDescent="0.35">
      <c r="A1149" s="82">
        <v>1146</v>
      </c>
      <c r="B1149" s="89" t="str">
        <f>_xlfn.XLOOKUP(A1149,'Model Modeshare by TAZ'!A:A,'Model Modeshare by TAZ'!B:B)</f>
        <v>San Jose</v>
      </c>
      <c r="C1149" s="90" t="str">
        <f>_xlfn.XLOOKUP(A1149,'Model Modeshare by TAZ'!A:A,'Model Modeshare by TAZ'!D:D)</f>
        <v>NO</v>
      </c>
      <c r="D1149" s="27">
        <v>3508.4</v>
      </c>
      <c r="E1149" s="27">
        <v>79814.78</v>
      </c>
      <c r="F1149" s="27">
        <v>990.5</v>
      </c>
      <c r="G1149" s="27">
        <v>7857.2</v>
      </c>
      <c r="H1149" s="27">
        <v>522.16</v>
      </c>
      <c r="I1149" s="27">
        <v>6364.75</v>
      </c>
      <c r="J1149" s="6">
        <v>908</v>
      </c>
      <c r="K1149" s="6">
        <v>567</v>
      </c>
      <c r="L1149" s="27">
        <v>8.6533039647577095</v>
      </c>
      <c r="M1149" s="27">
        <v>11.225308641975309</v>
      </c>
      <c r="N1149" s="34">
        <v>36.581464406779666</v>
      </c>
    </row>
    <row r="1150" spans="1:14" x14ac:dyDescent="0.35">
      <c r="A1150" s="82">
        <v>1147</v>
      </c>
      <c r="B1150" s="89" t="str">
        <f>_xlfn.XLOOKUP(A1150,'Model Modeshare by TAZ'!A:A,'Model Modeshare by TAZ'!B:B)</f>
        <v>San Jose</v>
      </c>
      <c r="C1150" s="90" t="str">
        <f>_xlfn.XLOOKUP(A1150,'Model Modeshare by TAZ'!A:A,'Model Modeshare by TAZ'!D:D)</f>
        <v>NO</v>
      </c>
      <c r="D1150" s="27">
        <v>2692.18</v>
      </c>
      <c r="E1150" s="27">
        <v>57167.72</v>
      </c>
      <c r="F1150" s="27">
        <v>1767.98</v>
      </c>
      <c r="G1150" s="27">
        <v>13671.19</v>
      </c>
      <c r="H1150" s="27">
        <v>2267.63</v>
      </c>
      <c r="I1150" s="27">
        <v>27530.47</v>
      </c>
      <c r="J1150" s="6">
        <v>1414</v>
      </c>
      <c r="K1150" s="6">
        <v>2558</v>
      </c>
      <c r="L1150" s="27">
        <v>9.6684512022630837</v>
      </c>
      <c r="M1150" s="27">
        <v>10.762498045347929</v>
      </c>
      <c r="N1150" s="34">
        <v>35.313353474320245</v>
      </c>
    </row>
    <row r="1151" spans="1:14" x14ac:dyDescent="0.35">
      <c r="A1151" s="82">
        <v>1148</v>
      </c>
      <c r="B1151" s="89" t="str">
        <f>_xlfn.XLOOKUP(A1151,'Model Modeshare by TAZ'!A:A,'Model Modeshare by TAZ'!B:B)</f>
        <v>San Jose</v>
      </c>
      <c r="C1151" s="90" t="str">
        <f>_xlfn.XLOOKUP(A1151,'Model Modeshare by TAZ'!A:A,'Model Modeshare by TAZ'!D:D)</f>
        <v>NO</v>
      </c>
      <c r="D1151" s="27">
        <v>990.35</v>
      </c>
      <c r="E1151" s="27">
        <v>19686.12</v>
      </c>
      <c r="F1151" s="27">
        <v>679.3</v>
      </c>
      <c r="G1151" s="27">
        <v>4989.05</v>
      </c>
      <c r="H1151" s="27">
        <v>218.97</v>
      </c>
      <c r="I1151" s="27">
        <v>2590.36</v>
      </c>
      <c r="J1151" s="6">
        <v>497</v>
      </c>
      <c r="K1151" s="6">
        <v>176</v>
      </c>
      <c r="L1151" s="27">
        <v>10.038329979879276</v>
      </c>
      <c r="M1151" s="27">
        <v>14.717954545454546</v>
      </c>
      <c r="N1151" s="34">
        <v>33.142942050520062</v>
      </c>
    </row>
    <row r="1152" spans="1:14" x14ac:dyDescent="0.35">
      <c r="A1152" s="82">
        <v>1149</v>
      </c>
      <c r="B1152" s="89" t="str">
        <f>_xlfn.XLOOKUP(A1152,'Model Modeshare by TAZ'!A:A,'Model Modeshare by TAZ'!B:B)</f>
        <v>San Jose</v>
      </c>
      <c r="C1152" s="90" t="str">
        <f>_xlfn.XLOOKUP(A1152,'Model Modeshare by TAZ'!A:A,'Model Modeshare by TAZ'!D:D)</f>
        <v>NO</v>
      </c>
      <c r="D1152" s="27">
        <v>1580.89</v>
      </c>
      <c r="E1152" s="27">
        <v>31673.72</v>
      </c>
      <c r="F1152" s="27">
        <v>1378.69</v>
      </c>
      <c r="G1152" s="27">
        <v>10788.08</v>
      </c>
      <c r="H1152" s="27">
        <v>1027.23</v>
      </c>
      <c r="I1152" s="27">
        <v>12635.41</v>
      </c>
      <c r="J1152" s="6">
        <v>1225</v>
      </c>
      <c r="K1152" s="6">
        <v>1136</v>
      </c>
      <c r="L1152" s="27">
        <v>8.8065959183673463</v>
      </c>
      <c r="M1152" s="27">
        <v>11.122720070422535</v>
      </c>
      <c r="N1152" s="34">
        <v>28.152723422278697</v>
      </c>
    </row>
    <row r="1153" spans="1:14" x14ac:dyDescent="0.35">
      <c r="A1153" s="82">
        <v>1150</v>
      </c>
      <c r="B1153" s="89" t="str">
        <f>_xlfn.XLOOKUP(A1153,'Model Modeshare by TAZ'!A:A,'Model Modeshare by TAZ'!B:B)</f>
        <v>San Jose</v>
      </c>
      <c r="C1153" s="90" t="str">
        <f>_xlfn.XLOOKUP(A1153,'Model Modeshare by TAZ'!A:A,'Model Modeshare by TAZ'!D:D)</f>
        <v>NO</v>
      </c>
      <c r="D1153" s="27">
        <v>2683.38</v>
      </c>
      <c r="E1153" s="27">
        <v>30193.32</v>
      </c>
      <c r="F1153" s="27">
        <v>2244.27</v>
      </c>
      <c r="G1153" s="27">
        <v>10036.620000000001</v>
      </c>
      <c r="H1153" s="27">
        <v>629.92999999999995</v>
      </c>
      <c r="I1153" s="27">
        <v>6643.06</v>
      </c>
      <c r="J1153" s="6">
        <v>2124</v>
      </c>
      <c r="K1153" s="6">
        <v>569</v>
      </c>
      <c r="L1153" s="27">
        <v>4.7253389830508477</v>
      </c>
      <c r="M1153" s="27">
        <v>11.674973637961337</v>
      </c>
      <c r="N1153" s="34">
        <v>12.161206832528778</v>
      </c>
    </row>
    <row r="1154" spans="1:14" x14ac:dyDescent="0.35">
      <c r="A1154" s="82">
        <v>1151</v>
      </c>
      <c r="B1154" s="89" t="str">
        <f>_xlfn.XLOOKUP(A1154,'Model Modeshare by TAZ'!A:A,'Model Modeshare by TAZ'!B:B)</f>
        <v>San Jose</v>
      </c>
      <c r="C1154" s="90" t="str">
        <f>_xlfn.XLOOKUP(A1154,'Model Modeshare by TAZ'!A:A,'Model Modeshare by TAZ'!D:D)</f>
        <v>NO</v>
      </c>
      <c r="D1154" s="27">
        <v>4135.82</v>
      </c>
      <c r="E1154" s="27">
        <v>43813.99</v>
      </c>
      <c r="F1154" s="27">
        <v>1248.1400000000001</v>
      </c>
      <c r="G1154" s="27">
        <v>5061.32</v>
      </c>
      <c r="H1154" s="27">
        <v>1647.19</v>
      </c>
      <c r="I1154" s="27">
        <v>16777.43</v>
      </c>
      <c r="J1154" s="6">
        <v>1258</v>
      </c>
      <c r="K1154" s="6">
        <v>1618</v>
      </c>
      <c r="L1154" s="27">
        <v>4.0233068362480129</v>
      </c>
      <c r="M1154" s="27">
        <v>10.369239802224969</v>
      </c>
      <c r="N1154" s="34">
        <v>17.615497218358833</v>
      </c>
    </row>
    <row r="1155" spans="1:14" x14ac:dyDescent="0.35">
      <c r="A1155" s="82">
        <v>1152</v>
      </c>
      <c r="B1155" s="89" t="str">
        <f>_xlfn.XLOOKUP(A1155,'Model Modeshare by TAZ'!A:A,'Model Modeshare by TAZ'!B:B)</f>
        <v>San Jose</v>
      </c>
      <c r="C1155" s="90" t="str">
        <f>_xlfn.XLOOKUP(A1155,'Model Modeshare by TAZ'!A:A,'Model Modeshare by TAZ'!D:D)</f>
        <v>NO</v>
      </c>
      <c r="D1155" s="27">
        <v>1813.41</v>
      </c>
      <c r="E1155" s="27">
        <v>17362.48</v>
      </c>
      <c r="F1155" s="27">
        <v>1444.34</v>
      </c>
      <c r="G1155" s="27">
        <v>7245.2</v>
      </c>
      <c r="H1155" s="27">
        <v>964.37</v>
      </c>
      <c r="I1155" s="27">
        <v>9905.26</v>
      </c>
      <c r="J1155" s="6">
        <v>1171</v>
      </c>
      <c r="K1155" s="6">
        <v>953</v>
      </c>
      <c r="L1155" s="27">
        <v>6.1871904355251921</v>
      </c>
      <c r="M1155" s="27">
        <v>10.39376705141658</v>
      </c>
      <c r="N1155" s="34">
        <v>13.610004708097929</v>
      </c>
    </row>
    <row r="1156" spans="1:14" x14ac:dyDescent="0.35">
      <c r="A1156" s="82">
        <v>1153</v>
      </c>
      <c r="B1156" s="89" t="str">
        <f>_xlfn.XLOOKUP(A1156,'Model Modeshare by TAZ'!A:A,'Model Modeshare by TAZ'!B:B)</f>
        <v>San Jose</v>
      </c>
      <c r="C1156" s="90" t="str">
        <f>_xlfn.XLOOKUP(A1156,'Model Modeshare by TAZ'!A:A,'Model Modeshare by TAZ'!D:D)</f>
        <v>NO</v>
      </c>
      <c r="D1156" s="27">
        <v>2268.36</v>
      </c>
      <c r="E1156" s="27">
        <v>22692.01</v>
      </c>
      <c r="F1156" s="27">
        <v>2206.77</v>
      </c>
      <c r="G1156" s="27">
        <v>10830.44</v>
      </c>
      <c r="H1156" s="27">
        <v>704.24</v>
      </c>
      <c r="I1156" s="27">
        <v>7314.47</v>
      </c>
      <c r="J1156" s="6">
        <v>1866</v>
      </c>
      <c r="K1156" s="6">
        <v>570</v>
      </c>
      <c r="L1156" s="27">
        <v>5.8040943193997858</v>
      </c>
      <c r="M1156" s="27">
        <v>12.832403508771931</v>
      </c>
      <c r="N1156" s="34">
        <v>14.708932676518883</v>
      </c>
    </row>
    <row r="1157" spans="1:14" x14ac:dyDescent="0.35">
      <c r="A1157" s="82">
        <v>1154</v>
      </c>
      <c r="B1157" s="89" t="str">
        <f>_xlfn.XLOOKUP(A1157,'Model Modeshare by TAZ'!A:A,'Model Modeshare by TAZ'!B:B)</f>
        <v>San Jose</v>
      </c>
      <c r="C1157" s="90" t="str">
        <f>_xlfn.XLOOKUP(A1157,'Model Modeshare by TAZ'!A:A,'Model Modeshare by TAZ'!D:D)</f>
        <v>NO</v>
      </c>
      <c r="D1157" s="27">
        <v>7759.25</v>
      </c>
      <c r="E1157" s="27">
        <v>129871.97</v>
      </c>
      <c r="F1157" s="27">
        <v>5734.01</v>
      </c>
      <c r="G1157" s="27">
        <v>40703.42</v>
      </c>
      <c r="H1157" s="27">
        <v>548.91</v>
      </c>
      <c r="I1157" s="27">
        <v>5903.3</v>
      </c>
      <c r="J1157" s="6">
        <v>4581</v>
      </c>
      <c r="K1157" s="6">
        <v>326</v>
      </c>
      <c r="L1157" s="27">
        <v>8.8852695917921842</v>
      </c>
      <c r="M1157" s="27">
        <v>18.108282208588957</v>
      </c>
      <c r="N1157" s="34">
        <v>18.078926024047277</v>
      </c>
    </row>
    <row r="1158" spans="1:14" x14ac:dyDescent="0.35">
      <c r="A1158" s="82">
        <v>1155</v>
      </c>
      <c r="B1158" s="89" t="str">
        <f>_xlfn.XLOOKUP(A1158,'Model Modeshare by TAZ'!A:A,'Model Modeshare by TAZ'!B:B)</f>
        <v>San Jose</v>
      </c>
      <c r="C1158" s="90" t="str">
        <f>_xlfn.XLOOKUP(A1158,'Model Modeshare by TAZ'!A:A,'Model Modeshare by TAZ'!D:D)</f>
        <v>NO</v>
      </c>
      <c r="D1158" s="27">
        <v>2324.27</v>
      </c>
      <c r="E1158" s="27">
        <v>39621.54</v>
      </c>
      <c r="F1158" s="27">
        <v>1979.02</v>
      </c>
      <c r="G1158" s="27">
        <v>13709.13</v>
      </c>
      <c r="H1158" s="27">
        <v>99.35</v>
      </c>
      <c r="I1158" s="27">
        <v>1109.9100000000001</v>
      </c>
      <c r="J1158" s="6">
        <v>1764</v>
      </c>
      <c r="K1158" s="6">
        <v>59</v>
      </c>
      <c r="L1158" s="27">
        <v>7.7716156462585033</v>
      </c>
      <c r="M1158" s="27">
        <v>18.812033898305085</v>
      </c>
      <c r="N1158" s="34">
        <v>15.933697202413605</v>
      </c>
    </row>
    <row r="1159" spans="1:14" x14ac:dyDescent="0.35">
      <c r="A1159" s="82">
        <v>1156</v>
      </c>
      <c r="B1159" s="89" t="str">
        <f>_xlfn.XLOOKUP(A1159,'Model Modeshare by TAZ'!A:A,'Model Modeshare by TAZ'!B:B)</f>
        <v>San Jose</v>
      </c>
      <c r="C1159" s="90" t="str">
        <f>_xlfn.XLOOKUP(A1159,'Model Modeshare by TAZ'!A:A,'Model Modeshare by TAZ'!D:D)</f>
        <v>NO</v>
      </c>
      <c r="D1159" s="27">
        <v>624.70000000000005</v>
      </c>
      <c r="E1159" s="27">
        <v>10429.11</v>
      </c>
      <c r="F1159" s="27">
        <v>522.37</v>
      </c>
      <c r="G1159" s="27">
        <v>3828.7</v>
      </c>
      <c r="H1159" s="27">
        <v>98.87</v>
      </c>
      <c r="I1159" s="27">
        <v>1098.69</v>
      </c>
      <c r="J1159" s="6">
        <v>471</v>
      </c>
      <c r="K1159" s="6">
        <v>55</v>
      </c>
      <c r="L1159" s="27">
        <v>8.1288747346072174</v>
      </c>
      <c r="M1159" s="27">
        <v>19.976181818181818</v>
      </c>
      <c r="N1159" s="34">
        <v>16.539562737642584</v>
      </c>
    </row>
    <row r="1160" spans="1:14" x14ac:dyDescent="0.35">
      <c r="A1160" s="82">
        <v>1157</v>
      </c>
      <c r="B1160" s="89" t="str">
        <f>_xlfn.XLOOKUP(A1160,'Model Modeshare by TAZ'!A:A,'Model Modeshare by TAZ'!B:B)</f>
        <v>San Jose</v>
      </c>
      <c r="C1160" s="90" t="str">
        <f>_xlfn.XLOOKUP(A1160,'Model Modeshare by TAZ'!A:A,'Model Modeshare by TAZ'!D:D)</f>
        <v>NO</v>
      </c>
      <c r="D1160" s="27">
        <v>2383.7399999999998</v>
      </c>
      <c r="E1160" s="27">
        <v>39850.22</v>
      </c>
      <c r="F1160" s="27">
        <v>2434.7399999999998</v>
      </c>
      <c r="G1160" s="27">
        <v>16205.03</v>
      </c>
      <c r="H1160" s="27">
        <v>127.93</v>
      </c>
      <c r="I1160" s="27">
        <v>1331.04</v>
      </c>
      <c r="J1160" s="6">
        <v>1872</v>
      </c>
      <c r="K1160" s="6">
        <v>73</v>
      </c>
      <c r="L1160" s="27">
        <v>8.6565331196581194</v>
      </c>
      <c r="M1160" s="27">
        <v>18.233424657534247</v>
      </c>
      <c r="N1160" s="34">
        <v>19.34826735218509</v>
      </c>
    </row>
    <row r="1161" spans="1:14" x14ac:dyDescent="0.35">
      <c r="A1161" s="82">
        <v>1158</v>
      </c>
      <c r="B1161" s="89" t="str">
        <f>_xlfn.XLOOKUP(A1161,'Model Modeshare by TAZ'!A:A,'Model Modeshare by TAZ'!B:B)</f>
        <v>San Jose</v>
      </c>
      <c r="C1161" s="90" t="str">
        <f>_xlfn.XLOOKUP(A1161,'Model Modeshare by TAZ'!A:A,'Model Modeshare by TAZ'!D:D)</f>
        <v>NO</v>
      </c>
      <c r="D1161" s="27">
        <v>2958.76</v>
      </c>
      <c r="E1161" s="27">
        <v>48637.73</v>
      </c>
      <c r="F1161" s="27">
        <v>2617.86</v>
      </c>
      <c r="G1161" s="27">
        <v>17682.09</v>
      </c>
      <c r="H1161" s="27">
        <v>159.74</v>
      </c>
      <c r="I1161" s="27">
        <v>1671.81</v>
      </c>
      <c r="J1161" s="6">
        <v>2217</v>
      </c>
      <c r="K1161" s="6">
        <v>93</v>
      </c>
      <c r="L1161" s="27">
        <v>7.9756833558863329</v>
      </c>
      <c r="M1161" s="27">
        <v>17.976451612903226</v>
      </c>
      <c r="N1161" s="34">
        <v>18.731831168831167</v>
      </c>
    </row>
    <row r="1162" spans="1:14" x14ac:dyDescent="0.35">
      <c r="A1162" s="82">
        <v>1159</v>
      </c>
      <c r="B1162" s="89" t="str">
        <f>_xlfn.XLOOKUP(A1162,'Model Modeshare by TAZ'!A:A,'Model Modeshare by TAZ'!B:B)</f>
        <v>San Jose</v>
      </c>
      <c r="C1162" s="90" t="str">
        <f>_xlfn.XLOOKUP(A1162,'Model Modeshare by TAZ'!A:A,'Model Modeshare by TAZ'!D:D)</f>
        <v>NO</v>
      </c>
      <c r="D1162" s="27">
        <v>1913.84</v>
      </c>
      <c r="E1162" s="27">
        <v>30991.18</v>
      </c>
      <c r="F1162" s="27">
        <v>1454.81</v>
      </c>
      <c r="G1162" s="27">
        <v>9865.6299999999992</v>
      </c>
      <c r="H1162" s="27">
        <v>153.13</v>
      </c>
      <c r="I1162" s="27">
        <v>1628.15</v>
      </c>
      <c r="J1162" s="6">
        <v>1272</v>
      </c>
      <c r="K1162" s="6">
        <v>87</v>
      </c>
      <c r="L1162" s="27">
        <v>7.7559984276729557</v>
      </c>
      <c r="M1162" s="27">
        <v>18.714367816091954</v>
      </c>
      <c r="N1162" s="34">
        <v>18.482538631346578</v>
      </c>
    </row>
    <row r="1163" spans="1:14" x14ac:dyDescent="0.35">
      <c r="A1163" s="82">
        <v>1160</v>
      </c>
      <c r="B1163" s="89" t="str">
        <f>_xlfn.XLOOKUP(A1163,'Model Modeshare by TAZ'!A:A,'Model Modeshare by TAZ'!B:B)</f>
        <v>San Jose</v>
      </c>
      <c r="C1163" s="90" t="str">
        <f>_xlfn.XLOOKUP(A1163,'Model Modeshare by TAZ'!A:A,'Model Modeshare by TAZ'!D:D)</f>
        <v>NO</v>
      </c>
      <c r="D1163" s="27">
        <v>1590.54</v>
      </c>
      <c r="E1163" s="27">
        <v>25700.17</v>
      </c>
      <c r="F1163" s="27">
        <v>897.49</v>
      </c>
      <c r="G1163" s="27">
        <v>5934.86</v>
      </c>
      <c r="H1163" s="27">
        <v>281.33</v>
      </c>
      <c r="I1163" s="27">
        <v>2958.8</v>
      </c>
      <c r="J1163" s="6">
        <v>828</v>
      </c>
      <c r="K1163" s="6">
        <v>269</v>
      </c>
      <c r="L1163" s="27">
        <v>7.1677053140096616</v>
      </c>
      <c r="M1163" s="27">
        <v>10.999256505576209</v>
      </c>
      <c r="N1163" s="34">
        <v>26.526709206927986</v>
      </c>
    </row>
    <row r="1164" spans="1:14" x14ac:dyDescent="0.35">
      <c r="A1164" s="82">
        <v>1161</v>
      </c>
      <c r="B1164" s="89" t="str">
        <f>_xlfn.XLOOKUP(A1164,'Model Modeshare by TAZ'!A:A,'Model Modeshare by TAZ'!B:B)</f>
        <v>San Jose</v>
      </c>
      <c r="C1164" s="90" t="str">
        <f>_xlfn.XLOOKUP(A1164,'Model Modeshare by TAZ'!A:A,'Model Modeshare by TAZ'!D:D)</f>
        <v>NO</v>
      </c>
      <c r="D1164" s="27">
        <v>113.86</v>
      </c>
      <c r="E1164" s="27">
        <v>1724.9</v>
      </c>
      <c r="F1164" s="27">
        <v>98.4</v>
      </c>
      <c r="G1164" s="27">
        <v>707.49</v>
      </c>
      <c r="H1164" s="27">
        <v>34.03</v>
      </c>
      <c r="I1164" s="27">
        <v>353.41</v>
      </c>
      <c r="J1164" s="6">
        <v>82</v>
      </c>
      <c r="K1164" s="6">
        <v>30</v>
      </c>
      <c r="L1164" s="27">
        <v>8.6279268292682936</v>
      </c>
      <c r="M1164" s="27">
        <v>11.780333333333335</v>
      </c>
      <c r="N1164" s="34">
        <v>20.162678571428568</v>
      </c>
    </row>
    <row r="1165" spans="1:14" x14ac:dyDescent="0.35">
      <c r="A1165" s="82">
        <v>1162</v>
      </c>
      <c r="B1165" s="89" t="str">
        <f>_xlfn.XLOOKUP(A1165,'Model Modeshare by TAZ'!A:A,'Model Modeshare by TAZ'!B:B)</f>
        <v>San Jose</v>
      </c>
      <c r="C1165" s="90" t="str">
        <f>_xlfn.XLOOKUP(A1165,'Model Modeshare by TAZ'!A:A,'Model Modeshare by TAZ'!D:D)</f>
        <v>NO</v>
      </c>
      <c r="D1165" s="27">
        <v>388.51</v>
      </c>
      <c r="E1165" s="27">
        <v>6417.03</v>
      </c>
      <c r="F1165" s="27">
        <v>250.6</v>
      </c>
      <c r="G1165" s="27">
        <v>1722.07</v>
      </c>
      <c r="H1165" s="27">
        <v>60.27</v>
      </c>
      <c r="I1165" s="27">
        <v>620.9</v>
      </c>
      <c r="J1165" s="6">
        <v>236</v>
      </c>
      <c r="K1165" s="6">
        <v>42</v>
      </c>
      <c r="L1165" s="27">
        <v>7.2969067796610165</v>
      </c>
      <c r="M1165" s="27">
        <v>14.783333333333333</v>
      </c>
      <c r="N1165" s="34">
        <v>19.129316546762588</v>
      </c>
    </row>
    <row r="1166" spans="1:14" x14ac:dyDescent="0.35">
      <c r="A1166" s="82">
        <v>1163</v>
      </c>
      <c r="B1166" s="89" t="str">
        <f>_xlfn.XLOOKUP(A1166,'Model Modeshare by TAZ'!A:A,'Model Modeshare by TAZ'!B:B)</f>
        <v>San Jose</v>
      </c>
      <c r="C1166" s="90" t="str">
        <f>_xlfn.XLOOKUP(A1166,'Model Modeshare by TAZ'!A:A,'Model Modeshare by TAZ'!D:D)</f>
        <v>NO</v>
      </c>
      <c r="D1166" s="27">
        <v>1330.59</v>
      </c>
      <c r="E1166" s="27">
        <v>23916.93</v>
      </c>
      <c r="F1166" s="27">
        <v>751.49</v>
      </c>
      <c r="G1166" s="27">
        <v>5195.53</v>
      </c>
      <c r="H1166" s="27">
        <v>1091.75</v>
      </c>
      <c r="I1166" s="27">
        <v>11322.45</v>
      </c>
      <c r="J1166" s="6">
        <v>599</v>
      </c>
      <c r="K1166" s="6">
        <v>1008</v>
      </c>
      <c r="L1166" s="27">
        <v>8.6736727879799655</v>
      </c>
      <c r="M1166" s="27">
        <v>11.232589285714287</v>
      </c>
      <c r="N1166" s="34">
        <v>31.071238332296208</v>
      </c>
    </row>
    <row r="1167" spans="1:14" x14ac:dyDescent="0.35">
      <c r="A1167" s="82">
        <v>1164</v>
      </c>
      <c r="B1167" s="89" t="str">
        <f>_xlfn.XLOOKUP(A1167,'Model Modeshare by TAZ'!A:A,'Model Modeshare by TAZ'!B:B)</f>
        <v>San Jose</v>
      </c>
      <c r="C1167" s="90" t="str">
        <f>_xlfn.XLOOKUP(A1167,'Model Modeshare by TAZ'!A:A,'Model Modeshare by TAZ'!D:D)</f>
        <v>NO</v>
      </c>
      <c r="D1167" s="27">
        <v>1591.69</v>
      </c>
      <c r="E1167" s="27">
        <v>27877.599999999999</v>
      </c>
      <c r="F1167" s="27">
        <v>790.61</v>
      </c>
      <c r="G1167" s="27">
        <v>5251.49</v>
      </c>
      <c r="H1167" s="27">
        <v>245.84</v>
      </c>
      <c r="I1167" s="27">
        <v>2523.34</v>
      </c>
      <c r="J1167" s="6">
        <v>729</v>
      </c>
      <c r="K1167" s="6">
        <v>193</v>
      </c>
      <c r="L1167" s="27">
        <v>7.2036899862825789</v>
      </c>
      <c r="M1167" s="27">
        <v>13.074300518134716</v>
      </c>
      <c r="N1167" s="34">
        <v>24.230520607375272</v>
      </c>
    </row>
    <row r="1168" spans="1:14" x14ac:dyDescent="0.35">
      <c r="A1168" s="82">
        <v>1165</v>
      </c>
      <c r="B1168" s="89" t="str">
        <f>_xlfn.XLOOKUP(A1168,'Model Modeshare by TAZ'!A:A,'Model Modeshare by TAZ'!B:B)</f>
        <v>San Jose</v>
      </c>
      <c r="C1168" s="90" t="str">
        <f>_xlfn.XLOOKUP(A1168,'Model Modeshare by TAZ'!A:A,'Model Modeshare by TAZ'!D:D)</f>
        <v>NO</v>
      </c>
      <c r="D1168" s="27">
        <v>2368.16</v>
      </c>
      <c r="E1168" s="27">
        <v>43485.56</v>
      </c>
      <c r="F1168" s="27">
        <v>21.77</v>
      </c>
      <c r="G1168" s="27">
        <v>115.34</v>
      </c>
      <c r="H1168" s="27">
        <v>1105.6199999999999</v>
      </c>
      <c r="I1168" s="27">
        <v>10940.15</v>
      </c>
      <c r="J1168" s="6">
        <v>31</v>
      </c>
      <c r="K1168" s="6">
        <v>978</v>
      </c>
      <c r="L1168" s="27">
        <v>3.7206451612903226</v>
      </c>
      <c r="M1168" s="27">
        <v>11.186247443762781</v>
      </c>
      <c r="N1168" s="34">
        <v>29.536065411298313</v>
      </c>
    </row>
    <row r="1169" spans="1:14" x14ac:dyDescent="0.35">
      <c r="A1169" s="82">
        <v>1166</v>
      </c>
      <c r="B1169" s="89" t="str">
        <f>_xlfn.XLOOKUP(A1169,'Model Modeshare by TAZ'!A:A,'Model Modeshare by TAZ'!B:B)</f>
        <v>San Jose</v>
      </c>
      <c r="C1169" s="90" t="str">
        <f>_xlfn.XLOOKUP(A1169,'Model Modeshare by TAZ'!A:A,'Model Modeshare by TAZ'!D:D)</f>
        <v>NO</v>
      </c>
      <c r="D1169" s="27">
        <v>1817.76</v>
      </c>
      <c r="E1169" s="27">
        <v>30298.89</v>
      </c>
      <c r="F1169" s="27">
        <v>1423.85</v>
      </c>
      <c r="G1169" s="27">
        <v>9357.1299999999992</v>
      </c>
      <c r="H1169" s="27">
        <v>131.76</v>
      </c>
      <c r="I1169" s="27">
        <v>1341.53</v>
      </c>
      <c r="J1169" s="6">
        <v>1135</v>
      </c>
      <c r="K1169" s="6">
        <v>72</v>
      </c>
      <c r="L1169" s="27">
        <v>8.2441674008810573</v>
      </c>
      <c r="M1169" s="27">
        <v>18.632361111111109</v>
      </c>
      <c r="N1169" s="34">
        <v>17.709362054681026</v>
      </c>
    </row>
    <row r="1170" spans="1:14" x14ac:dyDescent="0.35">
      <c r="A1170" s="82">
        <v>1167</v>
      </c>
      <c r="B1170" s="89" t="str">
        <f>_xlfn.XLOOKUP(A1170,'Model Modeshare by TAZ'!A:A,'Model Modeshare by TAZ'!B:B)</f>
        <v>San Jose</v>
      </c>
      <c r="C1170" s="90" t="str">
        <f>_xlfn.XLOOKUP(A1170,'Model Modeshare by TAZ'!A:A,'Model Modeshare by TAZ'!D:D)</f>
        <v>NO</v>
      </c>
      <c r="D1170" s="27">
        <v>1244.21</v>
      </c>
      <c r="E1170" s="27">
        <v>20291.490000000002</v>
      </c>
      <c r="F1170" s="27">
        <v>1676.47</v>
      </c>
      <c r="G1170" s="27">
        <v>12251.5</v>
      </c>
      <c r="H1170" s="27">
        <v>70.55</v>
      </c>
      <c r="I1170" s="27">
        <v>752.86</v>
      </c>
      <c r="J1170" s="6">
        <v>1336</v>
      </c>
      <c r="K1170" s="6">
        <v>38</v>
      </c>
      <c r="L1170" s="27">
        <v>9.1702844311377252</v>
      </c>
      <c r="M1170" s="27">
        <v>19.812105263157896</v>
      </c>
      <c r="N1170" s="34">
        <v>17.450684133915576</v>
      </c>
    </row>
    <row r="1171" spans="1:14" x14ac:dyDescent="0.35">
      <c r="A1171" s="82">
        <v>1168</v>
      </c>
      <c r="B1171" s="89" t="str">
        <f>_xlfn.XLOOKUP(A1171,'Model Modeshare by TAZ'!A:A,'Model Modeshare by TAZ'!B:B)</f>
        <v>San Jose</v>
      </c>
      <c r="C1171" s="90" t="str">
        <f>_xlfn.XLOOKUP(A1171,'Model Modeshare by TAZ'!A:A,'Model Modeshare by TAZ'!D:D)</f>
        <v>NO</v>
      </c>
      <c r="D1171" s="27">
        <v>1649.42</v>
      </c>
      <c r="E1171" s="27">
        <v>16168.01</v>
      </c>
      <c r="F1171" s="27">
        <v>1283.31</v>
      </c>
      <c r="G1171" s="27">
        <v>6468.81</v>
      </c>
      <c r="H1171" s="27">
        <v>122.43</v>
      </c>
      <c r="I1171" s="27">
        <v>1199.32</v>
      </c>
      <c r="J1171" s="6">
        <v>948</v>
      </c>
      <c r="K1171" s="6">
        <v>71</v>
      </c>
      <c r="L1171" s="27">
        <v>6.8236392405063295</v>
      </c>
      <c r="M1171" s="27">
        <v>16.891830985915494</v>
      </c>
      <c r="N1171" s="34">
        <v>11.311638861629048</v>
      </c>
    </row>
    <row r="1172" spans="1:14" x14ac:dyDescent="0.35">
      <c r="A1172" s="82">
        <v>1169</v>
      </c>
      <c r="B1172" s="89" t="str">
        <f>_xlfn.XLOOKUP(A1172,'Model Modeshare by TAZ'!A:A,'Model Modeshare by TAZ'!B:B)</f>
        <v>San Jose</v>
      </c>
      <c r="C1172" s="90" t="str">
        <f>_xlfn.XLOOKUP(A1172,'Model Modeshare by TAZ'!A:A,'Model Modeshare by TAZ'!D:D)</f>
        <v>NO</v>
      </c>
      <c r="D1172" s="27">
        <v>472.45</v>
      </c>
      <c r="E1172" s="27">
        <v>5284.22</v>
      </c>
      <c r="F1172" s="27">
        <v>669.15</v>
      </c>
      <c r="G1172" s="27">
        <v>3405.22</v>
      </c>
      <c r="H1172" s="27">
        <v>13.82</v>
      </c>
      <c r="I1172" s="27">
        <v>131.37</v>
      </c>
      <c r="J1172" s="6">
        <v>458</v>
      </c>
      <c r="K1172" s="6">
        <v>7</v>
      </c>
      <c r="L1172" s="27">
        <v>7.4349781659388645</v>
      </c>
      <c r="M1172" s="27">
        <v>18.767142857142858</v>
      </c>
      <c r="N1172" s="34">
        <v>12.144774193548386</v>
      </c>
    </row>
    <row r="1173" spans="1:14" x14ac:dyDescent="0.35">
      <c r="A1173" s="82">
        <v>1170</v>
      </c>
      <c r="B1173" s="89" t="str">
        <f>_xlfn.XLOOKUP(A1173,'Model Modeshare by TAZ'!A:A,'Model Modeshare by TAZ'!B:B)</f>
        <v>San Jose</v>
      </c>
      <c r="C1173" s="90" t="str">
        <f>_xlfn.XLOOKUP(A1173,'Model Modeshare by TAZ'!A:A,'Model Modeshare by TAZ'!D:D)</f>
        <v>NO</v>
      </c>
      <c r="D1173" s="27">
        <v>995.76</v>
      </c>
      <c r="E1173" s="27">
        <v>8650.2999999999993</v>
      </c>
      <c r="F1173" s="27">
        <v>657.89</v>
      </c>
      <c r="G1173" s="27">
        <v>3045.69</v>
      </c>
      <c r="H1173" s="27">
        <v>27.93</v>
      </c>
      <c r="I1173" s="27">
        <v>283.72000000000003</v>
      </c>
      <c r="J1173" s="6">
        <v>472</v>
      </c>
      <c r="K1173" s="6">
        <v>16</v>
      </c>
      <c r="L1173" s="27">
        <v>6.4527330508474581</v>
      </c>
      <c r="M1173" s="27">
        <v>17.732500000000002</v>
      </c>
      <c r="N1173" s="34">
        <v>8.5326229508196718</v>
      </c>
    </row>
    <row r="1174" spans="1:14" x14ac:dyDescent="0.35">
      <c r="A1174" s="82">
        <v>1171</v>
      </c>
      <c r="B1174" s="89" t="str">
        <f>_xlfn.XLOOKUP(A1174,'Model Modeshare by TAZ'!A:A,'Model Modeshare by TAZ'!B:B)</f>
        <v>San Jose</v>
      </c>
      <c r="C1174" s="90" t="str">
        <f>_xlfn.XLOOKUP(A1174,'Model Modeshare by TAZ'!A:A,'Model Modeshare by TAZ'!D:D)</f>
        <v>NO</v>
      </c>
      <c r="D1174" s="27">
        <v>1010.47</v>
      </c>
      <c r="E1174" s="27">
        <v>8991.94</v>
      </c>
      <c r="F1174" s="27">
        <v>426.23</v>
      </c>
      <c r="G1174" s="27">
        <v>1947.33</v>
      </c>
      <c r="H1174" s="27">
        <v>12.88</v>
      </c>
      <c r="I1174" s="27">
        <v>124.78</v>
      </c>
      <c r="J1174" s="6">
        <v>283</v>
      </c>
      <c r="K1174" s="6">
        <v>7</v>
      </c>
      <c r="L1174" s="27">
        <v>6.8810247349823319</v>
      </c>
      <c r="M1174" s="27">
        <v>17.825714285714287</v>
      </c>
      <c r="N1174" s="34">
        <v>8.947275862068965</v>
      </c>
    </row>
    <row r="1175" spans="1:14" x14ac:dyDescent="0.35">
      <c r="A1175" s="82">
        <v>1172</v>
      </c>
      <c r="B1175" s="89" t="str">
        <f>_xlfn.XLOOKUP(A1175,'Model Modeshare by TAZ'!A:A,'Model Modeshare by TAZ'!B:B)</f>
        <v>San Jose</v>
      </c>
      <c r="C1175" s="90" t="str">
        <f>_xlfn.XLOOKUP(A1175,'Model Modeshare by TAZ'!A:A,'Model Modeshare by TAZ'!D:D)</f>
        <v>NO</v>
      </c>
      <c r="D1175" s="27">
        <v>1467.65</v>
      </c>
      <c r="E1175" s="27">
        <v>15650.13</v>
      </c>
      <c r="F1175" s="27">
        <v>614.46</v>
      </c>
      <c r="G1175" s="27">
        <v>3011.84</v>
      </c>
      <c r="H1175" s="27">
        <v>751.08</v>
      </c>
      <c r="I1175" s="27">
        <v>7214.89</v>
      </c>
      <c r="J1175" s="6">
        <v>439</v>
      </c>
      <c r="K1175" s="6">
        <v>699</v>
      </c>
      <c r="L1175" s="27">
        <v>6.8606833712984061</v>
      </c>
      <c r="M1175" s="27">
        <v>10.32173104434907</v>
      </c>
      <c r="N1175" s="34">
        <v>16.641476274165203</v>
      </c>
    </row>
    <row r="1176" spans="1:14" x14ac:dyDescent="0.35">
      <c r="A1176" s="82">
        <v>1173</v>
      </c>
      <c r="B1176" s="89" t="str">
        <f>_xlfn.XLOOKUP(A1176,'Model Modeshare by TAZ'!A:A,'Model Modeshare by TAZ'!B:B)</f>
        <v>San Jose</v>
      </c>
      <c r="C1176" s="90" t="str">
        <f>_xlfn.XLOOKUP(A1176,'Model Modeshare by TAZ'!A:A,'Model Modeshare by TAZ'!D:D)</f>
        <v>NO</v>
      </c>
      <c r="D1176" s="27">
        <v>2176.75</v>
      </c>
      <c r="E1176" s="27">
        <v>27786.51</v>
      </c>
      <c r="F1176" s="27">
        <v>2275.15</v>
      </c>
      <c r="G1176" s="27">
        <v>12111.62</v>
      </c>
      <c r="H1176" s="27">
        <v>252.14</v>
      </c>
      <c r="I1176" s="27">
        <v>2482.2399999999998</v>
      </c>
      <c r="J1176" s="6">
        <v>1739</v>
      </c>
      <c r="K1176" s="6">
        <v>148</v>
      </c>
      <c r="L1176" s="27">
        <v>6.9647038527889595</v>
      </c>
      <c r="M1176" s="27">
        <v>16.77189189189189</v>
      </c>
      <c r="N1176" s="34">
        <v>12.937922628510863</v>
      </c>
    </row>
    <row r="1177" spans="1:14" x14ac:dyDescent="0.35">
      <c r="A1177" s="82">
        <v>1174</v>
      </c>
      <c r="B1177" s="89" t="str">
        <f>_xlfn.XLOOKUP(A1177,'Model Modeshare by TAZ'!A:A,'Model Modeshare by TAZ'!B:B)</f>
        <v>San Jose</v>
      </c>
      <c r="C1177" s="90" t="str">
        <f>_xlfn.XLOOKUP(A1177,'Model Modeshare by TAZ'!A:A,'Model Modeshare by TAZ'!D:D)</f>
        <v>NO</v>
      </c>
      <c r="D1177" s="27">
        <v>4334.38</v>
      </c>
      <c r="E1177" s="27">
        <v>70607.86</v>
      </c>
      <c r="F1177" s="27">
        <v>3561.98</v>
      </c>
      <c r="G1177" s="27">
        <v>25573.7</v>
      </c>
      <c r="H1177" s="27">
        <v>530.23</v>
      </c>
      <c r="I1177" s="27">
        <v>5648.01</v>
      </c>
      <c r="J1177" s="6">
        <v>2728</v>
      </c>
      <c r="K1177" s="6">
        <v>295</v>
      </c>
      <c r="L1177" s="27">
        <v>9.3745234604105576</v>
      </c>
      <c r="M1177" s="27">
        <v>19.145796610169491</v>
      </c>
      <c r="N1177" s="34">
        <v>19.366682103870328</v>
      </c>
    </row>
    <row r="1178" spans="1:14" x14ac:dyDescent="0.35">
      <c r="A1178" s="82">
        <v>1175</v>
      </c>
      <c r="B1178" s="89" t="str">
        <f>_xlfn.XLOOKUP(A1178,'Model Modeshare by TAZ'!A:A,'Model Modeshare by TAZ'!B:B)</f>
        <v>San Jose</v>
      </c>
      <c r="C1178" s="90" t="str">
        <f>_xlfn.XLOOKUP(A1178,'Model Modeshare by TAZ'!A:A,'Model Modeshare by TAZ'!D:D)</f>
        <v>NO</v>
      </c>
      <c r="D1178" s="27">
        <v>8430.57</v>
      </c>
      <c r="E1178" s="27">
        <v>132271.62</v>
      </c>
      <c r="F1178" s="27">
        <v>8145.19</v>
      </c>
      <c r="G1178" s="27">
        <v>62468.63</v>
      </c>
      <c r="H1178" s="27">
        <v>252.18</v>
      </c>
      <c r="I1178" s="27">
        <v>2651.76</v>
      </c>
      <c r="J1178" s="6">
        <v>5977</v>
      </c>
      <c r="K1178" s="6">
        <v>139</v>
      </c>
      <c r="L1178" s="27">
        <v>10.451502425966204</v>
      </c>
      <c r="M1178" s="27">
        <v>19.077410071942449</v>
      </c>
      <c r="N1178" s="34">
        <v>18.717280902550687</v>
      </c>
    </row>
    <row r="1179" spans="1:14" x14ac:dyDescent="0.35">
      <c r="A1179" s="82">
        <v>1176</v>
      </c>
      <c r="B1179" s="89" t="str">
        <f>_xlfn.XLOOKUP(A1179,'Model Modeshare by TAZ'!A:A,'Model Modeshare by TAZ'!B:B)</f>
        <v>San Jose</v>
      </c>
      <c r="C1179" s="90" t="str">
        <f>_xlfn.XLOOKUP(A1179,'Model Modeshare by TAZ'!A:A,'Model Modeshare by TAZ'!D:D)</f>
        <v>NO</v>
      </c>
      <c r="D1179" s="27">
        <v>6547.19</v>
      </c>
      <c r="E1179" s="27">
        <v>109823.14</v>
      </c>
      <c r="F1179" s="27">
        <v>6747.54</v>
      </c>
      <c r="G1179" s="27">
        <v>52999.15</v>
      </c>
      <c r="H1179" s="27">
        <v>349.36</v>
      </c>
      <c r="I1179" s="27">
        <v>3682.44</v>
      </c>
      <c r="J1179" s="6">
        <v>5124</v>
      </c>
      <c r="K1179" s="6">
        <v>193</v>
      </c>
      <c r="L1179" s="27">
        <v>10.343315768930523</v>
      </c>
      <c r="M1179" s="27">
        <v>19.080000000000002</v>
      </c>
      <c r="N1179" s="34">
        <v>17.278817002068838</v>
      </c>
    </row>
    <row r="1180" spans="1:14" x14ac:dyDescent="0.35">
      <c r="A1180" s="82">
        <v>1177</v>
      </c>
      <c r="B1180" s="89" t="str">
        <f>_xlfn.XLOOKUP(A1180,'Model Modeshare by TAZ'!A:A,'Model Modeshare by TAZ'!B:B)</f>
        <v>San Jose</v>
      </c>
      <c r="C1180" s="90" t="str">
        <f>_xlfn.XLOOKUP(A1180,'Model Modeshare by TAZ'!A:A,'Model Modeshare by TAZ'!D:D)</f>
        <v>NO</v>
      </c>
      <c r="D1180" s="27">
        <v>3499.32</v>
      </c>
      <c r="E1180" s="27">
        <v>47269.59</v>
      </c>
      <c r="F1180" s="27">
        <v>3240.58</v>
      </c>
      <c r="G1180" s="27">
        <v>22673.62</v>
      </c>
      <c r="H1180" s="27">
        <v>642.38</v>
      </c>
      <c r="I1180" s="27">
        <v>6320.69</v>
      </c>
      <c r="J1180" s="6">
        <v>2371</v>
      </c>
      <c r="K1180" s="6">
        <v>368</v>
      </c>
      <c r="L1180" s="27">
        <v>9.5628932939687896</v>
      </c>
      <c r="M1180" s="27">
        <v>17.17578804347826</v>
      </c>
      <c r="N1180" s="34">
        <v>16.755881708652794</v>
      </c>
    </row>
    <row r="1181" spans="1:14" x14ac:dyDescent="0.35">
      <c r="A1181" s="82">
        <v>1178</v>
      </c>
      <c r="B1181" s="89" t="str">
        <f>_xlfn.XLOOKUP(A1181,'Model Modeshare by TAZ'!A:A,'Model Modeshare by TAZ'!B:B)</f>
        <v>San Jose</v>
      </c>
      <c r="C1181" s="90" t="str">
        <f>_xlfn.XLOOKUP(A1181,'Model Modeshare by TAZ'!A:A,'Model Modeshare by TAZ'!D:D)</f>
        <v>NO</v>
      </c>
      <c r="D1181" s="27">
        <v>2950.7</v>
      </c>
      <c r="E1181" s="27">
        <v>36249.620000000003</v>
      </c>
      <c r="F1181" s="27">
        <v>3176.98</v>
      </c>
      <c r="G1181" s="27">
        <v>19135.32</v>
      </c>
      <c r="H1181" s="27">
        <v>21.03</v>
      </c>
      <c r="I1181" s="27">
        <v>212.37</v>
      </c>
      <c r="J1181" s="6">
        <v>2411</v>
      </c>
      <c r="K1181" s="6">
        <v>11</v>
      </c>
      <c r="L1181" s="27">
        <v>7.9366735794276231</v>
      </c>
      <c r="M1181" s="27">
        <v>19.306363636363638</v>
      </c>
      <c r="N1181" s="34">
        <v>10.489277456647399</v>
      </c>
    </row>
    <row r="1182" spans="1:14" x14ac:dyDescent="0.35">
      <c r="A1182" s="82">
        <v>1179</v>
      </c>
      <c r="B1182" s="89" t="str">
        <f>_xlfn.XLOOKUP(A1182,'Model Modeshare by TAZ'!A:A,'Model Modeshare by TAZ'!B:B)</f>
        <v>San Jose</v>
      </c>
      <c r="C1182" s="90" t="str">
        <f>_xlfn.XLOOKUP(A1182,'Model Modeshare by TAZ'!A:A,'Model Modeshare by TAZ'!D:D)</f>
        <v>NO</v>
      </c>
      <c r="D1182" s="27">
        <v>2976.26</v>
      </c>
      <c r="E1182" s="27">
        <v>43392.639999999999</v>
      </c>
      <c r="F1182" s="27">
        <v>3252.28</v>
      </c>
      <c r="G1182" s="27">
        <v>25491.43</v>
      </c>
      <c r="H1182" s="27">
        <v>184.86</v>
      </c>
      <c r="I1182" s="27">
        <v>1864.26</v>
      </c>
      <c r="J1182" s="6">
        <v>2306</v>
      </c>
      <c r="K1182" s="6">
        <v>103</v>
      </c>
      <c r="L1182" s="27">
        <v>11.054392888117953</v>
      </c>
      <c r="M1182" s="27">
        <v>18.099611650485436</v>
      </c>
      <c r="N1182" s="34">
        <v>15.476928185969282</v>
      </c>
    </row>
    <row r="1183" spans="1:14" x14ac:dyDescent="0.35">
      <c r="A1183" s="82">
        <v>1180</v>
      </c>
      <c r="B1183" s="89" t="str">
        <f>_xlfn.XLOOKUP(A1183,'Model Modeshare by TAZ'!A:A,'Model Modeshare by TAZ'!B:B)</f>
        <v>San Jose</v>
      </c>
      <c r="C1183" s="90" t="str">
        <f>_xlfn.XLOOKUP(A1183,'Model Modeshare by TAZ'!A:A,'Model Modeshare by TAZ'!D:D)</f>
        <v>NO</v>
      </c>
      <c r="D1183" s="27">
        <v>3120.78</v>
      </c>
      <c r="E1183" s="27">
        <v>37861.97</v>
      </c>
      <c r="F1183" s="27">
        <v>2461.9299999999998</v>
      </c>
      <c r="G1183" s="27">
        <v>16161.15</v>
      </c>
      <c r="H1183" s="27">
        <v>511.21</v>
      </c>
      <c r="I1183" s="27">
        <v>5032.95</v>
      </c>
      <c r="J1183" s="6">
        <v>1831</v>
      </c>
      <c r="K1183" s="6">
        <v>336</v>
      </c>
      <c r="L1183" s="27">
        <v>8.8264063353358821</v>
      </c>
      <c r="M1183" s="27">
        <v>14.979017857142857</v>
      </c>
      <c r="N1183" s="34">
        <v>14.527669589293954</v>
      </c>
    </row>
    <row r="1184" spans="1:14" x14ac:dyDescent="0.35">
      <c r="A1184" s="82">
        <v>1181</v>
      </c>
      <c r="B1184" s="89" t="str">
        <f>_xlfn.XLOOKUP(A1184,'Model Modeshare by TAZ'!A:A,'Model Modeshare by TAZ'!B:B)</f>
        <v>San Jose</v>
      </c>
      <c r="C1184" s="90" t="str">
        <f>_xlfn.XLOOKUP(A1184,'Model Modeshare by TAZ'!A:A,'Model Modeshare by TAZ'!D:D)</f>
        <v>NO</v>
      </c>
      <c r="D1184" s="27">
        <v>6299.28</v>
      </c>
      <c r="E1184" s="27">
        <v>99709.52</v>
      </c>
      <c r="F1184" s="27">
        <v>5673.67</v>
      </c>
      <c r="G1184" s="27">
        <v>40598.42</v>
      </c>
      <c r="H1184" s="27">
        <v>570.5</v>
      </c>
      <c r="I1184" s="27">
        <v>5344.85</v>
      </c>
      <c r="J1184" s="6">
        <v>4531</v>
      </c>
      <c r="K1184" s="6">
        <v>322</v>
      </c>
      <c r="L1184" s="27">
        <v>8.9601456632090049</v>
      </c>
      <c r="M1184" s="27">
        <v>16.598913043478262</v>
      </c>
      <c r="N1184" s="34">
        <v>17.172827117247063</v>
      </c>
    </row>
    <row r="1185" spans="1:14" x14ac:dyDescent="0.35">
      <c r="A1185" s="82">
        <v>1182</v>
      </c>
      <c r="B1185" s="89" t="str">
        <f>_xlfn.XLOOKUP(A1185,'Model Modeshare by TAZ'!A:A,'Model Modeshare by TAZ'!B:B)</f>
        <v>San Jose</v>
      </c>
      <c r="C1185" s="90" t="str">
        <f>_xlfn.XLOOKUP(A1185,'Model Modeshare by TAZ'!A:A,'Model Modeshare by TAZ'!D:D)</f>
        <v>NO</v>
      </c>
      <c r="D1185" s="27">
        <v>1074.99</v>
      </c>
      <c r="E1185" s="27">
        <v>16881.830000000002</v>
      </c>
      <c r="F1185" s="27">
        <v>1132.24</v>
      </c>
      <c r="G1185" s="27">
        <v>7979.34</v>
      </c>
      <c r="H1185" s="27">
        <v>132.85</v>
      </c>
      <c r="I1185" s="27">
        <v>1376.61</v>
      </c>
      <c r="J1185" s="6">
        <v>888</v>
      </c>
      <c r="K1185" s="6">
        <v>73</v>
      </c>
      <c r="L1185" s="27">
        <v>8.9857432432432436</v>
      </c>
      <c r="M1185" s="27">
        <v>18.857671232876712</v>
      </c>
      <c r="N1185" s="34">
        <v>18.58496357960458</v>
      </c>
    </row>
    <row r="1186" spans="1:14" x14ac:dyDescent="0.35">
      <c r="A1186" s="82">
        <v>1183</v>
      </c>
      <c r="B1186" s="89" t="str">
        <f>_xlfn.XLOOKUP(A1186,'Model Modeshare by TAZ'!A:A,'Model Modeshare by TAZ'!B:B)</f>
        <v>San Jose</v>
      </c>
      <c r="C1186" s="90" t="str">
        <f>_xlfn.XLOOKUP(A1186,'Model Modeshare by TAZ'!A:A,'Model Modeshare by TAZ'!D:D)</f>
        <v>NO</v>
      </c>
      <c r="D1186" s="27">
        <v>2101.1</v>
      </c>
      <c r="E1186" s="27">
        <v>31756.46</v>
      </c>
      <c r="F1186" s="27">
        <v>630.72</v>
      </c>
      <c r="G1186" s="27">
        <v>3038.14</v>
      </c>
      <c r="H1186" s="27">
        <v>3277.6</v>
      </c>
      <c r="I1186" s="27">
        <v>31896.98</v>
      </c>
      <c r="J1186" s="6">
        <v>736</v>
      </c>
      <c r="K1186" s="6">
        <v>2920</v>
      </c>
      <c r="L1186" s="27">
        <v>4.1279076086956517</v>
      </c>
      <c r="M1186" s="27">
        <v>10.923623287671234</v>
      </c>
      <c r="N1186" s="34">
        <v>20.375202407002188</v>
      </c>
    </row>
    <row r="1187" spans="1:14" x14ac:dyDescent="0.35">
      <c r="A1187" s="82">
        <v>1184</v>
      </c>
      <c r="B1187" s="89" t="str">
        <f>_xlfn.XLOOKUP(A1187,'Model Modeshare by TAZ'!A:A,'Model Modeshare by TAZ'!B:B)</f>
        <v>San Jose</v>
      </c>
      <c r="C1187" s="90" t="str">
        <f>_xlfn.XLOOKUP(A1187,'Model Modeshare by TAZ'!A:A,'Model Modeshare by TAZ'!D:D)</f>
        <v>NO</v>
      </c>
      <c r="D1187" s="27">
        <v>5518.23</v>
      </c>
      <c r="E1187" s="27">
        <v>102308.12</v>
      </c>
      <c r="F1187" s="27">
        <v>0</v>
      </c>
      <c r="G1187" s="27">
        <v>0</v>
      </c>
      <c r="H1187" s="27">
        <v>4399.8100000000004</v>
      </c>
      <c r="I1187" s="27">
        <v>44046.67</v>
      </c>
      <c r="J1187" s="6">
        <v>1</v>
      </c>
      <c r="K1187" s="6">
        <v>3899</v>
      </c>
      <c r="L1187" s="27">
        <v>0</v>
      </c>
      <c r="M1187" s="27">
        <v>11.296914593485509</v>
      </c>
      <c r="N1187" s="34">
        <v>23.800971794871792</v>
      </c>
    </row>
    <row r="1188" spans="1:14" x14ac:dyDescent="0.35">
      <c r="A1188" s="82">
        <v>1185</v>
      </c>
      <c r="B1188" s="89" t="str">
        <f>_xlfn.XLOOKUP(A1188,'Model Modeshare by TAZ'!A:A,'Model Modeshare by TAZ'!B:B)</f>
        <v>San Jose</v>
      </c>
      <c r="C1188" s="90" t="str">
        <f>_xlfn.XLOOKUP(A1188,'Model Modeshare by TAZ'!A:A,'Model Modeshare by TAZ'!D:D)</f>
        <v>NO</v>
      </c>
      <c r="D1188" s="27">
        <v>5322.64</v>
      </c>
      <c r="E1188" s="27">
        <v>89359.27</v>
      </c>
      <c r="F1188" s="27">
        <v>1604.55</v>
      </c>
      <c r="G1188" s="27">
        <v>6986.79</v>
      </c>
      <c r="H1188" s="27">
        <v>1461.19</v>
      </c>
      <c r="I1188" s="27">
        <v>14614.22</v>
      </c>
      <c r="J1188" s="6">
        <v>1603</v>
      </c>
      <c r="K1188" s="6">
        <v>1269</v>
      </c>
      <c r="L1188" s="27">
        <v>4.3585714285714285</v>
      </c>
      <c r="M1188" s="27">
        <v>11.51632781717888</v>
      </c>
      <c r="N1188" s="34">
        <v>17.38367688022284</v>
      </c>
    </row>
    <row r="1189" spans="1:14" x14ac:dyDescent="0.35">
      <c r="A1189" s="82">
        <v>1186</v>
      </c>
      <c r="B1189" s="89" t="str">
        <f>_xlfn.XLOOKUP(A1189,'Model Modeshare by TAZ'!A:A,'Model Modeshare by TAZ'!B:B)</f>
        <v>San Jose</v>
      </c>
      <c r="C1189" s="90" t="str">
        <f>_xlfn.XLOOKUP(A1189,'Model Modeshare by TAZ'!A:A,'Model Modeshare by TAZ'!D:D)</f>
        <v>NO</v>
      </c>
      <c r="D1189" s="27">
        <v>1796.99</v>
      </c>
      <c r="E1189" s="27">
        <v>28964.59</v>
      </c>
      <c r="F1189" s="27">
        <v>173.82</v>
      </c>
      <c r="G1189" s="27">
        <v>774.04</v>
      </c>
      <c r="H1189" s="27">
        <v>2427.48</v>
      </c>
      <c r="I1189" s="27">
        <v>24643.95</v>
      </c>
      <c r="J1189" s="6">
        <v>163</v>
      </c>
      <c r="K1189" s="6">
        <v>2112</v>
      </c>
      <c r="L1189" s="27">
        <v>4.748711656441718</v>
      </c>
      <c r="M1189" s="27">
        <v>11.668536931818181</v>
      </c>
      <c r="N1189" s="34">
        <v>22.996334065934068</v>
      </c>
    </row>
    <row r="1190" spans="1:14" x14ac:dyDescent="0.35">
      <c r="A1190" s="82">
        <v>1187</v>
      </c>
      <c r="B1190" s="89" t="str">
        <f>_xlfn.XLOOKUP(A1190,'Model Modeshare by TAZ'!A:A,'Model Modeshare by TAZ'!B:B)</f>
        <v>San Jose</v>
      </c>
      <c r="C1190" s="90" t="str">
        <f>_xlfn.XLOOKUP(A1190,'Model Modeshare by TAZ'!A:A,'Model Modeshare by TAZ'!D:D)</f>
        <v>NO</v>
      </c>
      <c r="D1190" s="27">
        <v>5135.84</v>
      </c>
      <c r="E1190" s="27">
        <v>83571.539999999994</v>
      </c>
      <c r="F1190" s="27">
        <v>5391.06</v>
      </c>
      <c r="G1190" s="27">
        <v>35569.43</v>
      </c>
      <c r="H1190" s="27">
        <v>914.54</v>
      </c>
      <c r="I1190" s="27">
        <v>9260.0499999999993</v>
      </c>
      <c r="J1190" s="6">
        <v>4340</v>
      </c>
      <c r="K1190" s="6">
        <v>513</v>
      </c>
      <c r="L1190" s="27">
        <v>8.1957211981566829</v>
      </c>
      <c r="M1190" s="27">
        <v>18.050779727095517</v>
      </c>
      <c r="N1190" s="34">
        <v>19.538213476200287</v>
      </c>
    </row>
    <row r="1191" spans="1:14" x14ac:dyDescent="0.35">
      <c r="A1191" s="82">
        <v>1188</v>
      </c>
      <c r="B1191" s="89" t="str">
        <f>_xlfn.XLOOKUP(A1191,'Model Modeshare by TAZ'!A:A,'Model Modeshare by TAZ'!B:B)</f>
        <v>San Jose</v>
      </c>
      <c r="C1191" s="90" t="str">
        <f>_xlfn.XLOOKUP(A1191,'Model Modeshare by TAZ'!A:A,'Model Modeshare by TAZ'!D:D)</f>
        <v>NO</v>
      </c>
      <c r="D1191" s="27">
        <v>4417.25</v>
      </c>
      <c r="E1191" s="27">
        <v>68997.02</v>
      </c>
      <c r="F1191" s="27">
        <v>2367.29</v>
      </c>
      <c r="G1191" s="27">
        <v>13467.41</v>
      </c>
      <c r="H1191" s="27">
        <v>1576.87</v>
      </c>
      <c r="I1191" s="27">
        <v>15525.09</v>
      </c>
      <c r="J1191" s="6">
        <v>1846</v>
      </c>
      <c r="K1191" s="6">
        <v>1398</v>
      </c>
      <c r="L1191" s="27">
        <v>7.2954550379198269</v>
      </c>
      <c r="M1191" s="27">
        <v>11.105214592274677</v>
      </c>
      <c r="N1191" s="34">
        <v>20.898615906288533</v>
      </c>
    </row>
    <row r="1192" spans="1:14" x14ac:dyDescent="0.35">
      <c r="A1192" s="82">
        <v>1189</v>
      </c>
      <c r="B1192" s="89" t="str">
        <f>_xlfn.XLOOKUP(A1192,'Model Modeshare by TAZ'!A:A,'Model Modeshare by TAZ'!B:B)</f>
        <v>San Jose</v>
      </c>
      <c r="C1192" s="90" t="str">
        <f>_xlfn.XLOOKUP(A1192,'Model Modeshare by TAZ'!A:A,'Model Modeshare by TAZ'!D:D)</f>
        <v>NO</v>
      </c>
      <c r="D1192" s="27">
        <v>3937.83</v>
      </c>
      <c r="E1192" s="27">
        <v>63298.52</v>
      </c>
      <c r="F1192" s="27">
        <v>1974.54</v>
      </c>
      <c r="G1192" s="27">
        <v>13029.54</v>
      </c>
      <c r="H1192" s="27">
        <v>718.31</v>
      </c>
      <c r="I1192" s="27">
        <v>7441.58</v>
      </c>
      <c r="J1192" s="6">
        <v>1564</v>
      </c>
      <c r="K1192" s="6">
        <v>652</v>
      </c>
      <c r="L1192" s="27">
        <v>8.3309079283887471</v>
      </c>
      <c r="M1192" s="27">
        <v>11.413466257668711</v>
      </c>
      <c r="N1192" s="34">
        <v>23.31010379061372</v>
      </c>
    </row>
    <row r="1193" spans="1:14" x14ac:dyDescent="0.35">
      <c r="A1193" s="82">
        <v>1190</v>
      </c>
      <c r="B1193" s="89" t="str">
        <f>_xlfn.XLOOKUP(A1193,'Model Modeshare by TAZ'!A:A,'Model Modeshare by TAZ'!B:B)</f>
        <v>San Jose</v>
      </c>
      <c r="C1193" s="90" t="str">
        <f>_xlfn.XLOOKUP(A1193,'Model Modeshare by TAZ'!A:A,'Model Modeshare by TAZ'!D:D)</f>
        <v>NO</v>
      </c>
      <c r="D1193" s="27">
        <v>6671.47</v>
      </c>
      <c r="E1193" s="27">
        <v>85099.73</v>
      </c>
      <c r="F1193" s="27">
        <v>5185.62</v>
      </c>
      <c r="G1193" s="27">
        <v>33578.519999999997</v>
      </c>
      <c r="H1193" s="27">
        <v>1339.15</v>
      </c>
      <c r="I1193" s="27">
        <v>13109.77</v>
      </c>
      <c r="J1193" s="6">
        <v>4056</v>
      </c>
      <c r="K1193" s="6">
        <v>967</v>
      </c>
      <c r="L1193" s="27">
        <v>8.2787278106508868</v>
      </c>
      <c r="M1193" s="27">
        <v>13.557156153050673</v>
      </c>
      <c r="N1193" s="34">
        <v>15.369044395779415</v>
      </c>
    </row>
    <row r="1194" spans="1:14" x14ac:dyDescent="0.35">
      <c r="A1194" s="82">
        <v>1191</v>
      </c>
      <c r="B1194" s="89" t="str">
        <f>_xlfn.XLOOKUP(A1194,'Model Modeshare by TAZ'!A:A,'Model Modeshare by TAZ'!B:B)</f>
        <v>San Jose</v>
      </c>
      <c r="C1194" s="90" t="str">
        <f>_xlfn.XLOOKUP(A1194,'Model Modeshare by TAZ'!A:A,'Model Modeshare by TAZ'!D:D)</f>
        <v>NO</v>
      </c>
      <c r="D1194" s="27">
        <v>2218.4</v>
      </c>
      <c r="E1194" s="27">
        <v>36153.42</v>
      </c>
      <c r="F1194" s="27">
        <v>4184.1000000000004</v>
      </c>
      <c r="G1194" s="27">
        <v>30698.799999999999</v>
      </c>
      <c r="H1194" s="27">
        <v>785.65</v>
      </c>
      <c r="I1194" s="27">
        <v>7498.01</v>
      </c>
      <c r="J1194" s="6">
        <v>3145</v>
      </c>
      <c r="K1194" s="6">
        <v>446</v>
      </c>
      <c r="L1194" s="27">
        <v>9.7611446740858501</v>
      </c>
      <c r="M1194" s="27">
        <v>16.811681614349776</v>
      </c>
      <c r="N1194" s="34">
        <v>19.198833194096352</v>
      </c>
    </row>
    <row r="1195" spans="1:14" x14ac:dyDescent="0.35">
      <c r="A1195" s="82">
        <v>1192</v>
      </c>
      <c r="B1195" s="89" t="str">
        <f>_xlfn.XLOOKUP(A1195,'Model Modeshare by TAZ'!A:A,'Model Modeshare by TAZ'!B:B)</f>
        <v>San Jose</v>
      </c>
      <c r="C1195" s="90" t="str">
        <f>_xlfn.XLOOKUP(A1195,'Model Modeshare by TAZ'!A:A,'Model Modeshare by TAZ'!D:D)</f>
        <v>NO</v>
      </c>
      <c r="D1195" s="27">
        <v>3600.03</v>
      </c>
      <c r="E1195" s="27">
        <v>46479.55</v>
      </c>
      <c r="F1195" s="27">
        <v>3056.25</v>
      </c>
      <c r="G1195" s="27">
        <v>20215.79</v>
      </c>
      <c r="H1195" s="27">
        <v>230.68</v>
      </c>
      <c r="I1195" s="27">
        <v>2108.9299999999998</v>
      </c>
      <c r="J1195" s="6">
        <v>2477</v>
      </c>
      <c r="K1195" s="6">
        <v>131</v>
      </c>
      <c r="L1195" s="27">
        <v>8.1614008881711744</v>
      </c>
      <c r="M1195" s="27">
        <v>16.098702290076336</v>
      </c>
      <c r="N1195" s="34">
        <v>12.818174846625768</v>
      </c>
    </row>
    <row r="1196" spans="1:14" x14ac:dyDescent="0.35">
      <c r="A1196" s="82">
        <v>1193</v>
      </c>
      <c r="B1196" s="89" t="str">
        <f>_xlfn.XLOOKUP(A1196,'Model Modeshare by TAZ'!A:A,'Model Modeshare by TAZ'!B:B)</f>
        <v>San Jose</v>
      </c>
      <c r="C1196" s="90" t="str">
        <f>_xlfn.XLOOKUP(A1196,'Model Modeshare by TAZ'!A:A,'Model Modeshare by TAZ'!D:D)</f>
        <v>NO</v>
      </c>
      <c r="D1196" s="27">
        <v>311.82</v>
      </c>
      <c r="E1196" s="27">
        <v>6962.86</v>
      </c>
      <c r="F1196" s="27">
        <v>199.28</v>
      </c>
      <c r="G1196" s="27">
        <v>1462.12</v>
      </c>
      <c r="H1196" s="27">
        <v>320.12</v>
      </c>
      <c r="I1196" s="27">
        <v>4121.9399999999996</v>
      </c>
      <c r="J1196" s="6">
        <v>189</v>
      </c>
      <c r="K1196" s="6">
        <v>347</v>
      </c>
      <c r="L1196" s="27">
        <v>7.7360846560846559</v>
      </c>
      <c r="M1196" s="27">
        <v>11.878789625360229</v>
      </c>
      <c r="N1196" s="34">
        <v>31.408787313432835</v>
      </c>
    </row>
    <row r="1197" spans="1:14" x14ac:dyDescent="0.35">
      <c r="A1197" s="82">
        <v>1194</v>
      </c>
      <c r="B1197" s="89" t="str">
        <f>_xlfn.XLOOKUP(A1197,'Model Modeshare by TAZ'!A:A,'Model Modeshare by TAZ'!B:B)</f>
        <v>San Jose</v>
      </c>
      <c r="C1197" s="90" t="str">
        <f>_xlfn.XLOOKUP(A1197,'Model Modeshare by TAZ'!A:A,'Model Modeshare by TAZ'!D:D)</f>
        <v>NO</v>
      </c>
      <c r="D1197" s="27">
        <v>570.66</v>
      </c>
      <c r="E1197" s="27">
        <v>11997.15</v>
      </c>
      <c r="F1197" s="27">
        <v>49.02</v>
      </c>
      <c r="G1197" s="27">
        <v>350.53</v>
      </c>
      <c r="H1197" s="27">
        <v>814.97</v>
      </c>
      <c r="I1197" s="27">
        <v>10161.34</v>
      </c>
      <c r="J1197" s="6">
        <v>39</v>
      </c>
      <c r="K1197" s="6">
        <v>889</v>
      </c>
      <c r="L1197" s="27">
        <v>8.9879487179487167</v>
      </c>
      <c r="M1197" s="27">
        <v>11.43007874015748</v>
      </c>
      <c r="N1197" s="34">
        <v>34.596821120689654</v>
      </c>
    </row>
    <row r="1198" spans="1:14" x14ac:dyDescent="0.35">
      <c r="A1198" s="82">
        <v>1195</v>
      </c>
      <c r="B1198" s="89" t="str">
        <f>_xlfn.XLOOKUP(A1198,'Model Modeshare by TAZ'!A:A,'Model Modeshare by TAZ'!B:B)</f>
        <v>San Jose</v>
      </c>
      <c r="C1198" s="90" t="str">
        <f>_xlfn.XLOOKUP(A1198,'Model Modeshare by TAZ'!A:A,'Model Modeshare by TAZ'!D:D)</f>
        <v>NO</v>
      </c>
      <c r="D1198" s="27">
        <v>2726.69</v>
      </c>
      <c r="E1198" s="27">
        <v>66098.36</v>
      </c>
      <c r="F1198" s="27">
        <v>0</v>
      </c>
      <c r="G1198" s="27">
        <v>0</v>
      </c>
      <c r="H1198" s="27">
        <v>805.84</v>
      </c>
      <c r="I1198" s="27">
        <v>10196.4</v>
      </c>
      <c r="J1198" s="6">
        <v>3</v>
      </c>
      <c r="K1198" s="6">
        <v>933</v>
      </c>
      <c r="L1198" s="27">
        <v>0</v>
      </c>
      <c r="M1198" s="27">
        <v>10.928617363344051</v>
      </c>
      <c r="N1198" s="34">
        <v>38.479946581196586</v>
      </c>
    </row>
    <row r="1199" spans="1:14" x14ac:dyDescent="0.35">
      <c r="A1199" s="82">
        <v>1196</v>
      </c>
      <c r="B1199" s="89" t="str">
        <f>_xlfn.XLOOKUP(A1199,'Model Modeshare by TAZ'!A:A,'Model Modeshare by TAZ'!B:B)</f>
        <v>San Jose</v>
      </c>
      <c r="C1199" s="90" t="str">
        <f>_xlfn.XLOOKUP(A1199,'Model Modeshare by TAZ'!A:A,'Model Modeshare by TAZ'!D:D)</f>
        <v>NO</v>
      </c>
      <c r="D1199" s="27">
        <v>1074.69</v>
      </c>
      <c r="E1199" s="27">
        <v>27641.23</v>
      </c>
      <c r="F1199" s="27">
        <v>0</v>
      </c>
      <c r="G1199" s="27">
        <v>0</v>
      </c>
      <c r="H1199" s="27">
        <v>266.94</v>
      </c>
      <c r="I1199" s="27">
        <v>3419.97</v>
      </c>
      <c r="J1199" s="6">
        <v>0</v>
      </c>
      <c r="K1199" s="6">
        <v>398</v>
      </c>
      <c r="L1199" s="27">
        <v>0</v>
      </c>
      <c r="M1199" s="27">
        <v>8.5928894472361801</v>
      </c>
      <c r="N1199" s="34">
        <v>33.971206030150753</v>
      </c>
    </row>
    <row r="1200" spans="1:14" x14ac:dyDescent="0.35">
      <c r="A1200" s="82">
        <v>1197</v>
      </c>
      <c r="B1200" s="89" t="str">
        <f>_xlfn.XLOOKUP(A1200,'Model Modeshare by TAZ'!A:A,'Model Modeshare by TAZ'!B:B)</f>
        <v>San Jose</v>
      </c>
      <c r="C1200" s="90" t="str">
        <f>_xlfn.XLOOKUP(A1200,'Model Modeshare by TAZ'!A:A,'Model Modeshare by TAZ'!D:D)</f>
        <v>NO</v>
      </c>
      <c r="D1200" s="27">
        <v>4156.6499999999996</v>
      </c>
      <c r="E1200" s="27">
        <v>99504.52</v>
      </c>
      <c r="F1200" s="27">
        <v>2.68</v>
      </c>
      <c r="G1200" s="27">
        <v>16.510000000000002</v>
      </c>
      <c r="H1200" s="27">
        <v>2281.85</v>
      </c>
      <c r="I1200" s="27">
        <v>30164.61</v>
      </c>
      <c r="J1200" s="6">
        <v>10</v>
      </c>
      <c r="K1200" s="6">
        <v>3670</v>
      </c>
      <c r="L1200" s="27">
        <v>1.6510000000000002</v>
      </c>
      <c r="M1200" s="27">
        <v>8.2192397820163485</v>
      </c>
      <c r="N1200" s="34">
        <v>34.325815217391302</v>
      </c>
    </row>
    <row r="1201" spans="1:14" x14ac:dyDescent="0.35">
      <c r="A1201" s="82">
        <v>1198</v>
      </c>
      <c r="B1201" s="89" t="str">
        <f>_xlfn.XLOOKUP(A1201,'Model Modeshare by TAZ'!A:A,'Model Modeshare by TAZ'!B:B)</f>
        <v>San Jose</v>
      </c>
      <c r="C1201" s="90" t="str">
        <f>_xlfn.XLOOKUP(A1201,'Model Modeshare by TAZ'!A:A,'Model Modeshare by TAZ'!D:D)</f>
        <v>NO</v>
      </c>
      <c r="D1201" s="27">
        <v>4827.62</v>
      </c>
      <c r="E1201" s="27">
        <v>111169.21</v>
      </c>
      <c r="F1201" s="27">
        <v>696.66</v>
      </c>
      <c r="G1201" s="27">
        <v>4838.9799999999996</v>
      </c>
      <c r="H1201" s="27">
        <v>3246.1</v>
      </c>
      <c r="I1201" s="27">
        <v>40284.550000000003</v>
      </c>
      <c r="J1201" s="6">
        <v>585</v>
      </c>
      <c r="K1201" s="6">
        <v>3603</v>
      </c>
      <c r="L1201" s="27">
        <v>8.2717606837606823</v>
      </c>
      <c r="M1201" s="27">
        <v>11.180835414932002</v>
      </c>
      <c r="N1201" s="34">
        <v>35.748359598853867</v>
      </c>
    </row>
    <row r="1202" spans="1:14" x14ac:dyDescent="0.35">
      <c r="A1202" s="82">
        <v>1199</v>
      </c>
      <c r="B1202" s="89" t="str">
        <f>_xlfn.XLOOKUP(A1202,'Model Modeshare by TAZ'!A:A,'Model Modeshare by TAZ'!B:B)</f>
        <v>San Jose</v>
      </c>
      <c r="C1202" s="90" t="str">
        <f>_xlfn.XLOOKUP(A1202,'Model Modeshare by TAZ'!A:A,'Model Modeshare by TAZ'!D:D)</f>
        <v>NO</v>
      </c>
      <c r="D1202" s="27">
        <v>72.36</v>
      </c>
      <c r="E1202" s="27">
        <v>1421.13</v>
      </c>
      <c r="F1202" s="27">
        <v>6.12</v>
      </c>
      <c r="G1202" s="27">
        <v>34.409999999999997</v>
      </c>
      <c r="H1202" s="27">
        <v>122.69</v>
      </c>
      <c r="I1202" s="27">
        <v>1542.77</v>
      </c>
      <c r="J1202" s="6">
        <v>13</v>
      </c>
      <c r="K1202" s="6">
        <v>97</v>
      </c>
      <c r="L1202" s="27">
        <v>2.6469230769230765</v>
      </c>
      <c r="M1202" s="27">
        <v>15.904845360824742</v>
      </c>
      <c r="N1202" s="34">
        <v>37.232181818181814</v>
      </c>
    </row>
    <row r="1203" spans="1:14" x14ac:dyDescent="0.35">
      <c r="A1203" s="82">
        <v>1200</v>
      </c>
      <c r="B1203" s="89" t="str">
        <f>_xlfn.XLOOKUP(A1203,'Model Modeshare by TAZ'!A:A,'Model Modeshare by TAZ'!B:B)</f>
        <v>San Jose</v>
      </c>
      <c r="C1203" s="90" t="str">
        <f>_xlfn.XLOOKUP(A1203,'Model Modeshare by TAZ'!A:A,'Model Modeshare by TAZ'!D:D)</f>
        <v>NO</v>
      </c>
      <c r="D1203" s="27">
        <v>996.14</v>
      </c>
      <c r="E1203" s="27">
        <v>21916.7</v>
      </c>
      <c r="F1203" s="27">
        <v>248.73</v>
      </c>
      <c r="G1203" s="27">
        <v>1722.57</v>
      </c>
      <c r="H1203" s="27">
        <v>464.42</v>
      </c>
      <c r="I1203" s="27">
        <v>5706.75</v>
      </c>
      <c r="J1203" s="6">
        <v>198</v>
      </c>
      <c r="K1203" s="6">
        <v>481</v>
      </c>
      <c r="L1203" s="27">
        <v>8.6998484848484843</v>
      </c>
      <c r="M1203" s="27">
        <v>11.864345114345115</v>
      </c>
      <c r="N1203" s="34">
        <v>31.782297496318115</v>
      </c>
    </row>
    <row r="1204" spans="1:14" x14ac:dyDescent="0.35">
      <c r="A1204" s="82">
        <v>1201</v>
      </c>
      <c r="B1204" s="89" t="str">
        <f>_xlfn.XLOOKUP(A1204,'Model Modeshare by TAZ'!A:A,'Model Modeshare by TAZ'!B:B)</f>
        <v>San Jose</v>
      </c>
      <c r="C1204" s="90" t="str">
        <f>_xlfn.XLOOKUP(A1204,'Model Modeshare by TAZ'!A:A,'Model Modeshare by TAZ'!D:D)</f>
        <v>NO</v>
      </c>
      <c r="D1204" s="27">
        <v>2546.6999999999998</v>
      </c>
      <c r="E1204" s="27">
        <v>58783.81</v>
      </c>
      <c r="F1204" s="27">
        <v>2.41</v>
      </c>
      <c r="G1204" s="27">
        <v>14.17</v>
      </c>
      <c r="H1204" s="27">
        <v>1267.98</v>
      </c>
      <c r="I1204" s="27">
        <v>16679.32</v>
      </c>
      <c r="J1204" s="6">
        <v>8</v>
      </c>
      <c r="K1204" s="6">
        <v>1910</v>
      </c>
      <c r="L1204" s="27">
        <v>1.77125</v>
      </c>
      <c r="M1204" s="27">
        <v>8.7326282722513096</v>
      </c>
      <c r="N1204" s="34">
        <v>34.741053180396243</v>
      </c>
    </row>
    <row r="1205" spans="1:14" x14ac:dyDescent="0.35">
      <c r="A1205" s="82">
        <v>1202</v>
      </c>
      <c r="B1205" s="89" t="str">
        <f>_xlfn.XLOOKUP(A1205,'Model Modeshare by TAZ'!A:A,'Model Modeshare by TAZ'!B:B)</f>
        <v>San Jose</v>
      </c>
      <c r="C1205" s="90" t="str">
        <f>_xlfn.XLOOKUP(A1205,'Model Modeshare by TAZ'!A:A,'Model Modeshare by TAZ'!D:D)</f>
        <v>NO</v>
      </c>
      <c r="D1205" s="27">
        <v>1885.36</v>
      </c>
      <c r="E1205" s="27">
        <v>37796.68</v>
      </c>
      <c r="F1205" s="27">
        <v>1302.18</v>
      </c>
      <c r="G1205" s="27">
        <v>8823.84</v>
      </c>
      <c r="H1205" s="27">
        <v>300.36</v>
      </c>
      <c r="I1205" s="27">
        <v>3601.05</v>
      </c>
      <c r="J1205" s="6">
        <v>921</v>
      </c>
      <c r="K1205" s="6">
        <v>210</v>
      </c>
      <c r="L1205" s="27">
        <v>9.5807166123778504</v>
      </c>
      <c r="M1205" s="27">
        <v>17.147857142857145</v>
      </c>
      <c r="N1205" s="34">
        <v>28.680406719717066</v>
      </c>
    </row>
    <row r="1206" spans="1:14" x14ac:dyDescent="0.35">
      <c r="A1206" s="82">
        <v>1203</v>
      </c>
      <c r="B1206" s="89" t="str">
        <f>_xlfn.XLOOKUP(A1206,'Model Modeshare by TAZ'!A:A,'Model Modeshare by TAZ'!B:B)</f>
        <v>San Jose</v>
      </c>
      <c r="C1206" s="90" t="str">
        <f>_xlfn.XLOOKUP(A1206,'Model Modeshare by TAZ'!A:A,'Model Modeshare by TAZ'!D:D)</f>
        <v>NO</v>
      </c>
      <c r="D1206" s="27">
        <v>1204.3399999999999</v>
      </c>
      <c r="E1206" s="27">
        <v>26336.48</v>
      </c>
      <c r="F1206" s="27">
        <v>200.3</v>
      </c>
      <c r="G1206" s="27">
        <v>1390.63</v>
      </c>
      <c r="H1206" s="27">
        <v>209.25</v>
      </c>
      <c r="I1206" s="27">
        <v>2523.8200000000002</v>
      </c>
      <c r="J1206" s="6">
        <v>136</v>
      </c>
      <c r="K1206" s="6">
        <v>183</v>
      </c>
      <c r="L1206" s="27">
        <v>10.225220588235295</v>
      </c>
      <c r="M1206" s="27">
        <v>13.79136612021858</v>
      </c>
      <c r="N1206" s="34">
        <v>44.639310344827585</v>
      </c>
    </row>
    <row r="1207" spans="1:14" x14ac:dyDescent="0.35">
      <c r="A1207" s="82">
        <v>1204</v>
      </c>
      <c r="B1207" s="89" t="str">
        <f>_xlfn.XLOOKUP(A1207,'Model Modeshare by TAZ'!A:A,'Model Modeshare by TAZ'!B:B)</f>
        <v>San Jose</v>
      </c>
      <c r="C1207" s="90" t="str">
        <f>_xlfn.XLOOKUP(A1207,'Model Modeshare by TAZ'!A:A,'Model Modeshare by TAZ'!D:D)</f>
        <v>NO</v>
      </c>
      <c r="D1207" s="27">
        <v>2333.19</v>
      </c>
      <c r="E1207" s="27">
        <v>47416.05</v>
      </c>
      <c r="F1207" s="27">
        <v>1379.63</v>
      </c>
      <c r="G1207" s="27">
        <v>9411.3799999999992</v>
      </c>
      <c r="H1207" s="27">
        <v>336.28</v>
      </c>
      <c r="I1207" s="27">
        <v>4077.09</v>
      </c>
      <c r="J1207" s="6">
        <v>1077</v>
      </c>
      <c r="K1207" s="6">
        <v>246</v>
      </c>
      <c r="L1207" s="27">
        <v>8.7385143918291543</v>
      </c>
      <c r="M1207" s="27">
        <v>16.573536585365854</v>
      </c>
      <c r="N1207" s="34">
        <v>26.856530612244899</v>
      </c>
    </row>
    <row r="1208" spans="1:14" x14ac:dyDescent="0.35">
      <c r="A1208" s="82">
        <v>1205</v>
      </c>
      <c r="B1208" s="89" t="str">
        <f>_xlfn.XLOOKUP(A1208,'Model Modeshare by TAZ'!A:A,'Model Modeshare by TAZ'!B:B)</f>
        <v>San Jose</v>
      </c>
      <c r="C1208" s="90" t="str">
        <f>_xlfn.XLOOKUP(A1208,'Model Modeshare by TAZ'!A:A,'Model Modeshare by TAZ'!D:D)</f>
        <v>NO</v>
      </c>
      <c r="D1208" s="27">
        <v>4617.42</v>
      </c>
      <c r="E1208" s="27">
        <v>111423.03999999999</v>
      </c>
      <c r="F1208" s="27">
        <v>0.51</v>
      </c>
      <c r="G1208" s="27">
        <v>2.86</v>
      </c>
      <c r="H1208" s="27">
        <v>2278.71</v>
      </c>
      <c r="I1208" s="27">
        <v>30106.39</v>
      </c>
      <c r="J1208" s="6">
        <v>4</v>
      </c>
      <c r="K1208" s="6">
        <v>3280</v>
      </c>
      <c r="L1208" s="27">
        <v>0.71499999999999997</v>
      </c>
      <c r="M1208" s="27">
        <v>9.1787774390243904</v>
      </c>
      <c r="N1208" s="34">
        <v>36.092688794153474</v>
      </c>
    </row>
    <row r="1209" spans="1:14" x14ac:dyDescent="0.35">
      <c r="A1209" s="82">
        <v>1206</v>
      </c>
      <c r="B1209" s="89" t="str">
        <f>_xlfn.XLOOKUP(A1209,'Model Modeshare by TAZ'!A:A,'Model Modeshare by TAZ'!B:B)</f>
        <v>Santa Clara</v>
      </c>
      <c r="C1209" s="90" t="str">
        <f>_xlfn.XLOOKUP(A1209,'Model Modeshare by TAZ'!A:A,'Model Modeshare by TAZ'!D:D)</f>
        <v>NO</v>
      </c>
      <c r="D1209" s="27">
        <v>1664.42</v>
      </c>
      <c r="E1209" s="27">
        <v>46944.32</v>
      </c>
      <c r="F1209" s="27">
        <v>0</v>
      </c>
      <c r="G1209" s="27">
        <v>0</v>
      </c>
      <c r="H1209" s="27">
        <v>1056.3499999999999</v>
      </c>
      <c r="I1209" s="27">
        <v>16630.79</v>
      </c>
      <c r="J1209" s="6">
        <v>3</v>
      </c>
      <c r="K1209" s="6">
        <v>923</v>
      </c>
      <c r="L1209" s="27">
        <v>0</v>
      </c>
      <c r="M1209" s="27">
        <v>18.018190682556881</v>
      </c>
      <c r="N1209" s="34">
        <v>50.908617710583151</v>
      </c>
    </row>
    <row r="1210" spans="1:14" x14ac:dyDescent="0.35">
      <c r="A1210" s="82">
        <v>1207</v>
      </c>
      <c r="B1210" s="89" t="str">
        <f>_xlfn.XLOOKUP(A1210,'Model Modeshare by TAZ'!A:A,'Model Modeshare by TAZ'!B:B)</f>
        <v>Santa Clara</v>
      </c>
      <c r="C1210" s="90" t="str">
        <f>_xlfn.XLOOKUP(A1210,'Model Modeshare by TAZ'!A:A,'Model Modeshare by TAZ'!D:D)</f>
        <v>NO</v>
      </c>
      <c r="D1210" s="27">
        <v>987.49</v>
      </c>
      <c r="E1210" s="27">
        <v>25225.65</v>
      </c>
      <c r="F1210" s="27">
        <v>0</v>
      </c>
      <c r="G1210" s="27">
        <v>0</v>
      </c>
      <c r="H1210" s="27">
        <v>747.3</v>
      </c>
      <c r="I1210" s="27">
        <v>9884.39</v>
      </c>
      <c r="J1210" s="6">
        <v>0</v>
      </c>
      <c r="K1210" s="6">
        <v>625</v>
      </c>
      <c r="L1210" s="27">
        <v>0</v>
      </c>
      <c r="M1210" s="27">
        <v>15.815023999999999</v>
      </c>
      <c r="N1210" s="34">
        <v>40.765728000000003</v>
      </c>
    </row>
    <row r="1211" spans="1:14" x14ac:dyDescent="0.35">
      <c r="A1211" s="82">
        <v>1208</v>
      </c>
      <c r="B1211" s="89" t="str">
        <f>_xlfn.XLOOKUP(A1211,'Model Modeshare by TAZ'!A:A,'Model Modeshare by TAZ'!B:B)</f>
        <v>Santa Clara</v>
      </c>
      <c r="C1211" s="90" t="str">
        <f>_xlfn.XLOOKUP(A1211,'Model Modeshare by TAZ'!A:A,'Model Modeshare by TAZ'!D:D)</f>
        <v>NO</v>
      </c>
      <c r="D1211" s="27">
        <v>1478.23</v>
      </c>
      <c r="E1211" s="27">
        <v>39617.19</v>
      </c>
      <c r="F1211" s="27">
        <v>0</v>
      </c>
      <c r="G1211" s="27">
        <v>0</v>
      </c>
      <c r="H1211" s="27">
        <v>1224.3399999999999</v>
      </c>
      <c r="I1211" s="27">
        <v>16289.34</v>
      </c>
      <c r="J1211" s="6">
        <v>554</v>
      </c>
      <c r="K1211" s="6">
        <v>1041</v>
      </c>
      <c r="L1211" s="27">
        <v>0</v>
      </c>
      <c r="M1211" s="27">
        <v>15.64778097982709</v>
      </c>
      <c r="N1211" s="34">
        <v>23.554620689655174</v>
      </c>
    </row>
    <row r="1212" spans="1:14" x14ac:dyDescent="0.35">
      <c r="A1212" s="82">
        <v>1209</v>
      </c>
      <c r="B1212" s="89" t="str">
        <f>_xlfn.XLOOKUP(A1212,'Model Modeshare by TAZ'!A:A,'Model Modeshare by TAZ'!B:B)</f>
        <v>Santa Clara</v>
      </c>
      <c r="C1212" s="90" t="str">
        <f>_xlfn.XLOOKUP(A1212,'Model Modeshare by TAZ'!A:A,'Model Modeshare by TAZ'!D:D)</f>
        <v>NO</v>
      </c>
      <c r="D1212" s="27">
        <v>353.59</v>
      </c>
      <c r="E1212" s="27">
        <v>7456.5</v>
      </c>
      <c r="F1212" s="27">
        <v>258.76</v>
      </c>
      <c r="G1212" s="27">
        <v>1088.27</v>
      </c>
      <c r="H1212" s="27">
        <v>136.80000000000001</v>
      </c>
      <c r="I1212" s="27">
        <v>1562.99</v>
      </c>
      <c r="J1212" s="6">
        <v>192</v>
      </c>
      <c r="K1212" s="6">
        <v>121</v>
      </c>
      <c r="L1212" s="27">
        <v>5.6680729166666666</v>
      </c>
      <c r="M1212" s="27">
        <v>12.917272727272728</v>
      </c>
      <c r="N1212" s="34">
        <v>17.929968051118209</v>
      </c>
    </row>
    <row r="1213" spans="1:14" x14ac:dyDescent="0.35">
      <c r="A1213" s="82">
        <v>1210</v>
      </c>
      <c r="B1213" s="89" t="str">
        <f>_xlfn.XLOOKUP(A1213,'Model Modeshare by TAZ'!A:A,'Model Modeshare by TAZ'!B:B)</f>
        <v>Santa Clara</v>
      </c>
      <c r="C1213" s="90" t="str">
        <f>_xlfn.XLOOKUP(A1213,'Model Modeshare by TAZ'!A:A,'Model Modeshare by TAZ'!D:D)</f>
        <v>NO</v>
      </c>
      <c r="D1213" s="27">
        <v>5123.09</v>
      </c>
      <c r="E1213" s="27">
        <v>103875.67</v>
      </c>
      <c r="F1213" s="27">
        <v>139.22</v>
      </c>
      <c r="G1213" s="27">
        <v>591.85</v>
      </c>
      <c r="H1213" s="27">
        <v>1765.92</v>
      </c>
      <c r="I1213" s="27">
        <v>19296.98</v>
      </c>
      <c r="J1213" s="6">
        <v>455</v>
      </c>
      <c r="K1213" s="6">
        <v>1610</v>
      </c>
      <c r="L1213" s="27">
        <v>1.3007692307692309</v>
      </c>
      <c r="M1213" s="27">
        <v>11.985701863354038</v>
      </c>
      <c r="N1213" s="34">
        <v>47.152029055690072</v>
      </c>
    </row>
    <row r="1214" spans="1:14" x14ac:dyDescent="0.35">
      <c r="A1214" s="82">
        <v>1211</v>
      </c>
      <c r="B1214" s="89" t="str">
        <f>_xlfn.XLOOKUP(A1214,'Model Modeshare by TAZ'!A:A,'Model Modeshare by TAZ'!B:B)</f>
        <v>Santa Clara</v>
      </c>
      <c r="C1214" s="90" t="str">
        <f>_xlfn.XLOOKUP(A1214,'Model Modeshare by TAZ'!A:A,'Model Modeshare by TAZ'!D:D)</f>
        <v>NO</v>
      </c>
      <c r="D1214" s="27">
        <v>2552.65</v>
      </c>
      <c r="E1214" s="27">
        <v>42614.86</v>
      </c>
      <c r="F1214" s="27">
        <v>609.45000000000005</v>
      </c>
      <c r="G1214" s="27">
        <v>2870.45</v>
      </c>
      <c r="H1214" s="27">
        <v>1456.29</v>
      </c>
      <c r="I1214" s="27">
        <v>16646.349999999999</v>
      </c>
      <c r="J1214" s="6">
        <v>519</v>
      </c>
      <c r="K1214" s="6">
        <v>1411</v>
      </c>
      <c r="L1214" s="27">
        <v>5.5307321772639693</v>
      </c>
      <c r="M1214" s="27">
        <v>11.797554925584691</v>
      </c>
      <c r="N1214" s="34">
        <v>21.349036269430052</v>
      </c>
    </row>
    <row r="1215" spans="1:14" x14ac:dyDescent="0.35">
      <c r="A1215" s="82">
        <v>1212</v>
      </c>
      <c r="B1215" s="89" t="str">
        <f>_xlfn.XLOOKUP(A1215,'Model Modeshare by TAZ'!A:A,'Model Modeshare by TAZ'!B:B)</f>
        <v>Santa Clara</v>
      </c>
      <c r="C1215" s="90" t="str">
        <f>_xlfn.XLOOKUP(A1215,'Model Modeshare by TAZ'!A:A,'Model Modeshare by TAZ'!D:D)</f>
        <v>NO</v>
      </c>
      <c r="D1215" s="27">
        <v>457.5</v>
      </c>
      <c r="E1215" s="27">
        <v>4091.82</v>
      </c>
      <c r="F1215" s="27">
        <v>58.24</v>
      </c>
      <c r="G1215" s="27">
        <v>243.15</v>
      </c>
      <c r="H1215" s="27">
        <v>128.04</v>
      </c>
      <c r="I1215" s="27">
        <v>1473.33</v>
      </c>
      <c r="J1215" s="6">
        <v>46</v>
      </c>
      <c r="K1215" s="6">
        <v>114</v>
      </c>
      <c r="L1215" s="27">
        <v>5.285869565217391</v>
      </c>
      <c r="M1215" s="27">
        <v>12.923947368421052</v>
      </c>
      <c r="N1215" s="34">
        <v>26.103625000000001</v>
      </c>
    </row>
    <row r="1216" spans="1:14" x14ac:dyDescent="0.35">
      <c r="A1216" s="82">
        <v>1213</v>
      </c>
      <c r="B1216" s="89" t="str">
        <f>_xlfn.XLOOKUP(A1216,'Model Modeshare by TAZ'!A:A,'Model Modeshare by TAZ'!B:B)</f>
        <v>Santa Clara</v>
      </c>
      <c r="C1216" s="90" t="str">
        <f>_xlfn.XLOOKUP(A1216,'Model Modeshare by TAZ'!A:A,'Model Modeshare by TAZ'!D:D)</f>
        <v>NO</v>
      </c>
      <c r="D1216" s="27">
        <v>765.22</v>
      </c>
      <c r="E1216" s="27">
        <v>13926.09</v>
      </c>
      <c r="F1216" s="27">
        <v>57.38</v>
      </c>
      <c r="G1216" s="27">
        <v>327.49</v>
      </c>
      <c r="H1216" s="27">
        <v>232.97</v>
      </c>
      <c r="I1216" s="27">
        <v>2582.27</v>
      </c>
      <c r="J1216" s="6">
        <v>34</v>
      </c>
      <c r="K1216" s="6">
        <v>204</v>
      </c>
      <c r="L1216" s="27">
        <v>9.6320588235294125</v>
      </c>
      <c r="M1216" s="27">
        <v>12.658186274509804</v>
      </c>
      <c r="N1216" s="34">
        <v>66.14289915966387</v>
      </c>
    </row>
    <row r="1217" spans="1:14" x14ac:dyDescent="0.35">
      <c r="A1217" s="82">
        <v>1214</v>
      </c>
      <c r="B1217" s="89" t="str">
        <f>_xlfn.XLOOKUP(A1217,'Model Modeshare by TAZ'!A:A,'Model Modeshare by TAZ'!B:B)</f>
        <v>Santa Clara</v>
      </c>
      <c r="C1217" s="90" t="str">
        <f>_xlfn.XLOOKUP(A1217,'Model Modeshare by TAZ'!A:A,'Model Modeshare by TAZ'!D:D)</f>
        <v>NO</v>
      </c>
      <c r="D1217" s="27">
        <v>793.12</v>
      </c>
      <c r="E1217" s="27">
        <v>21948.67</v>
      </c>
      <c r="F1217" s="27">
        <v>0</v>
      </c>
      <c r="G1217" s="27">
        <v>0</v>
      </c>
      <c r="H1217" s="27">
        <v>867.16</v>
      </c>
      <c r="I1217" s="27">
        <v>11493.03</v>
      </c>
      <c r="J1217" s="6">
        <v>1</v>
      </c>
      <c r="K1217" s="6">
        <v>747</v>
      </c>
      <c r="L1217" s="27">
        <v>0</v>
      </c>
      <c r="M1217" s="27">
        <v>15.38558232931727</v>
      </c>
      <c r="N1217" s="34">
        <v>32.858048128342247</v>
      </c>
    </row>
    <row r="1218" spans="1:14" x14ac:dyDescent="0.35">
      <c r="A1218" s="82">
        <v>1215</v>
      </c>
      <c r="B1218" s="89" t="str">
        <f>_xlfn.XLOOKUP(A1218,'Model Modeshare by TAZ'!A:A,'Model Modeshare by TAZ'!B:B)</f>
        <v>Sunnyvale</v>
      </c>
      <c r="C1218" s="90" t="str">
        <f>_xlfn.XLOOKUP(A1218,'Model Modeshare by TAZ'!A:A,'Model Modeshare by TAZ'!D:D)</f>
        <v>NO</v>
      </c>
      <c r="D1218" s="27">
        <v>2169.87</v>
      </c>
      <c r="E1218" s="27">
        <v>56483.98</v>
      </c>
      <c r="F1218" s="27">
        <v>0</v>
      </c>
      <c r="G1218" s="27">
        <v>0</v>
      </c>
      <c r="H1218" s="27">
        <v>1718.21</v>
      </c>
      <c r="I1218" s="27">
        <v>22755.94</v>
      </c>
      <c r="J1218" s="6">
        <v>3</v>
      </c>
      <c r="K1218" s="6">
        <v>1420</v>
      </c>
      <c r="L1218" s="27">
        <v>0</v>
      </c>
      <c r="M1218" s="27">
        <v>16.02530985915493</v>
      </c>
      <c r="N1218" s="34">
        <v>33.521482782853127</v>
      </c>
    </row>
    <row r="1219" spans="1:14" x14ac:dyDescent="0.35">
      <c r="A1219" s="82">
        <v>1216</v>
      </c>
      <c r="B1219" s="89" t="str">
        <f>_xlfn.XLOOKUP(A1219,'Model Modeshare by TAZ'!A:A,'Model Modeshare by TAZ'!B:B)</f>
        <v>Santa Clara</v>
      </c>
      <c r="C1219" s="90" t="str">
        <f>_xlfn.XLOOKUP(A1219,'Model Modeshare by TAZ'!A:A,'Model Modeshare by TAZ'!D:D)</f>
        <v>NO</v>
      </c>
      <c r="D1219" s="27">
        <v>4395.0600000000004</v>
      </c>
      <c r="E1219" s="27">
        <v>66787.490000000005</v>
      </c>
      <c r="F1219" s="27">
        <v>4142.16</v>
      </c>
      <c r="G1219" s="27">
        <v>25923.63</v>
      </c>
      <c r="H1219" s="27">
        <v>88.82</v>
      </c>
      <c r="I1219" s="27">
        <v>1046.1300000000001</v>
      </c>
      <c r="J1219" s="6">
        <v>2817</v>
      </c>
      <c r="K1219" s="6">
        <v>48</v>
      </c>
      <c r="L1219" s="27">
        <v>9.2025665601703945</v>
      </c>
      <c r="M1219" s="27">
        <v>21.794375000000002</v>
      </c>
      <c r="N1219" s="34">
        <v>19.326806282722515</v>
      </c>
    </row>
    <row r="1220" spans="1:14" x14ac:dyDescent="0.35">
      <c r="A1220" s="82">
        <v>1217</v>
      </c>
      <c r="B1220" s="89" t="str">
        <f>_xlfn.XLOOKUP(A1220,'Model Modeshare by TAZ'!A:A,'Model Modeshare by TAZ'!B:B)</f>
        <v>Santa Clara</v>
      </c>
      <c r="C1220" s="90" t="str">
        <f>_xlfn.XLOOKUP(A1220,'Model Modeshare by TAZ'!A:A,'Model Modeshare by TAZ'!D:D)</f>
        <v>NO</v>
      </c>
      <c r="D1220" s="27">
        <v>2163</v>
      </c>
      <c r="E1220" s="27">
        <v>29710.47</v>
      </c>
      <c r="F1220" s="27">
        <v>1856.04</v>
      </c>
      <c r="G1220" s="27">
        <v>10381.01</v>
      </c>
      <c r="H1220" s="27">
        <v>0</v>
      </c>
      <c r="I1220" s="27">
        <v>0</v>
      </c>
      <c r="J1220" s="6">
        <v>1187</v>
      </c>
      <c r="K1220" s="6">
        <v>0</v>
      </c>
      <c r="L1220" s="27">
        <v>8.74558550968829</v>
      </c>
      <c r="M1220" s="27">
        <v>0</v>
      </c>
      <c r="N1220" s="34">
        <v>14.461187868576243</v>
      </c>
    </row>
    <row r="1221" spans="1:14" x14ac:dyDescent="0.35">
      <c r="A1221" s="82">
        <v>1218</v>
      </c>
      <c r="B1221" s="89" t="str">
        <f>_xlfn.XLOOKUP(A1221,'Model Modeshare by TAZ'!A:A,'Model Modeshare by TAZ'!B:B)</f>
        <v>Santa Clara</v>
      </c>
      <c r="C1221" s="90" t="str">
        <f>_xlfn.XLOOKUP(A1221,'Model Modeshare by TAZ'!A:A,'Model Modeshare by TAZ'!D:D)</f>
        <v>NO</v>
      </c>
      <c r="D1221" s="27">
        <v>1402.38</v>
      </c>
      <c r="E1221" s="27">
        <v>18194.22</v>
      </c>
      <c r="F1221" s="27">
        <v>1192.5999999999999</v>
      </c>
      <c r="G1221" s="27">
        <v>6081.6</v>
      </c>
      <c r="H1221" s="27">
        <v>236.73</v>
      </c>
      <c r="I1221" s="27">
        <v>2698.21</v>
      </c>
      <c r="J1221" s="6">
        <v>795</v>
      </c>
      <c r="K1221" s="6">
        <v>133</v>
      </c>
      <c r="L1221" s="27">
        <v>7.6498113207547176</v>
      </c>
      <c r="M1221" s="27">
        <v>20.287293233082707</v>
      </c>
      <c r="N1221" s="34">
        <v>16.066939655172416</v>
      </c>
    </row>
    <row r="1222" spans="1:14" x14ac:dyDescent="0.35">
      <c r="A1222" s="82">
        <v>1219</v>
      </c>
      <c r="B1222" s="89" t="str">
        <f>_xlfn.XLOOKUP(A1222,'Model Modeshare by TAZ'!A:A,'Model Modeshare by TAZ'!B:B)</f>
        <v>Santa Clara</v>
      </c>
      <c r="C1222" s="90" t="str">
        <f>_xlfn.XLOOKUP(A1222,'Model Modeshare by TAZ'!A:A,'Model Modeshare by TAZ'!D:D)</f>
        <v>NO</v>
      </c>
      <c r="D1222" s="27">
        <v>7576.21</v>
      </c>
      <c r="E1222" s="27">
        <v>194829.28</v>
      </c>
      <c r="F1222" s="27">
        <v>90.51</v>
      </c>
      <c r="G1222" s="27">
        <v>465.44</v>
      </c>
      <c r="H1222" s="27">
        <v>6366.83</v>
      </c>
      <c r="I1222" s="27">
        <v>89432.56</v>
      </c>
      <c r="J1222" s="6">
        <v>61</v>
      </c>
      <c r="K1222" s="6">
        <v>5299</v>
      </c>
      <c r="L1222" s="27">
        <v>7.6301639344262293</v>
      </c>
      <c r="M1222" s="27">
        <v>16.877252311756934</v>
      </c>
      <c r="N1222" s="34">
        <v>33.600201492537309</v>
      </c>
    </row>
    <row r="1223" spans="1:14" x14ac:dyDescent="0.35">
      <c r="A1223" s="82">
        <v>1220</v>
      </c>
      <c r="B1223" s="89" t="str">
        <f>_xlfn.XLOOKUP(A1223,'Model Modeshare by TAZ'!A:A,'Model Modeshare by TAZ'!B:B)</f>
        <v>San Jose</v>
      </c>
      <c r="C1223" s="90" t="str">
        <f>_xlfn.XLOOKUP(A1223,'Model Modeshare by TAZ'!A:A,'Model Modeshare by TAZ'!D:D)</f>
        <v>NO</v>
      </c>
      <c r="D1223" s="27">
        <v>3156.75</v>
      </c>
      <c r="E1223" s="27">
        <v>43174.07</v>
      </c>
      <c r="F1223" s="27">
        <v>1801.29</v>
      </c>
      <c r="G1223" s="27">
        <v>8552.36</v>
      </c>
      <c r="H1223" s="27">
        <v>621.29</v>
      </c>
      <c r="I1223" s="27">
        <v>6797.81</v>
      </c>
      <c r="J1223" s="6">
        <v>1165</v>
      </c>
      <c r="K1223" s="6">
        <v>557</v>
      </c>
      <c r="L1223" s="27">
        <v>7.3410815450643785</v>
      </c>
      <c r="M1223" s="27">
        <v>12.204326750448834</v>
      </c>
      <c r="N1223" s="34">
        <v>17.544332171893149</v>
      </c>
    </row>
    <row r="1224" spans="1:14" x14ac:dyDescent="0.35">
      <c r="A1224" s="82">
        <v>1221</v>
      </c>
      <c r="B1224" s="89" t="str">
        <f>_xlfn.XLOOKUP(A1224,'Model Modeshare by TAZ'!A:A,'Model Modeshare by TAZ'!B:B)</f>
        <v>Santa Clara</v>
      </c>
      <c r="C1224" s="90" t="str">
        <f>_xlfn.XLOOKUP(A1224,'Model Modeshare by TAZ'!A:A,'Model Modeshare by TAZ'!D:D)</f>
        <v>NO</v>
      </c>
      <c r="D1224" s="27">
        <v>1841.26</v>
      </c>
      <c r="E1224" s="27">
        <v>24356.57</v>
      </c>
      <c r="F1224" s="27">
        <v>724.99</v>
      </c>
      <c r="G1224" s="27">
        <v>3459.78</v>
      </c>
      <c r="H1224" s="27">
        <v>469.8</v>
      </c>
      <c r="I1224" s="27">
        <v>5081.38</v>
      </c>
      <c r="J1224" s="6">
        <v>475</v>
      </c>
      <c r="K1224" s="6">
        <v>424</v>
      </c>
      <c r="L1224" s="27">
        <v>7.2837473684210527</v>
      </c>
      <c r="M1224" s="27">
        <v>11.984386792452831</v>
      </c>
      <c r="N1224" s="34">
        <v>23.945350389321469</v>
      </c>
    </row>
    <row r="1225" spans="1:14" x14ac:dyDescent="0.35">
      <c r="A1225" s="82">
        <v>1222</v>
      </c>
      <c r="B1225" s="89" t="str">
        <f>_xlfn.XLOOKUP(A1225,'Model Modeshare by TAZ'!A:A,'Model Modeshare by TAZ'!B:B)</f>
        <v>Santa Clara</v>
      </c>
      <c r="C1225" s="90" t="str">
        <f>_xlfn.XLOOKUP(A1225,'Model Modeshare by TAZ'!A:A,'Model Modeshare by TAZ'!D:D)</f>
        <v>NO</v>
      </c>
      <c r="D1225" s="27">
        <v>540.12</v>
      </c>
      <c r="E1225" s="27">
        <v>4466.8999999999996</v>
      </c>
      <c r="F1225" s="27">
        <v>485.27</v>
      </c>
      <c r="G1225" s="27">
        <v>1688.22</v>
      </c>
      <c r="H1225" s="27">
        <v>12.07</v>
      </c>
      <c r="I1225" s="27">
        <v>137.19999999999999</v>
      </c>
      <c r="J1225" s="6">
        <v>396</v>
      </c>
      <c r="K1225" s="6">
        <v>7</v>
      </c>
      <c r="L1225" s="27">
        <v>4.2631818181818186</v>
      </c>
      <c r="M1225" s="27">
        <v>19.599999999999998</v>
      </c>
      <c r="N1225" s="34">
        <v>6.2481389578163773</v>
      </c>
    </row>
    <row r="1226" spans="1:14" x14ac:dyDescent="0.35">
      <c r="A1226" s="82">
        <v>1223</v>
      </c>
      <c r="B1226" s="89" t="str">
        <f>_xlfn.XLOOKUP(A1226,'Model Modeshare by TAZ'!A:A,'Model Modeshare by TAZ'!B:B)</f>
        <v>Santa Clara</v>
      </c>
      <c r="C1226" s="90" t="str">
        <f>_xlfn.XLOOKUP(A1226,'Model Modeshare by TAZ'!A:A,'Model Modeshare by TAZ'!D:D)</f>
        <v>NO</v>
      </c>
      <c r="D1226" s="27">
        <v>2018.97</v>
      </c>
      <c r="E1226" s="27">
        <v>20449.580000000002</v>
      </c>
      <c r="F1226" s="27">
        <v>2196.4699999999998</v>
      </c>
      <c r="G1226" s="27">
        <v>10511.7</v>
      </c>
      <c r="H1226" s="27">
        <v>41.84</v>
      </c>
      <c r="I1226" s="27">
        <v>478.37</v>
      </c>
      <c r="J1226" s="6">
        <v>1621</v>
      </c>
      <c r="K1226" s="6">
        <v>23</v>
      </c>
      <c r="L1226" s="27">
        <v>6.4847008019740908</v>
      </c>
      <c r="M1226" s="27">
        <v>20.798695652173912</v>
      </c>
      <c r="N1226" s="34">
        <v>10.726222627737226</v>
      </c>
    </row>
    <row r="1227" spans="1:14" x14ac:dyDescent="0.35">
      <c r="A1227" s="82">
        <v>1224</v>
      </c>
      <c r="B1227" s="89" t="str">
        <f>_xlfn.XLOOKUP(A1227,'Model Modeshare by TAZ'!A:A,'Model Modeshare by TAZ'!B:B)</f>
        <v>Santa Clara</v>
      </c>
      <c r="C1227" s="90" t="str">
        <f>_xlfn.XLOOKUP(A1227,'Model Modeshare by TAZ'!A:A,'Model Modeshare by TAZ'!D:D)</f>
        <v>NO</v>
      </c>
      <c r="D1227" s="27">
        <v>1756.49</v>
      </c>
      <c r="E1227" s="27">
        <v>18168.82</v>
      </c>
      <c r="F1227" s="27">
        <v>1791.31</v>
      </c>
      <c r="G1227" s="27">
        <v>8354.82</v>
      </c>
      <c r="H1227" s="27">
        <v>99.3</v>
      </c>
      <c r="I1227" s="27">
        <v>1101.0899999999999</v>
      </c>
      <c r="J1227" s="6">
        <v>1173</v>
      </c>
      <c r="K1227" s="6">
        <v>53</v>
      </c>
      <c r="L1227" s="27">
        <v>7.1226086956521737</v>
      </c>
      <c r="M1227" s="27">
        <v>20.775283018867924</v>
      </c>
      <c r="N1227" s="34">
        <v>12.951973898858075</v>
      </c>
    </row>
    <row r="1228" spans="1:14" x14ac:dyDescent="0.35">
      <c r="A1228" s="82">
        <v>1225</v>
      </c>
      <c r="B1228" s="89" t="str">
        <f>_xlfn.XLOOKUP(A1228,'Model Modeshare by TAZ'!A:A,'Model Modeshare by TAZ'!B:B)</f>
        <v>Santa Clara</v>
      </c>
      <c r="C1228" s="90" t="str">
        <f>_xlfn.XLOOKUP(A1228,'Model Modeshare by TAZ'!A:A,'Model Modeshare by TAZ'!D:D)</f>
        <v>NO</v>
      </c>
      <c r="D1228" s="27">
        <v>1722.66</v>
      </c>
      <c r="E1228" s="27">
        <v>16991.2</v>
      </c>
      <c r="F1228" s="27">
        <v>1715.22</v>
      </c>
      <c r="G1228" s="27">
        <v>7778.63</v>
      </c>
      <c r="H1228" s="27">
        <v>7.86</v>
      </c>
      <c r="I1228" s="27">
        <v>88.51</v>
      </c>
      <c r="J1228" s="6">
        <v>1153</v>
      </c>
      <c r="K1228" s="6">
        <v>4</v>
      </c>
      <c r="L1228" s="27">
        <v>6.7464267129228102</v>
      </c>
      <c r="M1228" s="27">
        <v>22.127500000000001</v>
      </c>
      <c r="N1228" s="34">
        <v>11.012834917891098</v>
      </c>
    </row>
    <row r="1229" spans="1:14" x14ac:dyDescent="0.35">
      <c r="A1229" s="82">
        <v>1226</v>
      </c>
      <c r="B1229" s="89" t="str">
        <f>_xlfn.XLOOKUP(A1229,'Model Modeshare by TAZ'!A:A,'Model Modeshare by TAZ'!B:B)</f>
        <v>Santa Clara</v>
      </c>
      <c r="C1229" s="90" t="str">
        <f>_xlfn.XLOOKUP(A1229,'Model Modeshare by TAZ'!A:A,'Model Modeshare by TAZ'!D:D)</f>
        <v>NO</v>
      </c>
      <c r="D1229" s="27">
        <v>1036.5899999999999</v>
      </c>
      <c r="E1229" s="27">
        <v>20858.47</v>
      </c>
      <c r="F1229" s="27">
        <v>534.77</v>
      </c>
      <c r="G1229" s="27">
        <v>3318.43</v>
      </c>
      <c r="H1229" s="27">
        <v>0</v>
      </c>
      <c r="I1229" s="27">
        <v>0</v>
      </c>
      <c r="J1229" s="6">
        <v>296</v>
      </c>
      <c r="K1229" s="6">
        <v>0</v>
      </c>
      <c r="L1229" s="27">
        <v>11.210912162162161</v>
      </c>
      <c r="M1229" s="27">
        <v>0</v>
      </c>
      <c r="N1229" s="34">
        <v>18.529189189189189</v>
      </c>
    </row>
    <row r="1230" spans="1:14" x14ac:dyDescent="0.35">
      <c r="A1230" s="82">
        <v>1227</v>
      </c>
      <c r="B1230" s="89" t="str">
        <f>_xlfn.XLOOKUP(A1230,'Model Modeshare by TAZ'!A:A,'Model Modeshare by TAZ'!B:B)</f>
        <v>Santa Clara</v>
      </c>
      <c r="C1230" s="90" t="str">
        <f>_xlfn.XLOOKUP(A1230,'Model Modeshare by TAZ'!A:A,'Model Modeshare by TAZ'!D:D)</f>
        <v>NO</v>
      </c>
      <c r="D1230" s="27">
        <v>2100.7800000000002</v>
      </c>
      <c r="E1230" s="27">
        <v>51582.57</v>
      </c>
      <c r="F1230" s="27">
        <v>14.5</v>
      </c>
      <c r="G1230" s="27">
        <v>97.9</v>
      </c>
      <c r="H1230" s="27">
        <v>1867.1</v>
      </c>
      <c r="I1230" s="27">
        <v>23503.23</v>
      </c>
      <c r="J1230" s="6">
        <v>16</v>
      </c>
      <c r="K1230" s="6">
        <v>1565</v>
      </c>
      <c r="L1230" s="27">
        <v>6.1187500000000004</v>
      </c>
      <c r="M1230" s="27">
        <v>15.018038338658148</v>
      </c>
      <c r="N1230" s="34">
        <v>32.379778621125872</v>
      </c>
    </row>
    <row r="1231" spans="1:14" x14ac:dyDescent="0.35">
      <c r="A1231" s="82">
        <v>1228</v>
      </c>
      <c r="B1231" s="89" t="str">
        <f>_xlfn.XLOOKUP(A1231,'Model Modeshare by TAZ'!A:A,'Model Modeshare by TAZ'!B:B)</f>
        <v>Santa Clara</v>
      </c>
      <c r="C1231" s="90" t="str">
        <f>_xlfn.XLOOKUP(A1231,'Model Modeshare by TAZ'!A:A,'Model Modeshare by TAZ'!D:D)</f>
        <v>NO</v>
      </c>
      <c r="D1231" s="27">
        <v>527.98</v>
      </c>
      <c r="E1231" s="27">
        <v>4826.24</v>
      </c>
      <c r="F1231" s="27">
        <v>316.19</v>
      </c>
      <c r="G1231" s="27">
        <v>1252.81</v>
      </c>
      <c r="H1231" s="27">
        <v>73.040000000000006</v>
      </c>
      <c r="I1231" s="27">
        <v>850.65</v>
      </c>
      <c r="J1231" s="6">
        <v>264</v>
      </c>
      <c r="K1231" s="6">
        <v>41</v>
      </c>
      <c r="L1231" s="27">
        <v>4.7454924242424239</v>
      </c>
      <c r="M1231" s="27">
        <v>20.747560975609755</v>
      </c>
      <c r="N1231" s="34">
        <v>12.478459016393442</v>
      </c>
    </row>
    <row r="1232" spans="1:14" x14ac:dyDescent="0.35">
      <c r="A1232" s="82">
        <v>1229</v>
      </c>
      <c r="B1232" s="89" t="str">
        <f>_xlfn.XLOOKUP(A1232,'Model Modeshare by TAZ'!A:A,'Model Modeshare by TAZ'!B:B)</f>
        <v>Santa Clara</v>
      </c>
      <c r="C1232" s="90" t="str">
        <f>_xlfn.XLOOKUP(A1232,'Model Modeshare by TAZ'!A:A,'Model Modeshare by TAZ'!D:D)</f>
        <v>NO</v>
      </c>
      <c r="D1232" s="27">
        <v>1307.57</v>
      </c>
      <c r="E1232" s="27">
        <v>35821.64</v>
      </c>
      <c r="F1232" s="27">
        <v>0</v>
      </c>
      <c r="G1232" s="27">
        <v>0</v>
      </c>
      <c r="H1232" s="27">
        <v>1202.0999999999999</v>
      </c>
      <c r="I1232" s="27">
        <v>15957.36</v>
      </c>
      <c r="J1232" s="6">
        <v>0</v>
      </c>
      <c r="K1232" s="6">
        <v>1006</v>
      </c>
      <c r="L1232" s="27">
        <v>0</v>
      </c>
      <c r="M1232" s="27">
        <v>15.862186878727634</v>
      </c>
      <c r="N1232" s="34">
        <v>35.747673956262432</v>
      </c>
    </row>
    <row r="1233" spans="1:14" x14ac:dyDescent="0.35">
      <c r="A1233" s="82">
        <v>1230</v>
      </c>
      <c r="B1233" s="89" t="str">
        <f>_xlfn.XLOOKUP(A1233,'Model Modeshare by TAZ'!A:A,'Model Modeshare by TAZ'!B:B)</f>
        <v>Santa Clara</v>
      </c>
      <c r="C1233" s="90" t="str">
        <f>_xlfn.XLOOKUP(A1233,'Model Modeshare by TAZ'!A:A,'Model Modeshare by TAZ'!D:D)</f>
        <v>NO</v>
      </c>
      <c r="D1233" s="27">
        <v>84.86</v>
      </c>
      <c r="E1233" s="27">
        <v>1264.6099999999999</v>
      </c>
      <c r="F1233" s="27">
        <v>0</v>
      </c>
      <c r="G1233" s="27">
        <v>0</v>
      </c>
      <c r="H1233" s="27">
        <v>5.07</v>
      </c>
      <c r="I1233" s="27">
        <v>76.48</v>
      </c>
      <c r="J1233" s="6">
        <v>0</v>
      </c>
      <c r="K1233" s="6">
        <v>4</v>
      </c>
      <c r="L1233" s="27">
        <v>0</v>
      </c>
      <c r="M1233" s="27">
        <v>19.12</v>
      </c>
      <c r="N1233" s="34">
        <v>42.6875</v>
      </c>
    </row>
    <row r="1234" spans="1:14" x14ac:dyDescent="0.35">
      <c r="A1234" s="82">
        <v>1231</v>
      </c>
      <c r="B1234" s="89" t="str">
        <f>_xlfn.XLOOKUP(A1234,'Model Modeshare by TAZ'!A:A,'Model Modeshare by TAZ'!B:B)</f>
        <v>Santa Clara</v>
      </c>
      <c r="C1234" s="90" t="str">
        <f>_xlfn.XLOOKUP(A1234,'Model Modeshare by TAZ'!A:A,'Model Modeshare by TAZ'!D:D)</f>
        <v>NO</v>
      </c>
      <c r="D1234" s="27">
        <v>26.73</v>
      </c>
      <c r="E1234" s="27">
        <v>783.42</v>
      </c>
      <c r="F1234" s="27">
        <v>0</v>
      </c>
      <c r="G1234" s="27">
        <v>0</v>
      </c>
      <c r="H1234" s="27">
        <v>79.7</v>
      </c>
      <c r="I1234" s="27">
        <v>1292.1500000000001</v>
      </c>
      <c r="J1234" s="6">
        <v>0</v>
      </c>
      <c r="K1234" s="6">
        <v>63</v>
      </c>
      <c r="L1234" s="27">
        <v>0</v>
      </c>
      <c r="M1234" s="27">
        <v>20.510317460317463</v>
      </c>
      <c r="N1234" s="34">
        <v>27.891904761904762</v>
      </c>
    </row>
    <row r="1235" spans="1:14" x14ac:dyDescent="0.35">
      <c r="A1235" s="82">
        <v>1232</v>
      </c>
      <c r="B1235" s="89" t="str">
        <f>_xlfn.XLOOKUP(A1235,'Model Modeshare by TAZ'!A:A,'Model Modeshare by TAZ'!B:B)</f>
        <v>Santa Clara</v>
      </c>
      <c r="C1235" s="90" t="str">
        <f>_xlfn.XLOOKUP(A1235,'Model Modeshare by TAZ'!A:A,'Model Modeshare by TAZ'!D:D)</f>
        <v>NO</v>
      </c>
      <c r="D1235" s="27">
        <v>2048.35</v>
      </c>
      <c r="E1235" s="27">
        <v>62795.51</v>
      </c>
      <c r="F1235" s="27">
        <v>130.5</v>
      </c>
      <c r="G1235" s="27">
        <v>883.33</v>
      </c>
      <c r="H1235" s="27">
        <v>2217.0700000000002</v>
      </c>
      <c r="I1235" s="27">
        <v>33748.78</v>
      </c>
      <c r="J1235" s="6">
        <v>86</v>
      </c>
      <c r="K1235" s="6">
        <v>1922</v>
      </c>
      <c r="L1235" s="27">
        <v>10.271279069767443</v>
      </c>
      <c r="M1235" s="27">
        <v>17.559198751300727</v>
      </c>
      <c r="N1235" s="34">
        <v>31.905343625498009</v>
      </c>
    </row>
    <row r="1236" spans="1:14" x14ac:dyDescent="0.35">
      <c r="A1236" s="82">
        <v>1233</v>
      </c>
      <c r="B1236" s="89" t="str">
        <f>_xlfn.XLOOKUP(A1236,'Model Modeshare by TAZ'!A:A,'Model Modeshare by TAZ'!B:B)</f>
        <v>Santa Clara</v>
      </c>
      <c r="C1236" s="90" t="str">
        <f>_xlfn.XLOOKUP(A1236,'Model Modeshare by TAZ'!A:A,'Model Modeshare by TAZ'!D:D)</f>
        <v>NO</v>
      </c>
      <c r="D1236" s="27">
        <v>836.07</v>
      </c>
      <c r="E1236" s="27">
        <v>22079.43</v>
      </c>
      <c r="F1236" s="27">
        <v>0</v>
      </c>
      <c r="G1236" s="27">
        <v>0</v>
      </c>
      <c r="H1236" s="27">
        <v>706.13</v>
      </c>
      <c r="I1236" s="27">
        <v>9531.73</v>
      </c>
      <c r="J1236" s="6">
        <v>5</v>
      </c>
      <c r="K1236" s="6">
        <v>596</v>
      </c>
      <c r="L1236" s="27">
        <v>0</v>
      </c>
      <c r="M1236" s="27">
        <v>15.992835570469797</v>
      </c>
      <c r="N1236" s="34">
        <v>33.405740432612312</v>
      </c>
    </row>
    <row r="1237" spans="1:14" x14ac:dyDescent="0.35">
      <c r="A1237" s="82">
        <v>1234</v>
      </c>
      <c r="B1237" s="89" t="str">
        <f>_xlfn.XLOOKUP(A1237,'Model Modeshare by TAZ'!A:A,'Model Modeshare by TAZ'!B:B)</f>
        <v>Santa Clara</v>
      </c>
      <c r="C1237" s="90" t="str">
        <f>_xlfn.XLOOKUP(A1237,'Model Modeshare by TAZ'!A:A,'Model Modeshare by TAZ'!D:D)</f>
        <v>NO</v>
      </c>
      <c r="D1237" s="27">
        <v>1230.07</v>
      </c>
      <c r="E1237" s="27">
        <v>32185.45</v>
      </c>
      <c r="F1237" s="27">
        <v>65.430000000000007</v>
      </c>
      <c r="G1237" s="27">
        <v>457.58</v>
      </c>
      <c r="H1237" s="27">
        <v>284.13</v>
      </c>
      <c r="I1237" s="27">
        <v>3693.97</v>
      </c>
      <c r="J1237" s="6">
        <v>52</v>
      </c>
      <c r="K1237" s="6">
        <v>219</v>
      </c>
      <c r="L1237" s="27">
        <v>8.7996153846153842</v>
      </c>
      <c r="M1237" s="27">
        <v>16.86744292237443</v>
      </c>
      <c r="N1237" s="34">
        <v>49.910996309963096</v>
      </c>
    </row>
    <row r="1238" spans="1:14" x14ac:dyDescent="0.35">
      <c r="A1238" s="82">
        <v>1235</v>
      </c>
      <c r="B1238" s="89" t="str">
        <f>_xlfn.XLOOKUP(A1238,'Model Modeshare by TAZ'!A:A,'Model Modeshare by TAZ'!B:B)</f>
        <v>Santa Clara</v>
      </c>
      <c r="C1238" s="90" t="str">
        <f>_xlfn.XLOOKUP(A1238,'Model Modeshare by TAZ'!A:A,'Model Modeshare by TAZ'!D:D)</f>
        <v>NO</v>
      </c>
      <c r="D1238" s="27">
        <v>1784.62</v>
      </c>
      <c r="E1238" s="27">
        <v>18766.509999999998</v>
      </c>
      <c r="F1238" s="27">
        <v>1543.55</v>
      </c>
      <c r="G1238" s="27">
        <v>6247.6</v>
      </c>
      <c r="H1238" s="27">
        <v>271.31</v>
      </c>
      <c r="I1238" s="27">
        <v>2874.61</v>
      </c>
      <c r="J1238" s="6">
        <v>1171</v>
      </c>
      <c r="K1238" s="6">
        <v>151</v>
      </c>
      <c r="L1238" s="27">
        <v>5.3352690008539714</v>
      </c>
      <c r="M1238" s="27">
        <v>19.037152317880796</v>
      </c>
      <c r="N1238" s="34">
        <v>11.228260211800302</v>
      </c>
    </row>
    <row r="1239" spans="1:14" x14ac:dyDescent="0.35">
      <c r="A1239" s="82">
        <v>1236</v>
      </c>
      <c r="B1239" s="89" t="str">
        <f>_xlfn.XLOOKUP(A1239,'Model Modeshare by TAZ'!A:A,'Model Modeshare by TAZ'!B:B)</f>
        <v>Santa Clara</v>
      </c>
      <c r="C1239" s="90" t="str">
        <f>_xlfn.XLOOKUP(A1239,'Model Modeshare by TAZ'!A:A,'Model Modeshare by TAZ'!D:D)</f>
        <v>NO</v>
      </c>
      <c r="D1239" s="27">
        <v>4505.8999999999996</v>
      </c>
      <c r="E1239" s="27">
        <v>73188.75</v>
      </c>
      <c r="F1239" s="27">
        <v>3308.61</v>
      </c>
      <c r="G1239" s="27">
        <v>20103.419999999998</v>
      </c>
      <c r="H1239" s="27">
        <v>595.17999999999995</v>
      </c>
      <c r="I1239" s="27">
        <v>6949.15</v>
      </c>
      <c r="J1239" s="6">
        <v>2207</v>
      </c>
      <c r="K1239" s="6">
        <v>395</v>
      </c>
      <c r="L1239" s="27">
        <v>9.1089352061622098</v>
      </c>
      <c r="M1239" s="27">
        <v>17.592784810126581</v>
      </c>
      <c r="N1239" s="34">
        <v>25.12318216756341</v>
      </c>
    </row>
    <row r="1240" spans="1:14" x14ac:dyDescent="0.35">
      <c r="A1240" s="82">
        <v>1237</v>
      </c>
      <c r="B1240" s="89" t="str">
        <f>_xlfn.XLOOKUP(A1240,'Model Modeshare by TAZ'!A:A,'Model Modeshare by TAZ'!B:B)</f>
        <v>Santa Clara</v>
      </c>
      <c r="C1240" s="90" t="str">
        <f>_xlfn.XLOOKUP(A1240,'Model Modeshare by TAZ'!A:A,'Model Modeshare by TAZ'!D:D)</f>
        <v>NO</v>
      </c>
      <c r="D1240" s="27">
        <v>926.54</v>
      </c>
      <c r="E1240" s="27">
        <v>12538.55</v>
      </c>
      <c r="F1240" s="27">
        <v>971.09</v>
      </c>
      <c r="G1240" s="27">
        <v>5502.69</v>
      </c>
      <c r="H1240" s="27">
        <v>39.869999999999997</v>
      </c>
      <c r="I1240" s="27">
        <v>463.9</v>
      </c>
      <c r="J1240" s="6">
        <v>613</v>
      </c>
      <c r="K1240" s="6">
        <v>21</v>
      </c>
      <c r="L1240" s="27">
        <v>8.9766557911908631</v>
      </c>
      <c r="M1240" s="27">
        <v>22.090476190476188</v>
      </c>
      <c r="N1240" s="34">
        <v>17.016687697160883</v>
      </c>
    </row>
    <row r="1241" spans="1:14" x14ac:dyDescent="0.35">
      <c r="A1241" s="82">
        <v>1238</v>
      </c>
      <c r="B1241" s="89" t="str">
        <f>_xlfn.XLOOKUP(A1241,'Model Modeshare by TAZ'!A:A,'Model Modeshare by TAZ'!B:B)</f>
        <v>Santa Clara</v>
      </c>
      <c r="C1241" s="90" t="str">
        <f>_xlfn.XLOOKUP(A1241,'Model Modeshare by TAZ'!A:A,'Model Modeshare by TAZ'!D:D)</f>
        <v>NO</v>
      </c>
      <c r="D1241" s="27">
        <v>720.05</v>
      </c>
      <c r="E1241" s="27">
        <v>9550.11</v>
      </c>
      <c r="F1241" s="27">
        <v>631.69000000000005</v>
      </c>
      <c r="G1241" s="27">
        <v>3551.75</v>
      </c>
      <c r="H1241" s="27">
        <v>0</v>
      </c>
      <c r="I1241" s="27">
        <v>0</v>
      </c>
      <c r="J1241" s="6">
        <v>407</v>
      </c>
      <c r="K1241" s="6">
        <v>0</v>
      </c>
      <c r="L1241" s="27">
        <v>8.7266584766584767</v>
      </c>
      <c r="M1241" s="27">
        <v>0</v>
      </c>
      <c r="N1241" s="34">
        <v>14.216953316953317</v>
      </c>
    </row>
    <row r="1242" spans="1:14" x14ac:dyDescent="0.35">
      <c r="A1242" s="82">
        <v>1239</v>
      </c>
      <c r="B1242" s="89" t="str">
        <f>_xlfn.XLOOKUP(A1242,'Model Modeshare by TAZ'!A:A,'Model Modeshare by TAZ'!B:B)</f>
        <v>Santa Clara</v>
      </c>
      <c r="C1242" s="90" t="str">
        <f>_xlfn.XLOOKUP(A1242,'Model Modeshare by TAZ'!A:A,'Model Modeshare by TAZ'!D:D)</f>
        <v>NO</v>
      </c>
      <c r="D1242" s="27">
        <v>673.53</v>
      </c>
      <c r="E1242" s="27">
        <v>6278.85</v>
      </c>
      <c r="F1242" s="27">
        <v>795.52</v>
      </c>
      <c r="G1242" s="27">
        <v>3406.5</v>
      </c>
      <c r="H1242" s="27">
        <v>0</v>
      </c>
      <c r="I1242" s="27">
        <v>0</v>
      </c>
      <c r="J1242" s="6">
        <v>534</v>
      </c>
      <c r="K1242" s="6">
        <v>0</v>
      </c>
      <c r="L1242" s="27">
        <v>6.3792134831460672</v>
      </c>
      <c r="M1242" s="27">
        <v>0</v>
      </c>
      <c r="N1242" s="34">
        <v>8.9002247191011232</v>
      </c>
    </row>
    <row r="1243" spans="1:14" x14ac:dyDescent="0.35">
      <c r="A1243" s="82">
        <v>1240</v>
      </c>
      <c r="B1243" s="89" t="str">
        <f>_xlfn.XLOOKUP(A1243,'Model Modeshare by TAZ'!A:A,'Model Modeshare by TAZ'!B:B)</f>
        <v>Santa Clara</v>
      </c>
      <c r="C1243" s="90" t="str">
        <f>_xlfn.XLOOKUP(A1243,'Model Modeshare by TAZ'!A:A,'Model Modeshare by TAZ'!D:D)</f>
        <v>NO</v>
      </c>
      <c r="D1243" s="27">
        <v>2689.6</v>
      </c>
      <c r="E1243" s="27">
        <v>36086.129999999997</v>
      </c>
      <c r="F1243" s="27">
        <v>2606.21</v>
      </c>
      <c r="G1243" s="27">
        <v>14022.29</v>
      </c>
      <c r="H1243" s="27">
        <v>429.8</v>
      </c>
      <c r="I1243" s="27">
        <v>4703.29</v>
      </c>
      <c r="J1243" s="6">
        <v>1701</v>
      </c>
      <c r="K1243" s="6">
        <v>240</v>
      </c>
      <c r="L1243" s="27">
        <v>8.2435567313345093</v>
      </c>
      <c r="M1243" s="27">
        <v>19.597041666666666</v>
      </c>
      <c r="N1243" s="34">
        <v>18.222787223080886</v>
      </c>
    </row>
    <row r="1244" spans="1:14" x14ac:dyDescent="0.35">
      <c r="A1244" s="82">
        <v>1241</v>
      </c>
      <c r="B1244" s="89" t="str">
        <f>_xlfn.XLOOKUP(A1244,'Model Modeshare by TAZ'!A:A,'Model Modeshare by TAZ'!B:B)</f>
        <v>Santa Clara</v>
      </c>
      <c r="C1244" s="90" t="str">
        <f>_xlfn.XLOOKUP(A1244,'Model Modeshare by TAZ'!A:A,'Model Modeshare by TAZ'!D:D)</f>
        <v>NO</v>
      </c>
      <c r="D1244" s="27">
        <v>4874.97</v>
      </c>
      <c r="E1244" s="27">
        <v>74148.56</v>
      </c>
      <c r="F1244" s="27">
        <v>2536.15</v>
      </c>
      <c r="G1244" s="27">
        <v>13297.77</v>
      </c>
      <c r="H1244" s="27">
        <v>1037.33</v>
      </c>
      <c r="I1244" s="27">
        <v>11312.73</v>
      </c>
      <c r="J1244" s="6">
        <v>1650</v>
      </c>
      <c r="K1244" s="6">
        <v>833</v>
      </c>
      <c r="L1244" s="27">
        <v>8.0592545454545466</v>
      </c>
      <c r="M1244" s="27">
        <v>13.580708283313324</v>
      </c>
      <c r="N1244" s="34">
        <v>27.072505034232783</v>
      </c>
    </row>
    <row r="1245" spans="1:14" x14ac:dyDescent="0.35">
      <c r="A1245" s="82">
        <v>1242</v>
      </c>
      <c r="B1245" s="89" t="str">
        <f>_xlfn.XLOOKUP(A1245,'Model Modeshare by TAZ'!A:A,'Model Modeshare by TAZ'!B:B)</f>
        <v>Santa Clara</v>
      </c>
      <c r="C1245" s="90" t="str">
        <f>_xlfn.XLOOKUP(A1245,'Model Modeshare by TAZ'!A:A,'Model Modeshare by TAZ'!D:D)</f>
        <v>NO</v>
      </c>
      <c r="D1245" s="27">
        <v>2375.3200000000002</v>
      </c>
      <c r="E1245" s="27">
        <v>62214.49</v>
      </c>
      <c r="F1245" s="27">
        <v>40.86</v>
      </c>
      <c r="G1245" s="27">
        <v>274.79000000000002</v>
      </c>
      <c r="H1245" s="27">
        <v>2267.38</v>
      </c>
      <c r="I1245" s="27">
        <v>29906.95</v>
      </c>
      <c r="J1245" s="6">
        <v>29</v>
      </c>
      <c r="K1245" s="6">
        <v>1878</v>
      </c>
      <c r="L1245" s="27">
        <v>9.4755172413793112</v>
      </c>
      <c r="M1245" s="27">
        <v>15.92489350372737</v>
      </c>
      <c r="N1245" s="34">
        <v>32.491678028316727</v>
      </c>
    </row>
    <row r="1246" spans="1:14" x14ac:dyDescent="0.35">
      <c r="A1246" s="82">
        <v>1243</v>
      </c>
      <c r="B1246" s="89" t="str">
        <f>_xlfn.XLOOKUP(A1246,'Model Modeshare by TAZ'!A:A,'Model Modeshare by TAZ'!B:B)</f>
        <v>Santa Clara</v>
      </c>
      <c r="C1246" s="90" t="str">
        <f>_xlfn.XLOOKUP(A1246,'Model Modeshare by TAZ'!A:A,'Model Modeshare by TAZ'!D:D)</f>
        <v>NO</v>
      </c>
      <c r="D1246" s="27">
        <v>2630.98</v>
      </c>
      <c r="E1246" s="27">
        <v>71569.460000000006</v>
      </c>
      <c r="F1246" s="27">
        <v>0</v>
      </c>
      <c r="G1246" s="27">
        <v>0</v>
      </c>
      <c r="H1246" s="27">
        <v>2241.69</v>
      </c>
      <c r="I1246" s="27">
        <v>29614.19</v>
      </c>
      <c r="J1246" s="6">
        <v>3</v>
      </c>
      <c r="K1246" s="6">
        <v>1925</v>
      </c>
      <c r="L1246" s="27">
        <v>0</v>
      </c>
      <c r="M1246" s="27">
        <v>15.383994805194805</v>
      </c>
      <c r="N1246" s="34">
        <v>36.916706431535275</v>
      </c>
    </row>
    <row r="1247" spans="1:14" x14ac:dyDescent="0.35">
      <c r="A1247" s="82">
        <v>1244</v>
      </c>
      <c r="B1247" s="89" t="str">
        <f>_xlfn.XLOOKUP(A1247,'Model Modeshare by TAZ'!A:A,'Model Modeshare by TAZ'!B:B)</f>
        <v>Santa Clara</v>
      </c>
      <c r="C1247" s="90" t="str">
        <f>_xlfn.XLOOKUP(A1247,'Model Modeshare by TAZ'!A:A,'Model Modeshare by TAZ'!D:D)</f>
        <v>NO</v>
      </c>
      <c r="D1247" s="27">
        <v>3621.77</v>
      </c>
      <c r="E1247" s="27">
        <v>57696.15</v>
      </c>
      <c r="F1247" s="27">
        <v>2686.88</v>
      </c>
      <c r="G1247" s="27">
        <v>16154.01</v>
      </c>
      <c r="H1247" s="27">
        <v>522.45000000000005</v>
      </c>
      <c r="I1247" s="27">
        <v>6138.11</v>
      </c>
      <c r="J1247" s="6">
        <v>1737</v>
      </c>
      <c r="K1247" s="6">
        <v>291</v>
      </c>
      <c r="L1247" s="27">
        <v>9.2999481865284981</v>
      </c>
      <c r="M1247" s="27">
        <v>21.093161512027489</v>
      </c>
      <c r="N1247" s="34">
        <v>26.357963510848126</v>
      </c>
    </row>
    <row r="1248" spans="1:14" x14ac:dyDescent="0.35">
      <c r="A1248" s="82">
        <v>1245</v>
      </c>
      <c r="B1248" s="89" t="str">
        <f>_xlfn.XLOOKUP(A1248,'Model Modeshare by TAZ'!A:A,'Model Modeshare by TAZ'!B:B)</f>
        <v>Santa Clara</v>
      </c>
      <c r="C1248" s="90" t="str">
        <f>_xlfn.XLOOKUP(A1248,'Model Modeshare by TAZ'!A:A,'Model Modeshare by TAZ'!D:D)</f>
        <v>NO</v>
      </c>
      <c r="D1248" s="27">
        <v>2374.87</v>
      </c>
      <c r="E1248" s="27">
        <v>39112.660000000003</v>
      </c>
      <c r="F1248" s="27">
        <v>1574.21</v>
      </c>
      <c r="G1248" s="27">
        <v>9208.67</v>
      </c>
      <c r="H1248" s="27">
        <v>608.57000000000005</v>
      </c>
      <c r="I1248" s="27">
        <v>7065</v>
      </c>
      <c r="J1248" s="6">
        <v>1063</v>
      </c>
      <c r="K1248" s="6">
        <v>526</v>
      </c>
      <c r="L1248" s="27">
        <v>8.6629068673565381</v>
      </c>
      <c r="M1248" s="27">
        <v>13.431558935361217</v>
      </c>
      <c r="N1248" s="34">
        <v>24.331227186910006</v>
      </c>
    </row>
    <row r="1249" spans="1:14" x14ac:dyDescent="0.35">
      <c r="A1249" s="82">
        <v>1246</v>
      </c>
      <c r="B1249" s="89" t="str">
        <f>_xlfn.XLOOKUP(A1249,'Model Modeshare by TAZ'!A:A,'Model Modeshare by TAZ'!B:B)</f>
        <v>Santa Clara</v>
      </c>
      <c r="C1249" s="90" t="str">
        <f>_xlfn.XLOOKUP(A1249,'Model Modeshare by TAZ'!A:A,'Model Modeshare by TAZ'!D:D)</f>
        <v>NO</v>
      </c>
      <c r="D1249" s="27">
        <v>3408.41</v>
      </c>
      <c r="E1249" s="27">
        <v>51742.34</v>
      </c>
      <c r="F1249" s="27">
        <v>2310.71</v>
      </c>
      <c r="G1249" s="27">
        <v>12631.64</v>
      </c>
      <c r="H1249" s="27">
        <v>641.23</v>
      </c>
      <c r="I1249" s="27">
        <v>7251.21</v>
      </c>
      <c r="J1249" s="6">
        <v>1602</v>
      </c>
      <c r="K1249" s="6">
        <v>531</v>
      </c>
      <c r="L1249" s="27">
        <v>7.8849188514357049</v>
      </c>
      <c r="M1249" s="27">
        <v>13.655762711864407</v>
      </c>
      <c r="N1249" s="34">
        <v>21.997037037037039</v>
      </c>
    </row>
    <row r="1250" spans="1:14" x14ac:dyDescent="0.35">
      <c r="A1250" s="82">
        <v>1247</v>
      </c>
      <c r="B1250" s="89" t="str">
        <f>_xlfn.XLOOKUP(A1250,'Model Modeshare by TAZ'!A:A,'Model Modeshare by TAZ'!B:B)</f>
        <v>Santa Clara</v>
      </c>
      <c r="C1250" s="90" t="str">
        <f>_xlfn.XLOOKUP(A1250,'Model Modeshare by TAZ'!A:A,'Model Modeshare by TAZ'!D:D)</f>
        <v>NO</v>
      </c>
      <c r="D1250" s="27">
        <v>4239.62</v>
      </c>
      <c r="E1250" s="27">
        <v>54399.48</v>
      </c>
      <c r="F1250" s="27">
        <v>3320.28</v>
      </c>
      <c r="G1250" s="27">
        <v>16896.009999999998</v>
      </c>
      <c r="H1250" s="27">
        <v>685.25</v>
      </c>
      <c r="I1250" s="27">
        <v>7437.56</v>
      </c>
      <c r="J1250" s="6">
        <v>2267</v>
      </c>
      <c r="K1250" s="6">
        <v>378</v>
      </c>
      <c r="L1250" s="27">
        <v>7.4530260255844718</v>
      </c>
      <c r="M1250" s="27">
        <v>19.676084656084658</v>
      </c>
      <c r="N1250" s="34">
        <v>17.6694404536862</v>
      </c>
    </row>
    <row r="1251" spans="1:14" x14ac:dyDescent="0.35">
      <c r="A1251" s="82">
        <v>1248</v>
      </c>
      <c r="B1251" s="89" t="str">
        <f>_xlfn.XLOOKUP(A1251,'Model Modeshare by TAZ'!A:A,'Model Modeshare by TAZ'!B:B)</f>
        <v>Santa Clara</v>
      </c>
      <c r="C1251" s="90" t="str">
        <f>_xlfn.XLOOKUP(A1251,'Model Modeshare by TAZ'!A:A,'Model Modeshare by TAZ'!D:D)</f>
        <v>NO</v>
      </c>
      <c r="D1251" s="27">
        <v>2025.36</v>
      </c>
      <c r="E1251" s="27">
        <v>23532.15</v>
      </c>
      <c r="F1251" s="27">
        <v>1091.83</v>
      </c>
      <c r="G1251" s="27">
        <v>5182.3100000000004</v>
      </c>
      <c r="H1251" s="27">
        <v>536.09</v>
      </c>
      <c r="I1251" s="27">
        <v>5915.07</v>
      </c>
      <c r="J1251" s="6">
        <v>790</v>
      </c>
      <c r="K1251" s="6">
        <v>466</v>
      </c>
      <c r="L1251" s="27">
        <v>6.5598860759493673</v>
      </c>
      <c r="M1251" s="27">
        <v>12.693283261802575</v>
      </c>
      <c r="N1251" s="34">
        <v>16.231122611464968</v>
      </c>
    </row>
    <row r="1252" spans="1:14" x14ac:dyDescent="0.35">
      <c r="A1252" s="82">
        <v>1249</v>
      </c>
      <c r="B1252" s="89" t="str">
        <f>_xlfn.XLOOKUP(A1252,'Model Modeshare by TAZ'!A:A,'Model Modeshare by TAZ'!B:B)</f>
        <v>Santa Clara</v>
      </c>
      <c r="C1252" s="90" t="str">
        <f>_xlfn.XLOOKUP(A1252,'Model Modeshare by TAZ'!A:A,'Model Modeshare by TAZ'!D:D)</f>
        <v>NO</v>
      </c>
      <c r="D1252" s="27">
        <v>3859.61</v>
      </c>
      <c r="E1252" s="27">
        <v>47750.39</v>
      </c>
      <c r="F1252" s="27">
        <v>711.76</v>
      </c>
      <c r="G1252" s="27">
        <v>3110.12</v>
      </c>
      <c r="H1252" s="27">
        <v>1168.8800000000001</v>
      </c>
      <c r="I1252" s="27">
        <v>12861.66</v>
      </c>
      <c r="J1252" s="6">
        <v>510</v>
      </c>
      <c r="K1252" s="6">
        <v>1012</v>
      </c>
      <c r="L1252" s="27">
        <v>6.0982745098039217</v>
      </c>
      <c r="M1252" s="27">
        <v>12.709150197628459</v>
      </c>
      <c r="N1252" s="34">
        <v>21.661136662286467</v>
      </c>
    </row>
    <row r="1253" spans="1:14" x14ac:dyDescent="0.35">
      <c r="A1253" s="82">
        <v>1250</v>
      </c>
      <c r="B1253" s="89" t="str">
        <f>_xlfn.XLOOKUP(A1253,'Model Modeshare by TAZ'!A:A,'Model Modeshare by TAZ'!B:B)</f>
        <v>Santa Clara</v>
      </c>
      <c r="C1253" s="90" t="str">
        <f>_xlfn.XLOOKUP(A1253,'Model Modeshare by TAZ'!A:A,'Model Modeshare by TAZ'!D:D)</f>
        <v>NO</v>
      </c>
      <c r="D1253" s="27">
        <v>1576.27</v>
      </c>
      <c r="E1253" s="27">
        <v>21506.7</v>
      </c>
      <c r="F1253" s="27">
        <v>1545.96</v>
      </c>
      <c r="G1253" s="27">
        <v>8354.81</v>
      </c>
      <c r="H1253" s="27">
        <v>93.46</v>
      </c>
      <c r="I1253" s="27">
        <v>1083.07</v>
      </c>
      <c r="J1253" s="6">
        <v>987</v>
      </c>
      <c r="K1253" s="6">
        <v>50</v>
      </c>
      <c r="L1253" s="27">
        <v>8.4648530901722392</v>
      </c>
      <c r="M1253" s="27">
        <v>21.6614</v>
      </c>
      <c r="N1253" s="34">
        <v>18.679016393442623</v>
      </c>
    </row>
    <row r="1254" spans="1:14" x14ac:dyDescent="0.35">
      <c r="A1254" s="82">
        <v>1251</v>
      </c>
      <c r="B1254" s="89" t="str">
        <f>_xlfn.XLOOKUP(A1254,'Model Modeshare by TAZ'!A:A,'Model Modeshare by TAZ'!B:B)</f>
        <v>Santa Clara</v>
      </c>
      <c r="C1254" s="90" t="str">
        <f>_xlfn.XLOOKUP(A1254,'Model Modeshare by TAZ'!A:A,'Model Modeshare by TAZ'!D:D)</f>
        <v>NO</v>
      </c>
      <c r="D1254" s="27">
        <v>1302.78</v>
      </c>
      <c r="E1254" s="27">
        <v>19523.72</v>
      </c>
      <c r="F1254" s="27">
        <v>1363.17</v>
      </c>
      <c r="G1254" s="27">
        <v>7622.66</v>
      </c>
      <c r="H1254" s="27">
        <v>215.5</v>
      </c>
      <c r="I1254" s="27">
        <v>2485.4699999999998</v>
      </c>
      <c r="J1254" s="6">
        <v>860</v>
      </c>
      <c r="K1254" s="6">
        <v>119</v>
      </c>
      <c r="L1254" s="27">
        <v>8.8635581395348844</v>
      </c>
      <c r="M1254" s="27">
        <v>20.886302521008403</v>
      </c>
      <c r="N1254" s="34">
        <v>21.743830439223697</v>
      </c>
    </row>
    <row r="1255" spans="1:14" x14ac:dyDescent="0.35">
      <c r="A1255" s="82">
        <v>1252</v>
      </c>
      <c r="B1255" s="89" t="str">
        <f>_xlfn.XLOOKUP(A1255,'Model Modeshare by TAZ'!A:A,'Model Modeshare by TAZ'!B:B)</f>
        <v>Santa Clara</v>
      </c>
      <c r="C1255" s="90" t="str">
        <f>_xlfn.XLOOKUP(A1255,'Model Modeshare by TAZ'!A:A,'Model Modeshare by TAZ'!D:D)</f>
        <v>NO</v>
      </c>
      <c r="D1255" s="27">
        <v>1301.0899999999999</v>
      </c>
      <c r="E1255" s="27">
        <v>15462.56</v>
      </c>
      <c r="F1255" s="27">
        <v>1435.62</v>
      </c>
      <c r="G1255" s="27">
        <v>7246</v>
      </c>
      <c r="H1255" s="27">
        <v>62.82</v>
      </c>
      <c r="I1255" s="27">
        <v>737.67</v>
      </c>
      <c r="J1255" s="6">
        <v>940</v>
      </c>
      <c r="K1255" s="6">
        <v>33</v>
      </c>
      <c r="L1255" s="27">
        <v>7.7085106382978728</v>
      </c>
      <c r="M1255" s="27">
        <v>22.353636363636362</v>
      </c>
      <c r="N1255" s="34">
        <v>14.848314491264132</v>
      </c>
    </row>
    <row r="1256" spans="1:14" x14ac:dyDescent="0.35">
      <c r="A1256" s="82">
        <v>1253</v>
      </c>
      <c r="B1256" s="89" t="str">
        <f>_xlfn.XLOOKUP(A1256,'Model Modeshare by TAZ'!A:A,'Model Modeshare by TAZ'!B:B)</f>
        <v>Santa Clara</v>
      </c>
      <c r="C1256" s="90" t="str">
        <f>_xlfn.XLOOKUP(A1256,'Model Modeshare by TAZ'!A:A,'Model Modeshare by TAZ'!D:D)</f>
        <v>NO</v>
      </c>
      <c r="D1256" s="27">
        <v>2479.06</v>
      </c>
      <c r="E1256" s="27">
        <v>31485.9</v>
      </c>
      <c r="F1256" s="27">
        <v>2837.27</v>
      </c>
      <c r="G1256" s="27">
        <v>15146.75</v>
      </c>
      <c r="H1256" s="27">
        <v>132.57</v>
      </c>
      <c r="I1256" s="27">
        <v>1496.14</v>
      </c>
      <c r="J1256" s="6">
        <v>1774</v>
      </c>
      <c r="K1256" s="6">
        <v>71</v>
      </c>
      <c r="L1256" s="27">
        <v>8.5381905298759868</v>
      </c>
      <c r="M1256" s="27">
        <v>21.072394366197184</v>
      </c>
      <c r="N1256" s="34">
        <v>19.548487804878047</v>
      </c>
    </row>
    <row r="1257" spans="1:14" x14ac:dyDescent="0.35">
      <c r="A1257" s="82">
        <v>1254</v>
      </c>
      <c r="B1257" s="89" t="str">
        <f>_xlfn.XLOOKUP(A1257,'Model Modeshare by TAZ'!A:A,'Model Modeshare by TAZ'!B:B)</f>
        <v>Santa Clara</v>
      </c>
      <c r="C1257" s="90" t="str">
        <f>_xlfn.XLOOKUP(A1257,'Model Modeshare by TAZ'!A:A,'Model Modeshare by TAZ'!D:D)</f>
        <v>NO</v>
      </c>
      <c r="D1257" s="27">
        <v>950.63</v>
      </c>
      <c r="E1257" s="27">
        <v>14746.93</v>
      </c>
      <c r="F1257" s="27">
        <v>1225.93</v>
      </c>
      <c r="G1257" s="27">
        <v>7160.99</v>
      </c>
      <c r="H1257" s="27">
        <v>160.88999999999999</v>
      </c>
      <c r="I1257" s="27">
        <v>1816.76</v>
      </c>
      <c r="J1257" s="6">
        <v>762</v>
      </c>
      <c r="K1257" s="6">
        <v>86</v>
      </c>
      <c r="L1257" s="27">
        <v>9.3976246719160095</v>
      </c>
      <c r="M1257" s="27">
        <v>21.125116279069768</v>
      </c>
      <c r="N1257" s="34">
        <v>22.030200471698112</v>
      </c>
    </row>
    <row r="1258" spans="1:14" x14ac:dyDescent="0.35">
      <c r="A1258" s="82">
        <v>1255</v>
      </c>
      <c r="B1258" s="89" t="str">
        <f>_xlfn.XLOOKUP(A1258,'Model Modeshare by TAZ'!A:A,'Model Modeshare by TAZ'!B:B)</f>
        <v>Santa Clara</v>
      </c>
      <c r="C1258" s="90" t="str">
        <f>_xlfn.XLOOKUP(A1258,'Model Modeshare by TAZ'!A:A,'Model Modeshare by TAZ'!D:D)</f>
        <v>NO</v>
      </c>
      <c r="D1258" s="27">
        <v>1275.5999999999999</v>
      </c>
      <c r="E1258" s="27">
        <v>18153.18</v>
      </c>
      <c r="F1258" s="27">
        <v>1218.8900000000001</v>
      </c>
      <c r="G1258" s="27">
        <v>6701.36</v>
      </c>
      <c r="H1258" s="27">
        <v>286.58</v>
      </c>
      <c r="I1258" s="27">
        <v>3210</v>
      </c>
      <c r="J1258" s="6">
        <v>810</v>
      </c>
      <c r="K1258" s="6">
        <v>192</v>
      </c>
      <c r="L1258" s="27">
        <v>8.2732839506172837</v>
      </c>
      <c r="M1258" s="27">
        <v>16.71875</v>
      </c>
      <c r="N1258" s="34">
        <v>19.837794411177647</v>
      </c>
    </row>
    <row r="1259" spans="1:14" x14ac:dyDescent="0.35">
      <c r="A1259" s="82">
        <v>1256</v>
      </c>
      <c r="B1259" s="89" t="str">
        <f>_xlfn.XLOOKUP(A1259,'Model Modeshare by TAZ'!A:A,'Model Modeshare by TAZ'!B:B)</f>
        <v>Santa Clara</v>
      </c>
      <c r="C1259" s="90" t="str">
        <f>_xlfn.XLOOKUP(A1259,'Model Modeshare by TAZ'!A:A,'Model Modeshare by TAZ'!D:D)</f>
        <v>NO</v>
      </c>
      <c r="D1259" s="27">
        <v>1052.1199999999999</v>
      </c>
      <c r="E1259" s="27">
        <v>15951.73</v>
      </c>
      <c r="F1259" s="27">
        <v>902.46</v>
      </c>
      <c r="G1259" s="27">
        <v>4584.5200000000004</v>
      </c>
      <c r="H1259" s="27">
        <v>390.31</v>
      </c>
      <c r="I1259" s="27">
        <v>4403.84</v>
      </c>
      <c r="J1259" s="6">
        <v>632</v>
      </c>
      <c r="K1259" s="6">
        <v>321</v>
      </c>
      <c r="L1259" s="27">
        <v>7.2539873417721523</v>
      </c>
      <c r="M1259" s="27">
        <v>13.719127725856698</v>
      </c>
      <c r="N1259" s="34">
        <v>17.452235047219308</v>
      </c>
    </row>
    <row r="1260" spans="1:14" x14ac:dyDescent="0.35">
      <c r="A1260" s="82">
        <v>1257</v>
      </c>
      <c r="B1260" s="89" t="str">
        <f>_xlfn.XLOOKUP(A1260,'Model Modeshare by TAZ'!A:A,'Model Modeshare by TAZ'!B:B)</f>
        <v>Santa Clara</v>
      </c>
      <c r="C1260" s="90" t="str">
        <f>_xlfn.XLOOKUP(A1260,'Model Modeshare by TAZ'!A:A,'Model Modeshare by TAZ'!D:D)</f>
        <v>NO</v>
      </c>
      <c r="D1260" s="27">
        <v>1855.9</v>
      </c>
      <c r="E1260" s="27">
        <v>21901.119999999999</v>
      </c>
      <c r="F1260" s="27">
        <v>1079.17</v>
      </c>
      <c r="G1260" s="27">
        <v>4469.09</v>
      </c>
      <c r="H1260" s="27">
        <v>1014.68</v>
      </c>
      <c r="I1260" s="27">
        <v>11208.07</v>
      </c>
      <c r="J1260" s="6">
        <v>780</v>
      </c>
      <c r="K1260" s="6">
        <v>869</v>
      </c>
      <c r="L1260" s="27">
        <v>5.7296025641025645</v>
      </c>
      <c r="M1260" s="27">
        <v>12.897663981588032</v>
      </c>
      <c r="N1260" s="34">
        <v>21.14098847786537</v>
      </c>
    </row>
    <row r="1261" spans="1:14" x14ac:dyDescent="0.35">
      <c r="A1261" s="82">
        <v>1258</v>
      </c>
      <c r="B1261" s="89" t="str">
        <f>_xlfn.XLOOKUP(A1261,'Model Modeshare by TAZ'!A:A,'Model Modeshare by TAZ'!B:B)</f>
        <v>Santa Clara</v>
      </c>
      <c r="C1261" s="90" t="str">
        <f>_xlfn.XLOOKUP(A1261,'Model Modeshare by TAZ'!A:A,'Model Modeshare by TAZ'!D:D)</f>
        <v>NO</v>
      </c>
      <c r="D1261" s="27">
        <v>2766.33</v>
      </c>
      <c r="E1261" s="27">
        <v>29693.360000000001</v>
      </c>
      <c r="F1261" s="27">
        <v>1893.21</v>
      </c>
      <c r="G1261" s="27">
        <v>9104.73</v>
      </c>
      <c r="H1261" s="27">
        <v>11.67</v>
      </c>
      <c r="I1261" s="27">
        <v>126.47</v>
      </c>
      <c r="J1261" s="6">
        <v>1338</v>
      </c>
      <c r="K1261" s="6">
        <v>6</v>
      </c>
      <c r="L1261" s="27">
        <v>6.8047309417040358</v>
      </c>
      <c r="M1261" s="27">
        <v>21.078333333333333</v>
      </c>
      <c r="N1261" s="34">
        <v>19.139642857142857</v>
      </c>
    </row>
    <row r="1262" spans="1:14" x14ac:dyDescent="0.35">
      <c r="A1262" s="82">
        <v>1259</v>
      </c>
      <c r="B1262" s="89" t="str">
        <f>_xlfn.XLOOKUP(A1262,'Model Modeshare by TAZ'!A:A,'Model Modeshare by TAZ'!B:B)</f>
        <v>Santa Clara</v>
      </c>
      <c r="C1262" s="90" t="str">
        <f>_xlfn.XLOOKUP(A1262,'Model Modeshare by TAZ'!A:A,'Model Modeshare by TAZ'!D:D)</f>
        <v>NO</v>
      </c>
      <c r="D1262" s="27">
        <v>781.19</v>
      </c>
      <c r="E1262" s="27">
        <v>7718.29</v>
      </c>
      <c r="F1262" s="27">
        <v>698.39</v>
      </c>
      <c r="G1262" s="27">
        <v>2898.89</v>
      </c>
      <c r="H1262" s="27">
        <v>160.91999999999999</v>
      </c>
      <c r="I1262" s="27">
        <v>1724.19</v>
      </c>
      <c r="J1262" s="6">
        <v>493</v>
      </c>
      <c r="K1262" s="6">
        <v>87</v>
      </c>
      <c r="L1262" s="27">
        <v>5.8801014198782955</v>
      </c>
      <c r="M1262" s="27">
        <v>19.818275862068965</v>
      </c>
      <c r="N1262" s="34">
        <v>11.694620689655173</v>
      </c>
    </row>
    <row r="1263" spans="1:14" x14ac:dyDescent="0.35">
      <c r="A1263" s="82">
        <v>1260</v>
      </c>
      <c r="B1263" s="89" t="str">
        <f>_xlfn.XLOOKUP(A1263,'Model Modeshare by TAZ'!A:A,'Model Modeshare by TAZ'!B:B)</f>
        <v>Santa Clara</v>
      </c>
      <c r="C1263" s="90" t="str">
        <f>_xlfn.XLOOKUP(A1263,'Model Modeshare by TAZ'!A:A,'Model Modeshare by TAZ'!D:D)</f>
        <v>NO</v>
      </c>
      <c r="D1263" s="27">
        <v>222.26</v>
      </c>
      <c r="E1263" s="27">
        <v>2211.1999999999998</v>
      </c>
      <c r="F1263" s="27">
        <v>201.13</v>
      </c>
      <c r="G1263" s="27">
        <v>863.71</v>
      </c>
      <c r="H1263" s="27">
        <v>35.979999999999997</v>
      </c>
      <c r="I1263" s="27">
        <v>416.71</v>
      </c>
      <c r="J1263" s="6">
        <v>145</v>
      </c>
      <c r="K1263" s="6">
        <v>18</v>
      </c>
      <c r="L1263" s="27">
        <v>5.956620689655173</v>
      </c>
      <c r="M1263" s="27">
        <v>23.150555555555556</v>
      </c>
      <c r="N1263" s="34">
        <v>10.953742331288344</v>
      </c>
    </row>
    <row r="1264" spans="1:14" x14ac:dyDescent="0.35">
      <c r="A1264" s="82">
        <v>1261</v>
      </c>
      <c r="B1264" s="89" t="str">
        <f>_xlfn.XLOOKUP(A1264,'Model Modeshare by TAZ'!A:A,'Model Modeshare by TAZ'!B:B)</f>
        <v>Santa Clara</v>
      </c>
      <c r="C1264" s="90" t="str">
        <f>_xlfn.XLOOKUP(A1264,'Model Modeshare by TAZ'!A:A,'Model Modeshare by TAZ'!D:D)</f>
        <v>NO</v>
      </c>
      <c r="D1264" s="27">
        <v>1257.9000000000001</v>
      </c>
      <c r="E1264" s="27">
        <v>12963.95</v>
      </c>
      <c r="F1264" s="27">
        <v>973.2</v>
      </c>
      <c r="G1264" s="27">
        <v>4344.1899999999996</v>
      </c>
      <c r="H1264" s="27">
        <v>17.78</v>
      </c>
      <c r="I1264" s="27">
        <v>197.39</v>
      </c>
      <c r="J1264" s="6">
        <v>674</v>
      </c>
      <c r="K1264" s="6">
        <v>9</v>
      </c>
      <c r="L1264" s="27">
        <v>6.4453857566765569</v>
      </c>
      <c r="M1264" s="27">
        <v>21.932222222222222</v>
      </c>
      <c r="N1264" s="34">
        <v>14.071581259150804</v>
      </c>
    </row>
    <row r="1265" spans="1:14" x14ac:dyDescent="0.35">
      <c r="A1265" s="82">
        <v>1262</v>
      </c>
      <c r="B1265" s="89" t="str">
        <f>_xlfn.XLOOKUP(A1265,'Model Modeshare by TAZ'!A:A,'Model Modeshare by TAZ'!B:B)</f>
        <v>Santa Clara</v>
      </c>
      <c r="C1265" s="90" t="str">
        <f>_xlfn.XLOOKUP(A1265,'Model Modeshare by TAZ'!A:A,'Model Modeshare by TAZ'!D:D)</f>
        <v>NO</v>
      </c>
      <c r="D1265" s="27">
        <v>5511.1</v>
      </c>
      <c r="E1265" s="27">
        <v>92101.07</v>
      </c>
      <c r="F1265" s="27">
        <v>4312.47</v>
      </c>
      <c r="G1265" s="27">
        <v>27202.240000000002</v>
      </c>
      <c r="H1265" s="27">
        <v>1223.8399999999999</v>
      </c>
      <c r="I1265" s="27">
        <v>13889.1</v>
      </c>
      <c r="J1265" s="6">
        <v>2705</v>
      </c>
      <c r="K1265" s="6">
        <v>855</v>
      </c>
      <c r="L1265" s="27">
        <v>10.056280961182996</v>
      </c>
      <c r="M1265" s="27">
        <v>16.244561403508772</v>
      </c>
      <c r="N1265" s="34">
        <v>25.317988764044941</v>
      </c>
    </row>
    <row r="1266" spans="1:14" x14ac:dyDescent="0.35">
      <c r="A1266" s="82">
        <v>1263</v>
      </c>
      <c r="B1266" s="89" t="str">
        <f>_xlfn.XLOOKUP(A1266,'Model Modeshare by TAZ'!A:A,'Model Modeshare by TAZ'!B:B)</f>
        <v>Santa Clara</v>
      </c>
      <c r="C1266" s="90" t="str">
        <f>_xlfn.XLOOKUP(A1266,'Model Modeshare by TAZ'!A:A,'Model Modeshare by TAZ'!D:D)</f>
        <v>NO</v>
      </c>
      <c r="D1266" s="27">
        <v>8954.49</v>
      </c>
      <c r="E1266" s="27">
        <v>136469.88</v>
      </c>
      <c r="F1266" s="27">
        <v>6381.22</v>
      </c>
      <c r="G1266" s="27">
        <v>39043.72</v>
      </c>
      <c r="H1266" s="27">
        <v>2923.73</v>
      </c>
      <c r="I1266" s="27">
        <v>32523.360000000001</v>
      </c>
      <c r="J1266" s="6">
        <v>4057</v>
      </c>
      <c r="K1266" s="6">
        <v>2539</v>
      </c>
      <c r="L1266" s="27">
        <v>9.6237909785555829</v>
      </c>
      <c r="M1266" s="27">
        <v>12.809515557306026</v>
      </c>
      <c r="N1266" s="34">
        <v>25.470203153426318</v>
      </c>
    </row>
    <row r="1267" spans="1:14" x14ac:dyDescent="0.35">
      <c r="A1267" s="82">
        <v>1264</v>
      </c>
      <c r="B1267" s="89" t="str">
        <f>_xlfn.XLOOKUP(A1267,'Model Modeshare by TAZ'!A:A,'Model Modeshare by TAZ'!B:B)</f>
        <v>Santa Clara</v>
      </c>
      <c r="C1267" s="90" t="str">
        <f>_xlfn.XLOOKUP(A1267,'Model Modeshare by TAZ'!A:A,'Model Modeshare by TAZ'!D:D)</f>
        <v>NO</v>
      </c>
      <c r="D1267" s="27">
        <v>4402.8900000000003</v>
      </c>
      <c r="E1267" s="27">
        <v>73491.179999999993</v>
      </c>
      <c r="F1267" s="27">
        <v>2941.23</v>
      </c>
      <c r="G1267" s="27">
        <v>18068.68</v>
      </c>
      <c r="H1267" s="27">
        <v>740.48</v>
      </c>
      <c r="I1267" s="27">
        <v>8722.7999999999993</v>
      </c>
      <c r="J1267" s="6">
        <v>2024</v>
      </c>
      <c r="K1267" s="6">
        <v>648</v>
      </c>
      <c r="L1267" s="27">
        <v>8.927213438735178</v>
      </c>
      <c r="M1267" s="27">
        <v>13.46111111111111</v>
      </c>
      <c r="N1267" s="34">
        <v>24.698843562874252</v>
      </c>
    </row>
    <row r="1268" spans="1:14" x14ac:dyDescent="0.35">
      <c r="A1268" s="82">
        <v>1265</v>
      </c>
      <c r="B1268" s="89" t="str">
        <f>_xlfn.XLOOKUP(A1268,'Model Modeshare by TAZ'!A:A,'Model Modeshare by TAZ'!B:B)</f>
        <v>Santa Clara</v>
      </c>
      <c r="C1268" s="90" t="str">
        <f>_xlfn.XLOOKUP(A1268,'Model Modeshare by TAZ'!A:A,'Model Modeshare by TAZ'!D:D)</f>
        <v>NO</v>
      </c>
      <c r="D1268" s="27">
        <v>4568.5600000000004</v>
      </c>
      <c r="E1268" s="27">
        <v>69983.5</v>
      </c>
      <c r="F1268" s="27">
        <v>2361.63</v>
      </c>
      <c r="G1268" s="27">
        <v>13751.54</v>
      </c>
      <c r="H1268" s="27">
        <v>909.26</v>
      </c>
      <c r="I1268" s="27">
        <v>10171.07</v>
      </c>
      <c r="J1268" s="6">
        <v>1555</v>
      </c>
      <c r="K1268" s="6">
        <v>788</v>
      </c>
      <c r="L1268" s="27">
        <v>8.8434340836012861</v>
      </c>
      <c r="M1268" s="27">
        <v>12.90744923857868</v>
      </c>
      <c r="N1268" s="34">
        <v>30.574097311139564</v>
      </c>
    </row>
    <row r="1269" spans="1:14" x14ac:dyDescent="0.35">
      <c r="A1269" s="82">
        <v>1266</v>
      </c>
      <c r="B1269" s="89" t="str">
        <f>_xlfn.XLOOKUP(A1269,'Model Modeshare by TAZ'!A:A,'Model Modeshare by TAZ'!B:B)</f>
        <v>Santa Clara</v>
      </c>
      <c r="C1269" s="90" t="str">
        <f>_xlfn.XLOOKUP(A1269,'Model Modeshare by TAZ'!A:A,'Model Modeshare by TAZ'!D:D)</f>
        <v>NO</v>
      </c>
      <c r="D1269" s="27">
        <v>4702.71</v>
      </c>
      <c r="E1269" s="27">
        <v>54193.38</v>
      </c>
      <c r="F1269" s="27">
        <v>2520.02</v>
      </c>
      <c r="G1269" s="27">
        <v>10646.62</v>
      </c>
      <c r="H1269" s="27">
        <v>856.61</v>
      </c>
      <c r="I1269" s="27">
        <v>9198.7000000000007</v>
      </c>
      <c r="J1269" s="6">
        <v>1962</v>
      </c>
      <c r="K1269" s="6">
        <v>713</v>
      </c>
      <c r="L1269" s="27">
        <v>5.4264118246687056</v>
      </c>
      <c r="M1269" s="27">
        <v>12.90140252454418</v>
      </c>
      <c r="N1269" s="34">
        <v>20.205943925233644</v>
      </c>
    </row>
    <row r="1270" spans="1:14" x14ac:dyDescent="0.35">
      <c r="A1270" s="82">
        <v>1267</v>
      </c>
      <c r="B1270" s="89" t="str">
        <f>_xlfn.XLOOKUP(A1270,'Model Modeshare by TAZ'!A:A,'Model Modeshare by TAZ'!B:B)</f>
        <v>Santa Clara</v>
      </c>
      <c r="C1270" s="90" t="str">
        <f>_xlfn.XLOOKUP(A1270,'Model Modeshare by TAZ'!A:A,'Model Modeshare by TAZ'!D:D)</f>
        <v>NO</v>
      </c>
      <c r="D1270" s="27">
        <v>3678.66</v>
      </c>
      <c r="E1270" s="27">
        <v>33717.35</v>
      </c>
      <c r="F1270" s="27">
        <v>3823.15</v>
      </c>
      <c r="G1270" s="27">
        <v>16371.77</v>
      </c>
      <c r="H1270" s="27">
        <v>866.78</v>
      </c>
      <c r="I1270" s="27">
        <v>10201.35</v>
      </c>
      <c r="J1270" s="6">
        <v>2724</v>
      </c>
      <c r="K1270" s="6">
        <v>565</v>
      </c>
      <c r="L1270" s="27">
        <v>6.0101945668135093</v>
      </c>
      <c r="M1270" s="27">
        <v>18.055486725663716</v>
      </c>
      <c r="N1270" s="34">
        <v>11.951857707509882</v>
      </c>
    </row>
    <row r="1271" spans="1:14" x14ac:dyDescent="0.35">
      <c r="A1271" s="82">
        <v>1268</v>
      </c>
      <c r="B1271" s="89" t="str">
        <f>_xlfn.XLOOKUP(A1271,'Model Modeshare by TAZ'!A:A,'Model Modeshare by TAZ'!B:B)</f>
        <v>Santa Clara</v>
      </c>
      <c r="C1271" s="90" t="str">
        <f>_xlfn.XLOOKUP(A1271,'Model Modeshare by TAZ'!A:A,'Model Modeshare by TAZ'!D:D)</f>
        <v>NO</v>
      </c>
      <c r="D1271" s="27">
        <v>5344.11</v>
      </c>
      <c r="E1271" s="27">
        <v>68853.16</v>
      </c>
      <c r="F1271" s="27">
        <v>2853.93</v>
      </c>
      <c r="G1271" s="27">
        <v>15993.59</v>
      </c>
      <c r="H1271" s="27">
        <v>1109.74</v>
      </c>
      <c r="I1271" s="27">
        <v>13414.16</v>
      </c>
      <c r="J1271" s="6">
        <v>2005</v>
      </c>
      <c r="K1271" s="6">
        <v>941</v>
      </c>
      <c r="L1271" s="27">
        <v>7.9768528678304236</v>
      </c>
      <c r="M1271" s="27">
        <v>14.255217853347503</v>
      </c>
      <c r="N1271" s="34">
        <v>25.065560081466394</v>
      </c>
    </row>
    <row r="1272" spans="1:14" x14ac:dyDescent="0.35">
      <c r="A1272" s="82">
        <v>1269</v>
      </c>
      <c r="B1272" s="89" t="str">
        <f>_xlfn.XLOOKUP(A1272,'Model Modeshare by TAZ'!A:A,'Model Modeshare by TAZ'!B:B)</f>
        <v>Santa Clara</v>
      </c>
      <c r="C1272" s="90" t="str">
        <f>_xlfn.XLOOKUP(A1272,'Model Modeshare by TAZ'!A:A,'Model Modeshare by TAZ'!D:D)</f>
        <v>NO</v>
      </c>
      <c r="D1272" s="27">
        <v>4448.2700000000004</v>
      </c>
      <c r="E1272" s="27">
        <v>57071.88</v>
      </c>
      <c r="F1272" s="27">
        <v>3936.06</v>
      </c>
      <c r="G1272" s="27">
        <v>22508.38</v>
      </c>
      <c r="H1272" s="27">
        <v>1.97</v>
      </c>
      <c r="I1272" s="27">
        <v>22.17</v>
      </c>
      <c r="J1272" s="6">
        <v>2631</v>
      </c>
      <c r="K1272" s="6">
        <v>1</v>
      </c>
      <c r="L1272" s="27">
        <v>8.5550665146332197</v>
      </c>
      <c r="M1272" s="27">
        <v>22.17</v>
      </c>
      <c r="N1272" s="34">
        <v>16.871044832826747</v>
      </c>
    </row>
    <row r="1273" spans="1:14" x14ac:dyDescent="0.35">
      <c r="A1273" s="82">
        <v>1270</v>
      </c>
      <c r="B1273" s="89" t="str">
        <f>_xlfn.XLOOKUP(A1273,'Model Modeshare by TAZ'!A:A,'Model Modeshare by TAZ'!B:B)</f>
        <v>Santa Clara</v>
      </c>
      <c r="C1273" s="90" t="str">
        <f>_xlfn.XLOOKUP(A1273,'Model Modeshare by TAZ'!A:A,'Model Modeshare by TAZ'!D:D)</f>
        <v>NO</v>
      </c>
      <c r="D1273" s="27">
        <v>6538.34</v>
      </c>
      <c r="E1273" s="27">
        <v>91330.6</v>
      </c>
      <c r="F1273" s="27">
        <v>4540.8900000000003</v>
      </c>
      <c r="G1273" s="27">
        <v>23624.27</v>
      </c>
      <c r="H1273" s="27">
        <v>1260.6099999999999</v>
      </c>
      <c r="I1273" s="27">
        <v>14307.46</v>
      </c>
      <c r="J1273" s="6">
        <v>3028</v>
      </c>
      <c r="K1273" s="6">
        <v>1009</v>
      </c>
      <c r="L1273" s="27">
        <v>7.80193857331572</v>
      </c>
      <c r="M1273" s="27">
        <v>14.179841427155599</v>
      </c>
      <c r="N1273" s="34">
        <v>20.121830567252911</v>
      </c>
    </row>
    <row r="1274" spans="1:14" x14ac:dyDescent="0.35">
      <c r="A1274" s="82">
        <v>1271</v>
      </c>
      <c r="B1274" s="89" t="str">
        <f>_xlfn.XLOOKUP(A1274,'Model Modeshare by TAZ'!A:A,'Model Modeshare by TAZ'!B:B)</f>
        <v>Santa Clara</v>
      </c>
      <c r="C1274" s="90" t="str">
        <f>_xlfn.XLOOKUP(A1274,'Model Modeshare by TAZ'!A:A,'Model Modeshare by TAZ'!D:D)</f>
        <v>NO</v>
      </c>
      <c r="D1274" s="27">
        <v>2943.76</v>
      </c>
      <c r="E1274" s="27">
        <v>31122.58</v>
      </c>
      <c r="F1274" s="27">
        <v>2533.65</v>
      </c>
      <c r="G1274" s="27">
        <v>11330.13</v>
      </c>
      <c r="H1274" s="27">
        <v>229.05</v>
      </c>
      <c r="I1274" s="27">
        <v>2643.87</v>
      </c>
      <c r="J1274" s="6">
        <v>1783</v>
      </c>
      <c r="K1274" s="6">
        <v>123</v>
      </c>
      <c r="L1274" s="27">
        <v>6.3545316881660119</v>
      </c>
      <c r="M1274" s="27">
        <v>21.494878048780485</v>
      </c>
      <c r="N1274" s="34">
        <v>11.061274921301155</v>
      </c>
    </row>
    <row r="1275" spans="1:14" x14ac:dyDescent="0.35">
      <c r="A1275" s="82">
        <v>1272</v>
      </c>
      <c r="B1275" s="89" t="str">
        <f>_xlfn.XLOOKUP(A1275,'Model Modeshare by TAZ'!A:A,'Model Modeshare by TAZ'!B:B)</f>
        <v>Santa Clara</v>
      </c>
      <c r="C1275" s="90" t="str">
        <f>_xlfn.XLOOKUP(A1275,'Model Modeshare by TAZ'!A:A,'Model Modeshare by TAZ'!D:D)</f>
        <v>NO</v>
      </c>
      <c r="D1275" s="27">
        <v>2586.35</v>
      </c>
      <c r="E1275" s="27">
        <v>31680.03</v>
      </c>
      <c r="F1275" s="27">
        <v>2407.5100000000002</v>
      </c>
      <c r="G1275" s="27">
        <v>12078.63</v>
      </c>
      <c r="H1275" s="27">
        <v>533.82000000000005</v>
      </c>
      <c r="I1275" s="27">
        <v>6048.34</v>
      </c>
      <c r="J1275" s="6">
        <v>1640</v>
      </c>
      <c r="K1275" s="6">
        <v>345</v>
      </c>
      <c r="L1275" s="27">
        <v>7.365018292682926</v>
      </c>
      <c r="M1275" s="27">
        <v>17.531420289855074</v>
      </c>
      <c r="N1275" s="34">
        <v>19.395032745591941</v>
      </c>
    </row>
    <row r="1276" spans="1:14" x14ac:dyDescent="0.35">
      <c r="A1276" s="82">
        <v>1273</v>
      </c>
      <c r="B1276" s="89" t="str">
        <f>_xlfn.XLOOKUP(A1276,'Model Modeshare by TAZ'!A:A,'Model Modeshare by TAZ'!B:B)</f>
        <v>Santa Clara</v>
      </c>
      <c r="C1276" s="90" t="str">
        <f>_xlfn.XLOOKUP(A1276,'Model Modeshare by TAZ'!A:A,'Model Modeshare by TAZ'!D:D)</f>
        <v>NO</v>
      </c>
      <c r="D1276" s="27">
        <v>700.85</v>
      </c>
      <c r="E1276" s="27">
        <v>6098.28</v>
      </c>
      <c r="F1276" s="27">
        <v>740.77</v>
      </c>
      <c r="G1276" s="27">
        <v>2941.22</v>
      </c>
      <c r="H1276" s="27">
        <v>125.19</v>
      </c>
      <c r="I1276" s="27">
        <v>1461.95</v>
      </c>
      <c r="J1276" s="6">
        <v>507</v>
      </c>
      <c r="K1276" s="6">
        <v>68</v>
      </c>
      <c r="L1276" s="27">
        <v>5.8012228796844179</v>
      </c>
      <c r="M1276" s="27">
        <v>21.499264705882354</v>
      </c>
      <c r="N1276" s="34">
        <v>9.8683999999999994</v>
      </c>
    </row>
    <row r="1277" spans="1:14" x14ac:dyDescent="0.35">
      <c r="A1277" s="82">
        <v>1274</v>
      </c>
      <c r="B1277" s="89" t="str">
        <f>_xlfn.XLOOKUP(A1277,'Model Modeshare by TAZ'!A:A,'Model Modeshare by TAZ'!B:B)</f>
        <v>Santa Clara</v>
      </c>
      <c r="C1277" s="90" t="str">
        <f>_xlfn.XLOOKUP(A1277,'Model Modeshare by TAZ'!A:A,'Model Modeshare by TAZ'!D:D)</f>
        <v>NO</v>
      </c>
      <c r="D1277" s="27">
        <v>3814.66</v>
      </c>
      <c r="E1277" s="27">
        <v>39633.01</v>
      </c>
      <c r="F1277" s="27">
        <v>1297.04</v>
      </c>
      <c r="G1277" s="27">
        <v>5454.37</v>
      </c>
      <c r="H1277" s="27">
        <v>765.83</v>
      </c>
      <c r="I1277" s="27">
        <v>8478.59</v>
      </c>
      <c r="J1277" s="6">
        <v>925</v>
      </c>
      <c r="K1277" s="6">
        <v>661</v>
      </c>
      <c r="L1277" s="27">
        <v>5.8966162162162163</v>
      </c>
      <c r="M1277" s="27">
        <v>12.826913767019667</v>
      </c>
      <c r="N1277" s="34">
        <v>16.980195460277429</v>
      </c>
    </row>
    <row r="1278" spans="1:14" x14ac:dyDescent="0.35">
      <c r="A1278" s="82">
        <v>1275</v>
      </c>
      <c r="B1278" s="89" t="str">
        <f>_xlfn.XLOOKUP(A1278,'Model Modeshare by TAZ'!A:A,'Model Modeshare by TAZ'!B:B)</f>
        <v>Santa Clara</v>
      </c>
      <c r="C1278" s="90" t="str">
        <f>_xlfn.XLOOKUP(A1278,'Model Modeshare by TAZ'!A:A,'Model Modeshare by TAZ'!D:D)</f>
        <v>NO</v>
      </c>
      <c r="D1278" s="27">
        <v>904.23</v>
      </c>
      <c r="E1278" s="27">
        <v>8251.6299999999992</v>
      </c>
      <c r="F1278" s="27">
        <v>229.43</v>
      </c>
      <c r="G1278" s="27">
        <v>861.61</v>
      </c>
      <c r="H1278" s="27">
        <v>188.48</v>
      </c>
      <c r="I1278" s="27">
        <v>2189.0500000000002</v>
      </c>
      <c r="J1278" s="6">
        <v>217</v>
      </c>
      <c r="K1278" s="6">
        <v>171</v>
      </c>
      <c r="L1278" s="27">
        <v>3.9705529953917051</v>
      </c>
      <c r="M1278" s="27">
        <v>12.801461988304094</v>
      </c>
      <c r="N1278" s="34">
        <v>19.943221649484538</v>
      </c>
    </row>
    <row r="1279" spans="1:14" x14ac:dyDescent="0.35">
      <c r="A1279" s="82">
        <v>1276</v>
      </c>
      <c r="B1279" s="89" t="str">
        <f>_xlfn.XLOOKUP(A1279,'Model Modeshare by TAZ'!A:A,'Model Modeshare by TAZ'!B:B)</f>
        <v>Santa Clara</v>
      </c>
      <c r="C1279" s="90" t="str">
        <f>_xlfn.XLOOKUP(A1279,'Model Modeshare by TAZ'!A:A,'Model Modeshare by TAZ'!D:D)</f>
        <v>NO</v>
      </c>
      <c r="D1279" s="27">
        <v>1901.24</v>
      </c>
      <c r="E1279" s="27">
        <v>20825.810000000001</v>
      </c>
      <c r="F1279" s="27">
        <v>658.52</v>
      </c>
      <c r="G1279" s="27">
        <v>2601.3000000000002</v>
      </c>
      <c r="H1279" s="27">
        <v>475.64</v>
      </c>
      <c r="I1279" s="27">
        <v>5247.3</v>
      </c>
      <c r="J1279" s="6">
        <v>510</v>
      </c>
      <c r="K1279" s="6">
        <v>429</v>
      </c>
      <c r="L1279" s="27">
        <v>5.1005882352941176</v>
      </c>
      <c r="M1279" s="27">
        <v>12.231468531468533</v>
      </c>
      <c r="N1279" s="34">
        <v>21.703801916932907</v>
      </c>
    </row>
    <row r="1280" spans="1:14" x14ac:dyDescent="0.35">
      <c r="A1280" s="82">
        <v>1277</v>
      </c>
      <c r="B1280" s="89" t="str">
        <f>_xlfn.XLOOKUP(A1280,'Model Modeshare by TAZ'!A:A,'Model Modeshare by TAZ'!B:B)</f>
        <v>Santa Clara</v>
      </c>
      <c r="C1280" s="90" t="str">
        <f>_xlfn.XLOOKUP(A1280,'Model Modeshare by TAZ'!A:A,'Model Modeshare by TAZ'!D:D)</f>
        <v>NO</v>
      </c>
      <c r="D1280" s="27">
        <v>1098.0999999999999</v>
      </c>
      <c r="E1280" s="27">
        <v>11009.53</v>
      </c>
      <c r="F1280" s="27">
        <v>991.54</v>
      </c>
      <c r="G1280" s="27">
        <v>3954.73</v>
      </c>
      <c r="H1280" s="27">
        <v>56.61</v>
      </c>
      <c r="I1280" s="27">
        <v>631.03</v>
      </c>
      <c r="J1280" s="6">
        <v>739</v>
      </c>
      <c r="K1280" s="6">
        <v>31</v>
      </c>
      <c r="L1280" s="27">
        <v>5.3514614343707709</v>
      </c>
      <c r="M1280" s="27">
        <v>20.355806451612903</v>
      </c>
      <c r="N1280" s="34">
        <v>10.087961038961039</v>
      </c>
    </row>
    <row r="1281" spans="1:14" x14ac:dyDescent="0.35">
      <c r="A1281" s="82">
        <v>1278</v>
      </c>
      <c r="B1281" s="89" t="str">
        <f>_xlfn.XLOOKUP(A1281,'Model Modeshare by TAZ'!A:A,'Model Modeshare by TAZ'!B:B)</f>
        <v>Santa Clara</v>
      </c>
      <c r="C1281" s="90" t="str">
        <f>_xlfn.XLOOKUP(A1281,'Model Modeshare by TAZ'!A:A,'Model Modeshare by TAZ'!D:D)</f>
        <v>NO</v>
      </c>
      <c r="D1281" s="27">
        <v>1789.41</v>
      </c>
      <c r="E1281" s="27">
        <v>18637.330000000002</v>
      </c>
      <c r="F1281" s="27">
        <v>1688.56</v>
      </c>
      <c r="G1281" s="27">
        <v>7250.85</v>
      </c>
      <c r="H1281" s="27">
        <v>161.41999999999999</v>
      </c>
      <c r="I1281" s="27">
        <v>1864.47</v>
      </c>
      <c r="J1281" s="6">
        <v>1328</v>
      </c>
      <c r="K1281" s="6">
        <v>91</v>
      </c>
      <c r="L1281" s="27">
        <v>5.4599774096385545</v>
      </c>
      <c r="M1281" s="27">
        <v>20.488681318681319</v>
      </c>
      <c r="N1281" s="34">
        <v>11.154785059901339</v>
      </c>
    </row>
    <row r="1282" spans="1:14" x14ac:dyDescent="0.35">
      <c r="A1282" s="82">
        <v>1279</v>
      </c>
      <c r="B1282" s="89" t="str">
        <f>_xlfn.XLOOKUP(A1282,'Model Modeshare by TAZ'!A:A,'Model Modeshare by TAZ'!B:B)</f>
        <v>Santa Clara</v>
      </c>
      <c r="C1282" s="90" t="str">
        <f>_xlfn.XLOOKUP(A1282,'Model Modeshare by TAZ'!A:A,'Model Modeshare by TAZ'!D:D)</f>
        <v>NO</v>
      </c>
      <c r="D1282" s="27">
        <v>1337.64</v>
      </c>
      <c r="E1282" s="27">
        <v>10349.5</v>
      </c>
      <c r="F1282" s="27">
        <v>1236.23</v>
      </c>
      <c r="G1282" s="27">
        <v>4849.03</v>
      </c>
      <c r="H1282" s="27">
        <v>0</v>
      </c>
      <c r="I1282" s="27">
        <v>0</v>
      </c>
      <c r="J1282" s="6">
        <v>869</v>
      </c>
      <c r="K1282" s="6">
        <v>0</v>
      </c>
      <c r="L1282" s="27">
        <v>5.5800115074798615</v>
      </c>
      <c r="M1282" s="27">
        <v>0</v>
      </c>
      <c r="N1282" s="34">
        <v>7.08234752589183</v>
      </c>
    </row>
    <row r="1283" spans="1:14" x14ac:dyDescent="0.35">
      <c r="A1283" s="82">
        <v>1280</v>
      </c>
      <c r="B1283" s="89" t="str">
        <f>_xlfn.XLOOKUP(A1283,'Model Modeshare by TAZ'!A:A,'Model Modeshare by TAZ'!B:B)</f>
        <v>Santa Clara</v>
      </c>
      <c r="C1283" s="90" t="str">
        <f>_xlfn.XLOOKUP(A1283,'Model Modeshare by TAZ'!A:A,'Model Modeshare by TAZ'!D:D)</f>
        <v>NO</v>
      </c>
      <c r="D1283" s="27">
        <v>2386.89</v>
      </c>
      <c r="E1283" s="27">
        <v>22100.34</v>
      </c>
      <c r="F1283" s="27">
        <v>2955.21</v>
      </c>
      <c r="G1283" s="27">
        <v>15482.91</v>
      </c>
      <c r="H1283" s="27">
        <v>34.76</v>
      </c>
      <c r="I1283" s="27">
        <v>399.13</v>
      </c>
      <c r="J1283" s="6">
        <v>1908</v>
      </c>
      <c r="K1283" s="6">
        <v>18</v>
      </c>
      <c r="L1283" s="27">
        <v>8.114732704402515</v>
      </c>
      <c r="M1283" s="27">
        <v>22.173888888888889</v>
      </c>
      <c r="N1283" s="34">
        <v>11.004901349948078</v>
      </c>
    </row>
    <row r="1284" spans="1:14" x14ac:dyDescent="0.35">
      <c r="A1284" s="82">
        <v>1281</v>
      </c>
      <c r="B1284" s="89" t="str">
        <f>_xlfn.XLOOKUP(A1284,'Model Modeshare by TAZ'!A:A,'Model Modeshare by TAZ'!B:B)</f>
        <v>Santa Clara</v>
      </c>
      <c r="C1284" s="90" t="str">
        <f>_xlfn.XLOOKUP(A1284,'Model Modeshare by TAZ'!A:A,'Model Modeshare by TAZ'!D:D)</f>
        <v>NO</v>
      </c>
      <c r="D1284" s="27">
        <v>1743.38</v>
      </c>
      <c r="E1284" s="27">
        <v>43783.86</v>
      </c>
      <c r="F1284" s="27">
        <v>0</v>
      </c>
      <c r="G1284" s="27">
        <v>0</v>
      </c>
      <c r="H1284" s="27">
        <v>1476.57</v>
      </c>
      <c r="I1284" s="27">
        <v>18345.91</v>
      </c>
      <c r="J1284" s="6">
        <v>3</v>
      </c>
      <c r="K1284" s="6">
        <v>1240</v>
      </c>
      <c r="L1284" s="27">
        <v>0</v>
      </c>
      <c r="M1284" s="27">
        <v>14.795088709677419</v>
      </c>
      <c r="N1284" s="34">
        <v>31.233411102172163</v>
      </c>
    </row>
    <row r="1285" spans="1:14" x14ac:dyDescent="0.35">
      <c r="A1285" s="82">
        <v>1282</v>
      </c>
      <c r="B1285" s="89" t="str">
        <f>_xlfn.XLOOKUP(A1285,'Model Modeshare by TAZ'!A:A,'Model Modeshare by TAZ'!B:B)</f>
        <v>Santa Clara</v>
      </c>
      <c r="C1285" s="90" t="str">
        <f>_xlfn.XLOOKUP(A1285,'Model Modeshare by TAZ'!A:A,'Model Modeshare by TAZ'!D:D)</f>
        <v>NO</v>
      </c>
      <c r="D1285" s="27">
        <v>2305.14</v>
      </c>
      <c r="E1285" s="27">
        <v>23346.959999999999</v>
      </c>
      <c r="F1285" s="27">
        <v>2585.0500000000002</v>
      </c>
      <c r="G1285" s="27">
        <v>12431.77</v>
      </c>
      <c r="H1285" s="27">
        <v>19.739999999999998</v>
      </c>
      <c r="I1285" s="27">
        <v>235.47</v>
      </c>
      <c r="J1285" s="6">
        <v>1967</v>
      </c>
      <c r="K1285" s="6">
        <v>11</v>
      </c>
      <c r="L1285" s="27">
        <v>6.320167768174886</v>
      </c>
      <c r="M1285" s="27">
        <v>21.406363636363636</v>
      </c>
      <c r="N1285" s="34">
        <v>10.079888776541962</v>
      </c>
    </row>
    <row r="1286" spans="1:14" x14ac:dyDescent="0.35">
      <c r="A1286" s="82">
        <v>1283</v>
      </c>
      <c r="B1286" s="89" t="str">
        <f>_xlfn.XLOOKUP(A1286,'Model Modeshare by TAZ'!A:A,'Model Modeshare by TAZ'!B:B)</f>
        <v>Sunnyvale</v>
      </c>
      <c r="C1286" s="90" t="str">
        <f>_xlfn.XLOOKUP(A1286,'Model Modeshare by TAZ'!A:A,'Model Modeshare by TAZ'!D:D)</f>
        <v>NO</v>
      </c>
      <c r="D1286" s="27">
        <v>4170.87</v>
      </c>
      <c r="E1286" s="27">
        <v>109432.21</v>
      </c>
      <c r="F1286" s="27">
        <v>0</v>
      </c>
      <c r="G1286" s="27">
        <v>0</v>
      </c>
      <c r="H1286" s="27">
        <v>2560.59</v>
      </c>
      <c r="I1286" s="27">
        <v>33370.800000000003</v>
      </c>
      <c r="J1286" s="6">
        <v>0</v>
      </c>
      <c r="K1286" s="6">
        <v>2132</v>
      </c>
      <c r="L1286" s="27">
        <v>0</v>
      </c>
      <c r="M1286" s="27">
        <v>15.652345215759851</v>
      </c>
      <c r="N1286" s="34">
        <v>33.256205440900558</v>
      </c>
    </row>
    <row r="1287" spans="1:14" x14ac:dyDescent="0.35">
      <c r="A1287" s="82">
        <v>1284</v>
      </c>
      <c r="B1287" s="89" t="str">
        <f>_xlfn.XLOOKUP(A1287,'Model Modeshare by TAZ'!A:A,'Model Modeshare by TAZ'!B:B)</f>
        <v>Santa Clara</v>
      </c>
      <c r="C1287" s="90" t="str">
        <f>_xlfn.XLOOKUP(A1287,'Model Modeshare by TAZ'!A:A,'Model Modeshare by TAZ'!D:D)</f>
        <v>NO</v>
      </c>
      <c r="D1287" s="27">
        <v>2870.7</v>
      </c>
      <c r="E1287" s="27">
        <v>26913.86</v>
      </c>
      <c r="F1287" s="27">
        <v>2913.1</v>
      </c>
      <c r="G1287" s="27">
        <v>12338.11</v>
      </c>
      <c r="H1287" s="27">
        <v>51.16</v>
      </c>
      <c r="I1287" s="27">
        <v>590.19000000000005</v>
      </c>
      <c r="J1287" s="6">
        <v>2456</v>
      </c>
      <c r="K1287" s="6">
        <v>28</v>
      </c>
      <c r="L1287" s="27">
        <v>5.0236604234527693</v>
      </c>
      <c r="M1287" s="27">
        <v>21.078214285714289</v>
      </c>
      <c r="N1287" s="34">
        <v>9.3617230273752021</v>
      </c>
    </row>
    <row r="1288" spans="1:14" x14ac:dyDescent="0.35">
      <c r="A1288" s="82">
        <v>1285</v>
      </c>
      <c r="B1288" s="89" t="str">
        <f>_xlfn.XLOOKUP(A1288,'Model Modeshare by TAZ'!A:A,'Model Modeshare by TAZ'!B:B)</f>
        <v>Santa Clara</v>
      </c>
      <c r="C1288" s="90" t="str">
        <f>_xlfn.XLOOKUP(A1288,'Model Modeshare by TAZ'!A:A,'Model Modeshare by TAZ'!D:D)</f>
        <v>NO</v>
      </c>
      <c r="D1288" s="27">
        <v>1896.05</v>
      </c>
      <c r="E1288" s="27">
        <v>15513.29</v>
      </c>
      <c r="F1288" s="27">
        <v>1892.51</v>
      </c>
      <c r="G1288" s="27">
        <v>7723.34</v>
      </c>
      <c r="H1288" s="27">
        <v>85.42</v>
      </c>
      <c r="I1288" s="27">
        <v>980.52</v>
      </c>
      <c r="J1288" s="6">
        <v>1619</v>
      </c>
      <c r="K1288" s="6">
        <v>48</v>
      </c>
      <c r="L1288" s="27">
        <v>4.7704385423100684</v>
      </c>
      <c r="M1288" s="27">
        <v>20.427499999999998</v>
      </c>
      <c r="N1288" s="34">
        <v>8.0095860827834429</v>
      </c>
    </row>
    <row r="1289" spans="1:14" x14ac:dyDescent="0.35">
      <c r="A1289" s="82">
        <v>1286</v>
      </c>
      <c r="B1289" s="89" t="str">
        <f>_xlfn.XLOOKUP(A1289,'Model Modeshare by TAZ'!A:A,'Model Modeshare by TAZ'!B:B)</f>
        <v>Santa Clara</v>
      </c>
      <c r="C1289" s="90" t="str">
        <f>_xlfn.XLOOKUP(A1289,'Model Modeshare by TAZ'!A:A,'Model Modeshare by TAZ'!D:D)</f>
        <v>NO</v>
      </c>
      <c r="D1289" s="27">
        <v>1774.63</v>
      </c>
      <c r="E1289" s="27">
        <v>21741.19</v>
      </c>
      <c r="F1289" s="27">
        <v>996.64</v>
      </c>
      <c r="G1289" s="27">
        <v>4241.93</v>
      </c>
      <c r="H1289" s="27">
        <v>499.13</v>
      </c>
      <c r="I1289" s="27">
        <v>5623.99</v>
      </c>
      <c r="J1289" s="6">
        <v>932</v>
      </c>
      <c r="K1289" s="6">
        <v>447</v>
      </c>
      <c r="L1289" s="27">
        <v>4.5514270386266098</v>
      </c>
      <c r="M1289" s="27">
        <v>12.581633109619686</v>
      </c>
      <c r="N1289" s="34">
        <v>14.906686004350979</v>
      </c>
    </row>
    <row r="1290" spans="1:14" x14ac:dyDescent="0.35">
      <c r="A1290" s="82">
        <v>1287</v>
      </c>
      <c r="B1290" s="89" t="str">
        <f>_xlfn.XLOOKUP(A1290,'Model Modeshare by TAZ'!A:A,'Model Modeshare by TAZ'!B:B)</f>
        <v>Santa Clara</v>
      </c>
      <c r="C1290" s="90" t="str">
        <f>_xlfn.XLOOKUP(A1290,'Model Modeshare by TAZ'!A:A,'Model Modeshare by TAZ'!D:D)</f>
        <v>NO</v>
      </c>
      <c r="D1290" s="27">
        <v>1228.8399999999999</v>
      </c>
      <c r="E1290" s="27">
        <v>14164.33</v>
      </c>
      <c r="F1290" s="27">
        <v>531.25</v>
      </c>
      <c r="G1290" s="27">
        <v>2243.58</v>
      </c>
      <c r="H1290" s="27">
        <v>186.25</v>
      </c>
      <c r="I1290" s="27">
        <v>2136.88</v>
      </c>
      <c r="J1290" s="6">
        <v>824</v>
      </c>
      <c r="K1290" s="6">
        <v>155</v>
      </c>
      <c r="L1290" s="27">
        <v>2.7227912621359223</v>
      </c>
      <c r="M1290" s="27">
        <v>13.786322580645162</v>
      </c>
      <c r="N1290" s="34">
        <v>9.6056486210418797</v>
      </c>
    </row>
    <row r="1291" spans="1:14" x14ac:dyDescent="0.35">
      <c r="A1291" s="82">
        <v>1288</v>
      </c>
      <c r="B1291" s="89" t="str">
        <f>_xlfn.XLOOKUP(A1291,'Model Modeshare by TAZ'!A:A,'Model Modeshare by TAZ'!B:B)</f>
        <v>Santa Clara</v>
      </c>
      <c r="C1291" s="90" t="str">
        <f>_xlfn.XLOOKUP(A1291,'Model Modeshare by TAZ'!A:A,'Model Modeshare by TAZ'!D:D)</f>
        <v>NO</v>
      </c>
      <c r="D1291" s="27">
        <v>3168.08</v>
      </c>
      <c r="E1291" s="27">
        <v>48390.96</v>
      </c>
      <c r="F1291" s="27">
        <v>805.15</v>
      </c>
      <c r="G1291" s="27">
        <v>3107.11</v>
      </c>
      <c r="H1291" s="27">
        <v>918.5</v>
      </c>
      <c r="I1291" s="27">
        <v>10660.54</v>
      </c>
      <c r="J1291" s="6">
        <v>750</v>
      </c>
      <c r="K1291" s="6">
        <v>825</v>
      </c>
      <c r="L1291" s="27">
        <v>4.1428133333333337</v>
      </c>
      <c r="M1291" s="27">
        <v>12.921866666666668</v>
      </c>
      <c r="N1291" s="34">
        <v>27.998571428571427</v>
      </c>
    </row>
    <row r="1292" spans="1:14" x14ac:dyDescent="0.35">
      <c r="A1292" s="82">
        <v>1289</v>
      </c>
      <c r="B1292" s="89" t="str">
        <f>_xlfn.XLOOKUP(A1292,'Model Modeshare by TAZ'!A:A,'Model Modeshare by TAZ'!B:B)</f>
        <v>Santa Clara</v>
      </c>
      <c r="C1292" s="90" t="str">
        <f>_xlfn.XLOOKUP(A1292,'Model Modeshare by TAZ'!A:A,'Model Modeshare by TAZ'!D:D)</f>
        <v>NO</v>
      </c>
      <c r="D1292" s="27">
        <v>2296.5500000000002</v>
      </c>
      <c r="E1292" s="27">
        <v>24748.33</v>
      </c>
      <c r="F1292" s="27">
        <v>1229.69</v>
      </c>
      <c r="G1292" s="27">
        <v>4741.21</v>
      </c>
      <c r="H1292" s="27">
        <v>797.94</v>
      </c>
      <c r="I1292" s="27">
        <v>8871.6299999999992</v>
      </c>
      <c r="J1292" s="6">
        <v>1217</v>
      </c>
      <c r="K1292" s="6">
        <v>709</v>
      </c>
      <c r="L1292" s="27">
        <v>3.8958175842235003</v>
      </c>
      <c r="M1292" s="27">
        <v>12.512877291960507</v>
      </c>
      <c r="N1292" s="34">
        <v>12.220706126687435</v>
      </c>
    </row>
    <row r="1293" spans="1:14" x14ac:dyDescent="0.35">
      <c r="A1293" s="82">
        <v>1290</v>
      </c>
      <c r="B1293" s="89" t="str">
        <f>_xlfn.XLOOKUP(A1293,'Model Modeshare by TAZ'!A:A,'Model Modeshare by TAZ'!B:B)</f>
        <v>Santa Clara</v>
      </c>
      <c r="C1293" s="90" t="str">
        <f>_xlfn.XLOOKUP(A1293,'Model Modeshare by TAZ'!A:A,'Model Modeshare by TAZ'!D:D)</f>
        <v>NO</v>
      </c>
      <c r="D1293" s="27">
        <v>4906.12</v>
      </c>
      <c r="E1293" s="27">
        <v>71089.289999999994</v>
      </c>
      <c r="F1293" s="27">
        <v>667.29</v>
      </c>
      <c r="G1293" s="27">
        <v>2423.27</v>
      </c>
      <c r="H1293" s="27">
        <v>1743.67</v>
      </c>
      <c r="I1293" s="27">
        <v>19593.13</v>
      </c>
      <c r="J1293" s="6">
        <v>545</v>
      </c>
      <c r="K1293" s="6">
        <v>1628</v>
      </c>
      <c r="L1293" s="27">
        <v>4.4463669724770645</v>
      </c>
      <c r="M1293" s="27">
        <v>12.035092137592137</v>
      </c>
      <c r="N1293" s="34">
        <v>32.626930510814546</v>
      </c>
    </row>
    <row r="1294" spans="1:14" x14ac:dyDescent="0.35">
      <c r="A1294" s="82">
        <v>1291</v>
      </c>
      <c r="B1294" s="89" t="str">
        <f>_xlfn.XLOOKUP(A1294,'Model Modeshare by TAZ'!A:A,'Model Modeshare by TAZ'!B:B)</f>
        <v>Santa Clara</v>
      </c>
      <c r="C1294" s="90" t="str">
        <f>_xlfn.XLOOKUP(A1294,'Model Modeshare by TAZ'!A:A,'Model Modeshare by TAZ'!D:D)</f>
        <v>NO</v>
      </c>
      <c r="D1294" s="27">
        <v>2049.6799999999998</v>
      </c>
      <c r="E1294" s="27">
        <v>18857.63</v>
      </c>
      <c r="F1294" s="27">
        <v>1072.31</v>
      </c>
      <c r="G1294" s="27">
        <v>3893.54</v>
      </c>
      <c r="H1294" s="27">
        <v>317.20999999999998</v>
      </c>
      <c r="I1294" s="27">
        <v>3595.6</v>
      </c>
      <c r="J1294" s="6">
        <v>943</v>
      </c>
      <c r="K1294" s="6">
        <v>223</v>
      </c>
      <c r="L1294" s="27">
        <v>4.1288865323435839</v>
      </c>
      <c r="M1294" s="27">
        <v>16.123766816143497</v>
      </c>
      <c r="N1294" s="34">
        <v>10.439982847341339</v>
      </c>
    </row>
    <row r="1295" spans="1:14" x14ac:dyDescent="0.35">
      <c r="A1295" s="82">
        <v>1292</v>
      </c>
      <c r="B1295" s="89" t="str">
        <f>_xlfn.XLOOKUP(A1295,'Model Modeshare by TAZ'!A:A,'Model Modeshare by TAZ'!B:B)</f>
        <v>Santa Clara</v>
      </c>
      <c r="C1295" s="90" t="str">
        <f>_xlfn.XLOOKUP(A1295,'Model Modeshare by TAZ'!A:A,'Model Modeshare by TAZ'!D:D)</f>
        <v>NO</v>
      </c>
      <c r="D1295" s="27">
        <v>547.59</v>
      </c>
      <c r="E1295" s="27">
        <v>5345.79</v>
      </c>
      <c r="F1295" s="27">
        <v>398.06</v>
      </c>
      <c r="G1295" s="27">
        <v>1447.73</v>
      </c>
      <c r="H1295" s="27">
        <v>181.69</v>
      </c>
      <c r="I1295" s="27">
        <v>2111.4299999999998</v>
      </c>
      <c r="J1295" s="6">
        <v>344</v>
      </c>
      <c r="K1295" s="6">
        <v>161</v>
      </c>
      <c r="L1295" s="27">
        <v>4.2085174418604652</v>
      </c>
      <c r="M1295" s="27">
        <v>13.114472049689439</v>
      </c>
      <c r="N1295" s="34">
        <v>11.255366336633664</v>
      </c>
    </row>
    <row r="1296" spans="1:14" x14ac:dyDescent="0.35">
      <c r="A1296" s="82">
        <v>1293</v>
      </c>
      <c r="B1296" s="89" t="str">
        <f>_xlfn.XLOOKUP(A1296,'Model Modeshare by TAZ'!A:A,'Model Modeshare by TAZ'!B:B)</f>
        <v>Santa Clara</v>
      </c>
      <c r="C1296" s="90" t="str">
        <f>_xlfn.XLOOKUP(A1296,'Model Modeshare by TAZ'!A:A,'Model Modeshare by TAZ'!D:D)</f>
        <v>NO</v>
      </c>
      <c r="D1296" s="27">
        <v>1211.68</v>
      </c>
      <c r="E1296" s="27">
        <v>10590.77</v>
      </c>
      <c r="F1296" s="27">
        <v>823.15</v>
      </c>
      <c r="G1296" s="27">
        <v>2935.35</v>
      </c>
      <c r="H1296" s="27">
        <v>8.68</v>
      </c>
      <c r="I1296" s="27">
        <v>90.42</v>
      </c>
      <c r="J1296" s="6">
        <v>679</v>
      </c>
      <c r="K1296" s="6">
        <v>4</v>
      </c>
      <c r="L1296" s="27">
        <v>4.3230486008836522</v>
      </c>
      <c r="M1296" s="27">
        <v>22.605</v>
      </c>
      <c r="N1296" s="34">
        <v>7.1194143484626657</v>
      </c>
    </row>
    <row r="1297" spans="1:14" x14ac:dyDescent="0.35">
      <c r="A1297" s="82">
        <v>1294</v>
      </c>
      <c r="B1297" s="89" t="str">
        <f>_xlfn.XLOOKUP(A1297,'Model Modeshare by TAZ'!A:A,'Model Modeshare by TAZ'!B:B)</f>
        <v>Santa Clara</v>
      </c>
      <c r="C1297" s="90" t="str">
        <f>_xlfn.XLOOKUP(A1297,'Model Modeshare by TAZ'!A:A,'Model Modeshare by TAZ'!D:D)</f>
        <v>NO</v>
      </c>
      <c r="D1297" s="27">
        <v>2000.17</v>
      </c>
      <c r="E1297" s="27">
        <v>17399.2</v>
      </c>
      <c r="F1297" s="27">
        <v>2010.43</v>
      </c>
      <c r="G1297" s="27">
        <v>7447.99</v>
      </c>
      <c r="H1297" s="27">
        <v>174.98</v>
      </c>
      <c r="I1297" s="27">
        <v>1911.38</v>
      </c>
      <c r="J1297" s="6">
        <v>1621</v>
      </c>
      <c r="K1297" s="6">
        <v>98</v>
      </c>
      <c r="L1297" s="27">
        <v>4.594688463911166</v>
      </c>
      <c r="M1297" s="27">
        <v>19.503877551020409</v>
      </c>
      <c r="N1297" s="34">
        <v>7.4902908667830133</v>
      </c>
    </row>
    <row r="1298" spans="1:14" x14ac:dyDescent="0.35">
      <c r="A1298" s="82">
        <v>1295</v>
      </c>
      <c r="B1298" s="89" t="str">
        <f>_xlfn.XLOOKUP(A1298,'Model Modeshare by TAZ'!A:A,'Model Modeshare by TAZ'!B:B)</f>
        <v>Santa Clara</v>
      </c>
      <c r="C1298" s="90" t="str">
        <f>_xlfn.XLOOKUP(A1298,'Model Modeshare by TAZ'!A:A,'Model Modeshare by TAZ'!D:D)</f>
        <v>NO</v>
      </c>
      <c r="D1298" s="27">
        <v>1080.48</v>
      </c>
      <c r="E1298" s="27">
        <v>10432.68</v>
      </c>
      <c r="F1298" s="27">
        <v>1038.72</v>
      </c>
      <c r="G1298" s="27">
        <v>4181.79</v>
      </c>
      <c r="H1298" s="27">
        <v>0</v>
      </c>
      <c r="I1298" s="27">
        <v>0</v>
      </c>
      <c r="J1298" s="6">
        <v>775</v>
      </c>
      <c r="K1298" s="6">
        <v>0</v>
      </c>
      <c r="L1298" s="27">
        <v>5.3958580645161289</v>
      </c>
      <c r="M1298" s="27">
        <v>0</v>
      </c>
      <c r="N1298" s="34">
        <v>8.1478580645161287</v>
      </c>
    </row>
    <row r="1299" spans="1:14" x14ac:dyDescent="0.35">
      <c r="A1299" s="82">
        <v>1296</v>
      </c>
      <c r="B1299" s="89" t="str">
        <f>_xlfn.XLOOKUP(A1299,'Model Modeshare by TAZ'!A:A,'Model Modeshare by TAZ'!B:B)</f>
        <v>Santa Clara</v>
      </c>
      <c r="C1299" s="90" t="str">
        <f>_xlfn.XLOOKUP(A1299,'Model Modeshare by TAZ'!A:A,'Model Modeshare by TAZ'!D:D)</f>
        <v>NO</v>
      </c>
      <c r="D1299" s="27">
        <v>2252.5700000000002</v>
      </c>
      <c r="E1299" s="27">
        <v>56251.03</v>
      </c>
      <c r="F1299" s="27">
        <v>0</v>
      </c>
      <c r="G1299" s="27">
        <v>0</v>
      </c>
      <c r="H1299" s="27">
        <v>1845.97</v>
      </c>
      <c r="I1299" s="27">
        <v>24370.74</v>
      </c>
      <c r="J1299" s="6">
        <v>0</v>
      </c>
      <c r="K1299" s="6">
        <v>1535</v>
      </c>
      <c r="L1299" s="27">
        <v>0</v>
      </c>
      <c r="M1299" s="27">
        <v>15.876703583061889</v>
      </c>
      <c r="N1299" s="34">
        <v>37.194931596091209</v>
      </c>
    </row>
    <row r="1300" spans="1:14" x14ac:dyDescent="0.35">
      <c r="A1300" s="82">
        <v>1297</v>
      </c>
      <c r="B1300" s="89" t="str">
        <f>_xlfn.XLOOKUP(A1300,'Model Modeshare by TAZ'!A:A,'Model Modeshare by TAZ'!B:B)</f>
        <v>Santa Clara</v>
      </c>
      <c r="C1300" s="90" t="str">
        <f>_xlfn.XLOOKUP(A1300,'Model Modeshare by TAZ'!A:A,'Model Modeshare by TAZ'!D:D)</f>
        <v>NO</v>
      </c>
      <c r="D1300" s="27">
        <v>4026.61</v>
      </c>
      <c r="E1300" s="27">
        <v>108725.11</v>
      </c>
      <c r="F1300" s="27">
        <v>401.47</v>
      </c>
      <c r="G1300" s="27">
        <v>2837.27</v>
      </c>
      <c r="H1300" s="27">
        <v>4098.3100000000004</v>
      </c>
      <c r="I1300" s="27">
        <v>55095.87</v>
      </c>
      <c r="J1300" s="6">
        <v>205</v>
      </c>
      <c r="K1300" s="6">
        <v>3432</v>
      </c>
      <c r="L1300" s="27">
        <v>13.840341463414633</v>
      </c>
      <c r="M1300" s="27">
        <v>16.053575174825177</v>
      </c>
      <c r="N1300" s="34">
        <v>35.404844652185865</v>
      </c>
    </row>
    <row r="1301" spans="1:14" x14ac:dyDescent="0.35">
      <c r="A1301" s="82">
        <v>1298</v>
      </c>
      <c r="B1301" s="89" t="str">
        <f>_xlfn.XLOOKUP(A1301,'Model Modeshare by TAZ'!A:A,'Model Modeshare by TAZ'!B:B)</f>
        <v>Santa Clara</v>
      </c>
      <c r="C1301" s="90" t="str">
        <f>_xlfn.XLOOKUP(A1301,'Model Modeshare by TAZ'!A:A,'Model Modeshare by TAZ'!D:D)</f>
        <v>NO</v>
      </c>
      <c r="D1301" s="27">
        <v>11356.35</v>
      </c>
      <c r="E1301" s="27">
        <v>309170.86</v>
      </c>
      <c r="F1301" s="27">
        <v>0</v>
      </c>
      <c r="G1301" s="27">
        <v>0</v>
      </c>
      <c r="H1301" s="27">
        <v>4462.57</v>
      </c>
      <c r="I1301" s="27">
        <v>61135.17</v>
      </c>
      <c r="J1301" s="6">
        <v>0</v>
      </c>
      <c r="K1301" s="6">
        <v>3731</v>
      </c>
      <c r="L1301" s="27">
        <v>0</v>
      </c>
      <c r="M1301" s="27">
        <v>16.385733047440365</v>
      </c>
      <c r="N1301" s="34">
        <v>37.718737603859552</v>
      </c>
    </row>
    <row r="1302" spans="1:14" x14ac:dyDescent="0.35">
      <c r="A1302" s="82">
        <v>1299</v>
      </c>
      <c r="B1302" s="89" t="str">
        <f>_xlfn.XLOOKUP(A1302,'Model Modeshare by TAZ'!A:A,'Model Modeshare by TAZ'!B:B)</f>
        <v>Santa Clara</v>
      </c>
      <c r="C1302" s="90" t="str">
        <f>_xlfn.XLOOKUP(A1302,'Model Modeshare by TAZ'!A:A,'Model Modeshare by TAZ'!D:D)</f>
        <v>NO</v>
      </c>
      <c r="D1302" s="27">
        <v>3179.72</v>
      </c>
      <c r="E1302" s="27">
        <v>77598.460000000006</v>
      </c>
      <c r="F1302" s="27">
        <v>227.88</v>
      </c>
      <c r="G1302" s="27">
        <v>1497.53</v>
      </c>
      <c r="H1302" s="27">
        <v>2285.08</v>
      </c>
      <c r="I1302" s="27">
        <v>29228.7</v>
      </c>
      <c r="J1302" s="6">
        <v>232</v>
      </c>
      <c r="K1302" s="6">
        <v>1908</v>
      </c>
      <c r="L1302" s="27">
        <v>6.4548706896551726</v>
      </c>
      <c r="M1302" s="27">
        <v>15.319025157232705</v>
      </c>
      <c r="N1302" s="34">
        <v>33.820514018691583</v>
      </c>
    </row>
    <row r="1303" spans="1:14" x14ac:dyDescent="0.35">
      <c r="A1303" s="82">
        <v>1300</v>
      </c>
      <c r="B1303" s="89" t="str">
        <f>_xlfn.XLOOKUP(A1303,'Model Modeshare by TAZ'!A:A,'Model Modeshare by TAZ'!B:B)</f>
        <v>Santa Clara</v>
      </c>
      <c r="C1303" s="90" t="str">
        <f>_xlfn.XLOOKUP(A1303,'Model Modeshare by TAZ'!A:A,'Model Modeshare by TAZ'!D:D)</f>
        <v>NO</v>
      </c>
      <c r="D1303" s="27">
        <v>4329.4799999999996</v>
      </c>
      <c r="E1303" s="27">
        <v>112264.64</v>
      </c>
      <c r="F1303" s="27">
        <v>0</v>
      </c>
      <c r="G1303" s="27">
        <v>0</v>
      </c>
      <c r="H1303" s="27">
        <v>2091.75</v>
      </c>
      <c r="I1303" s="27">
        <v>28114.99</v>
      </c>
      <c r="J1303" s="6">
        <v>0</v>
      </c>
      <c r="K1303" s="6">
        <v>1758</v>
      </c>
      <c r="L1303" s="27">
        <v>0</v>
      </c>
      <c r="M1303" s="27">
        <v>15.992599544937431</v>
      </c>
      <c r="N1303" s="34">
        <v>39.85371444823663</v>
      </c>
    </row>
    <row r="1304" spans="1:14" x14ac:dyDescent="0.35">
      <c r="A1304" s="82">
        <v>1301</v>
      </c>
      <c r="B1304" s="89" t="str">
        <f>_xlfn.XLOOKUP(A1304,'Model Modeshare by TAZ'!A:A,'Model Modeshare by TAZ'!B:B)</f>
        <v>Santa Clara</v>
      </c>
      <c r="C1304" s="90" t="str">
        <f>_xlfn.XLOOKUP(A1304,'Model Modeshare by TAZ'!A:A,'Model Modeshare by TAZ'!D:D)</f>
        <v>NO</v>
      </c>
      <c r="D1304" s="27">
        <v>2846.05</v>
      </c>
      <c r="E1304" s="27">
        <v>71628.81</v>
      </c>
      <c r="F1304" s="27">
        <v>0</v>
      </c>
      <c r="G1304" s="27">
        <v>0</v>
      </c>
      <c r="H1304" s="27">
        <v>2074.71</v>
      </c>
      <c r="I1304" s="27">
        <v>25722.16</v>
      </c>
      <c r="J1304" s="6">
        <v>0</v>
      </c>
      <c r="K1304" s="6">
        <v>1743</v>
      </c>
      <c r="L1304" s="27">
        <v>0</v>
      </c>
      <c r="M1304" s="27">
        <v>14.757406769936891</v>
      </c>
      <c r="N1304" s="34">
        <v>31.189070567986231</v>
      </c>
    </row>
    <row r="1305" spans="1:14" x14ac:dyDescent="0.35">
      <c r="A1305" s="82">
        <v>1302</v>
      </c>
      <c r="B1305" s="89" t="str">
        <f>_xlfn.XLOOKUP(A1305,'Model Modeshare by TAZ'!A:A,'Model Modeshare by TAZ'!B:B)</f>
        <v>Santa Clara</v>
      </c>
      <c r="C1305" s="90" t="str">
        <f>_xlfn.XLOOKUP(A1305,'Model Modeshare by TAZ'!A:A,'Model Modeshare by TAZ'!D:D)</f>
        <v>NO</v>
      </c>
      <c r="D1305" s="27">
        <v>5566.46</v>
      </c>
      <c r="E1305" s="27">
        <v>148629.87</v>
      </c>
      <c r="F1305" s="27">
        <v>0.72</v>
      </c>
      <c r="G1305" s="27">
        <v>4.75</v>
      </c>
      <c r="H1305" s="27">
        <v>3925.58</v>
      </c>
      <c r="I1305" s="27">
        <v>51325.14</v>
      </c>
      <c r="J1305" s="6">
        <v>3</v>
      </c>
      <c r="K1305" s="6">
        <v>3260</v>
      </c>
      <c r="L1305" s="27">
        <v>1.5833333333333333</v>
      </c>
      <c r="M1305" s="27">
        <v>15.743907975460122</v>
      </c>
      <c r="N1305" s="34">
        <v>34.983705179282872</v>
      </c>
    </row>
    <row r="1306" spans="1:14" x14ac:dyDescent="0.35">
      <c r="A1306" s="82">
        <v>1303</v>
      </c>
      <c r="B1306" s="89" t="str">
        <f>_xlfn.XLOOKUP(A1306,'Model Modeshare by TAZ'!A:A,'Model Modeshare by TAZ'!B:B)</f>
        <v>Santa Clara</v>
      </c>
      <c r="C1306" s="90" t="str">
        <f>_xlfn.XLOOKUP(A1306,'Model Modeshare by TAZ'!A:A,'Model Modeshare by TAZ'!D:D)</f>
        <v>NO</v>
      </c>
      <c r="D1306" s="27">
        <v>3688.45</v>
      </c>
      <c r="E1306" s="27">
        <v>97260.69</v>
      </c>
      <c r="F1306" s="27">
        <v>439.82</v>
      </c>
      <c r="G1306" s="27">
        <v>2921.47</v>
      </c>
      <c r="H1306" s="27">
        <v>2893.71</v>
      </c>
      <c r="I1306" s="27">
        <v>38205.51</v>
      </c>
      <c r="J1306" s="6">
        <v>306</v>
      </c>
      <c r="K1306" s="6">
        <v>2480</v>
      </c>
      <c r="L1306" s="27">
        <v>9.5472875816993454</v>
      </c>
      <c r="M1306" s="27">
        <v>15.405447580645163</v>
      </c>
      <c r="N1306" s="34">
        <v>35.208230437903808</v>
      </c>
    </row>
    <row r="1307" spans="1:14" x14ac:dyDescent="0.35">
      <c r="A1307" s="82">
        <v>1304</v>
      </c>
      <c r="B1307" s="89" t="str">
        <f>_xlfn.XLOOKUP(A1307,'Model Modeshare by TAZ'!A:A,'Model Modeshare by TAZ'!B:B)</f>
        <v>Santa Clara</v>
      </c>
      <c r="C1307" s="90" t="str">
        <f>_xlfn.XLOOKUP(A1307,'Model Modeshare by TAZ'!A:A,'Model Modeshare by TAZ'!D:D)</f>
        <v>NO</v>
      </c>
      <c r="D1307" s="27">
        <v>2335.64</v>
      </c>
      <c r="E1307" s="27">
        <v>62535.94</v>
      </c>
      <c r="F1307" s="27">
        <v>0</v>
      </c>
      <c r="G1307" s="27">
        <v>0</v>
      </c>
      <c r="H1307" s="27">
        <v>1935.12</v>
      </c>
      <c r="I1307" s="27">
        <v>25568.59</v>
      </c>
      <c r="J1307" s="6">
        <v>3</v>
      </c>
      <c r="K1307" s="6">
        <v>1641</v>
      </c>
      <c r="L1307" s="27">
        <v>0</v>
      </c>
      <c r="M1307" s="27">
        <v>15.581102985984156</v>
      </c>
      <c r="N1307" s="34">
        <v>34.321885644768855</v>
      </c>
    </row>
    <row r="1308" spans="1:14" x14ac:dyDescent="0.35">
      <c r="A1308" s="82">
        <v>1305</v>
      </c>
      <c r="B1308" s="89" t="str">
        <f>_xlfn.XLOOKUP(A1308,'Model Modeshare by TAZ'!A:A,'Model Modeshare by TAZ'!B:B)</f>
        <v>Santa Clara</v>
      </c>
      <c r="C1308" s="90" t="str">
        <f>_xlfn.XLOOKUP(A1308,'Model Modeshare by TAZ'!A:A,'Model Modeshare by TAZ'!D:D)</f>
        <v>NO</v>
      </c>
      <c r="D1308" s="27">
        <v>430.92</v>
      </c>
      <c r="E1308" s="27">
        <v>11402.47</v>
      </c>
      <c r="F1308" s="27">
        <v>8.77</v>
      </c>
      <c r="G1308" s="27">
        <v>63.24</v>
      </c>
      <c r="H1308" s="27">
        <v>243.91</v>
      </c>
      <c r="I1308" s="27">
        <v>3257.67</v>
      </c>
      <c r="J1308" s="6">
        <v>13</v>
      </c>
      <c r="K1308" s="6">
        <v>200</v>
      </c>
      <c r="L1308" s="27">
        <v>4.8646153846153846</v>
      </c>
      <c r="M1308" s="27">
        <v>16.288350000000001</v>
      </c>
      <c r="N1308" s="34">
        <v>33.296431924882633</v>
      </c>
    </row>
    <row r="1309" spans="1:14" x14ac:dyDescent="0.35">
      <c r="A1309" s="82">
        <v>1306</v>
      </c>
      <c r="B1309" s="89" t="str">
        <f>_xlfn.XLOOKUP(A1309,'Model Modeshare by TAZ'!A:A,'Model Modeshare by TAZ'!B:B)</f>
        <v>Santa Clara</v>
      </c>
      <c r="C1309" s="90" t="str">
        <f>_xlfn.XLOOKUP(A1309,'Model Modeshare by TAZ'!A:A,'Model Modeshare by TAZ'!D:D)</f>
        <v>NO</v>
      </c>
      <c r="D1309" s="27">
        <v>2279.02</v>
      </c>
      <c r="E1309" s="27">
        <v>60884.42</v>
      </c>
      <c r="F1309" s="27">
        <v>48.36</v>
      </c>
      <c r="G1309" s="27">
        <v>325.97000000000003</v>
      </c>
      <c r="H1309" s="27">
        <v>1835.77</v>
      </c>
      <c r="I1309" s="27">
        <v>24223.18</v>
      </c>
      <c r="J1309" s="6">
        <v>33</v>
      </c>
      <c r="K1309" s="6">
        <v>1569</v>
      </c>
      <c r="L1309" s="27">
        <v>9.8778787878787888</v>
      </c>
      <c r="M1309" s="27">
        <v>15.438610579987254</v>
      </c>
      <c r="N1309" s="34">
        <v>37.434600499375783</v>
      </c>
    </row>
    <row r="1310" spans="1:14" x14ac:dyDescent="0.35">
      <c r="A1310" s="82">
        <v>1307</v>
      </c>
      <c r="B1310" s="89" t="str">
        <f>_xlfn.XLOOKUP(A1310,'Model Modeshare by TAZ'!A:A,'Model Modeshare by TAZ'!B:B)</f>
        <v>Santa Clara</v>
      </c>
      <c r="C1310" s="90" t="str">
        <f>_xlfn.XLOOKUP(A1310,'Model Modeshare by TAZ'!A:A,'Model Modeshare by TAZ'!D:D)</f>
        <v>NO</v>
      </c>
      <c r="D1310" s="27">
        <v>1360.87</v>
      </c>
      <c r="E1310" s="27">
        <v>36977.019999999997</v>
      </c>
      <c r="F1310" s="27">
        <v>0</v>
      </c>
      <c r="G1310" s="27">
        <v>0</v>
      </c>
      <c r="H1310" s="27">
        <v>1122.69</v>
      </c>
      <c r="I1310" s="27">
        <v>14611.88</v>
      </c>
      <c r="J1310" s="6">
        <v>89</v>
      </c>
      <c r="K1310" s="6">
        <v>950</v>
      </c>
      <c r="L1310" s="27">
        <v>0</v>
      </c>
      <c r="M1310" s="27">
        <v>15.380926315789473</v>
      </c>
      <c r="N1310" s="34">
        <v>30.988806544754571</v>
      </c>
    </row>
    <row r="1311" spans="1:14" x14ac:dyDescent="0.35">
      <c r="A1311" s="82">
        <v>1308</v>
      </c>
      <c r="B1311" s="89" t="str">
        <f>_xlfn.XLOOKUP(A1311,'Model Modeshare by TAZ'!A:A,'Model Modeshare by TAZ'!B:B)</f>
        <v>Santa Clara</v>
      </c>
      <c r="C1311" s="90" t="str">
        <f>_xlfn.XLOOKUP(A1311,'Model Modeshare by TAZ'!A:A,'Model Modeshare by TAZ'!D:D)</f>
        <v>NO</v>
      </c>
      <c r="D1311" s="27">
        <v>3314.78</v>
      </c>
      <c r="E1311" s="27">
        <v>86032.39</v>
      </c>
      <c r="F1311" s="27">
        <v>59.77</v>
      </c>
      <c r="G1311" s="27">
        <v>401.36</v>
      </c>
      <c r="H1311" s="27">
        <v>3056.79</v>
      </c>
      <c r="I1311" s="27">
        <v>40737.96</v>
      </c>
      <c r="J1311" s="6">
        <v>47</v>
      </c>
      <c r="K1311" s="6">
        <v>2602</v>
      </c>
      <c r="L1311" s="27">
        <v>8.5395744680851067</v>
      </c>
      <c r="M1311" s="27">
        <v>15.656402767102229</v>
      </c>
      <c r="N1311" s="34">
        <v>33.194809362023406</v>
      </c>
    </row>
    <row r="1312" spans="1:14" x14ac:dyDescent="0.35">
      <c r="A1312" s="82">
        <v>1309</v>
      </c>
      <c r="B1312" s="89" t="str">
        <f>_xlfn.XLOOKUP(A1312,'Model Modeshare by TAZ'!A:A,'Model Modeshare by TAZ'!B:B)</f>
        <v>Santa Clara</v>
      </c>
      <c r="C1312" s="90" t="str">
        <f>_xlfn.XLOOKUP(A1312,'Model Modeshare by TAZ'!A:A,'Model Modeshare by TAZ'!D:D)</f>
        <v>NO</v>
      </c>
      <c r="D1312" s="27">
        <v>4188.88</v>
      </c>
      <c r="E1312" s="27">
        <v>73413.64</v>
      </c>
      <c r="F1312" s="27">
        <v>3697.61</v>
      </c>
      <c r="G1312" s="27">
        <v>23649.33</v>
      </c>
      <c r="H1312" s="27">
        <v>860.44</v>
      </c>
      <c r="I1312" s="27">
        <v>11308.35</v>
      </c>
      <c r="J1312" s="6">
        <v>2461</v>
      </c>
      <c r="K1312" s="6">
        <v>562</v>
      </c>
      <c r="L1312" s="27">
        <v>9.6096424217797658</v>
      </c>
      <c r="M1312" s="27">
        <v>20.12161921708185</v>
      </c>
      <c r="N1312" s="34">
        <v>21.466830962619916</v>
      </c>
    </row>
    <row r="1313" spans="1:14" x14ac:dyDescent="0.35">
      <c r="A1313" s="82">
        <v>1310</v>
      </c>
      <c r="B1313" s="89" t="str">
        <f>_xlfn.XLOOKUP(A1313,'Model Modeshare by TAZ'!A:A,'Model Modeshare by TAZ'!B:B)</f>
        <v>Santa Clara</v>
      </c>
      <c r="C1313" s="90" t="str">
        <f>_xlfn.XLOOKUP(A1313,'Model Modeshare by TAZ'!A:A,'Model Modeshare by TAZ'!D:D)</f>
        <v>NO</v>
      </c>
      <c r="D1313" s="27">
        <v>4082.83</v>
      </c>
      <c r="E1313" s="27">
        <v>107619.26</v>
      </c>
      <c r="F1313" s="27">
        <v>0</v>
      </c>
      <c r="G1313" s="27">
        <v>0</v>
      </c>
      <c r="H1313" s="27">
        <v>2723.65</v>
      </c>
      <c r="I1313" s="27">
        <v>36012.29</v>
      </c>
      <c r="J1313" s="6">
        <v>0</v>
      </c>
      <c r="K1313" s="6">
        <v>2319</v>
      </c>
      <c r="L1313" s="27">
        <v>0</v>
      </c>
      <c r="M1313" s="27">
        <v>15.529232427770591</v>
      </c>
      <c r="N1313" s="34">
        <v>33.718300991806814</v>
      </c>
    </row>
    <row r="1314" spans="1:14" x14ac:dyDescent="0.35">
      <c r="A1314" s="82">
        <v>1311</v>
      </c>
      <c r="B1314" s="89" t="str">
        <f>_xlfn.XLOOKUP(A1314,'Model Modeshare by TAZ'!A:A,'Model Modeshare by TAZ'!B:B)</f>
        <v>Santa Clara</v>
      </c>
      <c r="C1314" s="90" t="str">
        <f>_xlfn.XLOOKUP(A1314,'Model Modeshare by TAZ'!A:A,'Model Modeshare by TAZ'!D:D)</f>
        <v>NO</v>
      </c>
      <c r="D1314" s="27">
        <v>5105.8900000000003</v>
      </c>
      <c r="E1314" s="27">
        <v>109966.67</v>
      </c>
      <c r="F1314" s="27">
        <v>2355.3000000000002</v>
      </c>
      <c r="G1314" s="27">
        <v>15697.03</v>
      </c>
      <c r="H1314" s="27">
        <v>2327.7600000000002</v>
      </c>
      <c r="I1314" s="27">
        <v>30365.61</v>
      </c>
      <c r="J1314" s="6">
        <v>1534</v>
      </c>
      <c r="K1314" s="6">
        <v>1971</v>
      </c>
      <c r="L1314" s="27">
        <v>10.232744458930901</v>
      </c>
      <c r="M1314" s="27">
        <v>15.406194824961949</v>
      </c>
      <c r="N1314" s="34">
        <v>27.097691868758918</v>
      </c>
    </row>
    <row r="1315" spans="1:14" x14ac:dyDescent="0.35">
      <c r="A1315" s="82">
        <v>1312</v>
      </c>
      <c r="B1315" s="89" t="str">
        <f>_xlfn.XLOOKUP(A1315,'Model Modeshare by TAZ'!A:A,'Model Modeshare by TAZ'!B:B)</f>
        <v>Santa Clara</v>
      </c>
      <c r="C1315" s="90" t="str">
        <f>_xlfn.XLOOKUP(A1315,'Model Modeshare by TAZ'!A:A,'Model Modeshare by TAZ'!D:D)</f>
        <v>NO</v>
      </c>
      <c r="D1315" s="27">
        <v>3699.55</v>
      </c>
      <c r="E1315" s="27">
        <v>35717.61</v>
      </c>
      <c r="F1315" s="27">
        <v>4095.59</v>
      </c>
      <c r="G1315" s="27">
        <v>19958.63</v>
      </c>
      <c r="H1315" s="27">
        <v>36.729999999999997</v>
      </c>
      <c r="I1315" s="27">
        <v>497</v>
      </c>
      <c r="J1315" s="6">
        <v>2905</v>
      </c>
      <c r="K1315" s="6">
        <v>18</v>
      </c>
      <c r="L1315" s="27">
        <v>6.870440619621343</v>
      </c>
      <c r="M1315" s="27">
        <v>27.611111111111111</v>
      </c>
      <c r="N1315" s="34">
        <v>10.362747177557305</v>
      </c>
    </row>
    <row r="1316" spans="1:14" x14ac:dyDescent="0.35">
      <c r="A1316" s="82">
        <v>1313</v>
      </c>
      <c r="B1316" s="89" t="str">
        <f>_xlfn.XLOOKUP(A1316,'Model Modeshare by TAZ'!A:A,'Model Modeshare by TAZ'!B:B)</f>
        <v>Santa Clara</v>
      </c>
      <c r="C1316" s="90" t="str">
        <f>_xlfn.XLOOKUP(A1316,'Model Modeshare by TAZ'!A:A,'Model Modeshare by TAZ'!D:D)</f>
        <v>NO</v>
      </c>
      <c r="D1316" s="27">
        <v>1766.84</v>
      </c>
      <c r="E1316" s="27">
        <v>31358.720000000001</v>
      </c>
      <c r="F1316" s="27">
        <v>1917.4</v>
      </c>
      <c r="G1316" s="27">
        <v>13603.61</v>
      </c>
      <c r="H1316" s="27">
        <v>8.8699999999999992</v>
      </c>
      <c r="I1316" s="27">
        <v>142.36000000000001</v>
      </c>
      <c r="J1316" s="6">
        <v>1144</v>
      </c>
      <c r="K1316" s="6">
        <v>4</v>
      </c>
      <c r="L1316" s="27">
        <v>11.891267482517483</v>
      </c>
      <c r="M1316" s="27">
        <v>35.590000000000003</v>
      </c>
      <c r="N1316" s="34">
        <v>24.556777003484321</v>
      </c>
    </row>
    <row r="1317" spans="1:14" x14ac:dyDescent="0.35">
      <c r="A1317" s="82">
        <v>1314</v>
      </c>
      <c r="B1317" s="89" t="str">
        <f>_xlfn.XLOOKUP(A1317,'Model Modeshare by TAZ'!A:A,'Model Modeshare by TAZ'!B:B)</f>
        <v>Santa Clara</v>
      </c>
      <c r="C1317" s="90" t="str">
        <f>_xlfn.XLOOKUP(A1317,'Model Modeshare by TAZ'!A:A,'Model Modeshare by TAZ'!D:D)</f>
        <v>NO</v>
      </c>
      <c r="D1317" s="27">
        <v>3760.63</v>
      </c>
      <c r="E1317" s="27">
        <v>67878.17</v>
      </c>
      <c r="F1317" s="27">
        <v>4156.5200000000004</v>
      </c>
      <c r="G1317" s="27">
        <v>29235.119999999999</v>
      </c>
      <c r="H1317" s="27">
        <v>161.75</v>
      </c>
      <c r="I1317" s="27">
        <v>2468.34</v>
      </c>
      <c r="J1317" s="6">
        <v>2452</v>
      </c>
      <c r="K1317" s="6">
        <v>86</v>
      </c>
      <c r="L1317" s="27">
        <v>11.922969004893964</v>
      </c>
      <c r="M1317" s="27">
        <v>28.701627906976746</v>
      </c>
      <c r="N1317" s="34">
        <v>25.357407407407408</v>
      </c>
    </row>
    <row r="1318" spans="1:14" x14ac:dyDescent="0.35">
      <c r="A1318" s="82">
        <v>1315</v>
      </c>
      <c r="B1318" s="89" t="str">
        <f>_xlfn.XLOOKUP(A1318,'Model Modeshare by TAZ'!A:A,'Model Modeshare by TAZ'!B:B)</f>
        <v>Santa Clara</v>
      </c>
      <c r="C1318" s="90" t="str">
        <f>_xlfn.XLOOKUP(A1318,'Model Modeshare by TAZ'!A:A,'Model Modeshare by TAZ'!D:D)</f>
        <v>NO</v>
      </c>
      <c r="D1318" s="27">
        <v>3955.44</v>
      </c>
      <c r="E1318" s="27">
        <v>73748.2</v>
      </c>
      <c r="F1318" s="27">
        <v>4416.6099999999997</v>
      </c>
      <c r="G1318" s="27">
        <v>31681.42</v>
      </c>
      <c r="H1318" s="27">
        <v>61.26</v>
      </c>
      <c r="I1318" s="27">
        <v>942.31</v>
      </c>
      <c r="J1318" s="6">
        <v>2585</v>
      </c>
      <c r="K1318" s="6">
        <v>32</v>
      </c>
      <c r="L1318" s="27">
        <v>12.255868471953578</v>
      </c>
      <c r="M1318" s="27">
        <v>29.447187499999998</v>
      </c>
      <c r="N1318" s="34">
        <v>25.810301872372946</v>
      </c>
    </row>
    <row r="1319" spans="1:14" x14ac:dyDescent="0.35">
      <c r="A1319" s="82">
        <v>1316</v>
      </c>
      <c r="B1319" s="89" t="str">
        <f>_xlfn.XLOOKUP(A1319,'Model Modeshare by TAZ'!A:A,'Model Modeshare by TAZ'!B:B)</f>
        <v>Santa Clara</v>
      </c>
      <c r="C1319" s="90" t="str">
        <f>_xlfn.XLOOKUP(A1319,'Model Modeshare by TAZ'!A:A,'Model Modeshare by TAZ'!D:D)</f>
        <v>NO</v>
      </c>
      <c r="D1319" s="27">
        <v>8450.2199999999993</v>
      </c>
      <c r="E1319" s="27">
        <v>101547.31</v>
      </c>
      <c r="F1319" s="27">
        <v>8719.36</v>
      </c>
      <c r="G1319" s="27">
        <v>46464.6</v>
      </c>
      <c r="H1319" s="27">
        <v>1024.17</v>
      </c>
      <c r="I1319" s="27">
        <v>13679.39</v>
      </c>
      <c r="J1319" s="6">
        <v>5695</v>
      </c>
      <c r="K1319" s="6">
        <v>547</v>
      </c>
      <c r="L1319" s="27">
        <v>8.1588410886742757</v>
      </c>
      <c r="M1319" s="27">
        <v>25.008025594149906</v>
      </c>
      <c r="N1319" s="34">
        <v>16.600672861262414</v>
      </c>
    </row>
    <row r="1320" spans="1:14" x14ac:dyDescent="0.35">
      <c r="A1320" s="82">
        <v>1317</v>
      </c>
      <c r="B1320" s="89" t="str">
        <f>_xlfn.XLOOKUP(A1320,'Model Modeshare by TAZ'!A:A,'Model Modeshare by TAZ'!B:B)</f>
        <v>Santa Clara</v>
      </c>
      <c r="C1320" s="90" t="str">
        <f>_xlfn.XLOOKUP(A1320,'Model Modeshare by TAZ'!A:A,'Model Modeshare by TAZ'!D:D)</f>
        <v>NO</v>
      </c>
      <c r="D1320" s="27">
        <v>4472.8599999999997</v>
      </c>
      <c r="E1320" s="27">
        <v>83748.78</v>
      </c>
      <c r="F1320" s="27">
        <v>1635.49</v>
      </c>
      <c r="G1320" s="27">
        <v>7032.38</v>
      </c>
      <c r="H1320" s="27">
        <v>344.11</v>
      </c>
      <c r="I1320" s="27">
        <v>4521.93</v>
      </c>
      <c r="J1320" s="6">
        <v>1080</v>
      </c>
      <c r="K1320" s="6">
        <v>183</v>
      </c>
      <c r="L1320" s="27">
        <v>6.5114629629629635</v>
      </c>
      <c r="M1320" s="27">
        <v>24.71</v>
      </c>
      <c r="N1320" s="34">
        <v>12.466001583531275</v>
      </c>
    </row>
    <row r="1321" spans="1:14" x14ac:dyDescent="0.35">
      <c r="A1321" s="82">
        <v>1318</v>
      </c>
      <c r="B1321" s="89" t="str">
        <f>_xlfn.XLOOKUP(A1321,'Model Modeshare by TAZ'!A:A,'Model Modeshare by TAZ'!B:B)</f>
        <v>Santa Clara</v>
      </c>
      <c r="C1321" s="90" t="str">
        <f>_xlfn.XLOOKUP(A1321,'Model Modeshare by TAZ'!A:A,'Model Modeshare by TAZ'!D:D)</f>
        <v>NO</v>
      </c>
      <c r="D1321" s="27">
        <v>5158.07</v>
      </c>
      <c r="E1321" s="27">
        <v>128215.11</v>
      </c>
      <c r="F1321" s="27">
        <v>1497.2</v>
      </c>
      <c r="G1321" s="27">
        <v>8924.35</v>
      </c>
      <c r="H1321" s="27">
        <v>4772.55</v>
      </c>
      <c r="I1321" s="27">
        <v>63333.87</v>
      </c>
      <c r="J1321" s="6">
        <v>852</v>
      </c>
      <c r="K1321" s="6">
        <v>3957</v>
      </c>
      <c r="L1321" s="27">
        <v>10.474589201877935</v>
      </c>
      <c r="M1321" s="27">
        <v>16.005526914329039</v>
      </c>
      <c r="N1321" s="34">
        <v>27.687323767935119</v>
      </c>
    </row>
    <row r="1322" spans="1:14" x14ac:dyDescent="0.35">
      <c r="A1322" s="82">
        <v>1319</v>
      </c>
      <c r="B1322" s="89" t="str">
        <f>_xlfn.XLOOKUP(A1322,'Model Modeshare by TAZ'!A:A,'Model Modeshare by TAZ'!B:B)</f>
        <v>Santa Clara</v>
      </c>
      <c r="C1322" s="90" t="str">
        <f>_xlfn.XLOOKUP(A1322,'Model Modeshare by TAZ'!A:A,'Model Modeshare by TAZ'!D:D)</f>
        <v>NO</v>
      </c>
      <c r="D1322" s="27">
        <v>3791.33</v>
      </c>
      <c r="E1322" s="27">
        <v>96404.31</v>
      </c>
      <c r="F1322" s="27">
        <v>0</v>
      </c>
      <c r="G1322" s="27">
        <v>0</v>
      </c>
      <c r="H1322" s="27">
        <v>3373.61</v>
      </c>
      <c r="I1322" s="27">
        <v>44114.51</v>
      </c>
      <c r="J1322" s="6">
        <v>0</v>
      </c>
      <c r="K1322" s="6">
        <v>2782</v>
      </c>
      <c r="L1322" s="27">
        <v>0</v>
      </c>
      <c r="M1322" s="27">
        <v>15.857120776419842</v>
      </c>
      <c r="N1322" s="34">
        <v>34.473637670740473</v>
      </c>
    </row>
    <row r="1323" spans="1:14" x14ac:dyDescent="0.35">
      <c r="A1323" s="82">
        <v>1320</v>
      </c>
      <c r="B1323" s="89" t="str">
        <f>_xlfn.XLOOKUP(A1323,'Model Modeshare by TAZ'!A:A,'Model Modeshare by TAZ'!B:B)</f>
        <v>Santa Clara</v>
      </c>
      <c r="C1323" s="90" t="str">
        <f>_xlfn.XLOOKUP(A1323,'Model Modeshare by TAZ'!A:A,'Model Modeshare by TAZ'!D:D)</f>
        <v>NO</v>
      </c>
      <c r="D1323" s="27">
        <v>4087.4</v>
      </c>
      <c r="E1323" s="27">
        <v>76678.33</v>
      </c>
      <c r="F1323" s="27">
        <v>4663.3999999999996</v>
      </c>
      <c r="G1323" s="27">
        <v>33299.33</v>
      </c>
      <c r="H1323" s="27">
        <v>11.69</v>
      </c>
      <c r="I1323" s="27">
        <v>180.5</v>
      </c>
      <c r="J1323" s="6">
        <v>2691</v>
      </c>
      <c r="K1323" s="6">
        <v>6</v>
      </c>
      <c r="L1323" s="27">
        <v>12.374332961724267</v>
      </c>
      <c r="M1323" s="27">
        <v>30.083333333333332</v>
      </c>
      <c r="N1323" s="34">
        <v>26.195216907675196</v>
      </c>
    </row>
    <row r="1324" spans="1:14" x14ac:dyDescent="0.35">
      <c r="A1324" s="82">
        <v>1321</v>
      </c>
      <c r="B1324" s="89" t="str">
        <f>_xlfn.XLOOKUP(A1324,'Model Modeshare by TAZ'!A:A,'Model Modeshare by TAZ'!B:B)</f>
        <v>Santa Clara</v>
      </c>
      <c r="C1324" s="90" t="str">
        <f>_xlfn.XLOOKUP(A1324,'Model Modeshare by TAZ'!A:A,'Model Modeshare by TAZ'!D:D)</f>
        <v>NO</v>
      </c>
      <c r="D1324" s="27">
        <v>6243.44</v>
      </c>
      <c r="E1324" s="27">
        <v>160707.96</v>
      </c>
      <c r="F1324" s="27">
        <v>0</v>
      </c>
      <c r="G1324" s="27">
        <v>0</v>
      </c>
      <c r="H1324" s="27">
        <v>4968.8500000000004</v>
      </c>
      <c r="I1324" s="27">
        <v>67954.16</v>
      </c>
      <c r="J1324" s="6">
        <v>0</v>
      </c>
      <c r="K1324" s="6">
        <v>4158</v>
      </c>
      <c r="L1324" s="27">
        <v>0</v>
      </c>
      <c r="M1324" s="27">
        <v>16.342991822991824</v>
      </c>
      <c r="N1324" s="34">
        <v>39.69974025974026</v>
      </c>
    </row>
    <row r="1325" spans="1:14" x14ac:dyDescent="0.35">
      <c r="A1325" s="82">
        <v>1322</v>
      </c>
      <c r="B1325" s="89" t="str">
        <f>_xlfn.XLOOKUP(A1325,'Model Modeshare by TAZ'!A:A,'Model Modeshare by TAZ'!B:B)</f>
        <v>Santa Clara</v>
      </c>
      <c r="C1325" s="90" t="str">
        <f>_xlfn.XLOOKUP(A1325,'Model Modeshare by TAZ'!A:A,'Model Modeshare by TAZ'!D:D)</f>
        <v>NO</v>
      </c>
      <c r="D1325" s="27">
        <v>5528.85</v>
      </c>
      <c r="E1325" s="27">
        <v>141206.56</v>
      </c>
      <c r="F1325" s="27">
        <v>0</v>
      </c>
      <c r="G1325" s="27">
        <v>0</v>
      </c>
      <c r="H1325" s="27">
        <v>4262.42</v>
      </c>
      <c r="I1325" s="27">
        <v>58547.81</v>
      </c>
      <c r="J1325" s="6">
        <v>0</v>
      </c>
      <c r="K1325" s="6">
        <v>3510</v>
      </c>
      <c r="L1325" s="27">
        <v>0</v>
      </c>
      <c r="M1325" s="27">
        <v>16.68028774928775</v>
      </c>
      <c r="N1325" s="34">
        <v>39.037823361823364</v>
      </c>
    </row>
    <row r="1326" spans="1:14" x14ac:dyDescent="0.35">
      <c r="A1326" s="82">
        <v>1323</v>
      </c>
      <c r="B1326" s="89" t="str">
        <f>_xlfn.XLOOKUP(A1326,'Model Modeshare by TAZ'!A:A,'Model Modeshare by TAZ'!B:B)</f>
        <v>Santa Clara</v>
      </c>
      <c r="C1326" s="90" t="str">
        <f>_xlfn.XLOOKUP(A1326,'Model Modeshare by TAZ'!A:A,'Model Modeshare by TAZ'!D:D)</f>
        <v>NO</v>
      </c>
      <c r="D1326" s="27">
        <v>5254.88</v>
      </c>
      <c r="E1326" s="27">
        <v>169560.16</v>
      </c>
      <c r="F1326" s="27">
        <v>0</v>
      </c>
      <c r="G1326" s="27">
        <v>0</v>
      </c>
      <c r="H1326" s="27">
        <v>4446.6000000000004</v>
      </c>
      <c r="I1326" s="27">
        <v>71283.27</v>
      </c>
      <c r="J1326" s="6">
        <v>0</v>
      </c>
      <c r="K1326" s="6">
        <v>3697</v>
      </c>
      <c r="L1326" s="27">
        <v>0</v>
      </c>
      <c r="M1326" s="27">
        <v>19.281382201785231</v>
      </c>
      <c r="N1326" s="34">
        <v>38.142101704084396</v>
      </c>
    </row>
    <row r="1327" spans="1:14" x14ac:dyDescent="0.35">
      <c r="A1327" s="82">
        <v>1324</v>
      </c>
      <c r="B1327" s="89" t="str">
        <f>_xlfn.XLOOKUP(A1327,'Model Modeshare by TAZ'!A:A,'Model Modeshare by TAZ'!B:B)</f>
        <v>Santa Clara</v>
      </c>
      <c r="C1327" s="90" t="str">
        <f>_xlfn.XLOOKUP(A1327,'Model Modeshare by TAZ'!A:A,'Model Modeshare by TAZ'!D:D)</f>
        <v>NO</v>
      </c>
      <c r="D1327" s="27">
        <v>3648.4</v>
      </c>
      <c r="E1327" s="27">
        <v>122101.9</v>
      </c>
      <c r="F1327" s="27">
        <v>0</v>
      </c>
      <c r="G1327" s="27">
        <v>0</v>
      </c>
      <c r="H1327" s="27">
        <v>1094.77</v>
      </c>
      <c r="I1327" s="27">
        <v>17240.810000000001</v>
      </c>
      <c r="J1327" s="6">
        <v>0</v>
      </c>
      <c r="K1327" s="6">
        <v>898</v>
      </c>
      <c r="L1327" s="27">
        <v>0</v>
      </c>
      <c r="M1327" s="27">
        <v>19.199120267260582</v>
      </c>
      <c r="N1327" s="34">
        <v>32.211425389755014</v>
      </c>
    </row>
    <row r="1328" spans="1:14" x14ac:dyDescent="0.35">
      <c r="A1328" s="82">
        <v>1325</v>
      </c>
      <c r="B1328" s="89" t="str">
        <f>_xlfn.XLOOKUP(A1328,'Model Modeshare by TAZ'!A:A,'Model Modeshare by TAZ'!B:B)</f>
        <v>Santa Clara</v>
      </c>
      <c r="C1328" s="90" t="str">
        <f>_xlfn.XLOOKUP(A1328,'Model Modeshare by TAZ'!A:A,'Model Modeshare by TAZ'!D:D)</f>
        <v>NO</v>
      </c>
      <c r="D1328" s="27">
        <v>6842.95</v>
      </c>
      <c r="E1328" s="27">
        <v>211522.98</v>
      </c>
      <c r="F1328" s="27">
        <v>0</v>
      </c>
      <c r="G1328" s="27">
        <v>0</v>
      </c>
      <c r="H1328" s="27">
        <v>6260.67</v>
      </c>
      <c r="I1328" s="27">
        <v>98041.64</v>
      </c>
      <c r="J1328" s="6">
        <v>0</v>
      </c>
      <c r="K1328" s="6">
        <v>5342</v>
      </c>
      <c r="L1328" s="27">
        <v>0</v>
      </c>
      <c r="M1328" s="27">
        <v>18.352983901160613</v>
      </c>
      <c r="N1328" s="34">
        <v>38.979170722575816</v>
      </c>
    </row>
    <row r="1329" spans="1:14" x14ac:dyDescent="0.35">
      <c r="A1329" s="82">
        <v>1326</v>
      </c>
      <c r="B1329" s="89" t="str">
        <f>_xlfn.XLOOKUP(A1329,'Model Modeshare by TAZ'!A:A,'Model Modeshare by TAZ'!B:B)</f>
        <v>Santa Clara</v>
      </c>
      <c r="C1329" s="90" t="str">
        <f>_xlfn.XLOOKUP(A1329,'Model Modeshare by TAZ'!A:A,'Model Modeshare by TAZ'!D:D)</f>
        <v>NO</v>
      </c>
      <c r="D1329" s="27">
        <v>2957.9</v>
      </c>
      <c r="E1329" s="27">
        <v>76937.14</v>
      </c>
      <c r="F1329" s="27">
        <v>0</v>
      </c>
      <c r="G1329" s="27">
        <v>0</v>
      </c>
      <c r="H1329" s="27">
        <v>2679.73</v>
      </c>
      <c r="I1329" s="27">
        <v>35603.29</v>
      </c>
      <c r="J1329" s="6">
        <v>0</v>
      </c>
      <c r="K1329" s="6">
        <v>2217</v>
      </c>
      <c r="L1329" s="27">
        <v>0</v>
      </c>
      <c r="M1329" s="27">
        <v>16.059219666215608</v>
      </c>
      <c r="N1329" s="34">
        <v>35.953861073522781</v>
      </c>
    </row>
    <row r="1330" spans="1:14" x14ac:dyDescent="0.35">
      <c r="A1330" s="82">
        <v>1327</v>
      </c>
      <c r="B1330" s="89" t="str">
        <f>_xlfn.XLOOKUP(A1330,'Model Modeshare by TAZ'!A:A,'Model Modeshare by TAZ'!B:B)</f>
        <v>Santa Clara</v>
      </c>
      <c r="C1330" s="90" t="str">
        <f>_xlfn.XLOOKUP(A1330,'Model Modeshare by TAZ'!A:A,'Model Modeshare by TAZ'!D:D)</f>
        <v>NO</v>
      </c>
      <c r="D1330" s="27">
        <v>8064.08</v>
      </c>
      <c r="E1330" s="27">
        <v>206984.58</v>
      </c>
      <c r="F1330" s="27">
        <v>0</v>
      </c>
      <c r="G1330" s="27">
        <v>0</v>
      </c>
      <c r="H1330" s="27">
        <v>3286.46</v>
      </c>
      <c r="I1330" s="27">
        <v>44308.73</v>
      </c>
      <c r="J1330" s="6">
        <v>0</v>
      </c>
      <c r="K1330" s="6">
        <v>2700</v>
      </c>
      <c r="L1330" s="27">
        <v>0</v>
      </c>
      <c r="M1330" s="27">
        <v>16.410640740740742</v>
      </c>
      <c r="N1330" s="34">
        <v>41.715522222222226</v>
      </c>
    </row>
    <row r="1331" spans="1:14" x14ac:dyDescent="0.35">
      <c r="A1331" s="82">
        <v>1328</v>
      </c>
      <c r="B1331" s="89" t="str">
        <f>_xlfn.XLOOKUP(A1331,'Model Modeshare by TAZ'!A:A,'Model Modeshare by TAZ'!B:B)</f>
        <v>Santa Clara</v>
      </c>
      <c r="C1331" s="90" t="str">
        <f>_xlfn.XLOOKUP(A1331,'Model Modeshare by TAZ'!A:A,'Model Modeshare by TAZ'!D:D)</f>
        <v>NO</v>
      </c>
      <c r="D1331" s="27">
        <v>8527.5300000000007</v>
      </c>
      <c r="E1331" s="27">
        <v>266763.18</v>
      </c>
      <c r="F1331" s="27">
        <v>0.8</v>
      </c>
      <c r="G1331" s="27">
        <v>3.67</v>
      </c>
      <c r="H1331" s="27">
        <v>1841.91</v>
      </c>
      <c r="I1331" s="27">
        <v>25062.55</v>
      </c>
      <c r="J1331" s="6">
        <v>3</v>
      </c>
      <c r="K1331" s="6">
        <v>1493</v>
      </c>
      <c r="L1331" s="27">
        <v>1.2233333333333334</v>
      </c>
      <c r="M1331" s="27">
        <v>16.786704621567313</v>
      </c>
      <c r="N1331" s="34">
        <v>155.93979946524064</v>
      </c>
    </row>
    <row r="1332" spans="1:14" x14ac:dyDescent="0.35">
      <c r="A1332" s="82">
        <v>1329</v>
      </c>
      <c r="B1332" s="89" t="str">
        <f>_xlfn.XLOOKUP(A1332,'Model Modeshare by TAZ'!A:A,'Model Modeshare by TAZ'!B:B)</f>
        <v>Unincorporated</v>
      </c>
      <c r="C1332" s="90" t="str">
        <f>_xlfn.XLOOKUP(A1332,'Model Modeshare by TAZ'!A:A,'Model Modeshare by TAZ'!D:D)</f>
        <v>NO</v>
      </c>
      <c r="D1332" s="27">
        <v>865.31</v>
      </c>
      <c r="E1332" s="27">
        <v>35652.36</v>
      </c>
      <c r="F1332" s="27">
        <v>363.09</v>
      </c>
      <c r="G1332" s="27">
        <v>6954.18</v>
      </c>
      <c r="H1332" s="27">
        <v>164.26</v>
      </c>
      <c r="I1332" s="27">
        <v>4007.43</v>
      </c>
      <c r="J1332" s="6">
        <v>205</v>
      </c>
      <c r="K1332" s="6">
        <v>122</v>
      </c>
      <c r="L1332" s="27">
        <v>33.922829268292688</v>
      </c>
      <c r="M1332" s="27">
        <v>32.847786885245903</v>
      </c>
      <c r="N1332" s="34">
        <v>59.343975535168191</v>
      </c>
    </row>
    <row r="1333" spans="1:14" x14ac:dyDescent="0.35">
      <c r="A1333" s="82">
        <v>1330</v>
      </c>
      <c r="B1333" s="89" t="str">
        <f>_xlfn.XLOOKUP(A1333,'Model Modeshare by TAZ'!A:A,'Model Modeshare by TAZ'!B:B)</f>
        <v>Unincorporated</v>
      </c>
      <c r="C1333" s="90" t="str">
        <f>_xlfn.XLOOKUP(A1333,'Model Modeshare by TAZ'!A:A,'Model Modeshare by TAZ'!D:D)</f>
        <v>NO</v>
      </c>
      <c r="D1333" s="27">
        <v>302.36</v>
      </c>
      <c r="E1333" s="27">
        <v>7911.95</v>
      </c>
      <c r="F1333" s="27">
        <v>435.61</v>
      </c>
      <c r="G1333" s="27">
        <v>4669.8100000000004</v>
      </c>
      <c r="H1333" s="27">
        <v>344.93</v>
      </c>
      <c r="I1333" s="27">
        <v>6567.3</v>
      </c>
      <c r="J1333" s="6">
        <v>251</v>
      </c>
      <c r="K1333" s="6">
        <v>249</v>
      </c>
      <c r="L1333" s="27">
        <v>18.604820717131474</v>
      </c>
      <c r="M1333" s="27">
        <v>26.374698795180723</v>
      </c>
      <c r="N1333" s="34">
        <v>58.208980000000004</v>
      </c>
    </row>
    <row r="1334" spans="1:14" x14ac:dyDescent="0.35">
      <c r="A1334" s="82">
        <v>1331</v>
      </c>
      <c r="B1334" s="89" t="str">
        <f>_xlfn.XLOOKUP(A1334,'Model Modeshare by TAZ'!A:A,'Model Modeshare by TAZ'!B:B)</f>
        <v>Unincorporated</v>
      </c>
      <c r="C1334" s="90" t="str">
        <f>_xlfn.XLOOKUP(A1334,'Model Modeshare by TAZ'!A:A,'Model Modeshare by TAZ'!D:D)</f>
        <v>NO</v>
      </c>
      <c r="D1334" s="27">
        <v>20.7</v>
      </c>
      <c r="E1334" s="27">
        <v>611.24</v>
      </c>
      <c r="F1334" s="27">
        <v>597.95000000000005</v>
      </c>
      <c r="G1334" s="27">
        <v>7285.31</v>
      </c>
      <c r="H1334" s="27">
        <v>80.5</v>
      </c>
      <c r="I1334" s="27">
        <v>1622.44</v>
      </c>
      <c r="J1334" s="6">
        <v>346</v>
      </c>
      <c r="K1334" s="6">
        <v>46</v>
      </c>
      <c r="L1334" s="27">
        <v>21.055809248554915</v>
      </c>
      <c r="M1334" s="27">
        <v>35.270434782608696</v>
      </c>
      <c r="N1334" s="34">
        <v>46.015816326530611</v>
      </c>
    </row>
    <row r="1335" spans="1:14" x14ac:dyDescent="0.35">
      <c r="A1335" s="82">
        <v>1332</v>
      </c>
      <c r="B1335" s="89" t="str">
        <f>_xlfn.XLOOKUP(A1335,'Model Modeshare by TAZ'!A:A,'Model Modeshare by TAZ'!B:B)</f>
        <v>Saratoga</v>
      </c>
      <c r="C1335" s="90" t="str">
        <f>_xlfn.XLOOKUP(A1335,'Model Modeshare by TAZ'!A:A,'Model Modeshare by TAZ'!D:D)</f>
        <v>NO</v>
      </c>
      <c r="D1335" s="27">
        <v>8486.91</v>
      </c>
      <c r="E1335" s="27">
        <v>273143.56</v>
      </c>
      <c r="F1335" s="27">
        <v>0</v>
      </c>
      <c r="G1335" s="27">
        <v>0</v>
      </c>
      <c r="H1335" s="27">
        <v>623.83000000000004</v>
      </c>
      <c r="I1335" s="27">
        <v>9004.5499999999993</v>
      </c>
      <c r="J1335" s="6">
        <v>0</v>
      </c>
      <c r="K1335" s="6">
        <v>505</v>
      </c>
      <c r="L1335" s="27">
        <v>0</v>
      </c>
      <c r="M1335" s="27">
        <v>17.830792079207921</v>
      </c>
      <c r="N1335" s="34">
        <v>631.50138613861384</v>
      </c>
    </row>
    <row r="1336" spans="1:14" x14ac:dyDescent="0.35">
      <c r="A1336" s="82">
        <v>1333</v>
      </c>
      <c r="B1336" s="89" t="str">
        <f>_xlfn.XLOOKUP(A1336,'Model Modeshare by TAZ'!A:A,'Model Modeshare by TAZ'!B:B)</f>
        <v>Saratoga</v>
      </c>
      <c r="C1336" s="90" t="str">
        <f>_xlfn.XLOOKUP(A1336,'Model Modeshare by TAZ'!A:A,'Model Modeshare by TAZ'!D:D)</f>
        <v>NO</v>
      </c>
      <c r="D1336" s="27">
        <v>5643.39</v>
      </c>
      <c r="E1336" s="27">
        <v>109586.8</v>
      </c>
      <c r="F1336" s="27">
        <v>5062.05</v>
      </c>
      <c r="G1336" s="27">
        <v>40717.1</v>
      </c>
      <c r="H1336" s="27">
        <v>1172.3499999999999</v>
      </c>
      <c r="I1336" s="27">
        <v>17180.349999999999</v>
      </c>
      <c r="J1336" s="6">
        <v>3022</v>
      </c>
      <c r="K1336" s="6">
        <v>699</v>
      </c>
      <c r="L1336" s="27">
        <v>13.473560555923228</v>
      </c>
      <c r="M1336" s="27">
        <v>24.578469241773959</v>
      </c>
      <c r="N1336" s="34">
        <v>29.026431066917496</v>
      </c>
    </row>
    <row r="1337" spans="1:14" x14ac:dyDescent="0.35">
      <c r="A1337" s="82">
        <v>1334</v>
      </c>
      <c r="B1337" s="89" t="str">
        <f>_xlfn.XLOOKUP(A1337,'Model Modeshare by TAZ'!A:A,'Model Modeshare by TAZ'!B:B)</f>
        <v>Saratoga</v>
      </c>
      <c r="C1337" s="90" t="str">
        <f>_xlfn.XLOOKUP(A1337,'Model Modeshare by TAZ'!A:A,'Model Modeshare by TAZ'!D:D)</f>
        <v>NO</v>
      </c>
      <c r="D1337" s="27">
        <v>3264.79</v>
      </c>
      <c r="E1337" s="27">
        <v>76282.509999999995</v>
      </c>
      <c r="F1337" s="27">
        <v>3045.03</v>
      </c>
      <c r="G1337" s="27">
        <v>28312.25</v>
      </c>
      <c r="H1337" s="27">
        <v>1027.94</v>
      </c>
      <c r="I1337" s="27">
        <v>17028.900000000001</v>
      </c>
      <c r="J1337" s="6">
        <v>1758</v>
      </c>
      <c r="K1337" s="6">
        <v>775</v>
      </c>
      <c r="L1337" s="27">
        <v>16.104806598407279</v>
      </c>
      <c r="M1337" s="27">
        <v>21.972774193548389</v>
      </c>
      <c r="N1337" s="34">
        <v>40.300714567706279</v>
      </c>
    </row>
    <row r="1338" spans="1:14" x14ac:dyDescent="0.35">
      <c r="A1338" s="82">
        <v>1335</v>
      </c>
      <c r="B1338" s="89" t="str">
        <f>_xlfn.XLOOKUP(A1338,'Model Modeshare by TAZ'!A:A,'Model Modeshare by TAZ'!B:B)</f>
        <v>Saratoga</v>
      </c>
      <c r="C1338" s="90" t="str">
        <f>_xlfn.XLOOKUP(A1338,'Model Modeshare by TAZ'!A:A,'Model Modeshare by TAZ'!D:D)</f>
        <v>NO</v>
      </c>
      <c r="D1338" s="27">
        <v>1079.6300000000001</v>
      </c>
      <c r="E1338" s="27">
        <v>15123.59</v>
      </c>
      <c r="F1338" s="27">
        <v>987.53</v>
      </c>
      <c r="G1338" s="27">
        <v>5430.47</v>
      </c>
      <c r="H1338" s="27">
        <v>206.66</v>
      </c>
      <c r="I1338" s="27">
        <v>2570.0100000000002</v>
      </c>
      <c r="J1338" s="6">
        <v>662</v>
      </c>
      <c r="K1338" s="6">
        <v>107</v>
      </c>
      <c r="L1338" s="27">
        <v>8.2031268882175237</v>
      </c>
      <c r="M1338" s="27">
        <v>24.018785046728976</v>
      </c>
      <c r="N1338" s="34">
        <v>15.774798439531859</v>
      </c>
    </row>
    <row r="1339" spans="1:14" x14ac:dyDescent="0.35">
      <c r="A1339" s="82">
        <v>1336</v>
      </c>
      <c r="B1339" s="89" t="str">
        <f>_xlfn.XLOOKUP(A1339,'Model Modeshare by TAZ'!A:A,'Model Modeshare by TAZ'!B:B)</f>
        <v>Saratoga</v>
      </c>
      <c r="C1339" s="90" t="str">
        <f>_xlfn.XLOOKUP(A1339,'Model Modeshare by TAZ'!A:A,'Model Modeshare by TAZ'!D:D)</f>
        <v>NO</v>
      </c>
      <c r="D1339" s="27">
        <v>756.89</v>
      </c>
      <c r="E1339" s="27">
        <v>13549.07</v>
      </c>
      <c r="F1339" s="27">
        <v>681.12</v>
      </c>
      <c r="G1339" s="27">
        <v>5044.96</v>
      </c>
      <c r="H1339" s="27">
        <v>443</v>
      </c>
      <c r="I1339" s="27">
        <v>5644.81</v>
      </c>
      <c r="J1339" s="6">
        <v>418</v>
      </c>
      <c r="K1339" s="6">
        <v>356</v>
      </c>
      <c r="L1339" s="27">
        <v>12.069282296650718</v>
      </c>
      <c r="M1339" s="27">
        <v>15.856207865168541</v>
      </c>
      <c r="N1339" s="34">
        <v>30.556447028423772</v>
      </c>
    </row>
    <row r="1340" spans="1:14" x14ac:dyDescent="0.35">
      <c r="A1340" s="82">
        <v>1337</v>
      </c>
      <c r="B1340" s="89" t="str">
        <f>_xlfn.XLOOKUP(A1340,'Model Modeshare by TAZ'!A:A,'Model Modeshare by TAZ'!B:B)</f>
        <v>Saratoga</v>
      </c>
      <c r="C1340" s="90" t="str">
        <f>_xlfn.XLOOKUP(A1340,'Model Modeshare by TAZ'!A:A,'Model Modeshare by TAZ'!D:D)</f>
        <v>NO</v>
      </c>
      <c r="D1340" s="27">
        <v>1971.72</v>
      </c>
      <c r="E1340" s="27">
        <v>32520.5</v>
      </c>
      <c r="F1340" s="27">
        <v>1708.88</v>
      </c>
      <c r="G1340" s="27">
        <v>11536.43</v>
      </c>
      <c r="H1340" s="27">
        <v>798.37</v>
      </c>
      <c r="I1340" s="27">
        <v>9591.35</v>
      </c>
      <c r="J1340" s="6">
        <v>1027</v>
      </c>
      <c r="K1340" s="6">
        <v>645</v>
      </c>
      <c r="L1340" s="27">
        <v>11.233135345666991</v>
      </c>
      <c r="M1340" s="27">
        <v>14.870310077519381</v>
      </c>
      <c r="N1340" s="34">
        <v>31.893576555023923</v>
      </c>
    </row>
    <row r="1341" spans="1:14" x14ac:dyDescent="0.35">
      <c r="A1341" s="82">
        <v>1338</v>
      </c>
      <c r="B1341" s="89" t="str">
        <f>_xlfn.XLOOKUP(A1341,'Model Modeshare by TAZ'!A:A,'Model Modeshare by TAZ'!B:B)</f>
        <v>Saratoga</v>
      </c>
      <c r="C1341" s="90" t="str">
        <f>_xlfn.XLOOKUP(A1341,'Model Modeshare by TAZ'!A:A,'Model Modeshare by TAZ'!D:D)</f>
        <v>NO</v>
      </c>
      <c r="D1341" s="27">
        <v>3045.42</v>
      </c>
      <c r="E1341" s="27">
        <v>53356.97</v>
      </c>
      <c r="F1341" s="27">
        <v>2238.52</v>
      </c>
      <c r="G1341" s="27">
        <v>15571.67</v>
      </c>
      <c r="H1341" s="27">
        <v>1253.8699999999999</v>
      </c>
      <c r="I1341" s="27">
        <v>16060.19</v>
      </c>
      <c r="J1341" s="6">
        <v>1348</v>
      </c>
      <c r="K1341" s="6">
        <v>1014</v>
      </c>
      <c r="L1341" s="27">
        <v>11.551683976261128</v>
      </c>
      <c r="M1341" s="27">
        <v>15.838451676528599</v>
      </c>
      <c r="N1341" s="34">
        <v>38.714508890770531</v>
      </c>
    </row>
    <row r="1342" spans="1:14" x14ac:dyDescent="0.35">
      <c r="A1342" s="82">
        <v>1339</v>
      </c>
      <c r="B1342" s="89" t="str">
        <f>_xlfn.XLOOKUP(A1342,'Model Modeshare by TAZ'!A:A,'Model Modeshare by TAZ'!B:B)</f>
        <v>Saratoga</v>
      </c>
      <c r="C1342" s="90" t="str">
        <f>_xlfn.XLOOKUP(A1342,'Model Modeshare by TAZ'!A:A,'Model Modeshare by TAZ'!D:D)</f>
        <v>NO</v>
      </c>
      <c r="D1342" s="27">
        <v>832.55</v>
      </c>
      <c r="E1342" s="27">
        <v>14137.94</v>
      </c>
      <c r="F1342" s="27">
        <v>791.05</v>
      </c>
      <c r="G1342" s="27">
        <v>5688.84</v>
      </c>
      <c r="H1342" s="27">
        <v>39.479999999999997</v>
      </c>
      <c r="I1342" s="27">
        <v>503.76</v>
      </c>
      <c r="J1342" s="6">
        <v>475</v>
      </c>
      <c r="K1342" s="6">
        <v>20</v>
      </c>
      <c r="L1342" s="27">
        <v>11.976505263157895</v>
      </c>
      <c r="M1342" s="27">
        <v>25.187999999999999</v>
      </c>
      <c r="N1342" s="34">
        <v>22.515171717171718</v>
      </c>
    </row>
    <row r="1343" spans="1:14" x14ac:dyDescent="0.35">
      <c r="A1343" s="82">
        <v>1340</v>
      </c>
      <c r="B1343" s="89" t="str">
        <f>_xlfn.XLOOKUP(A1343,'Model Modeshare by TAZ'!A:A,'Model Modeshare by TAZ'!B:B)</f>
        <v>Saratoga</v>
      </c>
      <c r="C1343" s="90" t="str">
        <f>_xlfn.XLOOKUP(A1343,'Model Modeshare by TAZ'!A:A,'Model Modeshare by TAZ'!D:D)</f>
        <v>NO</v>
      </c>
      <c r="D1343" s="27">
        <v>403.23</v>
      </c>
      <c r="E1343" s="27">
        <v>7067.65</v>
      </c>
      <c r="F1343" s="27">
        <v>430.16</v>
      </c>
      <c r="G1343" s="27">
        <v>3129.19</v>
      </c>
      <c r="H1343" s="27">
        <v>29.12</v>
      </c>
      <c r="I1343" s="27">
        <v>384.94</v>
      </c>
      <c r="J1343" s="6">
        <v>276</v>
      </c>
      <c r="K1343" s="6">
        <v>14</v>
      </c>
      <c r="L1343" s="27">
        <v>11.337644927536232</v>
      </c>
      <c r="M1343" s="27">
        <v>27.495714285714286</v>
      </c>
      <c r="N1343" s="34">
        <v>22.065931034482759</v>
      </c>
    </row>
    <row r="1344" spans="1:14" x14ac:dyDescent="0.35">
      <c r="A1344" s="82">
        <v>1341</v>
      </c>
      <c r="B1344" s="89" t="str">
        <f>_xlfn.XLOOKUP(A1344,'Model Modeshare by TAZ'!A:A,'Model Modeshare by TAZ'!B:B)</f>
        <v>Saratoga</v>
      </c>
      <c r="C1344" s="90" t="str">
        <f>_xlfn.XLOOKUP(A1344,'Model Modeshare by TAZ'!A:A,'Model Modeshare by TAZ'!D:D)</f>
        <v>NO</v>
      </c>
      <c r="D1344" s="27">
        <v>135.74</v>
      </c>
      <c r="E1344" s="27">
        <v>2444.85</v>
      </c>
      <c r="F1344" s="27">
        <v>126.58</v>
      </c>
      <c r="G1344" s="27">
        <v>943.32</v>
      </c>
      <c r="H1344" s="27">
        <v>20.55</v>
      </c>
      <c r="I1344" s="27">
        <v>280.19</v>
      </c>
      <c r="J1344" s="6">
        <v>79</v>
      </c>
      <c r="K1344" s="6">
        <v>10</v>
      </c>
      <c r="L1344" s="27">
        <v>11.940759493670887</v>
      </c>
      <c r="M1344" s="27">
        <v>28.018999999999998</v>
      </c>
      <c r="N1344" s="34">
        <v>24.108876404494382</v>
      </c>
    </row>
    <row r="1345" spans="1:14" x14ac:dyDescent="0.35">
      <c r="A1345" s="82">
        <v>1342</v>
      </c>
      <c r="B1345" s="89" t="str">
        <f>_xlfn.XLOOKUP(A1345,'Model Modeshare by TAZ'!A:A,'Model Modeshare by TAZ'!B:B)</f>
        <v>Saratoga</v>
      </c>
      <c r="C1345" s="90" t="str">
        <f>_xlfn.XLOOKUP(A1345,'Model Modeshare by TAZ'!A:A,'Model Modeshare by TAZ'!D:D)</f>
        <v>NO</v>
      </c>
      <c r="D1345" s="27">
        <v>2158.1</v>
      </c>
      <c r="E1345" s="27">
        <v>35944.83</v>
      </c>
      <c r="F1345" s="27">
        <v>2511.6</v>
      </c>
      <c r="G1345" s="27">
        <v>17717.400000000001</v>
      </c>
      <c r="H1345" s="27">
        <v>84.69</v>
      </c>
      <c r="I1345" s="27">
        <v>1116</v>
      </c>
      <c r="J1345" s="6">
        <v>1581</v>
      </c>
      <c r="K1345" s="6">
        <v>42</v>
      </c>
      <c r="L1345" s="27">
        <v>11.206451612903226</v>
      </c>
      <c r="M1345" s="27">
        <v>26.571428571428573</v>
      </c>
      <c r="N1345" s="34">
        <v>21.168576709796671</v>
      </c>
    </row>
    <row r="1346" spans="1:14" x14ac:dyDescent="0.35">
      <c r="A1346" s="82">
        <v>1343</v>
      </c>
      <c r="B1346" s="89" t="str">
        <f>_xlfn.XLOOKUP(A1346,'Model Modeshare by TAZ'!A:A,'Model Modeshare by TAZ'!B:B)</f>
        <v>Saratoga</v>
      </c>
      <c r="C1346" s="90" t="str">
        <f>_xlfn.XLOOKUP(A1346,'Model Modeshare by TAZ'!A:A,'Model Modeshare by TAZ'!D:D)</f>
        <v>NO</v>
      </c>
      <c r="D1346" s="27">
        <v>2687.01</v>
      </c>
      <c r="E1346" s="27">
        <v>44245</v>
      </c>
      <c r="F1346" s="27">
        <v>2411.71</v>
      </c>
      <c r="G1346" s="27">
        <v>16444.5</v>
      </c>
      <c r="H1346" s="27">
        <v>66.63</v>
      </c>
      <c r="I1346" s="27">
        <v>835.81</v>
      </c>
      <c r="J1346" s="6">
        <v>1535</v>
      </c>
      <c r="K1346" s="6">
        <v>33</v>
      </c>
      <c r="L1346" s="27">
        <v>10.713029315960911</v>
      </c>
      <c r="M1346" s="27">
        <v>25.327575757575755</v>
      </c>
      <c r="N1346" s="34">
        <v>20.122742346938775</v>
      </c>
    </row>
    <row r="1347" spans="1:14" x14ac:dyDescent="0.35">
      <c r="A1347" s="82">
        <v>1344</v>
      </c>
      <c r="B1347" s="89" t="str">
        <f>_xlfn.XLOOKUP(A1347,'Model Modeshare by TAZ'!A:A,'Model Modeshare by TAZ'!B:B)</f>
        <v>Saratoga</v>
      </c>
      <c r="C1347" s="90" t="str">
        <f>_xlfn.XLOOKUP(A1347,'Model Modeshare by TAZ'!A:A,'Model Modeshare by TAZ'!D:D)</f>
        <v>NO</v>
      </c>
      <c r="D1347" s="27">
        <v>3139.34</v>
      </c>
      <c r="E1347" s="27">
        <v>57283.62</v>
      </c>
      <c r="F1347" s="27">
        <v>2597.0500000000002</v>
      </c>
      <c r="G1347" s="27">
        <v>18658.28</v>
      </c>
      <c r="H1347" s="27">
        <v>1311.71</v>
      </c>
      <c r="I1347" s="27">
        <v>17684.349999999999</v>
      </c>
      <c r="J1347" s="6">
        <v>1675</v>
      </c>
      <c r="K1347" s="6">
        <v>1033</v>
      </c>
      <c r="L1347" s="27">
        <v>11.139271641791044</v>
      </c>
      <c r="M1347" s="27">
        <v>17.119409486931268</v>
      </c>
      <c r="N1347" s="34">
        <v>37.771831610044309</v>
      </c>
    </row>
    <row r="1348" spans="1:14" x14ac:dyDescent="0.35">
      <c r="A1348" s="82">
        <v>1345</v>
      </c>
      <c r="B1348" s="89" t="str">
        <f>_xlfn.XLOOKUP(A1348,'Model Modeshare by TAZ'!A:A,'Model Modeshare by TAZ'!B:B)</f>
        <v>Saratoga</v>
      </c>
      <c r="C1348" s="90" t="str">
        <f>_xlfn.XLOOKUP(A1348,'Model Modeshare by TAZ'!A:A,'Model Modeshare by TAZ'!D:D)</f>
        <v>NO</v>
      </c>
      <c r="D1348" s="27">
        <v>1260.68</v>
      </c>
      <c r="E1348" s="27">
        <v>26077.81</v>
      </c>
      <c r="F1348" s="27">
        <v>844.57</v>
      </c>
      <c r="G1348" s="27">
        <v>6457.62</v>
      </c>
      <c r="H1348" s="27">
        <v>1328.25</v>
      </c>
      <c r="I1348" s="27">
        <v>18594.66</v>
      </c>
      <c r="J1348" s="6">
        <v>539</v>
      </c>
      <c r="K1348" s="6">
        <v>1041</v>
      </c>
      <c r="L1348" s="27">
        <v>11.980742115027828</v>
      </c>
      <c r="M1348" s="27">
        <v>17.862305475504321</v>
      </c>
      <c r="N1348" s="34">
        <v>40.776867088607595</v>
      </c>
    </row>
    <row r="1349" spans="1:14" x14ac:dyDescent="0.35">
      <c r="A1349" s="82">
        <v>1346</v>
      </c>
      <c r="B1349" s="89" t="str">
        <f>_xlfn.XLOOKUP(A1349,'Model Modeshare by TAZ'!A:A,'Model Modeshare by TAZ'!B:B)</f>
        <v>Saratoga</v>
      </c>
      <c r="C1349" s="90" t="str">
        <f>_xlfn.XLOOKUP(A1349,'Model Modeshare by TAZ'!A:A,'Model Modeshare by TAZ'!D:D)</f>
        <v>NO</v>
      </c>
      <c r="D1349" s="27">
        <v>568.76</v>
      </c>
      <c r="E1349" s="27">
        <v>10339.049999999999</v>
      </c>
      <c r="F1349" s="27">
        <v>657.28</v>
      </c>
      <c r="G1349" s="27">
        <v>4964.07</v>
      </c>
      <c r="H1349" s="27">
        <v>16.75</v>
      </c>
      <c r="I1349" s="27">
        <v>238.28</v>
      </c>
      <c r="J1349" s="6">
        <v>391</v>
      </c>
      <c r="K1349" s="6">
        <v>8</v>
      </c>
      <c r="L1349" s="27">
        <v>12.695831202046035</v>
      </c>
      <c r="M1349" s="27">
        <v>29.785</v>
      </c>
      <c r="N1349" s="34">
        <v>20.659849624060151</v>
      </c>
    </row>
    <row r="1350" spans="1:14" x14ac:dyDescent="0.35">
      <c r="A1350" s="82">
        <v>1347</v>
      </c>
      <c r="B1350" s="89" t="str">
        <f>_xlfn.XLOOKUP(A1350,'Model Modeshare by TAZ'!A:A,'Model Modeshare by TAZ'!B:B)</f>
        <v>Saratoga</v>
      </c>
      <c r="C1350" s="90" t="str">
        <f>_xlfn.XLOOKUP(A1350,'Model Modeshare by TAZ'!A:A,'Model Modeshare by TAZ'!D:D)</f>
        <v>NO</v>
      </c>
      <c r="D1350" s="27">
        <v>3239.7</v>
      </c>
      <c r="E1350" s="27">
        <v>61262.37</v>
      </c>
      <c r="F1350" s="27">
        <v>3549.6</v>
      </c>
      <c r="G1350" s="27">
        <v>27819.94</v>
      </c>
      <c r="H1350" s="27">
        <v>9.7799999999999994</v>
      </c>
      <c r="I1350" s="27">
        <v>131.02000000000001</v>
      </c>
      <c r="J1350" s="6">
        <v>2103</v>
      </c>
      <c r="K1350" s="6">
        <v>5</v>
      </c>
      <c r="L1350" s="27">
        <v>13.22869234427009</v>
      </c>
      <c r="M1350" s="27">
        <v>26.204000000000001</v>
      </c>
      <c r="N1350" s="34">
        <v>21.567077798861479</v>
      </c>
    </row>
    <row r="1351" spans="1:14" x14ac:dyDescent="0.35">
      <c r="A1351" s="82">
        <v>1348</v>
      </c>
      <c r="B1351" s="89" t="str">
        <f>_xlfn.XLOOKUP(A1351,'Model Modeshare by TAZ'!A:A,'Model Modeshare by TAZ'!B:B)</f>
        <v>Saratoga</v>
      </c>
      <c r="C1351" s="90" t="str">
        <f>_xlfn.XLOOKUP(A1351,'Model Modeshare by TAZ'!A:A,'Model Modeshare by TAZ'!D:D)</f>
        <v>NO</v>
      </c>
      <c r="D1351" s="27">
        <v>7785.25</v>
      </c>
      <c r="E1351" s="27">
        <v>151990.26</v>
      </c>
      <c r="F1351" s="27">
        <v>4688.8100000000004</v>
      </c>
      <c r="G1351" s="27">
        <v>36108.089999999997</v>
      </c>
      <c r="H1351" s="27">
        <v>2043.82</v>
      </c>
      <c r="I1351" s="27">
        <v>28446.03</v>
      </c>
      <c r="J1351" s="6">
        <v>2850</v>
      </c>
      <c r="K1351" s="6">
        <v>1587</v>
      </c>
      <c r="L1351" s="27">
        <v>12.669505263157893</v>
      </c>
      <c r="M1351" s="27">
        <v>17.924404536862003</v>
      </c>
      <c r="N1351" s="34">
        <v>46.349810682893846</v>
      </c>
    </row>
    <row r="1352" spans="1:14" x14ac:dyDescent="0.35">
      <c r="A1352" s="82">
        <v>1349</v>
      </c>
      <c r="B1352" s="89" t="str">
        <f>_xlfn.XLOOKUP(A1352,'Model Modeshare by TAZ'!A:A,'Model Modeshare by TAZ'!B:B)</f>
        <v>Saratoga</v>
      </c>
      <c r="C1352" s="90" t="str">
        <f>_xlfn.XLOOKUP(A1352,'Model Modeshare by TAZ'!A:A,'Model Modeshare by TAZ'!D:D)</f>
        <v>NO</v>
      </c>
      <c r="D1352" s="27">
        <v>2967.48</v>
      </c>
      <c r="E1352" s="27">
        <v>55673.22</v>
      </c>
      <c r="F1352" s="27">
        <v>4460.66</v>
      </c>
      <c r="G1352" s="27">
        <v>35671.61</v>
      </c>
      <c r="H1352" s="27">
        <v>1139.6300000000001</v>
      </c>
      <c r="I1352" s="27">
        <v>15260.14</v>
      </c>
      <c r="J1352" s="6">
        <v>2633</v>
      </c>
      <c r="K1352" s="6">
        <v>787</v>
      </c>
      <c r="L1352" s="27">
        <v>13.547895936194456</v>
      </c>
      <c r="M1352" s="27">
        <v>19.390266836086404</v>
      </c>
      <c r="N1352" s="34">
        <v>31.773160818713453</v>
      </c>
    </row>
    <row r="1353" spans="1:14" x14ac:dyDescent="0.35">
      <c r="A1353" s="82">
        <v>1350</v>
      </c>
      <c r="B1353" s="89" t="str">
        <f>_xlfn.XLOOKUP(A1353,'Model Modeshare by TAZ'!A:A,'Model Modeshare by TAZ'!B:B)</f>
        <v>Saratoga</v>
      </c>
      <c r="C1353" s="90" t="str">
        <f>_xlfn.XLOOKUP(A1353,'Model Modeshare by TAZ'!A:A,'Model Modeshare by TAZ'!D:D)</f>
        <v>NO</v>
      </c>
      <c r="D1353" s="27">
        <v>2904.59</v>
      </c>
      <c r="E1353" s="27">
        <v>58766.83</v>
      </c>
      <c r="F1353" s="27">
        <v>2327.86</v>
      </c>
      <c r="G1353" s="27">
        <v>17745.439999999999</v>
      </c>
      <c r="H1353" s="27">
        <v>2288.9</v>
      </c>
      <c r="I1353" s="27">
        <v>33257</v>
      </c>
      <c r="J1353" s="6">
        <v>1411</v>
      </c>
      <c r="K1353" s="6">
        <v>1775</v>
      </c>
      <c r="L1353" s="27">
        <v>12.576498936924166</v>
      </c>
      <c r="M1353" s="27">
        <v>18.736338028169016</v>
      </c>
      <c r="N1353" s="34">
        <v>37.419212178279977</v>
      </c>
    </row>
    <row r="1354" spans="1:14" x14ac:dyDescent="0.35">
      <c r="A1354" s="82">
        <v>1351</v>
      </c>
      <c r="B1354" s="89" t="str">
        <f>_xlfn.XLOOKUP(A1354,'Model Modeshare by TAZ'!A:A,'Model Modeshare by TAZ'!B:B)</f>
        <v>Saratoga</v>
      </c>
      <c r="C1354" s="90" t="str">
        <f>_xlfn.XLOOKUP(A1354,'Model Modeshare by TAZ'!A:A,'Model Modeshare by TAZ'!D:D)</f>
        <v>NO</v>
      </c>
      <c r="D1354" s="27">
        <v>4446.6400000000003</v>
      </c>
      <c r="E1354" s="27">
        <v>109001.13</v>
      </c>
      <c r="F1354" s="27">
        <v>3203.78</v>
      </c>
      <c r="G1354" s="27">
        <v>28037.21</v>
      </c>
      <c r="H1354" s="27">
        <v>2279.56</v>
      </c>
      <c r="I1354" s="27">
        <v>36326.57</v>
      </c>
      <c r="J1354" s="6">
        <v>1897</v>
      </c>
      <c r="K1354" s="6">
        <v>1685</v>
      </c>
      <c r="L1354" s="27">
        <v>14.779762783342118</v>
      </c>
      <c r="M1354" s="27">
        <v>21.558795252225519</v>
      </c>
      <c r="N1354" s="34">
        <v>57.292057509771077</v>
      </c>
    </row>
    <row r="1355" spans="1:14" x14ac:dyDescent="0.35">
      <c r="A1355" s="82">
        <v>1352</v>
      </c>
      <c r="B1355" s="89" t="str">
        <f>_xlfn.XLOOKUP(A1355,'Model Modeshare by TAZ'!A:A,'Model Modeshare by TAZ'!B:B)</f>
        <v>Unincorporated</v>
      </c>
      <c r="C1355" s="90" t="str">
        <f>_xlfn.XLOOKUP(A1355,'Model Modeshare by TAZ'!A:A,'Model Modeshare by TAZ'!D:D)</f>
        <v>NO</v>
      </c>
      <c r="D1355" s="27">
        <v>337.1</v>
      </c>
      <c r="E1355" s="27">
        <v>7560.77</v>
      </c>
      <c r="F1355" s="27">
        <v>828.94</v>
      </c>
      <c r="G1355" s="27">
        <v>7729.4</v>
      </c>
      <c r="H1355" s="27">
        <v>107.39</v>
      </c>
      <c r="I1355" s="27">
        <v>1754.18</v>
      </c>
      <c r="J1355" s="6">
        <v>474</v>
      </c>
      <c r="K1355" s="6">
        <v>53</v>
      </c>
      <c r="L1355" s="27">
        <v>16.30675105485232</v>
      </c>
      <c r="M1355" s="27">
        <v>33.097735849056605</v>
      </c>
      <c r="N1355" s="34">
        <v>33.769108159392786</v>
      </c>
    </row>
    <row r="1356" spans="1:14" x14ac:dyDescent="0.35">
      <c r="A1356" s="82">
        <v>1353</v>
      </c>
      <c r="B1356" s="89" t="str">
        <f>_xlfn.XLOOKUP(A1356,'Model Modeshare by TAZ'!A:A,'Model Modeshare by TAZ'!B:B)</f>
        <v>Saratoga</v>
      </c>
      <c r="C1356" s="90" t="str">
        <f>_xlfn.XLOOKUP(A1356,'Model Modeshare by TAZ'!A:A,'Model Modeshare by TAZ'!D:D)</f>
        <v>NO</v>
      </c>
      <c r="D1356" s="27">
        <v>6681.35</v>
      </c>
      <c r="E1356" s="27">
        <v>138579.37</v>
      </c>
      <c r="F1356" s="27">
        <v>6119.97</v>
      </c>
      <c r="G1356" s="27">
        <v>49854.239999999998</v>
      </c>
      <c r="H1356" s="27">
        <v>836.27</v>
      </c>
      <c r="I1356" s="27">
        <v>12968.09</v>
      </c>
      <c r="J1356" s="6">
        <v>3613</v>
      </c>
      <c r="K1356" s="6">
        <v>438</v>
      </c>
      <c r="L1356" s="27">
        <v>13.798571823969001</v>
      </c>
      <c r="M1356" s="27">
        <v>29.607511415525114</v>
      </c>
      <c r="N1356" s="34">
        <v>29.341760059244631</v>
      </c>
    </row>
    <row r="1357" spans="1:14" x14ac:dyDescent="0.35">
      <c r="A1357" s="82">
        <v>1354</v>
      </c>
      <c r="B1357" s="89" t="str">
        <f>_xlfn.XLOOKUP(A1357,'Model Modeshare by TAZ'!A:A,'Model Modeshare by TAZ'!B:B)</f>
        <v>Unincorporated</v>
      </c>
      <c r="C1357" s="90" t="str">
        <f>_xlfn.XLOOKUP(A1357,'Model Modeshare by TAZ'!A:A,'Model Modeshare by TAZ'!D:D)</f>
        <v>NO</v>
      </c>
      <c r="D1357" s="27">
        <v>353.01</v>
      </c>
      <c r="E1357" s="27">
        <v>10406.469999999999</v>
      </c>
      <c r="F1357" s="27">
        <v>0</v>
      </c>
      <c r="G1357" s="27">
        <v>0</v>
      </c>
      <c r="H1357" s="27">
        <v>477.37</v>
      </c>
      <c r="I1357" s="27">
        <v>7289.25</v>
      </c>
      <c r="J1357" s="6">
        <v>0</v>
      </c>
      <c r="K1357" s="6">
        <v>388</v>
      </c>
      <c r="L1357" s="27">
        <v>0</v>
      </c>
      <c r="M1357" s="27">
        <v>18.78672680412371</v>
      </c>
      <c r="N1357" s="34">
        <v>35.100386597938147</v>
      </c>
    </row>
    <row r="1358" spans="1:14" x14ac:dyDescent="0.35">
      <c r="A1358" s="82">
        <v>1355</v>
      </c>
      <c r="B1358" s="89" t="str">
        <f>_xlfn.XLOOKUP(A1358,'Model Modeshare by TAZ'!A:A,'Model Modeshare by TAZ'!B:B)</f>
        <v>Sunnyvale</v>
      </c>
      <c r="C1358" s="90" t="str">
        <f>_xlfn.XLOOKUP(A1358,'Model Modeshare by TAZ'!A:A,'Model Modeshare by TAZ'!D:D)</f>
        <v>NO</v>
      </c>
      <c r="D1358" s="27">
        <v>0</v>
      </c>
      <c r="E1358" s="27">
        <v>0</v>
      </c>
      <c r="F1358" s="27">
        <v>0</v>
      </c>
      <c r="G1358" s="27">
        <v>0</v>
      </c>
      <c r="H1358" s="27">
        <v>336.17</v>
      </c>
      <c r="I1358" s="27">
        <v>5632.38</v>
      </c>
      <c r="J1358" s="6">
        <v>0</v>
      </c>
      <c r="K1358" s="6">
        <v>269</v>
      </c>
      <c r="L1358" s="27">
        <v>0</v>
      </c>
      <c r="M1358" s="27">
        <v>20.938215613382901</v>
      </c>
      <c r="N1358" s="34">
        <v>39.919405204460965</v>
      </c>
    </row>
    <row r="1359" spans="1:14" x14ac:dyDescent="0.35">
      <c r="A1359" s="82">
        <v>1356</v>
      </c>
      <c r="B1359" s="89" t="str">
        <f>_xlfn.XLOOKUP(A1359,'Model Modeshare by TAZ'!A:A,'Model Modeshare by TAZ'!B:B)</f>
        <v>Sunnyvale</v>
      </c>
      <c r="C1359" s="90" t="str">
        <f>_xlfn.XLOOKUP(A1359,'Model Modeshare by TAZ'!A:A,'Model Modeshare by TAZ'!D:D)</f>
        <v>NO</v>
      </c>
      <c r="D1359" s="27">
        <v>3965.6</v>
      </c>
      <c r="E1359" s="27">
        <v>119057.45</v>
      </c>
      <c r="F1359" s="27">
        <v>0</v>
      </c>
      <c r="G1359" s="27">
        <v>0</v>
      </c>
      <c r="H1359" s="27">
        <v>2139.31</v>
      </c>
      <c r="I1359" s="27">
        <v>33116.18</v>
      </c>
      <c r="J1359" s="6">
        <v>0</v>
      </c>
      <c r="K1359" s="6">
        <v>1809</v>
      </c>
      <c r="L1359" s="27">
        <v>0</v>
      </c>
      <c r="M1359" s="27">
        <v>18.306346047540078</v>
      </c>
      <c r="N1359" s="34">
        <v>36.902316196793805</v>
      </c>
    </row>
    <row r="1360" spans="1:14" x14ac:dyDescent="0.35">
      <c r="A1360" s="82">
        <v>1357</v>
      </c>
      <c r="B1360" s="89" t="str">
        <f>_xlfn.XLOOKUP(A1360,'Model Modeshare by TAZ'!A:A,'Model Modeshare by TAZ'!B:B)</f>
        <v>Sunnyvale</v>
      </c>
      <c r="C1360" s="90" t="str">
        <f>_xlfn.XLOOKUP(A1360,'Model Modeshare by TAZ'!A:A,'Model Modeshare by TAZ'!D:D)</f>
        <v>NO</v>
      </c>
      <c r="D1360" s="27">
        <v>4615.26</v>
      </c>
      <c r="E1360" s="27">
        <v>126372.6</v>
      </c>
      <c r="F1360" s="27">
        <v>0</v>
      </c>
      <c r="G1360" s="27">
        <v>0</v>
      </c>
      <c r="H1360" s="27">
        <v>8.61</v>
      </c>
      <c r="I1360" s="27">
        <v>137.30000000000001</v>
      </c>
      <c r="J1360" s="6">
        <v>0</v>
      </c>
      <c r="K1360" s="6">
        <v>6</v>
      </c>
      <c r="L1360" s="27">
        <v>0</v>
      </c>
      <c r="M1360" s="27">
        <v>22.883333333333336</v>
      </c>
      <c r="N1360" s="34">
        <v>122.85666666666667</v>
      </c>
    </row>
    <row r="1361" spans="1:14" x14ac:dyDescent="0.35">
      <c r="A1361" s="82">
        <v>1358</v>
      </c>
      <c r="B1361" s="89" t="str">
        <f>_xlfn.XLOOKUP(A1361,'Model Modeshare by TAZ'!A:A,'Model Modeshare by TAZ'!B:B)</f>
        <v>Sunnyvale</v>
      </c>
      <c r="C1361" s="90" t="str">
        <f>_xlfn.XLOOKUP(A1361,'Model Modeshare by TAZ'!A:A,'Model Modeshare by TAZ'!D:D)</f>
        <v>NO</v>
      </c>
      <c r="D1361" s="27">
        <v>14.55</v>
      </c>
      <c r="E1361" s="27">
        <v>341.71</v>
      </c>
      <c r="F1361" s="27">
        <v>0</v>
      </c>
      <c r="G1361" s="27">
        <v>0</v>
      </c>
      <c r="H1361" s="27">
        <v>9.43</v>
      </c>
      <c r="I1361" s="27">
        <v>148.72999999999999</v>
      </c>
      <c r="J1361" s="6">
        <v>0</v>
      </c>
      <c r="K1361" s="6">
        <v>7</v>
      </c>
      <c r="L1361" s="27">
        <v>0</v>
      </c>
      <c r="M1361" s="27">
        <v>21.247142857142855</v>
      </c>
      <c r="N1361" s="34">
        <v>55.35</v>
      </c>
    </row>
    <row r="1362" spans="1:14" x14ac:dyDescent="0.35">
      <c r="A1362" s="82">
        <v>1359</v>
      </c>
      <c r="B1362" s="89" t="str">
        <f>_xlfn.XLOOKUP(A1362,'Model Modeshare by TAZ'!A:A,'Model Modeshare by TAZ'!B:B)</f>
        <v>Sunnyvale</v>
      </c>
      <c r="C1362" s="90" t="str">
        <f>_xlfn.XLOOKUP(A1362,'Model Modeshare by TAZ'!A:A,'Model Modeshare by TAZ'!D:D)</f>
        <v>NO</v>
      </c>
      <c r="D1362" s="27">
        <v>1245.1400000000001</v>
      </c>
      <c r="E1362" s="27">
        <v>35294</v>
      </c>
      <c r="F1362" s="27">
        <v>0</v>
      </c>
      <c r="G1362" s="27">
        <v>0</v>
      </c>
      <c r="H1362" s="27">
        <v>470.71</v>
      </c>
      <c r="I1362" s="27">
        <v>7382.16</v>
      </c>
      <c r="J1362" s="6">
        <v>0</v>
      </c>
      <c r="K1362" s="6">
        <v>392</v>
      </c>
      <c r="L1362" s="27">
        <v>0</v>
      </c>
      <c r="M1362" s="27">
        <v>18.832040816326529</v>
      </c>
      <c r="N1362" s="34">
        <v>40.639948979591836</v>
      </c>
    </row>
    <row r="1363" spans="1:14" x14ac:dyDescent="0.35">
      <c r="A1363" s="82">
        <v>1360</v>
      </c>
      <c r="B1363" s="89" t="str">
        <f>_xlfn.XLOOKUP(A1363,'Model Modeshare by TAZ'!A:A,'Model Modeshare by TAZ'!B:B)</f>
        <v>Sunnyvale</v>
      </c>
      <c r="C1363" s="90" t="str">
        <f>_xlfn.XLOOKUP(A1363,'Model Modeshare by TAZ'!A:A,'Model Modeshare by TAZ'!D:D)</f>
        <v>NO</v>
      </c>
      <c r="D1363" s="27">
        <v>1908.11</v>
      </c>
      <c r="E1363" s="27">
        <v>43444.07</v>
      </c>
      <c r="F1363" s="27">
        <v>438.94</v>
      </c>
      <c r="G1363" s="27">
        <v>3062.81</v>
      </c>
      <c r="H1363" s="27">
        <v>1942.73</v>
      </c>
      <c r="I1363" s="27">
        <v>28038.18</v>
      </c>
      <c r="J1363" s="6">
        <v>254</v>
      </c>
      <c r="K1363" s="6">
        <v>1647</v>
      </c>
      <c r="L1363" s="27">
        <v>12.058307086614173</v>
      </c>
      <c r="M1363" s="27">
        <v>17.023788706739527</v>
      </c>
      <c r="N1363" s="34">
        <v>33.605086796422931</v>
      </c>
    </row>
    <row r="1364" spans="1:14" x14ac:dyDescent="0.35">
      <c r="A1364" s="82">
        <v>1361</v>
      </c>
      <c r="B1364" s="89" t="str">
        <f>_xlfn.XLOOKUP(A1364,'Model Modeshare by TAZ'!A:A,'Model Modeshare by TAZ'!B:B)</f>
        <v>Sunnyvale</v>
      </c>
      <c r="C1364" s="90" t="str">
        <f>_xlfn.XLOOKUP(A1364,'Model Modeshare by TAZ'!A:A,'Model Modeshare by TAZ'!D:D)</f>
        <v>NO</v>
      </c>
      <c r="D1364" s="27">
        <v>1128.95</v>
      </c>
      <c r="E1364" s="27">
        <v>23686.05</v>
      </c>
      <c r="F1364" s="27">
        <v>381.6</v>
      </c>
      <c r="G1364" s="27">
        <v>2478.63</v>
      </c>
      <c r="H1364" s="27">
        <v>169.24</v>
      </c>
      <c r="I1364" s="27">
        <v>2293.58</v>
      </c>
      <c r="J1364" s="6">
        <v>240</v>
      </c>
      <c r="K1364" s="6">
        <v>135</v>
      </c>
      <c r="L1364" s="27">
        <v>10.327625000000001</v>
      </c>
      <c r="M1364" s="27">
        <v>16.98948148148148</v>
      </c>
      <c r="N1364" s="34">
        <v>41.706746666666668</v>
      </c>
    </row>
    <row r="1365" spans="1:14" x14ac:dyDescent="0.35">
      <c r="A1365" s="82">
        <v>1362</v>
      </c>
      <c r="B1365" s="89" t="str">
        <f>_xlfn.XLOOKUP(A1365,'Model Modeshare by TAZ'!A:A,'Model Modeshare by TAZ'!B:B)</f>
        <v>Sunnyvale</v>
      </c>
      <c r="C1365" s="90" t="str">
        <f>_xlfn.XLOOKUP(A1365,'Model Modeshare by TAZ'!A:A,'Model Modeshare by TAZ'!D:D)</f>
        <v>NO</v>
      </c>
      <c r="D1365" s="27">
        <v>2136.4699999999998</v>
      </c>
      <c r="E1365" s="27">
        <v>60262.94</v>
      </c>
      <c r="F1365" s="27">
        <v>0</v>
      </c>
      <c r="G1365" s="27">
        <v>0</v>
      </c>
      <c r="H1365" s="27">
        <v>1128.42</v>
      </c>
      <c r="I1365" s="27">
        <v>15601.36</v>
      </c>
      <c r="J1365" s="6">
        <v>0</v>
      </c>
      <c r="K1365" s="6">
        <v>952</v>
      </c>
      <c r="L1365" s="27">
        <v>0</v>
      </c>
      <c r="M1365" s="27">
        <v>16.387983193277311</v>
      </c>
      <c r="N1365" s="34">
        <v>31.058581932773109</v>
      </c>
    </row>
    <row r="1366" spans="1:14" x14ac:dyDescent="0.35">
      <c r="A1366" s="82">
        <v>1363</v>
      </c>
      <c r="B1366" s="89" t="str">
        <f>_xlfn.XLOOKUP(A1366,'Model Modeshare by TAZ'!A:A,'Model Modeshare by TAZ'!B:B)</f>
        <v>Sunnyvale</v>
      </c>
      <c r="C1366" s="90" t="str">
        <f>_xlfn.XLOOKUP(A1366,'Model Modeshare by TAZ'!A:A,'Model Modeshare by TAZ'!D:D)</f>
        <v>NO</v>
      </c>
      <c r="D1366" s="27">
        <v>299.68</v>
      </c>
      <c r="E1366" s="27">
        <v>8605.0300000000007</v>
      </c>
      <c r="F1366" s="27">
        <v>1.83</v>
      </c>
      <c r="G1366" s="27">
        <v>12.62</v>
      </c>
      <c r="H1366" s="27">
        <v>547.35</v>
      </c>
      <c r="I1366" s="27">
        <v>7686.43</v>
      </c>
      <c r="J1366" s="6">
        <v>4</v>
      </c>
      <c r="K1366" s="6">
        <v>451</v>
      </c>
      <c r="L1366" s="27">
        <v>3.1549999999999998</v>
      </c>
      <c r="M1366" s="27">
        <v>17.043082039911308</v>
      </c>
      <c r="N1366" s="34">
        <v>27.705472527472526</v>
      </c>
    </row>
    <row r="1367" spans="1:14" x14ac:dyDescent="0.35">
      <c r="A1367" s="82">
        <v>1364</v>
      </c>
      <c r="B1367" s="89" t="str">
        <f>_xlfn.XLOOKUP(A1367,'Model Modeshare by TAZ'!A:A,'Model Modeshare by TAZ'!B:B)</f>
        <v>Sunnyvale</v>
      </c>
      <c r="C1367" s="90" t="str">
        <f>_xlfn.XLOOKUP(A1367,'Model Modeshare by TAZ'!A:A,'Model Modeshare by TAZ'!D:D)</f>
        <v>NO</v>
      </c>
      <c r="D1367" s="27">
        <v>1680.02</v>
      </c>
      <c r="E1367" s="27">
        <v>35192.019999999997</v>
      </c>
      <c r="F1367" s="27">
        <v>107.37</v>
      </c>
      <c r="G1367" s="27">
        <v>716.95</v>
      </c>
      <c r="H1367" s="27">
        <v>1801.79</v>
      </c>
      <c r="I1367" s="27">
        <v>24275.56</v>
      </c>
      <c r="J1367" s="6">
        <v>80</v>
      </c>
      <c r="K1367" s="6">
        <v>1591</v>
      </c>
      <c r="L1367" s="27">
        <v>8.9618750000000009</v>
      </c>
      <c r="M1367" s="27">
        <v>15.258051539912007</v>
      </c>
      <c r="N1367" s="34">
        <v>92.230670257330942</v>
      </c>
    </row>
    <row r="1368" spans="1:14" x14ac:dyDescent="0.35">
      <c r="A1368" s="82">
        <v>1365</v>
      </c>
      <c r="B1368" s="89" t="str">
        <f>_xlfn.XLOOKUP(A1368,'Model Modeshare by TAZ'!A:A,'Model Modeshare by TAZ'!B:B)</f>
        <v>Sunnyvale</v>
      </c>
      <c r="C1368" s="90" t="str">
        <f>_xlfn.XLOOKUP(A1368,'Model Modeshare by TAZ'!A:A,'Model Modeshare by TAZ'!D:D)</f>
        <v>NO</v>
      </c>
      <c r="D1368" s="27">
        <v>140.68</v>
      </c>
      <c r="E1368" s="27">
        <v>3217.81</v>
      </c>
      <c r="F1368" s="27">
        <v>0</v>
      </c>
      <c r="G1368" s="27">
        <v>0</v>
      </c>
      <c r="H1368" s="27">
        <v>40.78</v>
      </c>
      <c r="I1368" s="27">
        <v>553.64</v>
      </c>
      <c r="J1368" s="6">
        <v>1</v>
      </c>
      <c r="K1368" s="6">
        <v>32</v>
      </c>
      <c r="L1368" s="27">
        <v>0</v>
      </c>
      <c r="M1368" s="27">
        <v>17.30125</v>
      </c>
      <c r="N1368" s="34">
        <v>31.476969696969697</v>
      </c>
    </row>
    <row r="1369" spans="1:14" x14ac:dyDescent="0.35">
      <c r="A1369" s="82">
        <v>1366</v>
      </c>
      <c r="B1369" s="89" t="str">
        <f>_xlfn.XLOOKUP(A1369,'Model Modeshare by TAZ'!A:A,'Model Modeshare by TAZ'!B:B)</f>
        <v>Sunnyvale</v>
      </c>
      <c r="C1369" s="90" t="str">
        <f>_xlfn.XLOOKUP(A1369,'Model Modeshare by TAZ'!A:A,'Model Modeshare by TAZ'!D:D)</f>
        <v>NO</v>
      </c>
      <c r="D1369" s="27">
        <v>1463.66</v>
      </c>
      <c r="E1369" s="27">
        <v>27164.89</v>
      </c>
      <c r="F1369" s="27">
        <v>0</v>
      </c>
      <c r="G1369" s="27">
        <v>0</v>
      </c>
      <c r="H1369" s="27">
        <v>29.45</v>
      </c>
      <c r="I1369" s="27">
        <v>371.03</v>
      </c>
      <c r="J1369" s="6">
        <v>1</v>
      </c>
      <c r="K1369" s="6">
        <v>24</v>
      </c>
      <c r="L1369" s="27">
        <v>0</v>
      </c>
      <c r="M1369" s="27">
        <v>15.459583333333333</v>
      </c>
      <c r="N1369" s="34">
        <v>86.033199999999994</v>
      </c>
    </row>
    <row r="1370" spans="1:14" x14ac:dyDescent="0.35">
      <c r="A1370" s="82">
        <v>1367</v>
      </c>
      <c r="B1370" s="89" t="str">
        <f>_xlfn.XLOOKUP(A1370,'Model Modeshare by TAZ'!A:A,'Model Modeshare by TAZ'!B:B)</f>
        <v>Sunnyvale</v>
      </c>
      <c r="C1370" s="90" t="str">
        <f>_xlfn.XLOOKUP(A1370,'Model Modeshare by TAZ'!A:A,'Model Modeshare by TAZ'!D:D)</f>
        <v>NO</v>
      </c>
      <c r="D1370" s="27">
        <v>4025</v>
      </c>
      <c r="E1370" s="27">
        <v>52916.51</v>
      </c>
      <c r="F1370" s="27">
        <v>3815.55</v>
      </c>
      <c r="G1370" s="27">
        <v>21691.41</v>
      </c>
      <c r="H1370" s="27">
        <v>824</v>
      </c>
      <c r="I1370" s="27">
        <v>9951.92</v>
      </c>
      <c r="J1370" s="6">
        <v>2708</v>
      </c>
      <c r="K1370" s="6">
        <v>476</v>
      </c>
      <c r="L1370" s="27">
        <v>8.0101218611521414</v>
      </c>
      <c r="M1370" s="27">
        <v>20.907394957983193</v>
      </c>
      <c r="N1370" s="34">
        <v>18.73819095477387</v>
      </c>
    </row>
    <row r="1371" spans="1:14" x14ac:dyDescent="0.35">
      <c r="A1371" s="82">
        <v>1368</v>
      </c>
      <c r="B1371" s="89" t="str">
        <f>_xlfn.XLOOKUP(A1371,'Model Modeshare by TAZ'!A:A,'Model Modeshare by TAZ'!B:B)</f>
        <v>Sunnyvale</v>
      </c>
      <c r="C1371" s="90" t="str">
        <f>_xlfn.XLOOKUP(A1371,'Model Modeshare by TAZ'!A:A,'Model Modeshare by TAZ'!D:D)</f>
        <v>NO</v>
      </c>
      <c r="D1371" s="27">
        <v>2329.5100000000002</v>
      </c>
      <c r="E1371" s="27">
        <v>35783.21</v>
      </c>
      <c r="F1371" s="27">
        <v>2559.38</v>
      </c>
      <c r="G1371" s="27">
        <v>18336.12</v>
      </c>
      <c r="H1371" s="27">
        <v>0</v>
      </c>
      <c r="I1371" s="27">
        <v>0</v>
      </c>
      <c r="J1371" s="6">
        <v>1757</v>
      </c>
      <c r="K1371" s="6">
        <v>0</v>
      </c>
      <c r="L1371" s="27">
        <v>10.436038702333523</v>
      </c>
      <c r="M1371" s="27">
        <v>0</v>
      </c>
      <c r="N1371" s="34">
        <v>17.697649402390439</v>
      </c>
    </row>
    <row r="1372" spans="1:14" x14ac:dyDescent="0.35">
      <c r="A1372" s="82">
        <v>1369</v>
      </c>
      <c r="B1372" s="89" t="str">
        <f>_xlfn.XLOOKUP(A1372,'Model Modeshare by TAZ'!A:A,'Model Modeshare by TAZ'!B:B)</f>
        <v>Sunnyvale</v>
      </c>
      <c r="C1372" s="90" t="str">
        <f>_xlfn.XLOOKUP(A1372,'Model Modeshare by TAZ'!A:A,'Model Modeshare by TAZ'!D:D)</f>
        <v>NO</v>
      </c>
      <c r="D1372" s="27">
        <v>6954.45</v>
      </c>
      <c r="E1372" s="27">
        <v>93895.87</v>
      </c>
      <c r="F1372" s="27">
        <v>7447.83</v>
      </c>
      <c r="G1372" s="27">
        <v>48117.97</v>
      </c>
      <c r="H1372" s="27">
        <v>666.18</v>
      </c>
      <c r="I1372" s="27">
        <v>9462.7099999999991</v>
      </c>
      <c r="J1372" s="6">
        <v>5112</v>
      </c>
      <c r="K1372" s="6">
        <v>376</v>
      </c>
      <c r="L1372" s="27">
        <v>9.4127484350547732</v>
      </c>
      <c r="M1372" s="27">
        <v>25.166781914893615</v>
      </c>
      <c r="N1372" s="34">
        <v>18.6351111516035</v>
      </c>
    </row>
    <row r="1373" spans="1:14" x14ac:dyDescent="0.35">
      <c r="A1373" s="82">
        <v>1370</v>
      </c>
      <c r="B1373" s="89" t="str">
        <f>_xlfn.XLOOKUP(A1373,'Model Modeshare by TAZ'!A:A,'Model Modeshare by TAZ'!B:B)</f>
        <v>Sunnyvale</v>
      </c>
      <c r="C1373" s="90" t="str">
        <f>_xlfn.XLOOKUP(A1373,'Model Modeshare by TAZ'!A:A,'Model Modeshare by TAZ'!D:D)</f>
        <v>NO</v>
      </c>
      <c r="D1373" s="27">
        <v>1558.06</v>
      </c>
      <c r="E1373" s="27">
        <v>20605.919999999998</v>
      </c>
      <c r="F1373" s="27">
        <v>792.88</v>
      </c>
      <c r="G1373" s="27">
        <v>4668.8999999999996</v>
      </c>
      <c r="H1373" s="27">
        <v>423.03</v>
      </c>
      <c r="I1373" s="27">
        <v>5954.71</v>
      </c>
      <c r="J1373" s="6">
        <v>589</v>
      </c>
      <c r="K1373" s="6">
        <v>371</v>
      </c>
      <c r="L1373" s="27">
        <v>7.9268251273344648</v>
      </c>
      <c r="M1373" s="27">
        <v>16.05043126684636</v>
      </c>
      <c r="N1373" s="34">
        <v>17.318895833333332</v>
      </c>
    </row>
    <row r="1374" spans="1:14" x14ac:dyDescent="0.35">
      <c r="A1374" s="82">
        <v>1371</v>
      </c>
      <c r="B1374" s="89" t="str">
        <f>_xlfn.XLOOKUP(A1374,'Model Modeshare by TAZ'!A:A,'Model Modeshare by TAZ'!B:B)</f>
        <v>Sunnyvale</v>
      </c>
      <c r="C1374" s="90" t="str">
        <f>_xlfn.XLOOKUP(A1374,'Model Modeshare by TAZ'!A:A,'Model Modeshare by TAZ'!D:D)</f>
        <v>NO</v>
      </c>
      <c r="D1374" s="27">
        <v>5116.9799999999996</v>
      </c>
      <c r="E1374" s="27">
        <v>54846.93</v>
      </c>
      <c r="F1374" s="27">
        <v>5991.57</v>
      </c>
      <c r="G1374" s="27">
        <v>33793.4</v>
      </c>
      <c r="H1374" s="27">
        <v>159.82</v>
      </c>
      <c r="I1374" s="27">
        <v>2211.62</v>
      </c>
      <c r="J1374" s="6">
        <v>4099</v>
      </c>
      <c r="K1374" s="6">
        <v>88</v>
      </c>
      <c r="L1374" s="27">
        <v>8.2443034886557705</v>
      </c>
      <c r="M1374" s="27">
        <v>25.132045454545452</v>
      </c>
      <c r="N1374" s="34">
        <v>13.642240267494625</v>
      </c>
    </row>
    <row r="1375" spans="1:14" x14ac:dyDescent="0.35">
      <c r="A1375" s="82">
        <v>1372</v>
      </c>
      <c r="B1375" s="89" t="str">
        <f>_xlfn.XLOOKUP(A1375,'Model Modeshare by TAZ'!A:A,'Model Modeshare by TAZ'!B:B)</f>
        <v>Sunnyvale</v>
      </c>
      <c r="C1375" s="90" t="str">
        <f>_xlfn.XLOOKUP(A1375,'Model Modeshare by TAZ'!A:A,'Model Modeshare by TAZ'!D:D)</f>
        <v>NO</v>
      </c>
      <c r="D1375" s="27">
        <v>2641.8</v>
      </c>
      <c r="E1375" s="27">
        <v>27371.599999999999</v>
      </c>
      <c r="F1375" s="27">
        <v>2665.32</v>
      </c>
      <c r="G1375" s="27">
        <v>13541.37</v>
      </c>
      <c r="H1375" s="27">
        <v>314.98</v>
      </c>
      <c r="I1375" s="27">
        <v>4131.67</v>
      </c>
      <c r="J1375" s="6">
        <v>1823</v>
      </c>
      <c r="K1375" s="6">
        <v>185</v>
      </c>
      <c r="L1375" s="27">
        <v>7.4280691168403736</v>
      </c>
      <c r="M1375" s="27">
        <v>22.33335135135135</v>
      </c>
      <c r="N1375" s="34">
        <v>13.247699203187251</v>
      </c>
    </row>
    <row r="1376" spans="1:14" x14ac:dyDescent="0.35">
      <c r="A1376" s="82">
        <v>1373</v>
      </c>
      <c r="B1376" s="89" t="str">
        <f>_xlfn.XLOOKUP(A1376,'Model Modeshare by TAZ'!A:A,'Model Modeshare by TAZ'!B:B)</f>
        <v>Sunnyvale</v>
      </c>
      <c r="C1376" s="90" t="str">
        <f>_xlfn.XLOOKUP(A1376,'Model Modeshare by TAZ'!A:A,'Model Modeshare by TAZ'!D:D)</f>
        <v>NO</v>
      </c>
      <c r="D1376" s="27">
        <v>822.46</v>
      </c>
      <c r="E1376" s="27">
        <v>13395.39</v>
      </c>
      <c r="F1376" s="27">
        <v>460.16</v>
      </c>
      <c r="G1376" s="27">
        <v>2832.68</v>
      </c>
      <c r="H1376" s="27">
        <v>421.22</v>
      </c>
      <c r="I1376" s="27">
        <v>5428.79</v>
      </c>
      <c r="J1376" s="6">
        <v>296</v>
      </c>
      <c r="K1376" s="6">
        <v>362</v>
      </c>
      <c r="L1376" s="27">
        <v>9.569864864864865</v>
      </c>
      <c r="M1376" s="27">
        <v>14.996657458563536</v>
      </c>
      <c r="N1376" s="34">
        <v>29.543662613981763</v>
      </c>
    </row>
    <row r="1377" spans="1:14" x14ac:dyDescent="0.35">
      <c r="A1377" s="82">
        <v>1374</v>
      </c>
      <c r="B1377" s="89" t="str">
        <f>_xlfn.XLOOKUP(A1377,'Model Modeshare by TAZ'!A:A,'Model Modeshare by TAZ'!B:B)</f>
        <v>Sunnyvale</v>
      </c>
      <c r="C1377" s="90" t="str">
        <f>_xlfn.XLOOKUP(A1377,'Model Modeshare by TAZ'!A:A,'Model Modeshare by TAZ'!D:D)</f>
        <v>NO</v>
      </c>
      <c r="D1377" s="27">
        <v>3528.12</v>
      </c>
      <c r="E1377" s="27">
        <v>57015.92</v>
      </c>
      <c r="F1377" s="27">
        <v>3721.14</v>
      </c>
      <c r="G1377" s="27">
        <v>23139.38</v>
      </c>
      <c r="H1377" s="27">
        <v>85.76</v>
      </c>
      <c r="I1377" s="27">
        <v>1009.49</v>
      </c>
      <c r="J1377" s="6">
        <v>2516</v>
      </c>
      <c r="K1377" s="6">
        <v>45</v>
      </c>
      <c r="L1377" s="27">
        <v>9.1968918918918927</v>
      </c>
      <c r="M1377" s="27">
        <v>22.43311111111111</v>
      </c>
      <c r="N1377" s="34">
        <v>18.989262007028504</v>
      </c>
    </row>
    <row r="1378" spans="1:14" x14ac:dyDescent="0.35">
      <c r="A1378" s="82">
        <v>1375</v>
      </c>
      <c r="B1378" s="89" t="str">
        <f>_xlfn.XLOOKUP(A1378,'Model Modeshare by TAZ'!A:A,'Model Modeshare by TAZ'!B:B)</f>
        <v>Sunnyvale</v>
      </c>
      <c r="C1378" s="90" t="str">
        <f>_xlfn.XLOOKUP(A1378,'Model Modeshare by TAZ'!A:A,'Model Modeshare by TAZ'!D:D)</f>
        <v>NO</v>
      </c>
      <c r="D1378" s="27">
        <v>2521.66</v>
      </c>
      <c r="E1378" s="27">
        <v>38185.629999999997</v>
      </c>
      <c r="F1378" s="27">
        <v>2581.66</v>
      </c>
      <c r="G1378" s="27">
        <v>16026.64</v>
      </c>
      <c r="H1378" s="27">
        <v>406.01</v>
      </c>
      <c r="I1378" s="27">
        <v>4549.16</v>
      </c>
      <c r="J1378" s="6">
        <v>1646</v>
      </c>
      <c r="K1378" s="6">
        <v>221</v>
      </c>
      <c r="L1378" s="27">
        <v>9.7367193195625763</v>
      </c>
      <c r="M1378" s="27">
        <v>20.58443438914027</v>
      </c>
      <c r="N1378" s="34">
        <v>19.855549009105516</v>
      </c>
    </row>
    <row r="1379" spans="1:14" x14ac:dyDescent="0.35">
      <c r="A1379" s="82">
        <v>1376</v>
      </c>
      <c r="B1379" s="89" t="str">
        <f>_xlfn.XLOOKUP(A1379,'Model Modeshare by TAZ'!A:A,'Model Modeshare by TAZ'!B:B)</f>
        <v>Sunnyvale</v>
      </c>
      <c r="C1379" s="90" t="str">
        <f>_xlfn.XLOOKUP(A1379,'Model Modeshare by TAZ'!A:A,'Model Modeshare by TAZ'!D:D)</f>
        <v>NO</v>
      </c>
      <c r="D1379" s="27">
        <v>6971.91</v>
      </c>
      <c r="E1379" s="27">
        <v>108189.41</v>
      </c>
      <c r="F1379" s="27">
        <v>4484.32</v>
      </c>
      <c r="G1379" s="27">
        <v>27584.71</v>
      </c>
      <c r="H1379" s="27">
        <v>125.06</v>
      </c>
      <c r="I1379" s="27">
        <v>1429.39</v>
      </c>
      <c r="J1379" s="6">
        <v>2833</v>
      </c>
      <c r="K1379" s="6">
        <v>66</v>
      </c>
      <c r="L1379" s="27">
        <v>9.7369255206494874</v>
      </c>
      <c r="M1379" s="27">
        <v>21.657424242424245</v>
      </c>
      <c r="N1379" s="34">
        <v>19.325605381165918</v>
      </c>
    </row>
    <row r="1380" spans="1:14" x14ac:dyDescent="0.35">
      <c r="A1380" s="82">
        <v>1377</v>
      </c>
      <c r="B1380" s="89" t="str">
        <f>_xlfn.XLOOKUP(A1380,'Model Modeshare by TAZ'!A:A,'Model Modeshare by TAZ'!B:B)</f>
        <v>Sunnyvale</v>
      </c>
      <c r="C1380" s="90" t="str">
        <f>_xlfn.XLOOKUP(A1380,'Model Modeshare by TAZ'!A:A,'Model Modeshare by TAZ'!D:D)</f>
        <v>NO</v>
      </c>
      <c r="D1380" s="27">
        <v>0</v>
      </c>
      <c r="E1380" s="27">
        <v>0</v>
      </c>
      <c r="F1380" s="27">
        <v>0</v>
      </c>
      <c r="G1380" s="27">
        <v>0</v>
      </c>
      <c r="H1380" s="27">
        <v>0</v>
      </c>
      <c r="I1380" s="27">
        <v>0</v>
      </c>
      <c r="J1380" s="6">
        <v>4</v>
      </c>
      <c r="K1380" s="6">
        <v>0</v>
      </c>
      <c r="L1380" s="27">
        <v>0</v>
      </c>
      <c r="M1380" s="27">
        <v>0</v>
      </c>
      <c r="N1380" s="34">
        <v>0</v>
      </c>
    </row>
    <row r="1381" spans="1:14" x14ac:dyDescent="0.35">
      <c r="A1381" s="82">
        <v>1378</v>
      </c>
      <c r="B1381" s="89" t="str">
        <f>_xlfn.XLOOKUP(A1381,'Model Modeshare by TAZ'!A:A,'Model Modeshare by TAZ'!B:B)</f>
        <v>Sunnyvale</v>
      </c>
      <c r="C1381" s="90" t="str">
        <f>_xlfn.XLOOKUP(A1381,'Model Modeshare by TAZ'!A:A,'Model Modeshare by TAZ'!D:D)</f>
        <v>NO</v>
      </c>
      <c r="D1381" s="27">
        <v>5981.24</v>
      </c>
      <c r="E1381" s="27">
        <v>169916.25</v>
      </c>
      <c r="F1381" s="27">
        <v>0</v>
      </c>
      <c r="G1381" s="27">
        <v>0</v>
      </c>
      <c r="H1381" s="27">
        <v>3491.63</v>
      </c>
      <c r="I1381" s="27">
        <v>52557.63</v>
      </c>
      <c r="J1381" s="6">
        <v>8</v>
      </c>
      <c r="K1381" s="6">
        <v>2964</v>
      </c>
      <c r="L1381" s="27">
        <v>0</v>
      </c>
      <c r="M1381" s="27">
        <v>17.731993927125504</v>
      </c>
      <c r="N1381" s="34">
        <v>34.914700538358012</v>
      </c>
    </row>
    <row r="1382" spans="1:14" x14ac:dyDescent="0.35">
      <c r="A1382" s="82">
        <v>1379</v>
      </c>
      <c r="B1382" s="89" t="str">
        <f>_xlfn.XLOOKUP(A1382,'Model Modeshare by TAZ'!A:A,'Model Modeshare by TAZ'!B:B)</f>
        <v>Sunnyvale</v>
      </c>
      <c r="C1382" s="90" t="str">
        <f>_xlfn.XLOOKUP(A1382,'Model Modeshare by TAZ'!A:A,'Model Modeshare by TAZ'!D:D)</f>
        <v>NO</v>
      </c>
      <c r="D1382" s="27">
        <v>5548.25</v>
      </c>
      <c r="E1382" s="27">
        <v>100726.92</v>
      </c>
      <c r="F1382" s="27">
        <v>5534.94</v>
      </c>
      <c r="G1382" s="27">
        <v>41358.1</v>
      </c>
      <c r="H1382" s="27">
        <v>114.89</v>
      </c>
      <c r="I1382" s="27">
        <v>1621.35</v>
      </c>
      <c r="J1382" s="6">
        <v>3587</v>
      </c>
      <c r="K1382" s="6">
        <v>61</v>
      </c>
      <c r="L1382" s="27">
        <v>11.529997212155005</v>
      </c>
      <c r="M1382" s="27">
        <v>26.57950819672131</v>
      </c>
      <c r="N1382" s="34">
        <v>23.544989035087717</v>
      </c>
    </row>
    <row r="1383" spans="1:14" x14ac:dyDescent="0.35">
      <c r="A1383" s="82">
        <v>1380</v>
      </c>
      <c r="B1383" s="89" t="str">
        <f>_xlfn.XLOOKUP(A1383,'Model Modeshare by TAZ'!A:A,'Model Modeshare by TAZ'!B:B)</f>
        <v>Sunnyvale</v>
      </c>
      <c r="C1383" s="90" t="str">
        <f>_xlfn.XLOOKUP(A1383,'Model Modeshare by TAZ'!A:A,'Model Modeshare by TAZ'!D:D)</f>
        <v>NO</v>
      </c>
      <c r="D1383" s="27">
        <v>3357.39</v>
      </c>
      <c r="E1383" s="27">
        <v>39009.58</v>
      </c>
      <c r="F1383" s="27">
        <v>2880.87</v>
      </c>
      <c r="G1383" s="27">
        <v>15396.02</v>
      </c>
      <c r="H1383" s="27">
        <v>184.34</v>
      </c>
      <c r="I1383" s="27">
        <v>2578.5</v>
      </c>
      <c r="J1383" s="6">
        <v>2071</v>
      </c>
      <c r="K1383" s="6">
        <v>98</v>
      </c>
      <c r="L1383" s="27">
        <v>7.4340994688556252</v>
      </c>
      <c r="M1383" s="27">
        <v>26.311224489795919</v>
      </c>
      <c r="N1383" s="34">
        <v>13.387800829875518</v>
      </c>
    </row>
    <row r="1384" spans="1:14" x14ac:dyDescent="0.35">
      <c r="A1384" s="82">
        <v>1381</v>
      </c>
      <c r="B1384" s="89" t="str">
        <f>_xlfn.XLOOKUP(A1384,'Model Modeshare by TAZ'!A:A,'Model Modeshare by TAZ'!B:B)</f>
        <v>Sunnyvale</v>
      </c>
      <c r="C1384" s="90" t="str">
        <f>_xlfn.XLOOKUP(A1384,'Model Modeshare by TAZ'!A:A,'Model Modeshare by TAZ'!D:D)</f>
        <v>NO</v>
      </c>
      <c r="D1384" s="27">
        <v>1066.8699999999999</v>
      </c>
      <c r="E1384" s="27">
        <v>15459.91</v>
      </c>
      <c r="F1384" s="27">
        <v>1003.88</v>
      </c>
      <c r="G1384" s="27">
        <v>6183.69</v>
      </c>
      <c r="H1384" s="27">
        <v>839.92</v>
      </c>
      <c r="I1384" s="27">
        <v>11762.72</v>
      </c>
      <c r="J1384" s="6">
        <v>691</v>
      </c>
      <c r="K1384" s="6">
        <v>708</v>
      </c>
      <c r="L1384" s="27">
        <v>8.9489001447178005</v>
      </c>
      <c r="M1384" s="27">
        <v>16.614011299435028</v>
      </c>
      <c r="N1384" s="34">
        <v>21.674488920657613</v>
      </c>
    </row>
    <row r="1385" spans="1:14" x14ac:dyDescent="0.35">
      <c r="A1385" s="82">
        <v>1382</v>
      </c>
      <c r="B1385" s="89" t="str">
        <f>_xlfn.XLOOKUP(A1385,'Model Modeshare by TAZ'!A:A,'Model Modeshare by TAZ'!B:B)</f>
        <v>Sunnyvale</v>
      </c>
      <c r="C1385" s="90" t="str">
        <f>_xlfn.XLOOKUP(A1385,'Model Modeshare by TAZ'!A:A,'Model Modeshare by TAZ'!D:D)</f>
        <v>NO</v>
      </c>
      <c r="D1385" s="27">
        <v>4601.47</v>
      </c>
      <c r="E1385" s="27">
        <v>65847.69</v>
      </c>
      <c r="F1385" s="27">
        <v>4845.41</v>
      </c>
      <c r="G1385" s="27">
        <v>32257.4</v>
      </c>
      <c r="H1385" s="27">
        <v>289.7</v>
      </c>
      <c r="I1385" s="27">
        <v>4210.8</v>
      </c>
      <c r="J1385" s="6">
        <v>2975</v>
      </c>
      <c r="K1385" s="6">
        <v>153</v>
      </c>
      <c r="L1385" s="27">
        <v>10.842823529411765</v>
      </c>
      <c r="M1385" s="27">
        <v>27.521568627450982</v>
      </c>
      <c r="N1385" s="34">
        <v>17.58431265984655</v>
      </c>
    </row>
    <row r="1386" spans="1:14" x14ac:dyDescent="0.35">
      <c r="A1386" s="82">
        <v>1383</v>
      </c>
      <c r="B1386" s="89" t="str">
        <f>_xlfn.XLOOKUP(A1386,'Model Modeshare by TAZ'!A:A,'Model Modeshare by TAZ'!B:B)</f>
        <v>Sunnyvale</v>
      </c>
      <c r="C1386" s="90" t="str">
        <f>_xlfn.XLOOKUP(A1386,'Model Modeshare by TAZ'!A:A,'Model Modeshare by TAZ'!D:D)</f>
        <v>NO</v>
      </c>
      <c r="D1386" s="27">
        <v>2475.38</v>
      </c>
      <c r="E1386" s="27">
        <v>31924.14</v>
      </c>
      <c r="F1386" s="27">
        <v>2530.81</v>
      </c>
      <c r="G1386" s="27">
        <v>13975.61</v>
      </c>
      <c r="H1386" s="27">
        <v>1187.5</v>
      </c>
      <c r="I1386" s="27">
        <v>16446.259999999998</v>
      </c>
      <c r="J1386" s="6">
        <v>1888</v>
      </c>
      <c r="K1386" s="6">
        <v>1052</v>
      </c>
      <c r="L1386" s="27">
        <v>7.4023358050847463</v>
      </c>
      <c r="M1386" s="27">
        <v>15.633326996197717</v>
      </c>
      <c r="N1386" s="34">
        <v>16.657421768707483</v>
      </c>
    </row>
    <row r="1387" spans="1:14" x14ac:dyDescent="0.35">
      <c r="A1387" s="82">
        <v>1384</v>
      </c>
      <c r="B1387" s="89" t="str">
        <f>_xlfn.XLOOKUP(A1387,'Model Modeshare by TAZ'!A:A,'Model Modeshare by TAZ'!B:B)</f>
        <v>Sunnyvale</v>
      </c>
      <c r="C1387" s="90" t="str">
        <f>_xlfn.XLOOKUP(A1387,'Model Modeshare by TAZ'!A:A,'Model Modeshare by TAZ'!D:D)</f>
        <v>NO</v>
      </c>
      <c r="D1387" s="27">
        <v>2288.77</v>
      </c>
      <c r="E1387" s="27">
        <v>25876.27</v>
      </c>
      <c r="F1387" s="27">
        <v>2023.14</v>
      </c>
      <c r="G1387" s="27">
        <v>11501.33</v>
      </c>
      <c r="H1387" s="27">
        <v>61.96</v>
      </c>
      <c r="I1387" s="27">
        <v>876.93</v>
      </c>
      <c r="J1387" s="6">
        <v>1437</v>
      </c>
      <c r="K1387" s="6">
        <v>33</v>
      </c>
      <c r="L1387" s="27">
        <v>8.0037091162143348</v>
      </c>
      <c r="M1387" s="27">
        <v>26.573636363636361</v>
      </c>
      <c r="N1387" s="34">
        <v>13.894687074829932</v>
      </c>
    </row>
    <row r="1388" spans="1:14" x14ac:dyDescent="0.35">
      <c r="A1388" s="82">
        <v>1385</v>
      </c>
      <c r="B1388" s="89" t="str">
        <f>_xlfn.XLOOKUP(A1388,'Model Modeshare by TAZ'!A:A,'Model Modeshare by TAZ'!B:B)</f>
        <v>Sunnyvale</v>
      </c>
      <c r="C1388" s="90" t="str">
        <f>_xlfn.XLOOKUP(A1388,'Model Modeshare by TAZ'!A:A,'Model Modeshare by TAZ'!D:D)</f>
        <v>NO</v>
      </c>
      <c r="D1388" s="27">
        <v>656.4</v>
      </c>
      <c r="E1388" s="27">
        <v>16666.349999999999</v>
      </c>
      <c r="F1388" s="27">
        <v>0</v>
      </c>
      <c r="G1388" s="27">
        <v>0</v>
      </c>
      <c r="H1388" s="27">
        <v>841.03</v>
      </c>
      <c r="I1388" s="27">
        <v>11639.48</v>
      </c>
      <c r="J1388" s="6">
        <v>2</v>
      </c>
      <c r="K1388" s="6">
        <v>723</v>
      </c>
      <c r="L1388" s="27">
        <v>0</v>
      </c>
      <c r="M1388" s="27">
        <v>16.098865836791148</v>
      </c>
      <c r="N1388" s="34">
        <v>27.712124137931035</v>
      </c>
    </row>
    <row r="1389" spans="1:14" x14ac:dyDescent="0.35">
      <c r="A1389" s="82">
        <v>1386</v>
      </c>
      <c r="B1389" s="89" t="str">
        <f>_xlfn.XLOOKUP(A1389,'Model Modeshare by TAZ'!A:A,'Model Modeshare by TAZ'!B:B)</f>
        <v>Sunnyvale</v>
      </c>
      <c r="C1389" s="90" t="str">
        <f>_xlfn.XLOOKUP(A1389,'Model Modeshare by TAZ'!A:A,'Model Modeshare by TAZ'!D:D)</f>
        <v>NO</v>
      </c>
      <c r="D1389" s="27">
        <v>2108.98</v>
      </c>
      <c r="E1389" s="27">
        <v>64211.08</v>
      </c>
      <c r="F1389" s="27">
        <v>0</v>
      </c>
      <c r="G1389" s="27">
        <v>0</v>
      </c>
      <c r="H1389" s="27">
        <v>877.9</v>
      </c>
      <c r="I1389" s="27">
        <v>13979.1</v>
      </c>
      <c r="J1389" s="6">
        <v>0</v>
      </c>
      <c r="K1389" s="6">
        <v>727</v>
      </c>
      <c r="L1389" s="27">
        <v>0</v>
      </c>
      <c r="M1389" s="27">
        <v>19.22847317744154</v>
      </c>
      <c r="N1389" s="34">
        <v>37.96321870701513</v>
      </c>
    </row>
    <row r="1390" spans="1:14" x14ac:dyDescent="0.35">
      <c r="A1390" s="82">
        <v>1387</v>
      </c>
      <c r="B1390" s="89" t="str">
        <f>_xlfn.XLOOKUP(A1390,'Model Modeshare by TAZ'!A:A,'Model Modeshare by TAZ'!B:B)</f>
        <v>Sunnyvale</v>
      </c>
      <c r="C1390" s="90" t="str">
        <f>_xlfn.XLOOKUP(A1390,'Model Modeshare by TAZ'!A:A,'Model Modeshare by TAZ'!D:D)</f>
        <v>NO</v>
      </c>
      <c r="D1390" s="27">
        <v>392.89</v>
      </c>
      <c r="E1390" s="27">
        <v>11445.06</v>
      </c>
      <c r="F1390" s="27">
        <v>0</v>
      </c>
      <c r="G1390" s="27">
        <v>0</v>
      </c>
      <c r="H1390" s="27">
        <v>254.72</v>
      </c>
      <c r="I1390" s="27">
        <v>3948.05</v>
      </c>
      <c r="J1390" s="6">
        <v>0</v>
      </c>
      <c r="K1390" s="6">
        <v>211</v>
      </c>
      <c r="L1390" s="27">
        <v>0</v>
      </c>
      <c r="M1390" s="27">
        <v>18.711137440758296</v>
      </c>
      <c r="N1390" s="34">
        <v>37.038341232227488</v>
      </c>
    </row>
    <row r="1391" spans="1:14" x14ac:dyDescent="0.35">
      <c r="A1391" s="82">
        <v>1388</v>
      </c>
      <c r="B1391" s="89" t="str">
        <f>_xlfn.XLOOKUP(A1391,'Model Modeshare by TAZ'!A:A,'Model Modeshare by TAZ'!B:B)</f>
        <v>Sunnyvale</v>
      </c>
      <c r="C1391" s="90" t="str">
        <f>_xlfn.XLOOKUP(A1391,'Model Modeshare by TAZ'!A:A,'Model Modeshare by TAZ'!D:D)</f>
        <v>NO</v>
      </c>
      <c r="D1391" s="27">
        <v>1544.1</v>
      </c>
      <c r="E1391" s="27">
        <v>44734.62</v>
      </c>
      <c r="F1391" s="27">
        <v>0</v>
      </c>
      <c r="G1391" s="27">
        <v>0</v>
      </c>
      <c r="H1391" s="27">
        <v>1202.48</v>
      </c>
      <c r="I1391" s="27">
        <v>19326.27</v>
      </c>
      <c r="J1391" s="6">
        <v>0</v>
      </c>
      <c r="K1391" s="6">
        <v>996</v>
      </c>
      <c r="L1391" s="27">
        <v>0</v>
      </c>
      <c r="M1391" s="27">
        <v>19.403885542168677</v>
      </c>
      <c r="N1391" s="34">
        <v>44.367520080321285</v>
      </c>
    </row>
    <row r="1392" spans="1:14" x14ac:dyDescent="0.35">
      <c r="A1392" s="82">
        <v>1389</v>
      </c>
      <c r="B1392" s="89" t="str">
        <f>_xlfn.XLOOKUP(A1392,'Model Modeshare by TAZ'!A:A,'Model Modeshare by TAZ'!B:B)</f>
        <v>Sunnyvale</v>
      </c>
      <c r="C1392" s="90" t="str">
        <f>_xlfn.XLOOKUP(A1392,'Model Modeshare by TAZ'!A:A,'Model Modeshare by TAZ'!D:D)</f>
        <v>NO</v>
      </c>
      <c r="D1392" s="27">
        <v>6666.28</v>
      </c>
      <c r="E1392" s="27">
        <v>174623.28</v>
      </c>
      <c r="F1392" s="27">
        <v>0</v>
      </c>
      <c r="G1392" s="27">
        <v>0</v>
      </c>
      <c r="H1392" s="27">
        <v>8.0500000000000007</v>
      </c>
      <c r="I1392" s="27">
        <v>127.79</v>
      </c>
      <c r="J1392" s="6">
        <v>0</v>
      </c>
      <c r="K1392" s="6">
        <v>6</v>
      </c>
      <c r="L1392" s="27">
        <v>0</v>
      </c>
      <c r="M1392" s="27">
        <v>21.298333333333336</v>
      </c>
      <c r="N1392" s="34">
        <v>125.83166666666666</v>
      </c>
    </row>
    <row r="1393" spans="1:14" x14ac:dyDescent="0.35">
      <c r="A1393" s="82">
        <v>1390</v>
      </c>
      <c r="B1393" s="89" t="str">
        <f>_xlfn.XLOOKUP(A1393,'Model Modeshare by TAZ'!A:A,'Model Modeshare by TAZ'!B:B)</f>
        <v>Sunnyvale</v>
      </c>
      <c r="C1393" s="90" t="str">
        <f>_xlfn.XLOOKUP(A1393,'Model Modeshare by TAZ'!A:A,'Model Modeshare by TAZ'!D:D)</f>
        <v>NO</v>
      </c>
      <c r="D1393" s="27">
        <v>1190.47</v>
      </c>
      <c r="E1393" s="27">
        <v>35718.71</v>
      </c>
      <c r="F1393" s="27">
        <v>0</v>
      </c>
      <c r="G1393" s="27">
        <v>0</v>
      </c>
      <c r="H1393" s="27">
        <v>1647.96</v>
      </c>
      <c r="I1393" s="27">
        <v>25582.18</v>
      </c>
      <c r="J1393" s="6">
        <v>0</v>
      </c>
      <c r="K1393" s="6">
        <v>1432</v>
      </c>
      <c r="L1393" s="27">
        <v>0</v>
      </c>
      <c r="M1393" s="27">
        <v>17.864650837988826</v>
      </c>
      <c r="N1393" s="34">
        <v>33.307548882681566</v>
      </c>
    </row>
    <row r="1394" spans="1:14" x14ac:dyDescent="0.35">
      <c r="A1394" s="82">
        <v>1391</v>
      </c>
      <c r="B1394" s="89" t="str">
        <f>_xlfn.XLOOKUP(A1394,'Model Modeshare by TAZ'!A:A,'Model Modeshare by TAZ'!B:B)</f>
        <v>Sunnyvale</v>
      </c>
      <c r="C1394" s="90" t="str">
        <f>_xlfn.XLOOKUP(A1394,'Model Modeshare by TAZ'!A:A,'Model Modeshare by TAZ'!D:D)</f>
        <v>NO</v>
      </c>
      <c r="D1394" s="27">
        <v>2830.07</v>
      </c>
      <c r="E1394" s="27">
        <v>74457.64</v>
      </c>
      <c r="F1394" s="27">
        <v>0</v>
      </c>
      <c r="G1394" s="27">
        <v>0</v>
      </c>
      <c r="H1394" s="27">
        <v>755.48</v>
      </c>
      <c r="I1394" s="27">
        <v>11450.4</v>
      </c>
      <c r="J1394" s="6">
        <v>0</v>
      </c>
      <c r="K1394" s="6">
        <v>676</v>
      </c>
      <c r="L1394" s="27">
        <v>0</v>
      </c>
      <c r="M1394" s="27">
        <v>16.938461538461539</v>
      </c>
      <c r="N1394" s="34">
        <v>43.476479289940826</v>
      </c>
    </row>
    <row r="1395" spans="1:14" x14ac:dyDescent="0.35">
      <c r="A1395" s="82">
        <v>1392</v>
      </c>
      <c r="B1395" s="89" t="str">
        <f>_xlfn.XLOOKUP(A1395,'Model Modeshare by TAZ'!A:A,'Model Modeshare by TAZ'!B:B)</f>
        <v>Sunnyvale</v>
      </c>
      <c r="C1395" s="90" t="str">
        <f>_xlfn.XLOOKUP(A1395,'Model Modeshare by TAZ'!A:A,'Model Modeshare by TAZ'!D:D)</f>
        <v>NO</v>
      </c>
      <c r="D1395" s="27">
        <v>2811.36</v>
      </c>
      <c r="E1395" s="27">
        <v>86208.85</v>
      </c>
      <c r="F1395" s="27">
        <v>0</v>
      </c>
      <c r="G1395" s="27">
        <v>0</v>
      </c>
      <c r="H1395" s="27">
        <v>1751.99</v>
      </c>
      <c r="I1395" s="27">
        <v>26301.58</v>
      </c>
      <c r="J1395" s="6">
        <v>0</v>
      </c>
      <c r="K1395" s="6">
        <v>1469</v>
      </c>
      <c r="L1395" s="27">
        <v>0</v>
      </c>
      <c r="M1395" s="27">
        <v>17.904411164057183</v>
      </c>
      <c r="N1395" s="34">
        <v>31.614765146358064</v>
      </c>
    </row>
    <row r="1396" spans="1:14" x14ac:dyDescent="0.35">
      <c r="A1396" s="82">
        <v>1393</v>
      </c>
      <c r="B1396" s="89" t="str">
        <f>_xlfn.XLOOKUP(A1396,'Model Modeshare by TAZ'!A:A,'Model Modeshare by TAZ'!B:B)</f>
        <v>Sunnyvale</v>
      </c>
      <c r="C1396" s="90" t="str">
        <f>_xlfn.XLOOKUP(A1396,'Model Modeshare by TAZ'!A:A,'Model Modeshare by TAZ'!D:D)</f>
        <v>NO</v>
      </c>
      <c r="D1396" s="27">
        <v>4288.04</v>
      </c>
      <c r="E1396" s="27">
        <v>124466.43</v>
      </c>
      <c r="F1396" s="27">
        <v>0</v>
      </c>
      <c r="G1396" s="27">
        <v>0</v>
      </c>
      <c r="H1396" s="27">
        <v>1738.72</v>
      </c>
      <c r="I1396" s="27">
        <v>27902.44</v>
      </c>
      <c r="J1396" s="6">
        <v>0</v>
      </c>
      <c r="K1396" s="6">
        <v>1453</v>
      </c>
      <c r="L1396" s="27">
        <v>0</v>
      </c>
      <c r="M1396" s="27">
        <v>19.20333103922918</v>
      </c>
      <c r="N1396" s="34">
        <v>45.512642807983482</v>
      </c>
    </row>
    <row r="1397" spans="1:14" x14ac:dyDescent="0.35">
      <c r="A1397" s="82">
        <v>1394</v>
      </c>
      <c r="B1397" s="89" t="str">
        <f>_xlfn.XLOOKUP(A1397,'Model Modeshare by TAZ'!A:A,'Model Modeshare by TAZ'!B:B)</f>
        <v>Sunnyvale</v>
      </c>
      <c r="C1397" s="90" t="str">
        <f>_xlfn.XLOOKUP(A1397,'Model Modeshare by TAZ'!A:A,'Model Modeshare by TAZ'!D:D)</f>
        <v>NO</v>
      </c>
      <c r="D1397" s="27">
        <v>719.38</v>
      </c>
      <c r="E1397" s="27">
        <v>20179.32</v>
      </c>
      <c r="F1397" s="27">
        <v>0</v>
      </c>
      <c r="G1397" s="27">
        <v>0</v>
      </c>
      <c r="H1397" s="27">
        <v>891.24</v>
      </c>
      <c r="I1397" s="27">
        <v>13457.46</v>
      </c>
      <c r="J1397" s="6">
        <v>0</v>
      </c>
      <c r="K1397" s="6">
        <v>799</v>
      </c>
      <c r="L1397" s="27">
        <v>0</v>
      </c>
      <c r="M1397" s="27">
        <v>16.842878598247808</v>
      </c>
      <c r="N1397" s="34">
        <v>34.035869837296623</v>
      </c>
    </row>
    <row r="1398" spans="1:14" x14ac:dyDescent="0.35">
      <c r="A1398" s="82">
        <v>1395</v>
      </c>
      <c r="B1398" s="89" t="str">
        <f>_xlfn.XLOOKUP(A1398,'Model Modeshare by TAZ'!A:A,'Model Modeshare by TAZ'!B:B)</f>
        <v>Sunnyvale</v>
      </c>
      <c r="C1398" s="90" t="str">
        <f>_xlfn.XLOOKUP(A1398,'Model Modeshare by TAZ'!A:A,'Model Modeshare by TAZ'!D:D)</f>
        <v>NO</v>
      </c>
      <c r="D1398" s="27">
        <v>1341.97</v>
      </c>
      <c r="E1398" s="27">
        <v>39991.519999999997</v>
      </c>
      <c r="F1398" s="27">
        <v>0</v>
      </c>
      <c r="G1398" s="27">
        <v>0</v>
      </c>
      <c r="H1398" s="27">
        <v>1308.27</v>
      </c>
      <c r="I1398" s="27">
        <v>20244.169999999998</v>
      </c>
      <c r="J1398" s="6">
        <v>0</v>
      </c>
      <c r="K1398" s="6">
        <v>1088</v>
      </c>
      <c r="L1398" s="27">
        <v>0</v>
      </c>
      <c r="M1398" s="27">
        <v>18.606773897058822</v>
      </c>
      <c r="N1398" s="34">
        <v>36.774200367647062</v>
      </c>
    </row>
    <row r="1399" spans="1:14" x14ac:dyDescent="0.35">
      <c r="A1399" s="82">
        <v>1396</v>
      </c>
      <c r="B1399" s="89" t="str">
        <f>_xlfn.XLOOKUP(A1399,'Model Modeshare by TAZ'!A:A,'Model Modeshare by TAZ'!B:B)</f>
        <v>Sunnyvale</v>
      </c>
      <c r="C1399" s="90" t="str">
        <f>_xlfn.XLOOKUP(A1399,'Model Modeshare by TAZ'!A:A,'Model Modeshare by TAZ'!D:D)</f>
        <v>NO</v>
      </c>
      <c r="D1399" s="27">
        <v>2242.85</v>
      </c>
      <c r="E1399" s="27">
        <v>64783.49</v>
      </c>
      <c r="F1399" s="27">
        <v>0</v>
      </c>
      <c r="G1399" s="27">
        <v>0</v>
      </c>
      <c r="H1399" s="27">
        <v>1560.84</v>
      </c>
      <c r="I1399" s="27">
        <v>23496.41</v>
      </c>
      <c r="J1399" s="6">
        <v>0</v>
      </c>
      <c r="K1399" s="6">
        <v>1291</v>
      </c>
      <c r="L1399" s="27">
        <v>0</v>
      </c>
      <c r="M1399" s="27">
        <v>18.200162664601084</v>
      </c>
      <c r="N1399" s="34">
        <v>36.362021688613481</v>
      </c>
    </row>
    <row r="1400" spans="1:14" x14ac:dyDescent="0.35">
      <c r="A1400" s="82">
        <v>1397</v>
      </c>
      <c r="B1400" s="89" t="str">
        <f>_xlfn.XLOOKUP(A1400,'Model Modeshare by TAZ'!A:A,'Model Modeshare by TAZ'!B:B)</f>
        <v>Sunnyvale</v>
      </c>
      <c r="C1400" s="90" t="str">
        <f>_xlfn.XLOOKUP(A1400,'Model Modeshare by TAZ'!A:A,'Model Modeshare by TAZ'!D:D)</f>
        <v>NO</v>
      </c>
      <c r="D1400" s="27">
        <v>1554.08</v>
      </c>
      <c r="E1400" s="27">
        <v>45956.13</v>
      </c>
      <c r="F1400" s="27">
        <v>0</v>
      </c>
      <c r="G1400" s="27">
        <v>0</v>
      </c>
      <c r="H1400" s="27">
        <v>729.19</v>
      </c>
      <c r="I1400" s="27">
        <v>11311.1</v>
      </c>
      <c r="J1400" s="6">
        <v>0</v>
      </c>
      <c r="K1400" s="6">
        <v>594</v>
      </c>
      <c r="L1400" s="27">
        <v>0</v>
      </c>
      <c r="M1400" s="27">
        <v>19.042255892255891</v>
      </c>
      <c r="N1400" s="34">
        <v>37.404612794612795</v>
      </c>
    </row>
    <row r="1401" spans="1:14" x14ac:dyDescent="0.35">
      <c r="A1401" s="82">
        <v>1398</v>
      </c>
      <c r="B1401" s="89" t="str">
        <f>_xlfn.XLOOKUP(A1401,'Model Modeshare by TAZ'!A:A,'Model Modeshare by TAZ'!B:B)</f>
        <v>Sunnyvale</v>
      </c>
      <c r="C1401" s="90" t="str">
        <f>_xlfn.XLOOKUP(A1401,'Model Modeshare by TAZ'!A:A,'Model Modeshare by TAZ'!D:D)</f>
        <v>NO</v>
      </c>
      <c r="D1401" s="27">
        <v>2743.1</v>
      </c>
      <c r="E1401" s="27">
        <v>47980.03</v>
      </c>
      <c r="F1401" s="27">
        <v>1051.92</v>
      </c>
      <c r="G1401" s="27">
        <v>7711.44</v>
      </c>
      <c r="H1401" s="27">
        <v>27.9</v>
      </c>
      <c r="I1401" s="27">
        <v>386.77</v>
      </c>
      <c r="J1401" s="6">
        <v>706</v>
      </c>
      <c r="K1401" s="6">
        <v>13</v>
      </c>
      <c r="L1401" s="27">
        <v>10.92271954674221</v>
      </c>
      <c r="M1401" s="27">
        <v>29.751538461538459</v>
      </c>
      <c r="N1401" s="34">
        <v>23.030500695410293</v>
      </c>
    </row>
    <row r="1402" spans="1:14" x14ac:dyDescent="0.35">
      <c r="A1402" s="82">
        <v>1399</v>
      </c>
      <c r="B1402" s="89" t="str">
        <f>_xlfn.XLOOKUP(A1402,'Model Modeshare by TAZ'!A:A,'Model Modeshare by TAZ'!B:B)</f>
        <v>Sunnyvale</v>
      </c>
      <c r="C1402" s="90" t="str">
        <f>_xlfn.XLOOKUP(A1402,'Model Modeshare by TAZ'!A:A,'Model Modeshare by TAZ'!D:D)</f>
        <v>NO</v>
      </c>
      <c r="D1402" s="27">
        <v>879.17</v>
      </c>
      <c r="E1402" s="27">
        <v>15358</v>
      </c>
      <c r="F1402" s="27">
        <v>3314.66</v>
      </c>
      <c r="G1402" s="27">
        <v>23177.439999999999</v>
      </c>
      <c r="H1402" s="27">
        <v>740.58</v>
      </c>
      <c r="I1402" s="27">
        <v>10548.43</v>
      </c>
      <c r="J1402" s="6">
        <v>2200</v>
      </c>
      <c r="K1402" s="6">
        <v>402</v>
      </c>
      <c r="L1402" s="27">
        <v>10.5352</v>
      </c>
      <c r="M1402" s="27">
        <v>26.239875621890548</v>
      </c>
      <c r="N1402" s="34">
        <v>26.718620292083017</v>
      </c>
    </row>
    <row r="1403" spans="1:14" x14ac:dyDescent="0.35">
      <c r="A1403" s="82">
        <v>1400</v>
      </c>
      <c r="B1403" s="89" t="str">
        <f>_xlfn.XLOOKUP(A1403,'Model Modeshare by TAZ'!A:A,'Model Modeshare by TAZ'!B:B)</f>
        <v>Sunnyvale</v>
      </c>
      <c r="C1403" s="90" t="str">
        <f>_xlfn.XLOOKUP(A1403,'Model Modeshare by TAZ'!A:A,'Model Modeshare by TAZ'!D:D)</f>
        <v>NO</v>
      </c>
      <c r="D1403" s="27">
        <v>2952.98</v>
      </c>
      <c r="E1403" s="27">
        <v>40385.879999999997</v>
      </c>
      <c r="F1403" s="27">
        <v>3102.41</v>
      </c>
      <c r="G1403" s="27">
        <v>18522.79</v>
      </c>
      <c r="H1403" s="27">
        <v>353.67</v>
      </c>
      <c r="I1403" s="27">
        <v>4706.53</v>
      </c>
      <c r="J1403" s="6">
        <v>2173</v>
      </c>
      <c r="K1403" s="6">
        <v>196</v>
      </c>
      <c r="L1403" s="27">
        <v>8.5240635066728032</v>
      </c>
      <c r="M1403" s="27">
        <v>24.012908163265305</v>
      </c>
      <c r="N1403" s="34">
        <v>19.236002532714224</v>
      </c>
    </row>
    <row r="1404" spans="1:14" x14ac:dyDescent="0.35">
      <c r="A1404" s="82">
        <v>1401</v>
      </c>
      <c r="B1404" s="89" t="str">
        <f>_xlfn.XLOOKUP(A1404,'Model Modeshare by TAZ'!A:A,'Model Modeshare by TAZ'!B:B)</f>
        <v>Sunnyvale</v>
      </c>
      <c r="C1404" s="90" t="str">
        <f>_xlfn.XLOOKUP(A1404,'Model Modeshare by TAZ'!A:A,'Model Modeshare by TAZ'!D:D)</f>
        <v>NO</v>
      </c>
      <c r="D1404" s="27">
        <v>4245.1000000000004</v>
      </c>
      <c r="E1404" s="27">
        <v>52704.88</v>
      </c>
      <c r="F1404" s="27">
        <v>5077.01</v>
      </c>
      <c r="G1404" s="27">
        <v>28849.22</v>
      </c>
      <c r="H1404" s="27">
        <v>258.69</v>
      </c>
      <c r="I1404" s="27">
        <v>3459.49</v>
      </c>
      <c r="J1404" s="6">
        <v>3815</v>
      </c>
      <c r="K1404" s="6">
        <v>144</v>
      </c>
      <c r="L1404" s="27">
        <v>7.5620498034076018</v>
      </c>
      <c r="M1404" s="27">
        <v>24.024236111111108</v>
      </c>
      <c r="N1404" s="34">
        <v>14.020896691083609</v>
      </c>
    </row>
    <row r="1405" spans="1:14" x14ac:dyDescent="0.35">
      <c r="A1405" s="82">
        <v>1402</v>
      </c>
      <c r="B1405" s="89" t="str">
        <f>_xlfn.XLOOKUP(A1405,'Model Modeshare by TAZ'!A:A,'Model Modeshare by TAZ'!B:B)</f>
        <v>Sunnyvale</v>
      </c>
      <c r="C1405" s="90" t="str">
        <f>_xlfn.XLOOKUP(A1405,'Model Modeshare by TAZ'!A:A,'Model Modeshare by TAZ'!D:D)</f>
        <v>NO</v>
      </c>
      <c r="D1405" s="27">
        <v>9846.66</v>
      </c>
      <c r="E1405" s="27">
        <v>243247.75</v>
      </c>
      <c r="F1405" s="27">
        <v>2804.09</v>
      </c>
      <c r="G1405" s="27">
        <v>20337.86</v>
      </c>
      <c r="H1405" s="27">
        <v>4194.78</v>
      </c>
      <c r="I1405" s="27">
        <v>59228.09</v>
      </c>
      <c r="J1405" s="6">
        <v>1641</v>
      </c>
      <c r="K1405" s="6">
        <v>3458</v>
      </c>
      <c r="L1405" s="27">
        <v>12.393577087141987</v>
      </c>
      <c r="M1405" s="27">
        <v>17.127845575477153</v>
      </c>
      <c r="N1405" s="34">
        <v>35.488623259462635</v>
      </c>
    </row>
    <row r="1406" spans="1:14" x14ac:dyDescent="0.35">
      <c r="A1406" s="82">
        <v>1403</v>
      </c>
      <c r="B1406" s="89" t="str">
        <f>_xlfn.XLOOKUP(A1406,'Model Modeshare by TAZ'!A:A,'Model Modeshare by TAZ'!B:B)</f>
        <v>Sunnyvale</v>
      </c>
      <c r="C1406" s="90" t="str">
        <f>_xlfn.XLOOKUP(A1406,'Model Modeshare by TAZ'!A:A,'Model Modeshare by TAZ'!D:D)</f>
        <v>NO</v>
      </c>
      <c r="D1406" s="27">
        <v>1921.13</v>
      </c>
      <c r="E1406" s="27">
        <v>51381.51</v>
      </c>
      <c r="F1406" s="27">
        <v>0</v>
      </c>
      <c r="G1406" s="27">
        <v>0</v>
      </c>
      <c r="H1406" s="27">
        <v>1248.3599999999999</v>
      </c>
      <c r="I1406" s="27">
        <v>16713.3</v>
      </c>
      <c r="J1406" s="6">
        <v>0</v>
      </c>
      <c r="K1406" s="6">
        <v>1025</v>
      </c>
      <c r="L1406" s="27">
        <v>0</v>
      </c>
      <c r="M1406" s="27">
        <v>16.305658536585366</v>
      </c>
      <c r="N1406" s="34">
        <v>32.337160975609756</v>
      </c>
    </row>
    <row r="1407" spans="1:14" x14ac:dyDescent="0.35">
      <c r="A1407" s="82">
        <v>1404</v>
      </c>
      <c r="B1407" s="89" t="str">
        <f>_xlfn.XLOOKUP(A1407,'Model Modeshare by TAZ'!A:A,'Model Modeshare by TAZ'!B:B)</f>
        <v>Sunnyvale</v>
      </c>
      <c r="C1407" s="90" t="str">
        <f>_xlfn.XLOOKUP(A1407,'Model Modeshare by TAZ'!A:A,'Model Modeshare by TAZ'!D:D)</f>
        <v>NO</v>
      </c>
      <c r="D1407" s="27">
        <v>2955.85</v>
      </c>
      <c r="E1407" s="27">
        <v>84375.19</v>
      </c>
      <c r="F1407" s="27">
        <v>39.56</v>
      </c>
      <c r="G1407" s="27">
        <v>282.64</v>
      </c>
      <c r="H1407" s="27">
        <v>2189.9</v>
      </c>
      <c r="I1407" s="27">
        <v>31170.92</v>
      </c>
      <c r="J1407" s="6">
        <v>30</v>
      </c>
      <c r="K1407" s="6">
        <v>1813</v>
      </c>
      <c r="L1407" s="27">
        <v>9.4213333333333331</v>
      </c>
      <c r="M1407" s="27">
        <v>17.19300606729178</v>
      </c>
      <c r="N1407" s="34">
        <v>35.478817145957677</v>
      </c>
    </row>
    <row r="1408" spans="1:14" x14ac:dyDescent="0.35">
      <c r="A1408" s="82">
        <v>1405</v>
      </c>
      <c r="B1408" s="89" t="str">
        <f>_xlfn.XLOOKUP(A1408,'Model Modeshare by TAZ'!A:A,'Model Modeshare by TAZ'!B:B)</f>
        <v>Sunnyvale</v>
      </c>
      <c r="C1408" s="90" t="str">
        <f>_xlfn.XLOOKUP(A1408,'Model Modeshare by TAZ'!A:A,'Model Modeshare by TAZ'!D:D)</f>
        <v>NO</v>
      </c>
      <c r="D1408" s="27">
        <v>1744.53</v>
      </c>
      <c r="E1408" s="27">
        <v>49753.56</v>
      </c>
      <c r="F1408" s="27">
        <v>0</v>
      </c>
      <c r="G1408" s="27">
        <v>0</v>
      </c>
      <c r="H1408" s="27">
        <v>2575.25</v>
      </c>
      <c r="I1408" s="27">
        <v>35896.120000000003</v>
      </c>
      <c r="J1408" s="6">
        <v>0</v>
      </c>
      <c r="K1408" s="6">
        <v>2136</v>
      </c>
      <c r="L1408" s="27">
        <v>0</v>
      </c>
      <c r="M1408" s="27">
        <v>16.805299625468166</v>
      </c>
      <c r="N1408" s="34">
        <v>32.123408239700375</v>
      </c>
    </row>
    <row r="1409" spans="1:14" x14ac:dyDescent="0.35">
      <c r="A1409" s="82">
        <v>1406</v>
      </c>
      <c r="B1409" s="89" t="str">
        <f>_xlfn.XLOOKUP(A1409,'Model Modeshare by TAZ'!A:A,'Model Modeshare by TAZ'!B:B)</f>
        <v>Sunnyvale</v>
      </c>
      <c r="C1409" s="90" t="str">
        <f>_xlfn.XLOOKUP(A1409,'Model Modeshare by TAZ'!A:A,'Model Modeshare by TAZ'!D:D)</f>
        <v>NO</v>
      </c>
      <c r="D1409" s="27">
        <v>2450.8000000000002</v>
      </c>
      <c r="E1409" s="27">
        <v>39233.160000000003</v>
      </c>
      <c r="F1409" s="27">
        <v>1899.5</v>
      </c>
      <c r="G1409" s="27">
        <v>12475.09</v>
      </c>
      <c r="H1409" s="27">
        <v>10.55</v>
      </c>
      <c r="I1409" s="27">
        <v>141.75</v>
      </c>
      <c r="J1409" s="6">
        <v>1198</v>
      </c>
      <c r="K1409" s="6">
        <v>5</v>
      </c>
      <c r="L1409" s="27">
        <v>10.413263772954926</v>
      </c>
      <c r="M1409" s="27">
        <v>28.35</v>
      </c>
      <c r="N1409" s="34">
        <v>22.632859517871989</v>
      </c>
    </row>
    <row r="1410" spans="1:14" x14ac:dyDescent="0.35">
      <c r="A1410" s="82">
        <v>1407</v>
      </c>
      <c r="B1410" s="89" t="str">
        <f>_xlfn.XLOOKUP(A1410,'Model Modeshare by TAZ'!A:A,'Model Modeshare by TAZ'!B:B)</f>
        <v>Sunnyvale</v>
      </c>
      <c r="C1410" s="90" t="str">
        <f>_xlfn.XLOOKUP(A1410,'Model Modeshare by TAZ'!A:A,'Model Modeshare by TAZ'!D:D)</f>
        <v>NO</v>
      </c>
      <c r="D1410" s="27">
        <v>401.1</v>
      </c>
      <c r="E1410" s="27">
        <v>5972.3</v>
      </c>
      <c r="F1410" s="27">
        <v>757.72</v>
      </c>
      <c r="G1410" s="27">
        <v>4885.99</v>
      </c>
      <c r="H1410" s="27">
        <v>222.07</v>
      </c>
      <c r="I1410" s="27">
        <v>3055.87</v>
      </c>
      <c r="J1410" s="6">
        <v>451</v>
      </c>
      <c r="K1410" s="6">
        <v>179</v>
      </c>
      <c r="L1410" s="27">
        <v>10.833680709534368</v>
      </c>
      <c r="M1410" s="27">
        <v>17.071899441340783</v>
      </c>
      <c r="N1410" s="34">
        <v>24.970333333333333</v>
      </c>
    </row>
    <row r="1411" spans="1:14" x14ac:dyDescent="0.35">
      <c r="A1411" s="82">
        <v>1408</v>
      </c>
      <c r="B1411" s="89" t="str">
        <f>_xlfn.XLOOKUP(A1411,'Model Modeshare by TAZ'!A:A,'Model Modeshare by TAZ'!B:B)</f>
        <v>Sunnyvale</v>
      </c>
      <c r="C1411" s="90" t="str">
        <f>_xlfn.XLOOKUP(A1411,'Model Modeshare by TAZ'!A:A,'Model Modeshare by TAZ'!D:D)</f>
        <v>NO</v>
      </c>
      <c r="D1411" s="27">
        <v>1291.57</v>
      </c>
      <c r="E1411" s="27">
        <v>26540.25</v>
      </c>
      <c r="F1411" s="27">
        <v>1050.1600000000001</v>
      </c>
      <c r="G1411" s="27">
        <v>6509.48</v>
      </c>
      <c r="H1411" s="27">
        <v>552.78</v>
      </c>
      <c r="I1411" s="27">
        <v>7234.32</v>
      </c>
      <c r="J1411" s="6">
        <v>611</v>
      </c>
      <c r="K1411" s="6">
        <v>464</v>
      </c>
      <c r="L1411" s="27">
        <v>10.65381342062193</v>
      </c>
      <c r="M1411" s="27">
        <v>15.591206896551723</v>
      </c>
      <c r="N1411" s="34">
        <v>27.608334883720929</v>
      </c>
    </row>
    <row r="1412" spans="1:14" x14ac:dyDescent="0.35">
      <c r="A1412" s="82">
        <v>1409</v>
      </c>
      <c r="B1412" s="89" t="str">
        <f>_xlfn.XLOOKUP(A1412,'Model Modeshare by TAZ'!A:A,'Model Modeshare by TAZ'!B:B)</f>
        <v>Sunnyvale</v>
      </c>
      <c r="C1412" s="90" t="str">
        <f>_xlfn.XLOOKUP(A1412,'Model Modeshare by TAZ'!A:A,'Model Modeshare by TAZ'!D:D)</f>
        <v>NO</v>
      </c>
      <c r="D1412" s="27">
        <v>679</v>
      </c>
      <c r="E1412" s="27">
        <v>14549.07</v>
      </c>
      <c r="F1412" s="27">
        <v>318.23</v>
      </c>
      <c r="G1412" s="27">
        <v>1993.27</v>
      </c>
      <c r="H1412" s="27">
        <v>542.85</v>
      </c>
      <c r="I1412" s="27">
        <v>7184.05</v>
      </c>
      <c r="J1412" s="6">
        <v>190</v>
      </c>
      <c r="K1412" s="6">
        <v>460</v>
      </c>
      <c r="L1412" s="27">
        <v>10.490894736842105</v>
      </c>
      <c r="M1412" s="27">
        <v>15.6175</v>
      </c>
      <c r="N1412" s="34">
        <v>27.422538461538466</v>
      </c>
    </row>
    <row r="1413" spans="1:14" x14ac:dyDescent="0.35">
      <c r="A1413" s="82">
        <v>1410</v>
      </c>
      <c r="B1413" s="89" t="str">
        <f>_xlfn.XLOOKUP(A1413,'Model Modeshare by TAZ'!A:A,'Model Modeshare by TAZ'!B:B)</f>
        <v>Sunnyvale</v>
      </c>
      <c r="C1413" s="90" t="str">
        <f>_xlfn.XLOOKUP(A1413,'Model Modeshare by TAZ'!A:A,'Model Modeshare by TAZ'!D:D)</f>
        <v>NO</v>
      </c>
      <c r="D1413" s="27">
        <v>1404.56</v>
      </c>
      <c r="E1413" s="27">
        <v>40126.31</v>
      </c>
      <c r="F1413" s="27">
        <v>0</v>
      </c>
      <c r="G1413" s="27">
        <v>0</v>
      </c>
      <c r="H1413" s="27">
        <v>666.15</v>
      </c>
      <c r="I1413" s="27">
        <v>9259.08</v>
      </c>
      <c r="J1413" s="6">
        <v>1</v>
      </c>
      <c r="K1413" s="6">
        <v>554</v>
      </c>
      <c r="L1413" s="27">
        <v>0</v>
      </c>
      <c r="M1413" s="27">
        <v>16.713140794223825</v>
      </c>
      <c r="N1413" s="34">
        <v>31.020810810810808</v>
      </c>
    </row>
    <row r="1414" spans="1:14" x14ac:dyDescent="0.35">
      <c r="A1414" s="82">
        <v>1411</v>
      </c>
      <c r="B1414" s="89" t="str">
        <f>_xlfn.XLOOKUP(A1414,'Model Modeshare by TAZ'!A:A,'Model Modeshare by TAZ'!B:B)</f>
        <v>Sunnyvale</v>
      </c>
      <c r="C1414" s="90" t="str">
        <f>_xlfn.XLOOKUP(A1414,'Model Modeshare by TAZ'!A:A,'Model Modeshare by TAZ'!D:D)</f>
        <v>NO</v>
      </c>
      <c r="D1414" s="27">
        <v>2364.13</v>
      </c>
      <c r="E1414" s="27">
        <v>68028.320000000007</v>
      </c>
      <c r="F1414" s="27">
        <v>5.42</v>
      </c>
      <c r="G1414" s="27">
        <v>36.619999999999997</v>
      </c>
      <c r="H1414" s="27">
        <v>2833.17</v>
      </c>
      <c r="I1414" s="27">
        <v>39226.800000000003</v>
      </c>
      <c r="J1414" s="6">
        <v>11</v>
      </c>
      <c r="K1414" s="6">
        <v>2337</v>
      </c>
      <c r="L1414" s="27">
        <v>3.3290909090909087</v>
      </c>
      <c r="M1414" s="27">
        <v>16.785109114249039</v>
      </c>
      <c r="N1414" s="34">
        <v>31.987402044293013</v>
      </c>
    </row>
    <row r="1415" spans="1:14" x14ac:dyDescent="0.35">
      <c r="A1415" s="82">
        <v>1412</v>
      </c>
      <c r="B1415" s="89" t="str">
        <f>_xlfn.XLOOKUP(A1415,'Model Modeshare by TAZ'!A:A,'Model Modeshare by TAZ'!B:B)</f>
        <v>Sunnyvale</v>
      </c>
      <c r="C1415" s="90" t="str">
        <f>_xlfn.XLOOKUP(A1415,'Model Modeshare by TAZ'!A:A,'Model Modeshare by TAZ'!D:D)</f>
        <v>NO</v>
      </c>
      <c r="D1415" s="27">
        <v>2553.56</v>
      </c>
      <c r="E1415" s="27">
        <v>26708.560000000001</v>
      </c>
      <c r="F1415" s="27">
        <v>2804.77</v>
      </c>
      <c r="G1415" s="27">
        <v>14467.03</v>
      </c>
      <c r="H1415" s="27">
        <v>453.16</v>
      </c>
      <c r="I1415" s="27">
        <v>6032.41</v>
      </c>
      <c r="J1415" s="6">
        <v>2025</v>
      </c>
      <c r="K1415" s="6">
        <v>268</v>
      </c>
      <c r="L1415" s="27">
        <v>7.144212345679013</v>
      </c>
      <c r="M1415" s="27">
        <v>22.508992537313432</v>
      </c>
      <c r="N1415" s="34">
        <v>14.961840383776712</v>
      </c>
    </row>
    <row r="1416" spans="1:14" x14ac:dyDescent="0.35">
      <c r="A1416" s="82">
        <v>1413</v>
      </c>
      <c r="B1416" s="89" t="str">
        <f>_xlfn.XLOOKUP(A1416,'Model Modeshare by TAZ'!A:A,'Model Modeshare by TAZ'!B:B)</f>
        <v>Sunnyvale</v>
      </c>
      <c r="C1416" s="90" t="str">
        <f>_xlfn.XLOOKUP(A1416,'Model Modeshare by TAZ'!A:A,'Model Modeshare by TAZ'!D:D)</f>
        <v>NO</v>
      </c>
      <c r="D1416" s="27">
        <v>5496.03</v>
      </c>
      <c r="E1416" s="27">
        <v>77606.45</v>
      </c>
      <c r="F1416" s="27">
        <v>2747.56</v>
      </c>
      <c r="G1416" s="27">
        <v>14407.42</v>
      </c>
      <c r="H1416" s="27">
        <v>933.88</v>
      </c>
      <c r="I1416" s="27">
        <v>12566.97</v>
      </c>
      <c r="J1416" s="6">
        <v>1927</v>
      </c>
      <c r="K1416" s="6">
        <v>798</v>
      </c>
      <c r="L1416" s="27">
        <v>7.4766061235080432</v>
      </c>
      <c r="M1416" s="27">
        <v>15.748082706766917</v>
      </c>
      <c r="N1416" s="34">
        <v>17.63124770642202</v>
      </c>
    </row>
    <row r="1417" spans="1:14" x14ac:dyDescent="0.35">
      <c r="A1417" s="82">
        <v>1414</v>
      </c>
      <c r="B1417" s="89" t="str">
        <f>_xlfn.XLOOKUP(A1417,'Model Modeshare by TAZ'!A:A,'Model Modeshare by TAZ'!B:B)</f>
        <v>Sunnyvale</v>
      </c>
      <c r="C1417" s="90" t="str">
        <f>_xlfn.XLOOKUP(A1417,'Model Modeshare by TAZ'!A:A,'Model Modeshare by TAZ'!D:D)</f>
        <v>NO</v>
      </c>
      <c r="D1417" s="27">
        <v>2319.63</v>
      </c>
      <c r="E1417" s="27">
        <v>70932.800000000003</v>
      </c>
      <c r="F1417" s="27">
        <v>0</v>
      </c>
      <c r="G1417" s="27">
        <v>0</v>
      </c>
      <c r="H1417" s="27">
        <v>2252.7600000000002</v>
      </c>
      <c r="I1417" s="27">
        <v>34829.599999999999</v>
      </c>
      <c r="J1417" s="6">
        <v>0</v>
      </c>
      <c r="K1417" s="6">
        <v>1909</v>
      </c>
      <c r="L1417" s="27">
        <v>0</v>
      </c>
      <c r="M1417" s="27">
        <v>18.244944997380827</v>
      </c>
      <c r="N1417" s="34">
        <v>35.111068622315351</v>
      </c>
    </row>
    <row r="1418" spans="1:14" x14ac:dyDescent="0.35">
      <c r="A1418" s="82">
        <v>1415</v>
      </c>
      <c r="B1418" s="89" t="str">
        <f>_xlfn.XLOOKUP(A1418,'Model Modeshare by TAZ'!A:A,'Model Modeshare by TAZ'!B:B)</f>
        <v>Sunnyvale</v>
      </c>
      <c r="C1418" s="90" t="str">
        <f>_xlfn.XLOOKUP(A1418,'Model Modeshare by TAZ'!A:A,'Model Modeshare by TAZ'!D:D)</f>
        <v>NO</v>
      </c>
      <c r="D1418" s="27">
        <v>3427.65</v>
      </c>
      <c r="E1418" s="27">
        <v>106130.84</v>
      </c>
      <c r="F1418" s="27">
        <v>15.45</v>
      </c>
      <c r="G1418" s="27">
        <v>128.51</v>
      </c>
      <c r="H1418" s="27">
        <v>2326.2600000000002</v>
      </c>
      <c r="I1418" s="27">
        <v>35178.25</v>
      </c>
      <c r="J1418" s="6">
        <v>10</v>
      </c>
      <c r="K1418" s="6">
        <v>1979</v>
      </c>
      <c r="L1418" s="27">
        <v>12.850999999999999</v>
      </c>
      <c r="M1418" s="27">
        <v>17.775770591207682</v>
      </c>
      <c r="N1418" s="34">
        <v>32.187335344394171</v>
      </c>
    </row>
    <row r="1419" spans="1:14" x14ac:dyDescent="0.35">
      <c r="A1419" s="82">
        <v>1416</v>
      </c>
      <c r="B1419" s="89" t="str">
        <f>_xlfn.XLOOKUP(A1419,'Model Modeshare by TAZ'!A:A,'Model Modeshare by TAZ'!B:B)</f>
        <v>Sunnyvale</v>
      </c>
      <c r="C1419" s="90" t="str">
        <f>_xlfn.XLOOKUP(A1419,'Model Modeshare by TAZ'!A:A,'Model Modeshare by TAZ'!D:D)</f>
        <v>NO</v>
      </c>
      <c r="D1419" s="27">
        <v>3503.73</v>
      </c>
      <c r="E1419" s="27">
        <v>99113.43</v>
      </c>
      <c r="F1419" s="27">
        <v>142.68</v>
      </c>
      <c r="G1419" s="27">
        <v>979.07</v>
      </c>
      <c r="H1419" s="27">
        <v>2793.06</v>
      </c>
      <c r="I1419" s="27">
        <v>38942.620000000003</v>
      </c>
      <c r="J1419" s="6">
        <v>80</v>
      </c>
      <c r="K1419" s="6">
        <v>2341</v>
      </c>
      <c r="L1419" s="27">
        <v>12.238375000000001</v>
      </c>
      <c r="M1419" s="27">
        <v>16.635036309269545</v>
      </c>
      <c r="N1419" s="34">
        <v>30.024997934737712</v>
      </c>
    </row>
    <row r="1420" spans="1:14" x14ac:dyDescent="0.35">
      <c r="A1420" s="82">
        <v>1417</v>
      </c>
      <c r="B1420" s="89" t="str">
        <f>_xlfn.XLOOKUP(A1420,'Model Modeshare by TAZ'!A:A,'Model Modeshare by TAZ'!B:B)</f>
        <v>Sunnyvale</v>
      </c>
      <c r="C1420" s="90" t="str">
        <f>_xlfn.XLOOKUP(A1420,'Model Modeshare by TAZ'!A:A,'Model Modeshare by TAZ'!D:D)</f>
        <v>NO</v>
      </c>
      <c r="D1420" s="27">
        <v>5778.74</v>
      </c>
      <c r="E1420" s="27">
        <v>118764.13</v>
      </c>
      <c r="F1420" s="27">
        <v>3824.68</v>
      </c>
      <c r="G1420" s="27">
        <v>26547.5</v>
      </c>
      <c r="H1420" s="27">
        <v>1148.55</v>
      </c>
      <c r="I1420" s="27">
        <v>16661.849999999999</v>
      </c>
      <c r="J1420" s="6">
        <v>2191</v>
      </c>
      <c r="K1420" s="6">
        <v>806</v>
      </c>
      <c r="L1420" s="27">
        <v>12.116613418530351</v>
      </c>
      <c r="M1420" s="27">
        <v>20.672270471464017</v>
      </c>
      <c r="N1420" s="34">
        <v>28.548925592258929</v>
      </c>
    </row>
    <row r="1421" spans="1:14" x14ac:dyDescent="0.35">
      <c r="A1421" s="82">
        <v>1418</v>
      </c>
      <c r="B1421" s="89" t="str">
        <f>_xlfn.XLOOKUP(A1421,'Model Modeshare by TAZ'!A:A,'Model Modeshare by TAZ'!B:B)</f>
        <v>Sunnyvale</v>
      </c>
      <c r="C1421" s="90" t="str">
        <f>_xlfn.XLOOKUP(A1421,'Model Modeshare by TAZ'!A:A,'Model Modeshare by TAZ'!D:D)</f>
        <v>NO</v>
      </c>
      <c r="D1421" s="27">
        <v>2890.33</v>
      </c>
      <c r="E1421" s="27">
        <v>55173.75</v>
      </c>
      <c r="F1421" s="27">
        <v>1541.12</v>
      </c>
      <c r="G1421" s="27">
        <v>10470.469999999999</v>
      </c>
      <c r="H1421" s="27">
        <v>316.10000000000002</v>
      </c>
      <c r="I1421" s="27">
        <v>4461.5</v>
      </c>
      <c r="J1421" s="6">
        <v>860</v>
      </c>
      <c r="K1421" s="6">
        <v>204</v>
      </c>
      <c r="L1421" s="27">
        <v>12.174965116279068</v>
      </c>
      <c r="M1421" s="27">
        <v>21.870098039215687</v>
      </c>
      <c r="N1421" s="34">
        <v>27.168834586466165</v>
      </c>
    </row>
    <row r="1422" spans="1:14" x14ac:dyDescent="0.35">
      <c r="A1422" s="82">
        <v>1419</v>
      </c>
      <c r="B1422" s="89" t="str">
        <f>_xlfn.XLOOKUP(A1422,'Model Modeshare by TAZ'!A:A,'Model Modeshare by TAZ'!B:B)</f>
        <v>Sunnyvale</v>
      </c>
      <c r="C1422" s="90" t="str">
        <f>_xlfn.XLOOKUP(A1422,'Model Modeshare by TAZ'!A:A,'Model Modeshare by TAZ'!D:D)</f>
        <v>NO</v>
      </c>
      <c r="D1422" s="27">
        <v>1191.26</v>
      </c>
      <c r="E1422" s="27">
        <v>18477.7</v>
      </c>
      <c r="F1422" s="27">
        <v>1290.73</v>
      </c>
      <c r="G1422" s="27">
        <v>8764.31</v>
      </c>
      <c r="H1422" s="27">
        <v>0</v>
      </c>
      <c r="I1422" s="27">
        <v>0</v>
      </c>
      <c r="J1422" s="6">
        <v>709</v>
      </c>
      <c r="K1422" s="6">
        <v>0</v>
      </c>
      <c r="L1422" s="27">
        <v>12.36150916784203</v>
      </c>
      <c r="M1422" s="27">
        <v>0</v>
      </c>
      <c r="N1422" s="34">
        <v>21.561622002820876</v>
      </c>
    </row>
    <row r="1423" spans="1:14" x14ac:dyDescent="0.35">
      <c r="A1423" s="82">
        <v>1420</v>
      </c>
      <c r="B1423" s="89" t="str">
        <f>_xlfn.XLOOKUP(A1423,'Model Modeshare by TAZ'!A:A,'Model Modeshare by TAZ'!B:B)</f>
        <v>Sunnyvale</v>
      </c>
      <c r="C1423" s="90" t="str">
        <f>_xlfn.XLOOKUP(A1423,'Model Modeshare by TAZ'!A:A,'Model Modeshare by TAZ'!D:D)</f>
        <v>NO</v>
      </c>
      <c r="D1423" s="27">
        <v>3921.75</v>
      </c>
      <c r="E1423" s="27">
        <v>82704.91</v>
      </c>
      <c r="F1423" s="27">
        <v>226.44</v>
      </c>
      <c r="G1423" s="27">
        <v>1448.54</v>
      </c>
      <c r="H1423" s="27">
        <v>1604.89</v>
      </c>
      <c r="I1423" s="27">
        <v>21852.85</v>
      </c>
      <c r="J1423" s="6">
        <v>157</v>
      </c>
      <c r="K1423" s="6">
        <v>1461</v>
      </c>
      <c r="L1423" s="27">
        <v>9.2263694267515923</v>
      </c>
      <c r="M1423" s="27">
        <v>14.957460643394935</v>
      </c>
      <c r="N1423" s="34">
        <v>43.430611866501849</v>
      </c>
    </row>
    <row r="1424" spans="1:14" x14ac:dyDescent="0.35">
      <c r="A1424" s="82">
        <v>1421</v>
      </c>
      <c r="B1424" s="89" t="str">
        <f>_xlfn.XLOOKUP(A1424,'Model Modeshare by TAZ'!A:A,'Model Modeshare by TAZ'!B:B)</f>
        <v>Sunnyvale</v>
      </c>
      <c r="C1424" s="90" t="str">
        <f>_xlfn.XLOOKUP(A1424,'Model Modeshare by TAZ'!A:A,'Model Modeshare by TAZ'!D:D)</f>
        <v>NO</v>
      </c>
      <c r="D1424" s="27">
        <v>4875.3100000000004</v>
      </c>
      <c r="E1424" s="27">
        <v>81341.64</v>
      </c>
      <c r="F1424" s="27">
        <v>3225.57</v>
      </c>
      <c r="G1424" s="27">
        <v>20153.79</v>
      </c>
      <c r="H1424" s="27">
        <v>539.59</v>
      </c>
      <c r="I1424" s="27">
        <v>7103.82</v>
      </c>
      <c r="J1424" s="6">
        <v>2193</v>
      </c>
      <c r="K1424" s="6">
        <v>298</v>
      </c>
      <c r="L1424" s="27">
        <v>9.1900547195622444</v>
      </c>
      <c r="M1424" s="27">
        <v>23.838322147651006</v>
      </c>
      <c r="N1424" s="34">
        <v>24.449839421918909</v>
      </c>
    </row>
    <row r="1425" spans="1:14" x14ac:dyDescent="0.35">
      <c r="A1425" s="82">
        <v>1422</v>
      </c>
      <c r="B1425" s="89" t="str">
        <f>_xlfn.XLOOKUP(A1425,'Model Modeshare by TAZ'!A:A,'Model Modeshare by TAZ'!B:B)</f>
        <v>Sunnyvale</v>
      </c>
      <c r="C1425" s="90" t="str">
        <f>_xlfn.XLOOKUP(A1425,'Model Modeshare by TAZ'!A:A,'Model Modeshare by TAZ'!D:D)</f>
        <v>NO</v>
      </c>
      <c r="D1425" s="27">
        <v>757.6</v>
      </c>
      <c r="E1425" s="27">
        <v>15617.69</v>
      </c>
      <c r="F1425" s="27">
        <v>566</v>
      </c>
      <c r="G1425" s="27">
        <v>3551.69</v>
      </c>
      <c r="H1425" s="27">
        <v>347.28</v>
      </c>
      <c r="I1425" s="27">
        <v>4516.9799999999996</v>
      </c>
      <c r="J1425" s="6">
        <v>371</v>
      </c>
      <c r="K1425" s="6">
        <v>298</v>
      </c>
      <c r="L1425" s="27">
        <v>9.5732884097035047</v>
      </c>
      <c r="M1425" s="27">
        <v>15.157651006711408</v>
      </c>
      <c r="N1425" s="34">
        <v>36.77168908819133</v>
      </c>
    </row>
    <row r="1426" spans="1:14" x14ac:dyDescent="0.35">
      <c r="A1426" s="82">
        <v>1423</v>
      </c>
      <c r="B1426" s="89" t="str">
        <f>_xlfn.XLOOKUP(A1426,'Model Modeshare by TAZ'!A:A,'Model Modeshare by TAZ'!B:B)</f>
        <v>Sunnyvale</v>
      </c>
      <c r="C1426" s="90" t="str">
        <f>_xlfn.XLOOKUP(A1426,'Model Modeshare by TAZ'!A:A,'Model Modeshare by TAZ'!D:D)</f>
        <v>NO</v>
      </c>
      <c r="D1426" s="27">
        <v>1536.87</v>
      </c>
      <c r="E1426" s="27">
        <v>27076.240000000002</v>
      </c>
      <c r="F1426" s="27">
        <v>1358.6</v>
      </c>
      <c r="G1426" s="27">
        <v>8871.6</v>
      </c>
      <c r="H1426" s="27">
        <v>1599.12</v>
      </c>
      <c r="I1426" s="27">
        <v>22305.23</v>
      </c>
      <c r="J1426" s="6">
        <v>919</v>
      </c>
      <c r="K1426" s="6">
        <v>1379</v>
      </c>
      <c r="L1426" s="27">
        <v>9.6535364526659411</v>
      </c>
      <c r="M1426" s="27">
        <v>16.174931109499639</v>
      </c>
      <c r="N1426" s="34">
        <v>40.391100957354219</v>
      </c>
    </row>
    <row r="1427" spans="1:14" x14ac:dyDescent="0.35">
      <c r="A1427" s="82">
        <v>1424</v>
      </c>
      <c r="B1427" s="89" t="str">
        <f>_xlfn.XLOOKUP(A1427,'Model Modeshare by TAZ'!A:A,'Model Modeshare by TAZ'!B:B)</f>
        <v>Sunnyvale</v>
      </c>
      <c r="C1427" s="90" t="str">
        <f>_xlfn.XLOOKUP(A1427,'Model Modeshare by TAZ'!A:A,'Model Modeshare by TAZ'!D:D)</f>
        <v>NO</v>
      </c>
      <c r="D1427" s="27">
        <v>604.17999999999995</v>
      </c>
      <c r="E1427" s="27">
        <v>8641.1299999999992</v>
      </c>
      <c r="F1427" s="27">
        <v>737.88</v>
      </c>
      <c r="G1427" s="27">
        <v>4642.6099999999997</v>
      </c>
      <c r="H1427" s="27">
        <v>78.569999999999993</v>
      </c>
      <c r="I1427" s="27">
        <v>1079.3</v>
      </c>
      <c r="J1427" s="6">
        <v>497</v>
      </c>
      <c r="K1427" s="6">
        <v>42</v>
      </c>
      <c r="L1427" s="27">
        <v>9.3412676056338029</v>
      </c>
      <c r="M1427" s="27">
        <v>25.697619047619046</v>
      </c>
      <c r="N1427" s="34">
        <v>23.952615955473096</v>
      </c>
    </row>
    <row r="1428" spans="1:14" x14ac:dyDescent="0.35">
      <c r="A1428" s="82">
        <v>1425</v>
      </c>
      <c r="B1428" s="89" t="str">
        <f>_xlfn.XLOOKUP(A1428,'Model Modeshare by TAZ'!A:A,'Model Modeshare by TAZ'!B:B)</f>
        <v>Sunnyvale</v>
      </c>
      <c r="C1428" s="90" t="str">
        <f>_xlfn.XLOOKUP(A1428,'Model Modeshare by TAZ'!A:A,'Model Modeshare by TAZ'!D:D)</f>
        <v>NO</v>
      </c>
      <c r="D1428" s="27">
        <v>2972.4</v>
      </c>
      <c r="E1428" s="27">
        <v>44345.34</v>
      </c>
      <c r="F1428" s="27">
        <v>2330.14</v>
      </c>
      <c r="G1428" s="27">
        <v>13967.06</v>
      </c>
      <c r="H1428" s="27">
        <v>999.01</v>
      </c>
      <c r="I1428" s="27">
        <v>13504.9</v>
      </c>
      <c r="J1428" s="6">
        <v>1481</v>
      </c>
      <c r="K1428" s="6">
        <v>862</v>
      </c>
      <c r="L1428" s="27">
        <v>9.4308305199189739</v>
      </c>
      <c r="M1428" s="27">
        <v>15.666937354988399</v>
      </c>
      <c r="N1428" s="34">
        <v>21.953098591549296</v>
      </c>
    </row>
    <row r="1429" spans="1:14" x14ac:dyDescent="0.35">
      <c r="A1429" s="82">
        <v>1426</v>
      </c>
      <c r="B1429" s="89" t="str">
        <f>_xlfn.XLOOKUP(A1429,'Model Modeshare by TAZ'!A:A,'Model Modeshare by TAZ'!B:B)</f>
        <v>Sunnyvale</v>
      </c>
      <c r="C1429" s="90" t="str">
        <f>_xlfn.XLOOKUP(A1429,'Model Modeshare by TAZ'!A:A,'Model Modeshare by TAZ'!D:D)</f>
        <v>NO</v>
      </c>
      <c r="D1429" s="27">
        <v>3046.96</v>
      </c>
      <c r="E1429" s="27">
        <v>40142.69</v>
      </c>
      <c r="F1429" s="27">
        <v>1602.33</v>
      </c>
      <c r="G1429" s="27">
        <v>6722.43</v>
      </c>
      <c r="H1429" s="27">
        <v>546.61</v>
      </c>
      <c r="I1429" s="27">
        <v>7139.23</v>
      </c>
      <c r="J1429" s="6">
        <v>1207</v>
      </c>
      <c r="K1429" s="6">
        <v>422</v>
      </c>
      <c r="L1429" s="27">
        <v>5.5695360397680203</v>
      </c>
      <c r="M1429" s="27">
        <v>16.917606635071088</v>
      </c>
      <c r="N1429" s="34">
        <v>15.274063842848374</v>
      </c>
    </row>
    <row r="1430" spans="1:14" x14ac:dyDescent="0.35">
      <c r="A1430" s="82">
        <v>1427</v>
      </c>
      <c r="B1430" s="89" t="str">
        <f>_xlfn.XLOOKUP(A1430,'Model Modeshare by TAZ'!A:A,'Model Modeshare by TAZ'!B:B)</f>
        <v>Sunnyvale</v>
      </c>
      <c r="C1430" s="90" t="str">
        <f>_xlfn.XLOOKUP(A1430,'Model Modeshare by TAZ'!A:A,'Model Modeshare by TAZ'!D:D)</f>
        <v>NO</v>
      </c>
      <c r="D1430" s="27">
        <v>3751.39</v>
      </c>
      <c r="E1430" s="27">
        <v>53980.44</v>
      </c>
      <c r="F1430" s="27">
        <v>3247.1</v>
      </c>
      <c r="G1430" s="27">
        <v>18476.599999999999</v>
      </c>
      <c r="H1430" s="27">
        <v>437.12</v>
      </c>
      <c r="I1430" s="27">
        <v>5724.42</v>
      </c>
      <c r="J1430" s="6">
        <v>2238</v>
      </c>
      <c r="K1430" s="6">
        <v>231</v>
      </c>
      <c r="L1430" s="27">
        <v>8.2558534405719382</v>
      </c>
      <c r="M1430" s="27">
        <v>24.781038961038963</v>
      </c>
      <c r="N1430" s="34">
        <v>20.269044147428108</v>
      </c>
    </row>
    <row r="1431" spans="1:14" x14ac:dyDescent="0.35">
      <c r="A1431" s="82">
        <v>1428</v>
      </c>
      <c r="B1431" s="89" t="str">
        <f>_xlfn.XLOOKUP(A1431,'Model Modeshare by TAZ'!A:A,'Model Modeshare by TAZ'!B:B)</f>
        <v>Sunnyvale</v>
      </c>
      <c r="C1431" s="90" t="str">
        <f>_xlfn.XLOOKUP(A1431,'Model Modeshare by TAZ'!A:A,'Model Modeshare by TAZ'!D:D)</f>
        <v>NO</v>
      </c>
      <c r="D1431" s="27">
        <v>1837.43</v>
      </c>
      <c r="E1431" s="27">
        <v>32578.48</v>
      </c>
      <c r="F1431" s="27">
        <v>2456.94</v>
      </c>
      <c r="G1431" s="27">
        <v>19359.900000000001</v>
      </c>
      <c r="H1431" s="27">
        <v>63.36</v>
      </c>
      <c r="I1431" s="27">
        <v>922.78</v>
      </c>
      <c r="J1431" s="6">
        <v>1527</v>
      </c>
      <c r="K1431" s="6">
        <v>32</v>
      </c>
      <c r="L1431" s="27">
        <v>12.678388998035365</v>
      </c>
      <c r="M1431" s="27">
        <v>28.836874999999999</v>
      </c>
      <c r="N1431" s="34">
        <v>25.523232841565108</v>
      </c>
    </row>
    <row r="1432" spans="1:14" x14ac:dyDescent="0.35">
      <c r="A1432" s="82">
        <v>1429</v>
      </c>
      <c r="B1432" s="89" t="str">
        <f>_xlfn.XLOOKUP(A1432,'Model Modeshare by TAZ'!A:A,'Model Modeshare by TAZ'!B:B)</f>
        <v>Sunnyvale</v>
      </c>
      <c r="C1432" s="90" t="str">
        <f>_xlfn.XLOOKUP(A1432,'Model Modeshare by TAZ'!A:A,'Model Modeshare by TAZ'!D:D)</f>
        <v>NO</v>
      </c>
      <c r="D1432" s="27">
        <v>3289.2</v>
      </c>
      <c r="E1432" s="27">
        <v>56741.04</v>
      </c>
      <c r="F1432" s="27">
        <v>2080.25</v>
      </c>
      <c r="G1432" s="27">
        <v>13475.47</v>
      </c>
      <c r="H1432" s="27">
        <v>1046.99</v>
      </c>
      <c r="I1432" s="27">
        <v>14061.82</v>
      </c>
      <c r="J1432" s="6">
        <v>1349</v>
      </c>
      <c r="K1432" s="6">
        <v>851</v>
      </c>
      <c r="L1432" s="27">
        <v>9.9892290585618966</v>
      </c>
      <c r="M1432" s="27">
        <v>16.523877790834312</v>
      </c>
      <c r="N1432" s="34">
        <v>30.783449999999998</v>
      </c>
    </row>
    <row r="1433" spans="1:14" x14ac:dyDescent="0.35">
      <c r="A1433" s="82">
        <v>1430</v>
      </c>
      <c r="B1433" s="89" t="str">
        <f>_xlfn.XLOOKUP(A1433,'Model Modeshare by TAZ'!A:A,'Model Modeshare by TAZ'!B:B)</f>
        <v>Sunnyvale</v>
      </c>
      <c r="C1433" s="90" t="str">
        <f>_xlfn.XLOOKUP(A1433,'Model Modeshare by TAZ'!A:A,'Model Modeshare by TAZ'!D:D)</f>
        <v>NO</v>
      </c>
      <c r="D1433" s="27">
        <v>2079.62</v>
      </c>
      <c r="E1433" s="27">
        <v>35505.64</v>
      </c>
      <c r="F1433" s="27">
        <v>2286.69</v>
      </c>
      <c r="G1433" s="27">
        <v>15757.49</v>
      </c>
      <c r="H1433" s="27">
        <v>132.47999999999999</v>
      </c>
      <c r="I1433" s="27">
        <v>1792.83</v>
      </c>
      <c r="J1433" s="6">
        <v>1456</v>
      </c>
      <c r="K1433" s="6">
        <v>68</v>
      </c>
      <c r="L1433" s="27">
        <v>10.822451923076922</v>
      </c>
      <c r="M1433" s="27">
        <v>26.365147058823528</v>
      </c>
      <c r="N1433" s="34">
        <v>22.297998687664045</v>
      </c>
    </row>
    <row r="1434" spans="1:14" x14ac:dyDescent="0.35">
      <c r="A1434" s="82">
        <v>1431</v>
      </c>
      <c r="B1434" s="89" t="str">
        <f>_xlfn.XLOOKUP(A1434,'Model Modeshare by TAZ'!A:A,'Model Modeshare by TAZ'!B:B)</f>
        <v>Sunnyvale</v>
      </c>
      <c r="C1434" s="90" t="str">
        <f>_xlfn.XLOOKUP(A1434,'Model Modeshare by TAZ'!A:A,'Model Modeshare by TAZ'!D:D)</f>
        <v>NO</v>
      </c>
      <c r="D1434" s="27">
        <v>2464.9899999999998</v>
      </c>
      <c r="E1434" s="27">
        <v>30279.29</v>
      </c>
      <c r="F1434" s="27">
        <v>1792.86</v>
      </c>
      <c r="G1434" s="27">
        <v>8001.48</v>
      </c>
      <c r="H1434" s="27">
        <v>594.88</v>
      </c>
      <c r="I1434" s="27">
        <v>7547.39</v>
      </c>
      <c r="J1434" s="6">
        <v>1325</v>
      </c>
      <c r="K1434" s="6">
        <v>494</v>
      </c>
      <c r="L1434" s="27">
        <v>6.038852830188679</v>
      </c>
      <c r="M1434" s="27">
        <v>15.278117408906883</v>
      </c>
      <c r="N1434" s="34">
        <v>17.211181968114349</v>
      </c>
    </row>
    <row r="1435" spans="1:14" x14ac:dyDescent="0.35">
      <c r="A1435" s="82">
        <v>1432</v>
      </c>
      <c r="B1435" s="89" t="str">
        <f>_xlfn.XLOOKUP(A1435,'Model Modeshare by TAZ'!A:A,'Model Modeshare by TAZ'!B:B)</f>
        <v>Sunnyvale</v>
      </c>
      <c r="C1435" s="90" t="str">
        <f>_xlfn.XLOOKUP(A1435,'Model Modeshare by TAZ'!A:A,'Model Modeshare by TAZ'!D:D)</f>
        <v>NO</v>
      </c>
      <c r="D1435" s="27">
        <v>3225.1</v>
      </c>
      <c r="E1435" s="27">
        <v>48024.92</v>
      </c>
      <c r="F1435" s="27">
        <v>1807.96</v>
      </c>
      <c r="G1435" s="27">
        <v>9236.9500000000007</v>
      </c>
      <c r="H1435" s="27">
        <v>784.57</v>
      </c>
      <c r="I1435" s="27">
        <v>9768.1200000000008</v>
      </c>
      <c r="J1435" s="6">
        <v>1296</v>
      </c>
      <c r="K1435" s="6">
        <v>651</v>
      </c>
      <c r="L1435" s="27">
        <v>7.1272762345679022</v>
      </c>
      <c r="M1435" s="27">
        <v>15.004792626728111</v>
      </c>
      <c r="N1435" s="34">
        <v>24.974524910118131</v>
      </c>
    </row>
    <row r="1436" spans="1:14" x14ac:dyDescent="0.35">
      <c r="A1436" s="82">
        <v>1433</v>
      </c>
      <c r="B1436" s="89" t="str">
        <f>_xlfn.XLOOKUP(A1436,'Model Modeshare by TAZ'!A:A,'Model Modeshare by TAZ'!B:B)</f>
        <v>Sunnyvale</v>
      </c>
      <c r="C1436" s="90" t="str">
        <f>_xlfn.XLOOKUP(A1436,'Model Modeshare by TAZ'!A:A,'Model Modeshare by TAZ'!D:D)</f>
        <v>NO</v>
      </c>
      <c r="D1436" s="27">
        <v>2716.26</v>
      </c>
      <c r="E1436" s="27">
        <v>26109.35</v>
      </c>
      <c r="F1436" s="27">
        <v>2764.76</v>
      </c>
      <c r="G1436" s="27">
        <v>13251.19</v>
      </c>
      <c r="H1436" s="27">
        <v>750.39</v>
      </c>
      <c r="I1436" s="27">
        <v>8674.36</v>
      </c>
      <c r="J1436" s="6">
        <v>1943</v>
      </c>
      <c r="K1436" s="6">
        <v>488</v>
      </c>
      <c r="L1436" s="27">
        <v>6.8199639732372619</v>
      </c>
      <c r="M1436" s="27">
        <v>17.775327868852461</v>
      </c>
      <c r="N1436" s="34">
        <v>14.589662690250925</v>
      </c>
    </row>
    <row r="1437" spans="1:14" x14ac:dyDescent="0.35">
      <c r="A1437" s="82">
        <v>1434</v>
      </c>
      <c r="B1437" s="89" t="str">
        <f>_xlfn.XLOOKUP(A1437,'Model Modeshare by TAZ'!A:A,'Model Modeshare by TAZ'!B:B)</f>
        <v>Sunnyvale</v>
      </c>
      <c r="C1437" s="90" t="str">
        <f>_xlfn.XLOOKUP(A1437,'Model Modeshare by TAZ'!A:A,'Model Modeshare by TAZ'!D:D)</f>
        <v>NO</v>
      </c>
      <c r="D1437" s="27">
        <v>8717.25</v>
      </c>
      <c r="E1437" s="27">
        <v>124278.49</v>
      </c>
      <c r="F1437" s="27">
        <v>9122.98</v>
      </c>
      <c r="G1437" s="27">
        <v>57096.95</v>
      </c>
      <c r="H1437" s="27">
        <v>307.54000000000002</v>
      </c>
      <c r="I1437" s="27">
        <v>3669.42</v>
      </c>
      <c r="J1437" s="6">
        <v>6216</v>
      </c>
      <c r="K1437" s="6">
        <v>167</v>
      </c>
      <c r="L1437" s="27">
        <v>9.1854810167310159</v>
      </c>
      <c r="M1437" s="27">
        <v>21.972574850299402</v>
      </c>
      <c r="N1437" s="34">
        <v>17.382025693247691</v>
      </c>
    </row>
    <row r="1438" spans="1:14" x14ac:dyDescent="0.35">
      <c r="A1438" s="82">
        <v>1435</v>
      </c>
      <c r="B1438" s="89" t="str">
        <f>_xlfn.XLOOKUP(A1438,'Model Modeshare by TAZ'!A:A,'Model Modeshare by TAZ'!B:B)</f>
        <v>Sunnyvale</v>
      </c>
      <c r="C1438" s="90" t="str">
        <f>_xlfn.XLOOKUP(A1438,'Model Modeshare by TAZ'!A:A,'Model Modeshare by TAZ'!D:D)</f>
        <v>NO</v>
      </c>
      <c r="D1438" s="27">
        <v>4677.13</v>
      </c>
      <c r="E1438" s="27">
        <v>78434.02</v>
      </c>
      <c r="F1438" s="27">
        <v>4327.8599999999997</v>
      </c>
      <c r="G1438" s="27">
        <v>28101.1</v>
      </c>
      <c r="H1438" s="27">
        <v>180.01</v>
      </c>
      <c r="I1438" s="27">
        <v>2209.89</v>
      </c>
      <c r="J1438" s="6">
        <v>2891</v>
      </c>
      <c r="K1438" s="6">
        <v>96</v>
      </c>
      <c r="L1438" s="27">
        <v>9.7202006226219293</v>
      </c>
      <c r="M1438" s="27">
        <v>23.0196875</v>
      </c>
      <c r="N1438" s="34">
        <v>22.004030800133911</v>
      </c>
    </row>
    <row r="1439" spans="1:14" x14ac:dyDescent="0.35">
      <c r="A1439" s="82">
        <v>1436</v>
      </c>
      <c r="B1439" s="89" t="str">
        <f>_xlfn.XLOOKUP(A1439,'Model Modeshare by TAZ'!A:A,'Model Modeshare by TAZ'!B:B)</f>
        <v>Sunnyvale</v>
      </c>
      <c r="C1439" s="90" t="str">
        <f>_xlfn.XLOOKUP(A1439,'Model Modeshare by TAZ'!A:A,'Model Modeshare by TAZ'!D:D)</f>
        <v>NO</v>
      </c>
      <c r="D1439" s="27">
        <v>3585.64</v>
      </c>
      <c r="E1439" s="27">
        <v>59810.400000000001</v>
      </c>
      <c r="F1439" s="27">
        <v>3574.57</v>
      </c>
      <c r="G1439" s="27">
        <v>22629.16</v>
      </c>
      <c r="H1439" s="27">
        <v>480.21</v>
      </c>
      <c r="I1439" s="27">
        <v>5721.3</v>
      </c>
      <c r="J1439" s="6">
        <v>2405</v>
      </c>
      <c r="K1439" s="6">
        <v>260</v>
      </c>
      <c r="L1439" s="27">
        <v>9.4092141372141374</v>
      </c>
      <c r="M1439" s="27">
        <v>22.004999999999999</v>
      </c>
      <c r="N1439" s="34">
        <v>20.123639774859289</v>
      </c>
    </row>
    <row r="1440" spans="1:14" x14ac:dyDescent="0.35">
      <c r="A1440" s="82">
        <v>1437</v>
      </c>
      <c r="B1440" s="89" t="str">
        <f>_xlfn.XLOOKUP(A1440,'Model Modeshare by TAZ'!A:A,'Model Modeshare by TAZ'!B:B)</f>
        <v>Sunnyvale</v>
      </c>
      <c r="C1440" s="90" t="str">
        <f>_xlfn.XLOOKUP(A1440,'Model Modeshare by TAZ'!A:A,'Model Modeshare by TAZ'!D:D)</f>
        <v>NO</v>
      </c>
      <c r="D1440" s="27">
        <v>2464.77</v>
      </c>
      <c r="E1440" s="27">
        <v>26298.78</v>
      </c>
      <c r="F1440" s="27">
        <v>2466.73</v>
      </c>
      <c r="G1440" s="27">
        <v>11112.22</v>
      </c>
      <c r="H1440" s="27">
        <v>572.62</v>
      </c>
      <c r="I1440" s="27">
        <v>7134.28</v>
      </c>
      <c r="J1440" s="6">
        <v>1700</v>
      </c>
      <c r="K1440" s="6">
        <v>359</v>
      </c>
      <c r="L1440" s="27">
        <v>6.5366</v>
      </c>
      <c r="M1440" s="27">
        <v>19.872646239554317</v>
      </c>
      <c r="N1440" s="34">
        <v>13.85677513355998</v>
      </c>
    </row>
    <row r="1441" spans="1:14" x14ac:dyDescent="0.35">
      <c r="A1441" s="82">
        <v>1438</v>
      </c>
      <c r="B1441" s="89" t="str">
        <f>_xlfn.XLOOKUP(A1441,'Model Modeshare by TAZ'!A:A,'Model Modeshare by TAZ'!B:B)</f>
        <v>Sunnyvale</v>
      </c>
      <c r="C1441" s="90" t="str">
        <f>_xlfn.XLOOKUP(A1441,'Model Modeshare by TAZ'!A:A,'Model Modeshare by TAZ'!D:D)</f>
        <v>NO</v>
      </c>
      <c r="D1441" s="27">
        <v>3007.09</v>
      </c>
      <c r="E1441" s="27">
        <v>36811.33</v>
      </c>
      <c r="F1441" s="27">
        <v>1591.33</v>
      </c>
      <c r="G1441" s="27">
        <v>8394.8700000000008</v>
      </c>
      <c r="H1441" s="27">
        <v>965.65</v>
      </c>
      <c r="I1441" s="27">
        <v>11516.74</v>
      </c>
      <c r="J1441" s="6">
        <v>1060</v>
      </c>
      <c r="K1441" s="6">
        <v>783</v>
      </c>
      <c r="L1441" s="27">
        <v>7.9196886792452839</v>
      </c>
      <c r="M1441" s="27">
        <v>14.708480204342273</v>
      </c>
      <c r="N1441" s="34">
        <v>26.387536625067828</v>
      </c>
    </row>
    <row r="1442" spans="1:14" x14ac:dyDescent="0.35">
      <c r="A1442" s="82">
        <v>1439</v>
      </c>
      <c r="B1442" s="89" t="str">
        <f>_xlfn.XLOOKUP(A1442,'Model Modeshare by TAZ'!A:A,'Model Modeshare by TAZ'!B:B)</f>
        <v>Sunnyvale</v>
      </c>
      <c r="C1442" s="90" t="str">
        <f>_xlfn.XLOOKUP(A1442,'Model Modeshare by TAZ'!A:A,'Model Modeshare by TAZ'!D:D)</f>
        <v>NO</v>
      </c>
      <c r="D1442" s="27">
        <v>5721.26</v>
      </c>
      <c r="E1442" s="27">
        <v>78490.559999999998</v>
      </c>
      <c r="F1442" s="27">
        <v>5285.13</v>
      </c>
      <c r="G1442" s="27">
        <v>29993.05</v>
      </c>
      <c r="H1442" s="27">
        <v>849.83</v>
      </c>
      <c r="I1442" s="27">
        <v>9922.5300000000007</v>
      </c>
      <c r="J1442" s="6">
        <v>3553</v>
      </c>
      <c r="K1442" s="6">
        <v>465</v>
      </c>
      <c r="L1442" s="27">
        <v>8.4416127216436809</v>
      </c>
      <c r="M1442" s="27">
        <v>21.338774193548389</v>
      </c>
      <c r="N1442" s="34">
        <v>18.5780537580886</v>
      </c>
    </row>
    <row r="1443" spans="1:14" x14ac:dyDescent="0.35">
      <c r="A1443" s="82">
        <v>1440</v>
      </c>
      <c r="B1443" s="89" t="str">
        <f>_xlfn.XLOOKUP(A1443,'Model Modeshare by TAZ'!A:A,'Model Modeshare by TAZ'!B:B)</f>
        <v>Sunnyvale</v>
      </c>
      <c r="C1443" s="90" t="str">
        <f>_xlfn.XLOOKUP(A1443,'Model Modeshare by TAZ'!A:A,'Model Modeshare by TAZ'!D:D)</f>
        <v>NO</v>
      </c>
      <c r="D1443" s="27">
        <v>2455.13</v>
      </c>
      <c r="E1443" s="27">
        <v>30237.16</v>
      </c>
      <c r="F1443" s="27">
        <v>1995.16</v>
      </c>
      <c r="G1443" s="27">
        <v>9826.49</v>
      </c>
      <c r="H1443" s="27">
        <v>629.84</v>
      </c>
      <c r="I1443" s="27">
        <v>7221.35</v>
      </c>
      <c r="J1443" s="6">
        <v>1398</v>
      </c>
      <c r="K1443" s="6">
        <v>418</v>
      </c>
      <c r="L1443" s="27">
        <v>7.0289628040057224</v>
      </c>
      <c r="M1443" s="27">
        <v>17.275956937799045</v>
      </c>
      <c r="N1443" s="34">
        <v>16.191894273127755</v>
      </c>
    </row>
    <row r="1444" spans="1:14" x14ac:dyDescent="0.35">
      <c r="A1444" s="82">
        <v>1441</v>
      </c>
      <c r="B1444" s="89" t="str">
        <f>_xlfn.XLOOKUP(A1444,'Model Modeshare by TAZ'!A:A,'Model Modeshare by TAZ'!B:B)</f>
        <v>Sunnyvale</v>
      </c>
      <c r="C1444" s="90" t="str">
        <f>_xlfn.XLOOKUP(A1444,'Model Modeshare by TAZ'!A:A,'Model Modeshare by TAZ'!D:D)</f>
        <v>NO</v>
      </c>
      <c r="D1444" s="27">
        <v>3790.33</v>
      </c>
      <c r="E1444" s="27">
        <v>53612.99</v>
      </c>
      <c r="F1444" s="27">
        <v>2587.94</v>
      </c>
      <c r="G1444" s="27">
        <v>13959.56</v>
      </c>
      <c r="H1444" s="27">
        <v>1127.3900000000001</v>
      </c>
      <c r="I1444" s="27">
        <v>13587.54</v>
      </c>
      <c r="J1444" s="6">
        <v>1807</v>
      </c>
      <c r="K1444" s="6">
        <v>971</v>
      </c>
      <c r="L1444" s="27">
        <v>7.7252684006640839</v>
      </c>
      <c r="M1444" s="27">
        <v>13.993347064881567</v>
      </c>
      <c r="N1444" s="34">
        <v>21.704658027357812</v>
      </c>
    </row>
    <row r="1445" spans="1:14" x14ac:dyDescent="0.35">
      <c r="A1445" s="82">
        <v>1442</v>
      </c>
      <c r="B1445" s="89" t="str">
        <f>_xlfn.XLOOKUP(A1445,'Model Modeshare by TAZ'!A:A,'Model Modeshare by TAZ'!B:B)</f>
        <v>Sunnyvale</v>
      </c>
      <c r="C1445" s="90" t="str">
        <f>_xlfn.XLOOKUP(A1445,'Model Modeshare by TAZ'!A:A,'Model Modeshare by TAZ'!D:D)</f>
        <v>NO</v>
      </c>
      <c r="D1445" s="27">
        <v>2058.63</v>
      </c>
      <c r="E1445" s="27">
        <v>28955.25</v>
      </c>
      <c r="F1445" s="27">
        <v>1062.4100000000001</v>
      </c>
      <c r="G1445" s="27">
        <v>5872.83</v>
      </c>
      <c r="H1445" s="27">
        <v>281.14</v>
      </c>
      <c r="I1445" s="27">
        <v>3436.27</v>
      </c>
      <c r="J1445" s="6">
        <v>759</v>
      </c>
      <c r="K1445" s="6">
        <v>195</v>
      </c>
      <c r="L1445" s="27">
        <v>7.7375889328063243</v>
      </c>
      <c r="M1445" s="27">
        <v>17.621897435897434</v>
      </c>
      <c r="N1445" s="34">
        <v>20.717893081761005</v>
      </c>
    </row>
    <row r="1446" spans="1:14" x14ac:dyDescent="0.35">
      <c r="A1446" s="82">
        <v>1443</v>
      </c>
      <c r="B1446" s="89" t="str">
        <f>_xlfn.XLOOKUP(A1446,'Model Modeshare by TAZ'!A:A,'Model Modeshare by TAZ'!B:B)</f>
        <v>Sunnyvale</v>
      </c>
      <c r="C1446" s="90" t="str">
        <f>_xlfn.XLOOKUP(A1446,'Model Modeshare by TAZ'!A:A,'Model Modeshare by TAZ'!D:D)</f>
        <v>NO</v>
      </c>
      <c r="D1446" s="27">
        <v>3696.16</v>
      </c>
      <c r="E1446" s="27">
        <v>35556.410000000003</v>
      </c>
      <c r="F1446" s="27">
        <v>3626.35</v>
      </c>
      <c r="G1446" s="27">
        <v>16257.81</v>
      </c>
      <c r="H1446" s="27">
        <v>683.81</v>
      </c>
      <c r="I1446" s="27">
        <v>8237.56</v>
      </c>
      <c r="J1446" s="6">
        <v>2530</v>
      </c>
      <c r="K1446" s="6">
        <v>359</v>
      </c>
      <c r="L1446" s="27">
        <v>6.4260118577075094</v>
      </c>
      <c r="M1446" s="27">
        <v>22.945849582172702</v>
      </c>
      <c r="N1446" s="34">
        <v>13.088338525441328</v>
      </c>
    </row>
    <row r="1447" spans="1:14" x14ac:dyDescent="0.35">
      <c r="A1447" s="82">
        <v>1444</v>
      </c>
      <c r="B1447" s="89" t="str">
        <f>_xlfn.XLOOKUP(A1447,'Model Modeshare by TAZ'!A:A,'Model Modeshare by TAZ'!B:B)</f>
        <v>Sunnyvale</v>
      </c>
      <c r="C1447" s="90" t="str">
        <f>_xlfn.XLOOKUP(A1447,'Model Modeshare by TAZ'!A:A,'Model Modeshare by TAZ'!D:D)</f>
        <v>NO</v>
      </c>
      <c r="D1447" s="27">
        <v>3096.5</v>
      </c>
      <c r="E1447" s="27">
        <v>49124.11</v>
      </c>
      <c r="F1447" s="27">
        <v>2563.11</v>
      </c>
      <c r="G1447" s="27">
        <v>14893.36</v>
      </c>
      <c r="H1447" s="27">
        <v>704.3</v>
      </c>
      <c r="I1447" s="27">
        <v>8964.2900000000009</v>
      </c>
      <c r="J1447" s="6">
        <v>1681</v>
      </c>
      <c r="K1447" s="6">
        <v>541</v>
      </c>
      <c r="L1447" s="27">
        <v>8.8598215348007141</v>
      </c>
      <c r="M1447" s="27">
        <v>16.569852125693163</v>
      </c>
      <c r="N1447" s="34">
        <v>23.696944194419441</v>
      </c>
    </row>
    <row r="1448" spans="1:14" x14ac:dyDescent="0.35">
      <c r="A1448" s="82">
        <v>1445</v>
      </c>
      <c r="B1448" s="89" t="str">
        <f>_xlfn.XLOOKUP(A1448,'Model Modeshare by TAZ'!A:A,'Model Modeshare by TAZ'!B:B)</f>
        <v>Sunnyvale</v>
      </c>
      <c r="C1448" s="90" t="str">
        <f>_xlfn.XLOOKUP(A1448,'Model Modeshare by TAZ'!A:A,'Model Modeshare by TAZ'!D:D)</f>
        <v>NO</v>
      </c>
      <c r="D1448" s="27">
        <v>1545.78</v>
      </c>
      <c r="E1448" s="27">
        <v>16690.919999999998</v>
      </c>
      <c r="F1448" s="27">
        <v>1994.66</v>
      </c>
      <c r="G1448" s="27">
        <v>10079.99</v>
      </c>
      <c r="H1448" s="27">
        <v>0.84</v>
      </c>
      <c r="I1448" s="27">
        <v>8.7799999999999994</v>
      </c>
      <c r="J1448" s="6">
        <v>1336</v>
      </c>
      <c r="K1448" s="6">
        <v>1</v>
      </c>
      <c r="L1448" s="27">
        <v>7.5449026946107782</v>
      </c>
      <c r="M1448" s="27">
        <v>8.7799999999999994</v>
      </c>
      <c r="N1448" s="34">
        <v>11.41796559461481</v>
      </c>
    </row>
    <row r="1449" spans="1:14" x14ac:dyDescent="0.35">
      <c r="A1449" s="82">
        <v>1446</v>
      </c>
      <c r="B1449" s="89" t="str">
        <f>_xlfn.XLOOKUP(A1449,'Model Modeshare by TAZ'!A:A,'Model Modeshare by TAZ'!B:B)</f>
        <v>Sunnyvale</v>
      </c>
      <c r="C1449" s="90" t="str">
        <f>_xlfn.XLOOKUP(A1449,'Model Modeshare by TAZ'!A:A,'Model Modeshare by TAZ'!D:D)</f>
        <v>NO</v>
      </c>
      <c r="D1449" s="27">
        <v>1882.52</v>
      </c>
      <c r="E1449" s="27">
        <v>24962.87</v>
      </c>
      <c r="F1449" s="27">
        <v>2397.35</v>
      </c>
      <c r="G1449" s="27">
        <v>14923.29</v>
      </c>
      <c r="H1449" s="27">
        <v>200.22</v>
      </c>
      <c r="I1449" s="27">
        <v>2782.95</v>
      </c>
      <c r="J1449" s="6">
        <v>1586</v>
      </c>
      <c r="K1449" s="6">
        <v>109</v>
      </c>
      <c r="L1449" s="27">
        <v>9.4093883984867599</v>
      </c>
      <c r="M1449" s="27">
        <v>25.531651376146787</v>
      </c>
      <c r="N1449" s="34">
        <v>18.991669616519175</v>
      </c>
    </row>
    <row r="1450" spans="1:14" x14ac:dyDescent="0.35">
      <c r="A1450" s="82">
        <v>1447</v>
      </c>
      <c r="B1450" s="89" t="str">
        <f>_xlfn.XLOOKUP(A1450,'Model Modeshare by TAZ'!A:A,'Model Modeshare by TAZ'!B:B)</f>
        <v>Sunnyvale</v>
      </c>
      <c r="C1450" s="90" t="str">
        <f>_xlfn.XLOOKUP(A1450,'Model Modeshare by TAZ'!A:A,'Model Modeshare by TAZ'!D:D)</f>
        <v>NO</v>
      </c>
      <c r="D1450" s="27">
        <v>1160.45</v>
      </c>
      <c r="E1450" s="27">
        <v>17058.080000000002</v>
      </c>
      <c r="F1450" s="27">
        <v>1102.96</v>
      </c>
      <c r="G1450" s="27">
        <v>6892.71</v>
      </c>
      <c r="H1450" s="27">
        <v>28.8</v>
      </c>
      <c r="I1450" s="27">
        <v>398.54</v>
      </c>
      <c r="J1450" s="6">
        <v>757</v>
      </c>
      <c r="K1450" s="6">
        <v>14</v>
      </c>
      <c r="L1450" s="27">
        <v>9.1052972258916771</v>
      </c>
      <c r="M1450" s="27">
        <v>28.467142857142857</v>
      </c>
      <c r="N1450" s="34">
        <v>19.64450064850843</v>
      </c>
    </row>
    <row r="1451" spans="1:14" x14ac:dyDescent="0.35">
      <c r="A1451" s="82">
        <v>1448</v>
      </c>
      <c r="B1451" s="89" t="str">
        <f>_xlfn.XLOOKUP(A1451,'Model Modeshare by TAZ'!A:A,'Model Modeshare by TAZ'!B:B)</f>
        <v>Sunnyvale</v>
      </c>
      <c r="C1451" s="90" t="str">
        <f>_xlfn.XLOOKUP(A1451,'Model Modeshare by TAZ'!A:A,'Model Modeshare by TAZ'!D:D)</f>
        <v>NO</v>
      </c>
      <c r="D1451" s="27">
        <v>796.02</v>
      </c>
      <c r="E1451" s="27">
        <v>17091.419999999998</v>
      </c>
      <c r="F1451" s="27">
        <v>244.22</v>
      </c>
      <c r="G1451" s="27">
        <v>1566.34</v>
      </c>
      <c r="H1451" s="27">
        <v>3220</v>
      </c>
      <c r="I1451" s="27">
        <v>43079.66</v>
      </c>
      <c r="J1451" s="6">
        <v>179</v>
      </c>
      <c r="K1451" s="6">
        <v>2955</v>
      </c>
      <c r="L1451" s="27">
        <v>8.7505027932960893</v>
      </c>
      <c r="M1451" s="27">
        <v>14.578565143824028</v>
      </c>
      <c r="N1451" s="34">
        <v>36.454323548181243</v>
      </c>
    </row>
    <row r="1452" spans="1:14" x14ac:dyDescent="0.35">
      <c r="A1452" s="82">
        <v>1449</v>
      </c>
      <c r="B1452" s="89" t="str">
        <f>_xlfn.XLOOKUP(A1452,'Model Modeshare by TAZ'!A:A,'Model Modeshare by TAZ'!B:B)</f>
        <v>Sunnyvale</v>
      </c>
      <c r="C1452" s="90" t="str">
        <f>_xlfn.XLOOKUP(A1452,'Model Modeshare by TAZ'!A:A,'Model Modeshare by TAZ'!D:D)</f>
        <v>NO</v>
      </c>
      <c r="D1452" s="27">
        <v>3458.32</v>
      </c>
      <c r="E1452" s="27">
        <v>52718.28</v>
      </c>
      <c r="F1452" s="27">
        <v>2686.63</v>
      </c>
      <c r="G1452" s="27">
        <v>15993.4</v>
      </c>
      <c r="H1452" s="27">
        <v>275.61</v>
      </c>
      <c r="I1452" s="27">
        <v>3208.85</v>
      </c>
      <c r="J1452" s="6">
        <v>1837</v>
      </c>
      <c r="K1452" s="6">
        <v>150</v>
      </c>
      <c r="L1452" s="27">
        <v>8.7062602068590085</v>
      </c>
      <c r="M1452" s="27">
        <v>21.392333333333333</v>
      </c>
      <c r="N1452" s="34">
        <v>19.36637644690488</v>
      </c>
    </row>
    <row r="1453" spans="1:14" x14ac:dyDescent="0.35">
      <c r="A1453" s="82">
        <v>1450</v>
      </c>
      <c r="B1453" s="89" t="str">
        <f>_xlfn.XLOOKUP(A1453,'Model Modeshare by TAZ'!A:A,'Model Modeshare by TAZ'!B:B)</f>
        <v>Sunnyvale</v>
      </c>
      <c r="C1453" s="90" t="str">
        <f>_xlfn.XLOOKUP(A1453,'Model Modeshare by TAZ'!A:A,'Model Modeshare by TAZ'!D:D)</f>
        <v>NO</v>
      </c>
      <c r="D1453" s="27">
        <v>4267.1899999999996</v>
      </c>
      <c r="E1453" s="27">
        <v>70867.899999999994</v>
      </c>
      <c r="F1453" s="27">
        <v>2539.4699999999998</v>
      </c>
      <c r="G1453" s="27">
        <v>15228.5</v>
      </c>
      <c r="H1453" s="27">
        <v>809.82</v>
      </c>
      <c r="I1453" s="27">
        <v>9043.7199999999993</v>
      </c>
      <c r="J1453" s="6">
        <v>1599</v>
      </c>
      <c r="K1453" s="6">
        <v>633</v>
      </c>
      <c r="L1453" s="27">
        <v>9.5237648530331462</v>
      </c>
      <c r="M1453" s="27">
        <v>14.287077409162716</v>
      </c>
      <c r="N1453" s="34">
        <v>26.500268817204301</v>
      </c>
    </row>
    <row r="1454" spans="1:14" x14ac:dyDescent="0.35">
      <c r="A1454" s="82">
        <v>1451</v>
      </c>
      <c r="B1454" s="89" t="str">
        <f>_xlfn.XLOOKUP(A1454,'Model Modeshare by TAZ'!A:A,'Model Modeshare by TAZ'!B:B)</f>
        <v>Sunnyvale</v>
      </c>
      <c r="C1454" s="90" t="str">
        <f>_xlfn.XLOOKUP(A1454,'Model Modeshare by TAZ'!A:A,'Model Modeshare by TAZ'!D:D)</f>
        <v>NO</v>
      </c>
      <c r="D1454" s="27">
        <v>2402.13</v>
      </c>
      <c r="E1454" s="27">
        <v>37846.5</v>
      </c>
      <c r="F1454" s="27">
        <v>1868.1</v>
      </c>
      <c r="G1454" s="27">
        <v>11091.19</v>
      </c>
      <c r="H1454" s="27">
        <v>1270.0899999999999</v>
      </c>
      <c r="I1454" s="27">
        <v>15574.54</v>
      </c>
      <c r="J1454" s="6">
        <v>1212</v>
      </c>
      <c r="K1454" s="6">
        <v>1143</v>
      </c>
      <c r="L1454" s="27">
        <v>9.1511468646864689</v>
      </c>
      <c r="M1454" s="27">
        <v>13.626019247594051</v>
      </c>
      <c r="N1454" s="34">
        <v>26.040857749469215</v>
      </c>
    </row>
    <row r="1455" spans="1:14" x14ac:dyDescent="0.35">
      <c r="A1455" s="82">
        <v>1452</v>
      </c>
      <c r="B1455" s="89" t="str">
        <f>_xlfn.XLOOKUP(A1455,'Model Modeshare by TAZ'!A:A,'Model Modeshare by TAZ'!B:B)</f>
        <v>Sunnyvale</v>
      </c>
      <c r="C1455" s="90" t="str">
        <f>_xlfn.XLOOKUP(A1455,'Model Modeshare by TAZ'!A:A,'Model Modeshare by TAZ'!D:D)</f>
        <v>NO</v>
      </c>
      <c r="D1455" s="27">
        <v>3709.48</v>
      </c>
      <c r="E1455" s="27">
        <v>41409.32</v>
      </c>
      <c r="F1455" s="27">
        <v>4062.66</v>
      </c>
      <c r="G1455" s="27">
        <v>21491.15</v>
      </c>
      <c r="H1455" s="27">
        <v>220.37</v>
      </c>
      <c r="I1455" s="27">
        <v>2672.14</v>
      </c>
      <c r="J1455" s="6">
        <v>2528</v>
      </c>
      <c r="K1455" s="6">
        <v>125</v>
      </c>
      <c r="L1455" s="27">
        <v>8.501246044303798</v>
      </c>
      <c r="M1455" s="27">
        <v>21.377119999999998</v>
      </c>
      <c r="N1455" s="34">
        <v>15.221311722578212</v>
      </c>
    </row>
    <row r="1456" spans="1:14" x14ac:dyDescent="0.35">
      <c r="A1456" s="82">
        <v>1453</v>
      </c>
      <c r="B1456" s="89" t="str">
        <f>_xlfn.XLOOKUP(A1456,'Model Modeshare by TAZ'!A:A,'Model Modeshare by TAZ'!B:B)</f>
        <v>Sunnyvale</v>
      </c>
      <c r="C1456" s="90" t="str">
        <f>_xlfn.XLOOKUP(A1456,'Model Modeshare by TAZ'!A:A,'Model Modeshare by TAZ'!D:D)</f>
        <v>NO</v>
      </c>
      <c r="D1456" s="27">
        <v>1328.02</v>
      </c>
      <c r="E1456" s="27">
        <v>13031.72</v>
      </c>
      <c r="F1456" s="27">
        <v>1584.36</v>
      </c>
      <c r="G1456" s="27">
        <v>7679.6</v>
      </c>
      <c r="H1456" s="27">
        <v>18.93</v>
      </c>
      <c r="I1456" s="27">
        <v>222.33</v>
      </c>
      <c r="J1456" s="6">
        <v>997</v>
      </c>
      <c r="K1456" s="6">
        <v>10</v>
      </c>
      <c r="L1456" s="27">
        <v>7.7027081243731201</v>
      </c>
      <c r="M1456" s="27">
        <v>22.233000000000001</v>
      </c>
      <c r="N1456" s="34">
        <v>11.6285501489573</v>
      </c>
    </row>
    <row r="1457" spans="1:14" x14ac:dyDescent="0.35">
      <c r="A1457" s="82">
        <v>1454</v>
      </c>
      <c r="B1457" s="89" t="str">
        <f>_xlfn.XLOOKUP(A1457,'Model Modeshare by TAZ'!A:A,'Model Modeshare by TAZ'!B:B)</f>
        <v>Sunnyvale</v>
      </c>
      <c r="C1457" s="90" t="str">
        <f>_xlfn.XLOOKUP(A1457,'Model Modeshare by TAZ'!A:A,'Model Modeshare by TAZ'!D:D)</f>
        <v>NO</v>
      </c>
      <c r="D1457" s="27">
        <v>5299.75</v>
      </c>
      <c r="E1457" s="27">
        <v>77476.009999999995</v>
      </c>
      <c r="F1457" s="27">
        <v>6189.38</v>
      </c>
      <c r="G1457" s="27">
        <v>37002.61</v>
      </c>
      <c r="H1457" s="27">
        <v>776.93</v>
      </c>
      <c r="I1457" s="27">
        <v>9437.34</v>
      </c>
      <c r="J1457" s="6">
        <v>3939</v>
      </c>
      <c r="K1457" s="6">
        <v>445</v>
      </c>
      <c r="L1457" s="27">
        <v>9.3939096217314049</v>
      </c>
      <c r="M1457" s="27">
        <v>21.207505617977528</v>
      </c>
      <c r="N1457" s="34">
        <v>20.264089872262776</v>
      </c>
    </row>
    <row r="1458" spans="1:14" x14ac:dyDescent="0.35">
      <c r="A1458" s="82">
        <v>1455</v>
      </c>
      <c r="B1458" s="89" t="str">
        <f>_xlfn.XLOOKUP(A1458,'Model Modeshare by TAZ'!A:A,'Model Modeshare by TAZ'!B:B)</f>
        <v>Sunnyvale</v>
      </c>
      <c r="C1458" s="90" t="str">
        <f>_xlfn.XLOOKUP(A1458,'Model Modeshare by TAZ'!A:A,'Model Modeshare by TAZ'!D:D)</f>
        <v>NO</v>
      </c>
      <c r="D1458" s="27">
        <v>3947.86</v>
      </c>
      <c r="E1458" s="27">
        <v>38098.6</v>
      </c>
      <c r="F1458" s="27">
        <v>3594.65</v>
      </c>
      <c r="G1458" s="27">
        <v>16625.740000000002</v>
      </c>
      <c r="H1458" s="27">
        <v>555.91999999999996</v>
      </c>
      <c r="I1458" s="27">
        <v>6693.45</v>
      </c>
      <c r="J1458" s="6">
        <v>2626</v>
      </c>
      <c r="K1458" s="6">
        <v>322</v>
      </c>
      <c r="L1458" s="27">
        <v>6.3312033511043415</v>
      </c>
      <c r="M1458" s="27">
        <v>20.787111801242236</v>
      </c>
      <c r="N1458" s="34">
        <v>12.01922998643148</v>
      </c>
    </row>
    <row r="1459" spans="1:14" x14ac:dyDescent="0.35">
      <c r="A1459" s="82">
        <v>1456</v>
      </c>
      <c r="B1459" s="89" t="str">
        <f>_xlfn.XLOOKUP(A1459,'Model Modeshare by TAZ'!A:A,'Model Modeshare by TAZ'!B:B)</f>
        <v>Sunnyvale</v>
      </c>
      <c r="C1459" s="90" t="str">
        <f>_xlfn.XLOOKUP(A1459,'Model Modeshare by TAZ'!A:A,'Model Modeshare by TAZ'!D:D)</f>
        <v>NO</v>
      </c>
      <c r="D1459" s="27">
        <v>4433.3900000000003</v>
      </c>
      <c r="E1459" s="27">
        <v>63201.64</v>
      </c>
      <c r="F1459" s="27">
        <v>4247.9399999999996</v>
      </c>
      <c r="G1459" s="27">
        <v>24191.09</v>
      </c>
      <c r="H1459" s="27">
        <v>1169.6600000000001</v>
      </c>
      <c r="I1459" s="27">
        <v>13769.79</v>
      </c>
      <c r="J1459" s="6">
        <v>2837</v>
      </c>
      <c r="K1459" s="6">
        <v>1005</v>
      </c>
      <c r="L1459" s="27">
        <v>8.5269968276348251</v>
      </c>
      <c r="M1459" s="27">
        <v>13.701283582089554</v>
      </c>
      <c r="N1459" s="34">
        <v>21.391939094221758</v>
      </c>
    </row>
    <row r="1460" spans="1:14" x14ac:dyDescent="0.35">
      <c r="A1460" s="82">
        <v>1457</v>
      </c>
      <c r="B1460" s="89" t="str">
        <f>_xlfn.XLOOKUP(A1460,'Model Modeshare by TAZ'!A:A,'Model Modeshare by TAZ'!B:B)</f>
        <v>Sunnyvale</v>
      </c>
      <c r="C1460" s="90" t="str">
        <f>_xlfn.XLOOKUP(A1460,'Model Modeshare by TAZ'!A:A,'Model Modeshare by TAZ'!D:D)</f>
        <v>NO</v>
      </c>
      <c r="D1460" s="27">
        <v>960.34</v>
      </c>
      <c r="E1460" s="27">
        <v>13949.25</v>
      </c>
      <c r="F1460" s="27">
        <v>1237.3399999999999</v>
      </c>
      <c r="G1460" s="27">
        <v>7398.05</v>
      </c>
      <c r="H1460" s="27">
        <v>87.81</v>
      </c>
      <c r="I1460" s="27">
        <v>1051.67</v>
      </c>
      <c r="J1460" s="6">
        <v>708</v>
      </c>
      <c r="K1460" s="6">
        <v>47</v>
      </c>
      <c r="L1460" s="27">
        <v>10.449223163841808</v>
      </c>
      <c r="M1460" s="27">
        <v>22.375957446808513</v>
      </c>
      <c r="N1460" s="34">
        <v>23.709086092715232</v>
      </c>
    </row>
    <row r="1461" spans="1:14" x14ac:dyDescent="0.35">
      <c r="A1461" s="82">
        <v>1458</v>
      </c>
      <c r="B1461" s="89" t="str">
        <f>_xlfn.XLOOKUP(A1461,'Model Modeshare by TAZ'!A:A,'Model Modeshare by TAZ'!B:B)</f>
        <v>Sunnyvale</v>
      </c>
      <c r="C1461" s="90" t="str">
        <f>_xlfn.XLOOKUP(A1461,'Model Modeshare by TAZ'!A:A,'Model Modeshare by TAZ'!D:D)</f>
        <v>NO</v>
      </c>
      <c r="D1461" s="27">
        <v>7122.62</v>
      </c>
      <c r="E1461" s="27">
        <v>99462.88</v>
      </c>
      <c r="F1461" s="27">
        <v>6663.08</v>
      </c>
      <c r="G1461" s="27">
        <v>38755.85</v>
      </c>
      <c r="H1461" s="27">
        <v>704.7</v>
      </c>
      <c r="I1461" s="27">
        <v>7921.01</v>
      </c>
      <c r="J1461" s="6">
        <v>3900</v>
      </c>
      <c r="K1461" s="6">
        <v>392</v>
      </c>
      <c r="L1461" s="27">
        <v>9.9373974358974362</v>
      </c>
      <c r="M1461" s="27">
        <v>20.206658163265306</v>
      </c>
      <c r="N1461" s="34">
        <v>21.315836439888166</v>
      </c>
    </row>
    <row r="1462" spans="1:14" x14ac:dyDescent="0.35">
      <c r="A1462" s="82">
        <v>1459</v>
      </c>
      <c r="B1462" s="89" t="str">
        <f>_xlfn.XLOOKUP(A1462,'Model Modeshare by TAZ'!A:A,'Model Modeshare by TAZ'!B:B)</f>
        <v>Sunnyvale</v>
      </c>
      <c r="C1462" s="90" t="str">
        <f>_xlfn.XLOOKUP(A1462,'Model Modeshare by TAZ'!A:A,'Model Modeshare by TAZ'!D:D)</f>
        <v>NO</v>
      </c>
      <c r="D1462" s="27">
        <v>1969.01</v>
      </c>
      <c r="E1462" s="27">
        <v>25397.84</v>
      </c>
      <c r="F1462" s="27">
        <v>3727.65</v>
      </c>
      <c r="G1462" s="27">
        <v>21033.1</v>
      </c>
      <c r="H1462" s="27">
        <v>4.74</v>
      </c>
      <c r="I1462" s="27">
        <v>57.06</v>
      </c>
      <c r="J1462" s="6">
        <v>2462</v>
      </c>
      <c r="K1462" s="6">
        <v>2</v>
      </c>
      <c r="L1462" s="27">
        <v>8.5430950446791218</v>
      </c>
      <c r="M1462" s="27">
        <v>28.53</v>
      </c>
      <c r="N1462" s="34">
        <v>16.978977272727271</v>
      </c>
    </row>
    <row r="1463" spans="1:14" x14ac:dyDescent="0.35">
      <c r="A1463" s="82">
        <v>1460</v>
      </c>
      <c r="B1463" s="89" t="str">
        <f>_xlfn.XLOOKUP(A1463,'Model Modeshare by TAZ'!A:A,'Model Modeshare by TAZ'!B:B)</f>
        <v>Sunnyvale</v>
      </c>
      <c r="C1463" s="90" t="str">
        <f>_xlfn.XLOOKUP(A1463,'Model Modeshare by TAZ'!A:A,'Model Modeshare by TAZ'!D:D)</f>
        <v>NO</v>
      </c>
      <c r="D1463" s="27">
        <v>17530.169999999998</v>
      </c>
      <c r="E1463" s="27">
        <v>266329.19</v>
      </c>
      <c r="F1463" s="27">
        <v>9216.06</v>
      </c>
      <c r="G1463" s="27">
        <v>54985.17</v>
      </c>
      <c r="H1463" s="27">
        <v>1547.81</v>
      </c>
      <c r="I1463" s="27">
        <v>18288.79</v>
      </c>
      <c r="J1463" s="6">
        <v>6545</v>
      </c>
      <c r="K1463" s="6">
        <v>865</v>
      </c>
      <c r="L1463" s="27">
        <v>8.4010954927425505</v>
      </c>
      <c r="M1463" s="27">
        <v>21.143109826589598</v>
      </c>
      <c r="N1463" s="34">
        <v>23.019314439946019</v>
      </c>
    </row>
    <row r="1464" spans="1:14" x14ac:dyDescent="0.35">
      <c r="A1464" s="82">
        <v>1461</v>
      </c>
      <c r="B1464" s="89" t="str">
        <f>_xlfn.XLOOKUP(A1464,'Model Modeshare by TAZ'!A:A,'Model Modeshare by TAZ'!B:B)</f>
        <v>Unincorporated</v>
      </c>
      <c r="C1464" s="90" t="str">
        <f>_xlfn.XLOOKUP(A1464,'Model Modeshare by TAZ'!A:A,'Model Modeshare by TAZ'!D:D)</f>
        <v>NO</v>
      </c>
      <c r="D1464" s="27">
        <v>245.64</v>
      </c>
      <c r="E1464" s="27">
        <v>7295.04</v>
      </c>
      <c r="F1464" s="27">
        <v>0</v>
      </c>
      <c r="G1464" s="27">
        <v>0</v>
      </c>
      <c r="H1464" s="27">
        <v>318.37</v>
      </c>
      <c r="I1464" s="27">
        <v>4811.34</v>
      </c>
      <c r="J1464" s="6">
        <v>0</v>
      </c>
      <c r="K1464" s="6">
        <v>269</v>
      </c>
      <c r="L1464" s="27">
        <v>0</v>
      </c>
      <c r="M1464" s="27">
        <v>17.886022304832714</v>
      </c>
      <c r="N1464" s="34">
        <v>35.043903345724907</v>
      </c>
    </row>
    <row r="1465" spans="1:14" x14ac:dyDescent="0.35">
      <c r="A1465" s="82">
        <v>1462</v>
      </c>
      <c r="B1465" s="89" t="str">
        <f>_xlfn.XLOOKUP(A1465,'Model Modeshare by TAZ'!A:A,'Model Modeshare by TAZ'!B:B)</f>
        <v>Sunnyvale</v>
      </c>
      <c r="C1465" s="90" t="str">
        <f>_xlfn.XLOOKUP(A1465,'Model Modeshare by TAZ'!A:A,'Model Modeshare by TAZ'!D:D)</f>
        <v>NO</v>
      </c>
      <c r="D1465" s="27">
        <v>3389.78</v>
      </c>
      <c r="E1465" s="27">
        <v>51873.13</v>
      </c>
      <c r="F1465" s="27">
        <v>3258.79</v>
      </c>
      <c r="G1465" s="27">
        <v>20084.8</v>
      </c>
      <c r="H1465" s="27">
        <v>174.87</v>
      </c>
      <c r="I1465" s="27">
        <v>2333.41</v>
      </c>
      <c r="J1465" s="6">
        <v>2159</v>
      </c>
      <c r="K1465" s="6">
        <v>91</v>
      </c>
      <c r="L1465" s="27">
        <v>9.3028253821213518</v>
      </c>
      <c r="M1465" s="27">
        <v>25.641868131868129</v>
      </c>
      <c r="N1465" s="34">
        <v>20.086737777777778</v>
      </c>
    </row>
    <row r="1466" spans="1:14" x14ac:dyDescent="0.35">
      <c r="A1466" s="82">
        <v>1463</v>
      </c>
      <c r="B1466" s="89" t="str">
        <f>_xlfn.XLOOKUP(A1466,'Model Modeshare by TAZ'!A:A,'Model Modeshare by TAZ'!B:B)</f>
        <v>Sunnyvale</v>
      </c>
      <c r="C1466" s="90" t="str">
        <f>_xlfn.XLOOKUP(A1466,'Model Modeshare by TAZ'!A:A,'Model Modeshare by TAZ'!D:D)</f>
        <v>NO</v>
      </c>
      <c r="D1466" s="27">
        <v>0</v>
      </c>
      <c r="E1466" s="27">
        <v>0</v>
      </c>
      <c r="F1466" s="27">
        <v>0</v>
      </c>
      <c r="G1466" s="27">
        <v>0</v>
      </c>
      <c r="H1466" s="27">
        <v>0</v>
      </c>
      <c r="I1466" s="27">
        <v>0</v>
      </c>
      <c r="J1466" s="6">
        <v>0</v>
      </c>
      <c r="K1466" s="6">
        <v>0</v>
      </c>
      <c r="L1466" s="27">
        <v>0</v>
      </c>
      <c r="M1466" s="27">
        <v>0</v>
      </c>
      <c r="N1466" s="34">
        <v>0</v>
      </c>
    </row>
    <row r="1467" spans="1:14" x14ac:dyDescent="0.35">
      <c r="A1467" s="82">
        <v>1464</v>
      </c>
      <c r="B1467" s="89" t="str">
        <f>_xlfn.XLOOKUP(A1467,'Model Modeshare by TAZ'!A:A,'Model Modeshare by TAZ'!B:B)</f>
        <v>Sunnyvale</v>
      </c>
      <c r="C1467" s="90" t="str">
        <f>_xlfn.XLOOKUP(A1467,'Model Modeshare by TAZ'!A:A,'Model Modeshare by TAZ'!D:D)</f>
        <v>NO</v>
      </c>
      <c r="D1467" s="27">
        <v>3283.22</v>
      </c>
      <c r="E1467" s="27">
        <v>101625.86</v>
      </c>
      <c r="F1467" s="27">
        <v>0</v>
      </c>
      <c r="G1467" s="27">
        <v>0</v>
      </c>
      <c r="H1467" s="27">
        <v>2511.16</v>
      </c>
      <c r="I1467" s="27">
        <v>40828.6</v>
      </c>
      <c r="J1467" s="6">
        <v>0</v>
      </c>
      <c r="K1467" s="6">
        <v>2158</v>
      </c>
      <c r="L1467" s="27">
        <v>0</v>
      </c>
      <c r="M1467" s="27">
        <v>18.91964782205746</v>
      </c>
      <c r="N1467" s="34">
        <v>38.130875810936047</v>
      </c>
    </row>
    <row r="1468" spans="1:14" x14ac:dyDescent="0.35">
      <c r="A1468" s="82">
        <v>1465</v>
      </c>
      <c r="B1468" s="89" t="str">
        <f>_xlfn.XLOOKUP(A1468,'Model Modeshare by TAZ'!A:A,'Model Modeshare by TAZ'!B:B)</f>
        <v>Sunnyvale</v>
      </c>
      <c r="C1468" s="90" t="str">
        <f>_xlfn.XLOOKUP(A1468,'Model Modeshare by TAZ'!A:A,'Model Modeshare by TAZ'!D:D)</f>
        <v>NO</v>
      </c>
      <c r="D1468" s="27">
        <v>12.26</v>
      </c>
      <c r="E1468" s="27">
        <v>281.99</v>
      </c>
      <c r="F1468" s="27">
        <v>0</v>
      </c>
      <c r="G1468" s="27">
        <v>0</v>
      </c>
      <c r="H1468" s="27">
        <v>0</v>
      </c>
      <c r="I1468" s="27">
        <v>0</v>
      </c>
      <c r="J1468" s="6">
        <v>0</v>
      </c>
      <c r="K1468" s="6">
        <v>0</v>
      </c>
      <c r="L1468" s="27">
        <v>0</v>
      </c>
      <c r="M1468" s="27">
        <v>0</v>
      </c>
      <c r="N1468" s="34">
        <v>0</v>
      </c>
    </row>
    <row r="1469" spans="1:14" x14ac:dyDescent="0.35">
      <c r="A1469" s="82">
        <v>1466</v>
      </c>
      <c r="B1469" s="89" t="str">
        <f>_xlfn.XLOOKUP(A1469,'Model Modeshare by TAZ'!A:A,'Model Modeshare by TAZ'!B:B)</f>
        <v>Sunnyvale</v>
      </c>
      <c r="C1469" s="90" t="str">
        <f>_xlfn.XLOOKUP(A1469,'Model Modeshare by TAZ'!A:A,'Model Modeshare by TAZ'!D:D)</f>
        <v>NO</v>
      </c>
      <c r="D1469" s="27">
        <v>966.46</v>
      </c>
      <c r="E1469" s="27">
        <v>25866.38</v>
      </c>
      <c r="F1469" s="27">
        <v>0</v>
      </c>
      <c r="G1469" s="27">
        <v>0</v>
      </c>
      <c r="H1469" s="27">
        <v>591.77</v>
      </c>
      <c r="I1469" s="27">
        <v>8906.67</v>
      </c>
      <c r="J1469" s="6">
        <v>0</v>
      </c>
      <c r="K1469" s="6">
        <v>492</v>
      </c>
      <c r="L1469" s="27">
        <v>0</v>
      </c>
      <c r="M1469" s="27">
        <v>18.102987804878047</v>
      </c>
      <c r="N1469" s="34">
        <v>40.789227642276423</v>
      </c>
    </row>
    <row r="1470" spans="1:14" x14ac:dyDescent="0.35">
      <c r="A1470" s="82">
        <v>1467</v>
      </c>
      <c r="B1470" s="89" t="str">
        <f>_xlfn.XLOOKUP(A1470,'Model Modeshare by TAZ'!A:A,'Model Modeshare by TAZ'!B:B)</f>
        <v>Sunnyvale</v>
      </c>
      <c r="C1470" s="90" t="str">
        <f>_xlfn.XLOOKUP(A1470,'Model Modeshare by TAZ'!A:A,'Model Modeshare by TAZ'!D:D)</f>
        <v>NO</v>
      </c>
      <c r="D1470" s="27">
        <v>3989.89</v>
      </c>
      <c r="E1470" s="27">
        <v>114297.85</v>
      </c>
      <c r="F1470" s="27">
        <v>0</v>
      </c>
      <c r="G1470" s="27">
        <v>0</v>
      </c>
      <c r="H1470" s="27">
        <v>799.88</v>
      </c>
      <c r="I1470" s="27">
        <v>12499.19</v>
      </c>
      <c r="J1470" s="6">
        <v>0</v>
      </c>
      <c r="K1470" s="6">
        <v>660</v>
      </c>
      <c r="L1470" s="27">
        <v>0</v>
      </c>
      <c r="M1470" s="27">
        <v>18.938166666666667</v>
      </c>
      <c r="N1470" s="34">
        <v>37.445878787878783</v>
      </c>
    </row>
    <row r="1471" spans="1:14" x14ac:dyDescent="0.35">
      <c r="A1471" s="82">
        <v>1468</v>
      </c>
      <c r="B1471" s="89" t="str">
        <f>_xlfn.XLOOKUP(A1471,'Model Modeshare by TAZ'!A:A,'Model Modeshare by TAZ'!B:B)</f>
        <v>Sunnyvale</v>
      </c>
      <c r="C1471" s="90" t="str">
        <f>_xlfn.XLOOKUP(A1471,'Model Modeshare by TAZ'!A:A,'Model Modeshare by TAZ'!D:D)</f>
        <v>NO</v>
      </c>
      <c r="D1471" s="27">
        <v>1011.12</v>
      </c>
      <c r="E1471" s="27">
        <v>30657.27</v>
      </c>
      <c r="F1471" s="27">
        <v>0</v>
      </c>
      <c r="G1471" s="27">
        <v>0</v>
      </c>
      <c r="H1471" s="27">
        <v>406.89</v>
      </c>
      <c r="I1471" s="27">
        <v>6422.29</v>
      </c>
      <c r="J1471" s="6">
        <v>0</v>
      </c>
      <c r="K1471" s="6">
        <v>337</v>
      </c>
      <c r="L1471" s="27">
        <v>0</v>
      </c>
      <c r="M1471" s="27">
        <v>19.057240356083085</v>
      </c>
      <c r="N1471" s="34">
        <v>35.851038575667651</v>
      </c>
    </row>
    <row r="1472" spans="1:14" x14ac:dyDescent="0.35">
      <c r="A1472" s="82">
        <v>1469</v>
      </c>
      <c r="B1472" s="89" t="str">
        <f>_xlfn.XLOOKUP(A1472,'Model Modeshare by TAZ'!A:A,'Model Modeshare by TAZ'!B:B)</f>
        <v>Sunnyvale</v>
      </c>
      <c r="C1472" s="90" t="str">
        <f>_xlfn.XLOOKUP(A1472,'Model Modeshare by TAZ'!A:A,'Model Modeshare by TAZ'!D:D)</f>
        <v>NO</v>
      </c>
      <c r="D1472" s="27">
        <v>56.39</v>
      </c>
      <c r="E1472" s="27">
        <v>1303.05</v>
      </c>
      <c r="F1472" s="27">
        <v>0</v>
      </c>
      <c r="G1472" s="27">
        <v>0</v>
      </c>
      <c r="H1472" s="27">
        <v>71.06</v>
      </c>
      <c r="I1472" s="27">
        <v>1083.8599999999999</v>
      </c>
      <c r="J1472" s="6">
        <v>0</v>
      </c>
      <c r="K1472" s="6">
        <v>54</v>
      </c>
      <c r="L1472" s="27">
        <v>0</v>
      </c>
      <c r="M1472" s="27">
        <v>20.071481481481481</v>
      </c>
      <c r="N1472" s="34">
        <v>48.382037037037037</v>
      </c>
    </row>
    <row r="1473" spans="1:14" x14ac:dyDescent="0.35">
      <c r="A1473" s="82">
        <v>1470</v>
      </c>
      <c r="B1473" s="89" t="str">
        <f>_xlfn.XLOOKUP(A1473,'Model Modeshare by TAZ'!A:A,'Model Modeshare by TAZ'!B:B)</f>
        <v>Sunnyvale</v>
      </c>
      <c r="C1473" s="90" t="str">
        <f>_xlfn.XLOOKUP(A1473,'Model Modeshare by TAZ'!A:A,'Model Modeshare by TAZ'!D:D)</f>
        <v>NO</v>
      </c>
      <c r="D1473" s="27">
        <v>3295.31</v>
      </c>
      <c r="E1473" s="27">
        <v>37634.839999999997</v>
      </c>
      <c r="F1473" s="27">
        <v>3048.42</v>
      </c>
      <c r="G1473" s="27">
        <v>16153.03</v>
      </c>
      <c r="H1473" s="27">
        <v>564.79999999999995</v>
      </c>
      <c r="I1473" s="27">
        <v>8187.8</v>
      </c>
      <c r="J1473" s="6">
        <v>2420</v>
      </c>
      <c r="K1473" s="6">
        <v>319</v>
      </c>
      <c r="L1473" s="27">
        <v>6.6748057851239668</v>
      </c>
      <c r="M1473" s="27">
        <v>25.667084639498434</v>
      </c>
      <c r="N1473" s="34">
        <v>12.753351588170865</v>
      </c>
    </row>
    <row r="1474" spans="1:14" x14ac:dyDescent="0.35">
      <c r="A1474" s="82">
        <v>1471</v>
      </c>
      <c r="B1474" s="89" t="str">
        <f>_xlfn.XLOOKUP(A1474,'Model Modeshare by TAZ'!A:A,'Model Modeshare by TAZ'!B:B)</f>
        <v>Mountain View</v>
      </c>
      <c r="C1474" s="90" t="str">
        <f>_xlfn.XLOOKUP(A1474,'Model Modeshare by TAZ'!A:A,'Model Modeshare by TAZ'!D:D)</f>
        <v>NO</v>
      </c>
      <c r="D1474" s="27">
        <v>2583.1999999999998</v>
      </c>
      <c r="E1474" s="27">
        <v>58259.95</v>
      </c>
      <c r="F1474" s="27">
        <v>136.57</v>
      </c>
      <c r="G1474" s="27">
        <v>983.02</v>
      </c>
      <c r="H1474" s="27">
        <v>483.39</v>
      </c>
      <c r="I1474" s="27">
        <v>6958.65</v>
      </c>
      <c r="J1474" s="6">
        <v>84</v>
      </c>
      <c r="K1474" s="6">
        <v>410</v>
      </c>
      <c r="L1474" s="27">
        <v>11.702619047619047</v>
      </c>
      <c r="M1474" s="27">
        <v>16.972317073170732</v>
      </c>
      <c r="N1474" s="34">
        <v>72.110870445344119</v>
      </c>
    </row>
    <row r="1475" spans="1:14" x14ac:dyDescent="0.35">
      <c r="A1475" s="82">
        <v>1472</v>
      </c>
      <c r="B1475" s="89" t="str">
        <f>_xlfn.XLOOKUP(A1475,'Model Modeshare by TAZ'!A:A,'Model Modeshare by TAZ'!B:B)</f>
        <v>Sunnyvale</v>
      </c>
      <c r="C1475" s="90" t="str">
        <f>_xlfn.XLOOKUP(A1475,'Model Modeshare by TAZ'!A:A,'Model Modeshare by TAZ'!D:D)</f>
        <v>NO</v>
      </c>
      <c r="D1475" s="27">
        <v>1425.02</v>
      </c>
      <c r="E1475" s="27">
        <v>23756.97</v>
      </c>
      <c r="F1475" s="27">
        <v>1161.9100000000001</v>
      </c>
      <c r="G1475" s="27">
        <v>7548.59</v>
      </c>
      <c r="H1475" s="27">
        <v>305.57</v>
      </c>
      <c r="I1475" s="27">
        <v>4157.55</v>
      </c>
      <c r="J1475" s="6">
        <v>727</v>
      </c>
      <c r="K1475" s="6">
        <v>203</v>
      </c>
      <c r="L1475" s="27">
        <v>10.383204951856946</v>
      </c>
      <c r="M1475" s="27">
        <v>20.480541871921183</v>
      </c>
      <c r="N1475" s="34">
        <v>24.375204301075268</v>
      </c>
    </row>
    <row r="1476" spans="1:14" x14ac:dyDescent="0.35">
      <c r="A1476" s="82">
        <v>1473</v>
      </c>
      <c r="B1476" s="89" t="str">
        <f>_xlfn.XLOOKUP(A1476,'Model Modeshare by TAZ'!A:A,'Model Modeshare by TAZ'!B:B)</f>
        <v>Sunnyvale</v>
      </c>
      <c r="C1476" s="90" t="str">
        <f>_xlfn.XLOOKUP(A1476,'Model Modeshare by TAZ'!A:A,'Model Modeshare by TAZ'!D:D)</f>
        <v>NO</v>
      </c>
      <c r="D1476" s="27">
        <v>3600.9</v>
      </c>
      <c r="E1476" s="27">
        <v>80877.17</v>
      </c>
      <c r="F1476" s="27">
        <v>0</v>
      </c>
      <c r="G1476" s="27">
        <v>0</v>
      </c>
      <c r="H1476" s="27">
        <v>2429.83</v>
      </c>
      <c r="I1476" s="27">
        <v>35285.14</v>
      </c>
      <c r="J1476" s="6">
        <v>1</v>
      </c>
      <c r="K1476" s="6">
        <v>2051</v>
      </c>
      <c r="L1476" s="27">
        <v>0</v>
      </c>
      <c r="M1476" s="27">
        <v>17.203871282301318</v>
      </c>
      <c r="N1476" s="34">
        <v>34.206038011695902</v>
      </c>
    </row>
    <row r="1477" spans="1:14" x14ac:dyDescent="0.35">
      <c r="A1477" s="82">
        <v>1474</v>
      </c>
      <c r="B1477" s="89" t="str">
        <f>_xlfn.XLOOKUP(A1477,'Model Modeshare by TAZ'!A:A,'Model Modeshare by TAZ'!B:B)</f>
        <v>Sunnyvale</v>
      </c>
      <c r="C1477" s="90" t="str">
        <f>_xlfn.XLOOKUP(A1477,'Model Modeshare by TAZ'!A:A,'Model Modeshare by TAZ'!D:D)</f>
        <v>NO</v>
      </c>
      <c r="D1477" s="27">
        <v>880.47</v>
      </c>
      <c r="E1477" s="27">
        <v>24548.35</v>
      </c>
      <c r="F1477" s="27">
        <v>0</v>
      </c>
      <c r="G1477" s="27">
        <v>0</v>
      </c>
      <c r="H1477" s="27">
        <v>816.46</v>
      </c>
      <c r="I1477" s="27">
        <v>11578.51</v>
      </c>
      <c r="J1477" s="6">
        <v>1</v>
      </c>
      <c r="K1477" s="6">
        <v>683</v>
      </c>
      <c r="L1477" s="27">
        <v>0</v>
      </c>
      <c r="M1477" s="27">
        <v>16.952430453879941</v>
      </c>
      <c r="N1477" s="34">
        <v>34.021798245614036</v>
      </c>
    </row>
    <row r="1478" spans="1:14" x14ac:dyDescent="0.35">
      <c r="A1478" s="82">
        <v>1475</v>
      </c>
      <c r="B1478" s="89" t="str">
        <f>_xlfn.XLOOKUP(A1478,'Model Modeshare by TAZ'!A:A,'Model Modeshare by TAZ'!B:B)</f>
        <v>Sunnyvale</v>
      </c>
      <c r="C1478" s="90" t="str">
        <f>_xlfn.XLOOKUP(A1478,'Model Modeshare by TAZ'!A:A,'Model Modeshare by TAZ'!D:D)</f>
        <v>NO</v>
      </c>
      <c r="D1478" s="27">
        <v>1304.02</v>
      </c>
      <c r="E1478" s="27">
        <v>32089.35</v>
      </c>
      <c r="F1478" s="27">
        <v>299.19</v>
      </c>
      <c r="G1478" s="27">
        <v>1885.74</v>
      </c>
      <c r="H1478" s="27">
        <v>3272.96</v>
      </c>
      <c r="I1478" s="27">
        <v>43704.92</v>
      </c>
      <c r="J1478" s="6">
        <v>176</v>
      </c>
      <c r="K1478" s="6">
        <v>2881</v>
      </c>
      <c r="L1478" s="27">
        <v>10.714431818181819</v>
      </c>
      <c r="M1478" s="27">
        <v>15.170052065255119</v>
      </c>
      <c r="N1478" s="34">
        <v>28.420621524370297</v>
      </c>
    </row>
    <row r="1479" spans="1:14" x14ac:dyDescent="0.35">
      <c r="A1479" s="82">
        <v>1476</v>
      </c>
      <c r="B1479" s="89" t="str">
        <f>_xlfn.XLOOKUP(A1479,'Model Modeshare by TAZ'!A:A,'Model Modeshare by TAZ'!B:B)</f>
        <v>Sunnyvale</v>
      </c>
      <c r="C1479" s="90" t="str">
        <f>_xlfn.XLOOKUP(A1479,'Model Modeshare by TAZ'!A:A,'Model Modeshare by TAZ'!D:D)</f>
        <v>NO</v>
      </c>
      <c r="D1479" s="27">
        <v>2679.62</v>
      </c>
      <c r="E1479" s="27">
        <v>27279.49</v>
      </c>
      <c r="F1479" s="27">
        <v>1434.28</v>
      </c>
      <c r="G1479" s="27">
        <v>9401.2000000000007</v>
      </c>
      <c r="H1479" s="27">
        <v>49.89</v>
      </c>
      <c r="I1479" s="27">
        <v>691.47</v>
      </c>
      <c r="J1479" s="6">
        <v>922</v>
      </c>
      <c r="K1479" s="6">
        <v>26</v>
      </c>
      <c r="L1479" s="27">
        <v>10.19652928416486</v>
      </c>
      <c r="M1479" s="27">
        <v>26.595000000000002</v>
      </c>
      <c r="N1479" s="34">
        <v>25.456097046413504</v>
      </c>
    </row>
    <row r="1480" spans="1:14" x14ac:dyDescent="0.35">
      <c r="A1480" s="82">
        <v>1477</v>
      </c>
      <c r="B1480" s="89" t="str">
        <f>_xlfn.XLOOKUP(A1480,'Model Modeshare by TAZ'!A:A,'Model Modeshare by TAZ'!B:B)</f>
        <v>Sunnyvale</v>
      </c>
      <c r="C1480" s="90" t="str">
        <f>_xlfn.XLOOKUP(A1480,'Model Modeshare by TAZ'!A:A,'Model Modeshare by TAZ'!D:D)</f>
        <v>NO</v>
      </c>
      <c r="D1480" s="27">
        <v>2150.65</v>
      </c>
      <c r="E1480" s="27">
        <v>44456.97</v>
      </c>
      <c r="F1480" s="27">
        <v>1871.31</v>
      </c>
      <c r="G1480" s="27">
        <v>13044.36</v>
      </c>
      <c r="H1480" s="27">
        <v>752.44</v>
      </c>
      <c r="I1480" s="27">
        <v>10629.19</v>
      </c>
      <c r="J1480" s="6">
        <v>1048</v>
      </c>
      <c r="K1480" s="6">
        <v>655</v>
      </c>
      <c r="L1480" s="27">
        <v>12.446908396946565</v>
      </c>
      <c r="M1480" s="27">
        <v>16.227770992366413</v>
      </c>
      <c r="N1480" s="34">
        <v>26.903035819142691</v>
      </c>
    </row>
    <row r="1481" spans="1:14" x14ac:dyDescent="0.35">
      <c r="A1481" s="82">
        <v>1478</v>
      </c>
      <c r="B1481" s="89" t="str">
        <f>_xlfn.XLOOKUP(A1481,'Model Modeshare by TAZ'!A:A,'Model Modeshare by TAZ'!B:B)</f>
        <v>Sunnyvale</v>
      </c>
      <c r="C1481" s="90" t="str">
        <f>_xlfn.XLOOKUP(A1481,'Model Modeshare by TAZ'!A:A,'Model Modeshare by TAZ'!D:D)</f>
        <v>NO</v>
      </c>
      <c r="D1481" s="27">
        <v>1262.02</v>
      </c>
      <c r="E1481" s="27">
        <v>20730.900000000001</v>
      </c>
      <c r="F1481" s="27">
        <v>1135.8900000000001</v>
      </c>
      <c r="G1481" s="27">
        <v>7226.91</v>
      </c>
      <c r="H1481" s="27">
        <v>72.47</v>
      </c>
      <c r="I1481" s="27">
        <v>1008.75</v>
      </c>
      <c r="J1481" s="6">
        <v>782</v>
      </c>
      <c r="K1481" s="6">
        <v>38</v>
      </c>
      <c r="L1481" s="27">
        <v>9.2415728900255747</v>
      </c>
      <c r="M1481" s="27">
        <v>26.546052631578949</v>
      </c>
      <c r="N1481" s="34">
        <v>20.525878048780488</v>
      </c>
    </row>
    <row r="1482" spans="1:14" x14ac:dyDescent="0.35">
      <c r="A1482" s="82">
        <v>1479</v>
      </c>
      <c r="B1482" s="89" t="str">
        <f>_xlfn.XLOOKUP(A1482,'Model Modeshare by TAZ'!A:A,'Model Modeshare by TAZ'!B:B)</f>
        <v>Sunnyvale</v>
      </c>
      <c r="C1482" s="90" t="str">
        <f>_xlfn.XLOOKUP(A1482,'Model Modeshare by TAZ'!A:A,'Model Modeshare by TAZ'!D:D)</f>
        <v>NO</v>
      </c>
      <c r="D1482" s="27">
        <v>1046.6199999999999</v>
      </c>
      <c r="E1482" s="27">
        <v>16657.82</v>
      </c>
      <c r="F1482" s="27">
        <v>910.4</v>
      </c>
      <c r="G1482" s="27">
        <v>5771.21</v>
      </c>
      <c r="H1482" s="27">
        <v>602.71</v>
      </c>
      <c r="I1482" s="27">
        <v>8167.19</v>
      </c>
      <c r="J1482" s="6">
        <v>644</v>
      </c>
      <c r="K1482" s="6">
        <v>516</v>
      </c>
      <c r="L1482" s="27">
        <v>8.961506211180124</v>
      </c>
      <c r="M1482" s="27">
        <v>15.827887596899224</v>
      </c>
      <c r="N1482" s="34">
        <v>32.827534482758622</v>
      </c>
    </row>
    <row r="1483" spans="1:14" x14ac:dyDescent="0.35">
      <c r="A1483" s="82">
        <v>1480</v>
      </c>
      <c r="B1483" s="89" t="str">
        <f>_xlfn.XLOOKUP(A1483,'Model Modeshare by TAZ'!A:A,'Model Modeshare by TAZ'!B:B)</f>
        <v>Sunnyvale</v>
      </c>
      <c r="C1483" s="90" t="str">
        <f>_xlfn.XLOOKUP(A1483,'Model Modeshare by TAZ'!A:A,'Model Modeshare by TAZ'!D:D)</f>
        <v>NO</v>
      </c>
      <c r="D1483" s="27">
        <v>6818.62</v>
      </c>
      <c r="E1483" s="27">
        <v>141769.99</v>
      </c>
      <c r="F1483" s="27">
        <v>239.94</v>
      </c>
      <c r="G1483" s="27">
        <v>1544.13</v>
      </c>
      <c r="H1483" s="27">
        <v>1608.36</v>
      </c>
      <c r="I1483" s="27">
        <v>21593.64</v>
      </c>
      <c r="J1483" s="6">
        <v>172</v>
      </c>
      <c r="K1483" s="6">
        <v>1410</v>
      </c>
      <c r="L1483" s="27">
        <v>8.9775000000000009</v>
      </c>
      <c r="M1483" s="27">
        <v>15.314638297872341</v>
      </c>
      <c r="N1483" s="34">
        <v>71.113268015170675</v>
      </c>
    </row>
    <row r="1484" spans="1:14" x14ac:dyDescent="0.35">
      <c r="A1484" s="82">
        <v>1481</v>
      </c>
      <c r="B1484" s="89" t="str">
        <f>_xlfn.XLOOKUP(A1484,'Model Modeshare by TAZ'!A:A,'Model Modeshare by TAZ'!B:B)</f>
        <v>Sunnyvale</v>
      </c>
      <c r="C1484" s="90" t="str">
        <f>_xlfn.XLOOKUP(A1484,'Model Modeshare by TAZ'!A:A,'Model Modeshare by TAZ'!D:D)</f>
        <v>NO</v>
      </c>
      <c r="D1484" s="27">
        <v>2307.58</v>
      </c>
      <c r="E1484" s="27">
        <v>23664.26</v>
      </c>
      <c r="F1484" s="27">
        <v>1509</v>
      </c>
      <c r="G1484" s="27">
        <v>7681.35</v>
      </c>
      <c r="H1484" s="27">
        <v>168.3</v>
      </c>
      <c r="I1484" s="27">
        <v>2304.04</v>
      </c>
      <c r="J1484" s="6">
        <v>1025</v>
      </c>
      <c r="K1484" s="6">
        <v>95</v>
      </c>
      <c r="L1484" s="27">
        <v>7.4940000000000007</v>
      </c>
      <c r="M1484" s="27">
        <v>24.253052631578946</v>
      </c>
      <c r="N1484" s="34">
        <v>12.726633928571429</v>
      </c>
    </row>
    <row r="1485" spans="1:14" x14ac:dyDescent="0.35">
      <c r="A1485" s="82">
        <v>1482</v>
      </c>
      <c r="B1485" s="89" t="str">
        <f>_xlfn.XLOOKUP(A1485,'Model Modeshare by TAZ'!A:A,'Model Modeshare by TAZ'!B:B)</f>
        <v>Sunnyvale</v>
      </c>
      <c r="C1485" s="90" t="str">
        <f>_xlfn.XLOOKUP(A1485,'Model Modeshare by TAZ'!A:A,'Model Modeshare by TAZ'!D:D)</f>
        <v>NO</v>
      </c>
      <c r="D1485" s="27">
        <v>3036.86</v>
      </c>
      <c r="E1485" s="27">
        <v>42940.14</v>
      </c>
      <c r="F1485" s="27">
        <v>1694.49</v>
      </c>
      <c r="G1485" s="27">
        <v>8906.92</v>
      </c>
      <c r="H1485" s="27">
        <v>1151.22</v>
      </c>
      <c r="I1485" s="27">
        <v>15692.44</v>
      </c>
      <c r="J1485" s="6">
        <v>1312</v>
      </c>
      <c r="K1485" s="6">
        <v>986</v>
      </c>
      <c r="L1485" s="27">
        <v>6.7888109756097563</v>
      </c>
      <c r="M1485" s="27">
        <v>15.915253549695741</v>
      </c>
      <c r="N1485" s="34">
        <v>32.77667536988686</v>
      </c>
    </row>
    <row r="1486" spans="1:14" x14ac:dyDescent="0.35">
      <c r="A1486" s="82">
        <v>1483</v>
      </c>
      <c r="B1486" s="89" t="str">
        <f>_xlfn.XLOOKUP(A1486,'Model Modeshare by TAZ'!A:A,'Model Modeshare by TAZ'!B:B)</f>
        <v>Sunnyvale</v>
      </c>
      <c r="C1486" s="90" t="str">
        <f>_xlfn.XLOOKUP(A1486,'Model Modeshare by TAZ'!A:A,'Model Modeshare by TAZ'!D:D)</f>
        <v>NO</v>
      </c>
      <c r="D1486" s="27">
        <v>1829.05</v>
      </c>
      <c r="E1486" s="27">
        <v>34264.22</v>
      </c>
      <c r="F1486" s="27">
        <v>377.7</v>
      </c>
      <c r="G1486" s="27">
        <v>2402.35</v>
      </c>
      <c r="H1486" s="27">
        <v>187.05</v>
      </c>
      <c r="I1486" s="27">
        <v>2513.66</v>
      </c>
      <c r="J1486" s="6">
        <v>258</v>
      </c>
      <c r="K1486" s="6">
        <v>158</v>
      </c>
      <c r="L1486" s="27">
        <v>9.3114341085271306</v>
      </c>
      <c r="M1486" s="27">
        <v>15.909240506329112</v>
      </c>
      <c r="N1486" s="34">
        <v>26.838677884615382</v>
      </c>
    </row>
    <row r="1487" spans="1:14" x14ac:dyDescent="0.35">
      <c r="A1487" s="82">
        <v>1484</v>
      </c>
      <c r="B1487" s="89" t="str">
        <f>_xlfn.XLOOKUP(A1487,'Model Modeshare by TAZ'!A:A,'Model Modeshare by TAZ'!B:B)</f>
        <v>Sunnyvale</v>
      </c>
      <c r="C1487" s="90" t="str">
        <f>_xlfn.XLOOKUP(A1487,'Model Modeshare by TAZ'!A:A,'Model Modeshare by TAZ'!D:D)</f>
        <v>NO</v>
      </c>
      <c r="D1487" s="27">
        <v>851.18</v>
      </c>
      <c r="E1487" s="27">
        <v>13493.74</v>
      </c>
      <c r="F1487" s="27">
        <v>1104.01</v>
      </c>
      <c r="G1487" s="27">
        <v>6735.28</v>
      </c>
      <c r="H1487" s="27">
        <v>60.83</v>
      </c>
      <c r="I1487" s="27">
        <v>805.59</v>
      </c>
      <c r="J1487" s="6">
        <v>729</v>
      </c>
      <c r="K1487" s="6">
        <v>31</v>
      </c>
      <c r="L1487" s="27">
        <v>9.2390672153635105</v>
      </c>
      <c r="M1487" s="27">
        <v>25.986774193548388</v>
      </c>
      <c r="N1487" s="34">
        <v>17.791342105263158</v>
      </c>
    </row>
    <row r="1488" spans="1:14" x14ac:dyDescent="0.35">
      <c r="A1488" s="82">
        <v>1485</v>
      </c>
      <c r="B1488" s="89" t="str">
        <f>_xlfn.XLOOKUP(A1488,'Model Modeshare by TAZ'!A:A,'Model Modeshare by TAZ'!B:B)</f>
        <v>Sunnyvale</v>
      </c>
      <c r="C1488" s="90" t="str">
        <f>_xlfn.XLOOKUP(A1488,'Model Modeshare by TAZ'!A:A,'Model Modeshare by TAZ'!D:D)</f>
        <v>NO</v>
      </c>
      <c r="D1488" s="27">
        <v>1905.86</v>
      </c>
      <c r="E1488" s="27">
        <v>19170.240000000002</v>
      </c>
      <c r="F1488" s="27">
        <v>2162.5</v>
      </c>
      <c r="G1488" s="27">
        <v>10853.38</v>
      </c>
      <c r="H1488" s="27">
        <v>99.24</v>
      </c>
      <c r="I1488" s="27">
        <v>1334.07</v>
      </c>
      <c r="J1488" s="6">
        <v>1527</v>
      </c>
      <c r="K1488" s="6">
        <v>54</v>
      </c>
      <c r="L1488" s="27">
        <v>7.1076489849377857</v>
      </c>
      <c r="M1488" s="27">
        <v>24.704999999999998</v>
      </c>
      <c r="N1488" s="34">
        <v>11.35450347881088</v>
      </c>
    </row>
    <row r="1489" spans="1:14" x14ac:dyDescent="0.35">
      <c r="A1489" s="82">
        <v>1486</v>
      </c>
      <c r="B1489" s="89" t="str">
        <f>_xlfn.XLOOKUP(A1489,'Model Modeshare by TAZ'!A:A,'Model Modeshare by TAZ'!B:B)</f>
        <v>Santa Clara</v>
      </c>
      <c r="C1489" s="90" t="str">
        <f>_xlfn.XLOOKUP(A1489,'Model Modeshare by TAZ'!A:A,'Model Modeshare by TAZ'!D:D)</f>
        <v>NO</v>
      </c>
      <c r="D1489" s="27">
        <v>4813.38</v>
      </c>
      <c r="E1489" s="27">
        <v>78918.720000000001</v>
      </c>
      <c r="F1489" s="27">
        <v>2919.24</v>
      </c>
      <c r="G1489" s="27">
        <v>17168.57</v>
      </c>
      <c r="H1489" s="27">
        <v>762.12</v>
      </c>
      <c r="I1489" s="27">
        <v>8538.9500000000007</v>
      </c>
      <c r="J1489" s="6">
        <v>1905</v>
      </c>
      <c r="K1489" s="6">
        <v>525</v>
      </c>
      <c r="L1489" s="27">
        <v>9.0123727034120726</v>
      </c>
      <c r="M1489" s="27">
        <v>16.264666666666667</v>
      </c>
      <c r="N1489" s="34">
        <v>30.159436213991768</v>
      </c>
    </row>
    <row r="1490" spans="1:14" x14ac:dyDescent="0.35">
      <c r="A1490" s="82">
        <v>1487</v>
      </c>
      <c r="B1490" s="89" t="str">
        <f>_xlfn.XLOOKUP(A1490,'Model Modeshare by TAZ'!A:A,'Model Modeshare by TAZ'!B:B)</f>
        <v>Santa Clara</v>
      </c>
      <c r="C1490" s="90" t="str">
        <f>_xlfn.XLOOKUP(A1490,'Model Modeshare by TAZ'!A:A,'Model Modeshare by TAZ'!D:D)</f>
        <v>NO</v>
      </c>
      <c r="D1490" s="27">
        <v>1123.26</v>
      </c>
      <c r="E1490" s="27">
        <v>31622.74</v>
      </c>
      <c r="F1490" s="27">
        <v>188.16</v>
      </c>
      <c r="G1490" s="27">
        <v>1325.79</v>
      </c>
      <c r="H1490" s="27">
        <v>1195.45</v>
      </c>
      <c r="I1490" s="27">
        <v>16667.330000000002</v>
      </c>
      <c r="J1490" s="6">
        <v>107</v>
      </c>
      <c r="K1490" s="6">
        <v>992</v>
      </c>
      <c r="L1490" s="27">
        <v>12.390560747663551</v>
      </c>
      <c r="M1490" s="27">
        <v>16.801743951612906</v>
      </c>
      <c r="N1490" s="34">
        <v>31.393202911737941</v>
      </c>
    </row>
    <row r="1491" spans="1:14" x14ac:dyDescent="0.35">
      <c r="A1491" s="82">
        <v>1488</v>
      </c>
      <c r="B1491" s="89" t="str">
        <f>_xlfn.XLOOKUP(A1491,'Model Modeshare by TAZ'!A:A,'Model Modeshare by TAZ'!B:B)</f>
        <v>San Jose</v>
      </c>
      <c r="C1491" s="90" t="str">
        <f>_xlfn.XLOOKUP(A1491,'Model Modeshare by TAZ'!A:A,'Model Modeshare by TAZ'!D:D)</f>
        <v>NO</v>
      </c>
      <c r="D1491" s="27">
        <v>3816.98</v>
      </c>
      <c r="E1491" s="27">
        <v>74710.679999999993</v>
      </c>
      <c r="F1491" s="27">
        <v>1377.85</v>
      </c>
      <c r="G1491" s="27">
        <v>10074.6</v>
      </c>
      <c r="H1491" s="27">
        <v>476.37</v>
      </c>
      <c r="I1491" s="27">
        <v>6394.58</v>
      </c>
      <c r="J1491" s="6">
        <v>865</v>
      </c>
      <c r="K1491" s="6">
        <v>383</v>
      </c>
      <c r="L1491" s="27">
        <v>11.646936416184971</v>
      </c>
      <c r="M1491" s="27">
        <v>16.696031331592689</v>
      </c>
      <c r="N1491" s="34">
        <v>40.217371794871795</v>
      </c>
    </row>
    <row r="1492" spans="1:14" x14ac:dyDescent="0.35">
      <c r="A1492" s="82">
        <v>1489</v>
      </c>
      <c r="B1492" s="89" t="str">
        <f>_xlfn.XLOOKUP(A1492,'Model Modeshare by TAZ'!A:A,'Model Modeshare by TAZ'!B:B)</f>
        <v>San Jose</v>
      </c>
      <c r="C1492" s="90" t="str">
        <f>_xlfn.XLOOKUP(A1492,'Model Modeshare by TAZ'!A:A,'Model Modeshare by TAZ'!D:D)</f>
        <v>NO</v>
      </c>
      <c r="D1492" s="27">
        <v>1266.68</v>
      </c>
      <c r="E1492" s="27">
        <v>24353.32</v>
      </c>
      <c r="F1492" s="27">
        <v>539.05999999999995</v>
      </c>
      <c r="G1492" s="27">
        <v>4455.3</v>
      </c>
      <c r="H1492" s="27">
        <v>1095.9100000000001</v>
      </c>
      <c r="I1492" s="27">
        <v>10740.91</v>
      </c>
      <c r="J1492" s="6">
        <v>333</v>
      </c>
      <c r="K1492" s="6">
        <v>968</v>
      </c>
      <c r="L1492" s="27">
        <v>13.379279279279279</v>
      </c>
      <c r="M1492" s="27">
        <v>11.095981404958678</v>
      </c>
      <c r="N1492" s="34">
        <v>36.107056110684091</v>
      </c>
    </row>
    <row r="1493" spans="1:14" x14ac:dyDescent="0.35">
      <c r="A1493" s="82">
        <v>1490</v>
      </c>
      <c r="B1493" s="89" t="str">
        <f>_xlfn.XLOOKUP(A1493,'Model Modeshare by TAZ'!A:A,'Model Modeshare by TAZ'!B:B)</f>
        <v>Campbell</v>
      </c>
      <c r="C1493" s="90" t="str">
        <f>_xlfn.XLOOKUP(A1493,'Model Modeshare by TAZ'!A:A,'Model Modeshare by TAZ'!D:D)</f>
        <v>NO</v>
      </c>
      <c r="D1493" s="27">
        <v>3166.54</v>
      </c>
      <c r="E1493" s="27">
        <v>87400.1</v>
      </c>
      <c r="F1493" s="27">
        <v>0</v>
      </c>
      <c r="G1493" s="27">
        <v>0</v>
      </c>
      <c r="H1493" s="27">
        <v>3469.25</v>
      </c>
      <c r="I1493" s="27">
        <v>46744.800000000003</v>
      </c>
      <c r="J1493" s="6">
        <v>26</v>
      </c>
      <c r="K1493" s="6">
        <v>2933</v>
      </c>
      <c r="L1493" s="27">
        <v>0</v>
      </c>
      <c r="M1493" s="27">
        <v>15.937538356631437</v>
      </c>
      <c r="N1493" s="34">
        <v>32.216495437647858</v>
      </c>
    </row>
    <row r="1494" spans="1:14" x14ac:dyDescent="0.35">
      <c r="A1494" s="82">
        <v>1491</v>
      </c>
      <c r="B1494" s="89" t="str">
        <f>_xlfn.XLOOKUP(A1494,'Model Modeshare by TAZ'!A:A,'Model Modeshare by TAZ'!B:B)</f>
        <v>Daly City</v>
      </c>
      <c r="C1494" s="90" t="str">
        <f>_xlfn.XLOOKUP(A1494,'Model Modeshare by TAZ'!A:A,'Model Modeshare by TAZ'!D:D)</f>
        <v>YES</v>
      </c>
      <c r="D1494" s="27">
        <v>3807.25</v>
      </c>
      <c r="E1494" s="27">
        <v>66046.710000000006</v>
      </c>
      <c r="F1494" s="27">
        <v>2836.09</v>
      </c>
      <c r="G1494" s="27">
        <v>21783.3</v>
      </c>
      <c r="H1494" s="27">
        <v>480.35</v>
      </c>
      <c r="I1494" s="27">
        <v>5301.55</v>
      </c>
      <c r="J1494" s="6">
        <v>2088</v>
      </c>
      <c r="K1494" s="6">
        <v>360</v>
      </c>
      <c r="L1494" s="27">
        <v>10.432614942528735</v>
      </c>
      <c r="M1494" s="27">
        <v>14.726527777777779</v>
      </c>
      <c r="N1494" s="34">
        <v>23.878059640522874</v>
      </c>
    </row>
    <row r="1495" spans="1:14" x14ac:dyDescent="0.35">
      <c r="A1495" s="82">
        <v>1492</v>
      </c>
      <c r="B1495" s="89" t="str">
        <f>_xlfn.XLOOKUP(A1495,'Model Modeshare by TAZ'!A:A,'Model Modeshare by TAZ'!B:B)</f>
        <v>Unincorporated</v>
      </c>
      <c r="C1495" s="90" t="str">
        <f>_xlfn.XLOOKUP(A1495,'Model Modeshare by TAZ'!A:A,'Model Modeshare by TAZ'!D:D)</f>
        <v>YES</v>
      </c>
      <c r="D1495" s="27">
        <v>4405.87</v>
      </c>
      <c r="E1495" s="27">
        <v>60841.3</v>
      </c>
      <c r="F1495" s="27">
        <v>4269.26</v>
      </c>
      <c r="G1495" s="27">
        <v>30128.85</v>
      </c>
      <c r="H1495" s="27">
        <v>148.88999999999999</v>
      </c>
      <c r="I1495" s="27">
        <v>1529.41</v>
      </c>
      <c r="J1495" s="6">
        <v>3216</v>
      </c>
      <c r="K1495" s="6">
        <v>94</v>
      </c>
      <c r="L1495" s="27">
        <v>9.3684235074626869</v>
      </c>
      <c r="M1495" s="27">
        <v>16.270319148936171</v>
      </c>
      <c r="N1495" s="34">
        <v>16.193661631419939</v>
      </c>
    </row>
    <row r="1496" spans="1:14" x14ac:dyDescent="0.35">
      <c r="A1496" s="82">
        <v>1493</v>
      </c>
      <c r="B1496" s="89" t="str">
        <f>_xlfn.XLOOKUP(A1496,'Model Modeshare by TAZ'!A:A,'Model Modeshare by TAZ'!B:B)</f>
        <v>Daly City</v>
      </c>
      <c r="C1496" s="90" t="str">
        <f>_xlfn.XLOOKUP(A1496,'Model Modeshare by TAZ'!A:A,'Model Modeshare by TAZ'!D:D)</f>
        <v>YES</v>
      </c>
      <c r="D1496" s="27">
        <v>4807.47</v>
      </c>
      <c r="E1496" s="27">
        <v>46361.89</v>
      </c>
      <c r="F1496" s="27">
        <v>4163.2</v>
      </c>
      <c r="G1496" s="27">
        <v>23907.66</v>
      </c>
      <c r="H1496" s="27">
        <v>393.54</v>
      </c>
      <c r="I1496" s="27">
        <v>4094.27</v>
      </c>
      <c r="J1496" s="6">
        <v>3363</v>
      </c>
      <c r="K1496" s="6">
        <v>262</v>
      </c>
      <c r="L1496" s="27">
        <v>7.1090276538804638</v>
      </c>
      <c r="M1496" s="27">
        <v>15.626984732824427</v>
      </c>
      <c r="N1496" s="34">
        <v>11.54304551724138</v>
      </c>
    </row>
    <row r="1497" spans="1:14" x14ac:dyDescent="0.35">
      <c r="A1497" s="82">
        <v>1494</v>
      </c>
      <c r="B1497" s="89" t="str">
        <f>_xlfn.XLOOKUP(A1497,'Model Modeshare by TAZ'!A:A,'Model Modeshare by TAZ'!B:B)</f>
        <v>Daly City</v>
      </c>
      <c r="C1497" s="90" t="str">
        <f>_xlfn.XLOOKUP(A1497,'Model Modeshare by TAZ'!A:A,'Model Modeshare by TAZ'!D:D)</f>
        <v>YES</v>
      </c>
      <c r="D1497" s="27">
        <v>1780.48</v>
      </c>
      <c r="E1497" s="27">
        <v>29507.61</v>
      </c>
      <c r="F1497" s="27">
        <v>1719.4</v>
      </c>
      <c r="G1497" s="27">
        <v>14647.33</v>
      </c>
      <c r="H1497" s="27">
        <v>322.2</v>
      </c>
      <c r="I1497" s="27">
        <v>3709.15</v>
      </c>
      <c r="J1497" s="6">
        <v>1448</v>
      </c>
      <c r="K1497" s="6">
        <v>256</v>
      </c>
      <c r="L1497" s="27">
        <v>10.115559392265194</v>
      </c>
      <c r="M1497" s="27">
        <v>14.4888671875</v>
      </c>
      <c r="N1497" s="34">
        <v>21.61950704225352</v>
      </c>
    </row>
    <row r="1498" spans="1:14" x14ac:dyDescent="0.35">
      <c r="A1498" s="82">
        <v>1495</v>
      </c>
      <c r="B1498" s="89" t="str">
        <f>_xlfn.XLOOKUP(A1498,'Model Modeshare by TAZ'!A:A,'Model Modeshare by TAZ'!B:B)</f>
        <v>Daly City</v>
      </c>
      <c r="C1498" s="90" t="str">
        <f>_xlfn.XLOOKUP(A1498,'Model Modeshare by TAZ'!A:A,'Model Modeshare by TAZ'!D:D)</f>
        <v>YES</v>
      </c>
      <c r="D1498" s="27">
        <v>4229.28</v>
      </c>
      <c r="E1498" s="27">
        <v>70018.41</v>
      </c>
      <c r="F1498" s="27">
        <v>2935.2</v>
      </c>
      <c r="G1498" s="27">
        <v>25922.73</v>
      </c>
      <c r="H1498" s="27">
        <v>478.41</v>
      </c>
      <c r="I1498" s="27">
        <v>5664.94</v>
      </c>
      <c r="J1498" s="6">
        <v>2318</v>
      </c>
      <c r="K1498" s="6">
        <v>312</v>
      </c>
      <c r="L1498" s="27">
        <v>11.18323123382226</v>
      </c>
      <c r="M1498" s="27">
        <v>18.156858974358972</v>
      </c>
      <c r="N1498" s="34">
        <v>23.224840304182511</v>
      </c>
    </row>
    <row r="1499" spans="1:14" x14ac:dyDescent="0.35">
      <c r="A1499" s="82">
        <v>1496</v>
      </c>
      <c r="B1499" s="89" t="str">
        <f>_xlfn.XLOOKUP(A1499,'Model Modeshare by TAZ'!A:A,'Model Modeshare by TAZ'!B:B)</f>
        <v>Daly City</v>
      </c>
      <c r="C1499" s="90" t="str">
        <f>_xlfn.XLOOKUP(A1499,'Model Modeshare by TAZ'!A:A,'Model Modeshare by TAZ'!D:D)</f>
        <v>YES</v>
      </c>
      <c r="D1499" s="27">
        <v>396.63</v>
      </c>
      <c r="E1499" s="27">
        <v>6984.23</v>
      </c>
      <c r="F1499" s="27">
        <v>0</v>
      </c>
      <c r="G1499" s="27">
        <v>0</v>
      </c>
      <c r="H1499" s="27">
        <v>67.569999999999993</v>
      </c>
      <c r="I1499" s="27">
        <v>789.46</v>
      </c>
      <c r="J1499" s="6">
        <v>6</v>
      </c>
      <c r="K1499" s="6">
        <v>62</v>
      </c>
      <c r="L1499" s="27">
        <v>0</v>
      </c>
      <c r="M1499" s="27">
        <v>12.733225806451614</v>
      </c>
      <c r="N1499" s="34">
        <v>57.849852941176472</v>
      </c>
    </row>
    <row r="1500" spans="1:14" x14ac:dyDescent="0.35">
      <c r="A1500" s="82">
        <v>1497</v>
      </c>
      <c r="B1500" s="89" t="str">
        <f>_xlfn.XLOOKUP(A1500,'Model Modeshare by TAZ'!A:A,'Model Modeshare by TAZ'!B:B)</f>
        <v>Colma</v>
      </c>
      <c r="C1500" s="90" t="str">
        <f>_xlfn.XLOOKUP(A1500,'Model Modeshare by TAZ'!A:A,'Model Modeshare by TAZ'!D:D)</f>
        <v>YES</v>
      </c>
      <c r="D1500" s="27">
        <v>3261.68</v>
      </c>
      <c r="E1500" s="27">
        <v>41054.879999999997</v>
      </c>
      <c r="F1500" s="27">
        <v>1928.27</v>
      </c>
      <c r="G1500" s="27">
        <v>10548.09</v>
      </c>
      <c r="H1500" s="27">
        <v>921.47</v>
      </c>
      <c r="I1500" s="27">
        <v>9759.1200000000008</v>
      </c>
      <c r="J1500" s="6">
        <v>1415</v>
      </c>
      <c r="K1500" s="6">
        <v>791</v>
      </c>
      <c r="L1500" s="27">
        <v>7.4544805653710249</v>
      </c>
      <c r="M1500" s="27">
        <v>12.337699115044249</v>
      </c>
      <c r="N1500" s="34">
        <v>15.679496826835903</v>
      </c>
    </row>
    <row r="1501" spans="1:14" x14ac:dyDescent="0.35">
      <c r="A1501" s="82">
        <v>1498</v>
      </c>
      <c r="B1501" s="89" t="str">
        <f>_xlfn.XLOOKUP(A1501,'Model Modeshare by TAZ'!A:A,'Model Modeshare by TAZ'!B:B)</f>
        <v>Daly City</v>
      </c>
      <c r="C1501" s="90" t="str">
        <f>_xlfn.XLOOKUP(A1501,'Model Modeshare by TAZ'!A:A,'Model Modeshare by TAZ'!D:D)</f>
        <v>YES</v>
      </c>
      <c r="D1501" s="27">
        <v>2758.37</v>
      </c>
      <c r="E1501" s="27">
        <v>42367.839999999997</v>
      </c>
      <c r="F1501" s="27">
        <v>1968.37</v>
      </c>
      <c r="G1501" s="27">
        <v>14998.38</v>
      </c>
      <c r="H1501" s="27">
        <v>528.30999999999995</v>
      </c>
      <c r="I1501" s="27">
        <v>5653.5</v>
      </c>
      <c r="J1501" s="6">
        <v>1660</v>
      </c>
      <c r="K1501" s="6">
        <v>445</v>
      </c>
      <c r="L1501" s="27">
        <v>9.0351686746987951</v>
      </c>
      <c r="M1501" s="27">
        <v>12.704494382022473</v>
      </c>
      <c r="N1501" s="34">
        <v>18.936304038004749</v>
      </c>
    </row>
    <row r="1502" spans="1:14" x14ac:dyDescent="0.35">
      <c r="A1502" s="82">
        <v>1499</v>
      </c>
      <c r="B1502" s="89" t="str">
        <f>_xlfn.XLOOKUP(A1502,'Model Modeshare by TAZ'!A:A,'Model Modeshare by TAZ'!B:B)</f>
        <v>Daly City</v>
      </c>
      <c r="C1502" s="90" t="str">
        <f>_xlfn.XLOOKUP(A1502,'Model Modeshare by TAZ'!A:A,'Model Modeshare by TAZ'!D:D)</f>
        <v>YES</v>
      </c>
      <c r="D1502" s="27">
        <v>4414.88</v>
      </c>
      <c r="E1502" s="27">
        <v>71543.23</v>
      </c>
      <c r="F1502" s="27">
        <v>4523.3900000000003</v>
      </c>
      <c r="G1502" s="27">
        <v>35865.040000000001</v>
      </c>
      <c r="H1502" s="27">
        <v>662.83</v>
      </c>
      <c r="I1502" s="27">
        <v>7363.54</v>
      </c>
      <c r="J1502" s="6">
        <v>3323</v>
      </c>
      <c r="K1502" s="6">
        <v>433</v>
      </c>
      <c r="L1502" s="27">
        <v>10.792970207643696</v>
      </c>
      <c r="M1502" s="27">
        <v>17.005866050808315</v>
      </c>
      <c r="N1502" s="34">
        <v>19.997537273695421</v>
      </c>
    </row>
    <row r="1503" spans="1:14" x14ac:dyDescent="0.35">
      <c r="A1503" s="82">
        <v>1500</v>
      </c>
      <c r="B1503" s="89" t="str">
        <f>_xlfn.XLOOKUP(A1503,'Model Modeshare by TAZ'!A:A,'Model Modeshare by TAZ'!B:B)</f>
        <v>Daly City</v>
      </c>
      <c r="C1503" s="90" t="str">
        <f>_xlfn.XLOOKUP(A1503,'Model Modeshare by TAZ'!A:A,'Model Modeshare by TAZ'!D:D)</f>
        <v>YES</v>
      </c>
      <c r="D1503" s="27">
        <v>4537.59</v>
      </c>
      <c r="E1503" s="27">
        <v>68140.600000000006</v>
      </c>
      <c r="F1503" s="27">
        <v>2275.5300000000002</v>
      </c>
      <c r="G1503" s="27">
        <v>15848.35</v>
      </c>
      <c r="H1503" s="27">
        <v>927.9</v>
      </c>
      <c r="I1503" s="27">
        <v>9660.36</v>
      </c>
      <c r="J1503" s="6">
        <v>2064</v>
      </c>
      <c r="K1503" s="6">
        <v>984</v>
      </c>
      <c r="L1503" s="27">
        <v>7.6784641472868218</v>
      </c>
      <c r="M1503" s="27">
        <v>9.8174390243902447</v>
      </c>
      <c r="N1503" s="34">
        <v>25.392267060367455</v>
      </c>
    </row>
    <row r="1504" spans="1:14" x14ac:dyDescent="0.35">
      <c r="A1504" s="82">
        <v>1501</v>
      </c>
      <c r="B1504" s="89" t="str">
        <f>_xlfn.XLOOKUP(A1504,'Model Modeshare by TAZ'!A:A,'Model Modeshare by TAZ'!B:B)</f>
        <v>Daly City</v>
      </c>
      <c r="C1504" s="90" t="str">
        <f>_xlfn.XLOOKUP(A1504,'Model Modeshare by TAZ'!A:A,'Model Modeshare by TAZ'!D:D)</f>
        <v>YES</v>
      </c>
      <c r="D1504" s="27">
        <v>2634.79</v>
      </c>
      <c r="E1504" s="27">
        <v>41540.01</v>
      </c>
      <c r="F1504" s="27">
        <v>2409.34</v>
      </c>
      <c r="G1504" s="27">
        <v>17349.080000000002</v>
      </c>
      <c r="H1504" s="27">
        <v>502.97</v>
      </c>
      <c r="I1504" s="27">
        <v>5097.5200000000004</v>
      </c>
      <c r="J1504" s="6">
        <v>1869</v>
      </c>
      <c r="K1504" s="6">
        <v>343</v>
      </c>
      <c r="L1504" s="27">
        <v>9.2825468164794014</v>
      </c>
      <c r="M1504" s="27">
        <v>14.861574344023325</v>
      </c>
      <c r="N1504" s="34">
        <v>21.405664556962027</v>
      </c>
    </row>
    <row r="1505" spans="1:14" x14ac:dyDescent="0.35">
      <c r="A1505" s="82">
        <v>1502</v>
      </c>
      <c r="B1505" s="89" t="str">
        <f>_xlfn.XLOOKUP(A1505,'Model Modeshare by TAZ'!A:A,'Model Modeshare by TAZ'!B:B)</f>
        <v>Daly City</v>
      </c>
      <c r="C1505" s="90" t="str">
        <f>_xlfn.XLOOKUP(A1505,'Model Modeshare by TAZ'!A:A,'Model Modeshare by TAZ'!D:D)</f>
        <v>YES</v>
      </c>
      <c r="D1505" s="27">
        <v>5734.93</v>
      </c>
      <c r="E1505" s="27">
        <v>108760.34</v>
      </c>
      <c r="F1505" s="27">
        <v>5866.41</v>
      </c>
      <c r="G1505" s="27">
        <v>52558.27</v>
      </c>
      <c r="H1505" s="27">
        <v>438.93</v>
      </c>
      <c r="I1505" s="27">
        <v>5487.47</v>
      </c>
      <c r="J1505" s="6">
        <v>3862</v>
      </c>
      <c r="K1505" s="6">
        <v>272</v>
      </c>
      <c r="L1505" s="27">
        <v>13.609080787156913</v>
      </c>
      <c r="M1505" s="27">
        <v>20.174522058823531</v>
      </c>
      <c r="N1505" s="34">
        <v>22.683226898887277</v>
      </c>
    </row>
    <row r="1506" spans="1:14" x14ac:dyDescent="0.35">
      <c r="A1506" s="82">
        <v>1503</v>
      </c>
      <c r="B1506" s="89" t="str">
        <f>_xlfn.XLOOKUP(A1506,'Model Modeshare by TAZ'!A:A,'Model Modeshare by TAZ'!B:B)</f>
        <v>Daly City</v>
      </c>
      <c r="C1506" s="90" t="str">
        <f>_xlfn.XLOOKUP(A1506,'Model Modeshare by TAZ'!A:A,'Model Modeshare by TAZ'!D:D)</f>
        <v>YES</v>
      </c>
      <c r="D1506" s="27">
        <v>900.53</v>
      </c>
      <c r="E1506" s="27">
        <v>16452.490000000002</v>
      </c>
      <c r="F1506" s="27">
        <v>389.72</v>
      </c>
      <c r="G1506" s="27">
        <v>2967.37</v>
      </c>
      <c r="H1506" s="27">
        <v>309.58999999999997</v>
      </c>
      <c r="I1506" s="27">
        <v>3601.67</v>
      </c>
      <c r="J1506" s="6">
        <v>310</v>
      </c>
      <c r="K1506" s="6">
        <v>310</v>
      </c>
      <c r="L1506" s="27">
        <v>9.5721612903225797</v>
      </c>
      <c r="M1506" s="27">
        <v>11.618290322580645</v>
      </c>
      <c r="N1506" s="34">
        <v>27.530096774193549</v>
      </c>
    </row>
    <row r="1507" spans="1:14" x14ac:dyDescent="0.35">
      <c r="A1507" s="82">
        <v>1504</v>
      </c>
      <c r="B1507" s="89" t="str">
        <f>_xlfn.XLOOKUP(A1507,'Model Modeshare by TAZ'!A:A,'Model Modeshare by TAZ'!B:B)</f>
        <v>South San Francisco</v>
      </c>
      <c r="C1507" s="90" t="str">
        <f>_xlfn.XLOOKUP(A1507,'Model Modeshare by TAZ'!A:A,'Model Modeshare by TAZ'!D:D)</f>
        <v>YES</v>
      </c>
      <c r="D1507" s="27">
        <v>2981.32</v>
      </c>
      <c r="E1507" s="27">
        <v>62015.66</v>
      </c>
      <c r="F1507" s="27">
        <v>844.06</v>
      </c>
      <c r="G1507" s="27">
        <v>7244.66</v>
      </c>
      <c r="H1507" s="27">
        <v>984.36</v>
      </c>
      <c r="I1507" s="27">
        <v>12837.63</v>
      </c>
      <c r="J1507" s="6">
        <v>629</v>
      </c>
      <c r="K1507" s="6">
        <v>924</v>
      </c>
      <c r="L1507" s="27">
        <v>11.517742448330683</v>
      </c>
      <c r="M1507" s="27">
        <v>13.89353896103896</v>
      </c>
      <c r="N1507" s="34">
        <v>29.987939471989694</v>
      </c>
    </row>
    <row r="1508" spans="1:14" x14ac:dyDescent="0.35">
      <c r="A1508" s="82">
        <v>1505</v>
      </c>
      <c r="B1508" s="89" t="str">
        <f>_xlfn.XLOOKUP(A1508,'Model Modeshare by TAZ'!A:A,'Model Modeshare by TAZ'!B:B)</f>
        <v>South San Francisco</v>
      </c>
      <c r="C1508" s="90" t="str">
        <f>_xlfn.XLOOKUP(A1508,'Model Modeshare by TAZ'!A:A,'Model Modeshare by TAZ'!D:D)</f>
        <v>YES</v>
      </c>
      <c r="D1508" s="27">
        <v>1908.19</v>
      </c>
      <c r="E1508" s="27">
        <v>22896.9</v>
      </c>
      <c r="F1508" s="27">
        <v>1935.91</v>
      </c>
      <c r="G1508" s="27">
        <v>12523.43</v>
      </c>
      <c r="H1508" s="27">
        <v>79.48</v>
      </c>
      <c r="I1508" s="27">
        <v>997.65</v>
      </c>
      <c r="J1508" s="6">
        <v>1437</v>
      </c>
      <c r="K1508" s="6">
        <v>47</v>
      </c>
      <c r="L1508" s="27">
        <v>8.7149826026443975</v>
      </c>
      <c r="M1508" s="27">
        <v>21.22659574468085</v>
      </c>
      <c r="N1508" s="34">
        <v>13.680229110512128</v>
      </c>
    </row>
    <row r="1509" spans="1:14" x14ac:dyDescent="0.35">
      <c r="A1509" s="82">
        <v>1506</v>
      </c>
      <c r="B1509" s="89" t="str">
        <f>_xlfn.XLOOKUP(A1509,'Model Modeshare by TAZ'!A:A,'Model Modeshare by TAZ'!B:B)</f>
        <v>South San Francisco</v>
      </c>
      <c r="C1509" s="90" t="str">
        <f>_xlfn.XLOOKUP(A1509,'Model Modeshare by TAZ'!A:A,'Model Modeshare by TAZ'!D:D)</f>
        <v>YES</v>
      </c>
      <c r="D1509" s="27">
        <v>1620.54</v>
      </c>
      <c r="E1509" s="27">
        <v>24596.71</v>
      </c>
      <c r="F1509" s="27">
        <v>1601.76</v>
      </c>
      <c r="G1509" s="27">
        <v>12980.96</v>
      </c>
      <c r="H1509" s="27">
        <v>60.72</v>
      </c>
      <c r="I1509" s="27">
        <v>817.9</v>
      </c>
      <c r="J1509" s="6">
        <v>1315</v>
      </c>
      <c r="K1509" s="6">
        <v>37</v>
      </c>
      <c r="L1509" s="27">
        <v>9.8714524714828897</v>
      </c>
      <c r="M1509" s="27">
        <v>22.105405405405406</v>
      </c>
      <c r="N1509" s="34">
        <v>18.389415680473373</v>
      </c>
    </row>
    <row r="1510" spans="1:14" x14ac:dyDescent="0.35">
      <c r="A1510" s="82">
        <v>1507</v>
      </c>
      <c r="B1510" s="89" t="str">
        <f>_xlfn.XLOOKUP(A1510,'Model Modeshare by TAZ'!A:A,'Model Modeshare by TAZ'!B:B)</f>
        <v>South San Francisco</v>
      </c>
      <c r="C1510" s="90" t="str">
        <f>_xlfn.XLOOKUP(A1510,'Model Modeshare by TAZ'!A:A,'Model Modeshare by TAZ'!D:D)</f>
        <v>YES</v>
      </c>
      <c r="D1510" s="27">
        <v>1849.12</v>
      </c>
      <c r="E1510" s="27">
        <v>37477.97</v>
      </c>
      <c r="F1510" s="27">
        <v>31.14</v>
      </c>
      <c r="G1510" s="27">
        <v>263.27</v>
      </c>
      <c r="H1510" s="27">
        <v>796.73</v>
      </c>
      <c r="I1510" s="27">
        <v>10671.54</v>
      </c>
      <c r="J1510" s="6">
        <v>48</v>
      </c>
      <c r="K1510" s="6">
        <v>804</v>
      </c>
      <c r="L1510" s="27">
        <v>5.4847916666666663</v>
      </c>
      <c r="M1510" s="27">
        <v>13.273059701492539</v>
      </c>
      <c r="N1510" s="34">
        <v>42.469260563380281</v>
      </c>
    </row>
    <row r="1511" spans="1:14" x14ac:dyDescent="0.35">
      <c r="A1511" s="82">
        <v>1508</v>
      </c>
      <c r="B1511" s="89" t="str">
        <f>_xlfn.XLOOKUP(A1511,'Model Modeshare by TAZ'!A:A,'Model Modeshare by TAZ'!B:B)</f>
        <v>South San Francisco</v>
      </c>
      <c r="C1511" s="90" t="str">
        <f>_xlfn.XLOOKUP(A1511,'Model Modeshare by TAZ'!A:A,'Model Modeshare by TAZ'!D:D)</f>
        <v>YES</v>
      </c>
      <c r="D1511" s="27">
        <v>3294.04</v>
      </c>
      <c r="E1511" s="27">
        <v>48527.040000000001</v>
      </c>
      <c r="F1511" s="27">
        <v>2978.91</v>
      </c>
      <c r="G1511" s="27">
        <v>20354.38</v>
      </c>
      <c r="H1511" s="27">
        <v>388.25</v>
      </c>
      <c r="I1511" s="27">
        <v>4667.82</v>
      </c>
      <c r="J1511" s="6">
        <v>2205</v>
      </c>
      <c r="K1511" s="6">
        <v>240</v>
      </c>
      <c r="L1511" s="27">
        <v>9.2310113378684804</v>
      </c>
      <c r="M1511" s="27">
        <v>19.449249999999999</v>
      </c>
      <c r="N1511" s="34">
        <v>19.83283844580777</v>
      </c>
    </row>
    <row r="1512" spans="1:14" x14ac:dyDescent="0.35">
      <c r="A1512" s="82">
        <v>1509</v>
      </c>
      <c r="B1512" s="89" t="str">
        <f>_xlfn.XLOOKUP(A1512,'Model Modeshare by TAZ'!A:A,'Model Modeshare by TAZ'!B:B)</f>
        <v>South San Francisco</v>
      </c>
      <c r="C1512" s="90" t="str">
        <f>_xlfn.XLOOKUP(A1512,'Model Modeshare by TAZ'!A:A,'Model Modeshare by TAZ'!D:D)</f>
        <v>YES</v>
      </c>
      <c r="D1512" s="27">
        <v>4400.18</v>
      </c>
      <c r="E1512" s="27">
        <v>41778.269999999997</v>
      </c>
      <c r="F1512" s="27">
        <v>3703.41</v>
      </c>
      <c r="G1512" s="27">
        <v>19879.560000000001</v>
      </c>
      <c r="H1512" s="27">
        <v>1016.94</v>
      </c>
      <c r="I1512" s="27">
        <v>10815.28</v>
      </c>
      <c r="J1512" s="6">
        <v>2901</v>
      </c>
      <c r="K1512" s="6">
        <v>810</v>
      </c>
      <c r="L1512" s="27">
        <v>6.8526577042399177</v>
      </c>
      <c r="M1512" s="27">
        <v>13.352197530864199</v>
      </c>
      <c r="N1512" s="34">
        <v>13.88626515763945</v>
      </c>
    </row>
    <row r="1513" spans="1:14" x14ac:dyDescent="0.35">
      <c r="A1513" s="82">
        <v>1510</v>
      </c>
      <c r="B1513" s="89" t="str">
        <f>_xlfn.XLOOKUP(A1513,'Model Modeshare by TAZ'!A:A,'Model Modeshare by TAZ'!B:B)</f>
        <v>South San Francisco</v>
      </c>
      <c r="C1513" s="90" t="str">
        <f>_xlfn.XLOOKUP(A1513,'Model Modeshare by TAZ'!A:A,'Model Modeshare by TAZ'!D:D)</f>
        <v>YES</v>
      </c>
      <c r="D1513" s="27">
        <v>1972.76</v>
      </c>
      <c r="E1513" s="27">
        <v>25620</v>
      </c>
      <c r="F1513" s="27">
        <v>1354.6</v>
      </c>
      <c r="G1513" s="27">
        <v>8710.11</v>
      </c>
      <c r="H1513" s="27">
        <v>268.45</v>
      </c>
      <c r="I1513" s="27">
        <v>3190.89</v>
      </c>
      <c r="J1513" s="6">
        <v>963</v>
      </c>
      <c r="K1513" s="6">
        <v>169</v>
      </c>
      <c r="L1513" s="27">
        <v>9.0447663551401867</v>
      </c>
      <c r="M1513" s="27">
        <v>18.881005917159762</v>
      </c>
      <c r="N1513" s="34">
        <v>18.093365724381623</v>
      </c>
    </row>
    <row r="1514" spans="1:14" x14ac:dyDescent="0.35">
      <c r="A1514" s="82">
        <v>1511</v>
      </c>
      <c r="B1514" s="89" t="str">
        <f>_xlfn.XLOOKUP(A1514,'Model Modeshare by TAZ'!A:A,'Model Modeshare by TAZ'!B:B)</f>
        <v>South San Francisco</v>
      </c>
      <c r="C1514" s="90" t="str">
        <f>_xlfn.XLOOKUP(A1514,'Model Modeshare by TAZ'!A:A,'Model Modeshare by TAZ'!D:D)</f>
        <v>YES</v>
      </c>
      <c r="D1514" s="27">
        <v>2115.88</v>
      </c>
      <c r="E1514" s="27">
        <v>27640.32</v>
      </c>
      <c r="F1514" s="27">
        <v>2101.33</v>
      </c>
      <c r="G1514" s="27">
        <v>15393.84</v>
      </c>
      <c r="H1514" s="27">
        <v>65.56</v>
      </c>
      <c r="I1514" s="27">
        <v>727.66</v>
      </c>
      <c r="J1514" s="6">
        <v>1567</v>
      </c>
      <c r="K1514" s="6">
        <v>39</v>
      </c>
      <c r="L1514" s="27">
        <v>9.8237651563497135</v>
      </c>
      <c r="M1514" s="27">
        <v>18.657948717948717</v>
      </c>
      <c r="N1514" s="34">
        <v>15.511226650062266</v>
      </c>
    </row>
    <row r="1515" spans="1:14" x14ac:dyDescent="0.35">
      <c r="A1515" s="82">
        <v>1512</v>
      </c>
      <c r="B1515" s="89" t="str">
        <f>_xlfn.XLOOKUP(A1515,'Model Modeshare by TAZ'!A:A,'Model Modeshare by TAZ'!B:B)</f>
        <v>Daly City</v>
      </c>
      <c r="C1515" s="90" t="str">
        <f>_xlfn.XLOOKUP(A1515,'Model Modeshare by TAZ'!A:A,'Model Modeshare by TAZ'!D:D)</f>
        <v>YES</v>
      </c>
      <c r="D1515" s="27">
        <v>3469.7</v>
      </c>
      <c r="E1515" s="27">
        <v>55893.19</v>
      </c>
      <c r="F1515" s="27">
        <v>3261.97</v>
      </c>
      <c r="G1515" s="27">
        <v>27779.200000000001</v>
      </c>
      <c r="H1515" s="27">
        <v>105.9</v>
      </c>
      <c r="I1515" s="27">
        <v>1216.69</v>
      </c>
      <c r="J1515" s="6">
        <v>2317</v>
      </c>
      <c r="K1515" s="6">
        <v>66</v>
      </c>
      <c r="L1515" s="27">
        <v>11.98929650410013</v>
      </c>
      <c r="M1515" s="27">
        <v>18.434696969696972</v>
      </c>
      <c r="N1515" s="34">
        <v>19.180167855644143</v>
      </c>
    </row>
    <row r="1516" spans="1:14" x14ac:dyDescent="0.35">
      <c r="A1516" s="82">
        <v>1513</v>
      </c>
      <c r="B1516" s="89" t="str">
        <f>_xlfn.XLOOKUP(A1516,'Model Modeshare by TAZ'!A:A,'Model Modeshare by TAZ'!B:B)</f>
        <v>Pacifica</v>
      </c>
      <c r="C1516" s="90" t="str">
        <f>_xlfn.XLOOKUP(A1516,'Model Modeshare by TAZ'!A:A,'Model Modeshare by TAZ'!D:D)</f>
        <v>YES</v>
      </c>
      <c r="D1516" s="27">
        <v>1489.19</v>
      </c>
      <c r="E1516" s="27">
        <v>27927.74</v>
      </c>
      <c r="F1516" s="27">
        <v>1628.46</v>
      </c>
      <c r="G1516" s="27">
        <v>16138.67</v>
      </c>
      <c r="H1516" s="27">
        <v>12.47</v>
      </c>
      <c r="I1516" s="27">
        <v>163.51</v>
      </c>
      <c r="J1516" s="6">
        <v>1039</v>
      </c>
      <c r="K1516" s="6">
        <v>7</v>
      </c>
      <c r="L1516" s="27">
        <v>15.532887391722811</v>
      </c>
      <c r="M1516" s="27">
        <v>23.358571428571427</v>
      </c>
      <c r="N1516" s="34">
        <v>25.184263862332699</v>
      </c>
    </row>
    <row r="1517" spans="1:14" x14ac:dyDescent="0.35">
      <c r="A1517" s="82">
        <v>1514</v>
      </c>
      <c r="B1517" s="89" t="str">
        <f>_xlfn.XLOOKUP(A1517,'Model Modeshare by TAZ'!A:A,'Model Modeshare by TAZ'!B:B)</f>
        <v>Pacifica</v>
      </c>
      <c r="C1517" s="90" t="str">
        <f>_xlfn.XLOOKUP(A1517,'Model Modeshare by TAZ'!A:A,'Model Modeshare by TAZ'!D:D)</f>
        <v>YES</v>
      </c>
      <c r="D1517" s="27">
        <v>35.01</v>
      </c>
      <c r="E1517" s="27">
        <v>522.61</v>
      </c>
      <c r="F1517" s="27">
        <v>51.59</v>
      </c>
      <c r="G1517" s="27">
        <v>451.08</v>
      </c>
      <c r="H1517" s="27">
        <v>6.6</v>
      </c>
      <c r="I1517" s="27">
        <v>80.349999999999994</v>
      </c>
      <c r="J1517" s="6">
        <v>31</v>
      </c>
      <c r="K1517" s="6">
        <v>4</v>
      </c>
      <c r="L1517" s="27">
        <v>14.550967741935484</v>
      </c>
      <c r="M1517" s="27">
        <v>20.087499999999999</v>
      </c>
      <c r="N1517" s="34">
        <v>21.106571428571428</v>
      </c>
    </row>
    <row r="1518" spans="1:14" x14ac:dyDescent="0.35">
      <c r="A1518" s="82">
        <v>1515</v>
      </c>
      <c r="B1518" s="89" t="str">
        <f>_xlfn.XLOOKUP(A1518,'Model Modeshare by TAZ'!A:A,'Model Modeshare by TAZ'!B:B)</f>
        <v>Pacifica</v>
      </c>
      <c r="C1518" s="90" t="str">
        <f>_xlfn.XLOOKUP(A1518,'Model Modeshare by TAZ'!A:A,'Model Modeshare by TAZ'!D:D)</f>
        <v>YES</v>
      </c>
      <c r="D1518" s="27">
        <v>3974.9</v>
      </c>
      <c r="E1518" s="27">
        <v>49198.43</v>
      </c>
      <c r="F1518" s="27">
        <v>3111.54</v>
      </c>
      <c r="G1518" s="27">
        <v>21381.62</v>
      </c>
      <c r="H1518" s="27">
        <v>512.57000000000005</v>
      </c>
      <c r="I1518" s="27">
        <v>6323.95</v>
      </c>
      <c r="J1518" s="6">
        <v>1876</v>
      </c>
      <c r="K1518" s="6">
        <v>312</v>
      </c>
      <c r="L1518" s="27">
        <v>11.397452025586354</v>
      </c>
      <c r="M1518" s="27">
        <v>20.269070512820512</v>
      </c>
      <c r="N1518" s="34">
        <v>20.26863802559415</v>
      </c>
    </row>
    <row r="1519" spans="1:14" x14ac:dyDescent="0.35">
      <c r="A1519" s="82">
        <v>1516</v>
      </c>
      <c r="B1519" s="89" t="str">
        <f>_xlfn.XLOOKUP(A1519,'Model Modeshare by TAZ'!A:A,'Model Modeshare by TAZ'!B:B)</f>
        <v>Pacifica</v>
      </c>
      <c r="C1519" s="90" t="str">
        <f>_xlfn.XLOOKUP(A1519,'Model Modeshare by TAZ'!A:A,'Model Modeshare by TAZ'!D:D)</f>
        <v>YES</v>
      </c>
      <c r="D1519" s="27">
        <v>1199.8399999999999</v>
      </c>
      <c r="E1519" s="27">
        <v>24533.22</v>
      </c>
      <c r="F1519" s="27">
        <v>267.13</v>
      </c>
      <c r="G1519" s="27">
        <v>2538.5500000000002</v>
      </c>
      <c r="H1519" s="27">
        <v>320.74</v>
      </c>
      <c r="I1519" s="27">
        <v>4297.34</v>
      </c>
      <c r="J1519" s="6">
        <v>169</v>
      </c>
      <c r="K1519" s="6">
        <v>283</v>
      </c>
      <c r="L1519" s="27">
        <v>15.021005917159764</v>
      </c>
      <c r="M1519" s="27">
        <v>15.184946996466431</v>
      </c>
      <c r="N1519" s="34">
        <v>51.957079646017696</v>
      </c>
    </row>
    <row r="1520" spans="1:14" x14ac:dyDescent="0.35">
      <c r="A1520" s="82">
        <v>1517</v>
      </c>
      <c r="B1520" s="89" t="str">
        <f>_xlfn.XLOOKUP(A1520,'Model Modeshare by TAZ'!A:A,'Model Modeshare by TAZ'!B:B)</f>
        <v>Pacifica</v>
      </c>
      <c r="C1520" s="90" t="str">
        <f>_xlfn.XLOOKUP(A1520,'Model Modeshare by TAZ'!A:A,'Model Modeshare by TAZ'!D:D)</f>
        <v>YES</v>
      </c>
      <c r="D1520" s="27">
        <v>1304.1099999999999</v>
      </c>
      <c r="E1520" s="27">
        <v>15881.77</v>
      </c>
      <c r="F1520" s="27">
        <v>973.58</v>
      </c>
      <c r="G1520" s="27">
        <v>5929.11</v>
      </c>
      <c r="H1520" s="27">
        <v>236.07</v>
      </c>
      <c r="I1520" s="27">
        <v>2814.96</v>
      </c>
      <c r="J1520" s="6">
        <v>711</v>
      </c>
      <c r="K1520" s="6">
        <v>198</v>
      </c>
      <c r="L1520" s="27">
        <v>8.3391139240506327</v>
      </c>
      <c r="M1520" s="27">
        <v>14.216969696969697</v>
      </c>
      <c r="N1520" s="34">
        <v>13.272244224422442</v>
      </c>
    </row>
    <row r="1521" spans="1:14" x14ac:dyDescent="0.35">
      <c r="A1521" s="82">
        <v>1518</v>
      </c>
      <c r="B1521" s="89" t="str">
        <f>_xlfn.XLOOKUP(A1521,'Model Modeshare by TAZ'!A:A,'Model Modeshare by TAZ'!B:B)</f>
        <v>Pacifica</v>
      </c>
      <c r="C1521" s="90" t="str">
        <f>_xlfn.XLOOKUP(A1521,'Model Modeshare by TAZ'!A:A,'Model Modeshare by TAZ'!D:D)</f>
        <v>YES</v>
      </c>
      <c r="D1521" s="27">
        <v>3126.83</v>
      </c>
      <c r="E1521" s="27">
        <v>44603.06</v>
      </c>
      <c r="F1521" s="27">
        <v>2882.81</v>
      </c>
      <c r="G1521" s="27">
        <v>23598.82</v>
      </c>
      <c r="H1521" s="27">
        <v>418.96</v>
      </c>
      <c r="I1521" s="27">
        <v>4625.5</v>
      </c>
      <c r="J1521" s="6">
        <v>1814</v>
      </c>
      <c r="K1521" s="6">
        <v>260</v>
      </c>
      <c r="L1521" s="27">
        <v>13.009272326350606</v>
      </c>
      <c r="M1521" s="27">
        <v>17.790384615384614</v>
      </c>
      <c r="N1521" s="34">
        <v>18.841036644165861</v>
      </c>
    </row>
    <row r="1522" spans="1:14" x14ac:dyDescent="0.35">
      <c r="A1522" s="82">
        <v>1519</v>
      </c>
      <c r="B1522" s="89" t="str">
        <f>_xlfn.XLOOKUP(A1522,'Model Modeshare by TAZ'!A:A,'Model Modeshare by TAZ'!B:B)</f>
        <v>San Bruno</v>
      </c>
      <c r="C1522" s="90" t="str">
        <f>_xlfn.XLOOKUP(A1522,'Model Modeshare by TAZ'!A:A,'Model Modeshare by TAZ'!D:D)</f>
        <v>YES</v>
      </c>
      <c r="D1522" s="27">
        <v>4161.22</v>
      </c>
      <c r="E1522" s="27">
        <v>65451.86</v>
      </c>
      <c r="F1522" s="27">
        <v>3476.13</v>
      </c>
      <c r="G1522" s="27">
        <v>29372.17</v>
      </c>
      <c r="H1522" s="27">
        <v>644.66999999999996</v>
      </c>
      <c r="I1522" s="27">
        <v>7805.08</v>
      </c>
      <c r="J1522" s="6">
        <v>2357</v>
      </c>
      <c r="K1522" s="6">
        <v>477</v>
      </c>
      <c r="L1522" s="27">
        <v>12.461675859142977</v>
      </c>
      <c r="M1522" s="27">
        <v>16.362851153039831</v>
      </c>
      <c r="N1522" s="34">
        <v>25.982974594213125</v>
      </c>
    </row>
    <row r="1523" spans="1:14" x14ac:dyDescent="0.35">
      <c r="A1523" s="82">
        <v>1520</v>
      </c>
      <c r="B1523" s="89" t="str">
        <f>_xlfn.XLOOKUP(A1523,'Model Modeshare by TAZ'!A:A,'Model Modeshare by TAZ'!B:B)</f>
        <v>San Bruno</v>
      </c>
      <c r="C1523" s="90" t="str">
        <f>_xlfn.XLOOKUP(A1523,'Model Modeshare by TAZ'!A:A,'Model Modeshare by TAZ'!D:D)</f>
        <v>YES</v>
      </c>
      <c r="D1523" s="27">
        <v>3305.8</v>
      </c>
      <c r="E1523" s="27">
        <v>42378.02</v>
      </c>
      <c r="F1523" s="27">
        <v>3589.26</v>
      </c>
      <c r="G1523" s="27">
        <v>25258.62</v>
      </c>
      <c r="H1523" s="27">
        <v>155.97</v>
      </c>
      <c r="I1523" s="27">
        <v>1749</v>
      </c>
      <c r="J1523" s="6">
        <v>2513</v>
      </c>
      <c r="K1523" s="6">
        <v>97</v>
      </c>
      <c r="L1523" s="27">
        <v>10.051181854357342</v>
      </c>
      <c r="M1523" s="27">
        <v>18.030927835051546</v>
      </c>
      <c r="N1523" s="34">
        <v>14.056961685823754</v>
      </c>
    </row>
    <row r="1524" spans="1:14" x14ac:dyDescent="0.35">
      <c r="A1524" s="82">
        <v>1521</v>
      </c>
      <c r="B1524" s="89" t="str">
        <f>_xlfn.XLOOKUP(A1524,'Model Modeshare by TAZ'!A:A,'Model Modeshare by TAZ'!B:B)</f>
        <v>San Bruno</v>
      </c>
      <c r="C1524" s="90" t="str">
        <f>_xlfn.XLOOKUP(A1524,'Model Modeshare by TAZ'!A:A,'Model Modeshare by TAZ'!D:D)</f>
        <v>YES</v>
      </c>
      <c r="D1524" s="27">
        <v>2733.9</v>
      </c>
      <c r="E1524" s="27">
        <v>28924.28</v>
      </c>
      <c r="F1524" s="27">
        <v>3003.69</v>
      </c>
      <c r="G1524" s="27">
        <v>18508.099999999999</v>
      </c>
      <c r="H1524" s="27">
        <v>242</v>
      </c>
      <c r="I1524" s="27">
        <v>2886.68</v>
      </c>
      <c r="J1524" s="6">
        <v>2043</v>
      </c>
      <c r="K1524" s="6">
        <v>148</v>
      </c>
      <c r="L1524" s="27">
        <v>9.0592755751346061</v>
      </c>
      <c r="M1524" s="27">
        <v>19.504594594594593</v>
      </c>
      <c r="N1524" s="34">
        <v>13.894705613874942</v>
      </c>
    </row>
    <row r="1525" spans="1:14" x14ac:dyDescent="0.35">
      <c r="A1525" s="82">
        <v>1522</v>
      </c>
      <c r="B1525" s="89" t="str">
        <f>_xlfn.XLOOKUP(A1525,'Model Modeshare by TAZ'!A:A,'Model Modeshare by TAZ'!B:B)</f>
        <v>San Bruno</v>
      </c>
      <c r="C1525" s="90" t="str">
        <f>_xlfn.XLOOKUP(A1525,'Model Modeshare by TAZ'!A:A,'Model Modeshare by TAZ'!D:D)</f>
        <v>YES</v>
      </c>
      <c r="D1525" s="27">
        <v>2787.59</v>
      </c>
      <c r="E1525" s="27">
        <v>48677.58</v>
      </c>
      <c r="F1525" s="27">
        <v>2308.27</v>
      </c>
      <c r="G1525" s="27">
        <v>20344.11</v>
      </c>
      <c r="H1525" s="27">
        <v>52.24</v>
      </c>
      <c r="I1525" s="27">
        <v>731.78</v>
      </c>
      <c r="J1525" s="6">
        <v>1421</v>
      </c>
      <c r="K1525" s="6">
        <v>31</v>
      </c>
      <c r="L1525" s="27">
        <v>14.316755805770585</v>
      </c>
      <c r="M1525" s="27">
        <v>23.605806451612903</v>
      </c>
      <c r="N1525" s="34">
        <v>29.275020661157026</v>
      </c>
    </row>
    <row r="1526" spans="1:14" x14ac:dyDescent="0.35">
      <c r="A1526" s="82">
        <v>1523</v>
      </c>
      <c r="B1526" s="89" t="str">
        <f>_xlfn.XLOOKUP(A1526,'Model Modeshare by TAZ'!A:A,'Model Modeshare by TAZ'!B:B)</f>
        <v>San Bruno</v>
      </c>
      <c r="C1526" s="90" t="str">
        <f>_xlfn.XLOOKUP(A1526,'Model Modeshare by TAZ'!A:A,'Model Modeshare by TAZ'!D:D)</f>
        <v>YES</v>
      </c>
      <c r="D1526" s="27">
        <v>3776.05</v>
      </c>
      <c r="E1526" s="27">
        <v>40236.639999999999</v>
      </c>
      <c r="F1526" s="27">
        <v>3170.78</v>
      </c>
      <c r="G1526" s="27">
        <v>17513.599999999999</v>
      </c>
      <c r="H1526" s="27">
        <v>539.38</v>
      </c>
      <c r="I1526" s="27">
        <v>6495.59</v>
      </c>
      <c r="J1526" s="6">
        <v>2239</v>
      </c>
      <c r="K1526" s="6">
        <v>344</v>
      </c>
      <c r="L1526" s="27">
        <v>7.8220634211701645</v>
      </c>
      <c r="M1526" s="27">
        <v>18.882529069767443</v>
      </c>
      <c r="N1526" s="34">
        <v>12.904146341463417</v>
      </c>
    </row>
    <row r="1527" spans="1:14" x14ac:dyDescent="0.35">
      <c r="A1527" s="82">
        <v>1524</v>
      </c>
      <c r="B1527" s="89" t="str">
        <f>_xlfn.XLOOKUP(A1527,'Model Modeshare by TAZ'!A:A,'Model Modeshare by TAZ'!B:B)</f>
        <v>San Bruno</v>
      </c>
      <c r="C1527" s="90" t="str">
        <f>_xlfn.XLOOKUP(A1527,'Model Modeshare by TAZ'!A:A,'Model Modeshare by TAZ'!D:D)</f>
        <v>YES</v>
      </c>
      <c r="D1527" s="27">
        <v>2369.9899999999998</v>
      </c>
      <c r="E1527" s="27">
        <v>37847.75</v>
      </c>
      <c r="F1527" s="27">
        <v>2005.3</v>
      </c>
      <c r="G1527" s="27">
        <v>15113.51</v>
      </c>
      <c r="H1527" s="27">
        <v>177.83</v>
      </c>
      <c r="I1527" s="27">
        <v>2332.9699999999998</v>
      </c>
      <c r="J1527" s="6">
        <v>1680</v>
      </c>
      <c r="K1527" s="6">
        <v>110</v>
      </c>
      <c r="L1527" s="27">
        <v>8.9961369047619044</v>
      </c>
      <c r="M1527" s="27">
        <v>21.208818181818181</v>
      </c>
      <c r="N1527" s="34">
        <v>21.421206703910613</v>
      </c>
    </row>
    <row r="1528" spans="1:14" x14ac:dyDescent="0.35">
      <c r="A1528" s="82">
        <v>1525</v>
      </c>
      <c r="B1528" s="89" t="str">
        <f>_xlfn.XLOOKUP(A1528,'Model Modeshare by TAZ'!A:A,'Model Modeshare by TAZ'!B:B)</f>
        <v>San Bruno</v>
      </c>
      <c r="C1528" s="90" t="str">
        <f>_xlfn.XLOOKUP(A1528,'Model Modeshare by TAZ'!A:A,'Model Modeshare by TAZ'!D:D)</f>
        <v>YES</v>
      </c>
      <c r="D1528" s="27">
        <v>1768.6</v>
      </c>
      <c r="E1528" s="27">
        <v>30616.799999999999</v>
      </c>
      <c r="F1528" s="27">
        <v>1487.02</v>
      </c>
      <c r="G1528" s="27">
        <v>11153.01</v>
      </c>
      <c r="H1528" s="27">
        <v>490.4</v>
      </c>
      <c r="I1528" s="27">
        <v>6557.51</v>
      </c>
      <c r="J1528" s="6">
        <v>1255</v>
      </c>
      <c r="K1528" s="6">
        <v>455</v>
      </c>
      <c r="L1528" s="27">
        <v>8.8868605577689248</v>
      </c>
      <c r="M1528" s="27">
        <v>14.412109890109891</v>
      </c>
      <c r="N1528" s="34">
        <v>20.514877192982457</v>
      </c>
    </row>
    <row r="1529" spans="1:14" x14ac:dyDescent="0.35">
      <c r="A1529" s="82">
        <v>1526</v>
      </c>
      <c r="B1529" s="89" t="str">
        <f>_xlfn.XLOOKUP(A1529,'Model Modeshare by TAZ'!A:A,'Model Modeshare by TAZ'!B:B)</f>
        <v>Unincorporated</v>
      </c>
      <c r="C1529" s="90" t="str">
        <f>_xlfn.XLOOKUP(A1529,'Model Modeshare by TAZ'!A:A,'Model Modeshare by TAZ'!D:D)</f>
        <v>YES</v>
      </c>
      <c r="D1529" s="27">
        <v>3141.35</v>
      </c>
      <c r="E1529" s="27">
        <v>72447.009999999995</v>
      </c>
      <c r="F1529" s="27">
        <v>0</v>
      </c>
      <c r="G1529" s="27">
        <v>0</v>
      </c>
      <c r="H1529" s="27">
        <v>4524.04</v>
      </c>
      <c r="I1529" s="27">
        <v>66553.919999999998</v>
      </c>
      <c r="J1529" s="6">
        <v>9</v>
      </c>
      <c r="K1529" s="6">
        <v>4308</v>
      </c>
      <c r="L1529" s="27">
        <v>0</v>
      </c>
      <c r="M1529" s="27">
        <v>15.448913649025069</v>
      </c>
      <c r="N1529" s="34">
        <v>63.696256659717392</v>
      </c>
    </row>
    <row r="1530" spans="1:14" x14ac:dyDescent="0.35">
      <c r="A1530" s="82">
        <v>1527</v>
      </c>
      <c r="B1530" s="89" t="str">
        <f>_xlfn.XLOOKUP(A1530,'Model Modeshare by TAZ'!A:A,'Model Modeshare by TAZ'!B:B)</f>
        <v>Millbrae</v>
      </c>
      <c r="C1530" s="90" t="str">
        <f>_xlfn.XLOOKUP(A1530,'Model Modeshare by TAZ'!A:A,'Model Modeshare by TAZ'!D:D)</f>
        <v>YES</v>
      </c>
      <c r="D1530" s="27">
        <v>466.78</v>
      </c>
      <c r="E1530" s="27">
        <v>10630.82</v>
      </c>
      <c r="F1530" s="27">
        <v>0</v>
      </c>
      <c r="G1530" s="27">
        <v>0</v>
      </c>
      <c r="H1530" s="27">
        <v>370.71</v>
      </c>
      <c r="I1530" s="27">
        <v>5482.16</v>
      </c>
      <c r="J1530" s="6">
        <v>47</v>
      </c>
      <c r="K1530" s="6">
        <v>341</v>
      </c>
      <c r="L1530" s="27">
        <v>0</v>
      </c>
      <c r="M1530" s="27">
        <v>16.076715542521995</v>
      </c>
      <c r="N1530" s="34">
        <v>36.008608247422679</v>
      </c>
    </row>
    <row r="1531" spans="1:14" x14ac:dyDescent="0.35">
      <c r="A1531" s="82">
        <v>1528</v>
      </c>
      <c r="B1531" s="89" t="str">
        <f>_xlfn.XLOOKUP(A1531,'Model Modeshare by TAZ'!A:A,'Model Modeshare by TAZ'!B:B)</f>
        <v>Millbrae</v>
      </c>
      <c r="C1531" s="90" t="str">
        <f>_xlfn.XLOOKUP(A1531,'Model Modeshare by TAZ'!A:A,'Model Modeshare by TAZ'!D:D)</f>
        <v>YES</v>
      </c>
      <c r="D1531" s="27">
        <v>2017.27</v>
      </c>
      <c r="E1531" s="27">
        <v>21227.52</v>
      </c>
      <c r="F1531" s="27">
        <v>1132.29</v>
      </c>
      <c r="G1531" s="27">
        <v>5131.4799999999996</v>
      </c>
      <c r="H1531" s="27">
        <v>383.71</v>
      </c>
      <c r="I1531" s="27">
        <v>5138.8599999999997</v>
      </c>
      <c r="J1531" s="6">
        <v>896</v>
      </c>
      <c r="K1531" s="6">
        <v>370</v>
      </c>
      <c r="L1531" s="27">
        <v>5.7270982142857134</v>
      </c>
      <c r="M1531" s="27">
        <v>13.88881081081081</v>
      </c>
      <c r="N1531" s="34">
        <v>18.259265402843603</v>
      </c>
    </row>
    <row r="1532" spans="1:14" x14ac:dyDescent="0.35">
      <c r="A1532" s="82">
        <v>1529</v>
      </c>
      <c r="B1532" s="89" t="str">
        <f>_xlfn.XLOOKUP(A1532,'Model Modeshare by TAZ'!A:A,'Model Modeshare by TAZ'!B:B)</f>
        <v>Burlingame</v>
      </c>
      <c r="C1532" s="90" t="str">
        <f>_xlfn.XLOOKUP(A1532,'Model Modeshare by TAZ'!A:A,'Model Modeshare by TAZ'!D:D)</f>
        <v>YES</v>
      </c>
      <c r="D1532" s="27">
        <v>9264.4599999999991</v>
      </c>
      <c r="E1532" s="27">
        <v>162922.60999999999</v>
      </c>
      <c r="F1532" s="27">
        <v>1911.69</v>
      </c>
      <c r="G1532" s="27">
        <v>11403.27</v>
      </c>
      <c r="H1532" s="27">
        <v>3907.99</v>
      </c>
      <c r="I1532" s="27">
        <v>52839.21</v>
      </c>
      <c r="J1532" s="6">
        <v>1430</v>
      </c>
      <c r="K1532" s="6">
        <v>4166</v>
      </c>
      <c r="L1532" s="27">
        <v>7.9743146853146856</v>
      </c>
      <c r="M1532" s="27">
        <v>12.683439750360057</v>
      </c>
      <c r="N1532" s="34">
        <v>27.04892780557541</v>
      </c>
    </row>
    <row r="1533" spans="1:14" x14ac:dyDescent="0.35">
      <c r="A1533" s="82">
        <v>1530</v>
      </c>
      <c r="B1533" s="89" t="str">
        <f>_xlfn.XLOOKUP(A1533,'Model Modeshare by TAZ'!A:A,'Model Modeshare by TAZ'!B:B)</f>
        <v>Burlingame</v>
      </c>
      <c r="C1533" s="90" t="str">
        <f>_xlfn.XLOOKUP(A1533,'Model Modeshare by TAZ'!A:A,'Model Modeshare by TAZ'!D:D)</f>
        <v>YES</v>
      </c>
      <c r="D1533" s="27">
        <v>925.72</v>
      </c>
      <c r="E1533" s="27">
        <v>15062.74</v>
      </c>
      <c r="F1533" s="27">
        <v>1153.98</v>
      </c>
      <c r="G1533" s="27">
        <v>9604.57</v>
      </c>
      <c r="H1533" s="27">
        <v>22.29</v>
      </c>
      <c r="I1533" s="27">
        <v>328.91</v>
      </c>
      <c r="J1533" s="6">
        <v>775</v>
      </c>
      <c r="K1533" s="6">
        <v>13</v>
      </c>
      <c r="L1533" s="27">
        <v>12.392993548387096</v>
      </c>
      <c r="M1533" s="27">
        <v>25.300769230769234</v>
      </c>
      <c r="N1533" s="34">
        <v>20.20519035532995</v>
      </c>
    </row>
    <row r="1534" spans="1:14" x14ac:dyDescent="0.35">
      <c r="A1534" s="82">
        <v>1531</v>
      </c>
      <c r="B1534" s="89" t="str">
        <f>_xlfn.XLOOKUP(A1534,'Model Modeshare by TAZ'!A:A,'Model Modeshare by TAZ'!B:B)</f>
        <v>Burlingame</v>
      </c>
      <c r="C1534" s="90" t="str">
        <f>_xlfn.XLOOKUP(A1534,'Model Modeshare by TAZ'!A:A,'Model Modeshare by TAZ'!D:D)</f>
        <v>YES</v>
      </c>
      <c r="D1534" s="27">
        <v>2322.6999999999998</v>
      </c>
      <c r="E1534" s="27">
        <v>40236.43</v>
      </c>
      <c r="F1534" s="27">
        <v>2530.21</v>
      </c>
      <c r="G1534" s="27">
        <v>20863.27</v>
      </c>
      <c r="H1534" s="27">
        <v>264.75</v>
      </c>
      <c r="I1534" s="27">
        <v>4044.14</v>
      </c>
      <c r="J1534" s="6">
        <v>1598</v>
      </c>
      <c r="K1534" s="6">
        <v>166</v>
      </c>
      <c r="L1534" s="27">
        <v>13.055863579474343</v>
      </c>
      <c r="M1534" s="27">
        <v>24.362289156626506</v>
      </c>
      <c r="N1534" s="34">
        <v>24.91925170068027</v>
      </c>
    </row>
    <row r="1535" spans="1:14" x14ac:dyDescent="0.35">
      <c r="A1535" s="82">
        <v>1532</v>
      </c>
      <c r="B1535" s="89" t="str">
        <f>_xlfn.XLOOKUP(A1535,'Model Modeshare by TAZ'!A:A,'Model Modeshare by TAZ'!B:B)</f>
        <v>Burlingame</v>
      </c>
      <c r="C1535" s="90" t="str">
        <f>_xlfn.XLOOKUP(A1535,'Model Modeshare by TAZ'!A:A,'Model Modeshare by TAZ'!D:D)</f>
        <v>YES</v>
      </c>
      <c r="D1535" s="27">
        <v>4367.33</v>
      </c>
      <c r="E1535" s="27">
        <v>74560.72</v>
      </c>
      <c r="F1535" s="27">
        <v>3265.21</v>
      </c>
      <c r="G1535" s="27">
        <v>24372.34</v>
      </c>
      <c r="H1535" s="27">
        <v>736.39</v>
      </c>
      <c r="I1535" s="27">
        <v>10606.09</v>
      </c>
      <c r="J1535" s="6">
        <v>2274</v>
      </c>
      <c r="K1535" s="6">
        <v>683</v>
      </c>
      <c r="L1535" s="27">
        <v>10.717827616534741</v>
      </c>
      <c r="M1535" s="27">
        <v>15.528682284040995</v>
      </c>
      <c r="N1535" s="34">
        <v>25.076628339533311</v>
      </c>
    </row>
    <row r="1536" spans="1:14" x14ac:dyDescent="0.35">
      <c r="A1536" s="82">
        <v>1533</v>
      </c>
      <c r="B1536" s="89" t="str">
        <f>_xlfn.XLOOKUP(A1536,'Model Modeshare by TAZ'!A:A,'Model Modeshare by TAZ'!B:B)</f>
        <v>Burlingame</v>
      </c>
      <c r="C1536" s="90" t="str">
        <f>_xlfn.XLOOKUP(A1536,'Model Modeshare by TAZ'!A:A,'Model Modeshare by TAZ'!D:D)</f>
        <v>YES</v>
      </c>
      <c r="D1536" s="27">
        <v>4743.95</v>
      </c>
      <c r="E1536" s="27">
        <v>96953.21</v>
      </c>
      <c r="F1536" s="27">
        <v>1480.49</v>
      </c>
      <c r="G1536" s="27">
        <v>12890.74</v>
      </c>
      <c r="H1536" s="27">
        <v>1038.82</v>
      </c>
      <c r="I1536" s="27">
        <v>16732.38</v>
      </c>
      <c r="J1536" s="6">
        <v>906</v>
      </c>
      <c r="K1536" s="6">
        <v>1056</v>
      </c>
      <c r="L1536" s="27">
        <v>14.228189845474613</v>
      </c>
      <c r="M1536" s="27">
        <v>15.845056818181819</v>
      </c>
      <c r="N1536" s="34">
        <v>53.678399592252802</v>
      </c>
    </row>
    <row r="1537" spans="1:14" x14ac:dyDescent="0.35">
      <c r="A1537" s="82">
        <v>1534</v>
      </c>
      <c r="B1537" s="89" t="str">
        <f>_xlfn.XLOOKUP(A1537,'Model Modeshare by TAZ'!A:A,'Model Modeshare by TAZ'!B:B)</f>
        <v>Hillsborough</v>
      </c>
      <c r="C1537" s="90" t="str">
        <f>_xlfn.XLOOKUP(A1537,'Model Modeshare by TAZ'!A:A,'Model Modeshare by TAZ'!D:D)</f>
        <v>YES</v>
      </c>
      <c r="D1537" s="27">
        <v>2262.1799999999998</v>
      </c>
      <c r="E1537" s="27">
        <v>41674.65</v>
      </c>
      <c r="F1537" s="27">
        <v>2336.3200000000002</v>
      </c>
      <c r="G1537" s="27">
        <v>20707.04</v>
      </c>
      <c r="H1537" s="27">
        <v>121.32</v>
      </c>
      <c r="I1537" s="27">
        <v>1856.53</v>
      </c>
      <c r="J1537" s="6">
        <v>1466</v>
      </c>
      <c r="K1537" s="6">
        <v>70</v>
      </c>
      <c r="L1537" s="27">
        <v>14.124856753069578</v>
      </c>
      <c r="M1537" s="27">
        <v>26.521857142857144</v>
      </c>
      <c r="N1537" s="34">
        <v>24.899726562500003</v>
      </c>
    </row>
    <row r="1538" spans="1:14" x14ac:dyDescent="0.35">
      <c r="A1538" s="82">
        <v>1535</v>
      </c>
      <c r="B1538" s="89" t="str">
        <f>_xlfn.XLOOKUP(A1538,'Model Modeshare by TAZ'!A:A,'Model Modeshare by TAZ'!B:B)</f>
        <v>Hillsborough</v>
      </c>
      <c r="C1538" s="90" t="str">
        <f>_xlfn.XLOOKUP(A1538,'Model Modeshare by TAZ'!A:A,'Model Modeshare by TAZ'!D:D)</f>
        <v>YES</v>
      </c>
      <c r="D1538" s="27">
        <v>1977.99</v>
      </c>
      <c r="E1538" s="27">
        <v>36785.32</v>
      </c>
      <c r="F1538" s="27">
        <v>1797.33</v>
      </c>
      <c r="G1538" s="27">
        <v>15773.18</v>
      </c>
      <c r="H1538" s="27">
        <v>626.63</v>
      </c>
      <c r="I1538" s="27">
        <v>9375.7900000000009</v>
      </c>
      <c r="J1538" s="6">
        <v>1069</v>
      </c>
      <c r="K1538" s="6">
        <v>547</v>
      </c>
      <c r="L1538" s="27">
        <v>14.755079513564079</v>
      </c>
      <c r="M1538" s="27">
        <v>17.14038391224863</v>
      </c>
      <c r="N1538" s="34">
        <v>29.637351485148514</v>
      </c>
    </row>
    <row r="1539" spans="1:14" x14ac:dyDescent="0.35">
      <c r="A1539" s="82">
        <v>1536</v>
      </c>
      <c r="B1539" s="89" t="str">
        <f>_xlfn.XLOOKUP(A1539,'Model Modeshare by TAZ'!A:A,'Model Modeshare by TAZ'!B:B)</f>
        <v>San Mateo</v>
      </c>
      <c r="C1539" s="90" t="str">
        <f>_xlfn.XLOOKUP(A1539,'Model Modeshare by TAZ'!A:A,'Model Modeshare by TAZ'!D:D)</f>
        <v>YES</v>
      </c>
      <c r="D1539" s="27">
        <v>2138.58</v>
      </c>
      <c r="E1539" s="27">
        <v>36792.559999999998</v>
      </c>
      <c r="F1539" s="27">
        <v>2031.83</v>
      </c>
      <c r="G1539" s="27">
        <v>17232.62</v>
      </c>
      <c r="H1539" s="27">
        <v>240.53</v>
      </c>
      <c r="I1539" s="27">
        <v>3807.23</v>
      </c>
      <c r="J1539" s="6">
        <v>1192</v>
      </c>
      <c r="K1539" s="6">
        <v>151</v>
      </c>
      <c r="L1539" s="27">
        <v>14.456895973154362</v>
      </c>
      <c r="M1539" s="27">
        <v>25.213443708609272</v>
      </c>
      <c r="N1539" s="34">
        <v>31.533626209977665</v>
      </c>
    </row>
    <row r="1540" spans="1:14" x14ac:dyDescent="0.35">
      <c r="A1540" s="82">
        <v>1537</v>
      </c>
      <c r="B1540" s="89" t="str">
        <f>_xlfn.XLOOKUP(A1540,'Model Modeshare by TAZ'!A:A,'Model Modeshare by TAZ'!B:B)</f>
        <v>San Mateo</v>
      </c>
      <c r="C1540" s="90" t="str">
        <f>_xlfn.XLOOKUP(A1540,'Model Modeshare by TAZ'!A:A,'Model Modeshare by TAZ'!D:D)</f>
        <v>YES</v>
      </c>
      <c r="D1540" s="27">
        <v>2416.58</v>
      </c>
      <c r="E1540" s="27">
        <v>39518.160000000003</v>
      </c>
      <c r="F1540" s="27">
        <v>2604.14</v>
      </c>
      <c r="G1540" s="27">
        <v>20063.599999999999</v>
      </c>
      <c r="H1540" s="27">
        <v>370.1</v>
      </c>
      <c r="I1540" s="27">
        <v>5520.44</v>
      </c>
      <c r="J1540" s="6">
        <v>1904</v>
      </c>
      <c r="K1540" s="6">
        <v>237</v>
      </c>
      <c r="L1540" s="27">
        <v>10.537605042016805</v>
      </c>
      <c r="M1540" s="27">
        <v>23.292995780590715</v>
      </c>
      <c r="N1540" s="34">
        <v>21.396996730499765</v>
      </c>
    </row>
    <row r="1541" spans="1:14" x14ac:dyDescent="0.35">
      <c r="A1541" s="82">
        <v>1538</v>
      </c>
      <c r="B1541" s="89" t="str">
        <f>_xlfn.XLOOKUP(A1541,'Model Modeshare by TAZ'!A:A,'Model Modeshare by TAZ'!B:B)</f>
        <v>San Mateo</v>
      </c>
      <c r="C1541" s="90" t="str">
        <f>_xlfn.XLOOKUP(A1541,'Model Modeshare by TAZ'!A:A,'Model Modeshare by TAZ'!D:D)</f>
        <v>YES</v>
      </c>
      <c r="D1541" s="27">
        <v>4847.7700000000004</v>
      </c>
      <c r="E1541" s="27">
        <v>82390.179999999993</v>
      </c>
      <c r="F1541" s="27">
        <v>4025.92</v>
      </c>
      <c r="G1541" s="27">
        <v>31559.22</v>
      </c>
      <c r="H1541" s="27">
        <v>1060.46</v>
      </c>
      <c r="I1541" s="27">
        <v>15751.6</v>
      </c>
      <c r="J1541" s="6">
        <v>2741</v>
      </c>
      <c r="K1541" s="6">
        <v>894</v>
      </c>
      <c r="L1541" s="27">
        <v>11.513761400948558</v>
      </c>
      <c r="M1541" s="27">
        <v>17.61923937360179</v>
      </c>
      <c r="N1541" s="34">
        <v>25.250773039889957</v>
      </c>
    </row>
    <row r="1542" spans="1:14" x14ac:dyDescent="0.35">
      <c r="A1542" s="82">
        <v>1539</v>
      </c>
      <c r="B1542" s="89" t="str">
        <f>_xlfn.XLOOKUP(A1542,'Model Modeshare by TAZ'!A:A,'Model Modeshare by TAZ'!B:B)</f>
        <v>San Mateo</v>
      </c>
      <c r="C1542" s="90" t="str">
        <f>_xlfn.XLOOKUP(A1542,'Model Modeshare by TAZ'!A:A,'Model Modeshare by TAZ'!D:D)</f>
        <v>YES</v>
      </c>
      <c r="D1542" s="27">
        <v>3371.39</v>
      </c>
      <c r="E1542" s="27">
        <v>54505.29</v>
      </c>
      <c r="F1542" s="27">
        <v>2865.26</v>
      </c>
      <c r="G1542" s="27">
        <v>22190.01</v>
      </c>
      <c r="H1542" s="27">
        <v>357.64</v>
      </c>
      <c r="I1542" s="27">
        <v>5405.33</v>
      </c>
      <c r="J1542" s="6">
        <v>2108</v>
      </c>
      <c r="K1542" s="6">
        <v>229</v>
      </c>
      <c r="L1542" s="27">
        <v>10.526570208728652</v>
      </c>
      <c r="M1542" s="27">
        <v>23.604061135371179</v>
      </c>
      <c r="N1542" s="34">
        <v>22.315378690629011</v>
      </c>
    </row>
    <row r="1543" spans="1:14" x14ac:dyDescent="0.35">
      <c r="A1543" s="82">
        <v>1540</v>
      </c>
      <c r="B1543" s="89" t="str">
        <f>_xlfn.XLOOKUP(A1543,'Model Modeshare by TAZ'!A:A,'Model Modeshare by TAZ'!B:B)</f>
        <v>San Mateo</v>
      </c>
      <c r="C1543" s="90" t="str">
        <f>_xlfn.XLOOKUP(A1543,'Model Modeshare by TAZ'!A:A,'Model Modeshare by TAZ'!D:D)</f>
        <v>YES</v>
      </c>
      <c r="D1543" s="27">
        <v>2451.89</v>
      </c>
      <c r="E1543" s="27">
        <v>37084.92</v>
      </c>
      <c r="F1543" s="27">
        <v>1259.8900000000001</v>
      </c>
      <c r="G1543" s="27">
        <v>10090.950000000001</v>
      </c>
      <c r="H1543" s="27">
        <v>364.6</v>
      </c>
      <c r="I1543" s="27">
        <v>5521.36</v>
      </c>
      <c r="J1543" s="6">
        <v>988</v>
      </c>
      <c r="K1543" s="6">
        <v>297</v>
      </c>
      <c r="L1543" s="27">
        <v>10.213512145748989</v>
      </c>
      <c r="M1543" s="27">
        <v>18.590437710437708</v>
      </c>
      <c r="N1543" s="34">
        <v>24.785766536964982</v>
      </c>
    </row>
    <row r="1544" spans="1:14" x14ac:dyDescent="0.35">
      <c r="A1544" s="82">
        <v>1541</v>
      </c>
      <c r="B1544" s="89" t="str">
        <f>_xlfn.XLOOKUP(A1544,'Model Modeshare by TAZ'!A:A,'Model Modeshare by TAZ'!B:B)</f>
        <v>Foster City</v>
      </c>
      <c r="C1544" s="90" t="str">
        <f>_xlfn.XLOOKUP(A1544,'Model Modeshare by TAZ'!A:A,'Model Modeshare by TAZ'!D:D)</f>
        <v>YES</v>
      </c>
      <c r="D1544" s="27">
        <v>3198.7</v>
      </c>
      <c r="E1544" s="27">
        <v>63471.14</v>
      </c>
      <c r="F1544" s="27">
        <v>7.13</v>
      </c>
      <c r="G1544" s="27">
        <v>73.58</v>
      </c>
      <c r="H1544" s="27">
        <v>824.41</v>
      </c>
      <c r="I1544" s="27">
        <v>12441.08</v>
      </c>
      <c r="J1544" s="6">
        <v>5</v>
      </c>
      <c r="K1544" s="6">
        <v>783</v>
      </c>
      <c r="L1544" s="27">
        <v>14.715999999999999</v>
      </c>
      <c r="M1544" s="27">
        <v>15.888991060025543</v>
      </c>
      <c r="N1544" s="34">
        <v>39.090342639593906</v>
      </c>
    </row>
    <row r="1545" spans="1:14" x14ac:dyDescent="0.35">
      <c r="A1545" s="82">
        <v>1542</v>
      </c>
      <c r="B1545" s="89" t="str">
        <f>_xlfn.XLOOKUP(A1545,'Model Modeshare by TAZ'!A:A,'Model Modeshare by TAZ'!B:B)</f>
        <v>San Mateo</v>
      </c>
      <c r="C1545" s="90" t="str">
        <f>_xlfn.XLOOKUP(A1545,'Model Modeshare by TAZ'!A:A,'Model Modeshare by TAZ'!D:D)</f>
        <v>YES</v>
      </c>
      <c r="D1545" s="27">
        <v>5627.93</v>
      </c>
      <c r="E1545" s="27">
        <v>107402.79</v>
      </c>
      <c r="F1545" s="27">
        <v>3637.76</v>
      </c>
      <c r="G1545" s="27">
        <v>30623.29</v>
      </c>
      <c r="H1545" s="27">
        <v>1745.26</v>
      </c>
      <c r="I1545" s="27">
        <v>26056.400000000001</v>
      </c>
      <c r="J1545" s="6">
        <v>2230</v>
      </c>
      <c r="K1545" s="6">
        <v>1670</v>
      </c>
      <c r="L1545" s="27">
        <v>13.732417040358746</v>
      </c>
      <c r="M1545" s="27">
        <v>15.602634730538924</v>
      </c>
      <c r="N1545" s="34">
        <v>34.685441025641026</v>
      </c>
    </row>
    <row r="1546" spans="1:14" x14ac:dyDescent="0.35">
      <c r="A1546" s="82">
        <v>1543</v>
      </c>
      <c r="B1546" s="89" t="str">
        <f>_xlfn.XLOOKUP(A1546,'Model Modeshare by TAZ'!A:A,'Model Modeshare by TAZ'!B:B)</f>
        <v>Belmont</v>
      </c>
      <c r="C1546" s="90" t="str">
        <f>_xlfn.XLOOKUP(A1546,'Model Modeshare by TAZ'!A:A,'Model Modeshare by TAZ'!D:D)</f>
        <v>YES</v>
      </c>
      <c r="D1546" s="27">
        <v>3629</v>
      </c>
      <c r="E1546" s="27">
        <v>82469.490000000005</v>
      </c>
      <c r="F1546" s="27">
        <v>784.95</v>
      </c>
      <c r="G1546" s="27">
        <v>5983.47</v>
      </c>
      <c r="H1546" s="27">
        <v>2159.33</v>
      </c>
      <c r="I1546" s="27">
        <v>32545.97</v>
      </c>
      <c r="J1546" s="6">
        <v>503</v>
      </c>
      <c r="K1546" s="6">
        <v>2032</v>
      </c>
      <c r="L1546" s="27">
        <v>11.895566600397615</v>
      </c>
      <c r="M1546" s="27">
        <v>16.016717519685042</v>
      </c>
      <c r="N1546" s="34">
        <v>33.812875739644973</v>
      </c>
    </row>
    <row r="1547" spans="1:14" x14ac:dyDescent="0.35">
      <c r="A1547" s="82">
        <v>1544</v>
      </c>
      <c r="B1547" s="89" t="str">
        <f>_xlfn.XLOOKUP(A1547,'Model Modeshare by TAZ'!A:A,'Model Modeshare by TAZ'!B:B)</f>
        <v>San Mateo</v>
      </c>
      <c r="C1547" s="90" t="str">
        <f>_xlfn.XLOOKUP(A1547,'Model Modeshare by TAZ'!A:A,'Model Modeshare by TAZ'!D:D)</f>
        <v>YES</v>
      </c>
      <c r="D1547" s="27">
        <v>4235.3900000000003</v>
      </c>
      <c r="E1547" s="27">
        <v>99436.6</v>
      </c>
      <c r="F1547" s="27">
        <v>622.03</v>
      </c>
      <c r="G1547" s="27">
        <v>5648.35</v>
      </c>
      <c r="H1547" s="27">
        <v>1638.85</v>
      </c>
      <c r="I1547" s="27">
        <v>26928.5</v>
      </c>
      <c r="J1547" s="6">
        <v>408</v>
      </c>
      <c r="K1547" s="6">
        <v>1622</v>
      </c>
      <c r="L1547" s="27">
        <v>13.843995098039217</v>
      </c>
      <c r="M1547" s="27">
        <v>16.602034525277436</v>
      </c>
      <c r="N1547" s="34">
        <v>44.012862068965518</v>
      </c>
    </row>
    <row r="1548" spans="1:14" x14ac:dyDescent="0.35">
      <c r="A1548" s="82">
        <v>1545</v>
      </c>
      <c r="B1548" s="89" t="str">
        <f>_xlfn.XLOOKUP(A1548,'Model Modeshare by TAZ'!A:A,'Model Modeshare by TAZ'!B:B)</f>
        <v>San Mateo</v>
      </c>
      <c r="C1548" s="90" t="str">
        <f>_xlfn.XLOOKUP(A1548,'Model Modeshare by TAZ'!A:A,'Model Modeshare by TAZ'!D:D)</f>
        <v>YES</v>
      </c>
      <c r="D1548" s="27">
        <v>4194.8</v>
      </c>
      <c r="E1548" s="27">
        <v>73696.11</v>
      </c>
      <c r="F1548" s="27">
        <v>3720.4</v>
      </c>
      <c r="G1548" s="27">
        <v>28972.38</v>
      </c>
      <c r="H1548" s="27">
        <v>1119.43</v>
      </c>
      <c r="I1548" s="27">
        <v>17108.32</v>
      </c>
      <c r="J1548" s="6">
        <v>2508</v>
      </c>
      <c r="K1548" s="6">
        <v>1074</v>
      </c>
      <c r="L1548" s="27">
        <v>11.551985645933014</v>
      </c>
      <c r="M1548" s="27">
        <v>15.929534450651769</v>
      </c>
      <c r="N1548" s="34">
        <v>22.862682858738136</v>
      </c>
    </row>
    <row r="1549" spans="1:14" x14ac:dyDescent="0.35">
      <c r="A1549" s="82">
        <v>1546</v>
      </c>
      <c r="B1549" s="89" t="str">
        <f>_xlfn.XLOOKUP(A1549,'Model Modeshare by TAZ'!A:A,'Model Modeshare by TAZ'!B:B)</f>
        <v>San Mateo</v>
      </c>
      <c r="C1549" s="90" t="str">
        <f>_xlfn.XLOOKUP(A1549,'Model Modeshare by TAZ'!A:A,'Model Modeshare by TAZ'!D:D)</f>
        <v>YES</v>
      </c>
      <c r="D1549" s="27">
        <v>5198.16</v>
      </c>
      <c r="E1549" s="27">
        <v>99569.47</v>
      </c>
      <c r="F1549" s="27">
        <v>1880.33</v>
      </c>
      <c r="G1549" s="27">
        <v>13965.89</v>
      </c>
      <c r="H1549" s="27">
        <v>2423.87</v>
      </c>
      <c r="I1549" s="27">
        <v>35666.720000000001</v>
      </c>
      <c r="J1549" s="6">
        <v>1521</v>
      </c>
      <c r="K1549" s="6">
        <v>2381</v>
      </c>
      <c r="L1549" s="27">
        <v>9.1820447074293217</v>
      </c>
      <c r="M1549" s="27">
        <v>14.97972280554389</v>
      </c>
      <c r="N1549" s="34">
        <v>32.512547411583803</v>
      </c>
    </row>
    <row r="1550" spans="1:14" x14ac:dyDescent="0.35">
      <c r="A1550" s="82">
        <v>1547</v>
      </c>
      <c r="B1550" s="89" t="str">
        <f>_xlfn.XLOOKUP(A1550,'Model Modeshare by TAZ'!A:A,'Model Modeshare by TAZ'!B:B)</f>
        <v>San Mateo</v>
      </c>
      <c r="C1550" s="90" t="str">
        <f>_xlfn.XLOOKUP(A1550,'Model Modeshare by TAZ'!A:A,'Model Modeshare by TAZ'!D:D)</f>
        <v>YES</v>
      </c>
      <c r="D1550" s="27">
        <v>6970.17</v>
      </c>
      <c r="E1550" s="27">
        <v>123848.92</v>
      </c>
      <c r="F1550" s="27">
        <v>3702.33</v>
      </c>
      <c r="G1550" s="27">
        <v>27363.69</v>
      </c>
      <c r="H1550" s="27">
        <v>1541.36</v>
      </c>
      <c r="I1550" s="27">
        <v>23354.73</v>
      </c>
      <c r="J1550" s="6">
        <v>2545</v>
      </c>
      <c r="K1550" s="6">
        <v>1511</v>
      </c>
      <c r="L1550" s="27">
        <v>10.751941060903732</v>
      </c>
      <c r="M1550" s="27">
        <v>15.456472534745201</v>
      </c>
      <c r="N1550" s="34">
        <v>30.215120808678499</v>
      </c>
    </row>
    <row r="1551" spans="1:14" x14ac:dyDescent="0.35">
      <c r="A1551" s="82">
        <v>1548</v>
      </c>
      <c r="B1551" s="89" t="str">
        <f>_xlfn.XLOOKUP(A1551,'Model Modeshare by TAZ'!A:A,'Model Modeshare by TAZ'!B:B)</f>
        <v>San Mateo</v>
      </c>
      <c r="C1551" s="90" t="str">
        <f>_xlfn.XLOOKUP(A1551,'Model Modeshare by TAZ'!A:A,'Model Modeshare by TAZ'!D:D)</f>
        <v>YES</v>
      </c>
      <c r="D1551" s="27">
        <v>2584.48</v>
      </c>
      <c r="E1551" s="27">
        <v>31068.65</v>
      </c>
      <c r="F1551" s="27">
        <v>2578.81</v>
      </c>
      <c r="G1551" s="27">
        <v>16400.36</v>
      </c>
      <c r="H1551" s="27">
        <v>234.07</v>
      </c>
      <c r="I1551" s="27">
        <v>3290.97</v>
      </c>
      <c r="J1551" s="6">
        <v>1646</v>
      </c>
      <c r="K1551" s="6">
        <v>143</v>
      </c>
      <c r="L1551" s="27">
        <v>9.9637667071688938</v>
      </c>
      <c r="M1551" s="27">
        <v>23.013776223776222</v>
      </c>
      <c r="N1551" s="34">
        <v>17.378814980435997</v>
      </c>
    </row>
    <row r="1552" spans="1:14" x14ac:dyDescent="0.35">
      <c r="A1552" s="82">
        <v>1549</v>
      </c>
      <c r="B1552" s="89" t="str">
        <f>_xlfn.XLOOKUP(A1552,'Model Modeshare by TAZ'!A:A,'Model Modeshare by TAZ'!B:B)</f>
        <v>San Mateo</v>
      </c>
      <c r="C1552" s="90" t="str">
        <f>_xlfn.XLOOKUP(A1552,'Model Modeshare by TAZ'!A:A,'Model Modeshare by TAZ'!D:D)</f>
        <v>YES</v>
      </c>
      <c r="D1552" s="27">
        <v>19050.13</v>
      </c>
      <c r="E1552" s="27">
        <v>361223.72</v>
      </c>
      <c r="F1552" s="27">
        <v>917.31</v>
      </c>
      <c r="G1552" s="27">
        <v>7159.08</v>
      </c>
      <c r="H1552" s="27">
        <v>2091.0300000000002</v>
      </c>
      <c r="I1552" s="27">
        <v>31741.81</v>
      </c>
      <c r="J1552" s="6">
        <v>639</v>
      </c>
      <c r="K1552" s="6">
        <v>2164</v>
      </c>
      <c r="L1552" s="27">
        <v>11.203568075117371</v>
      </c>
      <c r="M1552" s="27">
        <v>14.66811922365989</v>
      </c>
      <c r="N1552" s="34">
        <v>72.301487691758837</v>
      </c>
    </row>
    <row r="1553" spans="1:14" x14ac:dyDescent="0.35">
      <c r="A1553" s="82">
        <v>1550</v>
      </c>
      <c r="B1553" s="89" t="str">
        <f>_xlfn.XLOOKUP(A1553,'Model Modeshare by TAZ'!A:A,'Model Modeshare by TAZ'!B:B)</f>
        <v>San Mateo</v>
      </c>
      <c r="C1553" s="90" t="str">
        <f>_xlfn.XLOOKUP(A1553,'Model Modeshare by TAZ'!A:A,'Model Modeshare by TAZ'!D:D)</f>
        <v>YES</v>
      </c>
      <c r="D1553" s="27">
        <v>2546.58</v>
      </c>
      <c r="E1553" s="27">
        <v>31629.98</v>
      </c>
      <c r="F1553" s="27">
        <v>2662.84</v>
      </c>
      <c r="G1553" s="27">
        <v>17556.97</v>
      </c>
      <c r="H1553" s="27">
        <v>205.01</v>
      </c>
      <c r="I1553" s="27">
        <v>2818</v>
      </c>
      <c r="J1553" s="6">
        <v>1753</v>
      </c>
      <c r="K1553" s="6">
        <v>126</v>
      </c>
      <c r="L1553" s="27">
        <v>10.015385054192812</v>
      </c>
      <c r="M1553" s="27">
        <v>22.365079365079364</v>
      </c>
      <c r="N1553" s="34">
        <v>16.875316657796702</v>
      </c>
    </row>
    <row r="1554" spans="1:14" x14ac:dyDescent="0.35">
      <c r="A1554" s="82">
        <v>1551</v>
      </c>
      <c r="B1554" s="89" t="str">
        <f>_xlfn.XLOOKUP(A1554,'Model Modeshare by TAZ'!A:A,'Model Modeshare by TAZ'!B:B)</f>
        <v>Belmont</v>
      </c>
      <c r="C1554" s="90" t="str">
        <f>_xlfn.XLOOKUP(A1554,'Model Modeshare by TAZ'!A:A,'Model Modeshare by TAZ'!D:D)</f>
        <v>YES</v>
      </c>
      <c r="D1554" s="27">
        <v>2604.62</v>
      </c>
      <c r="E1554" s="27">
        <v>28313.52</v>
      </c>
      <c r="F1554" s="27">
        <v>955.65</v>
      </c>
      <c r="G1554" s="27">
        <v>4896.16</v>
      </c>
      <c r="H1554" s="27">
        <v>771.41</v>
      </c>
      <c r="I1554" s="27">
        <v>10793</v>
      </c>
      <c r="J1554" s="6">
        <v>650</v>
      </c>
      <c r="K1554" s="6">
        <v>758</v>
      </c>
      <c r="L1554" s="27">
        <v>7.5325538461538457</v>
      </c>
      <c r="M1554" s="27">
        <v>14.238786279683378</v>
      </c>
      <c r="N1554" s="34">
        <v>22.680390625000001</v>
      </c>
    </row>
    <row r="1555" spans="1:14" x14ac:dyDescent="0.35">
      <c r="A1555" s="82">
        <v>1552</v>
      </c>
      <c r="B1555" s="89" t="str">
        <f>_xlfn.XLOOKUP(A1555,'Model Modeshare by TAZ'!A:A,'Model Modeshare by TAZ'!B:B)</f>
        <v>Belmont</v>
      </c>
      <c r="C1555" s="90" t="str">
        <f>_xlfn.XLOOKUP(A1555,'Model Modeshare by TAZ'!A:A,'Model Modeshare by TAZ'!D:D)</f>
        <v>YES</v>
      </c>
      <c r="D1555" s="27">
        <v>11304.05</v>
      </c>
      <c r="E1555" s="27">
        <v>201423.74</v>
      </c>
      <c r="F1555" s="27">
        <v>9839.7000000000007</v>
      </c>
      <c r="G1555" s="27">
        <v>87068.76</v>
      </c>
      <c r="H1555" s="27">
        <v>2242.6799999999998</v>
      </c>
      <c r="I1555" s="27">
        <v>34670.97</v>
      </c>
      <c r="J1555" s="6">
        <v>5349</v>
      </c>
      <c r="K1555" s="6">
        <v>1612</v>
      </c>
      <c r="L1555" s="27">
        <v>16.277577117218172</v>
      </c>
      <c r="M1555" s="27">
        <v>21.508045905707196</v>
      </c>
      <c r="N1555" s="34">
        <v>33.065487717281997</v>
      </c>
    </row>
    <row r="1556" spans="1:14" x14ac:dyDescent="0.35">
      <c r="A1556" s="82">
        <v>1553</v>
      </c>
      <c r="B1556" s="89" t="str">
        <f>_xlfn.XLOOKUP(A1556,'Model Modeshare by TAZ'!A:A,'Model Modeshare by TAZ'!B:B)</f>
        <v>Belmont</v>
      </c>
      <c r="C1556" s="90" t="str">
        <f>_xlfn.XLOOKUP(A1556,'Model Modeshare by TAZ'!A:A,'Model Modeshare by TAZ'!D:D)</f>
        <v>YES</v>
      </c>
      <c r="D1556" s="27">
        <v>2668.91</v>
      </c>
      <c r="E1556" s="27">
        <v>51667.75</v>
      </c>
      <c r="F1556" s="27">
        <v>2880.26</v>
      </c>
      <c r="G1556" s="27">
        <v>27871.9</v>
      </c>
      <c r="H1556" s="27">
        <v>122.67</v>
      </c>
      <c r="I1556" s="27">
        <v>1977.27</v>
      </c>
      <c r="J1556" s="6">
        <v>1690</v>
      </c>
      <c r="K1556" s="6">
        <v>70</v>
      </c>
      <c r="L1556" s="27">
        <v>16.49224852071006</v>
      </c>
      <c r="M1556" s="27">
        <v>28.246714285714287</v>
      </c>
      <c r="N1556" s="34">
        <v>28.813772727272728</v>
      </c>
    </row>
    <row r="1557" spans="1:14" x14ac:dyDescent="0.35">
      <c r="A1557" s="82">
        <v>1554</v>
      </c>
      <c r="B1557" s="89" t="str">
        <f>_xlfn.XLOOKUP(A1557,'Model Modeshare by TAZ'!A:A,'Model Modeshare by TAZ'!B:B)</f>
        <v>San Mateo</v>
      </c>
      <c r="C1557" s="90" t="str">
        <f>_xlfn.XLOOKUP(A1557,'Model Modeshare by TAZ'!A:A,'Model Modeshare by TAZ'!D:D)</f>
        <v>YES</v>
      </c>
      <c r="D1557" s="27">
        <v>5534.23</v>
      </c>
      <c r="E1557" s="27">
        <v>100536.61</v>
      </c>
      <c r="F1557" s="27">
        <v>0</v>
      </c>
      <c r="G1557" s="27">
        <v>0</v>
      </c>
      <c r="H1557" s="27">
        <v>1369.8</v>
      </c>
      <c r="I1557" s="27">
        <v>21021.29</v>
      </c>
      <c r="J1557" s="6">
        <v>2</v>
      </c>
      <c r="K1557" s="6">
        <v>1236</v>
      </c>
      <c r="L1557" s="27">
        <v>0</v>
      </c>
      <c r="M1557" s="27">
        <v>17.007516181229775</v>
      </c>
      <c r="N1557" s="34">
        <v>103.80571890145396</v>
      </c>
    </row>
    <row r="1558" spans="1:14" x14ac:dyDescent="0.35">
      <c r="A1558" s="82">
        <v>1555</v>
      </c>
      <c r="B1558" s="89" t="str">
        <f>_xlfn.XLOOKUP(A1558,'Model Modeshare by TAZ'!A:A,'Model Modeshare by TAZ'!B:B)</f>
        <v>Unincorporated</v>
      </c>
      <c r="C1558" s="90" t="str">
        <f>_xlfn.XLOOKUP(A1558,'Model Modeshare by TAZ'!A:A,'Model Modeshare by TAZ'!D:D)</f>
        <v>YES</v>
      </c>
      <c r="D1558" s="27">
        <v>28.42</v>
      </c>
      <c r="E1558" s="27">
        <v>619.91</v>
      </c>
      <c r="F1558" s="27">
        <v>1.67</v>
      </c>
      <c r="G1558" s="27">
        <v>17.7</v>
      </c>
      <c r="H1558" s="27">
        <v>25.89</v>
      </c>
      <c r="I1558" s="27">
        <v>401.3</v>
      </c>
      <c r="J1558" s="6">
        <v>11</v>
      </c>
      <c r="K1558" s="6">
        <v>19</v>
      </c>
      <c r="L1558" s="27">
        <v>1.6090909090909091</v>
      </c>
      <c r="M1558" s="27">
        <v>21.121052631578948</v>
      </c>
      <c r="N1558" s="34">
        <v>35.730666666666671</v>
      </c>
    </row>
    <row r="1559" spans="1:14" x14ac:dyDescent="0.35">
      <c r="A1559" s="82">
        <v>1556</v>
      </c>
      <c r="B1559" s="89" t="str">
        <f>_xlfn.XLOOKUP(A1559,'Model Modeshare by TAZ'!A:A,'Model Modeshare by TAZ'!B:B)</f>
        <v>Half Moon Bay</v>
      </c>
      <c r="C1559" s="90" t="str">
        <f>_xlfn.XLOOKUP(A1559,'Model Modeshare by TAZ'!A:A,'Model Modeshare by TAZ'!D:D)</f>
        <v>YES</v>
      </c>
      <c r="D1559" s="27">
        <v>1536.18</v>
      </c>
      <c r="E1559" s="27">
        <v>30565.24</v>
      </c>
      <c r="F1559" s="27">
        <v>756.74</v>
      </c>
      <c r="G1559" s="27">
        <v>7239.64</v>
      </c>
      <c r="H1559" s="27">
        <v>306.94</v>
      </c>
      <c r="I1559" s="27">
        <v>4805.55</v>
      </c>
      <c r="J1559" s="6">
        <v>473</v>
      </c>
      <c r="K1559" s="6">
        <v>262</v>
      </c>
      <c r="L1559" s="27">
        <v>15.305792811839325</v>
      </c>
      <c r="M1559" s="27">
        <v>18.341793893129772</v>
      </c>
      <c r="N1559" s="34">
        <v>37.556136054421764</v>
      </c>
    </row>
    <row r="1560" spans="1:14" x14ac:dyDescent="0.35">
      <c r="A1560" s="82">
        <v>1557</v>
      </c>
      <c r="B1560" s="89" t="str">
        <f>_xlfn.XLOOKUP(A1560,'Model Modeshare by TAZ'!A:A,'Model Modeshare by TAZ'!B:B)</f>
        <v>Half Moon Bay</v>
      </c>
      <c r="C1560" s="90" t="str">
        <f>_xlfn.XLOOKUP(A1560,'Model Modeshare by TAZ'!A:A,'Model Modeshare by TAZ'!D:D)</f>
        <v>YES</v>
      </c>
      <c r="D1560" s="27">
        <v>8013.19</v>
      </c>
      <c r="E1560" s="27">
        <v>164230.44</v>
      </c>
      <c r="F1560" s="27">
        <v>5585.31</v>
      </c>
      <c r="G1560" s="27">
        <v>52533.81</v>
      </c>
      <c r="H1560" s="27">
        <v>1628.92</v>
      </c>
      <c r="I1560" s="27">
        <v>26350.12</v>
      </c>
      <c r="J1560" s="6">
        <v>3657</v>
      </c>
      <c r="K1560" s="6">
        <v>1338</v>
      </c>
      <c r="L1560" s="27">
        <v>14.365274815422477</v>
      </c>
      <c r="M1560" s="27">
        <v>19.693662182361734</v>
      </c>
      <c r="N1560" s="34">
        <v>35.566918918918923</v>
      </c>
    </row>
    <row r="1561" spans="1:14" x14ac:dyDescent="0.35">
      <c r="A1561" s="82">
        <v>1558</v>
      </c>
      <c r="B1561" s="89" t="str">
        <f>_xlfn.XLOOKUP(A1561,'Model Modeshare by TAZ'!A:A,'Model Modeshare by TAZ'!B:B)</f>
        <v>Half Moon Bay</v>
      </c>
      <c r="C1561" s="90" t="str">
        <f>_xlfn.XLOOKUP(A1561,'Model Modeshare by TAZ'!A:A,'Model Modeshare by TAZ'!D:D)</f>
        <v>YES</v>
      </c>
      <c r="D1561" s="27">
        <v>22713.77</v>
      </c>
      <c r="E1561" s="27">
        <v>499241.36</v>
      </c>
      <c r="F1561" s="27">
        <v>10574</v>
      </c>
      <c r="G1561" s="27">
        <v>107894.26</v>
      </c>
      <c r="H1561" s="27">
        <v>4868.13</v>
      </c>
      <c r="I1561" s="27">
        <v>85074.5</v>
      </c>
      <c r="J1561" s="6">
        <v>6454</v>
      </c>
      <c r="K1561" s="6">
        <v>4641</v>
      </c>
      <c r="L1561" s="27">
        <v>16.717424852804463</v>
      </c>
      <c r="M1561" s="27">
        <v>18.33107088989442</v>
      </c>
      <c r="N1561" s="34">
        <v>40.021004055881022</v>
      </c>
    </row>
    <row r="1562" spans="1:14" x14ac:dyDescent="0.35">
      <c r="A1562" s="82">
        <v>1559</v>
      </c>
      <c r="B1562" s="89" t="str">
        <f>_xlfn.XLOOKUP(A1562,'Model Modeshare by TAZ'!A:A,'Model Modeshare by TAZ'!B:B)</f>
        <v>Unincorporated</v>
      </c>
      <c r="C1562" s="90" t="str">
        <f>_xlfn.XLOOKUP(A1562,'Model Modeshare by TAZ'!A:A,'Model Modeshare by TAZ'!D:D)</f>
        <v>YES</v>
      </c>
      <c r="D1562" s="27">
        <v>39.479999999999997</v>
      </c>
      <c r="E1562" s="27">
        <v>1741.44</v>
      </c>
      <c r="F1562" s="27">
        <v>62.47</v>
      </c>
      <c r="G1562" s="27">
        <v>1432.39</v>
      </c>
      <c r="H1562" s="27">
        <v>0</v>
      </c>
      <c r="I1562" s="27">
        <v>0</v>
      </c>
      <c r="J1562" s="6">
        <v>32</v>
      </c>
      <c r="K1562" s="6">
        <v>0</v>
      </c>
      <c r="L1562" s="27">
        <v>44.762187500000003</v>
      </c>
      <c r="M1562" s="27">
        <v>0</v>
      </c>
      <c r="N1562" s="34">
        <v>64.821250000000006</v>
      </c>
    </row>
    <row r="1563" spans="1:14" x14ac:dyDescent="0.35">
      <c r="A1563" s="82">
        <v>1560</v>
      </c>
      <c r="B1563" s="89" t="str">
        <f>_xlfn.XLOOKUP(A1563,'Model Modeshare by TAZ'!A:A,'Model Modeshare by TAZ'!B:B)</f>
        <v>Unincorporated</v>
      </c>
      <c r="C1563" s="90" t="str">
        <f>_xlfn.XLOOKUP(A1563,'Model Modeshare by TAZ'!A:A,'Model Modeshare by TAZ'!D:D)</f>
        <v>YES</v>
      </c>
      <c r="D1563" s="27">
        <v>31.33</v>
      </c>
      <c r="E1563" s="27">
        <v>624.45000000000005</v>
      </c>
      <c r="F1563" s="27">
        <v>35.53</v>
      </c>
      <c r="G1563" s="27">
        <v>423.34</v>
      </c>
      <c r="H1563" s="27">
        <v>0</v>
      </c>
      <c r="I1563" s="27">
        <v>0</v>
      </c>
      <c r="J1563" s="6">
        <v>22</v>
      </c>
      <c r="K1563" s="6">
        <v>0</v>
      </c>
      <c r="L1563" s="27">
        <v>19.242727272727272</v>
      </c>
      <c r="M1563" s="27">
        <v>0</v>
      </c>
      <c r="N1563" s="34">
        <v>24.62590909090909</v>
      </c>
    </row>
    <row r="1564" spans="1:14" x14ac:dyDescent="0.35">
      <c r="A1564" s="82">
        <v>1561</v>
      </c>
      <c r="B1564" s="89" t="str">
        <f>_xlfn.XLOOKUP(A1564,'Model Modeshare by TAZ'!A:A,'Model Modeshare by TAZ'!B:B)</f>
        <v>Woodside</v>
      </c>
      <c r="C1564" s="90" t="str">
        <f>_xlfn.XLOOKUP(A1564,'Model Modeshare by TAZ'!A:A,'Model Modeshare by TAZ'!D:D)</f>
        <v>YES</v>
      </c>
      <c r="D1564" s="27">
        <v>1867.13</v>
      </c>
      <c r="E1564" s="27">
        <v>31119.98</v>
      </c>
      <c r="F1564" s="27">
        <v>182.56</v>
      </c>
      <c r="G1564" s="27">
        <v>2236.83</v>
      </c>
      <c r="H1564" s="27">
        <v>10.6</v>
      </c>
      <c r="I1564" s="27">
        <v>197.26</v>
      </c>
      <c r="J1564" s="6">
        <v>94</v>
      </c>
      <c r="K1564" s="6">
        <v>6</v>
      </c>
      <c r="L1564" s="27">
        <v>23.796063829787233</v>
      </c>
      <c r="M1564" s="27">
        <v>32.876666666666665</v>
      </c>
      <c r="N1564" s="34">
        <v>429.90350000000001</v>
      </c>
    </row>
    <row r="1565" spans="1:14" x14ac:dyDescent="0.35">
      <c r="A1565" s="82">
        <v>1562</v>
      </c>
      <c r="B1565" s="89" t="str">
        <f>_xlfn.XLOOKUP(A1565,'Model Modeshare by TAZ'!A:A,'Model Modeshare by TAZ'!B:B)</f>
        <v>Redwood City</v>
      </c>
      <c r="C1565" s="90" t="str">
        <f>_xlfn.XLOOKUP(A1565,'Model Modeshare by TAZ'!A:A,'Model Modeshare by TAZ'!D:D)</f>
        <v>YES</v>
      </c>
      <c r="D1565" s="27">
        <v>3220.16</v>
      </c>
      <c r="E1565" s="27">
        <v>53002.18</v>
      </c>
      <c r="F1565" s="27">
        <v>1595.72</v>
      </c>
      <c r="G1565" s="27">
        <v>12209.41</v>
      </c>
      <c r="H1565" s="27">
        <v>504.67</v>
      </c>
      <c r="I1565" s="27">
        <v>7145.57</v>
      </c>
      <c r="J1565" s="6">
        <v>989</v>
      </c>
      <c r="K1565" s="6">
        <v>487</v>
      </c>
      <c r="L1565" s="27">
        <v>12.34520728008089</v>
      </c>
      <c r="M1565" s="27">
        <v>14.672628336755647</v>
      </c>
      <c r="N1565" s="34">
        <v>33.548733062330626</v>
      </c>
    </row>
    <row r="1566" spans="1:14" x14ac:dyDescent="0.35">
      <c r="A1566" s="82">
        <v>1563</v>
      </c>
      <c r="B1566" s="89" t="str">
        <f>_xlfn.XLOOKUP(A1566,'Model Modeshare by TAZ'!A:A,'Model Modeshare by TAZ'!B:B)</f>
        <v>Redwood City</v>
      </c>
      <c r="C1566" s="90" t="str">
        <f>_xlfn.XLOOKUP(A1566,'Model Modeshare by TAZ'!A:A,'Model Modeshare by TAZ'!D:D)</f>
        <v>YES</v>
      </c>
      <c r="D1566" s="27">
        <v>1993.11</v>
      </c>
      <c r="E1566" s="27">
        <v>33494.46</v>
      </c>
      <c r="F1566" s="27">
        <v>2081.9499999999998</v>
      </c>
      <c r="G1566" s="27">
        <v>16969.54</v>
      </c>
      <c r="H1566" s="27">
        <v>188.06</v>
      </c>
      <c r="I1566" s="27">
        <v>2825.27</v>
      </c>
      <c r="J1566" s="6">
        <v>1265</v>
      </c>
      <c r="K1566" s="6">
        <v>112</v>
      </c>
      <c r="L1566" s="27">
        <v>13.414656126482214</v>
      </c>
      <c r="M1566" s="27">
        <v>25.225625000000001</v>
      </c>
      <c r="N1566" s="34">
        <v>27.312599854756716</v>
      </c>
    </row>
    <row r="1567" spans="1:14" x14ac:dyDescent="0.35">
      <c r="A1567" s="82">
        <v>1564</v>
      </c>
      <c r="B1567" s="89" t="str">
        <f>_xlfn.XLOOKUP(A1567,'Model Modeshare by TAZ'!A:A,'Model Modeshare by TAZ'!B:B)</f>
        <v>San Carlos</v>
      </c>
      <c r="C1567" s="90" t="str">
        <f>_xlfn.XLOOKUP(A1567,'Model Modeshare by TAZ'!A:A,'Model Modeshare by TAZ'!D:D)</f>
        <v>YES</v>
      </c>
      <c r="D1567" s="27">
        <v>5899.39</v>
      </c>
      <c r="E1567" s="27">
        <v>119171.77</v>
      </c>
      <c r="F1567" s="27">
        <v>6488.8</v>
      </c>
      <c r="G1567" s="27">
        <v>63547.73</v>
      </c>
      <c r="H1567" s="27">
        <v>964.6</v>
      </c>
      <c r="I1567" s="27">
        <v>15768.97</v>
      </c>
      <c r="J1567" s="6">
        <v>3705</v>
      </c>
      <c r="K1567" s="6">
        <v>570</v>
      </c>
      <c r="L1567" s="27">
        <v>17.151883940620785</v>
      </c>
      <c r="M1567" s="27">
        <v>27.664859649122807</v>
      </c>
      <c r="N1567" s="34">
        <v>32.428774269005849</v>
      </c>
    </row>
    <row r="1568" spans="1:14" x14ac:dyDescent="0.35">
      <c r="A1568" s="82">
        <v>1565</v>
      </c>
      <c r="B1568" s="89" t="str">
        <f>_xlfn.XLOOKUP(A1568,'Model Modeshare by TAZ'!A:A,'Model Modeshare by TAZ'!B:B)</f>
        <v>San Carlos</v>
      </c>
      <c r="C1568" s="90" t="str">
        <f>_xlfn.XLOOKUP(A1568,'Model Modeshare by TAZ'!A:A,'Model Modeshare by TAZ'!D:D)</f>
        <v>YES</v>
      </c>
      <c r="D1568" s="27">
        <v>3479</v>
      </c>
      <c r="E1568" s="27">
        <v>57949.74</v>
      </c>
      <c r="F1568" s="27">
        <v>3636.73</v>
      </c>
      <c r="G1568" s="27">
        <v>30350.54</v>
      </c>
      <c r="H1568" s="27">
        <v>296.2</v>
      </c>
      <c r="I1568" s="27">
        <v>4404.1000000000004</v>
      </c>
      <c r="J1568" s="6">
        <v>2217</v>
      </c>
      <c r="K1568" s="6">
        <v>175</v>
      </c>
      <c r="L1568" s="27">
        <v>13.689914298601714</v>
      </c>
      <c r="M1568" s="27">
        <v>25.166285714285717</v>
      </c>
      <c r="N1568" s="34">
        <v>25.550234113712374</v>
      </c>
    </row>
    <row r="1569" spans="1:14" x14ac:dyDescent="0.35">
      <c r="A1569" s="82">
        <v>1566</v>
      </c>
      <c r="B1569" s="89" t="str">
        <f>_xlfn.XLOOKUP(A1569,'Model Modeshare by TAZ'!A:A,'Model Modeshare by TAZ'!B:B)</f>
        <v>San Carlos</v>
      </c>
      <c r="C1569" s="90" t="str">
        <f>_xlfn.XLOOKUP(A1569,'Model Modeshare by TAZ'!A:A,'Model Modeshare by TAZ'!D:D)</f>
        <v>YES</v>
      </c>
      <c r="D1569" s="27">
        <v>3704.11</v>
      </c>
      <c r="E1569" s="27">
        <v>43546.76</v>
      </c>
      <c r="F1569" s="27">
        <v>1905.37</v>
      </c>
      <c r="G1569" s="27">
        <v>9497.85</v>
      </c>
      <c r="H1569" s="27">
        <v>555.08000000000004</v>
      </c>
      <c r="I1569" s="27">
        <v>7510.08</v>
      </c>
      <c r="J1569" s="6">
        <v>1331</v>
      </c>
      <c r="K1569" s="6">
        <v>503</v>
      </c>
      <c r="L1569" s="27">
        <v>7.1358752817430506</v>
      </c>
      <c r="M1569" s="27">
        <v>14.930576540755467</v>
      </c>
      <c r="N1569" s="34">
        <v>15.138784078516903</v>
      </c>
    </row>
    <row r="1570" spans="1:14" x14ac:dyDescent="0.35">
      <c r="A1570" s="82">
        <v>1567</v>
      </c>
      <c r="B1570" s="89" t="str">
        <f>_xlfn.XLOOKUP(A1570,'Model Modeshare by TAZ'!A:A,'Model Modeshare by TAZ'!B:B)</f>
        <v>San Carlos</v>
      </c>
      <c r="C1570" s="90" t="str">
        <f>_xlfn.XLOOKUP(A1570,'Model Modeshare by TAZ'!A:A,'Model Modeshare by TAZ'!D:D)</f>
        <v>YES</v>
      </c>
      <c r="D1570" s="27">
        <v>4217.59</v>
      </c>
      <c r="E1570" s="27">
        <v>86429.56</v>
      </c>
      <c r="F1570" s="27">
        <v>2362.7199999999998</v>
      </c>
      <c r="G1570" s="27">
        <v>18432.11</v>
      </c>
      <c r="H1570" s="27">
        <v>1213.97</v>
      </c>
      <c r="I1570" s="27">
        <v>17463.2</v>
      </c>
      <c r="J1570" s="6">
        <v>1432</v>
      </c>
      <c r="K1570" s="6">
        <v>1188</v>
      </c>
      <c r="L1570" s="27">
        <v>12.871585195530727</v>
      </c>
      <c r="M1570" s="27">
        <v>14.6996632996633</v>
      </c>
      <c r="N1570" s="34">
        <v>28.643465648854963</v>
      </c>
    </row>
    <row r="1571" spans="1:14" x14ac:dyDescent="0.35">
      <c r="A1571" s="82">
        <v>1568</v>
      </c>
      <c r="B1571" s="89" t="str">
        <f>_xlfn.XLOOKUP(A1571,'Model Modeshare by TAZ'!A:A,'Model Modeshare by TAZ'!B:B)</f>
        <v>Redwood City</v>
      </c>
      <c r="C1571" s="90" t="str">
        <f>_xlfn.XLOOKUP(A1571,'Model Modeshare by TAZ'!A:A,'Model Modeshare by TAZ'!D:D)</f>
        <v>YES</v>
      </c>
      <c r="D1571" s="27">
        <v>12503.99</v>
      </c>
      <c r="E1571" s="27">
        <v>275434.78000000003</v>
      </c>
      <c r="F1571" s="27">
        <v>25.35</v>
      </c>
      <c r="G1571" s="27">
        <v>187.04</v>
      </c>
      <c r="H1571" s="27">
        <v>5777.49</v>
      </c>
      <c r="I1571" s="27">
        <v>83824.13</v>
      </c>
      <c r="J1571" s="6">
        <v>27</v>
      </c>
      <c r="K1571" s="6">
        <v>5519</v>
      </c>
      <c r="L1571" s="27">
        <v>6.927407407407407</v>
      </c>
      <c r="M1571" s="27">
        <v>15.188282297517667</v>
      </c>
      <c r="N1571" s="34">
        <v>39.953451135953841</v>
      </c>
    </row>
    <row r="1572" spans="1:14" x14ac:dyDescent="0.35">
      <c r="A1572" s="82">
        <v>1569</v>
      </c>
      <c r="B1572" s="89" t="str">
        <f>_xlfn.XLOOKUP(A1572,'Model Modeshare by TAZ'!A:A,'Model Modeshare by TAZ'!B:B)</f>
        <v>Redwood City</v>
      </c>
      <c r="C1572" s="90" t="str">
        <f>_xlfn.XLOOKUP(A1572,'Model Modeshare by TAZ'!A:A,'Model Modeshare by TAZ'!D:D)</f>
        <v>YES</v>
      </c>
      <c r="D1572" s="27">
        <v>1125.8499999999999</v>
      </c>
      <c r="E1572" s="27">
        <v>13480.8</v>
      </c>
      <c r="F1572" s="27">
        <v>1141.25</v>
      </c>
      <c r="G1572" s="27">
        <v>7345.45</v>
      </c>
      <c r="H1572" s="27">
        <v>11.06</v>
      </c>
      <c r="I1572" s="27">
        <v>188.85</v>
      </c>
      <c r="J1572" s="6">
        <v>782</v>
      </c>
      <c r="K1572" s="6">
        <v>6</v>
      </c>
      <c r="L1572" s="27">
        <v>9.3931585677749361</v>
      </c>
      <c r="M1572" s="27">
        <v>31.474999999999998</v>
      </c>
      <c r="N1572" s="34">
        <v>13.354175126903554</v>
      </c>
    </row>
    <row r="1573" spans="1:14" x14ac:dyDescent="0.35">
      <c r="A1573" s="82">
        <v>1570</v>
      </c>
      <c r="B1573" s="89" t="str">
        <f>_xlfn.XLOOKUP(A1573,'Model Modeshare by TAZ'!A:A,'Model Modeshare by TAZ'!B:B)</f>
        <v>Redwood City</v>
      </c>
      <c r="C1573" s="90" t="str">
        <f>_xlfn.XLOOKUP(A1573,'Model Modeshare by TAZ'!A:A,'Model Modeshare by TAZ'!D:D)</f>
        <v>YES</v>
      </c>
      <c r="D1573" s="27">
        <v>1.63</v>
      </c>
      <c r="E1573" s="27">
        <v>40.03</v>
      </c>
      <c r="F1573" s="27">
        <v>0</v>
      </c>
      <c r="G1573" s="27">
        <v>0</v>
      </c>
      <c r="H1573" s="27">
        <v>12.51</v>
      </c>
      <c r="I1573" s="27">
        <v>220.45</v>
      </c>
      <c r="J1573" s="6">
        <v>1</v>
      </c>
      <c r="K1573" s="6">
        <v>10</v>
      </c>
      <c r="L1573" s="27">
        <v>0</v>
      </c>
      <c r="M1573" s="27">
        <v>22.044999999999998</v>
      </c>
      <c r="N1573" s="34">
        <v>9.8590909090909093</v>
      </c>
    </row>
    <row r="1574" spans="1:14" x14ac:dyDescent="0.35">
      <c r="A1574" s="82">
        <v>1571</v>
      </c>
      <c r="B1574" s="89" t="str">
        <f>_xlfn.XLOOKUP(A1574,'Model Modeshare by TAZ'!A:A,'Model Modeshare by TAZ'!B:B)</f>
        <v>Redwood City</v>
      </c>
      <c r="C1574" s="90" t="str">
        <f>_xlfn.XLOOKUP(A1574,'Model Modeshare by TAZ'!A:A,'Model Modeshare by TAZ'!D:D)</f>
        <v>YES</v>
      </c>
      <c r="D1574" s="27">
        <v>316.76</v>
      </c>
      <c r="E1574" s="27">
        <v>7469.13</v>
      </c>
      <c r="F1574" s="27">
        <v>1.2</v>
      </c>
      <c r="G1574" s="27">
        <v>11.08</v>
      </c>
      <c r="H1574" s="27">
        <v>187.49</v>
      </c>
      <c r="I1574" s="27">
        <v>3029.62</v>
      </c>
      <c r="J1574" s="6">
        <v>4</v>
      </c>
      <c r="K1574" s="6">
        <v>220</v>
      </c>
      <c r="L1574" s="27">
        <v>2.77</v>
      </c>
      <c r="M1574" s="27">
        <v>13.770999999999999</v>
      </c>
      <c r="N1574" s="34">
        <v>37.96973214285714</v>
      </c>
    </row>
    <row r="1575" spans="1:14" x14ac:dyDescent="0.35">
      <c r="A1575" s="82">
        <v>1572</v>
      </c>
      <c r="B1575" s="89" t="str">
        <f>_xlfn.XLOOKUP(A1575,'Model Modeshare by TAZ'!A:A,'Model Modeshare by TAZ'!B:B)</f>
        <v>Redwood City</v>
      </c>
      <c r="C1575" s="90" t="str">
        <f>_xlfn.XLOOKUP(A1575,'Model Modeshare by TAZ'!A:A,'Model Modeshare by TAZ'!D:D)</f>
        <v>YES</v>
      </c>
      <c r="D1575" s="27">
        <v>1165.1199999999999</v>
      </c>
      <c r="E1575" s="27">
        <v>22575.14</v>
      </c>
      <c r="F1575" s="27">
        <v>703.81</v>
      </c>
      <c r="G1575" s="27">
        <v>5672.13</v>
      </c>
      <c r="H1575" s="27">
        <v>334.39</v>
      </c>
      <c r="I1575" s="27">
        <v>5189.08</v>
      </c>
      <c r="J1575" s="6">
        <v>655</v>
      </c>
      <c r="K1575" s="6">
        <v>333</v>
      </c>
      <c r="L1575" s="27">
        <v>8.6597404580152677</v>
      </c>
      <c r="M1575" s="27">
        <v>15.582822822822823</v>
      </c>
      <c r="N1575" s="34">
        <v>27.376052631578947</v>
      </c>
    </row>
    <row r="1576" spans="1:14" x14ac:dyDescent="0.35">
      <c r="A1576" s="82">
        <v>1573</v>
      </c>
      <c r="B1576" s="89" t="str">
        <f>_xlfn.XLOOKUP(A1576,'Model Modeshare by TAZ'!A:A,'Model Modeshare by TAZ'!B:B)</f>
        <v>Redwood City</v>
      </c>
      <c r="C1576" s="90" t="str">
        <f>_xlfn.XLOOKUP(A1576,'Model Modeshare by TAZ'!A:A,'Model Modeshare by TAZ'!D:D)</f>
        <v>YES</v>
      </c>
      <c r="D1576" s="27">
        <v>4339.1000000000004</v>
      </c>
      <c r="E1576" s="27">
        <v>70002.179999999993</v>
      </c>
      <c r="F1576" s="27">
        <v>3314.96</v>
      </c>
      <c r="G1576" s="27">
        <v>25154.47</v>
      </c>
      <c r="H1576" s="27">
        <v>340.23</v>
      </c>
      <c r="I1576" s="27">
        <v>4747.13</v>
      </c>
      <c r="J1576" s="6">
        <v>2082</v>
      </c>
      <c r="K1576" s="6">
        <v>210</v>
      </c>
      <c r="L1576" s="27">
        <v>12.081878001921231</v>
      </c>
      <c r="M1576" s="27">
        <v>22.605380952380951</v>
      </c>
      <c r="N1576" s="34">
        <v>26.748538394415359</v>
      </c>
    </row>
    <row r="1577" spans="1:14" x14ac:dyDescent="0.35">
      <c r="A1577" s="82">
        <v>1574</v>
      </c>
      <c r="B1577" s="89" t="str">
        <f>_xlfn.XLOOKUP(A1577,'Model Modeshare by TAZ'!A:A,'Model Modeshare by TAZ'!B:B)</f>
        <v>Redwood City</v>
      </c>
      <c r="C1577" s="90" t="str">
        <f>_xlfn.XLOOKUP(A1577,'Model Modeshare by TAZ'!A:A,'Model Modeshare by TAZ'!D:D)</f>
        <v>YES</v>
      </c>
      <c r="D1577" s="27">
        <v>1668.07</v>
      </c>
      <c r="E1577" s="27">
        <v>25210.59</v>
      </c>
      <c r="F1577" s="27">
        <v>1469.36</v>
      </c>
      <c r="G1577" s="27">
        <v>10297.370000000001</v>
      </c>
      <c r="H1577" s="27">
        <v>386.53</v>
      </c>
      <c r="I1577" s="27">
        <v>5373.73</v>
      </c>
      <c r="J1577" s="6">
        <v>979</v>
      </c>
      <c r="K1577" s="6">
        <v>294</v>
      </c>
      <c r="L1577" s="27">
        <v>10.518253319713995</v>
      </c>
      <c r="M1577" s="27">
        <v>18.27799319727891</v>
      </c>
      <c r="N1577" s="34">
        <v>19.609662215239592</v>
      </c>
    </row>
    <row r="1578" spans="1:14" x14ac:dyDescent="0.35">
      <c r="A1578" s="82">
        <v>1575</v>
      </c>
      <c r="B1578" s="89" t="str">
        <f>_xlfn.XLOOKUP(A1578,'Model Modeshare by TAZ'!A:A,'Model Modeshare by TAZ'!B:B)</f>
        <v>Redwood City</v>
      </c>
      <c r="C1578" s="90" t="str">
        <f>_xlfn.XLOOKUP(A1578,'Model Modeshare by TAZ'!A:A,'Model Modeshare by TAZ'!D:D)</f>
        <v>YES</v>
      </c>
      <c r="D1578" s="27">
        <v>4174.62</v>
      </c>
      <c r="E1578" s="27">
        <v>42956.83</v>
      </c>
      <c r="F1578" s="27">
        <v>4724.25</v>
      </c>
      <c r="G1578" s="27">
        <v>26700.13</v>
      </c>
      <c r="H1578" s="27">
        <v>531.1</v>
      </c>
      <c r="I1578" s="27">
        <v>7168.06</v>
      </c>
      <c r="J1578" s="6">
        <v>3592</v>
      </c>
      <c r="K1578" s="6">
        <v>355</v>
      </c>
      <c r="L1578" s="27">
        <v>7.4332210467706012</v>
      </c>
      <c r="M1578" s="27">
        <v>20.191718309859155</v>
      </c>
      <c r="N1578" s="34">
        <v>11.751373194831517</v>
      </c>
    </row>
    <row r="1579" spans="1:14" x14ac:dyDescent="0.35">
      <c r="A1579" s="82">
        <v>1576</v>
      </c>
      <c r="B1579" s="89" t="str">
        <f>_xlfn.XLOOKUP(A1579,'Model Modeshare by TAZ'!A:A,'Model Modeshare by TAZ'!B:B)</f>
        <v>Redwood City</v>
      </c>
      <c r="C1579" s="90" t="str">
        <f>_xlfn.XLOOKUP(A1579,'Model Modeshare by TAZ'!A:A,'Model Modeshare by TAZ'!D:D)</f>
        <v>YES</v>
      </c>
      <c r="D1579" s="27">
        <v>669.83</v>
      </c>
      <c r="E1579" s="27">
        <v>12585.82</v>
      </c>
      <c r="F1579" s="27">
        <v>529.82000000000005</v>
      </c>
      <c r="G1579" s="27">
        <v>4394.26</v>
      </c>
      <c r="H1579" s="27">
        <v>272.04000000000002</v>
      </c>
      <c r="I1579" s="27">
        <v>4293.03</v>
      </c>
      <c r="J1579" s="6">
        <v>422</v>
      </c>
      <c r="K1579" s="6">
        <v>280</v>
      </c>
      <c r="L1579" s="27">
        <v>10.412938388625593</v>
      </c>
      <c r="M1579" s="27">
        <v>15.332249999999998</v>
      </c>
      <c r="N1579" s="34">
        <v>31.770313390313387</v>
      </c>
    </row>
    <row r="1580" spans="1:14" x14ac:dyDescent="0.35">
      <c r="A1580" s="82">
        <v>1577</v>
      </c>
      <c r="B1580" s="89" t="str">
        <f>_xlfn.XLOOKUP(A1580,'Model Modeshare by TAZ'!A:A,'Model Modeshare by TAZ'!B:B)</f>
        <v>Menlo Park</v>
      </c>
      <c r="C1580" s="90" t="str">
        <f>_xlfn.XLOOKUP(A1580,'Model Modeshare by TAZ'!A:A,'Model Modeshare by TAZ'!D:D)</f>
        <v>YES</v>
      </c>
      <c r="D1580" s="27">
        <v>41.58</v>
      </c>
      <c r="E1580" s="27">
        <v>1030.68</v>
      </c>
      <c r="F1580" s="27">
        <v>0</v>
      </c>
      <c r="G1580" s="27">
        <v>0</v>
      </c>
      <c r="H1580" s="27">
        <v>69.11</v>
      </c>
      <c r="I1580" s="27">
        <v>1082.08</v>
      </c>
      <c r="J1580" s="6">
        <v>4</v>
      </c>
      <c r="K1580" s="6">
        <v>60</v>
      </c>
      <c r="L1580" s="27">
        <v>0</v>
      </c>
      <c r="M1580" s="27">
        <v>18.034666666666666</v>
      </c>
      <c r="N1580" s="34">
        <v>28.852187499999999</v>
      </c>
    </row>
    <row r="1581" spans="1:14" x14ac:dyDescent="0.35">
      <c r="A1581" s="82">
        <v>1578</v>
      </c>
      <c r="B1581" s="89" t="str">
        <f>_xlfn.XLOOKUP(A1581,'Model Modeshare by TAZ'!A:A,'Model Modeshare by TAZ'!B:B)</f>
        <v>Menlo Park</v>
      </c>
      <c r="C1581" s="90" t="str">
        <f>_xlfn.XLOOKUP(A1581,'Model Modeshare by TAZ'!A:A,'Model Modeshare by TAZ'!D:D)</f>
        <v>YES</v>
      </c>
      <c r="D1581" s="27">
        <v>0.24</v>
      </c>
      <c r="E1581" s="27">
        <v>0.75</v>
      </c>
      <c r="F1581" s="27">
        <v>0</v>
      </c>
      <c r="G1581" s="27">
        <v>0</v>
      </c>
      <c r="H1581" s="27">
        <v>0</v>
      </c>
      <c r="I1581" s="27">
        <v>0</v>
      </c>
      <c r="J1581" s="6">
        <v>1</v>
      </c>
      <c r="K1581" s="6">
        <v>1</v>
      </c>
      <c r="L1581" s="27">
        <v>0</v>
      </c>
      <c r="M1581" s="27">
        <v>0</v>
      </c>
      <c r="N1581" s="34">
        <v>0.36</v>
      </c>
    </row>
    <row r="1582" spans="1:14" x14ac:dyDescent="0.35">
      <c r="A1582" s="82">
        <v>1579</v>
      </c>
      <c r="B1582" s="89" t="str">
        <f>_xlfn.XLOOKUP(A1582,'Model Modeshare by TAZ'!A:A,'Model Modeshare by TAZ'!B:B)</f>
        <v>East Palo Alto</v>
      </c>
      <c r="C1582" s="90" t="str">
        <f>_xlfn.XLOOKUP(A1582,'Model Modeshare by TAZ'!A:A,'Model Modeshare by TAZ'!D:D)</f>
        <v>YES</v>
      </c>
      <c r="D1582" s="27">
        <v>7654.39</v>
      </c>
      <c r="E1582" s="27">
        <v>157691.56</v>
      </c>
      <c r="F1582" s="27">
        <v>3338.3</v>
      </c>
      <c r="G1582" s="27">
        <v>29370.12</v>
      </c>
      <c r="H1582" s="27">
        <v>928.78</v>
      </c>
      <c r="I1582" s="27">
        <v>14524.62</v>
      </c>
      <c r="J1582" s="6">
        <v>2485</v>
      </c>
      <c r="K1582" s="6">
        <v>875</v>
      </c>
      <c r="L1582" s="27">
        <v>11.818961770623742</v>
      </c>
      <c r="M1582" s="27">
        <v>16.599565714285717</v>
      </c>
      <c r="N1582" s="34">
        <v>40.565199404761906</v>
      </c>
    </row>
    <row r="1583" spans="1:14" x14ac:dyDescent="0.35">
      <c r="A1583" s="82">
        <v>1580</v>
      </c>
      <c r="B1583" s="89" t="str">
        <f>_xlfn.XLOOKUP(A1583,'Model Modeshare by TAZ'!A:A,'Model Modeshare by TAZ'!B:B)</f>
        <v>East Palo Alto</v>
      </c>
      <c r="C1583" s="90" t="str">
        <f>_xlfn.XLOOKUP(A1583,'Model Modeshare by TAZ'!A:A,'Model Modeshare by TAZ'!D:D)</f>
        <v>YES</v>
      </c>
      <c r="D1583" s="27">
        <v>4883.62</v>
      </c>
      <c r="E1583" s="27">
        <v>74732.100000000006</v>
      </c>
      <c r="F1583" s="27">
        <v>4687.83</v>
      </c>
      <c r="G1583" s="27">
        <v>34873.93</v>
      </c>
      <c r="H1583" s="27">
        <v>710.63</v>
      </c>
      <c r="I1583" s="27">
        <v>10579.08</v>
      </c>
      <c r="J1583" s="6">
        <v>4209</v>
      </c>
      <c r="K1583" s="6">
        <v>452</v>
      </c>
      <c r="L1583" s="27">
        <v>8.2855618911855551</v>
      </c>
      <c r="M1583" s="27">
        <v>23.405044247787611</v>
      </c>
      <c r="N1583" s="34">
        <v>14.549712508045484</v>
      </c>
    </row>
    <row r="1584" spans="1:14" x14ac:dyDescent="0.35">
      <c r="A1584" s="82">
        <v>1581</v>
      </c>
      <c r="B1584" s="89" t="str">
        <f>_xlfn.XLOOKUP(A1584,'Model Modeshare by TAZ'!A:A,'Model Modeshare by TAZ'!B:B)</f>
        <v>Menlo Park</v>
      </c>
      <c r="C1584" s="90" t="str">
        <f>_xlfn.XLOOKUP(A1584,'Model Modeshare by TAZ'!A:A,'Model Modeshare by TAZ'!D:D)</f>
        <v>YES</v>
      </c>
      <c r="D1584" s="27">
        <v>2026.69</v>
      </c>
      <c r="E1584" s="27">
        <v>33982.720000000001</v>
      </c>
      <c r="F1584" s="27">
        <v>1695.35</v>
      </c>
      <c r="G1584" s="27">
        <v>12670.22</v>
      </c>
      <c r="H1584" s="27">
        <v>266.94</v>
      </c>
      <c r="I1584" s="27">
        <v>3942.4</v>
      </c>
      <c r="J1584" s="6">
        <v>1078</v>
      </c>
      <c r="K1584" s="6">
        <v>167</v>
      </c>
      <c r="L1584" s="27">
        <v>11.753450834879406</v>
      </c>
      <c r="M1584" s="27">
        <v>23.607185628742517</v>
      </c>
      <c r="N1584" s="34">
        <v>23.933285140562248</v>
      </c>
    </row>
    <row r="1585" spans="1:14" x14ac:dyDescent="0.35">
      <c r="A1585" s="82">
        <v>1582</v>
      </c>
      <c r="B1585" s="89" t="str">
        <f>_xlfn.XLOOKUP(A1585,'Model Modeshare by TAZ'!A:A,'Model Modeshare by TAZ'!B:B)</f>
        <v>Menlo Park</v>
      </c>
      <c r="C1585" s="90" t="str">
        <f>_xlfn.XLOOKUP(A1585,'Model Modeshare by TAZ'!A:A,'Model Modeshare by TAZ'!D:D)</f>
        <v>YES</v>
      </c>
      <c r="D1585" s="27">
        <v>1322.37</v>
      </c>
      <c r="E1585" s="27">
        <v>29841.89</v>
      </c>
      <c r="F1585" s="27">
        <v>35.479999999999997</v>
      </c>
      <c r="G1585" s="27">
        <v>258.8</v>
      </c>
      <c r="H1585" s="27">
        <v>952.47</v>
      </c>
      <c r="I1585" s="27">
        <v>13903.92</v>
      </c>
      <c r="J1585" s="6">
        <v>185</v>
      </c>
      <c r="K1585" s="6">
        <v>916</v>
      </c>
      <c r="L1585" s="27">
        <v>1.3989189189189191</v>
      </c>
      <c r="M1585" s="27">
        <v>15.178951965065503</v>
      </c>
      <c r="N1585" s="34">
        <v>31.44047229791099</v>
      </c>
    </row>
    <row r="1586" spans="1:14" x14ac:dyDescent="0.35">
      <c r="A1586" s="82">
        <v>1583</v>
      </c>
      <c r="B1586" s="89" t="str">
        <f>_xlfn.XLOOKUP(A1586,'Model Modeshare by TAZ'!A:A,'Model Modeshare by TAZ'!B:B)</f>
        <v>Menlo Park</v>
      </c>
      <c r="C1586" s="90" t="str">
        <f>_xlfn.XLOOKUP(A1586,'Model Modeshare by TAZ'!A:A,'Model Modeshare by TAZ'!D:D)</f>
        <v>YES</v>
      </c>
      <c r="D1586" s="27">
        <v>1775.44</v>
      </c>
      <c r="E1586" s="27">
        <v>30009.1</v>
      </c>
      <c r="F1586" s="27">
        <v>1372.16</v>
      </c>
      <c r="G1586" s="27">
        <v>10379.86</v>
      </c>
      <c r="H1586" s="27">
        <v>165.01</v>
      </c>
      <c r="I1586" s="27">
        <v>2666.7</v>
      </c>
      <c r="J1586" s="6">
        <v>891</v>
      </c>
      <c r="K1586" s="6">
        <v>98</v>
      </c>
      <c r="L1586" s="27">
        <v>11.649674523007857</v>
      </c>
      <c r="M1586" s="27">
        <v>27.211224489795917</v>
      </c>
      <c r="N1586" s="34">
        <v>21.457320525783622</v>
      </c>
    </row>
    <row r="1587" spans="1:14" x14ac:dyDescent="0.35">
      <c r="A1587" s="82">
        <v>1584</v>
      </c>
      <c r="B1587" s="89" t="str">
        <f>_xlfn.XLOOKUP(A1587,'Model Modeshare by TAZ'!A:A,'Model Modeshare by TAZ'!B:B)</f>
        <v>Atherton</v>
      </c>
      <c r="C1587" s="90" t="str">
        <f>_xlfn.XLOOKUP(A1587,'Model Modeshare by TAZ'!A:A,'Model Modeshare by TAZ'!D:D)</f>
        <v>YES</v>
      </c>
      <c r="D1587" s="27">
        <v>1046.9100000000001</v>
      </c>
      <c r="E1587" s="27">
        <v>15737.96</v>
      </c>
      <c r="F1587" s="27">
        <v>924.35</v>
      </c>
      <c r="G1587" s="27">
        <v>6485.27</v>
      </c>
      <c r="H1587" s="27">
        <v>221.88</v>
      </c>
      <c r="I1587" s="27">
        <v>3086.77</v>
      </c>
      <c r="J1587" s="6">
        <v>530</v>
      </c>
      <c r="K1587" s="6">
        <v>192</v>
      </c>
      <c r="L1587" s="27">
        <v>12.236358490566039</v>
      </c>
      <c r="M1587" s="27">
        <v>16.076927083333334</v>
      </c>
      <c r="N1587" s="34">
        <v>28.522603878116342</v>
      </c>
    </row>
    <row r="1588" spans="1:14" x14ac:dyDescent="0.35">
      <c r="A1588" s="82">
        <v>1585</v>
      </c>
      <c r="B1588" s="89" t="str">
        <f>_xlfn.XLOOKUP(A1588,'Model Modeshare by TAZ'!A:A,'Model Modeshare by TAZ'!B:B)</f>
        <v>Menlo Park</v>
      </c>
      <c r="C1588" s="90" t="str">
        <f>_xlfn.XLOOKUP(A1588,'Model Modeshare by TAZ'!A:A,'Model Modeshare by TAZ'!D:D)</f>
        <v>YES</v>
      </c>
      <c r="D1588" s="27">
        <v>13860.81</v>
      </c>
      <c r="E1588" s="27">
        <v>223046.17</v>
      </c>
      <c r="F1588" s="27">
        <v>4088.78</v>
      </c>
      <c r="G1588" s="27">
        <v>23789.49</v>
      </c>
      <c r="H1588" s="27">
        <v>2372.0500000000002</v>
      </c>
      <c r="I1588" s="27">
        <v>32622.240000000002</v>
      </c>
      <c r="J1588" s="6">
        <v>2573</v>
      </c>
      <c r="K1588" s="6">
        <v>2334</v>
      </c>
      <c r="L1588" s="27">
        <v>9.2458181111542945</v>
      </c>
      <c r="M1588" s="27">
        <v>13.976966580976864</v>
      </c>
      <c r="N1588" s="34">
        <v>30.921338903607094</v>
      </c>
    </row>
    <row r="1589" spans="1:14" x14ac:dyDescent="0.35">
      <c r="A1589" s="82">
        <v>1586</v>
      </c>
      <c r="B1589" s="89" t="str">
        <f>_xlfn.XLOOKUP(A1589,'Model Modeshare by TAZ'!A:A,'Model Modeshare by TAZ'!B:B)</f>
        <v>Menlo Park</v>
      </c>
      <c r="C1589" s="90" t="str">
        <f>_xlfn.XLOOKUP(A1589,'Model Modeshare by TAZ'!A:A,'Model Modeshare by TAZ'!D:D)</f>
        <v>YES</v>
      </c>
      <c r="D1589" s="27">
        <v>2861.63</v>
      </c>
      <c r="E1589" s="27">
        <v>53894.12</v>
      </c>
      <c r="F1589" s="27">
        <v>1249.4000000000001</v>
      </c>
      <c r="G1589" s="27">
        <v>8058.28</v>
      </c>
      <c r="H1589" s="27">
        <v>953.39</v>
      </c>
      <c r="I1589" s="27">
        <v>14261.91</v>
      </c>
      <c r="J1589" s="6">
        <v>881</v>
      </c>
      <c r="K1589" s="6">
        <v>930</v>
      </c>
      <c r="L1589" s="27">
        <v>9.1467423382519861</v>
      </c>
      <c r="M1589" s="27">
        <v>15.335387096774193</v>
      </c>
      <c r="N1589" s="34">
        <v>28.705770292655991</v>
      </c>
    </row>
    <row r="1590" spans="1:14" x14ac:dyDescent="0.35">
      <c r="A1590" s="82">
        <v>1587</v>
      </c>
      <c r="B1590" s="89" t="str">
        <f>_xlfn.XLOOKUP(A1590,'Model Modeshare by TAZ'!A:A,'Model Modeshare by TAZ'!B:B)</f>
        <v>Atherton</v>
      </c>
      <c r="C1590" s="90" t="str">
        <f>_xlfn.XLOOKUP(A1590,'Model Modeshare by TAZ'!A:A,'Model Modeshare by TAZ'!D:D)</f>
        <v>YES</v>
      </c>
      <c r="D1590" s="27">
        <v>439.11</v>
      </c>
      <c r="E1590" s="27">
        <v>6018</v>
      </c>
      <c r="F1590" s="27">
        <v>522.45000000000005</v>
      </c>
      <c r="G1590" s="27">
        <v>3683.12</v>
      </c>
      <c r="H1590" s="27">
        <v>640.95000000000005</v>
      </c>
      <c r="I1590" s="27">
        <v>9072.43</v>
      </c>
      <c r="J1590" s="6">
        <v>332</v>
      </c>
      <c r="K1590" s="6">
        <v>543</v>
      </c>
      <c r="L1590" s="27">
        <v>11.093734939759036</v>
      </c>
      <c r="M1590" s="27">
        <v>16.707974217311236</v>
      </c>
      <c r="N1590" s="34">
        <v>36.904000000000003</v>
      </c>
    </row>
    <row r="1591" spans="1:14" x14ac:dyDescent="0.35">
      <c r="A1591" s="82">
        <v>1588</v>
      </c>
      <c r="B1591" s="89" t="str">
        <f>_xlfn.XLOOKUP(A1591,'Model Modeshare by TAZ'!A:A,'Model Modeshare by TAZ'!B:B)</f>
        <v>Menlo Park</v>
      </c>
      <c r="C1591" s="90" t="str">
        <f>_xlfn.XLOOKUP(A1591,'Model Modeshare by TAZ'!A:A,'Model Modeshare by TAZ'!D:D)</f>
        <v>YES</v>
      </c>
      <c r="D1591" s="27">
        <v>4711.8100000000004</v>
      </c>
      <c r="E1591" s="27">
        <v>93465.13</v>
      </c>
      <c r="F1591" s="27">
        <v>2889.74</v>
      </c>
      <c r="G1591" s="27">
        <v>22017.86</v>
      </c>
      <c r="H1591" s="27">
        <v>831.01</v>
      </c>
      <c r="I1591" s="27">
        <v>13886.5</v>
      </c>
      <c r="J1591" s="6">
        <v>1887</v>
      </c>
      <c r="K1591" s="6">
        <v>768</v>
      </c>
      <c r="L1591" s="27">
        <v>11.668182299947006</v>
      </c>
      <c r="M1591" s="27">
        <v>18.081380208333332</v>
      </c>
      <c r="N1591" s="34">
        <v>27.473416195856874</v>
      </c>
    </row>
    <row r="1592" spans="1:14" x14ac:dyDescent="0.35">
      <c r="A1592" s="82">
        <v>1589</v>
      </c>
      <c r="B1592" s="89" t="str">
        <f>_xlfn.XLOOKUP(A1592,'Model Modeshare by TAZ'!A:A,'Model Modeshare by TAZ'!B:B)</f>
        <v>Daly City</v>
      </c>
      <c r="C1592" s="90" t="str">
        <f>_xlfn.XLOOKUP(A1592,'Model Modeshare by TAZ'!A:A,'Model Modeshare by TAZ'!D:D)</f>
        <v>YES</v>
      </c>
      <c r="D1592" s="27">
        <v>3675.58</v>
      </c>
      <c r="E1592" s="27">
        <v>58545.32</v>
      </c>
      <c r="F1592" s="27">
        <v>3358.12</v>
      </c>
      <c r="G1592" s="27">
        <v>28642.23</v>
      </c>
      <c r="H1592" s="27">
        <v>43.91</v>
      </c>
      <c r="I1592" s="27">
        <v>505.33</v>
      </c>
      <c r="J1592" s="6">
        <v>2220</v>
      </c>
      <c r="K1592" s="6">
        <v>27</v>
      </c>
      <c r="L1592" s="27">
        <v>12.901905405405405</v>
      </c>
      <c r="M1592" s="27">
        <v>18.715925925925927</v>
      </c>
      <c r="N1592" s="34">
        <v>23.855620827770363</v>
      </c>
    </row>
    <row r="1593" spans="1:14" x14ac:dyDescent="0.35">
      <c r="A1593" s="82">
        <v>1590</v>
      </c>
      <c r="B1593" s="89" t="str">
        <f>_xlfn.XLOOKUP(A1593,'Model Modeshare by TAZ'!A:A,'Model Modeshare by TAZ'!B:B)</f>
        <v>Unincorporated</v>
      </c>
      <c r="C1593" s="90" t="str">
        <f>_xlfn.XLOOKUP(A1593,'Model Modeshare by TAZ'!A:A,'Model Modeshare by TAZ'!D:D)</f>
        <v>YES</v>
      </c>
      <c r="D1593" s="27">
        <v>2166.2600000000002</v>
      </c>
      <c r="E1593" s="27">
        <v>34280.28</v>
      </c>
      <c r="F1593" s="27">
        <v>798.34</v>
      </c>
      <c r="G1593" s="27">
        <v>6146.96</v>
      </c>
      <c r="H1593" s="27">
        <v>671.62</v>
      </c>
      <c r="I1593" s="27">
        <v>7276.42</v>
      </c>
      <c r="J1593" s="6">
        <v>601</v>
      </c>
      <c r="K1593" s="6">
        <v>705</v>
      </c>
      <c r="L1593" s="27">
        <v>10.227886855241264</v>
      </c>
      <c r="M1593" s="27">
        <v>10.321163120567377</v>
      </c>
      <c r="N1593" s="34">
        <v>29.432687595712096</v>
      </c>
    </row>
    <row r="1594" spans="1:14" x14ac:dyDescent="0.35">
      <c r="A1594" s="82">
        <v>1591</v>
      </c>
      <c r="B1594" s="89" t="str">
        <f>_xlfn.XLOOKUP(A1594,'Model Modeshare by TAZ'!A:A,'Model Modeshare by TAZ'!B:B)</f>
        <v>Daly City</v>
      </c>
      <c r="C1594" s="90" t="str">
        <f>_xlfn.XLOOKUP(A1594,'Model Modeshare by TAZ'!A:A,'Model Modeshare by TAZ'!D:D)</f>
        <v>YES</v>
      </c>
      <c r="D1594" s="27">
        <v>3498.99</v>
      </c>
      <c r="E1594" s="27">
        <v>55079.37</v>
      </c>
      <c r="F1594" s="27">
        <v>3330.16</v>
      </c>
      <c r="G1594" s="27">
        <v>23891.31</v>
      </c>
      <c r="H1594" s="27">
        <v>634.04</v>
      </c>
      <c r="I1594" s="27">
        <v>6688.45</v>
      </c>
      <c r="J1594" s="6">
        <v>2802</v>
      </c>
      <c r="K1594" s="6">
        <v>577</v>
      </c>
      <c r="L1594" s="27">
        <v>8.5265203426124199</v>
      </c>
      <c r="M1594" s="27">
        <v>11.591767764298094</v>
      </c>
      <c r="N1594" s="34">
        <v>18.378996744598993</v>
      </c>
    </row>
    <row r="1595" spans="1:14" x14ac:dyDescent="0.35">
      <c r="A1595" s="82">
        <v>1592</v>
      </c>
      <c r="B1595" s="89" t="str">
        <f>_xlfn.XLOOKUP(A1595,'Model Modeshare by TAZ'!A:A,'Model Modeshare by TAZ'!B:B)</f>
        <v>Brisbane</v>
      </c>
      <c r="C1595" s="90" t="str">
        <f>_xlfn.XLOOKUP(A1595,'Model Modeshare by TAZ'!A:A,'Model Modeshare by TAZ'!D:D)</f>
        <v>YES</v>
      </c>
      <c r="D1595" s="27">
        <v>2524.27</v>
      </c>
      <c r="E1595" s="27">
        <v>58735.61</v>
      </c>
      <c r="F1595" s="27">
        <v>7.74</v>
      </c>
      <c r="G1595" s="27">
        <v>60.03</v>
      </c>
      <c r="H1595" s="27">
        <v>1843.35</v>
      </c>
      <c r="I1595" s="27">
        <v>22084.17</v>
      </c>
      <c r="J1595" s="6">
        <v>13</v>
      </c>
      <c r="K1595" s="6">
        <v>1843</v>
      </c>
      <c r="L1595" s="27">
        <v>4.617692307692308</v>
      </c>
      <c r="M1595" s="27">
        <v>11.982729245794898</v>
      </c>
      <c r="N1595" s="34">
        <v>24.901724137931033</v>
      </c>
    </row>
    <row r="1596" spans="1:14" x14ac:dyDescent="0.35">
      <c r="A1596" s="82">
        <v>1593</v>
      </c>
      <c r="B1596" s="89" t="str">
        <f>_xlfn.XLOOKUP(A1596,'Model Modeshare by TAZ'!A:A,'Model Modeshare by TAZ'!B:B)</f>
        <v>Unincorporated</v>
      </c>
      <c r="C1596" s="90" t="str">
        <f>_xlfn.XLOOKUP(A1596,'Model Modeshare by TAZ'!A:A,'Model Modeshare by TAZ'!D:D)</f>
        <v>YES</v>
      </c>
      <c r="D1596" s="27">
        <v>8.9600000000000009</v>
      </c>
      <c r="E1596" s="27">
        <v>132.08000000000001</v>
      </c>
      <c r="F1596" s="27">
        <v>0</v>
      </c>
      <c r="G1596" s="27">
        <v>0</v>
      </c>
      <c r="H1596" s="27">
        <v>12.43</v>
      </c>
      <c r="I1596" s="27">
        <v>148.80000000000001</v>
      </c>
      <c r="J1596" s="6">
        <v>0</v>
      </c>
      <c r="K1596" s="6">
        <v>10</v>
      </c>
      <c r="L1596" s="27">
        <v>0</v>
      </c>
      <c r="M1596" s="27">
        <v>14.88</v>
      </c>
      <c r="N1596" s="34">
        <v>19.274000000000001</v>
      </c>
    </row>
    <row r="1597" spans="1:14" x14ac:dyDescent="0.35">
      <c r="A1597" s="82">
        <v>1594</v>
      </c>
      <c r="B1597" s="89" t="str">
        <f>_xlfn.XLOOKUP(A1597,'Model Modeshare by TAZ'!A:A,'Model Modeshare by TAZ'!B:B)</f>
        <v>South San Francisco</v>
      </c>
      <c r="C1597" s="90" t="str">
        <f>_xlfn.XLOOKUP(A1597,'Model Modeshare by TAZ'!A:A,'Model Modeshare by TAZ'!D:D)</f>
        <v>YES</v>
      </c>
      <c r="D1597" s="27">
        <v>4905.1000000000004</v>
      </c>
      <c r="E1597" s="27">
        <v>79157.16</v>
      </c>
      <c r="F1597" s="27">
        <v>4768.76</v>
      </c>
      <c r="G1597" s="27">
        <v>39093.82</v>
      </c>
      <c r="H1597" s="27">
        <v>718.63</v>
      </c>
      <c r="I1597" s="27">
        <v>9844.57</v>
      </c>
      <c r="J1597" s="6">
        <v>3885</v>
      </c>
      <c r="K1597" s="6">
        <v>471</v>
      </c>
      <c r="L1597" s="27">
        <v>10.062759330759331</v>
      </c>
      <c r="M1597" s="27">
        <v>20.901422505307856</v>
      </c>
      <c r="N1597" s="34">
        <v>20.305222681359044</v>
      </c>
    </row>
    <row r="1598" spans="1:14" x14ac:dyDescent="0.35">
      <c r="A1598" s="82">
        <v>1595</v>
      </c>
      <c r="B1598" s="89" t="str">
        <f>_xlfn.XLOOKUP(A1598,'Model Modeshare by TAZ'!A:A,'Model Modeshare by TAZ'!B:B)</f>
        <v>South San Francisco</v>
      </c>
      <c r="C1598" s="90" t="str">
        <f>_xlfn.XLOOKUP(A1598,'Model Modeshare by TAZ'!A:A,'Model Modeshare by TAZ'!D:D)</f>
        <v>YES</v>
      </c>
      <c r="D1598" s="27">
        <v>865.9</v>
      </c>
      <c r="E1598" s="27">
        <v>19964</v>
      </c>
      <c r="F1598" s="27">
        <v>0</v>
      </c>
      <c r="G1598" s="27">
        <v>0</v>
      </c>
      <c r="H1598" s="27">
        <v>0</v>
      </c>
      <c r="I1598" s="27">
        <v>0</v>
      </c>
      <c r="J1598" s="6">
        <v>4</v>
      </c>
      <c r="K1598" s="6">
        <v>0</v>
      </c>
      <c r="L1598" s="27">
        <v>0</v>
      </c>
      <c r="M1598" s="27">
        <v>0</v>
      </c>
      <c r="N1598" s="34">
        <v>0</v>
      </c>
    </row>
    <row r="1599" spans="1:14" x14ac:dyDescent="0.35">
      <c r="A1599" s="82">
        <v>1596</v>
      </c>
      <c r="B1599" s="89" t="str">
        <f>_xlfn.XLOOKUP(A1599,'Model Modeshare by TAZ'!A:A,'Model Modeshare by TAZ'!B:B)</f>
        <v>South San Francisco</v>
      </c>
      <c r="C1599" s="90" t="str">
        <f>_xlfn.XLOOKUP(A1599,'Model Modeshare by TAZ'!A:A,'Model Modeshare by TAZ'!D:D)</f>
        <v>YES</v>
      </c>
      <c r="D1599" s="27">
        <v>2338.37</v>
      </c>
      <c r="E1599" s="27">
        <v>29338.38</v>
      </c>
      <c r="F1599" s="27">
        <v>1677.38</v>
      </c>
      <c r="G1599" s="27">
        <v>10383.799999999999</v>
      </c>
      <c r="H1599" s="27">
        <v>403.76</v>
      </c>
      <c r="I1599" s="27">
        <v>4662.95</v>
      </c>
      <c r="J1599" s="6">
        <v>1236</v>
      </c>
      <c r="K1599" s="6">
        <v>310</v>
      </c>
      <c r="L1599" s="27">
        <v>8.4011326860841411</v>
      </c>
      <c r="M1599" s="27">
        <v>15.041774193548386</v>
      </c>
      <c r="N1599" s="34">
        <v>17.987386804657181</v>
      </c>
    </row>
    <row r="1600" spans="1:14" x14ac:dyDescent="0.35">
      <c r="A1600" s="82">
        <v>1597</v>
      </c>
      <c r="B1600" s="89" t="str">
        <f>_xlfn.XLOOKUP(A1600,'Model Modeshare by TAZ'!A:A,'Model Modeshare by TAZ'!B:B)</f>
        <v>Pacifica</v>
      </c>
      <c r="C1600" s="90" t="str">
        <f>_xlfn.XLOOKUP(A1600,'Model Modeshare by TAZ'!A:A,'Model Modeshare by TAZ'!D:D)</f>
        <v>YES</v>
      </c>
      <c r="D1600" s="27">
        <v>3256.4</v>
      </c>
      <c r="E1600" s="27">
        <v>63445.82</v>
      </c>
      <c r="F1600" s="27">
        <v>2089.3200000000002</v>
      </c>
      <c r="G1600" s="27">
        <v>19782.509999999998</v>
      </c>
      <c r="H1600" s="27">
        <v>778.71</v>
      </c>
      <c r="I1600" s="27">
        <v>9510.57</v>
      </c>
      <c r="J1600" s="6">
        <v>1189</v>
      </c>
      <c r="K1600" s="6">
        <v>746</v>
      </c>
      <c r="L1600" s="27">
        <v>16.637939444911691</v>
      </c>
      <c r="M1600" s="27">
        <v>12.748753351206433</v>
      </c>
      <c r="N1600" s="34">
        <v>39.34295607235142</v>
      </c>
    </row>
    <row r="1601" spans="1:14" x14ac:dyDescent="0.35">
      <c r="A1601" s="82">
        <v>1598</v>
      </c>
      <c r="B1601" s="89" t="str">
        <f>_xlfn.XLOOKUP(A1601,'Model Modeshare by TAZ'!A:A,'Model Modeshare by TAZ'!B:B)</f>
        <v>San Bruno</v>
      </c>
      <c r="C1601" s="90" t="str">
        <f>_xlfn.XLOOKUP(A1601,'Model Modeshare by TAZ'!A:A,'Model Modeshare by TAZ'!D:D)</f>
        <v>YES</v>
      </c>
      <c r="D1601" s="27">
        <v>2247.81</v>
      </c>
      <c r="E1601" s="27">
        <v>33848.089999999997</v>
      </c>
      <c r="F1601" s="27">
        <v>2403.48</v>
      </c>
      <c r="G1601" s="27">
        <v>19233.13</v>
      </c>
      <c r="H1601" s="27">
        <v>302.76</v>
      </c>
      <c r="I1601" s="27">
        <v>3712.54</v>
      </c>
      <c r="J1601" s="6">
        <v>1676</v>
      </c>
      <c r="K1601" s="6">
        <v>183</v>
      </c>
      <c r="L1601" s="27">
        <v>11.475614558472554</v>
      </c>
      <c r="M1601" s="27">
        <v>20.287103825136612</v>
      </c>
      <c r="N1601" s="34">
        <v>17.567848305540615</v>
      </c>
    </row>
    <row r="1602" spans="1:14" x14ac:dyDescent="0.35">
      <c r="A1602" s="82">
        <v>1599</v>
      </c>
      <c r="B1602" s="89" t="str">
        <f>_xlfn.XLOOKUP(A1602,'Model Modeshare by TAZ'!A:A,'Model Modeshare by TAZ'!B:B)</f>
        <v>San Bruno</v>
      </c>
      <c r="C1602" s="90" t="str">
        <f>_xlfn.XLOOKUP(A1602,'Model Modeshare by TAZ'!A:A,'Model Modeshare by TAZ'!D:D)</f>
        <v>YES</v>
      </c>
      <c r="D1602" s="27">
        <v>4094.61</v>
      </c>
      <c r="E1602" s="27">
        <v>74088.960000000006</v>
      </c>
      <c r="F1602" s="27">
        <v>1528.23</v>
      </c>
      <c r="G1602" s="27">
        <v>12715.45</v>
      </c>
      <c r="H1602" s="27">
        <v>935.6</v>
      </c>
      <c r="I1602" s="27">
        <v>12278.89</v>
      </c>
      <c r="J1602" s="6">
        <v>973</v>
      </c>
      <c r="K1602" s="6">
        <v>942</v>
      </c>
      <c r="L1602" s="27">
        <v>13.068293936279549</v>
      </c>
      <c r="M1602" s="27">
        <v>13.034915074309978</v>
      </c>
      <c r="N1602" s="34">
        <v>40.792710182767621</v>
      </c>
    </row>
    <row r="1603" spans="1:14" x14ac:dyDescent="0.35">
      <c r="A1603" s="82">
        <v>1600</v>
      </c>
      <c r="B1603" s="89" t="str">
        <f>_xlfn.XLOOKUP(A1603,'Model Modeshare by TAZ'!A:A,'Model Modeshare by TAZ'!B:B)</f>
        <v>San Bruno</v>
      </c>
      <c r="C1603" s="90" t="str">
        <f>_xlfn.XLOOKUP(A1603,'Model Modeshare by TAZ'!A:A,'Model Modeshare by TAZ'!D:D)</f>
        <v>YES</v>
      </c>
      <c r="D1603" s="27">
        <v>5950.49</v>
      </c>
      <c r="E1603" s="27">
        <v>107162.11</v>
      </c>
      <c r="F1603" s="27">
        <v>2191.56</v>
      </c>
      <c r="G1603" s="27">
        <v>16609.599999999999</v>
      </c>
      <c r="H1603" s="27">
        <v>1228.99</v>
      </c>
      <c r="I1603" s="27">
        <v>16330.09</v>
      </c>
      <c r="J1603" s="6">
        <v>1771</v>
      </c>
      <c r="K1603" s="6">
        <v>1244</v>
      </c>
      <c r="L1603" s="27">
        <v>9.3786561264822126</v>
      </c>
      <c r="M1603" s="27">
        <v>13.127081993569131</v>
      </c>
      <c r="N1603" s="34">
        <v>37.471283582089555</v>
      </c>
    </row>
    <row r="1604" spans="1:14" x14ac:dyDescent="0.35">
      <c r="A1604" s="82">
        <v>1601</v>
      </c>
      <c r="B1604" s="89" t="str">
        <f>_xlfn.XLOOKUP(A1604,'Model Modeshare by TAZ'!A:A,'Model Modeshare by TAZ'!B:B)</f>
        <v>Unincorporated</v>
      </c>
      <c r="C1604" s="90" t="str">
        <f>_xlfn.XLOOKUP(A1604,'Model Modeshare by TAZ'!A:A,'Model Modeshare by TAZ'!D:D)</f>
        <v>YES</v>
      </c>
      <c r="D1604" s="27">
        <v>0</v>
      </c>
      <c r="E1604" s="27">
        <v>0</v>
      </c>
      <c r="F1604" s="27">
        <v>0</v>
      </c>
      <c r="G1604" s="27">
        <v>0</v>
      </c>
      <c r="H1604" s="27">
        <v>0</v>
      </c>
      <c r="I1604" s="27">
        <v>0</v>
      </c>
      <c r="J1604" s="6">
        <v>0</v>
      </c>
      <c r="K1604" s="6">
        <v>0</v>
      </c>
      <c r="L1604" s="27">
        <v>0</v>
      </c>
      <c r="M1604" s="27">
        <v>0</v>
      </c>
      <c r="N1604" s="34">
        <v>0</v>
      </c>
    </row>
    <row r="1605" spans="1:14" x14ac:dyDescent="0.35">
      <c r="A1605" s="82">
        <v>1602</v>
      </c>
      <c r="B1605" s="89" t="str">
        <f>_xlfn.XLOOKUP(A1605,'Model Modeshare by TAZ'!A:A,'Model Modeshare by TAZ'!B:B)</f>
        <v>Unincorporated</v>
      </c>
      <c r="C1605" s="90" t="str">
        <f>_xlfn.XLOOKUP(A1605,'Model Modeshare by TAZ'!A:A,'Model Modeshare by TAZ'!D:D)</f>
        <v>YES</v>
      </c>
      <c r="D1605" s="27">
        <v>0</v>
      </c>
      <c r="E1605" s="27">
        <v>0</v>
      </c>
      <c r="F1605" s="27">
        <v>0</v>
      </c>
      <c r="G1605" s="27">
        <v>0</v>
      </c>
      <c r="H1605" s="27">
        <v>0</v>
      </c>
      <c r="I1605" s="27">
        <v>0</v>
      </c>
      <c r="J1605" s="6">
        <v>0</v>
      </c>
      <c r="K1605" s="6">
        <v>0</v>
      </c>
      <c r="L1605" s="27">
        <v>0</v>
      </c>
      <c r="M1605" s="27">
        <v>0</v>
      </c>
      <c r="N1605" s="34">
        <v>0</v>
      </c>
    </row>
    <row r="1606" spans="1:14" x14ac:dyDescent="0.35">
      <c r="A1606" s="82">
        <v>1603</v>
      </c>
      <c r="B1606" s="89" t="str">
        <f>_xlfn.XLOOKUP(A1606,'Model Modeshare by TAZ'!A:A,'Model Modeshare by TAZ'!B:B)</f>
        <v>Millbrae</v>
      </c>
      <c r="C1606" s="90" t="str">
        <f>_xlfn.XLOOKUP(A1606,'Model Modeshare by TAZ'!A:A,'Model Modeshare by TAZ'!D:D)</f>
        <v>YES</v>
      </c>
      <c r="D1606" s="27">
        <v>662.45</v>
      </c>
      <c r="E1606" s="27">
        <v>11121.92</v>
      </c>
      <c r="F1606" s="27">
        <v>812.93</v>
      </c>
      <c r="G1606" s="27">
        <v>6965.79</v>
      </c>
      <c r="H1606" s="27">
        <v>12.14</v>
      </c>
      <c r="I1606" s="27">
        <v>177.51</v>
      </c>
      <c r="J1606" s="6">
        <v>596</v>
      </c>
      <c r="K1606" s="6">
        <v>7</v>
      </c>
      <c r="L1606" s="27">
        <v>11.687567114093961</v>
      </c>
      <c r="M1606" s="27">
        <v>25.358571428571427</v>
      </c>
      <c r="N1606" s="34">
        <v>19.160845771144277</v>
      </c>
    </row>
    <row r="1607" spans="1:14" x14ac:dyDescent="0.35">
      <c r="A1607" s="82">
        <v>1604</v>
      </c>
      <c r="B1607" s="89" t="str">
        <f>_xlfn.XLOOKUP(A1607,'Model Modeshare by TAZ'!A:A,'Model Modeshare by TAZ'!B:B)</f>
        <v>Unincorporated</v>
      </c>
      <c r="C1607" s="90" t="str">
        <f>_xlfn.XLOOKUP(A1607,'Model Modeshare by TAZ'!A:A,'Model Modeshare by TAZ'!D:D)</f>
        <v>YES</v>
      </c>
      <c r="D1607" s="27">
        <v>2085.19</v>
      </c>
      <c r="E1607" s="27">
        <v>37598.910000000003</v>
      </c>
      <c r="F1607" s="27">
        <v>2074.94</v>
      </c>
      <c r="G1607" s="27">
        <v>18657.39</v>
      </c>
      <c r="H1607" s="27">
        <v>199.09</v>
      </c>
      <c r="I1607" s="27">
        <v>2935.66</v>
      </c>
      <c r="J1607" s="6">
        <v>1270</v>
      </c>
      <c r="K1607" s="6">
        <v>115</v>
      </c>
      <c r="L1607" s="27">
        <v>14.690858267716536</v>
      </c>
      <c r="M1607" s="27">
        <v>25.527478260869565</v>
      </c>
      <c r="N1607" s="34">
        <v>26.1642238267148</v>
      </c>
    </row>
    <row r="1608" spans="1:14" x14ac:dyDescent="0.35">
      <c r="A1608" s="82">
        <v>1605</v>
      </c>
      <c r="B1608" s="89" t="str">
        <f>_xlfn.XLOOKUP(A1608,'Model Modeshare by TAZ'!A:A,'Model Modeshare by TAZ'!B:B)</f>
        <v>Burlingame</v>
      </c>
      <c r="C1608" s="90" t="str">
        <f>_xlfn.XLOOKUP(A1608,'Model Modeshare by TAZ'!A:A,'Model Modeshare by TAZ'!D:D)</f>
        <v>YES</v>
      </c>
      <c r="D1608" s="27">
        <v>6350.41</v>
      </c>
      <c r="E1608" s="27">
        <v>115171.62</v>
      </c>
      <c r="F1608" s="27">
        <v>4110.78</v>
      </c>
      <c r="G1608" s="27">
        <v>34115.15</v>
      </c>
      <c r="H1608" s="27">
        <v>968</v>
      </c>
      <c r="I1608" s="27">
        <v>13927.37</v>
      </c>
      <c r="J1608" s="6">
        <v>2498</v>
      </c>
      <c r="K1608" s="6">
        <v>766</v>
      </c>
      <c r="L1608" s="27">
        <v>13.656985588470777</v>
      </c>
      <c r="M1608" s="27">
        <v>18.181945169712794</v>
      </c>
      <c r="N1608" s="34">
        <v>34.503707107843141</v>
      </c>
    </row>
    <row r="1609" spans="1:14" x14ac:dyDescent="0.35">
      <c r="A1609" s="82">
        <v>1606</v>
      </c>
      <c r="B1609" s="89" t="str">
        <f>_xlfn.XLOOKUP(A1609,'Model Modeshare by TAZ'!A:A,'Model Modeshare by TAZ'!B:B)</f>
        <v>Burlingame</v>
      </c>
      <c r="C1609" s="90" t="str">
        <f>_xlfn.XLOOKUP(A1609,'Model Modeshare by TAZ'!A:A,'Model Modeshare by TAZ'!D:D)</f>
        <v>YES</v>
      </c>
      <c r="D1609" s="27">
        <v>4618.05</v>
      </c>
      <c r="E1609" s="27">
        <v>87456.5</v>
      </c>
      <c r="F1609" s="27">
        <v>4279.5600000000004</v>
      </c>
      <c r="G1609" s="27">
        <v>37851.72</v>
      </c>
      <c r="H1609" s="27">
        <v>581.38</v>
      </c>
      <c r="I1609" s="27">
        <v>8875.31</v>
      </c>
      <c r="J1609" s="6">
        <v>2451</v>
      </c>
      <c r="K1609" s="6">
        <v>355</v>
      </c>
      <c r="L1609" s="27">
        <v>15.443378212974297</v>
      </c>
      <c r="M1609" s="27">
        <v>25.000873239436618</v>
      </c>
      <c r="N1609" s="34">
        <v>34.227234497505343</v>
      </c>
    </row>
    <row r="1610" spans="1:14" x14ac:dyDescent="0.35">
      <c r="A1610" s="82">
        <v>1607</v>
      </c>
      <c r="B1610" s="89" t="str">
        <f>_xlfn.XLOOKUP(A1610,'Model Modeshare by TAZ'!A:A,'Model Modeshare by TAZ'!B:B)</f>
        <v>Burlingame</v>
      </c>
      <c r="C1610" s="90" t="str">
        <f>_xlfn.XLOOKUP(A1610,'Model Modeshare by TAZ'!A:A,'Model Modeshare by TAZ'!D:D)</f>
        <v>YES</v>
      </c>
      <c r="D1610" s="27">
        <v>2556.81</v>
      </c>
      <c r="E1610" s="27">
        <v>47941.53</v>
      </c>
      <c r="F1610" s="27">
        <v>2200.4299999999998</v>
      </c>
      <c r="G1610" s="27">
        <v>18690.43</v>
      </c>
      <c r="H1610" s="27">
        <v>411.2</v>
      </c>
      <c r="I1610" s="27">
        <v>6473.06</v>
      </c>
      <c r="J1610" s="6">
        <v>1449</v>
      </c>
      <c r="K1610" s="6">
        <v>300</v>
      </c>
      <c r="L1610" s="27">
        <v>12.898847481021395</v>
      </c>
      <c r="M1610" s="27">
        <v>21.576866666666668</v>
      </c>
      <c r="N1610" s="34">
        <v>28.494008004574042</v>
      </c>
    </row>
    <row r="1611" spans="1:14" x14ac:dyDescent="0.35">
      <c r="A1611" s="82">
        <v>1608</v>
      </c>
      <c r="B1611" s="89" t="str">
        <f>_xlfn.XLOOKUP(A1611,'Model Modeshare by TAZ'!A:A,'Model Modeshare by TAZ'!B:B)</f>
        <v>Hillsborough</v>
      </c>
      <c r="C1611" s="90" t="str">
        <f>_xlfn.XLOOKUP(A1611,'Model Modeshare by TAZ'!A:A,'Model Modeshare by TAZ'!D:D)</f>
        <v>YES</v>
      </c>
      <c r="D1611" s="27">
        <v>3715.98</v>
      </c>
      <c r="E1611" s="27">
        <v>74856.05</v>
      </c>
      <c r="F1611" s="27">
        <v>3724.57</v>
      </c>
      <c r="G1611" s="27">
        <v>36226.86</v>
      </c>
      <c r="H1611" s="27">
        <v>282.94</v>
      </c>
      <c r="I1611" s="27">
        <v>4374.1000000000004</v>
      </c>
      <c r="J1611" s="6">
        <v>2258</v>
      </c>
      <c r="K1611" s="6">
        <v>163</v>
      </c>
      <c r="L1611" s="27">
        <v>16.043782108060231</v>
      </c>
      <c r="M1611" s="27">
        <v>26.834969325153377</v>
      </c>
      <c r="N1611" s="34">
        <v>28.453068979760431</v>
      </c>
    </row>
    <row r="1612" spans="1:14" x14ac:dyDescent="0.35">
      <c r="A1612" s="82">
        <v>1609</v>
      </c>
      <c r="B1612" s="89" t="str">
        <f>_xlfn.XLOOKUP(A1612,'Model Modeshare by TAZ'!A:A,'Model Modeshare by TAZ'!B:B)</f>
        <v>Hillsborough</v>
      </c>
      <c r="C1612" s="90" t="str">
        <f>_xlfn.XLOOKUP(A1612,'Model Modeshare by TAZ'!A:A,'Model Modeshare by TAZ'!D:D)</f>
        <v>YES</v>
      </c>
      <c r="D1612" s="27">
        <v>4013.25</v>
      </c>
      <c r="E1612" s="27">
        <v>69797.55</v>
      </c>
      <c r="F1612" s="27">
        <v>3857.05</v>
      </c>
      <c r="G1612" s="27">
        <v>32069.81</v>
      </c>
      <c r="H1612" s="27">
        <v>799.26</v>
      </c>
      <c r="I1612" s="27">
        <v>11502.25</v>
      </c>
      <c r="J1612" s="6">
        <v>2253</v>
      </c>
      <c r="K1612" s="6">
        <v>536</v>
      </c>
      <c r="L1612" s="27">
        <v>14.234269862405682</v>
      </c>
      <c r="M1612" s="27">
        <v>21.459421641791046</v>
      </c>
      <c r="N1612" s="34">
        <v>29.860903549659376</v>
      </c>
    </row>
    <row r="1613" spans="1:14" x14ac:dyDescent="0.35">
      <c r="A1613" s="82">
        <v>1610</v>
      </c>
      <c r="B1613" s="89" t="str">
        <f>_xlfn.XLOOKUP(A1613,'Model Modeshare by TAZ'!A:A,'Model Modeshare by TAZ'!B:B)</f>
        <v>San Mateo</v>
      </c>
      <c r="C1613" s="90" t="str">
        <f>_xlfn.XLOOKUP(A1613,'Model Modeshare by TAZ'!A:A,'Model Modeshare by TAZ'!D:D)</f>
        <v>YES</v>
      </c>
      <c r="D1613" s="27">
        <v>3992.09</v>
      </c>
      <c r="E1613" s="27">
        <v>74393.61</v>
      </c>
      <c r="F1613" s="27">
        <v>3203.25</v>
      </c>
      <c r="G1613" s="27">
        <v>27649.52</v>
      </c>
      <c r="H1613" s="27">
        <v>876.64</v>
      </c>
      <c r="I1613" s="27">
        <v>13762.39</v>
      </c>
      <c r="J1613" s="6">
        <v>1893</v>
      </c>
      <c r="K1613" s="6">
        <v>862</v>
      </c>
      <c r="L1613" s="27">
        <v>14.606191230850502</v>
      </c>
      <c r="M1613" s="27">
        <v>15.965649651972157</v>
      </c>
      <c r="N1613" s="34">
        <v>34.325459165154264</v>
      </c>
    </row>
    <row r="1614" spans="1:14" x14ac:dyDescent="0.35">
      <c r="A1614" s="82">
        <v>1611</v>
      </c>
      <c r="B1614" s="89" t="str">
        <f>_xlfn.XLOOKUP(A1614,'Model Modeshare by TAZ'!A:A,'Model Modeshare by TAZ'!B:B)</f>
        <v>San Mateo</v>
      </c>
      <c r="C1614" s="90" t="str">
        <f>_xlfn.XLOOKUP(A1614,'Model Modeshare by TAZ'!A:A,'Model Modeshare by TAZ'!D:D)</f>
        <v>YES</v>
      </c>
      <c r="D1614" s="27">
        <v>6639.88</v>
      </c>
      <c r="E1614" s="27">
        <v>113930</v>
      </c>
      <c r="F1614" s="27">
        <v>5425.82</v>
      </c>
      <c r="G1614" s="27">
        <v>42369.65</v>
      </c>
      <c r="H1614" s="27">
        <v>828.12</v>
      </c>
      <c r="I1614" s="27">
        <v>12291.11</v>
      </c>
      <c r="J1614" s="6">
        <v>4079</v>
      </c>
      <c r="K1614" s="6">
        <v>539</v>
      </c>
      <c r="L1614" s="27">
        <v>10.387264035302771</v>
      </c>
      <c r="M1614" s="27">
        <v>22.803543599257885</v>
      </c>
      <c r="N1614" s="34">
        <v>21.400294499783456</v>
      </c>
    </row>
    <row r="1615" spans="1:14" x14ac:dyDescent="0.35">
      <c r="A1615" s="82">
        <v>1612</v>
      </c>
      <c r="B1615" s="89" t="str">
        <f>_xlfn.XLOOKUP(A1615,'Model Modeshare by TAZ'!A:A,'Model Modeshare by TAZ'!B:B)</f>
        <v>Foster City</v>
      </c>
      <c r="C1615" s="90" t="str">
        <f>_xlfn.XLOOKUP(A1615,'Model Modeshare by TAZ'!A:A,'Model Modeshare by TAZ'!D:D)</f>
        <v>YES</v>
      </c>
      <c r="D1615" s="27">
        <v>4669.34</v>
      </c>
      <c r="E1615" s="27">
        <v>84772.69</v>
      </c>
      <c r="F1615" s="27">
        <v>3069.87</v>
      </c>
      <c r="G1615" s="27">
        <v>26252.65</v>
      </c>
      <c r="H1615" s="27">
        <v>808.62</v>
      </c>
      <c r="I1615" s="27">
        <v>12310.34</v>
      </c>
      <c r="J1615" s="6">
        <v>1869</v>
      </c>
      <c r="K1615" s="6">
        <v>738</v>
      </c>
      <c r="L1615" s="27">
        <v>14.046361690743714</v>
      </c>
      <c r="M1615" s="27">
        <v>16.680677506775069</v>
      </c>
      <c r="N1615" s="34">
        <v>26.938925968546222</v>
      </c>
    </row>
    <row r="1616" spans="1:14" x14ac:dyDescent="0.35">
      <c r="A1616" s="82">
        <v>1613</v>
      </c>
      <c r="B1616" s="89" t="str">
        <f>_xlfn.XLOOKUP(A1616,'Model Modeshare by TAZ'!A:A,'Model Modeshare by TAZ'!B:B)</f>
        <v>San Mateo</v>
      </c>
      <c r="C1616" s="90" t="str">
        <f>_xlfn.XLOOKUP(A1616,'Model Modeshare by TAZ'!A:A,'Model Modeshare by TAZ'!D:D)</f>
        <v>YES</v>
      </c>
      <c r="D1616" s="27">
        <v>5145.4399999999996</v>
      </c>
      <c r="E1616" s="27">
        <v>116592.42</v>
      </c>
      <c r="F1616" s="27">
        <v>30.35</v>
      </c>
      <c r="G1616" s="27">
        <v>268.36</v>
      </c>
      <c r="H1616" s="27">
        <v>2112.38</v>
      </c>
      <c r="I1616" s="27">
        <v>34563.14</v>
      </c>
      <c r="J1616" s="6">
        <v>35</v>
      </c>
      <c r="K1616" s="6">
        <v>2053</v>
      </c>
      <c r="L1616" s="27">
        <v>7.6674285714285721</v>
      </c>
      <c r="M1616" s="27">
        <v>16.835431076473455</v>
      </c>
      <c r="N1616" s="34">
        <v>50.288170498084291</v>
      </c>
    </row>
    <row r="1617" spans="1:14" x14ac:dyDescent="0.35">
      <c r="A1617" s="82">
        <v>1614</v>
      </c>
      <c r="B1617" s="89" t="str">
        <f>_xlfn.XLOOKUP(A1617,'Model Modeshare by TAZ'!A:A,'Model Modeshare by TAZ'!B:B)</f>
        <v>Belmont</v>
      </c>
      <c r="C1617" s="90" t="str">
        <f>_xlfn.XLOOKUP(A1617,'Model Modeshare by TAZ'!A:A,'Model Modeshare by TAZ'!D:D)</f>
        <v>YES</v>
      </c>
      <c r="D1617" s="27">
        <v>1289.19</v>
      </c>
      <c r="E1617" s="27">
        <v>15227.12</v>
      </c>
      <c r="F1617" s="27">
        <v>803.79</v>
      </c>
      <c r="G1617" s="27">
        <v>4075.03</v>
      </c>
      <c r="H1617" s="27">
        <v>507.43</v>
      </c>
      <c r="I1617" s="27">
        <v>7119.49</v>
      </c>
      <c r="J1617" s="6">
        <v>670</v>
      </c>
      <c r="K1617" s="6">
        <v>485</v>
      </c>
      <c r="L1617" s="27">
        <v>6.082134328358209</v>
      </c>
      <c r="M1617" s="27">
        <v>14.679360824742268</v>
      </c>
      <c r="N1617" s="34">
        <v>14.572848484848484</v>
      </c>
    </row>
    <row r="1618" spans="1:14" x14ac:dyDescent="0.35">
      <c r="A1618" s="82">
        <v>1615</v>
      </c>
      <c r="B1618" s="89" t="str">
        <f>_xlfn.XLOOKUP(A1618,'Model Modeshare by TAZ'!A:A,'Model Modeshare by TAZ'!B:B)</f>
        <v>Unincorporated</v>
      </c>
      <c r="C1618" s="90" t="str">
        <f>_xlfn.XLOOKUP(A1618,'Model Modeshare by TAZ'!A:A,'Model Modeshare by TAZ'!D:D)</f>
        <v>YES</v>
      </c>
      <c r="D1618" s="27">
        <v>296.32</v>
      </c>
      <c r="E1618" s="27">
        <v>7123.22</v>
      </c>
      <c r="F1618" s="27">
        <v>40.98</v>
      </c>
      <c r="G1618" s="27">
        <v>506.39</v>
      </c>
      <c r="H1618" s="27">
        <v>201.18</v>
      </c>
      <c r="I1618" s="27">
        <v>2960.82</v>
      </c>
      <c r="J1618" s="6">
        <v>32</v>
      </c>
      <c r="K1618" s="6">
        <v>157</v>
      </c>
      <c r="L1618" s="27">
        <v>15.8246875</v>
      </c>
      <c r="M1618" s="27">
        <v>18.858726114649684</v>
      </c>
      <c r="N1618" s="34">
        <v>67.774021164021164</v>
      </c>
    </row>
    <row r="1619" spans="1:14" x14ac:dyDescent="0.35">
      <c r="A1619" s="82">
        <v>1616</v>
      </c>
      <c r="B1619" s="89" t="str">
        <f>_xlfn.XLOOKUP(A1619,'Model Modeshare by TAZ'!A:A,'Model Modeshare by TAZ'!B:B)</f>
        <v>Unincorporated</v>
      </c>
      <c r="C1619" s="90" t="str">
        <f>_xlfn.XLOOKUP(A1619,'Model Modeshare by TAZ'!A:A,'Model Modeshare by TAZ'!D:D)</f>
        <v>YES</v>
      </c>
      <c r="D1619" s="27">
        <v>8588.1</v>
      </c>
      <c r="E1619" s="27">
        <v>192498.22</v>
      </c>
      <c r="F1619" s="27">
        <v>7424.72</v>
      </c>
      <c r="G1619" s="27">
        <v>82590.78</v>
      </c>
      <c r="H1619" s="27">
        <v>1231.3800000000001</v>
      </c>
      <c r="I1619" s="27">
        <v>19861.18</v>
      </c>
      <c r="J1619" s="6">
        <v>4357</v>
      </c>
      <c r="K1619" s="6">
        <v>743</v>
      </c>
      <c r="L1619" s="27">
        <v>18.955882487950426</v>
      </c>
      <c r="M1619" s="27">
        <v>26.731063257065948</v>
      </c>
      <c r="N1619" s="34">
        <v>34.69375294117647</v>
      </c>
    </row>
    <row r="1620" spans="1:14" x14ac:dyDescent="0.35">
      <c r="A1620" s="82">
        <v>1617</v>
      </c>
      <c r="B1620" s="89" t="str">
        <f>_xlfn.XLOOKUP(A1620,'Model Modeshare by TAZ'!A:A,'Model Modeshare by TAZ'!B:B)</f>
        <v>Unincorporated</v>
      </c>
      <c r="C1620" s="90" t="str">
        <f>_xlfn.XLOOKUP(A1620,'Model Modeshare by TAZ'!A:A,'Model Modeshare by TAZ'!D:D)</f>
        <v>YES</v>
      </c>
      <c r="D1620" s="27">
        <v>485.17</v>
      </c>
      <c r="E1620" s="27">
        <v>14932.44</v>
      </c>
      <c r="F1620" s="27">
        <v>374.88</v>
      </c>
      <c r="G1620" s="27">
        <v>5401.75</v>
      </c>
      <c r="H1620" s="27">
        <v>74.89</v>
      </c>
      <c r="I1620" s="27">
        <v>1672.96</v>
      </c>
      <c r="J1620" s="6">
        <v>204</v>
      </c>
      <c r="K1620" s="6">
        <v>48</v>
      </c>
      <c r="L1620" s="27">
        <v>26.479166666666668</v>
      </c>
      <c r="M1620" s="27">
        <v>34.853333333333332</v>
      </c>
      <c r="N1620" s="34">
        <v>47.02865079365079</v>
      </c>
    </row>
    <row r="1621" spans="1:14" x14ac:dyDescent="0.35">
      <c r="A1621" s="82">
        <v>1618</v>
      </c>
      <c r="B1621" s="89" t="str">
        <f>_xlfn.XLOOKUP(A1621,'Model Modeshare by TAZ'!A:A,'Model Modeshare by TAZ'!B:B)</f>
        <v>Unincorporated</v>
      </c>
      <c r="C1621" s="90" t="str">
        <f>_xlfn.XLOOKUP(A1621,'Model Modeshare by TAZ'!A:A,'Model Modeshare by TAZ'!D:D)</f>
        <v>YES</v>
      </c>
      <c r="D1621" s="27">
        <v>1338.41</v>
      </c>
      <c r="E1621" s="27">
        <v>25426.89</v>
      </c>
      <c r="F1621" s="27">
        <v>1100.69</v>
      </c>
      <c r="G1621" s="27">
        <v>10637.79</v>
      </c>
      <c r="H1621" s="27">
        <v>193.52</v>
      </c>
      <c r="I1621" s="27">
        <v>3486.8</v>
      </c>
      <c r="J1621" s="6">
        <v>706</v>
      </c>
      <c r="K1621" s="6">
        <v>127</v>
      </c>
      <c r="L1621" s="27">
        <v>15.067691218130312</v>
      </c>
      <c r="M1621" s="27">
        <v>27.455118110236221</v>
      </c>
      <c r="N1621" s="34">
        <v>28.897442977190877</v>
      </c>
    </row>
    <row r="1622" spans="1:14" x14ac:dyDescent="0.35">
      <c r="A1622" s="82">
        <v>1619</v>
      </c>
      <c r="B1622" s="89" t="str">
        <f>_xlfn.XLOOKUP(A1622,'Model Modeshare by TAZ'!A:A,'Model Modeshare by TAZ'!B:B)</f>
        <v>Unincorporated</v>
      </c>
      <c r="C1622" s="90" t="str">
        <f>_xlfn.XLOOKUP(A1622,'Model Modeshare by TAZ'!A:A,'Model Modeshare by TAZ'!D:D)</f>
        <v>YES</v>
      </c>
      <c r="D1622" s="27">
        <v>191.93</v>
      </c>
      <c r="E1622" s="27">
        <v>6986.05</v>
      </c>
      <c r="F1622" s="27">
        <v>147.29</v>
      </c>
      <c r="G1622" s="27">
        <v>2277.8000000000002</v>
      </c>
      <c r="H1622" s="27">
        <v>37.869999999999997</v>
      </c>
      <c r="I1622" s="27">
        <v>1110.03</v>
      </c>
      <c r="J1622" s="6">
        <v>85</v>
      </c>
      <c r="K1622" s="6">
        <v>30</v>
      </c>
      <c r="L1622" s="27">
        <v>26.797647058823532</v>
      </c>
      <c r="M1622" s="27">
        <v>37.000999999999998</v>
      </c>
      <c r="N1622" s="34">
        <v>46.249826086956517</v>
      </c>
    </row>
    <row r="1623" spans="1:14" x14ac:dyDescent="0.35">
      <c r="A1623" s="82">
        <v>1620</v>
      </c>
      <c r="B1623" s="89" t="str">
        <f>_xlfn.XLOOKUP(A1623,'Model Modeshare by TAZ'!A:A,'Model Modeshare by TAZ'!B:B)</f>
        <v>Portola Valley</v>
      </c>
      <c r="C1623" s="90" t="str">
        <f>_xlfn.XLOOKUP(A1623,'Model Modeshare by TAZ'!A:A,'Model Modeshare by TAZ'!D:D)</f>
        <v>YES</v>
      </c>
      <c r="D1623" s="27">
        <v>3836.95</v>
      </c>
      <c r="E1623" s="27">
        <v>105942.31</v>
      </c>
      <c r="F1623" s="27">
        <v>3011.16</v>
      </c>
      <c r="G1623" s="27">
        <v>35573.96</v>
      </c>
      <c r="H1623" s="27">
        <v>1308.23</v>
      </c>
      <c r="I1623" s="27">
        <v>28872.1</v>
      </c>
      <c r="J1623" s="6">
        <v>1746</v>
      </c>
      <c r="K1623" s="6">
        <v>1100</v>
      </c>
      <c r="L1623" s="27">
        <v>20.374547537227951</v>
      </c>
      <c r="M1623" s="27">
        <v>26.247363636363634</v>
      </c>
      <c r="N1623" s="34">
        <v>46.829652143359098</v>
      </c>
    </row>
    <row r="1624" spans="1:14" x14ac:dyDescent="0.35">
      <c r="A1624" s="82">
        <v>1621</v>
      </c>
      <c r="B1624" s="89" t="str">
        <f>_xlfn.XLOOKUP(A1624,'Model Modeshare by TAZ'!A:A,'Model Modeshare by TAZ'!B:B)</f>
        <v>Woodside</v>
      </c>
      <c r="C1624" s="90" t="str">
        <f>_xlfn.XLOOKUP(A1624,'Model Modeshare by TAZ'!A:A,'Model Modeshare by TAZ'!D:D)</f>
        <v>YES</v>
      </c>
      <c r="D1624" s="27">
        <v>591.37</v>
      </c>
      <c r="E1624" s="27">
        <v>14303.27</v>
      </c>
      <c r="F1624" s="27">
        <v>712.07</v>
      </c>
      <c r="G1624" s="27">
        <v>9012.3799999999992</v>
      </c>
      <c r="H1624" s="27">
        <v>12.38</v>
      </c>
      <c r="I1624" s="27">
        <v>232.4</v>
      </c>
      <c r="J1624" s="6">
        <v>380</v>
      </c>
      <c r="K1624" s="6">
        <v>7</v>
      </c>
      <c r="L1624" s="27">
        <v>23.716789473684209</v>
      </c>
      <c r="M1624" s="27">
        <v>33.200000000000003</v>
      </c>
      <c r="N1624" s="34">
        <v>38.694935400516798</v>
      </c>
    </row>
    <row r="1625" spans="1:14" x14ac:dyDescent="0.35">
      <c r="A1625" s="82">
        <v>1622</v>
      </c>
      <c r="B1625" s="89" t="str">
        <f>_xlfn.XLOOKUP(A1625,'Model Modeshare by TAZ'!A:A,'Model Modeshare by TAZ'!B:B)</f>
        <v>Redwood City</v>
      </c>
      <c r="C1625" s="90" t="str">
        <f>_xlfn.XLOOKUP(A1625,'Model Modeshare by TAZ'!A:A,'Model Modeshare by TAZ'!D:D)</f>
        <v>YES</v>
      </c>
      <c r="D1625" s="27">
        <v>3588.12</v>
      </c>
      <c r="E1625" s="27">
        <v>58370.27</v>
      </c>
      <c r="F1625" s="27">
        <v>3601.53</v>
      </c>
      <c r="G1625" s="27">
        <v>28998.43</v>
      </c>
      <c r="H1625" s="27">
        <v>281.08</v>
      </c>
      <c r="I1625" s="27">
        <v>4197.07</v>
      </c>
      <c r="J1625" s="6">
        <v>2175</v>
      </c>
      <c r="K1625" s="6">
        <v>170</v>
      </c>
      <c r="L1625" s="27">
        <v>13.332611494252873</v>
      </c>
      <c r="M1625" s="27">
        <v>24.688647058823527</v>
      </c>
      <c r="N1625" s="34">
        <v>22.832648187633261</v>
      </c>
    </row>
    <row r="1626" spans="1:14" x14ac:dyDescent="0.35">
      <c r="A1626" s="82">
        <v>1623</v>
      </c>
      <c r="B1626" s="89" t="str">
        <f>_xlfn.XLOOKUP(A1626,'Model Modeshare by TAZ'!A:A,'Model Modeshare by TAZ'!B:B)</f>
        <v>San Carlos</v>
      </c>
      <c r="C1626" s="90" t="str">
        <f>_xlfn.XLOOKUP(A1626,'Model Modeshare by TAZ'!A:A,'Model Modeshare by TAZ'!D:D)</f>
        <v>YES</v>
      </c>
      <c r="D1626" s="27">
        <v>8135.16</v>
      </c>
      <c r="E1626" s="27">
        <v>93722.33</v>
      </c>
      <c r="F1626" s="27">
        <v>3502.61</v>
      </c>
      <c r="G1626" s="27">
        <v>15741.63</v>
      </c>
      <c r="H1626" s="27">
        <v>1026.24</v>
      </c>
      <c r="I1626" s="27">
        <v>13064.32</v>
      </c>
      <c r="J1626" s="6">
        <v>2447</v>
      </c>
      <c r="K1626" s="6">
        <v>966</v>
      </c>
      <c r="L1626" s="27">
        <v>6.4330322844299141</v>
      </c>
      <c r="M1626" s="27">
        <v>13.524140786749483</v>
      </c>
      <c r="N1626" s="34">
        <v>15.687966598300616</v>
      </c>
    </row>
    <row r="1627" spans="1:14" x14ac:dyDescent="0.35">
      <c r="A1627" s="82">
        <v>1624</v>
      </c>
      <c r="B1627" s="89" t="str">
        <f>_xlfn.XLOOKUP(A1627,'Model Modeshare by TAZ'!A:A,'Model Modeshare by TAZ'!B:B)</f>
        <v>San Carlos</v>
      </c>
      <c r="C1627" s="90" t="str">
        <f>_xlfn.XLOOKUP(A1627,'Model Modeshare by TAZ'!A:A,'Model Modeshare by TAZ'!D:D)</f>
        <v>YES</v>
      </c>
      <c r="D1627" s="27">
        <v>5706.94</v>
      </c>
      <c r="E1627" s="27">
        <v>138650.23999999999</v>
      </c>
      <c r="F1627" s="27">
        <v>377.87</v>
      </c>
      <c r="G1627" s="27">
        <v>3044.58</v>
      </c>
      <c r="H1627" s="27">
        <v>3322.95</v>
      </c>
      <c r="I1627" s="27">
        <v>48501.29</v>
      </c>
      <c r="J1627" s="6">
        <v>221</v>
      </c>
      <c r="K1627" s="6">
        <v>3219</v>
      </c>
      <c r="L1627" s="27">
        <v>13.776380090497737</v>
      </c>
      <c r="M1627" s="27">
        <v>15.067191674433055</v>
      </c>
      <c r="N1627" s="34">
        <v>39.130787790697674</v>
      </c>
    </row>
    <row r="1628" spans="1:14" x14ac:dyDescent="0.35">
      <c r="A1628" s="82">
        <v>1625</v>
      </c>
      <c r="B1628" s="89" t="str">
        <f>_xlfn.XLOOKUP(A1628,'Model Modeshare by TAZ'!A:A,'Model Modeshare by TAZ'!B:B)</f>
        <v>Redwood City</v>
      </c>
      <c r="C1628" s="90" t="str">
        <f>_xlfn.XLOOKUP(A1628,'Model Modeshare by TAZ'!A:A,'Model Modeshare by TAZ'!D:D)</f>
        <v>YES</v>
      </c>
      <c r="D1628" s="27">
        <v>6320.95</v>
      </c>
      <c r="E1628" s="27">
        <v>119000.19</v>
      </c>
      <c r="F1628" s="27">
        <v>1884.15</v>
      </c>
      <c r="G1628" s="27">
        <v>13166.54</v>
      </c>
      <c r="H1628" s="27">
        <v>2165.2199999999998</v>
      </c>
      <c r="I1628" s="27">
        <v>33506.68</v>
      </c>
      <c r="J1628" s="6">
        <v>1128</v>
      </c>
      <c r="K1628" s="6">
        <v>2015</v>
      </c>
      <c r="L1628" s="27">
        <v>11.672464539007093</v>
      </c>
      <c r="M1628" s="27">
        <v>16.628625310173696</v>
      </c>
      <c r="N1628" s="34">
        <v>29.984813872096723</v>
      </c>
    </row>
    <row r="1629" spans="1:14" x14ac:dyDescent="0.35">
      <c r="A1629" s="82">
        <v>1626</v>
      </c>
      <c r="B1629" s="89" t="str">
        <f>_xlfn.XLOOKUP(A1629,'Model Modeshare by TAZ'!A:A,'Model Modeshare by TAZ'!B:B)</f>
        <v>Redwood City</v>
      </c>
      <c r="C1629" s="90" t="str">
        <f>_xlfn.XLOOKUP(A1629,'Model Modeshare by TAZ'!A:A,'Model Modeshare by TAZ'!D:D)</f>
        <v>YES</v>
      </c>
      <c r="D1629" s="27">
        <v>1.89</v>
      </c>
      <c r="E1629" s="27">
        <v>50.72</v>
      </c>
      <c r="F1629" s="27">
        <v>0</v>
      </c>
      <c r="G1629" s="27">
        <v>0</v>
      </c>
      <c r="H1629" s="27">
        <v>12.77</v>
      </c>
      <c r="I1629" s="27">
        <v>225.87</v>
      </c>
      <c r="J1629" s="6">
        <v>0</v>
      </c>
      <c r="K1629" s="6">
        <v>10</v>
      </c>
      <c r="L1629" s="27">
        <v>0</v>
      </c>
      <c r="M1629" s="27">
        <v>22.587</v>
      </c>
      <c r="N1629" s="34">
        <v>11.270999999999999</v>
      </c>
    </row>
    <row r="1630" spans="1:14" x14ac:dyDescent="0.35">
      <c r="A1630" s="82">
        <v>1627</v>
      </c>
      <c r="B1630" s="89" t="str">
        <f>_xlfn.XLOOKUP(A1630,'Model Modeshare by TAZ'!A:A,'Model Modeshare by TAZ'!B:B)</f>
        <v>Redwood City</v>
      </c>
      <c r="C1630" s="90" t="str">
        <f>_xlfn.XLOOKUP(A1630,'Model Modeshare by TAZ'!A:A,'Model Modeshare by TAZ'!D:D)</f>
        <v>YES</v>
      </c>
      <c r="D1630" s="27">
        <v>6096.66</v>
      </c>
      <c r="E1630" s="27">
        <v>121005.88</v>
      </c>
      <c r="F1630" s="27">
        <v>3289.35</v>
      </c>
      <c r="G1630" s="27">
        <v>27925.61</v>
      </c>
      <c r="H1630" s="27">
        <v>1310.3800000000001</v>
      </c>
      <c r="I1630" s="27">
        <v>20648.38</v>
      </c>
      <c r="J1630" s="6">
        <v>2716</v>
      </c>
      <c r="K1630" s="6">
        <v>1328</v>
      </c>
      <c r="L1630" s="27">
        <v>10.281888807069219</v>
      </c>
      <c r="M1630" s="27">
        <v>15.548478915662651</v>
      </c>
      <c r="N1630" s="34">
        <v>31.860816023738874</v>
      </c>
    </row>
    <row r="1631" spans="1:14" x14ac:dyDescent="0.35">
      <c r="A1631" s="82">
        <v>1628</v>
      </c>
      <c r="B1631" s="89" t="str">
        <f>_xlfn.XLOOKUP(A1631,'Model Modeshare by TAZ'!A:A,'Model Modeshare by TAZ'!B:B)</f>
        <v>Redwood City</v>
      </c>
      <c r="C1631" s="90" t="str">
        <f>_xlfn.XLOOKUP(A1631,'Model Modeshare by TAZ'!A:A,'Model Modeshare by TAZ'!D:D)</f>
        <v>YES</v>
      </c>
      <c r="D1631" s="27">
        <v>4971.1400000000003</v>
      </c>
      <c r="E1631" s="27">
        <v>98634.18</v>
      </c>
      <c r="F1631" s="27">
        <v>779.07</v>
      </c>
      <c r="G1631" s="27">
        <v>6429.89</v>
      </c>
      <c r="H1631" s="27">
        <v>1723.53</v>
      </c>
      <c r="I1631" s="27">
        <v>26629.75</v>
      </c>
      <c r="J1631" s="6">
        <v>414</v>
      </c>
      <c r="K1631" s="6">
        <v>1778</v>
      </c>
      <c r="L1631" s="27">
        <v>15.531135265700485</v>
      </c>
      <c r="M1631" s="27">
        <v>14.977362204724409</v>
      </c>
      <c r="N1631" s="34">
        <v>54.6322947080292</v>
      </c>
    </row>
    <row r="1632" spans="1:14" x14ac:dyDescent="0.35">
      <c r="A1632" s="82">
        <v>1629</v>
      </c>
      <c r="B1632" s="89" t="str">
        <f>_xlfn.XLOOKUP(A1632,'Model Modeshare by TAZ'!A:A,'Model Modeshare by TAZ'!B:B)</f>
        <v>Redwood City</v>
      </c>
      <c r="C1632" s="90" t="str">
        <f>_xlfn.XLOOKUP(A1632,'Model Modeshare by TAZ'!A:A,'Model Modeshare by TAZ'!D:D)</f>
        <v>YES</v>
      </c>
      <c r="D1632" s="27">
        <v>393.55</v>
      </c>
      <c r="E1632" s="27">
        <v>8234.0400000000009</v>
      </c>
      <c r="F1632" s="27">
        <v>189.43</v>
      </c>
      <c r="G1632" s="27">
        <v>1553.46</v>
      </c>
      <c r="H1632" s="27">
        <v>390.05</v>
      </c>
      <c r="I1632" s="27">
        <v>6229.59</v>
      </c>
      <c r="J1632" s="6">
        <v>163</v>
      </c>
      <c r="K1632" s="6">
        <v>387</v>
      </c>
      <c r="L1632" s="27">
        <v>9.5304294478527609</v>
      </c>
      <c r="M1632" s="27">
        <v>16.097131782945738</v>
      </c>
      <c r="N1632" s="34">
        <v>32.583163636363636</v>
      </c>
    </row>
    <row r="1633" spans="1:14" x14ac:dyDescent="0.35">
      <c r="A1633" s="82">
        <v>1630</v>
      </c>
      <c r="B1633" s="89" t="str">
        <f>_xlfn.XLOOKUP(A1633,'Model Modeshare by TAZ'!A:A,'Model Modeshare by TAZ'!B:B)</f>
        <v>Menlo Park</v>
      </c>
      <c r="C1633" s="90" t="str">
        <f>_xlfn.XLOOKUP(A1633,'Model Modeshare by TAZ'!A:A,'Model Modeshare by TAZ'!D:D)</f>
        <v>YES</v>
      </c>
      <c r="D1633" s="27">
        <v>2304.08</v>
      </c>
      <c r="E1633" s="27">
        <v>47449.39</v>
      </c>
      <c r="F1633" s="27">
        <v>2990.26</v>
      </c>
      <c r="G1633" s="27">
        <v>29597.119999999999</v>
      </c>
      <c r="H1633" s="27">
        <v>216.23</v>
      </c>
      <c r="I1633" s="27">
        <v>3479.25</v>
      </c>
      <c r="J1633" s="6">
        <v>2161</v>
      </c>
      <c r="K1633" s="6">
        <v>130</v>
      </c>
      <c r="L1633" s="27">
        <v>13.696029615918556</v>
      </c>
      <c r="M1633" s="27">
        <v>26.763461538461538</v>
      </c>
      <c r="N1633" s="34">
        <v>24.064399825403754</v>
      </c>
    </row>
    <row r="1634" spans="1:14" x14ac:dyDescent="0.35">
      <c r="A1634" s="82">
        <v>1631</v>
      </c>
      <c r="B1634" s="89" t="str">
        <f>_xlfn.XLOOKUP(A1634,'Model Modeshare by TAZ'!A:A,'Model Modeshare by TAZ'!B:B)</f>
        <v>Menlo Park</v>
      </c>
      <c r="C1634" s="90" t="str">
        <f>_xlfn.XLOOKUP(A1634,'Model Modeshare by TAZ'!A:A,'Model Modeshare by TAZ'!D:D)</f>
        <v>YES</v>
      </c>
      <c r="D1634" s="27">
        <v>7875.7</v>
      </c>
      <c r="E1634" s="27">
        <v>163492.35999999999</v>
      </c>
      <c r="F1634" s="27">
        <v>2147.7399999999998</v>
      </c>
      <c r="G1634" s="27">
        <v>17903.8</v>
      </c>
      <c r="H1634" s="27">
        <v>3631.56</v>
      </c>
      <c r="I1634" s="27">
        <v>54188.85</v>
      </c>
      <c r="J1634" s="6">
        <v>1860</v>
      </c>
      <c r="K1634" s="6">
        <v>3527</v>
      </c>
      <c r="L1634" s="27">
        <v>9.6256989247311822</v>
      </c>
      <c r="M1634" s="27">
        <v>15.364006237595691</v>
      </c>
      <c r="N1634" s="34">
        <v>29.470666419157233</v>
      </c>
    </row>
    <row r="1635" spans="1:14" x14ac:dyDescent="0.35">
      <c r="A1635" s="82">
        <v>1632</v>
      </c>
      <c r="B1635" s="89" t="str">
        <f>_xlfn.XLOOKUP(A1635,'Model Modeshare by TAZ'!A:A,'Model Modeshare by TAZ'!B:B)</f>
        <v>East Palo Alto</v>
      </c>
      <c r="C1635" s="90" t="str">
        <f>_xlfn.XLOOKUP(A1635,'Model Modeshare by TAZ'!A:A,'Model Modeshare by TAZ'!D:D)</f>
        <v>YES</v>
      </c>
      <c r="D1635" s="27">
        <v>3167.18</v>
      </c>
      <c r="E1635" s="27">
        <v>55107.5</v>
      </c>
      <c r="F1635" s="27">
        <v>3947.59</v>
      </c>
      <c r="G1635" s="27">
        <v>34450.65</v>
      </c>
      <c r="H1635" s="27">
        <v>4.12</v>
      </c>
      <c r="I1635" s="27">
        <v>65.72</v>
      </c>
      <c r="J1635" s="6">
        <v>3062</v>
      </c>
      <c r="K1635" s="6">
        <v>2</v>
      </c>
      <c r="L1635" s="27">
        <v>11.251028739386022</v>
      </c>
      <c r="M1635" s="27">
        <v>32.86</v>
      </c>
      <c r="N1635" s="34">
        <v>17.247124673629244</v>
      </c>
    </row>
    <row r="1636" spans="1:14" x14ac:dyDescent="0.35">
      <c r="A1636" s="82">
        <v>1633</v>
      </c>
      <c r="B1636" s="89" t="str">
        <f>_xlfn.XLOOKUP(A1636,'Model Modeshare by TAZ'!A:A,'Model Modeshare by TAZ'!B:B)</f>
        <v>Atherton</v>
      </c>
      <c r="C1636" s="90" t="str">
        <f>_xlfn.XLOOKUP(A1636,'Model Modeshare by TAZ'!A:A,'Model Modeshare by TAZ'!D:D)</f>
        <v>YES</v>
      </c>
      <c r="D1636" s="27">
        <v>937.7</v>
      </c>
      <c r="E1636" s="27">
        <v>13210.43</v>
      </c>
      <c r="F1636" s="27">
        <v>964.81</v>
      </c>
      <c r="G1636" s="27">
        <v>6242.46</v>
      </c>
      <c r="H1636" s="27">
        <v>180.34</v>
      </c>
      <c r="I1636" s="27">
        <v>2586.91</v>
      </c>
      <c r="J1636" s="6">
        <v>599</v>
      </c>
      <c r="K1636" s="6">
        <v>122</v>
      </c>
      <c r="L1636" s="27">
        <v>10.421469115191986</v>
      </c>
      <c r="M1636" s="27">
        <v>21.204180327868851</v>
      </c>
      <c r="N1636" s="34">
        <v>21.991858529819694</v>
      </c>
    </row>
    <row r="1637" spans="1:14" x14ac:dyDescent="0.35">
      <c r="A1637" s="82">
        <v>1634</v>
      </c>
      <c r="B1637" s="89" t="str">
        <f>_xlfn.XLOOKUP(A1637,'Model Modeshare by TAZ'!A:A,'Model Modeshare by TAZ'!B:B)</f>
        <v>Atherton</v>
      </c>
      <c r="C1637" s="90" t="str">
        <f>_xlfn.XLOOKUP(A1637,'Model Modeshare by TAZ'!A:A,'Model Modeshare by TAZ'!D:D)</f>
        <v>YES</v>
      </c>
      <c r="D1637" s="27">
        <v>800.28</v>
      </c>
      <c r="E1637" s="27">
        <v>12399.12</v>
      </c>
      <c r="F1637" s="27">
        <v>785.55</v>
      </c>
      <c r="G1637" s="27">
        <v>4626.59</v>
      </c>
      <c r="H1637" s="27">
        <v>39.22</v>
      </c>
      <c r="I1637" s="27">
        <v>603.77</v>
      </c>
      <c r="J1637" s="6">
        <v>531</v>
      </c>
      <c r="K1637" s="6">
        <v>22</v>
      </c>
      <c r="L1637" s="27">
        <v>8.7129755178907722</v>
      </c>
      <c r="M1637" s="27">
        <v>27.444090909090907</v>
      </c>
      <c r="N1637" s="34">
        <v>12.368842676311031</v>
      </c>
    </row>
    <row r="1638" spans="1:14" x14ac:dyDescent="0.35">
      <c r="A1638" s="82">
        <v>1635</v>
      </c>
      <c r="B1638" s="89" t="str">
        <f>_xlfn.XLOOKUP(A1638,'Model Modeshare by TAZ'!A:A,'Model Modeshare by TAZ'!B:B)</f>
        <v>Menlo Park</v>
      </c>
      <c r="C1638" s="90" t="str">
        <f>_xlfn.XLOOKUP(A1638,'Model Modeshare by TAZ'!A:A,'Model Modeshare by TAZ'!D:D)</f>
        <v>YES</v>
      </c>
      <c r="D1638" s="27">
        <v>9308.1200000000008</v>
      </c>
      <c r="E1638" s="27">
        <v>245522.62</v>
      </c>
      <c r="F1638" s="27">
        <v>1730.3</v>
      </c>
      <c r="G1638" s="27">
        <v>16534.21</v>
      </c>
      <c r="H1638" s="27">
        <v>4225.3900000000003</v>
      </c>
      <c r="I1638" s="27">
        <v>76527.460000000006</v>
      </c>
      <c r="J1638" s="6">
        <v>1035</v>
      </c>
      <c r="K1638" s="6">
        <v>3796</v>
      </c>
      <c r="L1638" s="27">
        <v>15.975082125603864</v>
      </c>
      <c r="M1638" s="27">
        <v>20.160026343519498</v>
      </c>
      <c r="N1638" s="34">
        <v>44.386549368660738</v>
      </c>
    </row>
    <row r="1639" spans="1:14" x14ac:dyDescent="0.35">
      <c r="A1639" s="82">
        <v>1636</v>
      </c>
      <c r="B1639" s="89" t="str">
        <f>_xlfn.XLOOKUP(A1639,'Model Modeshare by TAZ'!A:A,'Model Modeshare by TAZ'!B:B)</f>
        <v>Brisbane</v>
      </c>
      <c r="C1639" s="90" t="str">
        <f>_xlfn.XLOOKUP(A1639,'Model Modeshare by TAZ'!A:A,'Model Modeshare by TAZ'!D:D)</f>
        <v>YES</v>
      </c>
      <c r="D1639" s="27">
        <v>4365.45</v>
      </c>
      <c r="E1639" s="27">
        <v>108701.01</v>
      </c>
      <c r="F1639" s="27">
        <v>0</v>
      </c>
      <c r="G1639" s="27">
        <v>0</v>
      </c>
      <c r="H1639" s="27">
        <v>3010.73</v>
      </c>
      <c r="I1639" s="27">
        <v>38906.080000000002</v>
      </c>
      <c r="J1639" s="6">
        <v>0</v>
      </c>
      <c r="K1639" s="6">
        <v>2761</v>
      </c>
      <c r="L1639" s="27">
        <v>0</v>
      </c>
      <c r="M1639" s="27">
        <v>14.09130025353133</v>
      </c>
      <c r="N1639" s="34">
        <v>30.653147410358564</v>
      </c>
    </row>
    <row r="1640" spans="1:14" x14ac:dyDescent="0.35">
      <c r="A1640" s="82">
        <v>1637</v>
      </c>
      <c r="B1640" s="89" t="str">
        <f>_xlfn.XLOOKUP(A1640,'Model Modeshare by TAZ'!A:A,'Model Modeshare by TAZ'!B:B)</f>
        <v>Brisbane</v>
      </c>
      <c r="C1640" s="90" t="str">
        <f>_xlfn.XLOOKUP(A1640,'Model Modeshare by TAZ'!A:A,'Model Modeshare by TAZ'!D:D)</f>
        <v>YES</v>
      </c>
      <c r="D1640" s="27">
        <v>6844.03</v>
      </c>
      <c r="E1640" s="27">
        <v>177532.08</v>
      </c>
      <c r="F1640" s="27">
        <v>5.89</v>
      </c>
      <c r="G1640" s="27">
        <v>68.040000000000006</v>
      </c>
      <c r="H1640" s="27">
        <v>1508.55</v>
      </c>
      <c r="I1640" s="27">
        <v>20592.48</v>
      </c>
      <c r="J1640" s="6">
        <v>11</v>
      </c>
      <c r="K1640" s="6">
        <v>1362</v>
      </c>
      <c r="L1640" s="27">
        <v>6.1854545454545464</v>
      </c>
      <c r="M1640" s="27">
        <v>15.119295154185021</v>
      </c>
      <c r="N1640" s="34">
        <v>46.378426802621995</v>
      </c>
    </row>
    <row r="1641" spans="1:14" x14ac:dyDescent="0.35">
      <c r="A1641" s="82">
        <v>1638</v>
      </c>
      <c r="B1641" s="89" t="str">
        <f>_xlfn.XLOOKUP(A1641,'Model Modeshare by TAZ'!A:A,'Model Modeshare by TAZ'!B:B)</f>
        <v>Brisbane</v>
      </c>
      <c r="C1641" s="90" t="str">
        <f>_xlfn.XLOOKUP(A1641,'Model Modeshare by TAZ'!A:A,'Model Modeshare by TAZ'!D:D)</f>
        <v>YES</v>
      </c>
      <c r="D1641" s="27">
        <v>2558.04</v>
      </c>
      <c r="E1641" s="27">
        <v>53459</v>
      </c>
      <c r="F1641" s="27">
        <v>1620.95</v>
      </c>
      <c r="G1641" s="27">
        <v>14045.44</v>
      </c>
      <c r="H1641" s="27">
        <v>692.01</v>
      </c>
      <c r="I1641" s="27">
        <v>9076.24</v>
      </c>
      <c r="J1641" s="6">
        <v>1012</v>
      </c>
      <c r="K1641" s="6">
        <v>615</v>
      </c>
      <c r="L1641" s="27">
        <v>13.878893280632411</v>
      </c>
      <c r="M1641" s="27">
        <v>14.758113821138211</v>
      </c>
      <c r="N1641" s="34">
        <v>26.279299323909033</v>
      </c>
    </row>
    <row r="1642" spans="1:14" x14ac:dyDescent="0.35">
      <c r="A1642" s="82">
        <v>1639</v>
      </c>
      <c r="B1642" s="89" t="str">
        <f>_xlfn.XLOOKUP(A1642,'Model Modeshare by TAZ'!A:A,'Model Modeshare by TAZ'!B:B)</f>
        <v>Brisbane</v>
      </c>
      <c r="C1642" s="90" t="str">
        <f>_xlfn.XLOOKUP(A1642,'Model Modeshare by TAZ'!A:A,'Model Modeshare by TAZ'!D:D)</f>
        <v>YES</v>
      </c>
      <c r="D1642" s="27">
        <v>5923.23</v>
      </c>
      <c r="E1642" s="27">
        <v>115944.21</v>
      </c>
      <c r="F1642" s="27">
        <v>5450.81</v>
      </c>
      <c r="G1642" s="27">
        <v>47072.97</v>
      </c>
      <c r="H1642" s="27">
        <v>690.89</v>
      </c>
      <c r="I1642" s="27">
        <v>9060.34</v>
      </c>
      <c r="J1642" s="6">
        <v>3352</v>
      </c>
      <c r="K1642" s="6">
        <v>414</v>
      </c>
      <c r="L1642" s="27">
        <v>14.043248806682579</v>
      </c>
      <c r="M1642" s="27">
        <v>21.88487922705314</v>
      </c>
      <c r="N1642" s="34">
        <v>27.014131704726502</v>
      </c>
    </row>
    <row r="1643" spans="1:14" x14ac:dyDescent="0.35">
      <c r="A1643" s="82">
        <v>1640</v>
      </c>
      <c r="B1643" s="89" t="str">
        <f>_xlfn.XLOOKUP(A1643,'Model Modeshare by TAZ'!A:A,'Model Modeshare by TAZ'!B:B)</f>
        <v>South San Francisco</v>
      </c>
      <c r="C1643" s="90" t="str">
        <f>_xlfn.XLOOKUP(A1643,'Model Modeshare by TAZ'!A:A,'Model Modeshare by TAZ'!D:D)</f>
        <v>YES</v>
      </c>
      <c r="D1643" s="27">
        <v>10618.4</v>
      </c>
      <c r="E1643" s="27">
        <v>298291.71000000002</v>
      </c>
      <c r="F1643" s="27">
        <v>259.64999999999998</v>
      </c>
      <c r="G1643" s="27">
        <v>2629.82</v>
      </c>
      <c r="H1643" s="27">
        <v>7367.96</v>
      </c>
      <c r="I1643" s="27">
        <v>110726.01</v>
      </c>
      <c r="J1643" s="6">
        <v>153</v>
      </c>
      <c r="K1643" s="6">
        <v>6881</v>
      </c>
      <c r="L1643" s="27">
        <v>17.188366013071896</v>
      </c>
      <c r="M1643" s="27">
        <v>16.091557913094025</v>
      </c>
      <c r="N1643" s="34">
        <v>37.330355416548187</v>
      </c>
    </row>
    <row r="1644" spans="1:14" x14ac:dyDescent="0.35">
      <c r="A1644" s="82">
        <v>1641</v>
      </c>
      <c r="B1644" s="89" t="str">
        <f>_xlfn.XLOOKUP(A1644,'Model Modeshare by TAZ'!A:A,'Model Modeshare by TAZ'!B:B)</f>
        <v>South San Francisco</v>
      </c>
      <c r="C1644" s="90" t="str">
        <f>_xlfn.XLOOKUP(A1644,'Model Modeshare by TAZ'!A:A,'Model Modeshare by TAZ'!D:D)</f>
        <v>YES</v>
      </c>
      <c r="D1644" s="27">
        <v>15246.13</v>
      </c>
      <c r="E1644" s="27">
        <v>389214.54</v>
      </c>
      <c r="F1644" s="27">
        <v>5.79</v>
      </c>
      <c r="G1644" s="27">
        <v>40.770000000000003</v>
      </c>
      <c r="H1644" s="27">
        <v>8292.26</v>
      </c>
      <c r="I1644" s="27">
        <v>122967.84</v>
      </c>
      <c r="J1644" s="6">
        <v>39</v>
      </c>
      <c r="K1644" s="6">
        <v>7781</v>
      </c>
      <c r="L1644" s="27">
        <v>1.0453846153846154</v>
      </c>
      <c r="M1644" s="27">
        <v>15.803603649916463</v>
      </c>
      <c r="N1644" s="34">
        <v>46.531769820971867</v>
      </c>
    </row>
    <row r="1645" spans="1:14" x14ac:dyDescent="0.35">
      <c r="A1645" s="82">
        <v>1642</v>
      </c>
      <c r="B1645" s="89" t="str">
        <f>_xlfn.XLOOKUP(A1645,'Model Modeshare by TAZ'!A:A,'Model Modeshare by TAZ'!B:B)</f>
        <v>South San Francisco</v>
      </c>
      <c r="C1645" s="90" t="str">
        <f>_xlfn.XLOOKUP(A1645,'Model Modeshare by TAZ'!A:A,'Model Modeshare by TAZ'!D:D)</f>
        <v>YES</v>
      </c>
      <c r="D1645" s="27">
        <v>5585.54</v>
      </c>
      <c r="E1645" s="27">
        <v>137710.24</v>
      </c>
      <c r="F1645" s="27">
        <v>0</v>
      </c>
      <c r="G1645" s="27">
        <v>0</v>
      </c>
      <c r="H1645" s="27">
        <v>4074.26</v>
      </c>
      <c r="I1645" s="27">
        <v>58125.5</v>
      </c>
      <c r="J1645" s="6">
        <v>3</v>
      </c>
      <c r="K1645" s="6">
        <v>3859</v>
      </c>
      <c r="L1645" s="27">
        <v>0</v>
      </c>
      <c r="M1645" s="27">
        <v>15.062321845037575</v>
      </c>
      <c r="N1645" s="34">
        <v>39.278990160538577</v>
      </c>
    </row>
    <row r="1646" spans="1:14" x14ac:dyDescent="0.35">
      <c r="A1646" s="82">
        <v>1643</v>
      </c>
      <c r="B1646" s="89" t="str">
        <f>_xlfn.XLOOKUP(A1646,'Model Modeshare by TAZ'!A:A,'Model Modeshare by TAZ'!B:B)</f>
        <v>South San Francisco</v>
      </c>
      <c r="C1646" s="90" t="str">
        <f>_xlfn.XLOOKUP(A1646,'Model Modeshare by TAZ'!A:A,'Model Modeshare by TAZ'!D:D)</f>
        <v>YES</v>
      </c>
      <c r="D1646" s="27">
        <v>10115.15</v>
      </c>
      <c r="E1646" s="27">
        <v>168070.19</v>
      </c>
      <c r="F1646" s="27">
        <v>4615.92</v>
      </c>
      <c r="G1646" s="27">
        <v>34389.760000000002</v>
      </c>
      <c r="H1646" s="27">
        <v>2754.44</v>
      </c>
      <c r="I1646" s="27">
        <v>35194.06</v>
      </c>
      <c r="J1646" s="6">
        <v>3734</v>
      </c>
      <c r="K1646" s="6">
        <v>2760</v>
      </c>
      <c r="L1646" s="27">
        <v>9.2098982324584906</v>
      </c>
      <c r="M1646" s="27">
        <v>12.751471014492752</v>
      </c>
      <c r="N1646" s="34">
        <v>28.947448413920544</v>
      </c>
    </row>
    <row r="1647" spans="1:14" x14ac:dyDescent="0.35">
      <c r="A1647" s="82">
        <v>1644</v>
      </c>
      <c r="B1647" s="89" t="str">
        <f>_xlfn.XLOOKUP(A1647,'Model Modeshare by TAZ'!A:A,'Model Modeshare by TAZ'!B:B)</f>
        <v>South San Francisco</v>
      </c>
      <c r="C1647" s="90" t="str">
        <f>_xlfn.XLOOKUP(A1647,'Model Modeshare by TAZ'!A:A,'Model Modeshare by TAZ'!D:D)</f>
        <v>YES</v>
      </c>
      <c r="D1647" s="27">
        <v>6300.78</v>
      </c>
      <c r="E1647" s="27">
        <v>142550.98000000001</v>
      </c>
      <c r="F1647" s="27">
        <v>0</v>
      </c>
      <c r="G1647" s="27">
        <v>0</v>
      </c>
      <c r="H1647" s="27">
        <v>2928.94</v>
      </c>
      <c r="I1647" s="27">
        <v>40535.800000000003</v>
      </c>
      <c r="J1647" s="6">
        <v>0</v>
      </c>
      <c r="K1647" s="6">
        <v>2780</v>
      </c>
      <c r="L1647" s="27">
        <v>0</v>
      </c>
      <c r="M1647" s="27">
        <v>14.581223021582735</v>
      </c>
      <c r="N1647" s="34">
        <v>48.950467625899279</v>
      </c>
    </row>
    <row r="1648" spans="1:14" x14ac:dyDescent="0.35">
      <c r="A1648" s="82">
        <v>1645</v>
      </c>
      <c r="B1648" s="89" t="str">
        <f>_xlfn.XLOOKUP(A1648,'Model Modeshare by TAZ'!A:A,'Model Modeshare by TAZ'!B:B)</f>
        <v>San Bruno</v>
      </c>
      <c r="C1648" s="90" t="str">
        <f>_xlfn.XLOOKUP(A1648,'Model Modeshare by TAZ'!A:A,'Model Modeshare by TAZ'!D:D)</f>
        <v>YES</v>
      </c>
      <c r="D1648" s="27">
        <v>145.75</v>
      </c>
      <c r="E1648" s="27">
        <v>2889.64</v>
      </c>
      <c r="F1648" s="27">
        <v>0</v>
      </c>
      <c r="G1648" s="27">
        <v>0</v>
      </c>
      <c r="H1648" s="27">
        <v>79.510000000000005</v>
      </c>
      <c r="I1648" s="27">
        <v>1073.33</v>
      </c>
      <c r="J1648" s="6">
        <v>2</v>
      </c>
      <c r="K1648" s="6">
        <v>72</v>
      </c>
      <c r="L1648" s="27">
        <v>0</v>
      </c>
      <c r="M1648" s="27">
        <v>14.90736111111111</v>
      </c>
      <c r="N1648" s="34">
        <v>48.417162162162164</v>
      </c>
    </row>
    <row r="1649" spans="1:14" x14ac:dyDescent="0.35">
      <c r="A1649" s="82">
        <v>1646</v>
      </c>
      <c r="B1649" s="89" t="str">
        <f>_xlfn.XLOOKUP(A1649,'Model Modeshare by TAZ'!A:A,'Model Modeshare by TAZ'!B:B)</f>
        <v>San Bruno</v>
      </c>
      <c r="C1649" s="90" t="str">
        <f>_xlfn.XLOOKUP(A1649,'Model Modeshare by TAZ'!A:A,'Model Modeshare by TAZ'!D:D)</f>
        <v>YES</v>
      </c>
      <c r="D1649" s="27">
        <v>4987.6400000000003</v>
      </c>
      <c r="E1649" s="27">
        <v>102440.68</v>
      </c>
      <c r="F1649" s="27">
        <v>101.02</v>
      </c>
      <c r="G1649" s="27">
        <v>812.26</v>
      </c>
      <c r="H1649" s="27">
        <v>2664.26</v>
      </c>
      <c r="I1649" s="27">
        <v>35556.370000000003</v>
      </c>
      <c r="J1649" s="6">
        <v>62</v>
      </c>
      <c r="K1649" s="6">
        <v>2655</v>
      </c>
      <c r="L1649" s="27">
        <v>13.100967741935484</v>
      </c>
      <c r="M1649" s="27">
        <v>13.392229755178908</v>
      </c>
      <c r="N1649" s="34">
        <v>44.281358115568644</v>
      </c>
    </row>
    <row r="1650" spans="1:14" x14ac:dyDescent="0.35">
      <c r="A1650" s="82">
        <v>1647</v>
      </c>
      <c r="B1650" s="89" t="str">
        <f>_xlfn.XLOOKUP(A1650,'Model Modeshare by TAZ'!A:A,'Model Modeshare by TAZ'!B:B)</f>
        <v>San Bruno</v>
      </c>
      <c r="C1650" s="90" t="str">
        <f>_xlfn.XLOOKUP(A1650,'Model Modeshare by TAZ'!A:A,'Model Modeshare by TAZ'!D:D)</f>
        <v>YES</v>
      </c>
      <c r="D1650" s="27">
        <v>5959.25</v>
      </c>
      <c r="E1650" s="27">
        <v>107390.46</v>
      </c>
      <c r="F1650" s="27">
        <v>3035.77</v>
      </c>
      <c r="G1650" s="27">
        <v>24117.68</v>
      </c>
      <c r="H1650" s="27">
        <v>854.32</v>
      </c>
      <c r="I1650" s="27">
        <v>11420.01</v>
      </c>
      <c r="J1650" s="6">
        <v>2441</v>
      </c>
      <c r="K1650" s="6">
        <v>847</v>
      </c>
      <c r="L1650" s="27">
        <v>9.8802458009012692</v>
      </c>
      <c r="M1650" s="27">
        <v>13.482892561983471</v>
      </c>
      <c r="N1650" s="34">
        <v>33.430060827250607</v>
      </c>
    </row>
    <row r="1651" spans="1:14" x14ac:dyDescent="0.35">
      <c r="A1651" s="82">
        <v>1648</v>
      </c>
      <c r="B1651" s="89" t="str">
        <f>_xlfn.XLOOKUP(A1651,'Model Modeshare by TAZ'!A:A,'Model Modeshare by TAZ'!B:B)</f>
        <v>Unincorporated</v>
      </c>
      <c r="C1651" s="90" t="str">
        <f>_xlfn.XLOOKUP(A1651,'Model Modeshare by TAZ'!A:A,'Model Modeshare by TAZ'!D:D)</f>
        <v>YES</v>
      </c>
      <c r="D1651" s="27">
        <v>8810.44</v>
      </c>
      <c r="E1651" s="27">
        <v>290475.86</v>
      </c>
      <c r="F1651" s="27">
        <v>0</v>
      </c>
      <c r="G1651" s="27">
        <v>0</v>
      </c>
      <c r="H1651" s="27">
        <v>9311.74</v>
      </c>
      <c r="I1651" s="27">
        <v>139528.68</v>
      </c>
      <c r="J1651" s="6">
        <v>0</v>
      </c>
      <c r="K1651" s="6">
        <v>8934</v>
      </c>
      <c r="L1651" s="27">
        <v>0</v>
      </c>
      <c r="M1651" s="27">
        <v>15.617716588314304</v>
      </c>
      <c r="N1651" s="34">
        <v>69.703543765390634</v>
      </c>
    </row>
    <row r="1652" spans="1:14" x14ac:dyDescent="0.35">
      <c r="A1652" s="82">
        <v>1649</v>
      </c>
      <c r="B1652" s="89" t="str">
        <f>_xlfn.XLOOKUP(A1652,'Model Modeshare by TAZ'!A:A,'Model Modeshare by TAZ'!B:B)</f>
        <v>Unincorporated</v>
      </c>
      <c r="C1652" s="90" t="str">
        <f>_xlfn.XLOOKUP(A1652,'Model Modeshare by TAZ'!A:A,'Model Modeshare by TAZ'!D:D)</f>
        <v>YES</v>
      </c>
      <c r="D1652" s="27">
        <v>1871</v>
      </c>
      <c r="E1652" s="27">
        <v>45416.32</v>
      </c>
      <c r="F1652" s="27">
        <v>0</v>
      </c>
      <c r="G1652" s="27">
        <v>0</v>
      </c>
      <c r="H1652" s="27">
        <v>4991.59</v>
      </c>
      <c r="I1652" s="27">
        <v>73682.33</v>
      </c>
      <c r="J1652" s="6">
        <v>5</v>
      </c>
      <c r="K1652" s="6">
        <v>4474</v>
      </c>
      <c r="L1652" s="27">
        <v>0</v>
      </c>
      <c r="M1652" s="27">
        <v>16.469005364327224</v>
      </c>
      <c r="N1652" s="34">
        <v>40.762692565304754</v>
      </c>
    </row>
    <row r="1653" spans="1:14" x14ac:dyDescent="0.35">
      <c r="A1653" s="82">
        <v>1650</v>
      </c>
      <c r="B1653" s="89" t="str">
        <f>_xlfn.XLOOKUP(A1653,'Model Modeshare by TAZ'!A:A,'Model Modeshare by TAZ'!B:B)</f>
        <v>Millbrae</v>
      </c>
      <c r="C1653" s="90" t="str">
        <f>_xlfn.XLOOKUP(A1653,'Model Modeshare by TAZ'!A:A,'Model Modeshare by TAZ'!D:D)</f>
        <v>YES</v>
      </c>
      <c r="D1653" s="27">
        <v>3436.8</v>
      </c>
      <c r="E1653" s="27">
        <v>60735.57</v>
      </c>
      <c r="F1653" s="27">
        <v>2297.6799999999998</v>
      </c>
      <c r="G1653" s="27">
        <v>18730.88</v>
      </c>
      <c r="H1653" s="27">
        <v>595.19000000000005</v>
      </c>
      <c r="I1653" s="27">
        <v>8265.4</v>
      </c>
      <c r="J1653" s="6">
        <v>1641</v>
      </c>
      <c r="K1653" s="6">
        <v>455</v>
      </c>
      <c r="L1653" s="27">
        <v>11.414308348567946</v>
      </c>
      <c r="M1653" s="27">
        <v>18.165714285714284</v>
      </c>
      <c r="N1653" s="34">
        <v>34.250744274809158</v>
      </c>
    </row>
    <row r="1654" spans="1:14" x14ac:dyDescent="0.35">
      <c r="A1654" s="82">
        <v>1651</v>
      </c>
      <c r="B1654" s="89" t="str">
        <f>_xlfn.XLOOKUP(A1654,'Model Modeshare by TAZ'!A:A,'Model Modeshare by TAZ'!B:B)</f>
        <v>Millbrae</v>
      </c>
      <c r="C1654" s="90" t="str">
        <f>_xlfn.XLOOKUP(A1654,'Model Modeshare by TAZ'!A:A,'Model Modeshare by TAZ'!D:D)</f>
        <v>YES</v>
      </c>
      <c r="D1654" s="27">
        <v>7256.97</v>
      </c>
      <c r="E1654" s="27">
        <v>135024.21</v>
      </c>
      <c r="F1654" s="27">
        <v>2164.92</v>
      </c>
      <c r="G1654" s="27">
        <v>16413.439999999999</v>
      </c>
      <c r="H1654" s="27">
        <v>2086.5</v>
      </c>
      <c r="I1654" s="27">
        <v>28504.639999999999</v>
      </c>
      <c r="J1654" s="6">
        <v>1672</v>
      </c>
      <c r="K1654" s="6">
        <v>2164</v>
      </c>
      <c r="L1654" s="27">
        <v>9.8166507177033484</v>
      </c>
      <c r="M1654" s="27">
        <v>13.172199630314232</v>
      </c>
      <c r="N1654" s="34">
        <v>42.41994004171012</v>
      </c>
    </row>
    <row r="1655" spans="1:14" x14ac:dyDescent="0.35">
      <c r="A1655" s="82">
        <v>1652</v>
      </c>
      <c r="B1655" s="89" t="str">
        <f>_xlfn.XLOOKUP(A1655,'Model Modeshare by TAZ'!A:A,'Model Modeshare by TAZ'!B:B)</f>
        <v>Burlingame</v>
      </c>
      <c r="C1655" s="90" t="str">
        <f>_xlfn.XLOOKUP(A1655,'Model Modeshare by TAZ'!A:A,'Model Modeshare by TAZ'!D:D)</f>
        <v>YES</v>
      </c>
      <c r="D1655" s="27">
        <v>5979.81</v>
      </c>
      <c r="E1655" s="27">
        <v>151832.92000000001</v>
      </c>
      <c r="F1655" s="27">
        <v>2.4900000000000002</v>
      </c>
      <c r="G1655" s="27">
        <v>23.42</v>
      </c>
      <c r="H1655" s="27">
        <v>3935.63</v>
      </c>
      <c r="I1655" s="27">
        <v>57920.11</v>
      </c>
      <c r="J1655" s="6">
        <v>4</v>
      </c>
      <c r="K1655" s="6">
        <v>3836</v>
      </c>
      <c r="L1655" s="27">
        <v>5.8550000000000004</v>
      </c>
      <c r="M1655" s="27">
        <v>15.099090198123045</v>
      </c>
      <c r="N1655" s="34">
        <v>35.29099739583333</v>
      </c>
    </row>
    <row r="1656" spans="1:14" x14ac:dyDescent="0.35">
      <c r="A1656" s="82">
        <v>1653</v>
      </c>
      <c r="B1656" s="89" t="str">
        <f>_xlfn.XLOOKUP(A1656,'Model Modeshare by TAZ'!A:A,'Model Modeshare by TAZ'!B:B)</f>
        <v>Burlingame</v>
      </c>
      <c r="C1656" s="90" t="str">
        <f>_xlfn.XLOOKUP(A1656,'Model Modeshare by TAZ'!A:A,'Model Modeshare by TAZ'!D:D)</f>
        <v>YES</v>
      </c>
      <c r="D1656" s="27">
        <v>4049.61</v>
      </c>
      <c r="E1656" s="27">
        <v>68971.86</v>
      </c>
      <c r="F1656" s="27">
        <v>3752.54</v>
      </c>
      <c r="G1656" s="27">
        <v>32790.1</v>
      </c>
      <c r="H1656" s="27">
        <v>299.45999999999998</v>
      </c>
      <c r="I1656" s="27">
        <v>4589.53</v>
      </c>
      <c r="J1656" s="6">
        <v>2194</v>
      </c>
      <c r="K1656" s="6">
        <v>182</v>
      </c>
      <c r="L1656" s="27">
        <v>14.945350957155879</v>
      </c>
      <c r="M1656" s="27">
        <v>25.217197802197802</v>
      </c>
      <c r="N1656" s="34">
        <v>31.162866161616162</v>
      </c>
    </row>
    <row r="1657" spans="1:14" x14ac:dyDescent="0.35">
      <c r="A1657" s="82">
        <v>1654</v>
      </c>
      <c r="B1657" s="89" t="str">
        <f>_xlfn.XLOOKUP(A1657,'Model Modeshare by TAZ'!A:A,'Model Modeshare by TAZ'!B:B)</f>
        <v>Foster City</v>
      </c>
      <c r="C1657" s="90" t="str">
        <f>_xlfn.XLOOKUP(A1657,'Model Modeshare by TAZ'!A:A,'Model Modeshare by TAZ'!D:D)</f>
        <v>YES</v>
      </c>
      <c r="D1657" s="27">
        <v>18328.98</v>
      </c>
      <c r="E1657" s="27">
        <v>421034.43</v>
      </c>
      <c r="F1657" s="27">
        <v>174.69</v>
      </c>
      <c r="G1657" s="27">
        <v>1360.75</v>
      </c>
      <c r="H1657" s="27">
        <v>6131.6</v>
      </c>
      <c r="I1657" s="27">
        <v>94165.23</v>
      </c>
      <c r="J1657" s="6">
        <v>103</v>
      </c>
      <c r="K1657" s="6">
        <v>5757</v>
      </c>
      <c r="L1657" s="27">
        <v>13.211165048543689</v>
      </c>
      <c r="M1657" s="27">
        <v>16.356649296508596</v>
      </c>
      <c r="N1657" s="34">
        <v>40.124296928327645</v>
      </c>
    </row>
    <row r="1658" spans="1:14" x14ac:dyDescent="0.35">
      <c r="A1658" s="82">
        <v>1655</v>
      </c>
      <c r="B1658" s="89" t="str">
        <f>_xlfn.XLOOKUP(A1658,'Model Modeshare by TAZ'!A:A,'Model Modeshare by TAZ'!B:B)</f>
        <v>Foster City</v>
      </c>
      <c r="C1658" s="90" t="str">
        <f>_xlfn.XLOOKUP(A1658,'Model Modeshare by TAZ'!A:A,'Model Modeshare by TAZ'!D:D)</f>
        <v>YES</v>
      </c>
      <c r="D1658" s="27">
        <v>17867.7</v>
      </c>
      <c r="E1658" s="27">
        <v>378219.33</v>
      </c>
      <c r="F1658" s="27">
        <v>4094.45</v>
      </c>
      <c r="G1658" s="27">
        <v>35113</v>
      </c>
      <c r="H1658" s="27">
        <v>5183.99</v>
      </c>
      <c r="I1658" s="27">
        <v>77776.08</v>
      </c>
      <c r="J1658" s="6">
        <v>2336</v>
      </c>
      <c r="K1658" s="6">
        <v>4894</v>
      </c>
      <c r="L1658" s="27">
        <v>15.03125</v>
      </c>
      <c r="M1658" s="27">
        <v>15.892129137719657</v>
      </c>
      <c r="N1658" s="34">
        <v>38.86692807745505</v>
      </c>
    </row>
    <row r="1659" spans="1:14" x14ac:dyDescent="0.35">
      <c r="A1659" s="82">
        <v>1656</v>
      </c>
      <c r="B1659" s="89" t="str">
        <f>_xlfn.XLOOKUP(A1659,'Model Modeshare by TAZ'!A:A,'Model Modeshare by TAZ'!B:B)</f>
        <v>South San Francisco</v>
      </c>
      <c r="C1659" s="90" t="str">
        <f>_xlfn.XLOOKUP(A1659,'Model Modeshare by TAZ'!A:A,'Model Modeshare by TAZ'!D:D)</f>
        <v>YES</v>
      </c>
      <c r="D1659" s="27">
        <v>4198.8100000000004</v>
      </c>
      <c r="E1659" s="27">
        <v>70980.12</v>
      </c>
      <c r="F1659" s="27">
        <v>2944.04</v>
      </c>
      <c r="G1659" s="27">
        <v>25283.72</v>
      </c>
      <c r="H1659" s="27">
        <v>618.41999999999996</v>
      </c>
      <c r="I1659" s="27">
        <v>7247.01</v>
      </c>
      <c r="J1659" s="6">
        <v>1891</v>
      </c>
      <c r="K1659" s="6">
        <v>501</v>
      </c>
      <c r="L1659" s="27">
        <v>13.370555261766262</v>
      </c>
      <c r="M1659" s="27">
        <v>14.465089820359282</v>
      </c>
      <c r="N1659" s="34">
        <v>27.553076923076926</v>
      </c>
    </row>
    <row r="1660" spans="1:14" x14ac:dyDescent="0.35">
      <c r="A1660" s="82">
        <v>1657</v>
      </c>
      <c r="B1660" s="89" t="str">
        <f>_xlfn.XLOOKUP(A1660,'Model Modeshare by TAZ'!A:A,'Model Modeshare by TAZ'!B:B)</f>
        <v>Belmont</v>
      </c>
      <c r="C1660" s="90" t="str">
        <f>_xlfn.XLOOKUP(A1660,'Model Modeshare by TAZ'!A:A,'Model Modeshare by TAZ'!D:D)</f>
        <v>YES</v>
      </c>
      <c r="D1660" s="27">
        <v>4883.8999999999996</v>
      </c>
      <c r="E1660" s="27">
        <v>70504.86</v>
      </c>
      <c r="F1660" s="27">
        <v>3726.95</v>
      </c>
      <c r="G1660" s="27">
        <v>24727.19</v>
      </c>
      <c r="H1660" s="27">
        <v>814.65</v>
      </c>
      <c r="I1660" s="27">
        <v>11048.04</v>
      </c>
      <c r="J1660" s="6">
        <v>2288</v>
      </c>
      <c r="K1660" s="6">
        <v>623</v>
      </c>
      <c r="L1660" s="27">
        <v>10.807338286713286</v>
      </c>
      <c r="M1660" s="27">
        <v>17.733611556982346</v>
      </c>
      <c r="N1660" s="34">
        <v>26.995640673308142</v>
      </c>
    </row>
    <row r="1661" spans="1:14" x14ac:dyDescent="0.35">
      <c r="A1661" s="82">
        <v>1658</v>
      </c>
      <c r="B1661" s="89" t="str">
        <f>_xlfn.XLOOKUP(A1661,'Model Modeshare by TAZ'!A:A,'Model Modeshare by TAZ'!B:B)</f>
        <v>Unincorporated</v>
      </c>
      <c r="C1661" s="90" t="str">
        <f>_xlfn.XLOOKUP(A1661,'Model Modeshare by TAZ'!A:A,'Model Modeshare by TAZ'!D:D)</f>
        <v>YES</v>
      </c>
      <c r="D1661" s="27">
        <v>5600.35</v>
      </c>
      <c r="E1661" s="27">
        <v>143989.60999999999</v>
      </c>
      <c r="F1661" s="27">
        <v>5027.79</v>
      </c>
      <c r="G1661" s="27">
        <v>62810.26</v>
      </c>
      <c r="H1661" s="27">
        <v>1759.46</v>
      </c>
      <c r="I1661" s="27">
        <v>28961.32</v>
      </c>
      <c r="J1661" s="6">
        <v>3002</v>
      </c>
      <c r="K1661" s="6">
        <v>1503</v>
      </c>
      <c r="L1661" s="27">
        <v>20.922804796802133</v>
      </c>
      <c r="M1661" s="27">
        <v>19.26900864936793</v>
      </c>
      <c r="N1661" s="34">
        <v>33.981840177580466</v>
      </c>
    </row>
    <row r="1662" spans="1:14" x14ac:dyDescent="0.35">
      <c r="A1662" s="82">
        <v>1659</v>
      </c>
      <c r="B1662" s="89" t="str">
        <f>_xlfn.XLOOKUP(A1662,'Model Modeshare by TAZ'!A:A,'Model Modeshare by TAZ'!B:B)</f>
        <v>Unincorporated</v>
      </c>
      <c r="C1662" s="90" t="str">
        <f>_xlfn.XLOOKUP(A1662,'Model Modeshare by TAZ'!A:A,'Model Modeshare by TAZ'!D:D)</f>
        <v>YES</v>
      </c>
      <c r="D1662" s="27">
        <v>2647.29</v>
      </c>
      <c r="E1662" s="27">
        <v>75304.12</v>
      </c>
      <c r="F1662" s="27">
        <v>2506.9499999999998</v>
      </c>
      <c r="G1662" s="27">
        <v>35139.199999999997</v>
      </c>
      <c r="H1662" s="27">
        <v>238.99</v>
      </c>
      <c r="I1662" s="27">
        <v>5096.01</v>
      </c>
      <c r="J1662" s="6">
        <v>1536</v>
      </c>
      <c r="K1662" s="6">
        <v>137</v>
      </c>
      <c r="L1662" s="27">
        <v>22.877083333333331</v>
      </c>
      <c r="M1662" s="27">
        <v>37.197153284671536</v>
      </c>
      <c r="N1662" s="34">
        <v>40.733968918111174</v>
      </c>
    </row>
    <row r="1663" spans="1:14" x14ac:dyDescent="0.35">
      <c r="A1663" s="82">
        <v>1660</v>
      </c>
      <c r="B1663" s="89" t="str">
        <f>_xlfn.XLOOKUP(A1663,'Model Modeshare by TAZ'!A:A,'Model Modeshare by TAZ'!B:B)</f>
        <v>Unincorporated</v>
      </c>
      <c r="C1663" s="90" t="str">
        <f>_xlfn.XLOOKUP(A1663,'Model Modeshare by TAZ'!A:A,'Model Modeshare by TAZ'!D:D)</f>
        <v>YES</v>
      </c>
      <c r="D1663" s="27">
        <v>220.14</v>
      </c>
      <c r="E1663" s="27">
        <v>7058.1</v>
      </c>
      <c r="F1663" s="27">
        <v>182.94</v>
      </c>
      <c r="G1663" s="27">
        <v>2839.28</v>
      </c>
      <c r="H1663" s="27">
        <v>28.14</v>
      </c>
      <c r="I1663" s="27">
        <v>593.74</v>
      </c>
      <c r="J1663" s="6">
        <v>109</v>
      </c>
      <c r="K1663" s="6">
        <v>15</v>
      </c>
      <c r="L1663" s="27">
        <v>26.048440366972478</v>
      </c>
      <c r="M1663" s="27">
        <v>39.582666666666668</v>
      </c>
      <c r="N1663" s="34">
        <v>58.035806451612899</v>
      </c>
    </row>
    <row r="1664" spans="1:14" x14ac:dyDescent="0.35">
      <c r="A1664" s="82">
        <v>1661</v>
      </c>
      <c r="B1664" s="89" t="str">
        <f>_xlfn.XLOOKUP(A1664,'Model Modeshare by TAZ'!A:A,'Model Modeshare by TAZ'!B:B)</f>
        <v>Unincorporated</v>
      </c>
      <c r="C1664" s="90" t="str">
        <f>_xlfn.XLOOKUP(A1664,'Model Modeshare by TAZ'!A:A,'Model Modeshare by TAZ'!D:D)</f>
        <v>YES</v>
      </c>
      <c r="D1664" s="27">
        <v>800.25</v>
      </c>
      <c r="E1664" s="27">
        <v>23026.45</v>
      </c>
      <c r="F1664" s="27">
        <v>873.58</v>
      </c>
      <c r="G1664" s="27">
        <v>13170.78</v>
      </c>
      <c r="H1664" s="27">
        <v>80.3</v>
      </c>
      <c r="I1664" s="27">
        <v>2229.2600000000002</v>
      </c>
      <c r="J1664" s="6">
        <v>435</v>
      </c>
      <c r="K1664" s="6">
        <v>45</v>
      </c>
      <c r="L1664" s="27">
        <v>30.277655172413795</v>
      </c>
      <c r="M1664" s="27">
        <v>49.539111111111119</v>
      </c>
      <c r="N1664" s="34">
        <v>49.111916666666666</v>
      </c>
    </row>
    <row r="1665" spans="1:14" x14ac:dyDescent="0.35">
      <c r="A1665" s="82">
        <v>1662</v>
      </c>
      <c r="B1665" s="89" t="str">
        <f>_xlfn.XLOOKUP(A1665,'Model Modeshare by TAZ'!A:A,'Model Modeshare by TAZ'!B:B)</f>
        <v>Unincorporated</v>
      </c>
      <c r="C1665" s="90" t="str">
        <f>_xlfn.XLOOKUP(A1665,'Model Modeshare by TAZ'!A:A,'Model Modeshare by TAZ'!D:D)</f>
        <v>YES</v>
      </c>
      <c r="D1665" s="27">
        <v>3185.87</v>
      </c>
      <c r="E1665" s="27">
        <v>118953.34</v>
      </c>
      <c r="F1665" s="27">
        <v>1737.29</v>
      </c>
      <c r="G1665" s="27">
        <v>29535.43</v>
      </c>
      <c r="H1665" s="27">
        <v>444.82</v>
      </c>
      <c r="I1665" s="27">
        <v>12299.04</v>
      </c>
      <c r="J1665" s="6">
        <v>916</v>
      </c>
      <c r="K1665" s="6">
        <v>295</v>
      </c>
      <c r="L1665" s="27">
        <v>32.243919213973797</v>
      </c>
      <c r="M1665" s="27">
        <v>41.691661016949155</v>
      </c>
      <c r="N1665" s="34">
        <v>79.643996696944683</v>
      </c>
    </row>
    <row r="1666" spans="1:14" x14ac:dyDescent="0.35">
      <c r="A1666" s="82">
        <v>1663</v>
      </c>
      <c r="B1666" s="89" t="str">
        <f>_xlfn.XLOOKUP(A1666,'Model Modeshare by TAZ'!A:A,'Model Modeshare by TAZ'!B:B)</f>
        <v>Unincorporated</v>
      </c>
      <c r="C1666" s="90" t="str">
        <f>_xlfn.XLOOKUP(A1666,'Model Modeshare by TAZ'!A:A,'Model Modeshare by TAZ'!D:D)</f>
        <v>YES</v>
      </c>
      <c r="D1666" s="27">
        <v>495.04</v>
      </c>
      <c r="E1666" s="27">
        <v>15623.67</v>
      </c>
      <c r="F1666" s="27">
        <v>627.23</v>
      </c>
      <c r="G1666" s="27">
        <v>10671.48</v>
      </c>
      <c r="H1666" s="27">
        <v>6.75</v>
      </c>
      <c r="I1666" s="27">
        <v>205.45</v>
      </c>
      <c r="J1666" s="6">
        <v>370</v>
      </c>
      <c r="K1666" s="6">
        <v>4</v>
      </c>
      <c r="L1666" s="27">
        <v>28.841837837837836</v>
      </c>
      <c r="M1666" s="27">
        <v>51.362499999999997</v>
      </c>
      <c r="N1666" s="34">
        <v>45.752513368983955</v>
      </c>
    </row>
    <row r="1667" spans="1:14" x14ac:dyDescent="0.35">
      <c r="A1667" s="82">
        <v>1664</v>
      </c>
      <c r="B1667" s="89" t="str">
        <f>_xlfn.XLOOKUP(A1667,'Model Modeshare by TAZ'!A:A,'Model Modeshare by TAZ'!B:B)</f>
        <v>Unincorporated</v>
      </c>
      <c r="C1667" s="90" t="str">
        <f>_xlfn.XLOOKUP(A1667,'Model Modeshare by TAZ'!A:A,'Model Modeshare by TAZ'!D:D)</f>
        <v>YES</v>
      </c>
      <c r="D1667" s="27">
        <v>471.13</v>
      </c>
      <c r="E1667" s="27">
        <v>14083.52</v>
      </c>
      <c r="F1667" s="27">
        <v>429.7</v>
      </c>
      <c r="G1667" s="27">
        <v>5888.22</v>
      </c>
      <c r="H1667" s="27">
        <v>94.13</v>
      </c>
      <c r="I1667" s="27">
        <v>2211.36</v>
      </c>
      <c r="J1667" s="6">
        <v>209</v>
      </c>
      <c r="K1667" s="6">
        <v>61</v>
      </c>
      <c r="L1667" s="27">
        <v>28.1733014354067</v>
      </c>
      <c r="M1667" s="27">
        <v>36.251803278688527</v>
      </c>
      <c r="N1667" s="34">
        <v>48.898222222222223</v>
      </c>
    </row>
    <row r="1668" spans="1:14" x14ac:dyDescent="0.35">
      <c r="A1668" s="82">
        <v>1665</v>
      </c>
      <c r="B1668" s="89" t="str">
        <f>_xlfn.XLOOKUP(A1668,'Model Modeshare by TAZ'!A:A,'Model Modeshare by TAZ'!B:B)</f>
        <v>Unincorporated</v>
      </c>
      <c r="C1668" s="90" t="str">
        <f>_xlfn.XLOOKUP(A1668,'Model Modeshare by TAZ'!A:A,'Model Modeshare by TAZ'!D:D)</f>
        <v>YES</v>
      </c>
      <c r="D1668" s="27">
        <v>1644.45</v>
      </c>
      <c r="E1668" s="27">
        <v>89689.72</v>
      </c>
      <c r="F1668" s="27">
        <v>742.46</v>
      </c>
      <c r="G1668" s="27">
        <v>12752.97</v>
      </c>
      <c r="H1668" s="27">
        <v>222.05</v>
      </c>
      <c r="I1668" s="27">
        <v>6400.54</v>
      </c>
      <c r="J1668" s="6">
        <v>515</v>
      </c>
      <c r="K1668" s="6">
        <v>183</v>
      </c>
      <c r="L1668" s="27">
        <v>24.763048543689319</v>
      </c>
      <c r="M1668" s="27">
        <v>34.975628415300548</v>
      </c>
      <c r="N1668" s="34">
        <v>79.290401146131799</v>
      </c>
    </row>
    <row r="1669" spans="1:14" x14ac:dyDescent="0.35">
      <c r="A1669" s="82">
        <v>1666</v>
      </c>
      <c r="B1669" s="89" t="str">
        <f>_xlfn.XLOOKUP(A1669,'Model Modeshare by TAZ'!A:A,'Model Modeshare by TAZ'!B:B)</f>
        <v>Unincorporated</v>
      </c>
      <c r="C1669" s="90" t="str">
        <f>_xlfn.XLOOKUP(A1669,'Model Modeshare by TAZ'!A:A,'Model Modeshare by TAZ'!D:D)</f>
        <v>YES</v>
      </c>
      <c r="D1669" s="27">
        <v>3631.76</v>
      </c>
      <c r="E1669" s="27">
        <v>84034.26</v>
      </c>
      <c r="F1669" s="27">
        <v>3405.69</v>
      </c>
      <c r="G1669" s="27">
        <v>36817.9</v>
      </c>
      <c r="H1669" s="27">
        <v>556.47</v>
      </c>
      <c r="I1669" s="27">
        <v>10610.06</v>
      </c>
      <c r="J1669" s="6">
        <v>1958</v>
      </c>
      <c r="K1669" s="6">
        <v>366</v>
      </c>
      <c r="L1669" s="27">
        <v>18.803830439223699</v>
      </c>
      <c r="M1669" s="27">
        <v>28.989234972677593</v>
      </c>
      <c r="N1669" s="34">
        <v>38.279987091222033</v>
      </c>
    </row>
    <row r="1670" spans="1:14" x14ac:dyDescent="0.35">
      <c r="A1670" s="82">
        <v>1667</v>
      </c>
      <c r="B1670" s="89" t="str">
        <f>_xlfn.XLOOKUP(A1670,'Model Modeshare by TAZ'!A:A,'Model Modeshare by TAZ'!B:B)</f>
        <v>Woodside</v>
      </c>
      <c r="C1670" s="90" t="str">
        <f>_xlfn.XLOOKUP(A1670,'Model Modeshare by TAZ'!A:A,'Model Modeshare by TAZ'!D:D)</f>
        <v>YES</v>
      </c>
      <c r="D1670" s="27">
        <v>1401.87</v>
      </c>
      <c r="E1670" s="27">
        <v>26120.93</v>
      </c>
      <c r="F1670" s="27">
        <v>1352.91</v>
      </c>
      <c r="G1670" s="27">
        <v>12665.79</v>
      </c>
      <c r="H1670" s="27">
        <v>172.7</v>
      </c>
      <c r="I1670" s="27">
        <v>2753.02</v>
      </c>
      <c r="J1670" s="6">
        <v>738</v>
      </c>
      <c r="K1670" s="6">
        <v>101</v>
      </c>
      <c r="L1670" s="27">
        <v>17.162317073170733</v>
      </c>
      <c r="M1670" s="27">
        <v>27.257623762376237</v>
      </c>
      <c r="N1670" s="34">
        <v>31.427139451728248</v>
      </c>
    </row>
    <row r="1671" spans="1:14" x14ac:dyDescent="0.35">
      <c r="A1671" s="82">
        <v>1668</v>
      </c>
      <c r="B1671" s="89" t="str">
        <f>_xlfn.XLOOKUP(A1671,'Model Modeshare by TAZ'!A:A,'Model Modeshare by TAZ'!B:B)</f>
        <v>Woodside</v>
      </c>
      <c r="C1671" s="90" t="str">
        <f>_xlfn.XLOOKUP(A1671,'Model Modeshare by TAZ'!A:A,'Model Modeshare by TAZ'!D:D)</f>
        <v>YES</v>
      </c>
      <c r="D1671" s="27">
        <v>680.73</v>
      </c>
      <c r="E1671" s="27">
        <v>13141.57</v>
      </c>
      <c r="F1671" s="27">
        <v>738.24</v>
      </c>
      <c r="G1671" s="27">
        <v>7088.08</v>
      </c>
      <c r="H1671" s="27">
        <v>84.17</v>
      </c>
      <c r="I1671" s="27">
        <v>1398.41</v>
      </c>
      <c r="J1671" s="6">
        <v>410</v>
      </c>
      <c r="K1671" s="6">
        <v>48</v>
      </c>
      <c r="L1671" s="27">
        <v>17.288</v>
      </c>
      <c r="M1671" s="27">
        <v>29.13354166666667</v>
      </c>
      <c r="N1671" s="34">
        <v>29.640436681222706</v>
      </c>
    </row>
    <row r="1672" spans="1:14" x14ac:dyDescent="0.35">
      <c r="A1672" s="82">
        <v>1669</v>
      </c>
      <c r="B1672" s="89" t="str">
        <f>_xlfn.XLOOKUP(A1672,'Model Modeshare by TAZ'!A:A,'Model Modeshare by TAZ'!B:B)</f>
        <v>San Carlos</v>
      </c>
      <c r="C1672" s="90" t="str">
        <f>_xlfn.XLOOKUP(A1672,'Model Modeshare by TAZ'!A:A,'Model Modeshare by TAZ'!D:D)</f>
        <v>YES</v>
      </c>
      <c r="D1672" s="27">
        <v>1175.1400000000001</v>
      </c>
      <c r="E1672" s="27">
        <v>26890.77</v>
      </c>
      <c r="F1672" s="27">
        <v>0</v>
      </c>
      <c r="G1672" s="27">
        <v>0</v>
      </c>
      <c r="H1672" s="27">
        <v>615</v>
      </c>
      <c r="I1672" s="27">
        <v>9216.33</v>
      </c>
      <c r="J1672" s="6">
        <v>7</v>
      </c>
      <c r="K1672" s="6">
        <v>567</v>
      </c>
      <c r="L1672" s="27">
        <v>0</v>
      </c>
      <c r="M1672" s="27">
        <v>16.254550264550264</v>
      </c>
      <c r="N1672" s="34">
        <v>44.105749128919861</v>
      </c>
    </row>
    <row r="1673" spans="1:14" x14ac:dyDescent="0.35">
      <c r="A1673" s="82">
        <v>1670</v>
      </c>
      <c r="B1673" s="89" t="str">
        <f>_xlfn.XLOOKUP(A1673,'Model Modeshare by TAZ'!A:A,'Model Modeshare by TAZ'!B:B)</f>
        <v>San Carlos</v>
      </c>
      <c r="C1673" s="90" t="str">
        <f>_xlfn.XLOOKUP(A1673,'Model Modeshare by TAZ'!A:A,'Model Modeshare by TAZ'!D:D)</f>
        <v>YES</v>
      </c>
      <c r="D1673" s="27">
        <v>4364.63</v>
      </c>
      <c r="E1673" s="27">
        <v>117318.96</v>
      </c>
      <c r="F1673" s="27">
        <v>11.19</v>
      </c>
      <c r="G1673" s="27">
        <v>75.53</v>
      </c>
      <c r="H1673" s="27">
        <v>3320.43</v>
      </c>
      <c r="I1673" s="27">
        <v>46994.68</v>
      </c>
      <c r="J1673" s="6">
        <v>47</v>
      </c>
      <c r="K1673" s="6">
        <v>3296</v>
      </c>
      <c r="L1673" s="27">
        <v>1.6070212765957448</v>
      </c>
      <c r="M1673" s="27">
        <v>14.258094660194175</v>
      </c>
      <c r="N1673" s="34">
        <v>28.300915345498058</v>
      </c>
    </row>
    <row r="1674" spans="1:14" x14ac:dyDescent="0.35">
      <c r="A1674" s="82">
        <v>1671</v>
      </c>
      <c r="B1674" s="89" t="str">
        <f>_xlfn.XLOOKUP(A1674,'Model Modeshare by TAZ'!A:A,'Model Modeshare by TAZ'!B:B)</f>
        <v>Redwood City</v>
      </c>
      <c r="C1674" s="90" t="str">
        <f>_xlfn.XLOOKUP(A1674,'Model Modeshare by TAZ'!A:A,'Model Modeshare by TAZ'!D:D)</f>
        <v>YES</v>
      </c>
      <c r="D1674" s="27">
        <v>22933.16</v>
      </c>
      <c r="E1674" s="27">
        <v>442801.78</v>
      </c>
      <c r="F1674" s="27">
        <v>1188.6500000000001</v>
      </c>
      <c r="G1674" s="27">
        <v>5843.22</v>
      </c>
      <c r="H1674" s="27">
        <v>9828.09</v>
      </c>
      <c r="I1674" s="27">
        <v>149676.06</v>
      </c>
      <c r="J1674" s="6">
        <v>914</v>
      </c>
      <c r="K1674" s="6">
        <v>9293</v>
      </c>
      <c r="L1674" s="27">
        <v>6.3930196936542671</v>
      </c>
      <c r="M1674" s="27">
        <v>16.106323038846444</v>
      </c>
      <c r="N1674" s="34">
        <v>34.167534045263054</v>
      </c>
    </row>
    <row r="1675" spans="1:14" x14ac:dyDescent="0.35">
      <c r="A1675" s="82">
        <v>1672</v>
      </c>
      <c r="B1675" s="89" t="str">
        <f>_xlfn.XLOOKUP(A1675,'Model Modeshare by TAZ'!A:A,'Model Modeshare by TAZ'!B:B)</f>
        <v>Redwood City</v>
      </c>
      <c r="C1675" s="90" t="str">
        <f>_xlfn.XLOOKUP(A1675,'Model Modeshare by TAZ'!A:A,'Model Modeshare by TAZ'!D:D)</f>
        <v>YES</v>
      </c>
      <c r="D1675" s="27">
        <v>3047.56</v>
      </c>
      <c r="E1675" s="27">
        <v>70753.62</v>
      </c>
      <c r="F1675" s="27">
        <v>1541.34</v>
      </c>
      <c r="G1675" s="27">
        <v>14172.79</v>
      </c>
      <c r="H1675" s="27">
        <v>805.56</v>
      </c>
      <c r="I1675" s="27">
        <v>12611.62</v>
      </c>
      <c r="J1675" s="6">
        <v>1066</v>
      </c>
      <c r="K1675" s="6">
        <v>717</v>
      </c>
      <c r="L1675" s="27">
        <v>13.295300187617261</v>
      </c>
      <c r="M1675" s="27">
        <v>17.589428172942817</v>
      </c>
      <c r="N1675" s="34">
        <v>51.621435782389234</v>
      </c>
    </row>
    <row r="1676" spans="1:14" x14ac:dyDescent="0.35">
      <c r="A1676" s="82">
        <v>1673</v>
      </c>
      <c r="B1676" s="89" t="str">
        <f>_xlfn.XLOOKUP(A1676,'Model Modeshare by TAZ'!A:A,'Model Modeshare by TAZ'!B:B)</f>
        <v>Redwood City</v>
      </c>
      <c r="C1676" s="90" t="str">
        <f>_xlfn.XLOOKUP(A1676,'Model Modeshare by TAZ'!A:A,'Model Modeshare by TAZ'!D:D)</f>
        <v>YES</v>
      </c>
      <c r="D1676" s="27">
        <v>9754.18</v>
      </c>
      <c r="E1676" s="27">
        <v>277927.25</v>
      </c>
      <c r="F1676" s="27">
        <v>0</v>
      </c>
      <c r="G1676" s="27">
        <v>0</v>
      </c>
      <c r="H1676" s="27">
        <v>9761.32</v>
      </c>
      <c r="I1676" s="27">
        <v>162305.85999999999</v>
      </c>
      <c r="J1676" s="6">
        <v>6</v>
      </c>
      <c r="K1676" s="6">
        <v>9025</v>
      </c>
      <c r="L1676" s="27">
        <v>0</v>
      </c>
      <c r="M1676" s="27">
        <v>17.984028808864263</v>
      </c>
      <c r="N1676" s="34">
        <v>51.685293987376816</v>
      </c>
    </row>
    <row r="1677" spans="1:14" x14ac:dyDescent="0.35">
      <c r="A1677" s="82">
        <v>1674</v>
      </c>
      <c r="B1677" s="89" t="str">
        <f>_xlfn.XLOOKUP(A1677,'Model Modeshare by TAZ'!A:A,'Model Modeshare by TAZ'!B:B)</f>
        <v>Redwood City</v>
      </c>
      <c r="C1677" s="90" t="str">
        <f>_xlfn.XLOOKUP(A1677,'Model Modeshare by TAZ'!A:A,'Model Modeshare by TAZ'!D:D)</f>
        <v>YES</v>
      </c>
      <c r="D1677" s="27">
        <v>1.71</v>
      </c>
      <c r="E1677" s="27">
        <v>40.44</v>
      </c>
      <c r="F1677" s="27">
        <v>0</v>
      </c>
      <c r="G1677" s="27">
        <v>0</v>
      </c>
      <c r="H1677" s="27">
        <v>12.88</v>
      </c>
      <c r="I1677" s="27">
        <v>222.73</v>
      </c>
      <c r="J1677" s="6">
        <v>0</v>
      </c>
      <c r="K1677" s="6">
        <v>10</v>
      </c>
      <c r="L1677" s="27">
        <v>0</v>
      </c>
      <c r="M1677" s="27">
        <v>22.273</v>
      </c>
      <c r="N1677" s="34">
        <v>11.368</v>
      </c>
    </row>
    <row r="1678" spans="1:14" x14ac:dyDescent="0.35">
      <c r="A1678" s="82">
        <v>1675</v>
      </c>
      <c r="B1678" s="89" t="str">
        <f>_xlfn.XLOOKUP(A1678,'Model Modeshare by TAZ'!A:A,'Model Modeshare by TAZ'!B:B)</f>
        <v>Redwood City</v>
      </c>
      <c r="C1678" s="90" t="str">
        <f>_xlfn.XLOOKUP(A1678,'Model Modeshare by TAZ'!A:A,'Model Modeshare by TAZ'!D:D)</f>
        <v>YES</v>
      </c>
      <c r="D1678" s="27">
        <v>2808.75</v>
      </c>
      <c r="E1678" s="27">
        <v>68334.22</v>
      </c>
      <c r="F1678" s="27">
        <v>2270.08</v>
      </c>
      <c r="G1678" s="27">
        <v>22008.12</v>
      </c>
      <c r="H1678" s="27">
        <v>720.36</v>
      </c>
      <c r="I1678" s="27">
        <v>11917.96</v>
      </c>
      <c r="J1678" s="6">
        <v>1412</v>
      </c>
      <c r="K1678" s="6">
        <v>569</v>
      </c>
      <c r="L1678" s="27">
        <v>15.586487252124645</v>
      </c>
      <c r="M1678" s="27">
        <v>20.945448154657292</v>
      </c>
      <c r="N1678" s="34">
        <v>38.484159515396264</v>
      </c>
    </row>
    <row r="1679" spans="1:14" x14ac:dyDescent="0.35">
      <c r="A1679" s="82">
        <v>1676</v>
      </c>
      <c r="B1679" s="89" t="str">
        <f>_xlfn.XLOOKUP(A1679,'Model Modeshare by TAZ'!A:A,'Model Modeshare by TAZ'!B:B)</f>
        <v>Redwood City</v>
      </c>
      <c r="C1679" s="90" t="str">
        <f>_xlfn.XLOOKUP(A1679,'Model Modeshare by TAZ'!A:A,'Model Modeshare by TAZ'!D:D)</f>
        <v>YES</v>
      </c>
      <c r="D1679" s="27">
        <v>1.75</v>
      </c>
      <c r="E1679" s="27">
        <v>45.27</v>
      </c>
      <c r="F1679" s="27">
        <v>0</v>
      </c>
      <c r="G1679" s="27">
        <v>0</v>
      </c>
      <c r="H1679" s="27">
        <v>13.25</v>
      </c>
      <c r="I1679" s="27">
        <v>242.8</v>
      </c>
      <c r="J1679" s="6">
        <v>1</v>
      </c>
      <c r="K1679" s="6">
        <v>10</v>
      </c>
      <c r="L1679" s="27">
        <v>0</v>
      </c>
      <c r="M1679" s="27">
        <v>24.28</v>
      </c>
      <c r="N1679" s="34">
        <v>11.199090909090909</v>
      </c>
    </row>
    <row r="1680" spans="1:14" x14ac:dyDescent="0.35">
      <c r="A1680" s="82">
        <v>1677</v>
      </c>
      <c r="B1680" s="89" t="str">
        <f>_xlfn.XLOOKUP(A1680,'Model Modeshare by TAZ'!A:A,'Model Modeshare by TAZ'!B:B)</f>
        <v>Redwood City</v>
      </c>
      <c r="C1680" s="90" t="str">
        <f>_xlfn.XLOOKUP(A1680,'Model Modeshare by TAZ'!A:A,'Model Modeshare by TAZ'!D:D)</f>
        <v>YES</v>
      </c>
      <c r="D1680" s="27">
        <v>5.3</v>
      </c>
      <c r="E1680" s="27">
        <v>128.72999999999999</v>
      </c>
      <c r="F1680" s="27">
        <v>0.85</v>
      </c>
      <c r="G1680" s="27">
        <v>11.11</v>
      </c>
      <c r="H1680" s="27">
        <v>12.09</v>
      </c>
      <c r="I1680" s="27">
        <v>213.71</v>
      </c>
      <c r="J1680" s="6">
        <v>4</v>
      </c>
      <c r="K1680" s="6">
        <v>10</v>
      </c>
      <c r="L1680" s="27">
        <v>2.7774999999999999</v>
      </c>
      <c r="M1680" s="27">
        <v>21.371000000000002</v>
      </c>
      <c r="N1680" s="34">
        <v>12.198571428571428</v>
      </c>
    </row>
    <row r="1681" spans="1:14" x14ac:dyDescent="0.35">
      <c r="A1681" s="82">
        <v>1678</v>
      </c>
      <c r="B1681" s="89" t="str">
        <f>_xlfn.XLOOKUP(A1681,'Model Modeshare by TAZ'!A:A,'Model Modeshare by TAZ'!B:B)</f>
        <v>Redwood City</v>
      </c>
      <c r="C1681" s="90" t="str">
        <f>_xlfn.XLOOKUP(A1681,'Model Modeshare by TAZ'!A:A,'Model Modeshare by TAZ'!D:D)</f>
        <v>YES</v>
      </c>
      <c r="D1681" s="27">
        <v>2102.11</v>
      </c>
      <c r="E1681" s="27">
        <v>41001.29</v>
      </c>
      <c r="F1681" s="27">
        <v>1169</v>
      </c>
      <c r="G1681" s="27">
        <v>9455.19</v>
      </c>
      <c r="H1681" s="27">
        <v>480.34</v>
      </c>
      <c r="I1681" s="27">
        <v>7564.71</v>
      </c>
      <c r="J1681" s="6">
        <v>965</v>
      </c>
      <c r="K1681" s="6">
        <v>465</v>
      </c>
      <c r="L1681" s="27">
        <v>9.7981243523316071</v>
      </c>
      <c r="M1681" s="27">
        <v>16.268193548387096</v>
      </c>
      <c r="N1681" s="34">
        <v>30.815454545454543</v>
      </c>
    </row>
    <row r="1682" spans="1:14" x14ac:dyDescent="0.35">
      <c r="A1682" s="82">
        <v>1679</v>
      </c>
      <c r="B1682" s="89" t="str">
        <f>_xlfn.XLOOKUP(A1682,'Model Modeshare by TAZ'!A:A,'Model Modeshare by TAZ'!B:B)</f>
        <v>Redwood City</v>
      </c>
      <c r="C1682" s="90" t="str">
        <f>_xlfn.XLOOKUP(A1682,'Model Modeshare by TAZ'!A:A,'Model Modeshare by TAZ'!D:D)</f>
        <v>YES</v>
      </c>
      <c r="D1682" s="27">
        <v>8057.77</v>
      </c>
      <c r="E1682" s="27">
        <v>201492.8</v>
      </c>
      <c r="F1682" s="27">
        <v>138.13</v>
      </c>
      <c r="G1682" s="27">
        <v>1223.28</v>
      </c>
      <c r="H1682" s="27">
        <v>5352.24</v>
      </c>
      <c r="I1682" s="27">
        <v>83469.94</v>
      </c>
      <c r="J1682" s="6">
        <v>96</v>
      </c>
      <c r="K1682" s="6">
        <v>5331</v>
      </c>
      <c r="L1682" s="27">
        <v>12.7425</v>
      </c>
      <c r="M1682" s="27">
        <v>15.657463890452073</v>
      </c>
      <c r="N1682" s="34">
        <v>45.428365579509858</v>
      </c>
    </row>
    <row r="1683" spans="1:14" x14ac:dyDescent="0.35">
      <c r="A1683" s="82">
        <v>1680</v>
      </c>
      <c r="B1683" s="89" t="str">
        <f>_xlfn.XLOOKUP(A1683,'Model Modeshare by TAZ'!A:A,'Model Modeshare by TAZ'!B:B)</f>
        <v>Redwood City</v>
      </c>
      <c r="C1683" s="90" t="str">
        <f>_xlfn.XLOOKUP(A1683,'Model Modeshare by TAZ'!A:A,'Model Modeshare by TAZ'!D:D)</f>
        <v>YES</v>
      </c>
      <c r="D1683" s="27">
        <v>585.44000000000005</v>
      </c>
      <c r="E1683" s="27">
        <v>10859.55</v>
      </c>
      <c r="F1683" s="27">
        <v>506.09</v>
      </c>
      <c r="G1683" s="27">
        <v>4178.99</v>
      </c>
      <c r="H1683" s="27">
        <v>214.46</v>
      </c>
      <c r="I1683" s="27">
        <v>3434.34</v>
      </c>
      <c r="J1683" s="6">
        <v>384</v>
      </c>
      <c r="K1683" s="6">
        <v>206</v>
      </c>
      <c r="L1683" s="27">
        <v>10.882786458333333</v>
      </c>
      <c r="M1683" s="27">
        <v>16.671553398058254</v>
      </c>
      <c r="N1683" s="34">
        <v>30.74172881355932</v>
      </c>
    </row>
    <row r="1684" spans="1:14" x14ac:dyDescent="0.35">
      <c r="A1684" s="82">
        <v>1681</v>
      </c>
      <c r="B1684" s="89" t="str">
        <f>_xlfn.XLOOKUP(A1684,'Model Modeshare by TAZ'!A:A,'Model Modeshare by TAZ'!B:B)</f>
        <v>Menlo Park</v>
      </c>
      <c r="C1684" s="90" t="str">
        <f>_xlfn.XLOOKUP(A1684,'Model Modeshare by TAZ'!A:A,'Model Modeshare by TAZ'!D:D)</f>
        <v>YES</v>
      </c>
      <c r="D1684" s="27">
        <v>4053.91</v>
      </c>
      <c r="E1684" s="27">
        <v>77679.55</v>
      </c>
      <c r="F1684" s="27">
        <v>5336.24</v>
      </c>
      <c r="G1684" s="27">
        <v>49786.45</v>
      </c>
      <c r="H1684" s="27">
        <v>353.58</v>
      </c>
      <c r="I1684" s="27">
        <v>5463.2</v>
      </c>
      <c r="J1684" s="6">
        <v>3832</v>
      </c>
      <c r="K1684" s="6">
        <v>217</v>
      </c>
      <c r="L1684" s="27">
        <v>12.992288622129436</v>
      </c>
      <c r="M1684" s="27">
        <v>25.176036866359446</v>
      </c>
      <c r="N1684" s="34">
        <v>22.54420103729316</v>
      </c>
    </row>
    <row r="1685" spans="1:14" x14ac:dyDescent="0.35">
      <c r="A1685" s="82">
        <v>1682</v>
      </c>
      <c r="B1685" s="89" t="str">
        <f>_xlfn.XLOOKUP(A1685,'Model Modeshare by TAZ'!A:A,'Model Modeshare by TAZ'!B:B)</f>
        <v>East Palo Alto</v>
      </c>
      <c r="C1685" s="90" t="str">
        <f>_xlfn.XLOOKUP(A1685,'Model Modeshare by TAZ'!A:A,'Model Modeshare by TAZ'!D:D)</f>
        <v>YES</v>
      </c>
      <c r="D1685" s="27">
        <v>4128.16</v>
      </c>
      <c r="E1685" s="27">
        <v>59059.4</v>
      </c>
      <c r="F1685" s="27">
        <v>4639.75</v>
      </c>
      <c r="G1685" s="27">
        <v>35942.050000000003</v>
      </c>
      <c r="H1685" s="27">
        <v>130.19999999999999</v>
      </c>
      <c r="I1685" s="27">
        <v>1981.84</v>
      </c>
      <c r="J1685" s="6">
        <v>3702</v>
      </c>
      <c r="K1685" s="6">
        <v>79</v>
      </c>
      <c r="L1685" s="27">
        <v>9.7088195569962199</v>
      </c>
      <c r="M1685" s="27">
        <v>25.086582278481011</v>
      </c>
      <c r="N1685" s="34">
        <v>14.269883628669664</v>
      </c>
    </row>
    <row r="1686" spans="1:14" x14ac:dyDescent="0.35">
      <c r="A1686" s="82">
        <v>1683</v>
      </c>
      <c r="B1686" s="89" t="str">
        <f>_xlfn.XLOOKUP(A1686,'Model Modeshare by TAZ'!A:A,'Model Modeshare by TAZ'!B:B)</f>
        <v>Menlo Park</v>
      </c>
      <c r="C1686" s="90" t="str">
        <f>_xlfn.XLOOKUP(A1686,'Model Modeshare by TAZ'!A:A,'Model Modeshare by TAZ'!D:D)</f>
        <v>YES</v>
      </c>
      <c r="D1686" s="27">
        <v>811.94</v>
      </c>
      <c r="E1686" s="27">
        <v>10280.64</v>
      </c>
      <c r="F1686" s="27">
        <v>1150.21</v>
      </c>
      <c r="G1686" s="27">
        <v>7246.9</v>
      </c>
      <c r="H1686" s="27">
        <v>21.85</v>
      </c>
      <c r="I1686" s="27">
        <v>335.33</v>
      </c>
      <c r="J1686" s="6">
        <v>758</v>
      </c>
      <c r="K1686" s="6">
        <v>12</v>
      </c>
      <c r="L1686" s="27">
        <v>9.5605540897097612</v>
      </c>
      <c r="M1686" s="27">
        <v>27.944166666666664</v>
      </c>
      <c r="N1686" s="34">
        <v>15.206415584415586</v>
      </c>
    </row>
    <row r="1687" spans="1:14" x14ac:dyDescent="0.35">
      <c r="A1687" s="82">
        <v>1684</v>
      </c>
      <c r="B1687" s="89" t="str">
        <f>_xlfn.XLOOKUP(A1687,'Model Modeshare by TAZ'!A:A,'Model Modeshare by TAZ'!B:B)</f>
        <v>Atherton</v>
      </c>
      <c r="C1687" s="90" t="str">
        <f>_xlfn.XLOOKUP(A1687,'Model Modeshare by TAZ'!A:A,'Model Modeshare by TAZ'!D:D)</f>
        <v>YES</v>
      </c>
      <c r="D1687" s="27">
        <v>1559.13</v>
      </c>
      <c r="E1687" s="27">
        <v>28038.36</v>
      </c>
      <c r="F1687" s="27">
        <v>1375.9</v>
      </c>
      <c r="G1687" s="27">
        <v>11867.87</v>
      </c>
      <c r="H1687" s="27">
        <v>332.25</v>
      </c>
      <c r="I1687" s="27">
        <v>5278.42</v>
      </c>
      <c r="J1687" s="6">
        <v>1005</v>
      </c>
      <c r="K1687" s="6">
        <v>261</v>
      </c>
      <c r="L1687" s="27">
        <v>11.808825870646768</v>
      </c>
      <c r="M1687" s="27">
        <v>20.22383141762452</v>
      </c>
      <c r="N1687" s="34">
        <v>24.111461295418643</v>
      </c>
    </row>
    <row r="1688" spans="1:14" x14ac:dyDescent="0.35">
      <c r="A1688" s="82">
        <v>1685</v>
      </c>
      <c r="B1688" s="89" t="str">
        <f>_xlfn.XLOOKUP(A1688,'Model Modeshare by TAZ'!A:A,'Model Modeshare by TAZ'!B:B)</f>
        <v>Atherton</v>
      </c>
      <c r="C1688" s="90" t="str">
        <f>_xlfn.XLOOKUP(A1688,'Model Modeshare by TAZ'!A:A,'Model Modeshare by TAZ'!D:D)</f>
        <v>YES</v>
      </c>
      <c r="D1688" s="27">
        <v>1758.53</v>
      </c>
      <c r="E1688" s="27">
        <v>24342.959999999999</v>
      </c>
      <c r="F1688" s="27">
        <v>2093.77</v>
      </c>
      <c r="G1688" s="27">
        <v>14442.04</v>
      </c>
      <c r="H1688" s="27">
        <v>627.57000000000005</v>
      </c>
      <c r="I1688" s="27">
        <v>8865.58</v>
      </c>
      <c r="J1688" s="6">
        <v>1291</v>
      </c>
      <c r="K1688" s="6">
        <v>573</v>
      </c>
      <c r="L1688" s="27">
        <v>11.186707978311388</v>
      </c>
      <c r="M1688" s="27">
        <v>15.472216404886561</v>
      </c>
      <c r="N1688" s="34">
        <v>28.002489270386267</v>
      </c>
    </row>
    <row r="1689" spans="1:14" x14ac:dyDescent="0.35">
      <c r="A1689" s="82">
        <v>1686</v>
      </c>
      <c r="B1689" s="89" t="str">
        <f>_xlfn.XLOOKUP(A1689,'Model Modeshare by TAZ'!A:A,'Model Modeshare by TAZ'!B:B)</f>
        <v>Atherton</v>
      </c>
      <c r="C1689" s="90" t="str">
        <f>_xlfn.XLOOKUP(A1689,'Model Modeshare by TAZ'!A:A,'Model Modeshare by TAZ'!D:D)</f>
        <v>YES</v>
      </c>
      <c r="D1689" s="27">
        <v>934.54</v>
      </c>
      <c r="E1689" s="27">
        <v>15463.5</v>
      </c>
      <c r="F1689" s="27">
        <v>489.16</v>
      </c>
      <c r="G1689" s="27">
        <v>3010.03</v>
      </c>
      <c r="H1689" s="27">
        <v>485.8</v>
      </c>
      <c r="I1689" s="27">
        <v>6637.39</v>
      </c>
      <c r="J1689" s="6">
        <v>440</v>
      </c>
      <c r="K1689" s="6">
        <v>421</v>
      </c>
      <c r="L1689" s="27">
        <v>6.8409772727272733</v>
      </c>
      <c r="M1689" s="27">
        <v>15.765771971496438</v>
      </c>
      <c r="N1689" s="34">
        <v>23.773751451800234</v>
      </c>
    </row>
    <row r="1690" spans="1:14" x14ac:dyDescent="0.35">
      <c r="A1690" s="82">
        <v>1687</v>
      </c>
      <c r="B1690" s="89" t="str">
        <f>_xlfn.XLOOKUP(A1690,'Model Modeshare by TAZ'!A:A,'Model Modeshare by TAZ'!B:B)</f>
        <v>South San Francisco</v>
      </c>
      <c r="C1690" s="90" t="str">
        <f>_xlfn.XLOOKUP(A1690,'Model Modeshare by TAZ'!A:A,'Model Modeshare by TAZ'!D:D)</f>
        <v>YES</v>
      </c>
      <c r="D1690" s="27">
        <v>2308.84</v>
      </c>
      <c r="E1690" s="27">
        <v>40018.25</v>
      </c>
      <c r="F1690" s="27">
        <v>396.35</v>
      </c>
      <c r="G1690" s="27">
        <v>2970.89</v>
      </c>
      <c r="H1690" s="27">
        <v>214.16</v>
      </c>
      <c r="I1690" s="27">
        <v>2581.44</v>
      </c>
      <c r="J1690" s="6">
        <v>312</v>
      </c>
      <c r="K1690" s="6">
        <v>209</v>
      </c>
      <c r="L1690" s="27">
        <v>9.5220833333333328</v>
      </c>
      <c r="M1690" s="27">
        <v>12.351387559808613</v>
      </c>
      <c r="N1690" s="34">
        <v>25.826429942418425</v>
      </c>
    </row>
    <row r="1691" spans="1:14" x14ac:dyDescent="0.35">
      <c r="A1691" s="82">
        <v>1688</v>
      </c>
      <c r="B1691" s="89" t="str">
        <f>_xlfn.XLOOKUP(A1691,'Model Modeshare by TAZ'!A:A,'Model Modeshare by TAZ'!B:B)</f>
        <v>Unknown</v>
      </c>
      <c r="C1691" s="90" t="str">
        <f>_xlfn.XLOOKUP(A1691,'Model Modeshare by TAZ'!A:A,'Model Modeshare by TAZ'!D:D)</f>
        <v>NO</v>
      </c>
      <c r="D1691" s="27">
        <v>0</v>
      </c>
      <c r="E1691" s="27">
        <v>0</v>
      </c>
      <c r="F1691" s="27">
        <v>0</v>
      </c>
      <c r="G1691" s="27">
        <v>0</v>
      </c>
      <c r="H1691" s="27">
        <v>0</v>
      </c>
      <c r="I1691" s="27">
        <v>0</v>
      </c>
      <c r="J1691" s="6" t="b">
        <v>0</v>
      </c>
      <c r="K1691" s="6" t="b">
        <v>0</v>
      </c>
      <c r="L1691" s="27">
        <v>0</v>
      </c>
      <c r="M1691" s="27">
        <v>0</v>
      </c>
      <c r="N1691" s="34">
        <v>0</v>
      </c>
    </row>
    <row r="1692" spans="1:14" x14ac:dyDescent="0.35">
      <c r="A1692" s="82">
        <v>1689</v>
      </c>
      <c r="B1692" s="89" t="str">
        <f>_xlfn.XLOOKUP(A1692,'Model Modeshare by TAZ'!A:A,'Model Modeshare by TAZ'!B:B)</f>
        <v>Unknown</v>
      </c>
      <c r="C1692" s="90" t="str">
        <f>_xlfn.XLOOKUP(A1692,'Model Modeshare by TAZ'!A:A,'Model Modeshare by TAZ'!D:D)</f>
        <v>NO</v>
      </c>
      <c r="D1692" s="27">
        <v>0</v>
      </c>
      <c r="E1692" s="27">
        <v>0</v>
      </c>
      <c r="F1692" s="27">
        <v>0</v>
      </c>
      <c r="G1692" s="27">
        <v>0</v>
      </c>
      <c r="H1692" s="27">
        <v>0</v>
      </c>
      <c r="I1692" s="27">
        <v>0</v>
      </c>
      <c r="J1692" s="6" t="b">
        <v>0</v>
      </c>
      <c r="K1692" s="6" t="b">
        <v>0</v>
      </c>
      <c r="L1692" s="27">
        <v>0</v>
      </c>
      <c r="M1692" s="27">
        <v>0</v>
      </c>
      <c r="N1692" s="34">
        <v>0</v>
      </c>
    </row>
    <row r="1693" spans="1:14" x14ac:dyDescent="0.35">
      <c r="A1693" s="82">
        <v>1690</v>
      </c>
      <c r="B1693" s="89" t="str">
        <f>_xlfn.XLOOKUP(A1693,'Model Modeshare by TAZ'!A:A,'Model Modeshare by TAZ'!B:B)</f>
        <v>Unknown</v>
      </c>
      <c r="C1693" s="90" t="str">
        <f>_xlfn.XLOOKUP(A1693,'Model Modeshare by TAZ'!A:A,'Model Modeshare by TAZ'!D:D)</f>
        <v>NO</v>
      </c>
      <c r="D1693" s="27">
        <v>0</v>
      </c>
      <c r="E1693" s="27">
        <v>0</v>
      </c>
      <c r="F1693" s="27">
        <v>0</v>
      </c>
      <c r="G1693" s="27">
        <v>0</v>
      </c>
      <c r="H1693" s="27">
        <v>0</v>
      </c>
      <c r="I1693" s="27">
        <v>0</v>
      </c>
      <c r="J1693" s="6" t="b">
        <v>0</v>
      </c>
      <c r="K1693" s="6" t="b">
        <v>0</v>
      </c>
      <c r="L1693" s="27">
        <v>0</v>
      </c>
      <c r="M1693" s="27">
        <v>0</v>
      </c>
      <c r="N1693" s="34">
        <v>0</v>
      </c>
    </row>
    <row r="1694" spans="1:14" x14ac:dyDescent="0.35">
      <c r="A1694" s="82">
        <v>1691</v>
      </c>
      <c r="B1694" s="89" t="str">
        <f>_xlfn.XLOOKUP(A1694,'Model Modeshare by TAZ'!A:A,'Model Modeshare by TAZ'!B:B)</f>
        <v>Unknown</v>
      </c>
      <c r="C1694" s="90" t="str">
        <f>_xlfn.XLOOKUP(A1694,'Model Modeshare by TAZ'!A:A,'Model Modeshare by TAZ'!D:D)</f>
        <v>NO</v>
      </c>
      <c r="D1694" s="27">
        <v>0</v>
      </c>
      <c r="E1694" s="27">
        <v>0</v>
      </c>
      <c r="F1694" s="27">
        <v>0</v>
      </c>
      <c r="G1694" s="27">
        <v>0</v>
      </c>
      <c r="H1694" s="27">
        <v>0</v>
      </c>
      <c r="I1694" s="27">
        <v>0</v>
      </c>
      <c r="J1694" s="6" t="b">
        <v>0</v>
      </c>
      <c r="K1694" s="6" t="b">
        <v>0</v>
      </c>
      <c r="L1694" s="27">
        <v>0</v>
      </c>
      <c r="M1694" s="27">
        <v>0</v>
      </c>
      <c r="N1694" s="34">
        <v>0</v>
      </c>
    </row>
    <row r="1695" spans="1:14" x14ac:dyDescent="0.35">
      <c r="A1695" s="82">
        <v>1692</v>
      </c>
      <c r="B1695" s="89" t="str">
        <f>_xlfn.XLOOKUP(A1695,'Model Modeshare by TAZ'!A:A,'Model Modeshare by TAZ'!B:B)</f>
        <v>Unknown</v>
      </c>
      <c r="C1695" s="90" t="str">
        <f>_xlfn.XLOOKUP(A1695,'Model Modeshare by TAZ'!A:A,'Model Modeshare by TAZ'!D:D)</f>
        <v>NO</v>
      </c>
      <c r="D1695" s="27">
        <v>0</v>
      </c>
      <c r="E1695" s="27">
        <v>0</v>
      </c>
      <c r="F1695" s="27">
        <v>0</v>
      </c>
      <c r="G1695" s="27">
        <v>0</v>
      </c>
      <c r="H1695" s="27">
        <v>0</v>
      </c>
      <c r="I1695" s="27">
        <v>0</v>
      </c>
      <c r="J1695" s="6" t="b">
        <v>0</v>
      </c>
      <c r="K1695" s="6" t="b">
        <v>0</v>
      </c>
      <c r="L1695" s="27">
        <v>0</v>
      </c>
      <c r="M1695" s="27">
        <v>0</v>
      </c>
      <c r="N1695" s="34">
        <v>0</v>
      </c>
    </row>
    <row r="1696" spans="1:14" x14ac:dyDescent="0.35">
      <c r="A1696" s="82">
        <v>1693</v>
      </c>
      <c r="B1696" s="89" t="str">
        <f>_xlfn.XLOOKUP(A1696,'Model Modeshare by TAZ'!A:A,'Model Modeshare by TAZ'!B:B)</f>
        <v>Unknown</v>
      </c>
      <c r="C1696" s="90" t="str">
        <f>_xlfn.XLOOKUP(A1696,'Model Modeshare by TAZ'!A:A,'Model Modeshare by TAZ'!D:D)</f>
        <v>NO</v>
      </c>
      <c r="D1696" s="27">
        <v>0</v>
      </c>
      <c r="E1696" s="27">
        <v>0</v>
      </c>
      <c r="F1696" s="27">
        <v>0</v>
      </c>
      <c r="G1696" s="27">
        <v>0</v>
      </c>
      <c r="H1696" s="27">
        <v>0</v>
      </c>
      <c r="I1696" s="27">
        <v>0</v>
      </c>
      <c r="J1696" s="6" t="b">
        <v>0</v>
      </c>
      <c r="K1696" s="6" t="b">
        <v>0</v>
      </c>
      <c r="L1696" s="27">
        <v>0</v>
      </c>
      <c r="M1696" s="27">
        <v>0</v>
      </c>
      <c r="N1696" s="34">
        <v>0</v>
      </c>
    </row>
    <row r="1697" spans="1:14" x14ac:dyDescent="0.35">
      <c r="A1697" s="82">
        <v>1694</v>
      </c>
      <c r="B1697" s="89" t="str">
        <f>_xlfn.XLOOKUP(A1697,'Model Modeshare by TAZ'!A:A,'Model Modeshare by TAZ'!B:B)</f>
        <v>Unknown</v>
      </c>
      <c r="C1697" s="90" t="str">
        <f>_xlfn.XLOOKUP(A1697,'Model Modeshare by TAZ'!A:A,'Model Modeshare by TAZ'!D:D)</f>
        <v>NO</v>
      </c>
      <c r="D1697" s="27">
        <v>0</v>
      </c>
      <c r="E1697" s="27">
        <v>0</v>
      </c>
      <c r="F1697" s="27">
        <v>0</v>
      </c>
      <c r="G1697" s="27">
        <v>0</v>
      </c>
      <c r="H1697" s="27">
        <v>0</v>
      </c>
      <c r="I1697" s="27">
        <v>0</v>
      </c>
      <c r="J1697" s="6" t="b">
        <v>0</v>
      </c>
      <c r="K1697" s="6" t="b">
        <v>0</v>
      </c>
      <c r="L1697" s="27">
        <v>0</v>
      </c>
      <c r="M1697" s="27">
        <v>0</v>
      </c>
      <c r="N1697" s="34">
        <v>0</v>
      </c>
    </row>
    <row r="1698" spans="1:14" x14ac:dyDescent="0.35">
      <c r="A1698" s="82">
        <v>1695</v>
      </c>
      <c r="B1698" s="89" t="str">
        <f>_xlfn.XLOOKUP(A1698,'Model Modeshare by TAZ'!A:A,'Model Modeshare by TAZ'!B:B)</f>
        <v>Unknown</v>
      </c>
      <c r="C1698" s="90" t="str">
        <f>_xlfn.XLOOKUP(A1698,'Model Modeshare by TAZ'!A:A,'Model Modeshare by TAZ'!D:D)</f>
        <v>NO</v>
      </c>
      <c r="D1698" s="27">
        <v>0</v>
      </c>
      <c r="E1698" s="27">
        <v>0</v>
      </c>
      <c r="F1698" s="27">
        <v>0</v>
      </c>
      <c r="G1698" s="27">
        <v>0</v>
      </c>
      <c r="H1698" s="27">
        <v>0</v>
      </c>
      <c r="I1698" s="27">
        <v>0</v>
      </c>
      <c r="J1698" s="6" t="b">
        <v>0</v>
      </c>
      <c r="K1698" s="6" t="b">
        <v>0</v>
      </c>
      <c r="L1698" s="27">
        <v>0</v>
      </c>
      <c r="M1698" s="27">
        <v>0</v>
      </c>
      <c r="N1698" s="34">
        <v>0</v>
      </c>
    </row>
    <row r="1699" spans="1:14" x14ac:dyDescent="0.35">
      <c r="A1699" s="82">
        <v>1696</v>
      </c>
      <c r="B1699" s="89" t="str">
        <f>_xlfn.XLOOKUP(A1699,'Model Modeshare by TAZ'!A:A,'Model Modeshare by TAZ'!B:B)</f>
        <v>Unknown</v>
      </c>
      <c r="C1699" s="90" t="str">
        <f>_xlfn.XLOOKUP(A1699,'Model Modeshare by TAZ'!A:A,'Model Modeshare by TAZ'!D:D)</f>
        <v>NO</v>
      </c>
      <c r="D1699" s="27">
        <v>0</v>
      </c>
      <c r="E1699" s="27">
        <v>0</v>
      </c>
      <c r="F1699" s="27">
        <v>0</v>
      </c>
      <c r="G1699" s="27">
        <v>0</v>
      </c>
      <c r="H1699" s="27">
        <v>0</v>
      </c>
      <c r="I1699" s="27">
        <v>0</v>
      </c>
      <c r="J1699" s="6" t="b">
        <v>0</v>
      </c>
      <c r="K1699" s="6" t="b">
        <v>0</v>
      </c>
      <c r="L1699" s="27">
        <v>0</v>
      </c>
      <c r="M1699" s="27">
        <v>0</v>
      </c>
      <c r="N1699" s="34">
        <v>0</v>
      </c>
    </row>
    <row r="1700" spans="1:14" x14ac:dyDescent="0.35">
      <c r="A1700" s="82">
        <v>1697</v>
      </c>
      <c r="B1700" s="89" t="str">
        <f>_xlfn.XLOOKUP(A1700,'Model Modeshare by TAZ'!A:A,'Model Modeshare by TAZ'!B:B)</f>
        <v>Unknown</v>
      </c>
      <c r="C1700" s="90" t="str">
        <f>_xlfn.XLOOKUP(A1700,'Model Modeshare by TAZ'!A:A,'Model Modeshare by TAZ'!D:D)</f>
        <v>NO</v>
      </c>
      <c r="D1700" s="27">
        <v>0</v>
      </c>
      <c r="E1700" s="27">
        <v>0</v>
      </c>
      <c r="F1700" s="27">
        <v>0</v>
      </c>
      <c r="G1700" s="27">
        <v>0</v>
      </c>
      <c r="H1700" s="27">
        <v>0</v>
      </c>
      <c r="I1700" s="27">
        <v>0</v>
      </c>
      <c r="J1700" s="6" t="b">
        <v>0</v>
      </c>
      <c r="K1700" s="6" t="b">
        <v>0</v>
      </c>
      <c r="L1700" s="27">
        <v>0</v>
      </c>
      <c r="M1700" s="27">
        <v>0</v>
      </c>
      <c r="N1700" s="34">
        <v>0</v>
      </c>
    </row>
    <row r="1701" spans="1:14" x14ac:dyDescent="0.35">
      <c r="A1701" s="82">
        <v>1698</v>
      </c>
      <c r="B1701" s="89" t="str">
        <f>_xlfn.XLOOKUP(A1701,'Model Modeshare by TAZ'!A:A,'Model Modeshare by TAZ'!B:B)</f>
        <v>Unknown</v>
      </c>
      <c r="C1701" s="90" t="str">
        <f>_xlfn.XLOOKUP(A1701,'Model Modeshare by TAZ'!A:A,'Model Modeshare by TAZ'!D:D)</f>
        <v>NO</v>
      </c>
      <c r="D1701" s="27">
        <v>0</v>
      </c>
      <c r="E1701" s="27">
        <v>0</v>
      </c>
      <c r="F1701" s="27">
        <v>0</v>
      </c>
      <c r="G1701" s="27">
        <v>0</v>
      </c>
      <c r="H1701" s="27">
        <v>0</v>
      </c>
      <c r="I1701" s="27">
        <v>0</v>
      </c>
      <c r="J1701" s="6" t="b">
        <v>0</v>
      </c>
      <c r="K1701" s="6" t="b">
        <v>0</v>
      </c>
      <c r="L1701" s="27">
        <v>0</v>
      </c>
      <c r="M1701" s="27">
        <v>0</v>
      </c>
      <c r="N1701" s="34">
        <v>0</v>
      </c>
    </row>
    <row r="1702" spans="1:14" x14ac:dyDescent="0.35">
      <c r="A1702" s="82">
        <v>1699</v>
      </c>
      <c r="B1702" s="89" t="str">
        <f>_xlfn.XLOOKUP(A1702,'Model Modeshare by TAZ'!A:A,'Model Modeshare by TAZ'!B:B)</f>
        <v>Unknown</v>
      </c>
      <c r="C1702" s="90" t="str">
        <f>_xlfn.XLOOKUP(A1702,'Model Modeshare by TAZ'!A:A,'Model Modeshare by TAZ'!D:D)</f>
        <v>NO</v>
      </c>
      <c r="D1702" s="27">
        <v>0</v>
      </c>
      <c r="E1702" s="27">
        <v>0</v>
      </c>
      <c r="F1702" s="27">
        <v>0</v>
      </c>
      <c r="G1702" s="27">
        <v>0</v>
      </c>
      <c r="H1702" s="27">
        <v>0</v>
      </c>
      <c r="I1702" s="27">
        <v>0</v>
      </c>
      <c r="J1702" s="6" t="b">
        <v>0</v>
      </c>
      <c r="K1702" s="6" t="b">
        <v>0</v>
      </c>
      <c r="L1702" s="27">
        <v>0</v>
      </c>
      <c r="M1702" s="27">
        <v>0</v>
      </c>
      <c r="N1702" s="34">
        <v>0</v>
      </c>
    </row>
    <row r="1703" spans="1:14" x14ac:dyDescent="0.35">
      <c r="A1703" s="82">
        <v>1700</v>
      </c>
      <c r="B1703" s="89" t="str">
        <f>_xlfn.XLOOKUP(A1703,'Model Modeshare by TAZ'!A:A,'Model Modeshare by TAZ'!B:B)</f>
        <v>Unknown</v>
      </c>
      <c r="C1703" s="90" t="str">
        <f>_xlfn.XLOOKUP(A1703,'Model Modeshare by TAZ'!A:A,'Model Modeshare by TAZ'!D:D)</f>
        <v>NO</v>
      </c>
      <c r="D1703" s="27">
        <v>0</v>
      </c>
      <c r="E1703" s="27">
        <v>0</v>
      </c>
      <c r="F1703" s="27">
        <v>0</v>
      </c>
      <c r="G1703" s="27">
        <v>0</v>
      </c>
      <c r="H1703" s="27">
        <v>0</v>
      </c>
      <c r="I1703" s="27">
        <v>0</v>
      </c>
      <c r="J1703" s="6" t="b">
        <v>0</v>
      </c>
      <c r="K1703" s="6" t="b">
        <v>0</v>
      </c>
      <c r="L1703" s="27">
        <v>0</v>
      </c>
      <c r="M1703" s="27">
        <v>0</v>
      </c>
      <c r="N1703" s="34">
        <v>0</v>
      </c>
    </row>
    <row r="1704" spans="1:14" x14ac:dyDescent="0.35">
      <c r="A1704" s="82">
        <v>1701</v>
      </c>
      <c r="B1704" s="89" t="str">
        <f>_xlfn.XLOOKUP(A1704,'Model Modeshare by TAZ'!A:A,'Model Modeshare by TAZ'!B:B)</f>
        <v>San Francisco</v>
      </c>
      <c r="C1704" s="90" t="str">
        <f>_xlfn.XLOOKUP(A1704,'Model Modeshare by TAZ'!A:A,'Model Modeshare by TAZ'!D:D)</f>
        <v>NO</v>
      </c>
      <c r="D1704" s="27">
        <v>8900.2900000000009</v>
      </c>
      <c r="E1704" s="27">
        <v>300249.55</v>
      </c>
      <c r="F1704" s="27">
        <v>14.33</v>
      </c>
      <c r="G1704" s="27">
        <v>156.31</v>
      </c>
      <c r="H1704" s="27">
        <v>3661.37</v>
      </c>
      <c r="I1704" s="27">
        <v>69113.19</v>
      </c>
      <c r="J1704" s="6">
        <v>99</v>
      </c>
      <c r="K1704" s="6">
        <v>16722</v>
      </c>
      <c r="L1704" s="27">
        <v>1.578888888888889</v>
      </c>
      <c r="M1704" s="27">
        <v>4.1330696088984569</v>
      </c>
      <c r="N1704" s="34">
        <v>19.35710659294929</v>
      </c>
    </row>
    <row r="1705" spans="1:14" x14ac:dyDescent="0.35">
      <c r="A1705" s="82">
        <v>1702</v>
      </c>
      <c r="B1705" s="89" t="str">
        <f>_xlfn.XLOOKUP(A1705,'Model Modeshare by TAZ'!A:A,'Model Modeshare by TAZ'!B:B)</f>
        <v>San Francisco</v>
      </c>
      <c r="C1705" s="90" t="str">
        <f>_xlfn.XLOOKUP(A1705,'Model Modeshare by TAZ'!A:A,'Model Modeshare by TAZ'!D:D)</f>
        <v>NO</v>
      </c>
      <c r="D1705" s="27">
        <v>14064.6</v>
      </c>
      <c r="E1705" s="27">
        <v>468049.76</v>
      </c>
      <c r="F1705" s="27">
        <v>106.19</v>
      </c>
      <c r="G1705" s="27">
        <v>1198.47</v>
      </c>
      <c r="H1705" s="27">
        <v>5911.91</v>
      </c>
      <c r="I1705" s="27">
        <v>109487.41</v>
      </c>
      <c r="J1705" s="6">
        <v>262</v>
      </c>
      <c r="K1705" s="6">
        <v>26264</v>
      </c>
      <c r="L1705" s="27">
        <v>4.574312977099237</v>
      </c>
      <c r="M1705" s="27">
        <v>4.1687256320438628</v>
      </c>
      <c r="N1705" s="34">
        <v>19.297934856367338</v>
      </c>
    </row>
    <row r="1706" spans="1:14" x14ac:dyDescent="0.35">
      <c r="A1706" s="82">
        <v>1703</v>
      </c>
      <c r="B1706" s="89" t="str">
        <f>_xlfn.XLOOKUP(A1706,'Model Modeshare by TAZ'!A:A,'Model Modeshare by TAZ'!B:B)</f>
        <v>San Francisco</v>
      </c>
      <c r="C1706" s="90" t="str">
        <f>_xlfn.XLOOKUP(A1706,'Model Modeshare by TAZ'!A:A,'Model Modeshare by TAZ'!D:D)</f>
        <v>NO</v>
      </c>
      <c r="D1706" s="27">
        <v>1574.9</v>
      </c>
      <c r="E1706" s="27">
        <v>47333.81</v>
      </c>
      <c r="F1706" s="27">
        <v>160.78</v>
      </c>
      <c r="G1706" s="27">
        <v>1898.54</v>
      </c>
      <c r="H1706" s="27">
        <v>687.37</v>
      </c>
      <c r="I1706" s="27">
        <v>11442.69</v>
      </c>
      <c r="J1706" s="6">
        <v>504</v>
      </c>
      <c r="K1706" s="6">
        <v>2096</v>
      </c>
      <c r="L1706" s="27">
        <v>3.7669444444444444</v>
      </c>
      <c r="M1706" s="27">
        <v>5.4592986641221373</v>
      </c>
      <c r="N1706" s="34">
        <v>18.601130769230771</v>
      </c>
    </row>
    <row r="1707" spans="1:14" x14ac:dyDescent="0.35">
      <c r="A1707" s="82">
        <v>1704</v>
      </c>
      <c r="B1707" s="89" t="str">
        <f>_xlfn.XLOOKUP(A1707,'Model Modeshare by TAZ'!A:A,'Model Modeshare by TAZ'!B:B)</f>
        <v>San Francisco</v>
      </c>
      <c r="C1707" s="90" t="str">
        <f>_xlfn.XLOOKUP(A1707,'Model Modeshare by TAZ'!A:A,'Model Modeshare by TAZ'!D:D)</f>
        <v>NO</v>
      </c>
      <c r="D1707" s="27">
        <v>10322.530000000001</v>
      </c>
      <c r="E1707" s="27">
        <v>335082.67</v>
      </c>
      <c r="F1707" s="27">
        <v>35.89</v>
      </c>
      <c r="G1707" s="27">
        <v>503.35</v>
      </c>
      <c r="H1707" s="27">
        <v>5172.88</v>
      </c>
      <c r="I1707" s="27">
        <v>92555.54</v>
      </c>
      <c r="J1707" s="6">
        <v>397</v>
      </c>
      <c r="K1707" s="6">
        <v>20156</v>
      </c>
      <c r="L1707" s="27">
        <v>1.2678841309823679</v>
      </c>
      <c r="M1707" s="27">
        <v>4.5919597142290129</v>
      </c>
      <c r="N1707" s="34">
        <v>19.330334744319565</v>
      </c>
    </row>
    <row r="1708" spans="1:14" x14ac:dyDescent="0.35">
      <c r="A1708" s="82">
        <v>1705</v>
      </c>
      <c r="B1708" s="89" t="str">
        <f>_xlfn.XLOOKUP(A1708,'Model Modeshare by TAZ'!A:A,'Model Modeshare by TAZ'!B:B)</f>
        <v>San Francisco</v>
      </c>
      <c r="C1708" s="90" t="str">
        <f>_xlfn.XLOOKUP(A1708,'Model Modeshare by TAZ'!A:A,'Model Modeshare by TAZ'!D:D)</f>
        <v>NO</v>
      </c>
      <c r="D1708" s="27">
        <v>10835.29</v>
      </c>
      <c r="E1708" s="27">
        <v>358187.68</v>
      </c>
      <c r="F1708" s="27">
        <v>342.1</v>
      </c>
      <c r="G1708" s="27">
        <v>4022.64</v>
      </c>
      <c r="H1708" s="27">
        <v>5155.3999999999996</v>
      </c>
      <c r="I1708" s="27">
        <v>84843.19</v>
      </c>
      <c r="J1708" s="6">
        <v>1091</v>
      </c>
      <c r="K1708" s="6">
        <v>17521</v>
      </c>
      <c r="L1708" s="27">
        <v>3.6871127406049493</v>
      </c>
      <c r="M1708" s="27">
        <v>4.8423714399863025</v>
      </c>
      <c r="N1708" s="34">
        <v>19.536898237696111</v>
      </c>
    </row>
    <row r="1709" spans="1:14" x14ac:dyDescent="0.35">
      <c r="A1709" s="82">
        <v>1706</v>
      </c>
      <c r="B1709" s="89" t="str">
        <f>_xlfn.XLOOKUP(A1709,'Model Modeshare by TAZ'!A:A,'Model Modeshare by TAZ'!B:B)</f>
        <v>San Francisco</v>
      </c>
      <c r="C1709" s="90" t="str">
        <f>_xlfn.XLOOKUP(A1709,'Model Modeshare by TAZ'!A:A,'Model Modeshare by TAZ'!D:D)</f>
        <v>NO</v>
      </c>
      <c r="D1709" s="27">
        <v>5217.33</v>
      </c>
      <c r="E1709" s="27">
        <v>135372.99</v>
      </c>
      <c r="F1709" s="27">
        <v>1228.96</v>
      </c>
      <c r="G1709" s="27">
        <v>14114.63</v>
      </c>
      <c r="H1709" s="27">
        <v>1060.8699999999999</v>
      </c>
      <c r="I1709" s="27">
        <v>16627.8</v>
      </c>
      <c r="J1709" s="6">
        <v>4634</v>
      </c>
      <c r="K1709" s="6">
        <v>2811</v>
      </c>
      <c r="L1709" s="27">
        <v>3.0458847647820457</v>
      </c>
      <c r="M1709" s="27">
        <v>5.9152614727854855</v>
      </c>
      <c r="N1709" s="34">
        <v>16.528902619207521</v>
      </c>
    </row>
    <row r="1710" spans="1:14" x14ac:dyDescent="0.35">
      <c r="A1710" s="82">
        <v>1707</v>
      </c>
      <c r="B1710" s="89" t="str">
        <f>_xlfn.XLOOKUP(A1710,'Model Modeshare by TAZ'!A:A,'Model Modeshare by TAZ'!B:B)</f>
        <v>San Francisco</v>
      </c>
      <c r="C1710" s="90" t="str">
        <f>_xlfn.XLOOKUP(A1710,'Model Modeshare by TAZ'!A:A,'Model Modeshare by TAZ'!D:D)</f>
        <v>NO</v>
      </c>
      <c r="D1710" s="27">
        <v>10154.35</v>
      </c>
      <c r="E1710" s="27">
        <v>265621</v>
      </c>
      <c r="F1710" s="27">
        <v>1370.22</v>
      </c>
      <c r="G1710" s="27">
        <v>15297.17</v>
      </c>
      <c r="H1710" s="27">
        <v>1673.28</v>
      </c>
      <c r="I1710" s="27">
        <v>27213.439999999999</v>
      </c>
      <c r="J1710" s="6">
        <v>6231</v>
      </c>
      <c r="K1710" s="6">
        <v>5922</v>
      </c>
      <c r="L1710" s="27">
        <v>2.4550104317124055</v>
      </c>
      <c r="M1710" s="27">
        <v>4.5953123944613301</v>
      </c>
      <c r="N1710" s="34">
        <v>18.272749938286843</v>
      </c>
    </row>
    <row r="1711" spans="1:14" x14ac:dyDescent="0.35">
      <c r="A1711" s="82">
        <v>1708</v>
      </c>
      <c r="B1711" s="89" t="str">
        <f>_xlfn.XLOOKUP(A1711,'Model Modeshare by TAZ'!A:A,'Model Modeshare by TAZ'!B:B)</f>
        <v>San Francisco</v>
      </c>
      <c r="C1711" s="90" t="str">
        <f>_xlfn.XLOOKUP(A1711,'Model Modeshare by TAZ'!A:A,'Model Modeshare by TAZ'!D:D)</f>
        <v>NO</v>
      </c>
      <c r="D1711" s="27">
        <v>6304.77</v>
      </c>
      <c r="E1711" s="27">
        <v>147863.13</v>
      </c>
      <c r="F1711" s="27">
        <v>1824.48</v>
      </c>
      <c r="G1711" s="27">
        <v>22115.68</v>
      </c>
      <c r="H1711" s="27">
        <v>1290.57</v>
      </c>
      <c r="I1711" s="27">
        <v>19074.05</v>
      </c>
      <c r="J1711" s="6">
        <v>8650</v>
      </c>
      <c r="K1711" s="6">
        <v>3240</v>
      </c>
      <c r="L1711" s="27">
        <v>2.5567260115606936</v>
      </c>
      <c r="M1711" s="27">
        <v>5.8870524691358019</v>
      </c>
      <c r="N1711" s="34">
        <v>12.69021362489487</v>
      </c>
    </row>
    <row r="1712" spans="1:14" x14ac:dyDescent="0.35">
      <c r="A1712" s="82">
        <v>1709</v>
      </c>
      <c r="B1712" s="89" t="str">
        <f>_xlfn.XLOOKUP(A1712,'Model Modeshare by TAZ'!A:A,'Model Modeshare by TAZ'!B:B)</f>
        <v>San Francisco</v>
      </c>
      <c r="C1712" s="90" t="str">
        <f>_xlfn.XLOOKUP(A1712,'Model Modeshare by TAZ'!A:A,'Model Modeshare by TAZ'!D:D)</f>
        <v>NO</v>
      </c>
      <c r="D1712" s="27">
        <v>17121.25</v>
      </c>
      <c r="E1712" s="27">
        <v>430196.97</v>
      </c>
      <c r="F1712" s="27">
        <v>2603.0300000000002</v>
      </c>
      <c r="G1712" s="27">
        <v>30469.5</v>
      </c>
      <c r="H1712" s="27">
        <v>6442.85</v>
      </c>
      <c r="I1712" s="27">
        <v>92293.51</v>
      </c>
      <c r="J1712" s="6">
        <v>9385</v>
      </c>
      <c r="K1712" s="6">
        <v>14887</v>
      </c>
      <c r="L1712" s="27">
        <v>3.2466169419286093</v>
      </c>
      <c r="M1712" s="27">
        <v>6.1996043527910256</v>
      </c>
      <c r="N1712" s="34">
        <v>17.894435975609756</v>
      </c>
    </row>
    <row r="1713" spans="1:14" x14ac:dyDescent="0.35">
      <c r="A1713" s="82">
        <v>1710</v>
      </c>
      <c r="B1713" s="89" t="str">
        <f>_xlfn.XLOOKUP(A1713,'Model Modeshare by TAZ'!A:A,'Model Modeshare by TAZ'!B:B)</f>
        <v>San Francisco</v>
      </c>
      <c r="C1713" s="90" t="str">
        <f>_xlfn.XLOOKUP(A1713,'Model Modeshare by TAZ'!A:A,'Model Modeshare by TAZ'!D:D)</f>
        <v>NO</v>
      </c>
      <c r="D1713" s="27">
        <v>8405.01</v>
      </c>
      <c r="E1713" s="27">
        <v>193108.91</v>
      </c>
      <c r="F1713" s="27">
        <v>1255.19</v>
      </c>
      <c r="G1713" s="27">
        <v>12590.72</v>
      </c>
      <c r="H1713" s="27">
        <v>4480.09</v>
      </c>
      <c r="I1713" s="27">
        <v>63170.400000000001</v>
      </c>
      <c r="J1713" s="6">
        <v>3045</v>
      </c>
      <c r="K1713" s="6">
        <v>9365</v>
      </c>
      <c r="L1713" s="27">
        <v>4.134883415435139</v>
      </c>
      <c r="M1713" s="27">
        <v>6.7453710624666314</v>
      </c>
      <c r="N1713" s="34">
        <v>21.985659951651893</v>
      </c>
    </row>
    <row r="1714" spans="1:14" x14ac:dyDescent="0.35">
      <c r="A1714" s="82">
        <v>1711</v>
      </c>
      <c r="B1714" s="89" t="str">
        <f>_xlfn.XLOOKUP(A1714,'Model Modeshare by TAZ'!A:A,'Model Modeshare by TAZ'!B:B)</f>
        <v>San Francisco</v>
      </c>
      <c r="C1714" s="90" t="str">
        <f>_xlfn.XLOOKUP(A1714,'Model Modeshare by TAZ'!A:A,'Model Modeshare by TAZ'!D:D)</f>
        <v>NO</v>
      </c>
      <c r="D1714" s="27">
        <v>13017.07</v>
      </c>
      <c r="E1714" s="27">
        <v>332771.40000000002</v>
      </c>
      <c r="F1714" s="27">
        <v>1415.78</v>
      </c>
      <c r="G1714" s="27">
        <v>16335.55</v>
      </c>
      <c r="H1714" s="27">
        <v>4526.6899999999996</v>
      </c>
      <c r="I1714" s="27">
        <v>69397.78</v>
      </c>
      <c r="J1714" s="6">
        <v>4919</v>
      </c>
      <c r="K1714" s="6">
        <v>10941</v>
      </c>
      <c r="L1714" s="27">
        <v>3.3209087212848138</v>
      </c>
      <c r="M1714" s="27">
        <v>6.3429101544648567</v>
      </c>
      <c r="N1714" s="34">
        <v>20.249187894073138</v>
      </c>
    </row>
    <row r="1715" spans="1:14" x14ac:dyDescent="0.35">
      <c r="A1715" s="82">
        <v>1712</v>
      </c>
      <c r="B1715" s="89" t="str">
        <f>_xlfn.XLOOKUP(A1715,'Model Modeshare by TAZ'!A:A,'Model Modeshare by TAZ'!B:B)</f>
        <v>San Francisco</v>
      </c>
      <c r="C1715" s="90" t="str">
        <f>_xlfn.XLOOKUP(A1715,'Model Modeshare by TAZ'!A:A,'Model Modeshare by TAZ'!D:D)</f>
        <v>NO</v>
      </c>
      <c r="D1715" s="27">
        <v>7666.28</v>
      </c>
      <c r="E1715" s="27">
        <v>223797.86</v>
      </c>
      <c r="F1715" s="27">
        <v>185.74</v>
      </c>
      <c r="G1715" s="27">
        <v>2084.13</v>
      </c>
      <c r="H1715" s="27">
        <v>2956.57</v>
      </c>
      <c r="I1715" s="27">
        <v>49236.72</v>
      </c>
      <c r="J1715" s="6">
        <v>421</v>
      </c>
      <c r="K1715" s="6">
        <v>11317</v>
      </c>
      <c r="L1715" s="27">
        <v>4.9504275534441806</v>
      </c>
      <c r="M1715" s="27">
        <v>4.3506865777149422</v>
      </c>
      <c r="N1715" s="34">
        <v>22.068185380814448</v>
      </c>
    </row>
    <row r="1716" spans="1:14" x14ac:dyDescent="0.35">
      <c r="A1716" s="82">
        <v>1713</v>
      </c>
      <c r="B1716" s="89" t="str">
        <f>_xlfn.XLOOKUP(A1716,'Model Modeshare by TAZ'!A:A,'Model Modeshare by TAZ'!B:B)</f>
        <v>San Francisco</v>
      </c>
      <c r="C1716" s="90" t="str">
        <f>_xlfn.XLOOKUP(A1716,'Model Modeshare by TAZ'!A:A,'Model Modeshare by TAZ'!D:D)</f>
        <v>NO</v>
      </c>
      <c r="D1716" s="27">
        <v>9783.01</v>
      </c>
      <c r="E1716" s="27">
        <v>321990.42</v>
      </c>
      <c r="F1716" s="27">
        <v>159.1</v>
      </c>
      <c r="G1716" s="27">
        <v>1929.26</v>
      </c>
      <c r="H1716" s="27">
        <v>3427.51</v>
      </c>
      <c r="I1716" s="27">
        <v>62532.84</v>
      </c>
      <c r="J1716" s="6">
        <v>432</v>
      </c>
      <c r="K1716" s="6">
        <v>13841</v>
      </c>
      <c r="L1716" s="27">
        <v>4.4658796296296295</v>
      </c>
      <c r="M1716" s="27">
        <v>4.5179423452062712</v>
      </c>
      <c r="N1716" s="34">
        <v>19.540630561199468</v>
      </c>
    </row>
    <row r="1717" spans="1:14" x14ac:dyDescent="0.35">
      <c r="A1717" s="82">
        <v>1714</v>
      </c>
      <c r="B1717" s="89" t="str">
        <f>_xlfn.XLOOKUP(A1717,'Model Modeshare by TAZ'!A:A,'Model Modeshare by TAZ'!B:B)</f>
        <v>San Francisco</v>
      </c>
      <c r="C1717" s="90" t="str">
        <f>_xlfn.XLOOKUP(A1717,'Model Modeshare by TAZ'!A:A,'Model Modeshare by TAZ'!D:D)</f>
        <v>NO</v>
      </c>
      <c r="D1717" s="27">
        <v>14905.89</v>
      </c>
      <c r="E1717" s="27">
        <v>510320.7</v>
      </c>
      <c r="F1717" s="27">
        <v>133.06</v>
      </c>
      <c r="G1717" s="27">
        <v>1533.23</v>
      </c>
      <c r="H1717" s="27">
        <v>4770.91</v>
      </c>
      <c r="I1717" s="27">
        <v>88095.29</v>
      </c>
      <c r="J1717" s="6">
        <v>356</v>
      </c>
      <c r="K1717" s="6">
        <v>19276</v>
      </c>
      <c r="L1717" s="27">
        <v>4.3068258426966288</v>
      </c>
      <c r="M1717" s="27">
        <v>4.5702059555924466</v>
      </c>
      <c r="N1717" s="34">
        <v>19.524272616136919</v>
      </c>
    </row>
    <row r="1718" spans="1:14" x14ac:dyDescent="0.35">
      <c r="A1718" s="82">
        <v>1715</v>
      </c>
      <c r="B1718" s="89" t="str">
        <f>_xlfn.XLOOKUP(A1718,'Model Modeshare by TAZ'!A:A,'Model Modeshare by TAZ'!B:B)</f>
        <v>San Francisco</v>
      </c>
      <c r="C1718" s="90" t="str">
        <f>_xlfn.XLOOKUP(A1718,'Model Modeshare by TAZ'!A:A,'Model Modeshare by TAZ'!D:D)</f>
        <v>NO</v>
      </c>
      <c r="D1718" s="27">
        <v>7894.57</v>
      </c>
      <c r="E1718" s="27">
        <v>251875.51</v>
      </c>
      <c r="F1718" s="27">
        <v>830.79</v>
      </c>
      <c r="G1718" s="27">
        <v>9729.49</v>
      </c>
      <c r="H1718" s="27">
        <v>2844.88</v>
      </c>
      <c r="I1718" s="27">
        <v>50959.38</v>
      </c>
      <c r="J1718" s="6">
        <v>2096</v>
      </c>
      <c r="K1718" s="6">
        <v>9666</v>
      </c>
      <c r="L1718" s="27">
        <v>4.641932251908397</v>
      </c>
      <c r="M1718" s="27">
        <v>5.272023587833643</v>
      </c>
      <c r="N1718" s="34">
        <v>19.273423737459616</v>
      </c>
    </row>
    <row r="1719" spans="1:14" x14ac:dyDescent="0.35">
      <c r="A1719" s="82">
        <v>1716</v>
      </c>
      <c r="B1719" s="89" t="str">
        <f>_xlfn.XLOOKUP(A1719,'Model Modeshare by TAZ'!A:A,'Model Modeshare by TAZ'!B:B)</f>
        <v>San Francisco</v>
      </c>
      <c r="C1719" s="90" t="str">
        <f>_xlfn.XLOOKUP(A1719,'Model Modeshare by TAZ'!A:A,'Model Modeshare by TAZ'!D:D)</f>
        <v>NO</v>
      </c>
      <c r="D1719" s="27">
        <v>20164.52</v>
      </c>
      <c r="E1719" s="27">
        <v>582944.64</v>
      </c>
      <c r="F1719" s="27">
        <v>1563.11</v>
      </c>
      <c r="G1719" s="27">
        <v>15577.82</v>
      </c>
      <c r="H1719" s="27">
        <v>12387</v>
      </c>
      <c r="I1719" s="27">
        <v>214391.96</v>
      </c>
      <c r="J1719" s="6">
        <v>2528</v>
      </c>
      <c r="K1719" s="6">
        <v>37595</v>
      </c>
      <c r="L1719" s="27">
        <v>6.1621123417721515</v>
      </c>
      <c r="M1719" s="27">
        <v>5.7026721638515756</v>
      </c>
      <c r="N1719" s="34">
        <v>20.988043266954115</v>
      </c>
    </row>
    <row r="1720" spans="1:14" x14ac:dyDescent="0.35">
      <c r="A1720" s="82">
        <v>1717</v>
      </c>
      <c r="B1720" s="89" t="str">
        <f>_xlfn.XLOOKUP(A1720,'Model Modeshare by TAZ'!A:A,'Model Modeshare by TAZ'!B:B)</f>
        <v>San Francisco</v>
      </c>
      <c r="C1720" s="90" t="str">
        <f>_xlfn.XLOOKUP(A1720,'Model Modeshare by TAZ'!A:A,'Model Modeshare by TAZ'!D:D)</f>
        <v>NO</v>
      </c>
      <c r="D1720" s="27">
        <v>11064.18</v>
      </c>
      <c r="E1720" s="27">
        <v>270965.78000000003</v>
      </c>
      <c r="F1720" s="27">
        <v>5667.79</v>
      </c>
      <c r="G1720" s="27">
        <v>58733.54</v>
      </c>
      <c r="H1720" s="27">
        <v>8792.6200000000008</v>
      </c>
      <c r="I1720" s="27">
        <v>139425.93</v>
      </c>
      <c r="J1720" s="6">
        <v>8181</v>
      </c>
      <c r="K1720" s="6">
        <v>20491</v>
      </c>
      <c r="L1720" s="27">
        <v>7.179261703948173</v>
      </c>
      <c r="M1720" s="27">
        <v>6.8042521106827385</v>
      </c>
      <c r="N1720" s="34">
        <v>21.182080078125001</v>
      </c>
    </row>
    <row r="1721" spans="1:14" x14ac:dyDescent="0.35">
      <c r="A1721" s="82">
        <v>1718</v>
      </c>
      <c r="B1721" s="89" t="str">
        <f>_xlfn.XLOOKUP(A1721,'Model Modeshare by TAZ'!A:A,'Model Modeshare by TAZ'!B:B)</f>
        <v>San Francisco</v>
      </c>
      <c r="C1721" s="90" t="str">
        <f>_xlfn.XLOOKUP(A1721,'Model Modeshare by TAZ'!A:A,'Model Modeshare by TAZ'!D:D)</f>
        <v>NO</v>
      </c>
      <c r="D1721" s="27">
        <v>7729.09</v>
      </c>
      <c r="E1721" s="27">
        <v>191398.71</v>
      </c>
      <c r="F1721" s="27">
        <v>536.25</v>
      </c>
      <c r="G1721" s="27">
        <v>4907.4399999999996</v>
      </c>
      <c r="H1721" s="27">
        <v>4938.08</v>
      </c>
      <c r="I1721" s="27">
        <v>72302.45</v>
      </c>
      <c r="J1721" s="6">
        <v>711</v>
      </c>
      <c r="K1721" s="6">
        <v>8971</v>
      </c>
      <c r="L1721" s="27">
        <v>6.902165963431786</v>
      </c>
      <c r="M1721" s="27">
        <v>8.0595752981830344</v>
      </c>
      <c r="N1721" s="34">
        <v>23.03496281759967</v>
      </c>
    </row>
    <row r="1722" spans="1:14" x14ac:dyDescent="0.35">
      <c r="A1722" s="82">
        <v>1719</v>
      </c>
      <c r="B1722" s="89" t="str">
        <f>_xlfn.XLOOKUP(A1722,'Model Modeshare by TAZ'!A:A,'Model Modeshare by TAZ'!B:B)</f>
        <v>San Francisco</v>
      </c>
      <c r="C1722" s="90" t="str">
        <f>_xlfn.XLOOKUP(A1722,'Model Modeshare by TAZ'!A:A,'Model Modeshare by TAZ'!D:D)</f>
        <v>NO</v>
      </c>
      <c r="D1722" s="27">
        <v>10862.53</v>
      </c>
      <c r="E1722" s="27">
        <v>262141.91</v>
      </c>
      <c r="F1722" s="27">
        <v>2431.75</v>
      </c>
      <c r="G1722" s="27">
        <v>21269.9</v>
      </c>
      <c r="H1722" s="27">
        <v>8676.86</v>
      </c>
      <c r="I1722" s="27">
        <v>125694.39</v>
      </c>
      <c r="J1722" s="6">
        <v>2540</v>
      </c>
      <c r="K1722" s="6">
        <v>13327</v>
      </c>
      <c r="L1722" s="27">
        <v>8.3739763779527561</v>
      </c>
      <c r="M1722" s="27">
        <v>9.4315592406393041</v>
      </c>
      <c r="N1722" s="34">
        <v>24.24090754395916</v>
      </c>
    </row>
    <row r="1723" spans="1:14" x14ac:dyDescent="0.35">
      <c r="A1723" s="82">
        <v>1720</v>
      </c>
      <c r="B1723" s="89" t="str">
        <f>_xlfn.XLOOKUP(A1723,'Model Modeshare by TAZ'!A:A,'Model Modeshare by TAZ'!B:B)</f>
        <v>San Francisco</v>
      </c>
      <c r="C1723" s="90" t="str">
        <f>_xlfn.XLOOKUP(A1723,'Model Modeshare by TAZ'!A:A,'Model Modeshare by TAZ'!D:D)</f>
        <v>NO</v>
      </c>
      <c r="D1723" s="27">
        <v>7317.35</v>
      </c>
      <c r="E1723" s="27">
        <v>175785.95</v>
      </c>
      <c r="F1723" s="27">
        <v>1829.71</v>
      </c>
      <c r="G1723" s="27">
        <v>19718.18</v>
      </c>
      <c r="H1723" s="27">
        <v>4226.6499999999996</v>
      </c>
      <c r="I1723" s="27">
        <v>60253.62</v>
      </c>
      <c r="J1723" s="6">
        <v>3743</v>
      </c>
      <c r="K1723" s="6">
        <v>9192</v>
      </c>
      <c r="L1723" s="27">
        <v>5.268014961261021</v>
      </c>
      <c r="M1723" s="27">
        <v>6.5550065274151441</v>
      </c>
      <c r="N1723" s="34">
        <v>18.688987243911868</v>
      </c>
    </row>
    <row r="1724" spans="1:14" x14ac:dyDescent="0.35">
      <c r="A1724" s="82">
        <v>1721</v>
      </c>
      <c r="B1724" s="89" t="str">
        <f>_xlfn.XLOOKUP(A1724,'Model Modeshare by TAZ'!A:A,'Model Modeshare by TAZ'!B:B)</f>
        <v>San Francisco</v>
      </c>
      <c r="C1724" s="90" t="str">
        <f>_xlfn.XLOOKUP(A1724,'Model Modeshare by TAZ'!A:A,'Model Modeshare by TAZ'!D:D)</f>
        <v>NO</v>
      </c>
      <c r="D1724" s="27">
        <v>6883.13</v>
      </c>
      <c r="E1724" s="27">
        <v>158121.65</v>
      </c>
      <c r="F1724" s="27">
        <v>2133.75</v>
      </c>
      <c r="G1724" s="27">
        <v>23444.18</v>
      </c>
      <c r="H1724" s="27">
        <v>4662.57</v>
      </c>
      <c r="I1724" s="27">
        <v>69503.97</v>
      </c>
      <c r="J1724" s="6">
        <v>4453</v>
      </c>
      <c r="K1724" s="6">
        <v>10886</v>
      </c>
      <c r="L1724" s="27">
        <v>5.2648057489333038</v>
      </c>
      <c r="M1724" s="27">
        <v>6.3847115561271357</v>
      </c>
      <c r="N1724" s="34">
        <v>18.4527804941652</v>
      </c>
    </row>
    <row r="1725" spans="1:14" x14ac:dyDescent="0.35">
      <c r="A1725" s="82">
        <v>1722</v>
      </c>
      <c r="B1725" s="89" t="str">
        <f>_xlfn.XLOOKUP(A1725,'Model Modeshare by TAZ'!A:A,'Model Modeshare by TAZ'!B:B)</f>
        <v>San Francisco</v>
      </c>
      <c r="C1725" s="90" t="str">
        <f>_xlfn.XLOOKUP(A1725,'Model Modeshare by TAZ'!A:A,'Model Modeshare by TAZ'!D:D)</f>
        <v>NO</v>
      </c>
      <c r="D1725" s="27">
        <v>12352.62</v>
      </c>
      <c r="E1725" s="27">
        <v>359865.57</v>
      </c>
      <c r="F1725" s="27">
        <v>1231.98</v>
      </c>
      <c r="G1725" s="27">
        <v>13017.09</v>
      </c>
      <c r="H1725" s="27">
        <v>6522.69</v>
      </c>
      <c r="I1725" s="27">
        <v>116157.19</v>
      </c>
      <c r="J1725" s="6">
        <v>2072</v>
      </c>
      <c r="K1725" s="6">
        <v>17557</v>
      </c>
      <c r="L1725" s="27">
        <v>6.2823793436293434</v>
      </c>
      <c r="M1725" s="27">
        <v>6.6160044426724385</v>
      </c>
      <c r="N1725" s="34">
        <v>22.103078608181772</v>
      </c>
    </row>
    <row r="1726" spans="1:14" x14ac:dyDescent="0.35">
      <c r="A1726" s="82">
        <v>1723</v>
      </c>
      <c r="B1726" s="89" t="str">
        <f>_xlfn.XLOOKUP(A1726,'Model Modeshare by TAZ'!A:A,'Model Modeshare by TAZ'!B:B)</f>
        <v>San Francisco</v>
      </c>
      <c r="C1726" s="90" t="str">
        <f>_xlfn.XLOOKUP(A1726,'Model Modeshare by TAZ'!A:A,'Model Modeshare by TAZ'!D:D)</f>
        <v>NO</v>
      </c>
      <c r="D1726" s="27">
        <v>9028.16</v>
      </c>
      <c r="E1726" s="27">
        <v>249811.46</v>
      </c>
      <c r="F1726" s="27">
        <v>758.81</v>
      </c>
      <c r="G1726" s="27">
        <v>6610.89</v>
      </c>
      <c r="H1726" s="27">
        <v>4173.49</v>
      </c>
      <c r="I1726" s="27">
        <v>68670.880000000005</v>
      </c>
      <c r="J1726" s="6">
        <v>804</v>
      </c>
      <c r="K1726" s="6">
        <v>8061</v>
      </c>
      <c r="L1726" s="27">
        <v>8.2225000000000001</v>
      </c>
      <c r="M1726" s="27">
        <v>8.5189033618657746</v>
      </c>
      <c r="N1726" s="34">
        <v>25.590045121263394</v>
      </c>
    </row>
    <row r="1727" spans="1:14" x14ac:dyDescent="0.35">
      <c r="A1727" s="82">
        <v>1724</v>
      </c>
      <c r="B1727" s="89" t="str">
        <f>_xlfn.XLOOKUP(A1727,'Model Modeshare by TAZ'!A:A,'Model Modeshare by TAZ'!B:B)</f>
        <v>San Francisco</v>
      </c>
      <c r="C1727" s="90" t="str">
        <f>_xlfn.XLOOKUP(A1727,'Model Modeshare by TAZ'!A:A,'Model Modeshare by TAZ'!D:D)</f>
        <v>NO</v>
      </c>
      <c r="D1727" s="27">
        <v>8468.25</v>
      </c>
      <c r="E1727" s="27">
        <v>255236.39</v>
      </c>
      <c r="F1727" s="27">
        <v>287.42</v>
      </c>
      <c r="G1727" s="27">
        <v>2936.38</v>
      </c>
      <c r="H1727" s="27">
        <v>3607.99</v>
      </c>
      <c r="I1727" s="27">
        <v>63813.96</v>
      </c>
      <c r="J1727" s="6">
        <v>1071</v>
      </c>
      <c r="K1727" s="6">
        <v>12022</v>
      </c>
      <c r="L1727" s="27">
        <v>2.7417180205415499</v>
      </c>
      <c r="M1727" s="27">
        <v>5.3080984861088005</v>
      </c>
      <c r="N1727" s="34">
        <v>19.814334377148093</v>
      </c>
    </row>
    <row r="1728" spans="1:14" x14ac:dyDescent="0.35">
      <c r="A1728" s="82">
        <v>1725</v>
      </c>
      <c r="B1728" s="89" t="str">
        <f>_xlfn.XLOOKUP(A1728,'Model Modeshare by TAZ'!A:A,'Model Modeshare by TAZ'!B:B)</f>
        <v>San Francisco</v>
      </c>
      <c r="C1728" s="90" t="str">
        <f>_xlfn.XLOOKUP(A1728,'Model Modeshare by TAZ'!A:A,'Model Modeshare by TAZ'!D:D)</f>
        <v>NO</v>
      </c>
      <c r="D1728" s="27">
        <v>4443.3</v>
      </c>
      <c r="E1728" s="27">
        <v>116184.22</v>
      </c>
      <c r="F1728" s="27">
        <v>683.2</v>
      </c>
      <c r="G1728" s="27">
        <v>6988.73</v>
      </c>
      <c r="H1728" s="27">
        <v>481.65</v>
      </c>
      <c r="I1728" s="27">
        <v>7991.01</v>
      </c>
      <c r="J1728" s="6">
        <v>3508</v>
      </c>
      <c r="K1728" s="6">
        <v>1234</v>
      </c>
      <c r="L1728" s="27">
        <v>1.9922263397947548</v>
      </c>
      <c r="M1728" s="27">
        <v>6.4756969205834682</v>
      </c>
      <c r="N1728" s="34">
        <v>17.766349641501478</v>
      </c>
    </row>
    <row r="1729" spans="1:14" x14ac:dyDescent="0.35">
      <c r="A1729" s="82">
        <v>1726</v>
      </c>
      <c r="B1729" s="89" t="str">
        <f>_xlfn.XLOOKUP(A1729,'Model Modeshare by TAZ'!A:A,'Model Modeshare by TAZ'!B:B)</f>
        <v>San Francisco</v>
      </c>
      <c r="C1729" s="90" t="str">
        <f>_xlfn.XLOOKUP(A1729,'Model Modeshare by TAZ'!A:A,'Model Modeshare by TAZ'!D:D)</f>
        <v>NO</v>
      </c>
      <c r="D1729" s="27">
        <v>3549.36</v>
      </c>
      <c r="E1729" s="27">
        <v>101170.31</v>
      </c>
      <c r="F1729" s="27">
        <v>371.61</v>
      </c>
      <c r="G1729" s="27">
        <v>4209.4399999999996</v>
      </c>
      <c r="H1729" s="27">
        <v>1157.02</v>
      </c>
      <c r="I1729" s="27">
        <v>19491.73</v>
      </c>
      <c r="J1729" s="6">
        <v>1586</v>
      </c>
      <c r="K1729" s="6">
        <v>3157</v>
      </c>
      <c r="L1729" s="27">
        <v>2.6541235813366959</v>
      </c>
      <c r="M1729" s="27">
        <v>6.174130503642699</v>
      </c>
      <c r="N1729" s="34">
        <v>21.890318363904701</v>
      </c>
    </row>
    <row r="1730" spans="1:14" x14ac:dyDescent="0.35">
      <c r="A1730" s="82">
        <v>1727</v>
      </c>
      <c r="B1730" s="89" t="str">
        <f>_xlfn.XLOOKUP(A1730,'Model Modeshare by TAZ'!A:A,'Model Modeshare by TAZ'!B:B)</f>
        <v>San Francisco</v>
      </c>
      <c r="C1730" s="90" t="str">
        <f>_xlfn.XLOOKUP(A1730,'Model Modeshare by TAZ'!A:A,'Model Modeshare by TAZ'!D:D)</f>
        <v>NO</v>
      </c>
      <c r="D1730" s="27">
        <v>3032.49</v>
      </c>
      <c r="E1730" s="27">
        <v>73292.7</v>
      </c>
      <c r="F1730" s="27">
        <v>1273.01</v>
      </c>
      <c r="G1730" s="27">
        <v>13773.52</v>
      </c>
      <c r="H1730" s="27">
        <v>521.70000000000005</v>
      </c>
      <c r="I1730" s="27">
        <v>8430.08</v>
      </c>
      <c r="J1730" s="6">
        <v>3433</v>
      </c>
      <c r="K1730" s="6">
        <v>826</v>
      </c>
      <c r="L1730" s="27">
        <v>4.0120943780949609</v>
      </c>
      <c r="M1730" s="27">
        <v>10.20590799031477</v>
      </c>
      <c r="N1730" s="34">
        <v>15.701075369805119</v>
      </c>
    </row>
    <row r="1731" spans="1:14" x14ac:dyDescent="0.35">
      <c r="A1731" s="82">
        <v>1728</v>
      </c>
      <c r="B1731" s="89" t="str">
        <f>_xlfn.XLOOKUP(A1731,'Model Modeshare by TAZ'!A:A,'Model Modeshare by TAZ'!B:B)</f>
        <v>San Francisco</v>
      </c>
      <c r="C1731" s="90" t="str">
        <f>_xlfn.XLOOKUP(A1731,'Model Modeshare by TAZ'!A:A,'Model Modeshare by TAZ'!D:D)</f>
        <v>NO</v>
      </c>
      <c r="D1731" s="27">
        <v>3824.38</v>
      </c>
      <c r="E1731" s="27">
        <v>83424.350000000006</v>
      </c>
      <c r="F1731" s="27">
        <v>2340.58</v>
      </c>
      <c r="G1731" s="27">
        <v>20056.12</v>
      </c>
      <c r="H1731" s="27">
        <v>960.97</v>
      </c>
      <c r="I1731" s="27">
        <v>14724.09</v>
      </c>
      <c r="J1731" s="6">
        <v>3688</v>
      </c>
      <c r="K1731" s="6">
        <v>1263</v>
      </c>
      <c r="L1731" s="27">
        <v>5.4382104121475052</v>
      </c>
      <c r="M1731" s="27">
        <v>11.658028503562946</v>
      </c>
      <c r="N1731" s="34">
        <v>17.497388406382552</v>
      </c>
    </row>
    <row r="1732" spans="1:14" x14ac:dyDescent="0.35">
      <c r="A1732" s="82">
        <v>1729</v>
      </c>
      <c r="B1732" s="89" t="str">
        <f>_xlfn.XLOOKUP(A1732,'Model Modeshare by TAZ'!A:A,'Model Modeshare by TAZ'!B:B)</f>
        <v>San Francisco</v>
      </c>
      <c r="C1732" s="90" t="str">
        <f>_xlfn.XLOOKUP(A1732,'Model Modeshare by TAZ'!A:A,'Model Modeshare by TAZ'!D:D)</f>
        <v>NO</v>
      </c>
      <c r="D1732" s="27">
        <v>5598.99</v>
      </c>
      <c r="E1732" s="27">
        <v>132508.24</v>
      </c>
      <c r="F1732" s="27">
        <v>3241.88</v>
      </c>
      <c r="G1732" s="27">
        <v>34800.769999999997</v>
      </c>
      <c r="H1732" s="27">
        <v>976.14</v>
      </c>
      <c r="I1732" s="27">
        <v>14850.82</v>
      </c>
      <c r="J1732" s="6">
        <v>5131</v>
      </c>
      <c r="K1732" s="6">
        <v>1429</v>
      </c>
      <c r="L1732" s="27">
        <v>6.7824537127265634</v>
      </c>
      <c r="M1732" s="27">
        <v>10.392456263121064</v>
      </c>
      <c r="N1732" s="34">
        <v>18.90001067073171</v>
      </c>
    </row>
    <row r="1733" spans="1:14" x14ac:dyDescent="0.35">
      <c r="A1733" s="82">
        <v>1730</v>
      </c>
      <c r="B1733" s="89" t="str">
        <f>_xlfn.XLOOKUP(A1733,'Model Modeshare by TAZ'!A:A,'Model Modeshare by TAZ'!B:B)</f>
        <v>San Francisco</v>
      </c>
      <c r="C1733" s="90" t="str">
        <f>_xlfn.XLOOKUP(A1733,'Model Modeshare by TAZ'!A:A,'Model Modeshare by TAZ'!D:D)</f>
        <v>NO</v>
      </c>
      <c r="D1733" s="27">
        <v>6160.72</v>
      </c>
      <c r="E1733" s="27">
        <v>136453.24</v>
      </c>
      <c r="F1733" s="27">
        <v>2407.79</v>
      </c>
      <c r="G1733" s="27">
        <v>25107.13</v>
      </c>
      <c r="H1733" s="27">
        <v>1003.54</v>
      </c>
      <c r="I1733" s="27">
        <v>13251.96</v>
      </c>
      <c r="J1733" s="6">
        <v>7733</v>
      </c>
      <c r="K1733" s="6">
        <v>1584</v>
      </c>
      <c r="L1733" s="27">
        <v>3.2467515841200054</v>
      </c>
      <c r="M1733" s="27">
        <v>8.3661363636363628</v>
      </c>
      <c r="N1733" s="34">
        <v>14.614403778040142</v>
      </c>
    </row>
    <row r="1734" spans="1:14" x14ac:dyDescent="0.35">
      <c r="A1734" s="82">
        <v>1731</v>
      </c>
      <c r="B1734" s="89" t="str">
        <f>_xlfn.XLOOKUP(A1734,'Model Modeshare by TAZ'!A:A,'Model Modeshare by TAZ'!B:B)</f>
        <v>San Francisco</v>
      </c>
      <c r="C1734" s="90" t="str">
        <f>_xlfn.XLOOKUP(A1734,'Model Modeshare by TAZ'!A:A,'Model Modeshare by TAZ'!D:D)</f>
        <v>NO</v>
      </c>
      <c r="D1734" s="27">
        <v>4330.21</v>
      </c>
      <c r="E1734" s="27">
        <v>95729.66</v>
      </c>
      <c r="F1734" s="27">
        <v>1760.83</v>
      </c>
      <c r="G1734" s="27">
        <v>18376.2</v>
      </c>
      <c r="H1734" s="27">
        <v>1003.53</v>
      </c>
      <c r="I1734" s="27">
        <v>13633.72</v>
      </c>
      <c r="J1734" s="6">
        <v>4026</v>
      </c>
      <c r="K1734" s="6">
        <v>1575</v>
      </c>
      <c r="L1734" s="27">
        <v>4.564381520119225</v>
      </c>
      <c r="M1734" s="27">
        <v>8.6563301587301584</v>
      </c>
      <c r="N1734" s="34">
        <v>16.800721299767897</v>
      </c>
    </row>
    <row r="1735" spans="1:14" x14ac:dyDescent="0.35">
      <c r="A1735" s="82">
        <v>1732</v>
      </c>
      <c r="B1735" s="89" t="str">
        <f>_xlfn.XLOOKUP(A1735,'Model Modeshare by TAZ'!A:A,'Model Modeshare by TAZ'!B:B)</f>
        <v>San Francisco</v>
      </c>
      <c r="C1735" s="90" t="str">
        <f>_xlfn.XLOOKUP(A1735,'Model Modeshare by TAZ'!A:A,'Model Modeshare by TAZ'!D:D)</f>
        <v>NO</v>
      </c>
      <c r="D1735" s="27">
        <v>8996.01</v>
      </c>
      <c r="E1735" s="27">
        <v>197252.34</v>
      </c>
      <c r="F1735" s="27">
        <v>2588.2600000000002</v>
      </c>
      <c r="G1735" s="27">
        <v>22694.66</v>
      </c>
      <c r="H1735" s="27">
        <v>1653.61</v>
      </c>
      <c r="I1735" s="27">
        <v>22953.86</v>
      </c>
      <c r="J1735" s="6">
        <v>5461</v>
      </c>
      <c r="K1735" s="6">
        <v>2789</v>
      </c>
      <c r="L1735" s="27">
        <v>4.1557700054934994</v>
      </c>
      <c r="M1735" s="27">
        <v>8.230139835066332</v>
      </c>
      <c r="N1735" s="34">
        <v>18.40240727272727</v>
      </c>
    </row>
    <row r="1736" spans="1:14" x14ac:dyDescent="0.35">
      <c r="A1736" s="82">
        <v>1733</v>
      </c>
      <c r="B1736" s="89" t="str">
        <f>_xlfn.XLOOKUP(A1736,'Model Modeshare by TAZ'!A:A,'Model Modeshare by TAZ'!B:B)</f>
        <v>San Francisco</v>
      </c>
      <c r="C1736" s="90" t="str">
        <f>_xlfn.XLOOKUP(A1736,'Model Modeshare by TAZ'!A:A,'Model Modeshare by TAZ'!D:D)</f>
        <v>NO</v>
      </c>
      <c r="D1736" s="27">
        <v>6147.59</v>
      </c>
      <c r="E1736" s="27">
        <v>123920.36</v>
      </c>
      <c r="F1736" s="27">
        <v>3079.39</v>
      </c>
      <c r="G1736" s="27">
        <v>24311.119999999999</v>
      </c>
      <c r="H1736" s="27">
        <v>956.9</v>
      </c>
      <c r="I1736" s="27">
        <v>13325.84</v>
      </c>
      <c r="J1736" s="6">
        <v>5110</v>
      </c>
      <c r="K1736" s="6">
        <v>1165</v>
      </c>
      <c r="L1736" s="27">
        <v>4.7575577299412917</v>
      </c>
      <c r="M1736" s="27">
        <v>11.438489270386267</v>
      </c>
      <c r="N1736" s="34">
        <v>17.256879681274899</v>
      </c>
    </row>
    <row r="1737" spans="1:14" x14ac:dyDescent="0.35">
      <c r="A1737" s="82">
        <v>1734</v>
      </c>
      <c r="B1737" s="89" t="str">
        <f>_xlfn.XLOOKUP(A1737,'Model Modeshare by TAZ'!A:A,'Model Modeshare by TAZ'!B:B)</f>
        <v>San Francisco</v>
      </c>
      <c r="C1737" s="90" t="str">
        <f>_xlfn.XLOOKUP(A1737,'Model Modeshare by TAZ'!A:A,'Model Modeshare by TAZ'!D:D)</f>
        <v>NO</v>
      </c>
      <c r="D1737" s="27">
        <v>6003.03</v>
      </c>
      <c r="E1737" s="27">
        <v>121065.1</v>
      </c>
      <c r="F1737" s="27">
        <v>3870.97</v>
      </c>
      <c r="G1737" s="27">
        <v>30594.81</v>
      </c>
      <c r="H1737" s="27">
        <v>877.6</v>
      </c>
      <c r="I1737" s="27">
        <v>12647.01</v>
      </c>
      <c r="J1737" s="6">
        <v>4575</v>
      </c>
      <c r="K1737" s="6">
        <v>708</v>
      </c>
      <c r="L1737" s="27">
        <v>6.6873901639344266</v>
      </c>
      <c r="M1737" s="27">
        <v>17.863008474576272</v>
      </c>
      <c r="N1737" s="34">
        <v>21.171733863335227</v>
      </c>
    </row>
    <row r="1738" spans="1:14" x14ac:dyDescent="0.35">
      <c r="A1738" s="82">
        <v>1735</v>
      </c>
      <c r="B1738" s="89" t="str">
        <f>_xlfn.XLOOKUP(A1738,'Model Modeshare by TAZ'!A:A,'Model Modeshare by TAZ'!B:B)</f>
        <v>San Francisco</v>
      </c>
      <c r="C1738" s="90" t="str">
        <f>_xlfn.XLOOKUP(A1738,'Model Modeshare by TAZ'!A:A,'Model Modeshare by TAZ'!D:D)</f>
        <v>NO</v>
      </c>
      <c r="D1738" s="27">
        <v>4088.29</v>
      </c>
      <c r="E1738" s="27">
        <v>78685.14</v>
      </c>
      <c r="F1738" s="27">
        <v>3585.58</v>
      </c>
      <c r="G1738" s="27">
        <v>27225.759999999998</v>
      </c>
      <c r="H1738" s="27">
        <v>688.22</v>
      </c>
      <c r="I1738" s="27">
        <v>10182.09</v>
      </c>
      <c r="J1738" s="6">
        <v>4851</v>
      </c>
      <c r="K1738" s="6">
        <v>550</v>
      </c>
      <c r="L1738" s="27">
        <v>5.6124015666872804</v>
      </c>
      <c r="M1738" s="27">
        <v>18.51289090909091</v>
      </c>
      <c r="N1738" s="34">
        <v>15.17908535456397</v>
      </c>
    </row>
    <row r="1739" spans="1:14" x14ac:dyDescent="0.35">
      <c r="A1739" s="82">
        <v>1736</v>
      </c>
      <c r="B1739" s="89" t="str">
        <f>_xlfn.XLOOKUP(A1739,'Model Modeshare by TAZ'!A:A,'Model Modeshare by TAZ'!B:B)</f>
        <v>San Francisco</v>
      </c>
      <c r="C1739" s="90" t="str">
        <f>_xlfn.XLOOKUP(A1739,'Model Modeshare by TAZ'!A:A,'Model Modeshare by TAZ'!D:D)</f>
        <v>NO</v>
      </c>
      <c r="D1739" s="27">
        <v>5677.02</v>
      </c>
      <c r="E1739" s="27">
        <v>141558.57999999999</v>
      </c>
      <c r="F1739" s="27">
        <v>1763.58</v>
      </c>
      <c r="G1739" s="27">
        <v>18334.439999999999</v>
      </c>
      <c r="H1739" s="27">
        <v>1103.7</v>
      </c>
      <c r="I1739" s="27">
        <v>17512.59</v>
      </c>
      <c r="J1739" s="6">
        <v>5928</v>
      </c>
      <c r="K1739" s="6">
        <v>2303</v>
      </c>
      <c r="L1739" s="27">
        <v>3.0928542510121457</v>
      </c>
      <c r="M1739" s="27">
        <v>7.6042509769865392</v>
      </c>
      <c r="N1739" s="34">
        <v>17.770586805977405</v>
      </c>
    </row>
    <row r="1740" spans="1:14" x14ac:dyDescent="0.35">
      <c r="A1740" s="82">
        <v>1737</v>
      </c>
      <c r="B1740" s="89" t="str">
        <f>_xlfn.XLOOKUP(A1740,'Model Modeshare by TAZ'!A:A,'Model Modeshare by TAZ'!B:B)</f>
        <v>San Francisco</v>
      </c>
      <c r="C1740" s="90" t="str">
        <f>_xlfn.XLOOKUP(A1740,'Model Modeshare by TAZ'!A:A,'Model Modeshare by TAZ'!D:D)</f>
        <v>NO</v>
      </c>
      <c r="D1740" s="27">
        <v>4996.92</v>
      </c>
      <c r="E1740" s="27">
        <v>126609.34</v>
      </c>
      <c r="F1740" s="27">
        <v>1726.83</v>
      </c>
      <c r="G1740" s="27">
        <v>17375.150000000001</v>
      </c>
      <c r="H1740" s="27">
        <v>1198.58</v>
      </c>
      <c r="I1740" s="27">
        <v>18869.57</v>
      </c>
      <c r="J1740" s="6">
        <v>4122</v>
      </c>
      <c r="K1740" s="6">
        <v>2496</v>
      </c>
      <c r="L1740" s="27">
        <v>4.2152231926249399</v>
      </c>
      <c r="M1740" s="27">
        <v>7.5599238782051277</v>
      </c>
      <c r="N1740" s="34">
        <v>20.280163191296463</v>
      </c>
    </row>
    <row r="1741" spans="1:14" x14ac:dyDescent="0.35">
      <c r="A1741" s="82">
        <v>1738</v>
      </c>
      <c r="B1741" s="89" t="str">
        <f>_xlfn.XLOOKUP(A1741,'Model Modeshare by TAZ'!A:A,'Model Modeshare by TAZ'!B:B)</f>
        <v>San Francisco</v>
      </c>
      <c r="C1741" s="90" t="str">
        <f>_xlfn.XLOOKUP(A1741,'Model Modeshare by TAZ'!A:A,'Model Modeshare by TAZ'!D:D)</f>
        <v>NO</v>
      </c>
      <c r="D1741" s="27">
        <v>4980.13</v>
      </c>
      <c r="E1741" s="27">
        <v>110569.35</v>
      </c>
      <c r="F1741" s="27">
        <v>3317.97</v>
      </c>
      <c r="G1741" s="27">
        <v>29074.19</v>
      </c>
      <c r="H1741" s="27">
        <v>1122.6400000000001</v>
      </c>
      <c r="I1741" s="27">
        <v>17735.259999999998</v>
      </c>
      <c r="J1741" s="6">
        <v>4807</v>
      </c>
      <c r="K1741" s="6">
        <v>1222</v>
      </c>
      <c r="L1741" s="27">
        <v>6.04830247555648</v>
      </c>
      <c r="M1741" s="27">
        <v>14.513306055646479</v>
      </c>
      <c r="N1741" s="34">
        <v>18.794654171504394</v>
      </c>
    </row>
    <row r="1742" spans="1:14" x14ac:dyDescent="0.35">
      <c r="A1742" s="82">
        <v>1739</v>
      </c>
      <c r="B1742" s="89" t="str">
        <f>_xlfn.XLOOKUP(A1742,'Model Modeshare by TAZ'!A:A,'Model Modeshare by TAZ'!B:B)</f>
        <v>San Francisco</v>
      </c>
      <c r="C1742" s="90" t="str">
        <f>_xlfn.XLOOKUP(A1742,'Model Modeshare by TAZ'!A:A,'Model Modeshare by TAZ'!D:D)</f>
        <v>NO</v>
      </c>
      <c r="D1742" s="27">
        <v>5371.98</v>
      </c>
      <c r="E1742" s="27">
        <v>109967.61</v>
      </c>
      <c r="F1742" s="27">
        <v>3172.55</v>
      </c>
      <c r="G1742" s="27">
        <v>24165.360000000001</v>
      </c>
      <c r="H1742" s="27">
        <v>911.09</v>
      </c>
      <c r="I1742" s="27">
        <v>13688.25</v>
      </c>
      <c r="J1742" s="6">
        <v>4088</v>
      </c>
      <c r="K1742" s="6">
        <v>1003</v>
      </c>
      <c r="L1742" s="27">
        <v>5.9112915851272021</v>
      </c>
      <c r="M1742" s="27">
        <v>13.647308075772681</v>
      </c>
      <c r="N1742" s="34">
        <v>21.665348654488312</v>
      </c>
    </row>
    <row r="1743" spans="1:14" x14ac:dyDescent="0.35">
      <c r="A1743" s="82">
        <v>1740</v>
      </c>
      <c r="B1743" s="89" t="str">
        <f>_xlfn.XLOOKUP(A1743,'Model Modeshare by TAZ'!A:A,'Model Modeshare by TAZ'!B:B)</f>
        <v>San Francisco</v>
      </c>
      <c r="C1743" s="90" t="str">
        <f>_xlfn.XLOOKUP(A1743,'Model Modeshare by TAZ'!A:A,'Model Modeshare by TAZ'!D:D)</f>
        <v>NO</v>
      </c>
      <c r="D1743" s="27">
        <v>14777.93</v>
      </c>
      <c r="E1743" s="27">
        <v>331458.28999999998</v>
      </c>
      <c r="F1743" s="27">
        <v>4531.42</v>
      </c>
      <c r="G1743" s="27">
        <v>35958.31</v>
      </c>
      <c r="H1743" s="27">
        <v>1824.02</v>
      </c>
      <c r="I1743" s="27">
        <v>26926.560000000001</v>
      </c>
      <c r="J1743" s="6">
        <v>4688</v>
      </c>
      <c r="K1743" s="6">
        <v>2327</v>
      </c>
      <c r="L1743" s="27">
        <v>7.6702879692832759</v>
      </c>
      <c r="M1743" s="27">
        <v>11.571362269015902</v>
      </c>
      <c r="N1743" s="34">
        <v>25.106270848182465</v>
      </c>
    </row>
    <row r="1744" spans="1:14" x14ac:dyDescent="0.35">
      <c r="A1744" s="82">
        <v>1741</v>
      </c>
      <c r="B1744" s="89" t="str">
        <f>_xlfn.XLOOKUP(A1744,'Model Modeshare by TAZ'!A:A,'Model Modeshare by TAZ'!B:B)</f>
        <v>San Francisco</v>
      </c>
      <c r="C1744" s="90" t="str">
        <f>_xlfn.XLOOKUP(A1744,'Model Modeshare by TAZ'!A:A,'Model Modeshare by TAZ'!D:D)</f>
        <v>NO</v>
      </c>
      <c r="D1744" s="27">
        <v>15063.9</v>
      </c>
      <c r="E1744" s="27">
        <v>364230.27</v>
      </c>
      <c r="F1744" s="27">
        <v>3167.48</v>
      </c>
      <c r="G1744" s="27">
        <v>25281.02</v>
      </c>
      <c r="H1744" s="27">
        <v>5475.67</v>
      </c>
      <c r="I1744" s="27">
        <v>85083.199999999997</v>
      </c>
      <c r="J1744" s="6">
        <v>4046</v>
      </c>
      <c r="K1744" s="6">
        <v>8089</v>
      </c>
      <c r="L1744" s="27">
        <v>6.2483984181908054</v>
      </c>
      <c r="M1744" s="27">
        <v>10.518382989244653</v>
      </c>
      <c r="N1744" s="34">
        <v>27.860369180057685</v>
      </c>
    </row>
    <row r="1745" spans="1:14" x14ac:dyDescent="0.35">
      <c r="A1745" s="82">
        <v>1742</v>
      </c>
      <c r="B1745" s="89" t="str">
        <f>_xlfn.XLOOKUP(A1745,'Model Modeshare by TAZ'!A:A,'Model Modeshare by TAZ'!B:B)</f>
        <v>San Francisco</v>
      </c>
      <c r="C1745" s="90" t="str">
        <f>_xlfn.XLOOKUP(A1745,'Model Modeshare by TAZ'!A:A,'Model Modeshare by TAZ'!D:D)</f>
        <v>NO</v>
      </c>
      <c r="D1745" s="27">
        <v>3475.49</v>
      </c>
      <c r="E1745" s="27">
        <v>91652.97</v>
      </c>
      <c r="F1745" s="27">
        <v>8608.58</v>
      </c>
      <c r="G1745" s="27">
        <v>94443.88</v>
      </c>
      <c r="H1745" s="27">
        <v>1842.22</v>
      </c>
      <c r="I1745" s="27">
        <v>30148.87</v>
      </c>
      <c r="J1745" s="6">
        <v>6656</v>
      </c>
      <c r="K1745" s="6">
        <v>1012</v>
      </c>
      <c r="L1745" s="27">
        <v>14.189284855769232</v>
      </c>
      <c r="M1745" s="27">
        <v>29.79137351778656</v>
      </c>
      <c r="N1745" s="34">
        <v>27.84483437663015</v>
      </c>
    </row>
    <row r="1746" spans="1:14" x14ac:dyDescent="0.35">
      <c r="A1746" s="82">
        <v>1743</v>
      </c>
      <c r="B1746" s="89" t="str">
        <f>_xlfn.XLOOKUP(A1746,'Model Modeshare by TAZ'!A:A,'Model Modeshare by TAZ'!B:B)</f>
        <v>San Francisco</v>
      </c>
      <c r="C1746" s="90" t="str">
        <f>_xlfn.XLOOKUP(A1746,'Model Modeshare by TAZ'!A:A,'Model Modeshare by TAZ'!D:D)</f>
        <v>NO</v>
      </c>
      <c r="D1746" s="27">
        <v>9422.9500000000007</v>
      </c>
      <c r="E1746" s="27">
        <v>172281.43</v>
      </c>
      <c r="F1746" s="27">
        <v>6899.87</v>
      </c>
      <c r="G1746" s="27">
        <v>47301.81</v>
      </c>
      <c r="H1746" s="27">
        <v>2280.8000000000002</v>
      </c>
      <c r="I1746" s="27">
        <v>30864.03</v>
      </c>
      <c r="J1746" s="6">
        <v>5287</v>
      </c>
      <c r="K1746" s="6">
        <v>1984</v>
      </c>
      <c r="L1746" s="27">
        <v>8.9468148288254206</v>
      </c>
      <c r="M1746" s="27">
        <v>15.556466733870968</v>
      </c>
      <c r="N1746" s="34">
        <v>25.599738687938387</v>
      </c>
    </row>
    <row r="1747" spans="1:14" x14ac:dyDescent="0.35">
      <c r="A1747" s="82">
        <v>1744</v>
      </c>
      <c r="B1747" s="89" t="str">
        <f>_xlfn.XLOOKUP(A1747,'Model Modeshare by TAZ'!A:A,'Model Modeshare by TAZ'!B:B)</f>
        <v>San Francisco</v>
      </c>
      <c r="C1747" s="90" t="str">
        <f>_xlfn.XLOOKUP(A1747,'Model Modeshare by TAZ'!A:A,'Model Modeshare by TAZ'!D:D)</f>
        <v>NO</v>
      </c>
      <c r="D1747" s="27">
        <v>10040.26</v>
      </c>
      <c r="E1747" s="27">
        <v>186397.08</v>
      </c>
      <c r="F1747" s="27">
        <v>6716.56</v>
      </c>
      <c r="G1747" s="27">
        <v>49532.2</v>
      </c>
      <c r="H1747" s="27">
        <v>2100.9</v>
      </c>
      <c r="I1747" s="27">
        <v>29086.77</v>
      </c>
      <c r="J1747" s="6">
        <v>6152</v>
      </c>
      <c r="K1747" s="6">
        <v>2131</v>
      </c>
      <c r="L1747" s="27">
        <v>8.0513979193758125</v>
      </c>
      <c r="M1747" s="27">
        <v>13.649352416705772</v>
      </c>
      <c r="N1747" s="34">
        <v>24.754260533623086</v>
      </c>
    </row>
    <row r="1748" spans="1:14" x14ac:dyDescent="0.35">
      <c r="A1748" s="82">
        <v>1745</v>
      </c>
      <c r="B1748" s="89" t="str">
        <f>_xlfn.XLOOKUP(A1748,'Model Modeshare by TAZ'!A:A,'Model Modeshare by TAZ'!B:B)</f>
        <v>San Francisco</v>
      </c>
      <c r="C1748" s="90" t="str">
        <f>_xlfn.XLOOKUP(A1748,'Model Modeshare by TAZ'!A:A,'Model Modeshare by TAZ'!D:D)</f>
        <v>NO</v>
      </c>
      <c r="D1748" s="27">
        <v>9364.58</v>
      </c>
      <c r="E1748" s="27">
        <v>180936.64</v>
      </c>
      <c r="F1748" s="27">
        <v>4155.93</v>
      </c>
      <c r="G1748" s="27">
        <v>28808.81</v>
      </c>
      <c r="H1748" s="27">
        <v>2886.58</v>
      </c>
      <c r="I1748" s="27">
        <v>39449.769999999997</v>
      </c>
      <c r="J1748" s="6">
        <v>4175</v>
      </c>
      <c r="K1748" s="6">
        <v>3516</v>
      </c>
      <c r="L1748" s="27">
        <v>6.9003137724550898</v>
      </c>
      <c r="M1748" s="27">
        <v>11.220071103526735</v>
      </c>
      <c r="N1748" s="34">
        <v>26.147677805226891</v>
      </c>
    </row>
    <row r="1749" spans="1:14" x14ac:dyDescent="0.35">
      <c r="A1749" s="82">
        <v>1746</v>
      </c>
      <c r="B1749" s="89" t="str">
        <f>_xlfn.XLOOKUP(A1749,'Model Modeshare by TAZ'!A:A,'Model Modeshare by TAZ'!B:B)</f>
        <v>San Francisco</v>
      </c>
      <c r="C1749" s="90" t="str">
        <f>_xlfn.XLOOKUP(A1749,'Model Modeshare by TAZ'!A:A,'Model Modeshare by TAZ'!D:D)</f>
        <v>NO</v>
      </c>
      <c r="D1749" s="27">
        <v>9343.32</v>
      </c>
      <c r="E1749" s="27">
        <v>174983.31</v>
      </c>
      <c r="F1749" s="27">
        <v>6058.36</v>
      </c>
      <c r="G1749" s="27">
        <v>42554.43</v>
      </c>
      <c r="H1749" s="27">
        <v>2321.7399999999998</v>
      </c>
      <c r="I1749" s="27">
        <v>31580.91</v>
      </c>
      <c r="J1749" s="6">
        <v>6703</v>
      </c>
      <c r="K1749" s="6">
        <v>2721</v>
      </c>
      <c r="L1749" s="27">
        <v>6.3485648217216175</v>
      </c>
      <c r="M1749" s="27">
        <v>11.606361631753032</v>
      </c>
      <c r="N1749" s="34">
        <v>20.934957555178269</v>
      </c>
    </row>
    <row r="1750" spans="1:14" x14ac:dyDescent="0.35">
      <c r="A1750" s="82">
        <v>1747</v>
      </c>
      <c r="B1750" s="89" t="str">
        <f>_xlfn.XLOOKUP(A1750,'Model Modeshare by TAZ'!A:A,'Model Modeshare by TAZ'!B:B)</f>
        <v>San Francisco</v>
      </c>
      <c r="C1750" s="90" t="str">
        <f>_xlfn.XLOOKUP(A1750,'Model Modeshare by TAZ'!A:A,'Model Modeshare by TAZ'!D:D)</f>
        <v>NO</v>
      </c>
      <c r="D1750" s="27">
        <v>6311.87</v>
      </c>
      <c r="E1750" s="27">
        <v>119019.46</v>
      </c>
      <c r="F1750" s="27">
        <v>3206.99</v>
      </c>
      <c r="G1750" s="27">
        <v>23186.400000000001</v>
      </c>
      <c r="H1750" s="27">
        <v>3137.95</v>
      </c>
      <c r="I1750" s="27">
        <v>41452.050000000003</v>
      </c>
      <c r="J1750" s="6">
        <v>2581</v>
      </c>
      <c r="K1750" s="6">
        <v>4992</v>
      </c>
      <c r="L1750" s="27">
        <v>8.983494769469198</v>
      </c>
      <c r="M1750" s="27">
        <v>8.3036959134615387</v>
      </c>
      <c r="N1750" s="34">
        <v>22.899617060610062</v>
      </c>
    </row>
    <row r="1751" spans="1:14" x14ac:dyDescent="0.35">
      <c r="A1751" s="82">
        <v>1748</v>
      </c>
      <c r="B1751" s="89" t="str">
        <f>_xlfn.XLOOKUP(A1751,'Model Modeshare by TAZ'!A:A,'Model Modeshare by TAZ'!B:B)</f>
        <v>San Francisco</v>
      </c>
      <c r="C1751" s="90" t="str">
        <f>_xlfn.XLOOKUP(A1751,'Model Modeshare by TAZ'!A:A,'Model Modeshare by TAZ'!D:D)</f>
        <v>NO</v>
      </c>
      <c r="D1751" s="27">
        <v>5345.4</v>
      </c>
      <c r="E1751" s="27">
        <v>87424.68</v>
      </c>
      <c r="F1751" s="27">
        <v>4162.51</v>
      </c>
      <c r="G1751" s="27">
        <v>26387.95</v>
      </c>
      <c r="H1751" s="27">
        <v>1400.3</v>
      </c>
      <c r="I1751" s="27">
        <v>17524.349999999999</v>
      </c>
      <c r="J1751" s="6">
        <v>3595</v>
      </c>
      <c r="K1751" s="6">
        <v>1327</v>
      </c>
      <c r="L1751" s="27">
        <v>7.3401808066759386</v>
      </c>
      <c r="M1751" s="27">
        <v>13.205990957045968</v>
      </c>
      <c r="N1751" s="34">
        <v>18.816572531491264</v>
      </c>
    </row>
    <row r="1752" spans="1:14" x14ac:dyDescent="0.35">
      <c r="A1752" s="82">
        <v>1749</v>
      </c>
      <c r="B1752" s="89" t="str">
        <f>_xlfn.XLOOKUP(A1752,'Model Modeshare by TAZ'!A:A,'Model Modeshare by TAZ'!B:B)</f>
        <v>San Francisco</v>
      </c>
      <c r="C1752" s="90" t="str">
        <f>_xlfn.XLOOKUP(A1752,'Model Modeshare by TAZ'!A:A,'Model Modeshare by TAZ'!D:D)</f>
        <v>NO</v>
      </c>
      <c r="D1752" s="27">
        <v>6914.86</v>
      </c>
      <c r="E1752" s="27">
        <v>115302.02</v>
      </c>
      <c r="F1752" s="27">
        <v>5477.84</v>
      </c>
      <c r="G1752" s="27">
        <v>33833.85</v>
      </c>
      <c r="H1752" s="27">
        <v>1625.43</v>
      </c>
      <c r="I1752" s="27">
        <v>21379.040000000001</v>
      </c>
      <c r="J1752" s="6">
        <v>4199</v>
      </c>
      <c r="K1752" s="6">
        <v>1779</v>
      </c>
      <c r="L1752" s="27">
        <v>8.0575970469159319</v>
      </c>
      <c r="M1752" s="27">
        <v>12.017448004496909</v>
      </c>
      <c r="N1752" s="34">
        <v>22.078578119772498</v>
      </c>
    </row>
    <row r="1753" spans="1:14" x14ac:dyDescent="0.35">
      <c r="A1753" s="82">
        <v>1750</v>
      </c>
      <c r="B1753" s="89" t="str">
        <f>_xlfn.XLOOKUP(A1753,'Model Modeshare by TAZ'!A:A,'Model Modeshare by TAZ'!B:B)</f>
        <v>San Francisco</v>
      </c>
      <c r="C1753" s="90" t="str">
        <f>_xlfn.XLOOKUP(A1753,'Model Modeshare by TAZ'!A:A,'Model Modeshare by TAZ'!D:D)</f>
        <v>NO</v>
      </c>
      <c r="D1753" s="27">
        <v>10264.120000000001</v>
      </c>
      <c r="E1753" s="27">
        <v>186956.35</v>
      </c>
      <c r="F1753" s="27">
        <v>4735.84</v>
      </c>
      <c r="G1753" s="27">
        <v>29640.07</v>
      </c>
      <c r="H1753" s="27">
        <v>1975.02</v>
      </c>
      <c r="I1753" s="27">
        <v>26691.55</v>
      </c>
      <c r="J1753" s="6">
        <v>4154</v>
      </c>
      <c r="K1753" s="6">
        <v>2199</v>
      </c>
      <c r="L1753" s="27">
        <v>7.1353081367356763</v>
      </c>
      <c r="M1753" s="27">
        <v>12.138040018190086</v>
      </c>
      <c r="N1753" s="34">
        <v>29.625937352431919</v>
      </c>
    </row>
    <row r="1754" spans="1:14" x14ac:dyDescent="0.35">
      <c r="A1754" s="82">
        <v>1751</v>
      </c>
      <c r="B1754" s="89" t="str">
        <f>_xlfn.XLOOKUP(A1754,'Model Modeshare by TAZ'!A:A,'Model Modeshare by TAZ'!B:B)</f>
        <v>San Francisco</v>
      </c>
      <c r="C1754" s="90" t="str">
        <f>_xlfn.XLOOKUP(A1754,'Model Modeshare by TAZ'!A:A,'Model Modeshare by TAZ'!D:D)</f>
        <v>NO</v>
      </c>
      <c r="D1754" s="27">
        <v>5575.3</v>
      </c>
      <c r="E1754" s="27">
        <v>92150.93</v>
      </c>
      <c r="F1754" s="27">
        <v>4771.88</v>
      </c>
      <c r="G1754" s="27">
        <v>31659.63</v>
      </c>
      <c r="H1754" s="27">
        <v>1186.9000000000001</v>
      </c>
      <c r="I1754" s="27">
        <v>15922.69</v>
      </c>
      <c r="J1754" s="6">
        <v>3579</v>
      </c>
      <c r="K1754" s="6">
        <v>1010</v>
      </c>
      <c r="L1754" s="27">
        <v>8.8459430008382238</v>
      </c>
      <c r="M1754" s="27">
        <v>15.765039603960396</v>
      </c>
      <c r="N1754" s="34">
        <v>23.229145783395076</v>
      </c>
    </row>
    <row r="1755" spans="1:14" x14ac:dyDescent="0.35">
      <c r="A1755" s="82">
        <v>1752</v>
      </c>
      <c r="B1755" s="89" t="str">
        <f>_xlfn.XLOOKUP(A1755,'Model Modeshare by TAZ'!A:A,'Model Modeshare by TAZ'!B:B)</f>
        <v>San Francisco</v>
      </c>
      <c r="C1755" s="90" t="str">
        <f>_xlfn.XLOOKUP(A1755,'Model Modeshare by TAZ'!A:A,'Model Modeshare by TAZ'!D:D)</f>
        <v>NO</v>
      </c>
      <c r="D1755" s="27">
        <v>13250.01</v>
      </c>
      <c r="E1755" s="27">
        <v>295562.67</v>
      </c>
      <c r="F1755" s="27">
        <v>4708.38</v>
      </c>
      <c r="G1755" s="27">
        <v>35334.93</v>
      </c>
      <c r="H1755" s="27">
        <v>1647.99</v>
      </c>
      <c r="I1755" s="27">
        <v>22289.41</v>
      </c>
      <c r="J1755" s="6">
        <v>3295</v>
      </c>
      <c r="K1755" s="6">
        <v>1076</v>
      </c>
      <c r="L1755" s="27">
        <v>10.723802731411229</v>
      </c>
      <c r="M1755" s="27">
        <v>20.715065055762082</v>
      </c>
      <c r="N1755" s="34">
        <v>25.707309540150995</v>
      </c>
    </row>
    <row r="1756" spans="1:14" x14ac:dyDescent="0.35">
      <c r="A1756" s="82">
        <v>1753</v>
      </c>
      <c r="B1756" s="89" t="str">
        <f>_xlfn.XLOOKUP(A1756,'Model Modeshare by TAZ'!A:A,'Model Modeshare by TAZ'!B:B)</f>
        <v>San Francisco</v>
      </c>
      <c r="C1756" s="90" t="str">
        <f>_xlfn.XLOOKUP(A1756,'Model Modeshare by TAZ'!A:A,'Model Modeshare by TAZ'!D:D)</f>
        <v>NO</v>
      </c>
      <c r="D1756" s="27">
        <v>4444.5</v>
      </c>
      <c r="E1756" s="27">
        <v>86600.47</v>
      </c>
      <c r="F1756" s="27">
        <v>57.07</v>
      </c>
      <c r="G1756" s="27">
        <v>439.02</v>
      </c>
      <c r="H1756" s="27">
        <v>1099.21</v>
      </c>
      <c r="I1756" s="27">
        <v>11331.54</v>
      </c>
      <c r="J1756" s="6">
        <v>118</v>
      </c>
      <c r="K1756" s="6">
        <v>936</v>
      </c>
      <c r="L1756" s="27">
        <v>3.7205084745762709</v>
      </c>
      <c r="M1756" s="27">
        <v>12.106346153846156</v>
      </c>
      <c r="N1756" s="34">
        <v>28.884563567362431</v>
      </c>
    </row>
    <row r="1757" spans="1:14" x14ac:dyDescent="0.35">
      <c r="A1757" s="82">
        <v>1754</v>
      </c>
      <c r="B1757" s="89" t="str">
        <f>_xlfn.XLOOKUP(A1757,'Model Modeshare by TAZ'!A:A,'Model Modeshare by TAZ'!B:B)</f>
        <v>San Francisco</v>
      </c>
      <c r="C1757" s="90" t="str">
        <f>_xlfn.XLOOKUP(A1757,'Model Modeshare by TAZ'!A:A,'Model Modeshare by TAZ'!D:D)</f>
        <v>NO</v>
      </c>
      <c r="D1757" s="27">
        <v>9634.99</v>
      </c>
      <c r="E1757" s="27">
        <v>167239.85</v>
      </c>
      <c r="F1757" s="27">
        <v>8584.1200000000008</v>
      </c>
      <c r="G1757" s="27">
        <v>72686.460000000006</v>
      </c>
      <c r="H1757" s="27">
        <v>1365.41</v>
      </c>
      <c r="I1757" s="27">
        <v>15678.75</v>
      </c>
      <c r="J1757" s="6">
        <v>6428</v>
      </c>
      <c r="K1757" s="6">
        <v>824</v>
      </c>
      <c r="L1757" s="27">
        <v>11.3077878033603</v>
      </c>
      <c r="M1757" s="27">
        <v>19.027609223300971</v>
      </c>
      <c r="N1757" s="34">
        <v>24.237795091009374</v>
      </c>
    </row>
    <row r="1758" spans="1:14" x14ac:dyDescent="0.35">
      <c r="A1758" s="82">
        <v>1755</v>
      </c>
      <c r="B1758" s="89" t="str">
        <f>_xlfn.XLOOKUP(A1758,'Model Modeshare by TAZ'!A:A,'Model Modeshare by TAZ'!B:B)</f>
        <v>San Francisco</v>
      </c>
      <c r="C1758" s="90" t="str">
        <f>_xlfn.XLOOKUP(A1758,'Model Modeshare by TAZ'!A:A,'Model Modeshare by TAZ'!D:D)</f>
        <v>NO</v>
      </c>
      <c r="D1758" s="27">
        <v>4326.41</v>
      </c>
      <c r="E1758" s="27">
        <v>72250.070000000007</v>
      </c>
      <c r="F1758" s="27">
        <v>4529.51</v>
      </c>
      <c r="G1758" s="27">
        <v>36747.300000000003</v>
      </c>
      <c r="H1758" s="27">
        <v>519.71</v>
      </c>
      <c r="I1758" s="27">
        <v>6139.55</v>
      </c>
      <c r="J1758" s="6">
        <v>3573</v>
      </c>
      <c r="K1758" s="6">
        <v>308</v>
      </c>
      <c r="L1758" s="27">
        <v>10.284718723761546</v>
      </c>
      <c r="M1758" s="27">
        <v>19.933603896103897</v>
      </c>
      <c r="N1758" s="34">
        <v>21.592362793094566</v>
      </c>
    </row>
    <row r="1759" spans="1:14" x14ac:dyDescent="0.35">
      <c r="A1759" s="82">
        <v>1756</v>
      </c>
      <c r="B1759" s="89" t="str">
        <f>_xlfn.XLOOKUP(A1759,'Model Modeshare by TAZ'!A:A,'Model Modeshare by TAZ'!B:B)</f>
        <v>San Francisco</v>
      </c>
      <c r="C1759" s="90" t="str">
        <f>_xlfn.XLOOKUP(A1759,'Model Modeshare by TAZ'!A:A,'Model Modeshare by TAZ'!D:D)</f>
        <v>NO</v>
      </c>
      <c r="D1759" s="27">
        <v>3788.79</v>
      </c>
      <c r="E1759" s="27">
        <v>78793.179999999993</v>
      </c>
      <c r="F1759" s="27">
        <v>152.69</v>
      </c>
      <c r="G1759" s="27">
        <v>990.14</v>
      </c>
      <c r="H1759" s="27">
        <v>2234.16</v>
      </c>
      <c r="I1759" s="27">
        <v>26699.91</v>
      </c>
      <c r="J1759" s="6">
        <v>143</v>
      </c>
      <c r="K1759" s="6">
        <v>2070</v>
      </c>
      <c r="L1759" s="27">
        <v>6.9240559440559437</v>
      </c>
      <c r="M1759" s="27">
        <v>12.898507246376811</v>
      </c>
      <c r="N1759" s="34">
        <v>29.704541346588339</v>
      </c>
    </row>
    <row r="1760" spans="1:14" x14ac:dyDescent="0.35">
      <c r="A1760" s="82">
        <v>1757</v>
      </c>
      <c r="B1760" s="89" t="str">
        <f>_xlfn.XLOOKUP(A1760,'Model Modeshare by TAZ'!A:A,'Model Modeshare by TAZ'!B:B)</f>
        <v>San Francisco</v>
      </c>
      <c r="C1760" s="90" t="str">
        <f>_xlfn.XLOOKUP(A1760,'Model Modeshare by TAZ'!A:A,'Model Modeshare by TAZ'!D:D)</f>
        <v>NO</v>
      </c>
      <c r="D1760" s="27">
        <v>3233.09</v>
      </c>
      <c r="E1760" s="27">
        <v>44388.85</v>
      </c>
      <c r="F1760" s="27">
        <v>4034.88</v>
      </c>
      <c r="G1760" s="27">
        <v>28679.96</v>
      </c>
      <c r="H1760" s="27">
        <v>760.6</v>
      </c>
      <c r="I1760" s="27">
        <v>9154.99</v>
      </c>
      <c r="J1760" s="6">
        <v>2430</v>
      </c>
      <c r="K1760" s="6">
        <v>605</v>
      </c>
      <c r="L1760" s="27">
        <v>11.802452674897118</v>
      </c>
      <c r="M1760" s="27">
        <v>15.132214876033057</v>
      </c>
      <c r="N1760" s="34">
        <v>21.123344316309719</v>
      </c>
    </row>
    <row r="1761" spans="1:14" x14ac:dyDescent="0.35">
      <c r="A1761" s="82">
        <v>1758</v>
      </c>
      <c r="B1761" s="89" t="str">
        <f>_xlfn.XLOOKUP(A1761,'Model Modeshare by TAZ'!A:A,'Model Modeshare by TAZ'!B:B)</f>
        <v>San Francisco</v>
      </c>
      <c r="C1761" s="90" t="str">
        <f>_xlfn.XLOOKUP(A1761,'Model Modeshare by TAZ'!A:A,'Model Modeshare by TAZ'!D:D)</f>
        <v>NO</v>
      </c>
      <c r="D1761" s="27">
        <v>7696.92</v>
      </c>
      <c r="E1761" s="27">
        <v>126879.93</v>
      </c>
      <c r="F1761" s="27">
        <v>6348.14</v>
      </c>
      <c r="G1761" s="27">
        <v>46477.18</v>
      </c>
      <c r="H1761" s="27">
        <v>1429.39</v>
      </c>
      <c r="I1761" s="27">
        <v>16448.330000000002</v>
      </c>
      <c r="J1761" s="6">
        <v>5371</v>
      </c>
      <c r="K1761" s="6">
        <v>960</v>
      </c>
      <c r="L1761" s="27">
        <v>8.6533569167752749</v>
      </c>
      <c r="M1761" s="27">
        <v>17.133677083333335</v>
      </c>
      <c r="N1761" s="34">
        <v>22.033915653135367</v>
      </c>
    </row>
    <row r="1762" spans="1:14" x14ac:dyDescent="0.35">
      <c r="A1762" s="82">
        <v>1759</v>
      </c>
      <c r="B1762" s="89" t="str">
        <f>_xlfn.XLOOKUP(A1762,'Model Modeshare by TAZ'!A:A,'Model Modeshare by TAZ'!B:B)</f>
        <v>San Francisco</v>
      </c>
      <c r="C1762" s="90" t="str">
        <f>_xlfn.XLOOKUP(A1762,'Model Modeshare by TAZ'!A:A,'Model Modeshare by TAZ'!D:D)</f>
        <v>NO</v>
      </c>
      <c r="D1762" s="27">
        <v>12237.31</v>
      </c>
      <c r="E1762" s="27">
        <v>197153.57</v>
      </c>
      <c r="F1762" s="27">
        <v>9004.8700000000008</v>
      </c>
      <c r="G1762" s="27">
        <v>68247.649999999994</v>
      </c>
      <c r="H1762" s="27">
        <v>1725.53</v>
      </c>
      <c r="I1762" s="27">
        <v>20042.46</v>
      </c>
      <c r="J1762" s="6">
        <v>7706</v>
      </c>
      <c r="K1762" s="6">
        <v>1140</v>
      </c>
      <c r="L1762" s="27">
        <v>8.8564300545029848</v>
      </c>
      <c r="M1762" s="27">
        <v>17.581105263157895</v>
      </c>
      <c r="N1762" s="34">
        <v>20.314139724169117</v>
      </c>
    </row>
    <row r="1763" spans="1:14" x14ac:dyDescent="0.35">
      <c r="A1763" s="82">
        <v>1760</v>
      </c>
      <c r="B1763" s="89" t="str">
        <f>_xlfn.XLOOKUP(A1763,'Model Modeshare by TAZ'!A:A,'Model Modeshare by TAZ'!B:B)</f>
        <v>San Francisco</v>
      </c>
      <c r="C1763" s="90" t="str">
        <f>_xlfn.XLOOKUP(A1763,'Model Modeshare by TAZ'!A:A,'Model Modeshare by TAZ'!D:D)</f>
        <v>NO</v>
      </c>
      <c r="D1763" s="27">
        <v>4820.28</v>
      </c>
      <c r="E1763" s="27">
        <v>77651.759999999995</v>
      </c>
      <c r="F1763" s="27">
        <v>4438.71</v>
      </c>
      <c r="G1763" s="27">
        <v>32443.5</v>
      </c>
      <c r="H1763" s="27">
        <v>360.96</v>
      </c>
      <c r="I1763" s="27">
        <v>4277.6099999999997</v>
      </c>
      <c r="J1763" s="6">
        <v>3867</v>
      </c>
      <c r="K1763" s="6">
        <v>217</v>
      </c>
      <c r="L1763" s="27">
        <v>8.3898370830100859</v>
      </c>
      <c r="M1763" s="27">
        <v>19.712488479262671</v>
      </c>
      <c r="N1763" s="34">
        <v>17.222328599412343</v>
      </c>
    </row>
    <row r="1764" spans="1:14" x14ac:dyDescent="0.35">
      <c r="A1764" s="82">
        <v>1761</v>
      </c>
      <c r="B1764" s="89" t="str">
        <f>_xlfn.XLOOKUP(A1764,'Model Modeshare by TAZ'!A:A,'Model Modeshare by TAZ'!B:B)</f>
        <v>San Francisco</v>
      </c>
      <c r="C1764" s="90" t="str">
        <f>_xlfn.XLOOKUP(A1764,'Model Modeshare by TAZ'!A:A,'Model Modeshare by TAZ'!D:D)</f>
        <v>NO</v>
      </c>
      <c r="D1764" s="27">
        <v>5413.13</v>
      </c>
      <c r="E1764" s="27">
        <v>94570.04</v>
      </c>
      <c r="F1764" s="27">
        <v>4324.0200000000004</v>
      </c>
      <c r="G1764" s="27">
        <v>32655.78</v>
      </c>
      <c r="H1764" s="27">
        <v>884.92</v>
      </c>
      <c r="I1764" s="27">
        <v>10739.03</v>
      </c>
      <c r="J1764" s="6">
        <v>4382</v>
      </c>
      <c r="K1764" s="6">
        <v>590</v>
      </c>
      <c r="L1764" s="27">
        <v>7.452254678229119</v>
      </c>
      <c r="M1764" s="27">
        <v>18.201745762711866</v>
      </c>
      <c r="N1764" s="34">
        <v>19.137202333065165</v>
      </c>
    </row>
    <row r="1765" spans="1:14" x14ac:dyDescent="0.35">
      <c r="A1765" s="82">
        <v>1762</v>
      </c>
      <c r="B1765" s="89" t="str">
        <f>_xlfn.XLOOKUP(A1765,'Model Modeshare by TAZ'!A:A,'Model Modeshare by TAZ'!B:B)</f>
        <v>San Francisco</v>
      </c>
      <c r="C1765" s="90" t="str">
        <f>_xlfn.XLOOKUP(A1765,'Model Modeshare by TAZ'!A:A,'Model Modeshare by TAZ'!D:D)</f>
        <v>NO</v>
      </c>
      <c r="D1765" s="27">
        <v>10684.4</v>
      </c>
      <c r="E1765" s="27">
        <v>187249</v>
      </c>
      <c r="F1765" s="27">
        <v>7514.83</v>
      </c>
      <c r="G1765" s="27">
        <v>53055.75</v>
      </c>
      <c r="H1765" s="27">
        <v>2055.75</v>
      </c>
      <c r="I1765" s="27">
        <v>25452.1</v>
      </c>
      <c r="J1765" s="6">
        <v>7005</v>
      </c>
      <c r="K1765" s="6">
        <v>1761</v>
      </c>
      <c r="L1765" s="27">
        <v>7.573982869379015</v>
      </c>
      <c r="M1765" s="27">
        <v>14.453208404315729</v>
      </c>
      <c r="N1765" s="34">
        <v>23.090649098790784</v>
      </c>
    </row>
    <row r="1766" spans="1:14" x14ac:dyDescent="0.35">
      <c r="A1766" s="82">
        <v>1763</v>
      </c>
      <c r="B1766" s="89" t="str">
        <f>_xlfn.XLOOKUP(A1766,'Model Modeshare by TAZ'!A:A,'Model Modeshare by TAZ'!B:B)</f>
        <v>San Francisco</v>
      </c>
      <c r="C1766" s="90" t="str">
        <f>_xlfn.XLOOKUP(A1766,'Model Modeshare by TAZ'!A:A,'Model Modeshare by TAZ'!D:D)</f>
        <v>NO</v>
      </c>
      <c r="D1766" s="27">
        <v>7145.2</v>
      </c>
      <c r="E1766" s="27">
        <v>115662.95</v>
      </c>
      <c r="F1766" s="27">
        <v>6081.84</v>
      </c>
      <c r="G1766" s="27">
        <v>42660.4</v>
      </c>
      <c r="H1766" s="27">
        <v>1097.55</v>
      </c>
      <c r="I1766" s="27">
        <v>13187.13</v>
      </c>
      <c r="J1766" s="6">
        <v>5200</v>
      </c>
      <c r="K1766" s="6">
        <v>710</v>
      </c>
      <c r="L1766" s="27">
        <v>8.2039230769230773</v>
      </c>
      <c r="M1766" s="27">
        <v>18.573422535211268</v>
      </c>
      <c r="N1766" s="34">
        <v>20.003751269035533</v>
      </c>
    </row>
    <row r="1767" spans="1:14" x14ac:dyDescent="0.35">
      <c r="A1767" s="82">
        <v>1764</v>
      </c>
      <c r="B1767" s="89" t="str">
        <f>_xlfn.XLOOKUP(A1767,'Model Modeshare by TAZ'!A:A,'Model Modeshare by TAZ'!B:B)</f>
        <v>San Francisco</v>
      </c>
      <c r="C1767" s="90" t="str">
        <f>_xlfn.XLOOKUP(A1767,'Model Modeshare by TAZ'!A:A,'Model Modeshare by TAZ'!D:D)</f>
        <v>NO</v>
      </c>
      <c r="D1767" s="27">
        <v>14620.63</v>
      </c>
      <c r="E1767" s="27">
        <v>241017.48</v>
      </c>
      <c r="F1767" s="27">
        <v>6989.79</v>
      </c>
      <c r="G1767" s="27">
        <v>45713.32</v>
      </c>
      <c r="H1767" s="27">
        <v>1405.74</v>
      </c>
      <c r="I1767" s="27">
        <v>16398.04</v>
      </c>
      <c r="J1767" s="6">
        <v>6536</v>
      </c>
      <c r="K1767" s="6">
        <v>1213</v>
      </c>
      <c r="L1767" s="27">
        <v>6.9940820073439411</v>
      </c>
      <c r="M1767" s="27">
        <v>13.518582028029678</v>
      </c>
      <c r="N1767" s="34">
        <v>18.215134856110463</v>
      </c>
    </row>
    <row r="1768" spans="1:14" x14ac:dyDescent="0.35">
      <c r="A1768" s="82">
        <v>1765</v>
      </c>
      <c r="B1768" s="89" t="str">
        <f>_xlfn.XLOOKUP(A1768,'Model Modeshare by TAZ'!A:A,'Model Modeshare by TAZ'!B:B)</f>
        <v>San Francisco</v>
      </c>
      <c r="C1768" s="90" t="str">
        <f>_xlfn.XLOOKUP(A1768,'Model Modeshare by TAZ'!A:A,'Model Modeshare by TAZ'!D:D)</f>
        <v>NO</v>
      </c>
      <c r="D1768" s="27">
        <v>9903.02</v>
      </c>
      <c r="E1768" s="27">
        <v>173379.25</v>
      </c>
      <c r="F1768" s="27">
        <v>5022.18</v>
      </c>
      <c r="G1768" s="27">
        <v>32506.62</v>
      </c>
      <c r="H1768" s="27">
        <v>2335.4499999999998</v>
      </c>
      <c r="I1768" s="27">
        <v>28647.37</v>
      </c>
      <c r="J1768" s="6">
        <v>5239</v>
      </c>
      <c r="K1768" s="6">
        <v>2509</v>
      </c>
      <c r="L1768" s="27">
        <v>6.2047375453330789</v>
      </c>
      <c r="M1768" s="27">
        <v>11.417843762455162</v>
      </c>
      <c r="N1768" s="34">
        <v>25.177910428497679</v>
      </c>
    </row>
    <row r="1769" spans="1:14" x14ac:dyDescent="0.35">
      <c r="A1769" s="82">
        <v>1766</v>
      </c>
      <c r="B1769" s="89" t="str">
        <f>_xlfn.XLOOKUP(A1769,'Model Modeshare by TAZ'!A:A,'Model Modeshare by TAZ'!B:B)</f>
        <v>San Francisco</v>
      </c>
      <c r="C1769" s="90" t="str">
        <f>_xlfn.XLOOKUP(A1769,'Model Modeshare by TAZ'!A:A,'Model Modeshare by TAZ'!D:D)</f>
        <v>NO</v>
      </c>
      <c r="D1769" s="27">
        <v>11123.63</v>
      </c>
      <c r="E1769" s="27">
        <v>204425.3</v>
      </c>
      <c r="F1769" s="27">
        <v>3771.34</v>
      </c>
      <c r="G1769" s="27">
        <v>23252.53</v>
      </c>
      <c r="H1769" s="27">
        <v>1800.42</v>
      </c>
      <c r="I1769" s="27">
        <v>22777.65</v>
      </c>
      <c r="J1769" s="6">
        <v>4054</v>
      </c>
      <c r="K1769" s="6">
        <v>1953</v>
      </c>
      <c r="L1769" s="27">
        <v>5.7357005426739018</v>
      </c>
      <c r="M1769" s="27">
        <v>11.662903225806453</v>
      </c>
      <c r="N1769" s="34">
        <v>27.755986349259196</v>
      </c>
    </row>
    <row r="1770" spans="1:14" x14ac:dyDescent="0.35">
      <c r="A1770" s="82">
        <v>1767</v>
      </c>
      <c r="B1770" s="89" t="str">
        <f>_xlfn.XLOOKUP(A1770,'Model Modeshare by TAZ'!A:A,'Model Modeshare by TAZ'!B:B)</f>
        <v>San Francisco</v>
      </c>
      <c r="C1770" s="90" t="str">
        <f>_xlfn.XLOOKUP(A1770,'Model Modeshare by TAZ'!A:A,'Model Modeshare by TAZ'!D:D)</f>
        <v>NO</v>
      </c>
      <c r="D1770" s="27">
        <v>7873.31</v>
      </c>
      <c r="E1770" s="27">
        <v>131974.68</v>
      </c>
      <c r="F1770" s="27">
        <v>4733.3</v>
      </c>
      <c r="G1770" s="27">
        <v>30649.18</v>
      </c>
      <c r="H1770" s="27">
        <v>1325.63</v>
      </c>
      <c r="I1770" s="27">
        <v>15624.72</v>
      </c>
      <c r="J1770" s="6">
        <v>5983</v>
      </c>
      <c r="K1770" s="6">
        <v>1190</v>
      </c>
      <c r="L1770" s="27">
        <v>5.1227110145412</v>
      </c>
      <c r="M1770" s="27">
        <v>13.130016806722688</v>
      </c>
      <c r="N1770" s="34">
        <v>14.617801477763837</v>
      </c>
    </row>
    <row r="1771" spans="1:14" x14ac:dyDescent="0.35">
      <c r="A1771" s="82">
        <v>1768</v>
      </c>
      <c r="B1771" s="89" t="str">
        <f>_xlfn.XLOOKUP(A1771,'Model Modeshare by TAZ'!A:A,'Model Modeshare by TAZ'!B:B)</f>
        <v>San Francisco</v>
      </c>
      <c r="C1771" s="90" t="str">
        <f>_xlfn.XLOOKUP(A1771,'Model Modeshare by TAZ'!A:A,'Model Modeshare by TAZ'!D:D)</f>
        <v>NO</v>
      </c>
      <c r="D1771" s="27">
        <v>5022.8999999999996</v>
      </c>
      <c r="E1771" s="27">
        <v>69058.399999999994</v>
      </c>
      <c r="F1771" s="27">
        <v>3436.56</v>
      </c>
      <c r="G1771" s="27">
        <v>20601.05</v>
      </c>
      <c r="H1771" s="27">
        <v>628.86</v>
      </c>
      <c r="I1771" s="27">
        <v>6720.68</v>
      </c>
      <c r="J1771" s="6">
        <v>2754</v>
      </c>
      <c r="K1771" s="6">
        <v>419</v>
      </c>
      <c r="L1771" s="27">
        <v>7.4804103122730572</v>
      </c>
      <c r="M1771" s="27">
        <v>16.03980906921241</v>
      </c>
      <c r="N1771" s="34">
        <v>17.893299716356761</v>
      </c>
    </row>
    <row r="1772" spans="1:14" x14ac:dyDescent="0.35">
      <c r="A1772" s="82">
        <v>1769</v>
      </c>
      <c r="B1772" s="89" t="str">
        <f>_xlfn.XLOOKUP(A1772,'Model Modeshare by TAZ'!A:A,'Model Modeshare by TAZ'!B:B)</f>
        <v>San Francisco</v>
      </c>
      <c r="C1772" s="90" t="str">
        <f>_xlfn.XLOOKUP(A1772,'Model Modeshare by TAZ'!A:A,'Model Modeshare by TAZ'!D:D)</f>
        <v>NO</v>
      </c>
      <c r="D1772" s="27">
        <v>16871.8</v>
      </c>
      <c r="E1772" s="27">
        <v>318384.98</v>
      </c>
      <c r="F1772" s="27">
        <v>6425.09</v>
      </c>
      <c r="G1772" s="27">
        <v>43905.93</v>
      </c>
      <c r="H1772" s="27">
        <v>5018.1899999999996</v>
      </c>
      <c r="I1772" s="27">
        <v>58948.09</v>
      </c>
      <c r="J1772" s="6">
        <v>6910</v>
      </c>
      <c r="K1772" s="6">
        <v>5611</v>
      </c>
      <c r="L1772" s="27">
        <v>6.3539696092619389</v>
      </c>
      <c r="M1772" s="27">
        <v>10.505808233826412</v>
      </c>
      <c r="N1772" s="34">
        <v>24.18088092005431</v>
      </c>
    </row>
    <row r="1773" spans="1:14" x14ac:dyDescent="0.35">
      <c r="A1773" s="82">
        <v>1770</v>
      </c>
      <c r="B1773" s="89" t="str">
        <f>_xlfn.XLOOKUP(A1773,'Model Modeshare by TAZ'!A:A,'Model Modeshare by TAZ'!B:B)</f>
        <v>San Francisco</v>
      </c>
      <c r="C1773" s="90" t="str">
        <f>_xlfn.XLOOKUP(A1773,'Model Modeshare by TAZ'!A:A,'Model Modeshare by TAZ'!D:D)</f>
        <v>NO</v>
      </c>
      <c r="D1773" s="27">
        <v>16589.77</v>
      </c>
      <c r="E1773" s="27">
        <v>300089.26</v>
      </c>
      <c r="F1773" s="27">
        <v>5580.48</v>
      </c>
      <c r="G1773" s="27">
        <v>33886.75</v>
      </c>
      <c r="H1773" s="27">
        <v>5014.47</v>
      </c>
      <c r="I1773" s="27">
        <v>61851.43</v>
      </c>
      <c r="J1773" s="6">
        <v>5756</v>
      </c>
      <c r="K1773" s="6">
        <v>5674</v>
      </c>
      <c r="L1773" s="27">
        <v>5.8872046560111189</v>
      </c>
      <c r="M1773" s="27">
        <v>10.90085125132182</v>
      </c>
      <c r="N1773" s="34">
        <v>21.937167979002623</v>
      </c>
    </row>
    <row r="1774" spans="1:14" x14ac:dyDescent="0.35">
      <c r="A1774" s="82">
        <v>1771</v>
      </c>
      <c r="B1774" s="89" t="str">
        <f>_xlfn.XLOOKUP(A1774,'Model Modeshare by TAZ'!A:A,'Model Modeshare by TAZ'!B:B)</f>
        <v>San Francisco</v>
      </c>
      <c r="C1774" s="90" t="str">
        <f>_xlfn.XLOOKUP(A1774,'Model Modeshare by TAZ'!A:A,'Model Modeshare by TAZ'!D:D)</f>
        <v>NO</v>
      </c>
      <c r="D1774" s="27">
        <v>8898.94</v>
      </c>
      <c r="E1774" s="27">
        <v>149245.09</v>
      </c>
      <c r="F1774" s="27">
        <v>5868.88</v>
      </c>
      <c r="G1774" s="27">
        <v>37321.53</v>
      </c>
      <c r="H1774" s="27">
        <v>3867.71</v>
      </c>
      <c r="I1774" s="27">
        <v>48582.55</v>
      </c>
      <c r="J1774" s="6">
        <v>4129</v>
      </c>
      <c r="K1774" s="6">
        <v>4144</v>
      </c>
      <c r="L1774" s="27">
        <v>9.0388786631145557</v>
      </c>
      <c r="M1774" s="27">
        <v>11.723588320463321</v>
      </c>
      <c r="N1774" s="34">
        <v>24.430351746645712</v>
      </c>
    </row>
    <row r="1775" spans="1:14" x14ac:dyDescent="0.35">
      <c r="A1775" s="82">
        <v>1772</v>
      </c>
      <c r="B1775" s="89" t="str">
        <f>_xlfn.XLOOKUP(A1775,'Model Modeshare by TAZ'!A:A,'Model Modeshare by TAZ'!B:B)</f>
        <v>San Francisco</v>
      </c>
      <c r="C1775" s="90" t="str">
        <f>_xlfn.XLOOKUP(A1775,'Model Modeshare by TAZ'!A:A,'Model Modeshare by TAZ'!D:D)</f>
        <v>NO</v>
      </c>
      <c r="D1775" s="27">
        <v>5034.8100000000004</v>
      </c>
      <c r="E1775" s="27">
        <v>94575.22</v>
      </c>
      <c r="F1775" s="27">
        <v>2018.25</v>
      </c>
      <c r="G1775" s="27">
        <v>13842.14</v>
      </c>
      <c r="H1775" s="27">
        <v>1438.6</v>
      </c>
      <c r="I1775" s="27">
        <v>19222.5</v>
      </c>
      <c r="J1775" s="6">
        <v>2032</v>
      </c>
      <c r="K1775" s="6">
        <v>1740</v>
      </c>
      <c r="L1775" s="27">
        <v>6.8120767716535431</v>
      </c>
      <c r="M1775" s="27">
        <v>11.047413793103448</v>
      </c>
      <c r="N1775" s="34">
        <v>24.106611876988335</v>
      </c>
    </row>
    <row r="1776" spans="1:14" x14ac:dyDescent="0.35">
      <c r="A1776" s="82">
        <v>1773</v>
      </c>
      <c r="B1776" s="89" t="str">
        <f>_xlfn.XLOOKUP(A1776,'Model Modeshare by TAZ'!A:A,'Model Modeshare by TAZ'!B:B)</f>
        <v>San Francisco</v>
      </c>
      <c r="C1776" s="90" t="str">
        <f>_xlfn.XLOOKUP(A1776,'Model Modeshare by TAZ'!A:A,'Model Modeshare by TAZ'!D:D)</f>
        <v>NO</v>
      </c>
      <c r="D1776" s="27">
        <v>6265.14</v>
      </c>
      <c r="E1776" s="27">
        <v>116457.07</v>
      </c>
      <c r="F1776" s="27">
        <v>3689.11</v>
      </c>
      <c r="G1776" s="27">
        <v>26806.87</v>
      </c>
      <c r="H1776" s="27">
        <v>1424.58</v>
      </c>
      <c r="I1776" s="27">
        <v>19516.93</v>
      </c>
      <c r="J1776" s="6">
        <v>4066</v>
      </c>
      <c r="K1776" s="6">
        <v>1602</v>
      </c>
      <c r="L1776" s="27">
        <v>6.5929340875553368</v>
      </c>
      <c r="M1776" s="27">
        <v>12.182852684144819</v>
      </c>
      <c r="N1776" s="34">
        <v>21.849788285109387</v>
      </c>
    </row>
    <row r="1777" spans="1:14" x14ac:dyDescent="0.35">
      <c r="A1777" s="82">
        <v>1774</v>
      </c>
      <c r="B1777" s="89" t="str">
        <f>_xlfn.XLOOKUP(A1777,'Model Modeshare by TAZ'!A:A,'Model Modeshare by TAZ'!B:B)</f>
        <v>San Francisco</v>
      </c>
      <c r="C1777" s="90" t="str">
        <f>_xlfn.XLOOKUP(A1777,'Model Modeshare by TAZ'!A:A,'Model Modeshare by TAZ'!D:D)</f>
        <v>NO</v>
      </c>
      <c r="D1777" s="27">
        <v>11101.18</v>
      </c>
      <c r="E1777" s="27">
        <v>223592.62</v>
      </c>
      <c r="F1777" s="27">
        <v>2255.04</v>
      </c>
      <c r="G1777" s="27">
        <v>15528.6</v>
      </c>
      <c r="H1777" s="27">
        <v>3032.02</v>
      </c>
      <c r="I1777" s="27">
        <v>39288.75</v>
      </c>
      <c r="J1777" s="6">
        <v>3747</v>
      </c>
      <c r="K1777" s="6">
        <v>4941</v>
      </c>
      <c r="L1777" s="27">
        <v>4.1442754203362693</v>
      </c>
      <c r="M1777" s="27">
        <v>7.9515786278081357</v>
      </c>
      <c r="N1777" s="34">
        <v>23.783836325966853</v>
      </c>
    </row>
    <row r="1778" spans="1:14" x14ac:dyDescent="0.35">
      <c r="A1778" s="82">
        <v>1775</v>
      </c>
      <c r="B1778" s="89" t="str">
        <f>_xlfn.XLOOKUP(A1778,'Model Modeshare by TAZ'!A:A,'Model Modeshare by TAZ'!B:B)</f>
        <v>San Francisco</v>
      </c>
      <c r="C1778" s="90" t="str">
        <f>_xlfn.XLOOKUP(A1778,'Model Modeshare by TAZ'!A:A,'Model Modeshare by TAZ'!D:D)</f>
        <v>NO</v>
      </c>
      <c r="D1778" s="27">
        <v>5568.12</v>
      </c>
      <c r="E1778" s="27">
        <v>119322.58</v>
      </c>
      <c r="F1778" s="27">
        <v>1930.84</v>
      </c>
      <c r="G1778" s="27">
        <v>16522.32</v>
      </c>
      <c r="H1778" s="27">
        <v>2363.7399999999998</v>
      </c>
      <c r="I1778" s="27">
        <v>32187.599999999999</v>
      </c>
      <c r="J1778" s="6">
        <v>2563</v>
      </c>
      <c r="K1778" s="6">
        <v>4715</v>
      </c>
      <c r="L1778" s="27">
        <v>6.4464767850175573</v>
      </c>
      <c r="M1778" s="27">
        <v>6.826638388123011</v>
      </c>
      <c r="N1778" s="34">
        <v>22.310037098103876</v>
      </c>
    </row>
    <row r="1779" spans="1:14" x14ac:dyDescent="0.35">
      <c r="A1779" s="82">
        <v>1776</v>
      </c>
      <c r="B1779" s="89" t="str">
        <f>_xlfn.XLOOKUP(A1779,'Model Modeshare by TAZ'!A:A,'Model Modeshare by TAZ'!B:B)</f>
        <v>San Francisco</v>
      </c>
      <c r="C1779" s="90" t="str">
        <f>_xlfn.XLOOKUP(A1779,'Model Modeshare by TAZ'!A:A,'Model Modeshare by TAZ'!D:D)</f>
        <v>NO</v>
      </c>
      <c r="D1779" s="27">
        <v>4730.78</v>
      </c>
      <c r="E1779" s="27">
        <v>101806.97</v>
      </c>
      <c r="F1779" s="27">
        <v>1811.74</v>
      </c>
      <c r="G1779" s="27">
        <v>17840.11</v>
      </c>
      <c r="H1779" s="27">
        <v>1775.3</v>
      </c>
      <c r="I1779" s="27">
        <v>23281.34</v>
      </c>
      <c r="J1779" s="6">
        <v>2628</v>
      </c>
      <c r="K1779" s="6">
        <v>3386</v>
      </c>
      <c r="L1779" s="27">
        <v>6.7884741248097411</v>
      </c>
      <c r="M1779" s="27">
        <v>6.8757649143532191</v>
      </c>
      <c r="N1779" s="34">
        <v>20.103947455936147</v>
      </c>
    </row>
    <row r="1780" spans="1:14" x14ac:dyDescent="0.35">
      <c r="A1780" s="82">
        <v>1777</v>
      </c>
      <c r="B1780" s="89" t="str">
        <f>_xlfn.XLOOKUP(A1780,'Model Modeshare by TAZ'!A:A,'Model Modeshare by TAZ'!B:B)</f>
        <v>San Francisco</v>
      </c>
      <c r="C1780" s="90" t="str">
        <f>_xlfn.XLOOKUP(A1780,'Model Modeshare by TAZ'!A:A,'Model Modeshare by TAZ'!D:D)</f>
        <v>NO</v>
      </c>
      <c r="D1780" s="27">
        <v>5823.54</v>
      </c>
      <c r="E1780" s="27">
        <v>106465.39</v>
      </c>
      <c r="F1780" s="27">
        <v>2743.13</v>
      </c>
      <c r="G1780" s="27">
        <v>20524.8</v>
      </c>
      <c r="H1780" s="27">
        <v>1109.3399999999999</v>
      </c>
      <c r="I1780" s="27">
        <v>14228.85</v>
      </c>
      <c r="J1780" s="6">
        <v>4545</v>
      </c>
      <c r="K1780" s="6">
        <v>1203</v>
      </c>
      <c r="L1780" s="27">
        <v>4.5159075907590758</v>
      </c>
      <c r="M1780" s="27">
        <v>11.827805486284289</v>
      </c>
      <c r="N1780" s="34">
        <v>17.226489213639528</v>
      </c>
    </row>
    <row r="1781" spans="1:14" x14ac:dyDescent="0.35">
      <c r="A1781" s="82">
        <v>1778</v>
      </c>
      <c r="B1781" s="89" t="str">
        <f>_xlfn.XLOOKUP(A1781,'Model Modeshare by TAZ'!A:A,'Model Modeshare by TAZ'!B:B)</f>
        <v>San Francisco</v>
      </c>
      <c r="C1781" s="90" t="str">
        <f>_xlfn.XLOOKUP(A1781,'Model Modeshare by TAZ'!A:A,'Model Modeshare by TAZ'!D:D)</f>
        <v>NO</v>
      </c>
      <c r="D1781" s="27">
        <v>4757.78</v>
      </c>
      <c r="E1781" s="27">
        <v>88733.78</v>
      </c>
      <c r="F1781" s="27">
        <v>3803.28</v>
      </c>
      <c r="G1781" s="27">
        <v>30694.44</v>
      </c>
      <c r="H1781" s="27">
        <v>795.7</v>
      </c>
      <c r="I1781" s="27">
        <v>9674.7099999999991</v>
      </c>
      <c r="J1781" s="6">
        <v>5747</v>
      </c>
      <c r="K1781" s="6">
        <v>632</v>
      </c>
      <c r="L1781" s="27">
        <v>5.3409500609013394</v>
      </c>
      <c r="M1781" s="27">
        <v>15.308085443037973</v>
      </c>
      <c r="N1781" s="34">
        <v>14.161113027120239</v>
      </c>
    </row>
    <row r="1782" spans="1:14" x14ac:dyDescent="0.35">
      <c r="A1782" s="82">
        <v>1779</v>
      </c>
      <c r="B1782" s="89" t="str">
        <f>_xlfn.XLOOKUP(A1782,'Model Modeshare by TAZ'!A:A,'Model Modeshare by TAZ'!B:B)</f>
        <v>San Francisco</v>
      </c>
      <c r="C1782" s="90" t="str">
        <f>_xlfn.XLOOKUP(A1782,'Model Modeshare by TAZ'!A:A,'Model Modeshare by TAZ'!D:D)</f>
        <v>NO</v>
      </c>
      <c r="D1782" s="27">
        <v>5865.51</v>
      </c>
      <c r="E1782" s="27">
        <v>126091.88</v>
      </c>
      <c r="F1782" s="27">
        <v>1434.2</v>
      </c>
      <c r="G1782" s="27">
        <v>13101.51</v>
      </c>
      <c r="H1782" s="27">
        <v>2095.4299999999998</v>
      </c>
      <c r="I1782" s="27">
        <v>26873.61</v>
      </c>
      <c r="J1782" s="6">
        <v>2856</v>
      </c>
      <c r="K1782" s="6">
        <v>4009</v>
      </c>
      <c r="L1782" s="27">
        <v>4.5873634453781511</v>
      </c>
      <c r="M1782" s="27">
        <v>6.7033200299326516</v>
      </c>
      <c r="N1782" s="34">
        <v>17.422132556445739</v>
      </c>
    </row>
    <row r="1783" spans="1:14" x14ac:dyDescent="0.35">
      <c r="A1783" s="82">
        <v>1780</v>
      </c>
      <c r="B1783" s="89" t="str">
        <f>_xlfn.XLOOKUP(A1783,'Model Modeshare by TAZ'!A:A,'Model Modeshare by TAZ'!B:B)</f>
        <v>San Francisco</v>
      </c>
      <c r="C1783" s="90" t="str">
        <f>_xlfn.XLOOKUP(A1783,'Model Modeshare by TAZ'!A:A,'Model Modeshare by TAZ'!D:D)</f>
        <v>NO</v>
      </c>
      <c r="D1783" s="27">
        <v>4217.6899999999996</v>
      </c>
      <c r="E1783" s="27">
        <v>74696.83</v>
      </c>
      <c r="F1783" s="27">
        <v>3398.55</v>
      </c>
      <c r="G1783" s="27">
        <v>27685.35</v>
      </c>
      <c r="H1783" s="27">
        <v>635.89</v>
      </c>
      <c r="I1783" s="27">
        <v>7805.52</v>
      </c>
      <c r="J1783" s="6">
        <v>4408</v>
      </c>
      <c r="K1783" s="6">
        <v>507</v>
      </c>
      <c r="L1783" s="27">
        <v>6.280705535390199</v>
      </c>
      <c r="M1783" s="27">
        <v>15.395502958579883</v>
      </c>
      <c r="N1783" s="34">
        <v>14.995963377416073</v>
      </c>
    </row>
    <row r="1784" spans="1:14" x14ac:dyDescent="0.35">
      <c r="A1784" s="82">
        <v>1781</v>
      </c>
      <c r="B1784" s="89" t="str">
        <f>_xlfn.XLOOKUP(A1784,'Model Modeshare by TAZ'!A:A,'Model Modeshare by TAZ'!B:B)</f>
        <v>San Francisco</v>
      </c>
      <c r="C1784" s="90" t="str">
        <f>_xlfn.XLOOKUP(A1784,'Model Modeshare by TAZ'!A:A,'Model Modeshare by TAZ'!D:D)</f>
        <v>NO</v>
      </c>
      <c r="D1784" s="27">
        <v>8734.42</v>
      </c>
      <c r="E1784" s="27">
        <v>179182.51</v>
      </c>
      <c r="F1784" s="27">
        <v>4616.75</v>
      </c>
      <c r="G1784" s="27">
        <v>42890.25</v>
      </c>
      <c r="H1784" s="27">
        <v>2643.59</v>
      </c>
      <c r="I1784" s="27">
        <v>33579.67</v>
      </c>
      <c r="J1784" s="6">
        <v>6875</v>
      </c>
      <c r="K1784" s="6">
        <v>3468</v>
      </c>
      <c r="L1784" s="27">
        <v>6.2385818181818182</v>
      </c>
      <c r="M1784" s="27">
        <v>9.6827191464821212</v>
      </c>
      <c r="N1784" s="34">
        <v>17.977534564439718</v>
      </c>
    </row>
    <row r="1785" spans="1:14" x14ac:dyDescent="0.35">
      <c r="A1785" s="82">
        <v>1782</v>
      </c>
      <c r="B1785" s="89" t="str">
        <f>_xlfn.XLOOKUP(A1785,'Model Modeshare by TAZ'!A:A,'Model Modeshare by TAZ'!B:B)</f>
        <v>San Francisco</v>
      </c>
      <c r="C1785" s="90" t="str">
        <f>_xlfn.XLOOKUP(A1785,'Model Modeshare by TAZ'!A:A,'Model Modeshare by TAZ'!D:D)</f>
        <v>NO</v>
      </c>
      <c r="D1785" s="27">
        <v>5204.41</v>
      </c>
      <c r="E1785" s="27">
        <v>103897.22</v>
      </c>
      <c r="F1785" s="27">
        <v>2489.66</v>
      </c>
      <c r="G1785" s="27">
        <v>22641.599999999999</v>
      </c>
      <c r="H1785" s="27">
        <v>1213.94</v>
      </c>
      <c r="I1785" s="27">
        <v>15610.33</v>
      </c>
      <c r="J1785" s="6">
        <v>3143</v>
      </c>
      <c r="K1785" s="6">
        <v>1269</v>
      </c>
      <c r="L1785" s="27">
        <v>7.2038180082723509</v>
      </c>
      <c r="M1785" s="27">
        <v>12.301284475965327</v>
      </c>
      <c r="N1785" s="34">
        <v>21.072581595648231</v>
      </c>
    </row>
    <row r="1786" spans="1:14" x14ac:dyDescent="0.35">
      <c r="A1786" s="82">
        <v>1783</v>
      </c>
      <c r="B1786" s="89" t="str">
        <f>_xlfn.XLOOKUP(A1786,'Model Modeshare by TAZ'!A:A,'Model Modeshare by TAZ'!B:B)</f>
        <v>San Francisco</v>
      </c>
      <c r="C1786" s="90" t="str">
        <f>_xlfn.XLOOKUP(A1786,'Model Modeshare by TAZ'!A:A,'Model Modeshare by TAZ'!D:D)</f>
        <v>NO</v>
      </c>
      <c r="D1786" s="27">
        <v>5606.26</v>
      </c>
      <c r="E1786" s="27">
        <v>86530.32</v>
      </c>
      <c r="F1786" s="27">
        <v>4430.92</v>
      </c>
      <c r="G1786" s="27">
        <v>29016.7</v>
      </c>
      <c r="H1786" s="27">
        <v>1383.64</v>
      </c>
      <c r="I1786" s="27">
        <v>15304.91</v>
      </c>
      <c r="J1786" s="6">
        <v>3741</v>
      </c>
      <c r="K1786" s="6">
        <v>1208</v>
      </c>
      <c r="L1786" s="27">
        <v>7.7564020315423683</v>
      </c>
      <c r="M1786" s="27">
        <v>12.669627483443708</v>
      </c>
      <c r="N1786" s="34">
        <v>20.114364518084461</v>
      </c>
    </row>
    <row r="1787" spans="1:14" x14ac:dyDescent="0.35">
      <c r="A1787" s="82">
        <v>1784</v>
      </c>
      <c r="B1787" s="89" t="str">
        <f>_xlfn.XLOOKUP(A1787,'Model Modeshare by TAZ'!A:A,'Model Modeshare by TAZ'!B:B)</f>
        <v>San Francisco</v>
      </c>
      <c r="C1787" s="90" t="str">
        <f>_xlfn.XLOOKUP(A1787,'Model Modeshare by TAZ'!A:A,'Model Modeshare by TAZ'!D:D)</f>
        <v>NO</v>
      </c>
      <c r="D1787" s="27">
        <v>4842.29</v>
      </c>
      <c r="E1787" s="27">
        <v>94640.26</v>
      </c>
      <c r="F1787" s="27">
        <v>3662.88</v>
      </c>
      <c r="G1787" s="27">
        <v>31912.57</v>
      </c>
      <c r="H1787" s="27">
        <v>1271.1500000000001</v>
      </c>
      <c r="I1787" s="27">
        <v>16136.42</v>
      </c>
      <c r="J1787" s="6">
        <v>4777</v>
      </c>
      <c r="K1787" s="6">
        <v>959</v>
      </c>
      <c r="L1787" s="27">
        <v>6.680462633451957</v>
      </c>
      <c r="M1787" s="27">
        <v>16.826298227320127</v>
      </c>
      <c r="N1787" s="34">
        <v>16.619379358437936</v>
      </c>
    </row>
    <row r="1788" spans="1:14" x14ac:dyDescent="0.35">
      <c r="A1788" s="82">
        <v>1785</v>
      </c>
      <c r="B1788" s="89" t="str">
        <f>_xlfn.XLOOKUP(A1788,'Model Modeshare by TAZ'!A:A,'Model Modeshare by TAZ'!B:B)</f>
        <v>San Francisco</v>
      </c>
      <c r="C1788" s="90" t="str">
        <f>_xlfn.XLOOKUP(A1788,'Model Modeshare by TAZ'!A:A,'Model Modeshare by TAZ'!D:D)</f>
        <v>NO</v>
      </c>
      <c r="D1788" s="27">
        <v>5843.81</v>
      </c>
      <c r="E1788" s="27">
        <v>104423.1</v>
      </c>
      <c r="F1788" s="27">
        <v>3534.91</v>
      </c>
      <c r="G1788" s="27">
        <v>26333.81</v>
      </c>
      <c r="H1788" s="27">
        <v>1004.5</v>
      </c>
      <c r="I1788" s="27">
        <v>12587.45</v>
      </c>
      <c r="J1788" s="6">
        <v>3696</v>
      </c>
      <c r="K1788" s="6">
        <v>1031</v>
      </c>
      <c r="L1788" s="27">
        <v>7.1249485930735936</v>
      </c>
      <c r="M1788" s="27">
        <v>12.208971871968963</v>
      </c>
      <c r="N1788" s="34">
        <v>18.42630844087159</v>
      </c>
    </row>
    <row r="1789" spans="1:14" x14ac:dyDescent="0.35">
      <c r="A1789" s="82">
        <v>1786</v>
      </c>
      <c r="B1789" s="89" t="str">
        <f>_xlfn.XLOOKUP(A1789,'Model Modeshare by TAZ'!A:A,'Model Modeshare by TAZ'!B:B)</f>
        <v>San Francisco</v>
      </c>
      <c r="C1789" s="90" t="str">
        <f>_xlfn.XLOOKUP(A1789,'Model Modeshare by TAZ'!A:A,'Model Modeshare by TAZ'!D:D)</f>
        <v>NO</v>
      </c>
      <c r="D1789" s="27">
        <v>8376.64</v>
      </c>
      <c r="E1789" s="27">
        <v>144312.23000000001</v>
      </c>
      <c r="F1789" s="27">
        <v>5662.35</v>
      </c>
      <c r="G1789" s="27">
        <v>38858.839999999997</v>
      </c>
      <c r="H1789" s="27">
        <v>1720.2</v>
      </c>
      <c r="I1789" s="27">
        <v>21011.69</v>
      </c>
      <c r="J1789" s="6">
        <v>6742</v>
      </c>
      <c r="K1789" s="6">
        <v>1637</v>
      </c>
      <c r="L1789" s="27">
        <v>5.7636962325719363</v>
      </c>
      <c r="M1789" s="27">
        <v>12.835485644471593</v>
      </c>
      <c r="N1789" s="34">
        <v>15.476787206110515</v>
      </c>
    </row>
    <row r="1790" spans="1:14" x14ac:dyDescent="0.35">
      <c r="A1790" s="82">
        <v>1787</v>
      </c>
      <c r="B1790" s="89" t="str">
        <f>_xlfn.XLOOKUP(A1790,'Model Modeshare by TAZ'!A:A,'Model Modeshare by TAZ'!B:B)</f>
        <v>San Francisco</v>
      </c>
      <c r="C1790" s="90" t="str">
        <f>_xlfn.XLOOKUP(A1790,'Model Modeshare by TAZ'!A:A,'Model Modeshare by TAZ'!D:D)</f>
        <v>NO</v>
      </c>
      <c r="D1790" s="27">
        <v>6877.12</v>
      </c>
      <c r="E1790" s="27">
        <v>110825.35</v>
      </c>
      <c r="F1790" s="27">
        <v>4930.2</v>
      </c>
      <c r="G1790" s="27">
        <v>34321.050000000003</v>
      </c>
      <c r="H1790" s="27">
        <v>2280.5300000000002</v>
      </c>
      <c r="I1790" s="27">
        <v>26707.52</v>
      </c>
      <c r="J1790" s="6">
        <v>4942</v>
      </c>
      <c r="K1790" s="6">
        <v>2565</v>
      </c>
      <c r="L1790" s="27">
        <v>6.9447693241602595</v>
      </c>
      <c r="M1790" s="27">
        <v>10.412288499025342</v>
      </c>
      <c r="N1790" s="34">
        <v>19.969930731317437</v>
      </c>
    </row>
    <row r="1791" spans="1:14" x14ac:dyDescent="0.35">
      <c r="A1791" s="82">
        <v>1788</v>
      </c>
      <c r="B1791" s="89" t="str">
        <f>_xlfn.XLOOKUP(A1791,'Model Modeshare by TAZ'!A:A,'Model Modeshare by TAZ'!B:B)</f>
        <v>San Francisco</v>
      </c>
      <c r="C1791" s="90" t="str">
        <f>_xlfn.XLOOKUP(A1791,'Model Modeshare by TAZ'!A:A,'Model Modeshare by TAZ'!D:D)</f>
        <v>NO</v>
      </c>
      <c r="D1791" s="27">
        <v>10225.44</v>
      </c>
      <c r="E1791" s="27">
        <v>163060.14000000001</v>
      </c>
      <c r="F1791" s="27">
        <v>5623.84</v>
      </c>
      <c r="G1791" s="27">
        <v>38036.47</v>
      </c>
      <c r="H1791" s="27">
        <v>1913.25</v>
      </c>
      <c r="I1791" s="27">
        <v>21596.23</v>
      </c>
      <c r="J1791" s="6">
        <v>5145</v>
      </c>
      <c r="K1791" s="6">
        <v>1902</v>
      </c>
      <c r="L1791" s="27">
        <v>7.3928999028182707</v>
      </c>
      <c r="M1791" s="27">
        <v>11.354484752891693</v>
      </c>
      <c r="N1791" s="34">
        <v>21.698914431673053</v>
      </c>
    </row>
    <row r="1792" spans="1:14" x14ac:dyDescent="0.35">
      <c r="A1792" s="82">
        <v>1789</v>
      </c>
      <c r="B1792" s="89" t="str">
        <f>_xlfn.XLOOKUP(A1792,'Model Modeshare by TAZ'!A:A,'Model Modeshare by TAZ'!B:B)</f>
        <v>San Francisco</v>
      </c>
      <c r="C1792" s="90" t="str">
        <f>_xlfn.XLOOKUP(A1792,'Model Modeshare by TAZ'!A:A,'Model Modeshare by TAZ'!D:D)</f>
        <v>NO</v>
      </c>
      <c r="D1792" s="27">
        <v>9683.33</v>
      </c>
      <c r="E1792" s="27">
        <v>152247.56</v>
      </c>
      <c r="F1792" s="27">
        <v>8196.19</v>
      </c>
      <c r="G1792" s="27">
        <v>58070.64</v>
      </c>
      <c r="H1792" s="27">
        <v>2138.83</v>
      </c>
      <c r="I1792" s="27">
        <v>24568.98</v>
      </c>
      <c r="J1792" s="6">
        <v>7171</v>
      </c>
      <c r="K1792" s="6">
        <v>1550</v>
      </c>
      <c r="L1792" s="27">
        <v>8.0979835448333564</v>
      </c>
      <c r="M1792" s="27">
        <v>15.850954838709677</v>
      </c>
      <c r="N1792" s="34">
        <v>20.240309597523218</v>
      </c>
    </row>
    <row r="1793" spans="1:14" x14ac:dyDescent="0.35">
      <c r="A1793" s="82">
        <v>1790</v>
      </c>
      <c r="B1793" s="89" t="str">
        <f>_xlfn.XLOOKUP(A1793,'Model Modeshare by TAZ'!A:A,'Model Modeshare by TAZ'!B:B)</f>
        <v>San Francisco</v>
      </c>
      <c r="C1793" s="90" t="str">
        <f>_xlfn.XLOOKUP(A1793,'Model Modeshare by TAZ'!A:A,'Model Modeshare by TAZ'!D:D)</f>
        <v>NO</v>
      </c>
      <c r="D1793" s="27">
        <v>35963.040000000001</v>
      </c>
      <c r="E1793" s="27">
        <v>793009.47</v>
      </c>
      <c r="F1793" s="27">
        <v>5269.65</v>
      </c>
      <c r="G1793" s="27">
        <v>39293.69</v>
      </c>
      <c r="H1793" s="27">
        <v>4462.72</v>
      </c>
      <c r="I1793" s="27">
        <v>50803.5</v>
      </c>
      <c r="J1793" s="6">
        <v>4232</v>
      </c>
      <c r="K1793" s="6">
        <v>5842</v>
      </c>
      <c r="L1793" s="27">
        <v>9.2848983931947071</v>
      </c>
      <c r="M1793" s="27">
        <v>8.6962512838069159</v>
      </c>
      <c r="N1793" s="34">
        <v>21.253648004764742</v>
      </c>
    </row>
    <row r="1794" spans="1:14" x14ac:dyDescent="0.35">
      <c r="A1794" s="82">
        <v>1791</v>
      </c>
      <c r="B1794" s="89" t="str">
        <f>_xlfn.XLOOKUP(A1794,'Model Modeshare by TAZ'!A:A,'Model Modeshare by TAZ'!B:B)</f>
        <v>San Francisco</v>
      </c>
      <c r="C1794" s="90" t="str">
        <f>_xlfn.XLOOKUP(A1794,'Model Modeshare by TAZ'!A:A,'Model Modeshare by TAZ'!D:D)</f>
        <v>NO</v>
      </c>
      <c r="D1794" s="27">
        <v>7498.05</v>
      </c>
      <c r="E1794" s="27">
        <v>121633.27</v>
      </c>
      <c r="F1794" s="27">
        <v>6249.77</v>
      </c>
      <c r="G1794" s="27">
        <v>41865.300000000003</v>
      </c>
      <c r="H1794" s="27">
        <v>5952.3</v>
      </c>
      <c r="I1794" s="27">
        <v>69260.42</v>
      </c>
      <c r="J1794" s="6">
        <v>4738</v>
      </c>
      <c r="K1794" s="6">
        <v>6015</v>
      </c>
      <c r="L1794" s="27">
        <v>8.8360700717602363</v>
      </c>
      <c r="M1794" s="27">
        <v>11.514616791354946</v>
      </c>
      <c r="N1794" s="34">
        <v>25.759069096996189</v>
      </c>
    </row>
    <row r="1795" spans="1:14" x14ac:dyDescent="0.35">
      <c r="A1795" s="82">
        <v>1792</v>
      </c>
      <c r="B1795" s="89" t="str">
        <f>_xlfn.XLOOKUP(A1795,'Model Modeshare by TAZ'!A:A,'Model Modeshare by TAZ'!B:B)</f>
        <v>San Francisco</v>
      </c>
      <c r="C1795" s="90" t="str">
        <f>_xlfn.XLOOKUP(A1795,'Model Modeshare by TAZ'!A:A,'Model Modeshare by TAZ'!D:D)</f>
        <v>NO</v>
      </c>
      <c r="D1795" s="27">
        <v>4747.05</v>
      </c>
      <c r="E1795" s="27">
        <v>75596.78</v>
      </c>
      <c r="F1795" s="27">
        <v>2946.95</v>
      </c>
      <c r="G1795" s="27">
        <v>20284.41</v>
      </c>
      <c r="H1795" s="27">
        <v>2112.4</v>
      </c>
      <c r="I1795" s="27">
        <v>21635.69</v>
      </c>
      <c r="J1795" s="6">
        <v>2222</v>
      </c>
      <c r="K1795" s="6">
        <v>1975</v>
      </c>
      <c r="L1795" s="27">
        <v>9.1288973897389738</v>
      </c>
      <c r="M1795" s="27">
        <v>10.954779746835442</v>
      </c>
      <c r="N1795" s="34">
        <v>21.249921372408863</v>
      </c>
    </row>
    <row r="1796" spans="1:14" x14ac:dyDescent="0.35">
      <c r="A1796" s="82">
        <v>1793</v>
      </c>
      <c r="B1796" s="89" t="str">
        <f>_xlfn.XLOOKUP(A1796,'Model Modeshare by TAZ'!A:A,'Model Modeshare by TAZ'!B:B)</f>
        <v>San Francisco</v>
      </c>
      <c r="C1796" s="90" t="str">
        <f>_xlfn.XLOOKUP(A1796,'Model Modeshare by TAZ'!A:A,'Model Modeshare by TAZ'!D:D)</f>
        <v>NO</v>
      </c>
      <c r="D1796" s="27">
        <v>10271.379999999999</v>
      </c>
      <c r="E1796" s="27">
        <v>159267.6</v>
      </c>
      <c r="F1796" s="27">
        <v>10076.219999999999</v>
      </c>
      <c r="G1796" s="27">
        <v>69045.14</v>
      </c>
      <c r="H1796" s="27">
        <v>1336.83</v>
      </c>
      <c r="I1796" s="27">
        <v>14116.77</v>
      </c>
      <c r="J1796" s="6">
        <v>6917</v>
      </c>
      <c r="K1796" s="6">
        <v>839</v>
      </c>
      <c r="L1796" s="27">
        <v>9.981948821743531</v>
      </c>
      <c r="M1796" s="27">
        <v>16.825709177592373</v>
      </c>
      <c r="N1796" s="34">
        <v>19.720279783393501</v>
      </c>
    </row>
    <row r="1797" spans="1:14" x14ac:dyDescent="0.35">
      <c r="A1797" s="82">
        <v>1794</v>
      </c>
      <c r="B1797" s="89" t="str">
        <f>_xlfn.XLOOKUP(A1797,'Model Modeshare by TAZ'!A:A,'Model Modeshare by TAZ'!B:B)</f>
        <v>San Francisco</v>
      </c>
      <c r="C1797" s="90" t="str">
        <f>_xlfn.XLOOKUP(A1797,'Model Modeshare by TAZ'!A:A,'Model Modeshare by TAZ'!D:D)</f>
        <v>NO</v>
      </c>
      <c r="D1797" s="27">
        <v>6201.09</v>
      </c>
      <c r="E1797" s="27">
        <v>110466.13</v>
      </c>
      <c r="F1797" s="27">
        <v>2840.34</v>
      </c>
      <c r="G1797" s="27">
        <v>21392.58</v>
      </c>
      <c r="H1797" s="27">
        <v>1106.1099999999999</v>
      </c>
      <c r="I1797" s="27">
        <v>12890.13</v>
      </c>
      <c r="J1797" s="6">
        <v>2562</v>
      </c>
      <c r="K1797" s="6">
        <v>1225</v>
      </c>
      <c r="L1797" s="27">
        <v>8.3499531615925058</v>
      </c>
      <c r="M1797" s="27">
        <v>10.522555102040815</v>
      </c>
      <c r="N1797" s="34">
        <v>28.59426722999736</v>
      </c>
    </row>
    <row r="1798" spans="1:14" x14ac:dyDescent="0.35">
      <c r="A1798" s="82">
        <v>1795</v>
      </c>
      <c r="B1798" s="89" t="str">
        <f>_xlfn.XLOOKUP(A1798,'Model Modeshare by TAZ'!A:A,'Model Modeshare by TAZ'!B:B)</f>
        <v>San Francisco</v>
      </c>
      <c r="C1798" s="90" t="str">
        <f>_xlfn.XLOOKUP(A1798,'Model Modeshare by TAZ'!A:A,'Model Modeshare by TAZ'!D:D)</f>
        <v>NO</v>
      </c>
      <c r="D1798" s="27">
        <v>5178.5600000000004</v>
      </c>
      <c r="E1798" s="27">
        <v>77349.649999999994</v>
      </c>
      <c r="F1798" s="27">
        <v>3795.86</v>
      </c>
      <c r="G1798" s="27">
        <v>26072.62</v>
      </c>
      <c r="H1798" s="27">
        <v>830.49</v>
      </c>
      <c r="I1798" s="27">
        <v>8774.18</v>
      </c>
      <c r="J1798" s="6">
        <v>2798</v>
      </c>
      <c r="K1798" s="6">
        <v>704</v>
      </c>
      <c r="L1798" s="27">
        <v>9.3183059328091495</v>
      </c>
      <c r="M1798" s="27">
        <v>12.463323863636363</v>
      </c>
      <c r="N1798" s="34">
        <v>23.901878926327814</v>
      </c>
    </row>
    <row r="1799" spans="1:14" x14ac:dyDescent="0.35">
      <c r="A1799" s="82">
        <v>1796</v>
      </c>
      <c r="B1799" s="89" t="str">
        <f>_xlfn.XLOOKUP(A1799,'Model Modeshare by TAZ'!A:A,'Model Modeshare by TAZ'!B:B)</f>
        <v>San Francisco</v>
      </c>
      <c r="C1799" s="90" t="str">
        <f>_xlfn.XLOOKUP(A1799,'Model Modeshare by TAZ'!A:A,'Model Modeshare by TAZ'!D:D)</f>
        <v>NO</v>
      </c>
      <c r="D1799" s="27">
        <v>4007.01</v>
      </c>
      <c r="E1799" s="27">
        <v>62054.65</v>
      </c>
      <c r="F1799" s="27">
        <v>3419.26</v>
      </c>
      <c r="G1799" s="27">
        <v>24774.080000000002</v>
      </c>
      <c r="H1799" s="27">
        <v>642.82000000000005</v>
      </c>
      <c r="I1799" s="27">
        <v>7011.19</v>
      </c>
      <c r="J1799" s="6">
        <v>2501</v>
      </c>
      <c r="K1799" s="6">
        <v>533</v>
      </c>
      <c r="L1799" s="27">
        <v>9.9056697321071585</v>
      </c>
      <c r="M1799" s="27">
        <v>13.15420262664165</v>
      </c>
      <c r="N1799" s="34">
        <v>20.640751483190506</v>
      </c>
    </row>
    <row r="1800" spans="1:14" x14ac:dyDescent="0.35">
      <c r="A1800" s="82">
        <v>1797</v>
      </c>
      <c r="B1800" s="89" t="str">
        <f>_xlfn.XLOOKUP(A1800,'Model Modeshare by TAZ'!A:A,'Model Modeshare by TAZ'!B:B)</f>
        <v>San Francisco</v>
      </c>
      <c r="C1800" s="90" t="str">
        <f>_xlfn.XLOOKUP(A1800,'Model Modeshare by TAZ'!A:A,'Model Modeshare by TAZ'!D:D)</f>
        <v>NO</v>
      </c>
      <c r="D1800" s="27">
        <v>6406.74</v>
      </c>
      <c r="E1800" s="27">
        <v>99718.55</v>
      </c>
      <c r="F1800" s="27">
        <v>3957.07</v>
      </c>
      <c r="G1800" s="27">
        <v>28428.19</v>
      </c>
      <c r="H1800" s="27">
        <v>864.98</v>
      </c>
      <c r="I1800" s="27">
        <v>9178.31</v>
      </c>
      <c r="J1800" s="6">
        <v>3373</v>
      </c>
      <c r="K1800" s="6">
        <v>774</v>
      </c>
      <c r="L1800" s="27">
        <v>8.4281618737029351</v>
      </c>
      <c r="M1800" s="27">
        <v>11.858281653746769</v>
      </c>
      <c r="N1800" s="34">
        <v>21.316276826621657</v>
      </c>
    </row>
    <row r="1801" spans="1:14" x14ac:dyDescent="0.35">
      <c r="A1801" s="82">
        <v>1798</v>
      </c>
      <c r="B1801" s="89" t="str">
        <f>_xlfn.XLOOKUP(A1801,'Model Modeshare by TAZ'!A:A,'Model Modeshare by TAZ'!B:B)</f>
        <v>San Francisco</v>
      </c>
      <c r="C1801" s="90" t="str">
        <f>_xlfn.XLOOKUP(A1801,'Model Modeshare by TAZ'!A:A,'Model Modeshare by TAZ'!D:D)</f>
        <v>NO</v>
      </c>
      <c r="D1801" s="27">
        <v>6746.29</v>
      </c>
      <c r="E1801" s="27">
        <v>109429.24</v>
      </c>
      <c r="F1801" s="27">
        <v>4508.13</v>
      </c>
      <c r="G1801" s="27">
        <v>32319.119999999999</v>
      </c>
      <c r="H1801" s="27">
        <v>1043.74</v>
      </c>
      <c r="I1801" s="27">
        <v>11705.2</v>
      </c>
      <c r="J1801" s="6">
        <v>3923</v>
      </c>
      <c r="K1801" s="6">
        <v>979</v>
      </c>
      <c r="L1801" s="27">
        <v>8.2383685954626564</v>
      </c>
      <c r="M1801" s="27">
        <v>11.956281920326864</v>
      </c>
      <c r="N1801" s="34">
        <v>20.456001631986947</v>
      </c>
    </row>
    <row r="1802" spans="1:14" x14ac:dyDescent="0.35">
      <c r="A1802" s="82">
        <v>1799</v>
      </c>
      <c r="B1802" s="89" t="str">
        <f>_xlfn.XLOOKUP(A1802,'Model Modeshare by TAZ'!A:A,'Model Modeshare by TAZ'!B:B)</f>
        <v>San Francisco</v>
      </c>
      <c r="C1802" s="90" t="str">
        <f>_xlfn.XLOOKUP(A1802,'Model Modeshare by TAZ'!A:A,'Model Modeshare by TAZ'!D:D)</f>
        <v>NO</v>
      </c>
      <c r="D1802" s="27">
        <v>5290.34</v>
      </c>
      <c r="E1802" s="27">
        <v>98009.05</v>
      </c>
      <c r="F1802" s="27">
        <v>3204.5</v>
      </c>
      <c r="G1802" s="27">
        <v>26288.36</v>
      </c>
      <c r="H1802" s="27">
        <v>822.25</v>
      </c>
      <c r="I1802" s="27">
        <v>9607.6299999999992</v>
      </c>
      <c r="J1802" s="6">
        <v>4335</v>
      </c>
      <c r="K1802" s="6">
        <v>625</v>
      </c>
      <c r="L1802" s="27">
        <v>6.0642122260668971</v>
      </c>
      <c r="M1802" s="27">
        <v>15.372207999999999</v>
      </c>
      <c r="N1802" s="34">
        <v>15.663425403225805</v>
      </c>
    </row>
    <row r="1803" spans="1:14" x14ac:dyDescent="0.35">
      <c r="A1803" s="82">
        <v>1800</v>
      </c>
      <c r="B1803" s="89" t="str">
        <f>_xlfn.XLOOKUP(A1803,'Model Modeshare by TAZ'!A:A,'Model Modeshare by TAZ'!B:B)</f>
        <v>San Francisco</v>
      </c>
      <c r="C1803" s="90" t="str">
        <f>_xlfn.XLOOKUP(A1803,'Model Modeshare by TAZ'!A:A,'Model Modeshare by TAZ'!D:D)</f>
        <v>NO</v>
      </c>
      <c r="D1803" s="27">
        <v>10117.26</v>
      </c>
      <c r="E1803" s="27">
        <v>192519.7</v>
      </c>
      <c r="F1803" s="27">
        <v>3126.92</v>
      </c>
      <c r="G1803" s="27">
        <v>29894.87</v>
      </c>
      <c r="H1803" s="27">
        <v>1036.78</v>
      </c>
      <c r="I1803" s="27">
        <v>12761.64</v>
      </c>
      <c r="J1803" s="6">
        <v>4634</v>
      </c>
      <c r="K1803" s="6">
        <v>1131</v>
      </c>
      <c r="L1803" s="27">
        <v>6.4512019853258522</v>
      </c>
      <c r="M1803" s="27">
        <v>11.283501326259946</v>
      </c>
      <c r="N1803" s="34">
        <v>18.748926279271465</v>
      </c>
    </row>
    <row r="1804" spans="1:14" x14ac:dyDescent="0.35">
      <c r="A1804" s="82">
        <v>1801</v>
      </c>
      <c r="B1804" s="89" t="str">
        <f>_xlfn.XLOOKUP(A1804,'Model Modeshare by TAZ'!A:A,'Model Modeshare by TAZ'!B:B)</f>
        <v>San Francisco</v>
      </c>
      <c r="C1804" s="90" t="str">
        <f>_xlfn.XLOOKUP(A1804,'Model Modeshare by TAZ'!A:A,'Model Modeshare by TAZ'!D:D)</f>
        <v>NO</v>
      </c>
      <c r="D1804" s="27">
        <v>9437.93</v>
      </c>
      <c r="E1804" s="27">
        <v>180294.14</v>
      </c>
      <c r="F1804" s="27">
        <v>4415.3900000000003</v>
      </c>
      <c r="G1804" s="27">
        <v>39884.379999999997</v>
      </c>
      <c r="H1804" s="27">
        <v>2059.38</v>
      </c>
      <c r="I1804" s="27">
        <v>23955.57</v>
      </c>
      <c r="J1804" s="6">
        <v>6926</v>
      </c>
      <c r="K1804" s="6">
        <v>1810</v>
      </c>
      <c r="L1804" s="27">
        <v>5.7586456829338717</v>
      </c>
      <c r="M1804" s="27">
        <v>13.235121546961325</v>
      </c>
      <c r="N1804" s="34">
        <v>17.337985347985349</v>
      </c>
    </row>
    <row r="1805" spans="1:14" x14ac:dyDescent="0.35">
      <c r="A1805" s="82">
        <v>1802</v>
      </c>
      <c r="B1805" s="89" t="str">
        <f>_xlfn.XLOOKUP(A1805,'Model Modeshare by TAZ'!A:A,'Model Modeshare by TAZ'!B:B)</f>
        <v>San Francisco</v>
      </c>
      <c r="C1805" s="90" t="str">
        <f>_xlfn.XLOOKUP(A1805,'Model Modeshare by TAZ'!A:A,'Model Modeshare by TAZ'!D:D)</f>
        <v>NO</v>
      </c>
      <c r="D1805" s="27">
        <v>7698.28</v>
      </c>
      <c r="E1805" s="27">
        <v>137863.45000000001</v>
      </c>
      <c r="F1805" s="27">
        <v>4451.3</v>
      </c>
      <c r="G1805" s="27">
        <v>36792.15</v>
      </c>
      <c r="H1805" s="27">
        <v>1156.8900000000001</v>
      </c>
      <c r="I1805" s="27">
        <v>13217.06</v>
      </c>
      <c r="J1805" s="6">
        <v>5351</v>
      </c>
      <c r="K1805" s="6">
        <v>843</v>
      </c>
      <c r="L1805" s="27">
        <v>6.8757521958512431</v>
      </c>
      <c r="M1805" s="27">
        <v>15.678600237247924</v>
      </c>
      <c r="N1805" s="34">
        <v>17.759694865999354</v>
      </c>
    </row>
    <row r="1806" spans="1:14" x14ac:dyDescent="0.35">
      <c r="A1806" s="82">
        <v>1803</v>
      </c>
      <c r="B1806" s="89" t="str">
        <f>_xlfn.XLOOKUP(A1806,'Model Modeshare by TAZ'!A:A,'Model Modeshare by TAZ'!B:B)</f>
        <v>San Francisco</v>
      </c>
      <c r="C1806" s="90" t="str">
        <f>_xlfn.XLOOKUP(A1806,'Model Modeshare by TAZ'!A:A,'Model Modeshare by TAZ'!D:D)</f>
        <v>NO</v>
      </c>
      <c r="D1806" s="27">
        <v>9688.74</v>
      </c>
      <c r="E1806" s="27">
        <v>159390.54999999999</v>
      </c>
      <c r="F1806" s="27">
        <v>5377.04</v>
      </c>
      <c r="G1806" s="27">
        <v>39166.53</v>
      </c>
      <c r="H1806" s="27">
        <v>1435.33</v>
      </c>
      <c r="I1806" s="27">
        <v>16780.22</v>
      </c>
      <c r="J1806" s="6">
        <v>4798</v>
      </c>
      <c r="K1806" s="6">
        <v>1021</v>
      </c>
      <c r="L1806" s="27">
        <v>8.163095039599833</v>
      </c>
      <c r="M1806" s="27">
        <v>16.435083251714008</v>
      </c>
      <c r="N1806" s="34">
        <v>25.803005671077504</v>
      </c>
    </row>
    <row r="1807" spans="1:14" x14ac:dyDescent="0.35">
      <c r="A1807" s="82">
        <v>1804</v>
      </c>
      <c r="B1807" s="89" t="str">
        <f>_xlfn.XLOOKUP(A1807,'Model Modeshare by TAZ'!A:A,'Model Modeshare by TAZ'!B:B)</f>
        <v>San Francisco</v>
      </c>
      <c r="C1807" s="90" t="str">
        <f>_xlfn.XLOOKUP(A1807,'Model Modeshare by TAZ'!A:A,'Model Modeshare by TAZ'!D:D)</f>
        <v>NO</v>
      </c>
      <c r="D1807" s="27">
        <v>5934.1</v>
      </c>
      <c r="E1807" s="27">
        <v>110914.86</v>
      </c>
      <c r="F1807" s="27">
        <v>2752.83</v>
      </c>
      <c r="G1807" s="27">
        <v>21312.9</v>
      </c>
      <c r="H1807" s="27">
        <v>1384.91</v>
      </c>
      <c r="I1807" s="27">
        <v>16421.75</v>
      </c>
      <c r="J1807" s="6">
        <v>3358</v>
      </c>
      <c r="K1807" s="6">
        <v>1650</v>
      </c>
      <c r="L1807" s="27">
        <v>6.3469029184038126</v>
      </c>
      <c r="M1807" s="27">
        <v>9.9525757575757581</v>
      </c>
      <c r="N1807" s="34">
        <v>20.704103434504791</v>
      </c>
    </row>
    <row r="1808" spans="1:14" x14ac:dyDescent="0.35">
      <c r="A1808" s="82">
        <v>1805</v>
      </c>
      <c r="B1808" s="89" t="str">
        <f>_xlfn.XLOOKUP(A1808,'Model Modeshare by TAZ'!A:A,'Model Modeshare by TAZ'!B:B)</f>
        <v>San Francisco</v>
      </c>
      <c r="C1808" s="90" t="str">
        <f>_xlfn.XLOOKUP(A1808,'Model Modeshare by TAZ'!A:A,'Model Modeshare by TAZ'!D:D)</f>
        <v>NO</v>
      </c>
      <c r="D1808" s="27">
        <v>6320.46</v>
      </c>
      <c r="E1808" s="27">
        <v>121853.88</v>
      </c>
      <c r="F1808" s="27">
        <v>3820.22</v>
      </c>
      <c r="G1808" s="27">
        <v>33117.4</v>
      </c>
      <c r="H1808" s="27">
        <v>1866.5</v>
      </c>
      <c r="I1808" s="27">
        <v>22396.06</v>
      </c>
      <c r="J1808" s="6">
        <v>6827</v>
      </c>
      <c r="K1808" s="6">
        <v>2369</v>
      </c>
      <c r="L1808" s="27">
        <v>4.8509447780870074</v>
      </c>
      <c r="M1808" s="27">
        <v>9.4538032925284927</v>
      </c>
      <c r="N1808" s="34">
        <v>16.077495650282732</v>
      </c>
    </row>
    <row r="1809" spans="1:14" x14ac:dyDescent="0.35">
      <c r="A1809" s="82">
        <v>1806</v>
      </c>
      <c r="B1809" s="89" t="str">
        <f>_xlfn.XLOOKUP(A1809,'Model Modeshare by TAZ'!A:A,'Model Modeshare by TAZ'!B:B)</f>
        <v>San Francisco</v>
      </c>
      <c r="C1809" s="90" t="str">
        <f>_xlfn.XLOOKUP(A1809,'Model Modeshare by TAZ'!A:A,'Model Modeshare by TAZ'!D:D)</f>
        <v>NO</v>
      </c>
      <c r="D1809" s="27">
        <v>9388.8700000000008</v>
      </c>
      <c r="E1809" s="27">
        <v>193670.29</v>
      </c>
      <c r="F1809" s="27">
        <v>3284.02</v>
      </c>
      <c r="G1809" s="27">
        <v>29654.46</v>
      </c>
      <c r="H1809" s="27">
        <v>7228.7</v>
      </c>
      <c r="I1809" s="27">
        <v>91841.1</v>
      </c>
      <c r="J1809" s="6">
        <v>6519</v>
      </c>
      <c r="K1809" s="6">
        <v>14390</v>
      </c>
      <c r="L1809" s="27">
        <v>4.5489277496548546</v>
      </c>
      <c r="M1809" s="27">
        <v>6.3822863099374567</v>
      </c>
      <c r="N1809" s="34">
        <v>18.56130852742838</v>
      </c>
    </row>
    <row r="1810" spans="1:14" x14ac:dyDescent="0.35">
      <c r="A1810" s="82">
        <v>1807</v>
      </c>
      <c r="B1810" s="89" t="str">
        <f>_xlfn.XLOOKUP(A1810,'Model Modeshare by TAZ'!A:A,'Model Modeshare by TAZ'!B:B)</f>
        <v>San Francisco</v>
      </c>
      <c r="C1810" s="90" t="str">
        <f>_xlfn.XLOOKUP(A1810,'Model Modeshare by TAZ'!A:A,'Model Modeshare by TAZ'!D:D)</f>
        <v>NO</v>
      </c>
      <c r="D1810" s="27">
        <v>13863.95</v>
      </c>
      <c r="E1810" s="27">
        <v>330395.96999999997</v>
      </c>
      <c r="F1810" s="27">
        <v>1654.8</v>
      </c>
      <c r="G1810" s="27">
        <v>13922.55</v>
      </c>
      <c r="H1810" s="27">
        <v>8014.34</v>
      </c>
      <c r="I1810" s="27">
        <v>104030.36</v>
      </c>
      <c r="J1810" s="6">
        <v>2501</v>
      </c>
      <c r="K1810" s="6">
        <v>13171</v>
      </c>
      <c r="L1810" s="27">
        <v>5.5667932826869251</v>
      </c>
      <c r="M1810" s="27">
        <v>7.8984405132488043</v>
      </c>
      <c r="N1810" s="34">
        <v>20.963206355283308</v>
      </c>
    </row>
    <row r="1811" spans="1:14" x14ac:dyDescent="0.35">
      <c r="A1811" s="82">
        <v>1808</v>
      </c>
      <c r="B1811" s="89" t="str">
        <f>_xlfn.XLOOKUP(A1811,'Model Modeshare by TAZ'!A:A,'Model Modeshare by TAZ'!B:B)</f>
        <v>San Francisco</v>
      </c>
      <c r="C1811" s="90" t="str">
        <f>_xlfn.XLOOKUP(A1811,'Model Modeshare by TAZ'!A:A,'Model Modeshare by TAZ'!D:D)</f>
        <v>NO</v>
      </c>
      <c r="D1811" s="27">
        <v>7201.14</v>
      </c>
      <c r="E1811" s="27">
        <v>158560.72</v>
      </c>
      <c r="F1811" s="27">
        <v>953.11</v>
      </c>
      <c r="G1811" s="27">
        <v>8036.8</v>
      </c>
      <c r="H1811" s="27">
        <v>5259.63</v>
      </c>
      <c r="I1811" s="27">
        <v>70582.84</v>
      </c>
      <c r="J1811" s="6">
        <v>1075</v>
      </c>
      <c r="K1811" s="6">
        <v>5608</v>
      </c>
      <c r="L1811" s="27">
        <v>7.4760930232558138</v>
      </c>
      <c r="M1811" s="27">
        <v>12.586098430813124</v>
      </c>
      <c r="N1811" s="34">
        <v>28.271397575938948</v>
      </c>
    </row>
    <row r="1812" spans="1:14" x14ac:dyDescent="0.35">
      <c r="A1812" s="82">
        <v>1809</v>
      </c>
      <c r="B1812" s="89" t="str">
        <f>_xlfn.XLOOKUP(A1812,'Model Modeshare by TAZ'!A:A,'Model Modeshare by TAZ'!B:B)</f>
        <v>San Francisco</v>
      </c>
      <c r="C1812" s="90" t="str">
        <f>_xlfn.XLOOKUP(A1812,'Model Modeshare by TAZ'!A:A,'Model Modeshare by TAZ'!D:D)</f>
        <v>NO</v>
      </c>
      <c r="D1812" s="27">
        <v>13982.33</v>
      </c>
      <c r="E1812" s="27">
        <v>317121.98</v>
      </c>
      <c r="F1812" s="27">
        <v>4499.1099999999997</v>
      </c>
      <c r="G1812" s="27">
        <v>43572.45</v>
      </c>
      <c r="H1812" s="27">
        <v>5562.04</v>
      </c>
      <c r="I1812" s="27">
        <v>80114.84</v>
      </c>
      <c r="J1812" s="6">
        <v>7395</v>
      </c>
      <c r="K1812" s="6">
        <v>6461</v>
      </c>
      <c r="L1812" s="27">
        <v>5.8921501014198778</v>
      </c>
      <c r="M1812" s="27">
        <v>12.399758551307846</v>
      </c>
      <c r="N1812" s="34">
        <v>23.077696304849884</v>
      </c>
    </row>
    <row r="1813" spans="1:14" x14ac:dyDescent="0.35">
      <c r="A1813" s="82">
        <v>1810</v>
      </c>
      <c r="B1813" s="89" t="str">
        <f>_xlfn.XLOOKUP(A1813,'Model Modeshare by TAZ'!A:A,'Model Modeshare by TAZ'!B:B)</f>
        <v>San Francisco</v>
      </c>
      <c r="C1813" s="90" t="str">
        <f>_xlfn.XLOOKUP(A1813,'Model Modeshare by TAZ'!A:A,'Model Modeshare by TAZ'!D:D)</f>
        <v>NO</v>
      </c>
      <c r="D1813" s="27">
        <v>6478.65</v>
      </c>
      <c r="E1813" s="27">
        <v>133688.32000000001</v>
      </c>
      <c r="F1813" s="27">
        <v>1323.98</v>
      </c>
      <c r="G1813" s="27">
        <v>10840.26</v>
      </c>
      <c r="H1813" s="27">
        <v>1749.83</v>
      </c>
      <c r="I1813" s="27">
        <v>22852.38</v>
      </c>
      <c r="J1813" s="6">
        <v>1473</v>
      </c>
      <c r="K1813" s="6">
        <v>1791</v>
      </c>
      <c r="L1813" s="27">
        <v>7.3593075356415483</v>
      </c>
      <c r="M1813" s="27">
        <v>12.759564489112229</v>
      </c>
      <c r="N1813" s="34">
        <v>23.66469056372549</v>
      </c>
    </row>
    <row r="1814" spans="1:14" x14ac:dyDescent="0.35">
      <c r="A1814" s="82">
        <v>1811</v>
      </c>
      <c r="B1814" s="89" t="str">
        <f>_xlfn.XLOOKUP(A1814,'Model Modeshare by TAZ'!A:A,'Model Modeshare by TAZ'!B:B)</f>
        <v>San Francisco</v>
      </c>
      <c r="C1814" s="90" t="str">
        <f>_xlfn.XLOOKUP(A1814,'Model Modeshare by TAZ'!A:A,'Model Modeshare by TAZ'!D:D)</f>
        <v>NO</v>
      </c>
      <c r="D1814" s="27">
        <v>7230.68</v>
      </c>
      <c r="E1814" s="27">
        <v>148210.28</v>
      </c>
      <c r="F1814" s="27">
        <v>2720.09</v>
      </c>
      <c r="G1814" s="27">
        <v>21227.27</v>
      </c>
      <c r="H1814" s="27">
        <v>3897.72</v>
      </c>
      <c r="I1814" s="27">
        <v>49361.03</v>
      </c>
      <c r="J1814" s="6">
        <v>1813</v>
      </c>
      <c r="K1814" s="6">
        <v>3889</v>
      </c>
      <c r="L1814" s="27">
        <v>11.708367346938775</v>
      </c>
      <c r="M1814" s="27">
        <v>12.692473643610182</v>
      </c>
      <c r="N1814" s="34">
        <v>25.984233602244828</v>
      </c>
    </row>
    <row r="1815" spans="1:14" x14ac:dyDescent="0.35">
      <c r="A1815" s="82">
        <v>1812</v>
      </c>
      <c r="B1815" s="89" t="str">
        <f>_xlfn.XLOOKUP(A1815,'Model Modeshare by TAZ'!A:A,'Model Modeshare by TAZ'!B:B)</f>
        <v>San Francisco</v>
      </c>
      <c r="C1815" s="90" t="str">
        <f>_xlfn.XLOOKUP(A1815,'Model Modeshare by TAZ'!A:A,'Model Modeshare by TAZ'!D:D)</f>
        <v>NO</v>
      </c>
      <c r="D1815" s="27">
        <v>3689.19</v>
      </c>
      <c r="E1815" s="27">
        <v>68442.62</v>
      </c>
      <c r="F1815" s="27">
        <v>2775.09</v>
      </c>
      <c r="G1815" s="27">
        <v>22611.94</v>
      </c>
      <c r="H1815" s="27">
        <v>947.58</v>
      </c>
      <c r="I1815" s="27">
        <v>11876.83</v>
      </c>
      <c r="J1815" s="6">
        <v>2141</v>
      </c>
      <c r="K1815" s="6">
        <v>839</v>
      </c>
      <c r="L1815" s="27">
        <v>10.561391872956563</v>
      </c>
      <c r="M1815" s="27">
        <v>14.155935637663886</v>
      </c>
      <c r="N1815" s="34">
        <v>20.730825503355703</v>
      </c>
    </row>
    <row r="1816" spans="1:14" x14ac:dyDescent="0.35">
      <c r="A1816" s="82">
        <v>1813</v>
      </c>
      <c r="B1816" s="89" t="str">
        <f>_xlfn.XLOOKUP(A1816,'Model Modeshare by TAZ'!A:A,'Model Modeshare by TAZ'!B:B)</f>
        <v>San Francisco</v>
      </c>
      <c r="C1816" s="90" t="str">
        <f>_xlfn.XLOOKUP(A1816,'Model Modeshare by TAZ'!A:A,'Model Modeshare by TAZ'!D:D)</f>
        <v>NO</v>
      </c>
      <c r="D1816" s="27">
        <v>7801.67</v>
      </c>
      <c r="E1816" s="27">
        <v>137738.78</v>
      </c>
      <c r="F1816" s="27">
        <v>6972.18</v>
      </c>
      <c r="G1816" s="27">
        <v>57386.93</v>
      </c>
      <c r="H1816" s="27">
        <v>1152</v>
      </c>
      <c r="I1816" s="27">
        <v>14669.35</v>
      </c>
      <c r="J1816" s="6">
        <v>5747</v>
      </c>
      <c r="K1816" s="6">
        <v>742</v>
      </c>
      <c r="L1816" s="27">
        <v>9.9855455020010435</v>
      </c>
      <c r="M1816" s="27">
        <v>19.770013477088948</v>
      </c>
      <c r="N1816" s="34">
        <v>18.849163199260285</v>
      </c>
    </row>
    <row r="1817" spans="1:14" x14ac:dyDescent="0.35">
      <c r="A1817" s="82">
        <v>1814</v>
      </c>
      <c r="B1817" s="89" t="str">
        <f>_xlfn.XLOOKUP(A1817,'Model Modeshare by TAZ'!A:A,'Model Modeshare by TAZ'!B:B)</f>
        <v>San Francisco</v>
      </c>
      <c r="C1817" s="90" t="str">
        <f>_xlfn.XLOOKUP(A1817,'Model Modeshare by TAZ'!A:A,'Model Modeshare by TAZ'!D:D)</f>
        <v>NO</v>
      </c>
      <c r="D1817" s="27">
        <v>5315.53</v>
      </c>
      <c r="E1817" s="27">
        <v>92287.71</v>
      </c>
      <c r="F1817" s="27">
        <v>4282.18</v>
      </c>
      <c r="G1817" s="27">
        <v>33304.379999999997</v>
      </c>
      <c r="H1817" s="27">
        <v>1286.27</v>
      </c>
      <c r="I1817" s="27">
        <v>15661.74</v>
      </c>
      <c r="J1817" s="6">
        <v>3378</v>
      </c>
      <c r="K1817" s="6">
        <v>1043</v>
      </c>
      <c r="L1817" s="27">
        <v>9.8592007104795734</v>
      </c>
      <c r="M1817" s="27">
        <v>15.016049856184084</v>
      </c>
      <c r="N1817" s="34">
        <v>20.000628817009726</v>
      </c>
    </row>
    <row r="1818" spans="1:14" x14ac:dyDescent="0.35">
      <c r="A1818" s="82">
        <v>1815</v>
      </c>
      <c r="B1818" s="89" t="str">
        <f>_xlfn.XLOOKUP(A1818,'Model Modeshare by TAZ'!A:A,'Model Modeshare by TAZ'!B:B)</f>
        <v>San Francisco</v>
      </c>
      <c r="C1818" s="90" t="str">
        <f>_xlfn.XLOOKUP(A1818,'Model Modeshare by TAZ'!A:A,'Model Modeshare by TAZ'!D:D)</f>
        <v>NO</v>
      </c>
      <c r="D1818" s="27">
        <v>3037.99</v>
      </c>
      <c r="E1818" s="27">
        <v>61508.76</v>
      </c>
      <c r="F1818" s="27">
        <v>1989.47</v>
      </c>
      <c r="G1818" s="27">
        <v>17745.650000000001</v>
      </c>
      <c r="H1818" s="27">
        <v>3850.84</v>
      </c>
      <c r="I1818" s="27">
        <v>50325.57</v>
      </c>
      <c r="J1818" s="6">
        <v>1795</v>
      </c>
      <c r="K1818" s="6">
        <v>4250</v>
      </c>
      <c r="L1818" s="27">
        <v>9.88615598885794</v>
      </c>
      <c r="M1818" s="27">
        <v>11.841310588235293</v>
      </c>
      <c r="N1818" s="34">
        <v>25.153879239040531</v>
      </c>
    </row>
    <row r="1819" spans="1:14" x14ac:dyDescent="0.35">
      <c r="A1819" s="82">
        <v>1816</v>
      </c>
      <c r="B1819" s="89" t="str">
        <f>_xlfn.XLOOKUP(A1819,'Model Modeshare by TAZ'!A:A,'Model Modeshare by TAZ'!B:B)</f>
        <v>San Francisco</v>
      </c>
      <c r="C1819" s="90" t="str">
        <f>_xlfn.XLOOKUP(A1819,'Model Modeshare by TAZ'!A:A,'Model Modeshare by TAZ'!D:D)</f>
        <v>NO</v>
      </c>
      <c r="D1819" s="27">
        <v>8374.65</v>
      </c>
      <c r="E1819" s="27">
        <v>169369.27</v>
      </c>
      <c r="F1819" s="27">
        <v>4599.93</v>
      </c>
      <c r="G1819" s="27">
        <v>38164.519999999997</v>
      </c>
      <c r="H1819" s="27">
        <v>2479.5100000000002</v>
      </c>
      <c r="I1819" s="27">
        <v>31491.98</v>
      </c>
      <c r="J1819" s="6">
        <v>5361</v>
      </c>
      <c r="K1819" s="6">
        <v>2857</v>
      </c>
      <c r="L1819" s="27">
        <v>7.1189181122924818</v>
      </c>
      <c r="M1819" s="27">
        <v>11.02274413720686</v>
      </c>
      <c r="N1819" s="34">
        <v>18.297745193477731</v>
      </c>
    </row>
    <row r="1820" spans="1:14" x14ac:dyDescent="0.35">
      <c r="A1820" s="82">
        <v>1817</v>
      </c>
      <c r="B1820" s="89" t="str">
        <f>_xlfn.XLOOKUP(A1820,'Model Modeshare by TAZ'!A:A,'Model Modeshare by TAZ'!B:B)</f>
        <v>San Francisco</v>
      </c>
      <c r="C1820" s="90" t="str">
        <f>_xlfn.XLOOKUP(A1820,'Model Modeshare by TAZ'!A:A,'Model Modeshare by TAZ'!D:D)</f>
        <v>NO</v>
      </c>
      <c r="D1820" s="27">
        <v>4727.0200000000004</v>
      </c>
      <c r="E1820" s="27">
        <v>87240.72</v>
      </c>
      <c r="F1820" s="27">
        <v>4170.49</v>
      </c>
      <c r="G1820" s="27">
        <v>36810.93</v>
      </c>
      <c r="H1820" s="27">
        <v>527.78</v>
      </c>
      <c r="I1820" s="27">
        <v>6467.78</v>
      </c>
      <c r="J1820" s="6">
        <v>4862</v>
      </c>
      <c r="K1820" s="6">
        <v>379</v>
      </c>
      <c r="L1820" s="27">
        <v>7.571149732620321</v>
      </c>
      <c r="M1820" s="27">
        <v>17.06538258575198</v>
      </c>
      <c r="N1820" s="34">
        <v>14.721791642816257</v>
      </c>
    </row>
    <row r="1821" spans="1:14" x14ac:dyDescent="0.35">
      <c r="A1821" s="82">
        <v>1818</v>
      </c>
      <c r="B1821" s="89" t="str">
        <f>_xlfn.XLOOKUP(A1821,'Model Modeshare by TAZ'!A:A,'Model Modeshare by TAZ'!B:B)</f>
        <v>San Francisco</v>
      </c>
      <c r="C1821" s="90" t="str">
        <f>_xlfn.XLOOKUP(A1821,'Model Modeshare by TAZ'!A:A,'Model Modeshare by TAZ'!D:D)</f>
        <v>NO</v>
      </c>
      <c r="D1821" s="27">
        <v>4568.8500000000004</v>
      </c>
      <c r="E1821" s="27">
        <v>87033.31</v>
      </c>
      <c r="F1821" s="27">
        <v>3741.61</v>
      </c>
      <c r="G1821" s="27">
        <v>33071.019999999997</v>
      </c>
      <c r="H1821" s="27">
        <v>377.72</v>
      </c>
      <c r="I1821" s="27">
        <v>4508.8599999999997</v>
      </c>
      <c r="J1821" s="6">
        <v>4927</v>
      </c>
      <c r="K1821" s="6">
        <v>295</v>
      </c>
      <c r="L1821" s="27">
        <v>6.7122021514105938</v>
      </c>
      <c r="M1821" s="27">
        <v>15.284271186440677</v>
      </c>
      <c r="N1821" s="34">
        <v>13.189768288012257</v>
      </c>
    </row>
    <row r="1822" spans="1:14" x14ac:dyDescent="0.35">
      <c r="A1822" s="82">
        <v>1819</v>
      </c>
      <c r="B1822" s="89" t="str">
        <f>_xlfn.XLOOKUP(A1822,'Model Modeshare by TAZ'!A:A,'Model Modeshare by TAZ'!B:B)</f>
        <v>San Francisco</v>
      </c>
      <c r="C1822" s="90" t="str">
        <f>_xlfn.XLOOKUP(A1822,'Model Modeshare by TAZ'!A:A,'Model Modeshare by TAZ'!D:D)</f>
        <v>NO</v>
      </c>
      <c r="D1822" s="27">
        <v>2866.94</v>
      </c>
      <c r="E1822" s="27">
        <v>58382.46</v>
      </c>
      <c r="F1822" s="27">
        <v>2397.3000000000002</v>
      </c>
      <c r="G1822" s="27">
        <v>22092.2</v>
      </c>
      <c r="H1822" s="27">
        <v>470.35</v>
      </c>
      <c r="I1822" s="27">
        <v>5969.64</v>
      </c>
      <c r="J1822" s="6">
        <v>2774</v>
      </c>
      <c r="K1822" s="6">
        <v>333</v>
      </c>
      <c r="L1822" s="27">
        <v>7.9640230713770732</v>
      </c>
      <c r="M1822" s="27">
        <v>17.926846846846846</v>
      </c>
      <c r="N1822" s="34">
        <v>16.311091084647568</v>
      </c>
    </row>
    <row r="1823" spans="1:14" x14ac:dyDescent="0.35">
      <c r="A1823" s="82">
        <v>1820</v>
      </c>
      <c r="B1823" s="89" t="str">
        <f>_xlfn.XLOOKUP(A1823,'Model Modeshare by TAZ'!A:A,'Model Modeshare by TAZ'!B:B)</f>
        <v>San Francisco</v>
      </c>
      <c r="C1823" s="90" t="str">
        <f>_xlfn.XLOOKUP(A1823,'Model Modeshare by TAZ'!A:A,'Model Modeshare by TAZ'!D:D)</f>
        <v>NO</v>
      </c>
      <c r="D1823" s="27">
        <v>4035.38</v>
      </c>
      <c r="E1823" s="27">
        <v>79090.83</v>
      </c>
      <c r="F1823" s="27">
        <v>3849.12</v>
      </c>
      <c r="G1823" s="27">
        <v>35024.76</v>
      </c>
      <c r="H1823" s="27">
        <v>476.24</v>
      </c>
      <c r="I1823" s="27">
        <v>5934.32</v>
      </c>
      <c r="J1823" s="6">
        <v>3662</v>
      </c>
      <c r="K1823" s="6">
        <v>311</v>
      </c>
      <c r="L1823" s="27">
        <v>9.5643801201529222</v>
      </c>
      <c r="M1823" s="27">
        <v>19.081414790996785</v>
      </c>
      <c r="N1823" s="34">
        <v>17.060644349358167</v>
      </c>
    </row>
    <row r="1824" spans="1:14" x14ac:dyDescent="0.35">
      <c r="A1824" s="82">
        <v>1821</v>
      </c>
      <c r="B1824" s="89" t="str">
        <f>_xlfn.XLOOKUP(A1824,'Model Modeshare by TAZ'!A:A,'Model Modeshare by TAZ'!B:B)</f>
        <v>San Francisco</v>
      </c>
      <c r="C1824" s="90" t="str">
        <f>_xlfn.XLOOKUP(A1824,'Model Modeshare by TAZ'!A:A,'Model Modeshare by TAZ'!D:D)</f>
        <v>NO</v>
      </c>
      <c r="D1824" s="27">
        <v>4835.55</v>
      </c>
      <c r="E1824" s="27">
        <v>83810.78</v>
      </c>
      <c r="F1824" s="27">
        <v>3222.82</v>
      </c>
      <c r="G1824" s="27">
        <v>25291.27</v>
      </c>
      <c r="H1824" s="27">
        <v>628.41</v>
      </c>
      <c r="I1824" s="27">
        <v>7300.46</v>
      </c>
      <c r="J1824" s="6">
        <v>3111</v>
      </c>
      <c r="K1824" s="6">
        <v>567</v>
      </c>
      <c r="L1824" s="27">
        <v>8.1296271295403404</v>
      </c>
      <c r="M1824" s="27">
        <v>12.875590828924162</v>
      </c>
      <c r="N1824" s="34">
        <v>18.356582381729201</v>
      </c>
    </row>
    <row r="1825" spans="1:14" x14ac:dyDescent="0.35">
      <c r="A1825" s="82">
        <v>1822</v>
      </c>
      <c r="B1825" s="89" t="str">
        <f>_xlfn.XLOOKUP(A1825,'Model Modeshare by TAZ'!A:A,'Model Modeshare by TAZ'!B:B)</f>
        <v>San Francisco</v>
      </c>
      <c r="C1825" s="90" t="str">
        <f>_xlfn.XLOOKUP(A1825,'Model Modeshare by TAZ'!A:A,'Model Modeshare by TAZ'!D:D)</f>
        <v>NO</v>
      </c>
      <c r="D1825" s="27">
        <v>6894.51</v>
      </c>
      <c r="E1825" s="27">
        <v>115886.25</v>
      </c>
      <c r="F1825" s="27">
        <v>6325.61</v>
      </c>
      <c r="G1825" s="27">
        <v>51369.86</v>
      </c>
      <c r="H1825" s="27">
        <v>1311.48</v>
      </c>
      <c r="I1825" s="27">
        <v>14580.19</v>
      </c>
      <c r="J1825" s="6">
        <v>5346</v>
      </c>
      <c r="K1825" s="6">
        <v>849</v>
      </c>
      <c r="L1825" s="27">
        <v>9.6090273101384209</v>
      </c>
      <c r="M1825" s="27">
        <v>17.173368669022381</v>
      </c>
      <c r="N1825" s="34">
        <v>18.998949152542373</v>
      </c>
    </row>
    <row r="1826" spans="1:14" x14ac:dyDescent="0.35">
      <c r="A1826" s="82">
        <v>1823</v>
      </c>
      <c r="B1826" s="89" t="str">
        <f>_xlfn.XLOOKUP(A1826,'Model Modeshare by TAZ'!A:A,'Model Modeshare by TAZ'!B:B)</f>
        <v>San Francisco</v>
      </c>
      <c r="C1826" s="90" t="str">
        <f>_xlfn.XLOOKUP(A1826,'Model Modeshare by TAZ'!A:A,'Model Modeshare by TAZ'!D:D)</f>
        <v>NO</v>
      </c>
      <c r="D1826" s="27">
        <v>8626.11</v>
      </c>
      <c r="E1826" s="27">
        <v>161203.85</v>
      </c>
      <c r="F1826" s="27">
        <v>4579.2</v>
      </c>
      <c r="G1826" s="27">
        <v>39044.14</v>
      </c>
      <c r="H1826" s="27">
        <v>2004.48</v>
      </c>
      <c r="I1826" s="27">
        <v>24143.82</v>
      </c>
      <c r="J1826" s="6">
        <v>4317</v>
      </c>
      <c r="K1826" s="6">
        <v>2190</v>
      </c>
      <c r="L1826" s="27">
        <v>9.0442761176743112</v>
      </c>
      <c r="M1826" s="27">
        <v>11.024575342465754</v>
      </c>
      <c r="N1826" s="34">
        <v>21.759605040725372</v>
      </c>
    </row>
    <row r="1827" spans="1:14" x14ac:dyDescent="0.35">
      <c r="A1827" s="82">
        <v>1824</v>
      </c>
      <c r="B1827" s="89" t="str">
        <f>_xlfn.XLOOKUP(A1827,'Model Modeshare by TAZ'!A:A,'Model Modeshare by TAZ'!B:B)</f>
        <v>San Francisco</v>
      </c>
      <c r="C1827" s="90" t="str">
        <f>_xlfn.XLOOKUP(A1827,'Model Modeshare by TAZ'!A:A,'Model Modeshare by TAZ'!D:D)</f>
        <v>NO</v>
      </c>
      <c r="D1827" s="27">
        <v>5636.51</v>
      </c>
      <c r="E1827" s="27">
        <v>90346.67</v>
      </c>
      <c r="F1827" s="27">
        <v>3696.42</v>
      </c>
      <c r="G1827" s="27">
        <v>32209.96</v>
      </c>
      <c r="H1827" s="27">
        <v>677.66</v>
      </c>
      <c r="I1827" s="27">
        <v>7051.27</v>
      </c>
      <c r="J1827" s="6">
        <v>3441</v>
      </c>
      <c r="K1827" s="6">
        <v>451</v>
      </c>
      <c r="L1827" s="27">
        <v>9.3606393490264459</v>
      </c>
      <c r="M1827" s="27">
        <v>15.634745011086476</v>
      </c>
      <c r="N1827" s="34">
        <v>18.809254881808837</v>
      </c>
    </row>
    <row r="1828" spans="1:14" x14ac:dyDescent="0.35">
      <c r="A1828" s="82">
        <v>1825</v>
      </c>
      <c r="B1828" s="89" t="str">
        <f>_xlfn.XLOOKUP(A1828,'Model Modeshare by TAZ'!A:A,'Model Modeshare by TAZ'!B:B)</f>
        <v>San Francisco</v>
      </c>
      <c r="C1828" s="90" t="str">
        <f>_xlfn.XLOOKUP(A1828,'Model Modeshare by TAZ'!A:A,'Model Modeshare by TAZ'!D:D)</f>
        <v>NO</v>
      </c>
      <c r="D1828" s="27">
        <v>4084.28</v>
      </c>
      <c r="E1828" s="27">
        <v>72524.95</v>
      </c>
      <c r="F1828" s="27">
        <v>3587.6</v>
      </c>
      <c r="G1828" s="27">
        <v>33144.11</v>
      </c>
      <c r="H1828" s="27">
        <v>410.36</v>
      </c>
      <c r="I1828" s="27">
        <v>4720.08</v>
      </c>
      <c r="J1828" s="6">
        <v>2952</v>
      </c>
      <c r="K1828" s="6">
        <v>263</v>
      </c>
      <c r="L1828" s="27">
        <v>11.227679539295393</v>
      </c>
      <c r="M1828" s="27">
        <v>17.947072243346007</v>
      </c>
      <c r="N1828" s="34">
        <v>20.035116640746502</v>
      </c>
    </row>
    <row r="1829" spans="1:14" x14ac:dyDescent="0.35">
      <c r="A1829" s="82">
        <v>1826</v>
      </c>
      <c r="B1829" s="89" t="str">
        <f>_xlfn.XLOOKUP(A1829,'Model Modeshare by TAZ'!A:A,'Model Modeshare by TAZ'!B:B)</f>
        <v>San Francisco</v>
      </c>
      <c r="C1829" s="90" t="str">
        <f>_xlfn.XLOOKUP(A1829,'Model Modeshare by TAZ'!A:A,'Model Modeshare by TAZ'!D:D)</f>
        <v>NO</v>
      </c>
      <c r="D1829" s="27">
        <v>5110.38</v>
      </c>
      <c r="E1829" s="27">
        <v>85202.34</v>
      </c>
      <c r="F1829" s="27">
        <v>4800.62</v>
      </c>
      <c r="G1829" s="27">
        <v>41061.83</v>
      </c>
      <c r="H1829" s="27">
        <v>253.49</v>
      </c>
      <c r="I1829" s="27">
        <v>2562.1799999999998</v>
      </c>
      <c r="J1829" s="6">
        <v>4327</v>
      </c>
      <c r="K1829" s="6">
        <v>171</v>
      </c>
      <c r="L1829" s="27">
        <v>9.4896764501964412</v>
      </c>
      <c r="M1829" s="27">
        <v>14.983508771929824</v>
      </c>
      <c r="N1829" s="34">
        <v>15.621654068474877</v>
      </c>
    </row>
    <row r="1830" spans="1:14" x14ac:dyDescent="0.35">
      <c r="A1830" s="82">
        <v>1827</v>
      </c>
      <c r="B1830" s="89" t="str">
        <f>_xlfn.XLOOKUP(A1830,'Model Modeshare by TAZ'!A:A,'Model Modeshare by TAZ'!B:B)</f>
        <v>San Francisco</v>
      </c>
      <c r="C1830" s="90" t="str">
        <f>_xlfn.XLOOKUP(A1830,'Model Modeshare by TAZ'!A:A,'Model Modeshare by TAZ'!D:D)</f>
        <v>NO</v>
      </c>
      <c r="D1830" s="27">
        <v>8731.4599999999991</v>
      </c>
      <c r="E1830" s="27">
        <v>120203.45</v>
      </c>
      <c r="F1830" s="27">
        <v>4069.47</v>
      </c>
      <c r="G1830" s="27">
        <v>35539.33</v>
      </c>
      <c r="H1830" s="27">
        <v>772.26</v>
      </c>
      <c r="I1830" s="27">
        <v>8776.33</v>
      </c>
      <c r="J1830" s="6">
        <v>3872</v>
      </c>
      <c r="K1830" s="6">
        <v>627</v>
      </c>
      <c r="L1830" s="27">
        <v>9.1785459710743798</v>
      </c>
      <c r="M1830" s="27">
        <v>13.997336523125997</v>
      </c>
      <c r="N1830" s="34">
        <v>22.552671704823293</v>
      </c>
    </row>
    <row r="1831" spans="1:14" x14ac:dyDescent="0.35">
      <c r="A1831" s="82">
        <v>1828</v>
      </c>
      <c r="B1831" s="89" t="str">
        <f>_xlfn.XLOOKUP(A1831,'Model Modeshare by TAZ'!A:A,'Model Modeshare by TAZ'!B:B)</f>
        <v>San Francisco</v>
      </c>
      <c r="C1831" s="90" t="str">
        <f>_xlfn.XLOOKUP(A1831,'Model Modeshare by TAZ'!A:A,'Model Modeshare by TAZ'!D:D)</f>
        <v>NO</v>
      </c>
      <c r="D1831" s="27">
        <v>7331.69</v>
      </c>
      <c r="E1831" s="27">
        <v>115557.75999999999</v>
      </c>
      <c r="F1831" s="27">
        <v>6367.52</v>
      </c>
      <c r="G1831" s="27">
        <v>50039.26</v>
      </c>
      <c r="H1831" s="27">
        <v>792.71</v>
      </c>
      <c r="I1831" s="27">
        <v>8383.19</v>
      </c>
      <c r="J1831" s="6">
        <v>5134</v>
      </c>
      <c r="K1831" s="6">
        <v>518</v>
      </c>
      <c r="L1831" s="27">
        <v>9.7466419945461631</v>
      </c>
      <c r="M1831" s="27">
        <v>16.183764478764481</v>
      </c>
      <c r="N1831" s="34">
        <v>18.359608987968858</v>
      </c>
    </row>
    <row r="1832" spans="1:14" x14ac:dyDescent="0.35">
      <c r="A1832" s="82">
        <v>1829</v>
      </c>
      <c r="B1832" s="89" t="str">
        <f>_xlfn.XLOOKUP(A1832,'Model Modeshare by TAZ'!A:A,'Model Modeshare by TAZ'!B:B)</f>
        <v>San Francisco</v>
      </c>
      <c r="C1832" s="90" t="str">
        <f>_xlfn.XLOOKUP(A1832,'Model Modeshare by TAZ'!A:A,'Model Modeshare by TAZ'!D:D)</f>
        <v>NO</v>
      </c>
      <c r="D1832" s="27">
        <v>7942.5</v>
      </c>
      <c r="E1832" s="27">
        <v>131692.47</v>
      </c>
      <c r="F1832" s="27">
        <v>8691.52</v>
      </c>
      <c r="G1832" s="27">
        <v>81763.05</v>
      </c>
      <c r="H1832" s="27">
        <v>624.14</v>
      </c>
      <c r="I1832" s="27">
        <v>7295.05</v>
      </c>
      <c r="J1832" s="6">
        <v>3878</v>
      </c>
      <c r="K1832" s="6">
        <v>377</v>
      </c>
      <c r="L1832" s="27">
        <v>21.083818978855081</v>
      </c>
      <c r="M1832" s="27">
        <v>19.350265251989391</v>
      </c>
      <c r="N1832" s="34">
        <v>35.757995299647469</v>
      </c>
    </row>
    <row r="1833" spans="1:14" x14ac:dyDescent="0.35">
      <c r="A1833" s="82">
        <v>1830</v>
      </c>
      <c r="B1833" s="89" t="str">
        <f>_xlfn.XLOOKUP(A1833,'Model Modeshare by TAZ'!A:A,'Model Modeshare by TAZ'!B:B)</f>
        <v>San Francisco</v>
      </c>
      <c r="C1833" s="90" t="str">
        <f>_xlfn.XLOOKUP(A1833,'Model Modeshare by TAZ'!A:A,'Model Modeshare by TAZ'!D:D)</f>
        <v>NO</v>
      </c>
      <c r="D1833" s="27">
        <v>6739.69</v>
      </c>
      <c r="E1833" s="27">
        <v>119444.73</v>
      </c>
      <c r="F1833" s="27">
        <v>4896.41</v>
      </c>
      <c r="G1833" s="27">
        <v>42277.11</v>
      </c>
      <c r="H1833" s="27">
        <v>1193.8800000000001</v>
      </c>
      <c r="I1833" s="27">
        <v>13821.58</v>
      </c>
      <c r="J1833" s="6">
        <v>3992</v>
      </c>
      <c r="K1833" s="6">
        <v>896</v>
      </c>
      <c r="L1833" s="27">
        <v>10.590458416833668</v>
      </c>
      <c r="M1833" s="27">
        <v>15.425870535714285</v>
      </c>
      <c r="N1833" s="34">
        <v>24.919200081833061</v>
      </c>
    </row>
    <row r="1834" spans="1:14" x14ac:dyDescent="0.35">
      <c r="A1834" s="82">
        <v>1831</v>
      </c>
      <c r="B1834" s="89" t="str">
        <f>_xlfn.XLOOKUP(A1834,'Model Modeshare by TAZ'!A:A,'Model Modeshare by TAZ'!B:B)</f>
        <v>San Francisco</v>
      </c>
      <c r="C1834" s="90" t="str">
        <f>_xlfn.XLOOKUP(A1834,'Model Modeshare by TAZ'!A:A,'Model Modeshare by TAZ'!D:D)</f>
        <v>NO</v>
      </c>
      <c r="D1834" s="27">
        <v>8742.68</v>
      </c>
      <c r="E1834" s="27">
        <v>144610.20000000001</v>
      </c>
      <c r="F1834" s="27">
        <v>8722.5499999999993</v>
      </c>
      <c r="G1834" s="27">
        <v>77027.37</v>
      </c>
      <c r="H1834" s="27">
        <v>1031.8</v>
      </c>
      <c r="I1834" s="27">
        <v>10726.3</v>
      </c>
      <c r="J1834" s="6">
        <v>6411</v>
      </c>
      <c r="K1834" s="6">
        <v>599</v>
      </c>
      <c r="L1834" s="27">
        <v>12.014875994384651</v>
      </c>
      <c r="M1834" s="27">
        <v>17.907011686143573</v>
      </c>
      <c r="N1834" s="34">
        <v>21.027721825962907</v>
      </c>
    </row>
    <row r="1835" spans="1:14" x14ac:dyDescent="0.35">
      <c r="A1835" s="82">
        <v>1832</v>
      </c>
      <c r="B1835" s="89" t="str">
        <f>_xlfn.XLOOKUP(A1835,'Model Modeshare by TAZ'!A:A,'Model Modeshare by TAZ'!B:B)</f>
        <v>San Francisco</v>
      </c>
      <c r="C1835" s="90" t="str">
        <f>_xlfn.XLOOKUP(A1835,'Model Modeshare by TAZ'!A:A,'Model Modeshare by TAZ'!D:D)</f>
        <v>NO</v>
      </c>
      <c r="D1835" s="27">
        <v>6127.4</v>
      </c>
      <c r="E1835" s="27">
        <v>102874.79</v>
      </c>
      <c r="F1835" s="27">
        <v>4724.92</v>
      </c>
      <c r="G1835" s="27">
        <v>38587.919999999998</v>
      </c>
      <c r="H1835" s="27">
        <v>1661.65</v>
      </c>
      <c r="I1835" s="27">
        <v>17070.07</v>
      </c>
      <c r="J1835" s="6">
        <v>3779</v>
      </c>
      <c r="K1835" s="6">
        <v>1593</v>
      </c>
      <c r="L1835" s="27">
        <v>10.211145805768721</v>
      </c>
      <c r="M1835" s="27">
        <v>10.715674827369742</v>
      </c>
      <c r="N1835" s="34">
        <v>22.334117647058825</v>
      </c>
    </row>
    <row r="1836" spans="1:14" x14ac:dyDescent="0.35">
      <c r="A1836" s="82">
        <v>1833</v>
      </c>
      <c r="B1836" s="89" t="str">
        <f>_xlfn.XLOOKUP(A1836,'Model Modeshare by TAZ'!A:A,'Model Modeshare by TAZ'!B:B)</f>
        <v>San Francisco</v>
      </c>
      <c r="C1836" s="90" t="str">
        <f>_xlfn.XLOOKUP(A1836,'Model Modeshare by TAZ'!A:A,'Model Modeshare by TAZ'!D:D)</f>
        <v>NO</v>
      </c>
      <c r="D1836" s="27">
        <v>13417.13</v>
      </c>
      <c r="E1836" s="27">
        <v>227964.66</v>
      </c>
      <c r="F1836" s="27">
        <v>6685.55</v>
      </c>
      <c r="G1836" s="27">
        <v>54365.120000000003</v>
      </c>
      <c r="H1836" s="27">
        <v>2314.5300000000002</v>
      </c>
      <c r="I1836" s="27">
        <v>24071.5</v>
      </c>
      <c r="J1836" s="6">
        <v>6283</v>
      </c>
      <c r="K1836" s="6">
        <v>2418</v>
      </c>
      <c r="L1836" s="27">
        <v>8.6527327709692834</v>
      </c>
      <c r="M1836" s="27">
        <v>9.9551282051282044</v>
      </c>
      <c r="N1836" s="34">
        <v>32.720871164233998</v>
      </c>
    </row>
    <row r="1837" spans="1:14" x14ac:dyDescent="0.35">
      <c r="A1837" s="82">
        <v>1834</v>
      </c>
      <c r="B1837" s="89" t="str">
        <f>_xlfn.XLOOKUP(A1837,'Model Modeshare by TAZ'!A:A,'Model Modeshare by TAZ'!B:B)</f>
        <v>San Francisco</v>
      </c>
      <c r="C1837" s="90" t="str">
        <f>_xlfn.XLOOKUP(A1837,'Model Modeshare by TAZ'!A:A,'Model Modeshare by TAZ'!D:D)</f>
        <v>NO</v>
      </c>
      <c r="D1837" s="27">
        <v>10561.75</v>
      </c>
      <c r="E1837" s="27">
        <v>191007.73</v>
      </c>
      <c r="F1837" s="27">
        <v>9032.6299999999992</v>
      </c>
      <c r="G1837" s="27">
        <v>80137.77</v>
      </c>
      <c r="H1837" s="27">
        <v>1533.53</v>
      </c>
      <c r="I1837" s="27">
        <v>15957.53</v>
      </c>
      <c r="J1837" s="6">
        <v>8548</v>
      </c>
      <c r="K1837" s="6">
        <v>1050</v>
      </c>
      <c r="L1837" s="27">
        <v>9.3750315863359859</v>
      </c>
      <c r="M1837" s="27">
        <v>15.19764761904762</v>
      </c>
      <c r="N1837" s="34">
        <v>16.476719108147531</v>
      </c>
    </row>
    <row r="1838" spans="1:14" x14ac:dyDescent="0.35">
      <c r="A1838" s="82">
        <v>1835</v>
      </c>
      <c r="B1838" s="89" t="str">
        <f>_xlfn.XLOOKUP(A1838,'Model Modeshare by TAZ'!A:A,'Model Modeshare by TAZ'!B:B)</f>
        <v>San Francisco</v>
      </c>
      <c r="C1838" s="90" t="str">
        <f>_xlfn.XLOOKUP(A1838,'Model Modeshare by TAZ'!A:A,'Model Modeshare by TAZ'!D:D)</f>
        <v>NO</v>
      </c>
      <c r="D1838" s="27">
        <v>5873.64</v>
      </c>
      <c r="E1838" s="27">
        <v>97218.77</v>
      </c>
      <c r="F1838" s="27">
        <v>6497.16</v>
      </c>
      <c r="G1838" s="27">
        <v>56192.800000000003</v>
      </c>
      <c r="H1838" s="27">
        <v>882.69</v>
      </c>
      <c r="I1838" s="27">
        <v>8883.4599999999991</v>
      </c>
      <c r="J1838" s="6">
        <v>5929</v>
      </c>
      <c r="K1838" s="6">
        <v>568</v>
      </c>
      <c r="L1838" s="27">
        <v>9.4776184854106944</v>
      </c>
      <c r="M1838" s="27">
        <v>15.639894366197181</v>
      </c>
      <c r="N1838" s="34">
        <v>14.955685701092811</v>
      </c>
    </row>
    <row r="1839" spans="1:14" x14ac:dyDescent="0.35">
      <c r="A1839" s="82">
        <v>1836</v>
      </c>
      <c r="B1839" s="89" t="str">
        <f>_xlfn.XLOOKUP(A1839,'Model Modeshare by TAZ'!A:A,'Model Modeshare by TAZ'!B:B)</f>
        <v>San Francisco</v>
      </c>
      <c r="C1839" s="90" t="str">
        <f>_xlfn.XLOOKUP(A1839,'Model Modeshare by TAZ'!A:A,'Model Modeshare by TAZ'!D:D)</f>
        <v>NO</v>
      </c>
      <c r="D1839" s="27">
        <v>4407.3500000000004</v>
      </c>
      <c r="E1839" s="27">
        <v>79208.289999999994</v>
      </c>
      <c r="F1839" s="27">
        <v>3557.21</v>
      </c>
      <c r="G1839" s="27">
        <v>33903.68</v>
      </c>
      <c r="H1839" s="27">
        <v>715.44</v>
      </c>
      <c r="I1839" s="27">
        <v>7891.45</v>
      </c>
      <c r="J1839" s="6">
        <v>3210</v>
      </c>
      <c r="K1839" s="6">
        <v>461</v>
      </c>
      <c r="L1839" s="27">
        <v>10.561894080996884</v>
      </c>
      <c r="M1839" s="27">
        <v>17.11811279826464</v>
      </c>
      <c r="N1839" s="34">
        <v>18.042048488150368</v>
      </c>
    </row>
    <row r="1840" spans="1:14" x14ac:dyDescent="0.35">
      <c r="A1840" s="82">
        <v>1837</v>
      </c>
      <c r="B1840" s="89" t="str">
        <f>_xlfn.XLOOKUP(A1840,'Model Modeshare by TAZ'!A:A,'Model Modeshare by TAZ'!B:B)</f>
        <v>San Francisco</v>
      </c>
      <c r="C1840" s="90" t="str">
        <f>_xlfn.XLOOKUP(A1840,'Model Modeshare by TAZ'!A:A,'Model Modeshare by TAZ'!D:D)</f>
        <v>NO</v>
      </c>
      <c r="D1840" s="27">
        <v>5931.67</v>
      </c>
      <c r="E1840" s="27">
        <v>92865.85</v>
      </c>
      <c r="F1840" s="27">
        <v>6233.68</v>
      </c>
      <c r="G1840" s="27">
        <v>54765.08</v>
      </c>
      <c r="H1840" s="27">
        <v>538.79</v>
      </c>
      <c r="I1840" s="27">
        <v>5791.86</v>
      </c>
      <c r="J1840" s="6">
        <v>5689</v>
      </c>
      <c r="K1840" s="6">
        <v>330</v>
      </c>
      <c r="L1840" s="27">
        <v>9.626486201441379</v>
      </c>
      <c r="M1840" s="27">
        <v>17.55109090909091</v>
      </c>
      <c r="N1840" s="34">
        <v>16.123151686326633</v>
      </c>
    </row>
    <row r="1841" spans="1:14" x14ac:dyDescent="0.35">
      <c r="A1841" s="82">
        <v>1838</v>
      </c>
      <c r="B1841" s="89" t="str">
        <f>_xlfn.XLOOKUP(A1841,'Model Modeshare by TAZ'!A:A,'Model Modeshare by TAZ'!B:B)</f>
        <v>San Francisco</v>
      </c>
      <c r="C1841" s="90" t="str">
        <f>_xlfn.XLOOKUP(A1841,'Model Modeshare by TAZ'!A:A,'Model Modeshare by TAZ'!D:D)</f>
        <v>NO</v>
      </c>
      <c r="D1841" s="27">
        <v>12434.34</v>
      </c>
      <c r="E1841" s="27">
        <v>212545.43</v>
      </c>
      <c r="F1841" s="27">
        <v>9358.39</v>
      </c>
      <c r="G1841" s="27">
        <v>81242.210000000006</v>
      </c>
      <c r="H1841" s="27">
        <v>2091.25</v>
      </c>
      <c r="I1841" s="27">
        <v>23697.22</v>
      </c>
      <c r="J1841" s="6">
        <v>9530</v>
      </c>
      <c r="K1841" s="6">
        <v>1579</v>
      </c>
      <c r="L1841" s="27">
        <v>8.5248908709338931</v>
      </c>
      <c r="M1841" s="27">
        <v>15.007739075364155</v>
      </c>
      <c r="N1841" s="34">
        <v>17.631482581690523</v>
      </c>
    </row>
    <row r="1842" spans="1:14" x14ac:dyDescent="0.35">
      <c r="A1842" s="82">
        <v>1839</v>
      </c>
      <c r="B1842" s="89" t="str">
        <f>_xlfn.XLOOKUP(A1842,'Model Modeshare by TAZ'!A:A,'Model Modeshare by TAZ'!B:B)</f>
        <v>San Francisco</v>
      </c>
      <c r="C1842" s="90" t="str">
        <f>_xlfn.XLOOKUP(A1842,'Model Modeshare by TAZ'!A:A,'Model Modeshare by TAZ'!D:D)</f>
        <v>NO</v>
      </c>
      <c r="D1842" s="27">
        <v>5988.32</v>
      </c>
      <c r="E1842" s="27">
        <v>111512.03</v>
      </c>
      <c r="F1842" s="27">
        <v>6153.3</v>
      </c>
      <c r="G1842" s="27">
        <v>54775.79</v>
      </c>
      <c r="H1842" s="27">
        <v>1421.65</v>
      </c>
      <c r="I1842" s="27">
        <v>16958.43</v>
      </c>
      <c r="J1842" s="6">
        <v>6120</v>
      </c>
      <c r="K1842" s="6">
        <v>1087</v>
      </c>
      <c r="L1842" s="27">
        <v>8.9502924836601316</v>
      </c>
      <c r="M1842" s="27">
        <v>15.60113155473781</v>
      </c>
      <c r="N1842" s="34">
        <v>17.227771610933814</v>
      </c>
    </row>
    <row r="1843" spans="1:14" x14ac:dyDescent="0.35">
      <c r="A1843" s="82">
        <v>1840</v>
      </c>
      <c r="B1843" s="89" t="str">
        <f>_xlfn.XLOOKUP(A1843,'Model Modeshare by TAZ'!A:A,'Model Modeshare by TAZ'!B:B)</f>
        <v>San Francisco</v>
      </c>
      <c r="C1843" s="90" t="str">
        <f>_xlfn.XLOOKUP(A1843,'Model Modeshare by TAZ'!A:A,'Model Modeshare by TAZ'!D:D)</f>
        <v>NO</v>
      </c>
      <c r="D1843" s="27">
        <v>4242.96</v>
      </c>
      <c r="E1843" s="27">
        <v>78764.31</v>
      </c>
      <c r="F1843" s="27">
        <v>5160.7299999999996</v>
      </c>
      <c r="G1843" s="27">
        <v>48009.98</v>
      </c>
      <c r="H1843" s="27">
        <v>677.1</v>
      </c>
      <c r="I1843" s="27">
        <v>8923.11</v>
      </c>
      <c r="J1843" s="6">
        <v>4811</v>
      </c>
      <c r="K1843" s="6">
        <v>418</v>
      </c>
      <c r="L1843" s="27">
        <v>9.9792101434213265</v>
      </c>
      <c r="M1843" s="27">
        <v>21.347153110047849</v>
      </c>
      <c r="N1843" s="34">
        <v>17.10398164084911</v>
      </c>
    </row>
    <row r="1844" spans="1:14" x14ac:dyDescent="0.35">
      <c r="A1844" s="82">
        <v>1841</v>
      </c>
      <c r="B1844" s="89" t="str">
        <f>_xlfn.XLOOKUP(A1844,'Model Modeshare by TAZ'!A:A,'Model Modeshare by TAZ'!B:B)</f>
        <v>San Francisco</v>
      </c>
      <c r="C1844" s="90" t="str">
        <f>_xlfn.XLOOKUP(A1844,'Model Modeshare by TAZ'!A:A,'Model Modeshare by TAZ'!D:D)</f>
        <v>NO</v>
      </c>
      <c r="D1844" s="27">
        <v>2926.46</v>
      </c>
      <c r="E1844" s="27">
        <v>53476.31</v>
      </c>
      <c r="F1844" s="27">
        <v>2512.2800000000002</v>
      </c>
      <c r="G1844" s="27">
        <v>23223.59</v>
      </c>
      <c r="H1844" s="27">
        <v>321.60000000000002</v>
      </c>
      <c r="I1844" s="27">
        <v>4081.8</v>
      </c>
      <c r="J1844" s="6">
        <v>2952</v>
      </c>
      <c r="K1844" s="6">
        <v>203</v>
      </c>
      <c r="L1844" s="27">
        <v>7.8670697831978318</v>
      </c>
      <c r="M1844" s="27">
        <v>20.107389162561578</v>
      </c>
      <c r="N1844" s="34">
        <v>14.337936608557845</v>
      </c>
    </row>
    <row r="1845" spans="1:14" x14ac:dyDescent="0.35">
      <c r="A1845" s="82">
        <v>1842</v>
      </c>
      <c r="B1845" s="89" t="str">
        <f>_xlfn.XLOOKUP(A1845,'Model Modeshare by TAZ'!A:A,'Model Modeshare by TAZ'!B:B)</f>
        <v>San Francisco</v>
      </c>
      <c r="C1845" s="90" t="str">
        <f>_xlfn.XLOOKUP(A1845,'Model Modeshare by TAZ'!A:A,'Model Modeshare by TAZ'!D:D)</f>
        <v>NO</v>
      </c>
      <c r="D1845" s="27">
        <v>23354.22</v>
      </c>
      <c r="E1845" s="27">
        <v>554510.73</v>
      </c>
      <c r="F1845" s="27">
        <v>592.79999999999995</v>
      </c>
      <c r="G1845" s="27">
        <v>5789.41</v>
      </c>
      <c r="H1845" s="27">
        <v>19038.77</v>
      </c>
      <c r="I1845" s="27">
        <v>255048.77</v>
      </c>
      <c r="J1845" s="6">
        <v>434</v>
      </c>
      <c r="K1845" s="6">
        <v>18497</v>
      </c>
      <c r="L1845" s="27">
        <v>13.339654377880183</v>
      </c>
      <c r="M1845" s="27">
        <v>13.78865599826999</v>
      </c>
      <c r="N1845" s="34">
        <v>34.704049970947125</v>
      </c>
    </row>
    <row r="1846" spans="1:14" x14ac:dyDescent="0.35">
      <c r="A1846" s="82">
        <v>1843</v>
      </c>
      <c r="B1846" s="89" t="str">
        <f>_xlfn.XLOOKUP(A1846,'Model Modeshare by TAZ'!A:A,'Model Modeshare by TAZ'!B:B)</f>
        <v>San Francisco</v>
      </c>
      <c r="C1846" s="90" t="str">
        <f>_xlfn.XLOOKUP(A1846,'Model Modeshare by TAZ'!A:A,'Model Modeshare by TAZ'!D:D)</f>
        <v>NO</v>
      </c>
      <c r="D1846" s="27">
        <v>2178.73</v>
      </c>
      <c r="E1846" s="27">
        <v>40612.230000000003</v>
      </c>
      <c r="F1846" s="27">
        <v>1547.84</v>
      </c>
      <c r="G1846" s="27">
        <v>13847.61</v>
      </c>
      <c r="H1846" s="27">
        <v>597.38</v>
      </c>
      <c r="I1846" s="27">
        <v>7657.14</v>
      </c>
      <c r="J1846" s="6">
        <v>1786</v>
      </c>
      <c r="K1846" s="6">
        <v>594</v>
      </c>
      <c r="L1846" s="27">
        <v>7.7534210526315794</v>
      </c>
      <c r="M1846" s="27">
        <v>12.890808080808082</v>
      </c>
      <c r="N1846" s="34">
        <v>17.146823529411765</v>
      </c>
    </row>
    <row r="1847" spans="1:14" x14ac:dyDescent="0.35">
      <c r="A1847" s="82">
        <v>1844</v>
      </c>
      <c r="B1847" s="89" t="str">
        <f>_xlfn.XLOOKUP(A1847,'Model Modeshare by TAZ'!A:A,'Model Modeshare by TAZ'!B:B)</f>
        <v>San Francisco</v>
      </c>
      <c r="C1847" s="90" t="str">
        <f>_xlfn.XLOOKUP(A1847,'Model Modeshare by TAZ'!A:A,'Model Modeshare by TAZ'!D:D)</f>
        <v>NO</v>
      </c>
      <c r="D1847" s="27">
        <v>4970.51</v>
      </c>
      <c r="E1847" s="27">
        <v>90798.65</v>
      </c>
      <c r="F1847" s="27">
        <v>3818.71</v>
      </c>
      <c r="G1847" s="27">
        <v>34270.410000000003</v>
      </c>
      <c r="H1847" s="27">
        <v>678.78</v>
      </c>
      <c r="I1847" s="27">
        <v>8836.91</v>
      </c>
      <c r="J1847" s="6">
        <v>4046</v>
      </c>
      <c r="K1847" s="6">
        <v>419</v>
      </c>
      <c r="L1847" s="27">
        <v>8.4701952545724186</v>
      </c>
      <c r="M1847" s="27">
        <v>21.090477326968973</v>
      </c>
      <c r="N1847" s="34">
        <v>17.106662933930572</v>
      </c>
    </row>
    <row r="1848" spans="1:14" x14ac:dyDescent="0.35">
      <c r="A1848" s="82">
        <v>1845</v>
      </c>
      <c r="B1848" s="89" t="str">
        <f>_xlfn.XLOOKUP(A1848,'Model Modeshare by TAZ'!A:A,'Model Modeshare by TAZ'!B:B)</f>
        <v>San Francisco</v>
      </c>
      <c r="C1848" s="90" t="str">
        <f>_xlfn.XLOOKUP(A1848,'Model Modeshare by TAZ'!A:A,'Model Modeshare by TAZ'!D:D)</f>
        <v>NO</v>
      </c>
      <c r="D1848" s="27">
        <v>4218.18</v>
      </c>
      <c r="E1848" s="27">
        <v>77134.83</v>
      </c>
      <c r="F1848" s="27">
        <v>3384.73</v>
      </c>
      <c r="G1848" s="27">
        <v>31315.95</v>
      </c>
      <c r="H1848" s="27">
        <v>1006.53</v>
      </c>
      <c r="I1848" s="27">
        <v>13816.24</v>
      </c>
      <c r="J1848" s="6">
        <v>4437</v>
      </c>
      <c r="K1848" s="6">
        <v>850</v>
      </c>
      <c r="L1848" s="27">
        <v>7.0579107505070997</v>
      </c>
      <c r="M1848" s="27">
        <v>16.2544</v>
      </c>
      <c r="N1848" s="34">
        <v>16.858076413845279</v>
      </c>
    </row>
    <row r="1849" spans="1:14" x14ac:dyDescent="0.35">
      <c r="A1849" s="82">
        <v>1846</v>
      </c>
      <c r="B1849" s="89" t="str">
        <f>_xlfn.XLOOKUP(A1849,'Model Modeshare by TAZ'!A:A,'Model Modeshare by TAZ'!B:B)</f>
        <v>San Francisco</v>
      </c>
      <c r="C1849" s="90" t="str">
        <f>_xlfn.XLOOKUP(A1849,'Model Modeshare by TAZ'!A:A,'Model Modeshare by TAZ'!D:D)</f>
        <v>NO</v>
      </c>
      <c r="D1849" s="27">
        <v>1026.54</v>
      </c>
      <c r="E1849" s="27">
        <v>22295.98</v>
      </c>
      <c r="F1849" s="27">
        <v>763.52</v>
      </c>
      <c r="G1849" s="27">
        <v>7604.32</v>
      </c>
      <c r="H1849" s="27">
        <v>577.02</v>
      </c>
      <c r="I1849" s="27">
        <v>7817.7</v>
      </c>
      <c r="J1849" s="6">
        <v>701</v>
      </c>
      <c r="K1849" s="6">
        <v>500</v>
      </c>
      <c r="L1849" s="27">
        <v>10.847817403708987</v>
      </c>
      <c r="M1849" s="27">
        <v>15.635399999999999</v>
      </c>
      <c r="N1849" s="34">
        <v>25.817701915070774</v>
      </c>
    </row>
    <row r="1850" spans="1:14" x14ac:dyDescent="0.35">
      <c r="A1850" s="82">
        <v>1847</v>
      </c>
      <c r="B1850" s="89" t="str">
        <f>_xlfn.XLOOKUP(A1850,'Model Modeshare by TAZ'!A:A,'Model Modeshare by TAZ'!B:B)</f>
        <v>San Francisco</v>
      </c>
      <c r="C1850" s="90" t="str">
        <f>_xlfn.XLOOKUP(A1850,'Model Modeshare by TAZ'!A:A,'Model Modeshare by TAZ'!D:D)</f>
        <v>NO</v>
      </c>
      <c r="D1850" s="27">
        <v>6859.22</v>
      </c>
      <c r="E1850" s="27">
        <v>138971.95000000001</v>
      </c>
      <c r="F1850" s="27">
        <v>5326.27</v>
      </c>
      <c r="G1850" s="27">
        <v>50897.59</v>
      </c>
      <c r="H1850" s="27">
        <v>1486.83</v>
      </c>
      <c r="I1850" s="27">
        <v>19819.46</v>
      </c>
      <c r="J1850" s="6">
        <v>5269</v>
      </c>
      <c r="K1850" s="6">
        <v>1115</v>
      </c>
      <c r="L1850" s="27">
        <v>9.6598197001328518</v>
      </c>
      <c r="M1850" s="27">
        <v>17.775300448430492</v>
      </c>
      <c r="N1850" s="34">
        <v>18.346271929824564</v>
      </c>
    </row>
    <row r="1851" spans="1:14" x14ac:dyDescent="0.35">
      <c r="A1851" s="82">
        <v>1848</v>
      </c>
      <c r="B1851" s="89" t="str">
        <f>_xlfn.XLOOKUP(A1851,'Model Modeshare by TAZ'!A:A,'Model Modeshare by TAZ'!B:B)</f>
        <v>San Francisco</v>
      </c>
      <c r="C1851" s="90" t="str">
        <f>_xlfn.XLOOKUP(A1851,'Model Modeshare by TAZ'!A:A,'Model Modeshare by TAZ'!D:D)</f>
        <v>NO</v>
      </c>
      <c r="D1851" s="27">
        <v>6809.49</v>
      </c>
      <c r="E1851" s="27">
        <v>144788.92000000001</v>
      </c>
      <c r="F1851" s="27">
        <v>4277</v>
      </c>
      <c r="G1851" s="27">
        <v>42571.61</v>
      </c>
      <c r="H1851" s="27">
        <v>1765.69</v>
      </c>
      <c r="I1851" s="27">
        <v>23324.57</v>
      </c>
      <c r="J1851" s="6">
        <v>4263</v>
      </c>
      <c r="K1851" s="6">
        <v>1663</v>
      </c>
      <c r="L1851" s="27">
        <v>9.9863030729533193</v>
      </c>
      <c r="M1851" s="27">
        <v>14.02559831629585</v>
      </c>
      <c r="N1851" s="34">
        <v>20.650188997637532</v>
      </c>
    </row>
    <row r="1852" spans="1:14" x14ac:dyDescent="0.35">
      <c r="A1852" s="82">
        <v>1849</v>
      </c>
      <c r="B1852" s="89" t="str">
        <f>_xlfn.XLOOKUP(A1852,'Model Modeshare by TAZ'!A:A,'Model Modeshare by TAZ'!B:B)</f>
        <v>San Francisco</v>
      </c>
      <c r="C1852" s="90" t="str">
        <f>_xlfn.XLOOKUP(A1852,'Model Modeshare by TAZ'!A:A,'Model Modeshare by TAZ'!D:D)</f>
        <v>NO</v>
      </c>
      <c r="D1852" s="27">
        <v>7939.6</v>
      </c>
      <c r="E1852" s="27">
        <v>178148.94</v>
      </c>
      <c r="F1852" s="27">
        <v>6836.41</v>
      </c>
      <c r="G1852" s="27">
        <v>74108.11</v>
      </c>
      <c r="H1852" s="27">
        <v>2449.98</v>
      </c>
      <c r="I1852" s="27">
        <v>32760.1</v>
      </c>
      <c r="J1852" s="6">
        <v>5363</v>
      </c>
      <c r="K1852" s="6">
        <v>2028</v>
      </c>
      <c r="L1852" s="27">
        <v>13.81840574305426</v>
      </c>
      <c r="M1852" s="27">
        <v>16.153895463510846</v>
      </c>
      <c r="N1852" s="34">
        <v>24.770079826816399</v>
      </c>
    </row>
    <row r="1853" spans="1:14" x14ac:dyDescent="0.35">
      <c r="A1853" s="82">
        <v>1850</v>
      </c>
      <c r="B1853" s="89" t="str">
        <f>_xlfn.XLOOKUP(A1853,'Model Modeshare by TAZ'!A:A,'Model Modeshare by TAZ'!B:B)</f>
        <v>San Francisco</v>
      </c>
      <c r="C1853" s="90" t="str">
        <f>_xlfn.XLOOKUP(A1853,'Model Modeshare by TAZ'!A:A,'Model Modeshare by TAZ'!D:D)</f>
        <v>NO</v>
      </c>
      <c r="D1853" s="27">
        <v>5544.59</v>
      </c>
      <c r="E1853" s="27">
        <v>107466.6</v>
      </c>
      <c r="F1853" s="27">
        <v>3022.71</v>
      </c>
      <c r="G1853" s="27">
        <v>25967.32</v>
      </c>
      <c r="H1853" s="27">
        <v>2214.71</v>
      </c>
      <c r="I1853" s="27">
        <v>27577.55</v>
      </c>
      <c r="J1853" s="6">
        <v>3131</v>
      </c>
      <c r="K1853" s="6">
        <v>2100</v>
      </c>
      <c r="L1853" s="27">
        <v>8.2936186521877993</v>
      </c>
      <c r="M1853" s="27">
        <v>13.132166666666667</v>
      </c>
      <c r="N1853" s="34">
        <v>18.450219843242213</v>
      </c>
    </row>
    <row r="1854" spans="1:14" x14ac:dyDescent="0.35">
      <c r="A1854" s="82">
        <v>1851</v>
      </c>
      <c r="B1854" s="89" t="str">
        <f>_xlfn.XLOOKUP(A1854,'Model Modeshare by TAZ'!A:A,'Model Modeshare by TAZ'!B:B)</f>
        <v>San Francisco</v>
      </c>
      <c r="C1854" s="90" t="str">
        <f>_xlfn.XLOOKUP(A1854,'Model Modeshare by TAZ'!A:A,'Model Modeshare by TAZ'!D:D)</f>
        <v>NO</v>
      </c>
      <c r="D1854" s="27">
        <v>2151.58</v>
      </c>
      <c r="E1854" s="27">
        <v>40344.699999999997</v>
      </c>
      <c r="F1854" s="27">
        <v>2277.0300000000002</v>
      </c>
      <c r="G1854" s="27">
        <v>22268.45</v>
      </c>
      <c r="H1854" s="27">
        <v>160.37</v>
      </c>
      <c r="I1854" s="27">
        <v>1924.91</v>
      </c>
      <c r="J1854" s="6">
        <v>2025</v>
      </c>
      <c r="K1854" s="6">
        <v>95</v>
      </c>
      <c r="L1854" s="27">
        <v>10.996765432098766</v>
      </c>
      <c r="M1854" s="27">
        <v>20.262210526315791</v>
      </c>
      <c r="N1854" s="34">
        <v>17.397363207547173</v>
      </c>
    </row>
    <row r="1855" spans="1:14" x14ac:dyDescent="0.35">
      <c r="A1855" s="82">
        <v>1852</v>
      </c>
      <c r="B1855" s="89" t="str">
        <f>_xlfn.XLOOKUP(A1855,'Model Modeshare by TAZ'!A:A,'Model Modeshare by TAZ'!B:B)</f>
        <v>San Francisco</v>
      </c>
      <c r="C1855" s="90" t="str">
        <f>_xlfn.XLOOKUP(A1855,'Model Modeshare by TAZ'!A:A,'Model Modeshare by TAZ'!D:D)</f>
        <v>NO</v>
      </c>
      <c r="D1855" s="27">
        <v>6099.49</v>
      </c>
      <c r="E1855" s="27">
        <v>109873.67</v>
      </c>
      <c r="F1855" s="27">
        <v>5536.87</v>
      </c>
      <c r="G1855" s="27">
        <v>53723.32</v>
      </c>
      <c r="H1855" s="27">
        <v>542.92999999999995</v>
      </c>
      <c r="I1855" s="27">
        <v>6471.92</v>
      </c>
      <c r="J1855" s="6">
        <v>4287</v>
      </c>
      <c r="K1855" s="6">
        <v>326</v>
      </c>
      <c r="L1855" s="27">
        <v>12.531681828784698</v>
      </c>
      <c r="M1855" s="27">
        <v>19.852515337423313</v>
      </c>
      <c r="N1855" s="34">
        <v>19.90187079991329</v>
      </c>
    </row>
    <row r="1856" spans="1:14" x14ac:dyDescent="0.35">
      <c r="A1856" s="82">
        <v>1853</v>
      </c>
      <c r="B1856" s="89" t="str">
        <f>_xlfn.XLOOKUP(A1856,'Model Modeshare by TAZ'!A:A,'Model Modeshare by TAZ'!B:B)</f>
        <v>San Francisco</v>
      </c>
      <c r="C1856" s="90" t="str">
        <f>_xlfn.XLOOKUP(A1856,'Model Modeshare by TAZ'!A:A,'Model Modeshare by TAZ'!D:D)</f>
        <v>NO</v>
      </c>
      <c r="D1856" s="27">
        <v>4503.04</v>
      </c>
      <c r="E1856" s="27">
        <v>100597.62</v>
      </c>
      <c r="F1856" s="27">
        <v>5471.56</v>
      </c>
      <c r="G1856" s="27">
        <v>60637.96</v>
      </c>
      <c r="H1856" s="27">
        <v>211.94</v>
      </c>
      <c r="I1856" s="27">
        <v>2548.9899999999998</v>
      </c>
      <c r="J1856" s="6">
        <v>4481</v>
      </c>
      <c r="K1856" s="6">
        <v>124</v>
      </c>
      <c r="L1856" s="27">
        <v>13.532238339656326</v>
      </c>
      <c r="M1856" s="27">
        <v>20.556370967741934</v>
      </c>
      <c r="N1856" s="34">
        <v>19.306015200868622</v>
      </c>
    </row>
    <row r="1857" spans="1:14" x14ac:dyDescent="0.35">
      <c r="A1857" s="82">
        <v>1854</v>
      </c>
      <c r="B1857" s="89" t="str">
        <f>_xlfn.XLOOKUP(A1857,'Model Modeshare by TAZ'!A:A,'Model Modeshare by TAZ'!B:B)</f>
        <v>San Francisco</v>
      </c>
      <c r="C1857" s="90" t="str">
        <f>_xlfn.XLOOKUP(A1857,'Model Modeshare by TAZ'!A:A,'Model Modeshare by TAZ'!D:D)</f>
        <v>NO</v>
      </c>
      <c r="D1857" s="27">
        <v>3890.62</v>
      </c>
      <c r="E1857" s="27">
        <v>86501.85</v>
      </c>
      <c r="F1857" s="27">
        <v>6595.84</v>
      </c>
      <c r="G1857" s="27">
        <v>72540.539999999994</v>
      </c>
      <c r="H1857" s="27">
        <v>211.45</v>
      </c>
      <c r="I1857" s="27">
        <v>2845.2</v>
      </c>
      <c r="J1857" s="6">
        <v>6047</v>
      </c>
      <c r="K1857" s="6">
        <v>122</v>
      </c>
      <c r="L1857" s="27">
        <v>11.996120390276168</v>
      </c>
      <c r="M1857" s="27">
        <v>23.321311475409836</v>
      </c>
      <c r="N1857" s="34">
        <v>17.296594261630734</v>
      </c>
    </row>
    <row r="1858" spans="1:14" x14ac:dyDescent="0.35">
      <c r="A1858" s="82">
        <v>1855</v>
      </c>
      <c r="B1858" s="89" t="str">
        <f>_xlfn.XLOOKUP(A1858,'Model Modeshare by TAZ'!A:A,'Model Modeshare by TAZ'!B:B)</f>
        <v>San Francisco</v>
      </c>
      <c r="C1858" s="90" t="str">
        <f>_xlfn.XLOOKUP(A1858,'Model Modeshare by TAZ'!A:A,'Model Modeshare by TAZ'!D:D)</f>
        <v>NO</v>
      </c>
      <c r="D1858" s="27">
        <v>3643.21</v>
      </c>
      <c r="E1858" s="27">
        <v>80610.23</v>
      </c>
      <c r="F1858" s="27">
        <v>4566.87</v>
      </c>
      <c r="G1858" s="27">
        <v>51581.45</v>
      </c>
      <c r="H1858" s="27">
        <v>432.48</v>
      </c>
      <c r="I1858" s="27">
        <v>5433.28</v>
      </c>
      <c r="J1858" s="6">
        <v>4080</v>
      </c>
      <c r="K1858" s="6">
        <v>277</v>
      </c>
      <c r="L1858" s="27">
        <v>12.642512254901961</v>
      </c>
      <c r="M1858" s="27">
        <v>19.614729241877257</v>
      </c>
      <c r="N1858" s="34">
        <v>19.001735138857011</v>
      </c>
    </row>
    <row r="1859" spans="1:14" x14ac:dyDescent="0.35">
      <c r="A1859" s="82">
        <v>1856</v>
      </c>
      <c r="B1859" s="89" t="str">
        <f>_xlfn.XLOOKUP(A1859,'Model Modeshare by TAZ'!A:A,'Model Modeshare by TAZ'!B:B)</f>
        <v>San Francisco</v>
      </c>
      <c r="C1859" s="90" t="str">
        <f>_xlfn.XLOOKUP(A1859,'Model Modeshare by TAZ'!A:A,'Model Modeshare by TAZ'!D:D)</f>
        <v>NO</v>
      </c>
      <c r="D1859" s="27">
        <v>2593.66</v>
      </c>
      <c r="E1859" s="27">
        <v>52964.63</v>
      </c>
      <c r="F1859" s="27">
        <v>3320.92</v>
      </c>
      <c r="G1859" s="27">
        <v>36039.29</v>
      </c>
      <c r="H1859" s="27">
        <v>109.53</v>
      </c>
      <c r="I1859" s="27">
        <v>1283.8699999999999</v>
      </c>
      <c r="J1859" s="6">
        <v>2933</v>
      </c>
      <c r="K1859" s="6">
        <v>72</v>
      </c>
      <c r="L1859" s="27">
        <v>12.287517899761337</v>
      </c>
      <c r="M1859" s="27">
        <v>17.831527777777776</v>
      </c>
      <c r="N1859" s="34">
        <v>17.018116472545756</v>
      </c>
    </row>
    <row r="1860" spans="1:14" x14ac:dyDescent="0.35">
      <c r="A1860" s="82">
        <v>1857</v>
      </c>
      <c r="B1860" s="89" t="str">
        <f>_xlfn.XLOOKUP(A1860,'Model Modeshare by TAZ'!A:A,'Model Modeshare by TAZ'!B:B)</f>
        <v>San Francisco</v>
      </c>
      <c r="C1860" s="90" t="str">
        <f>_xlfn.XLOOKUP(A1860,'Model Modeshare by TAZ'!A:A,'Model Modeshare by TAZ'!D:D)</f>
        <v>NO</v>
      </c>
      <c r="D1860" s="27">
        <v>3221.84</v>
      </c>
      <c r="E1860" s="27">
        <v>64690.02</v>
      </c>
      <c r="F1860" s="27">
        <v>2738.02</v>
      </c>
      <c r="G1860" s="27">
        <v>30427.97</v>
      </c>
      <c r="H1860" s="27">
        <v>198.82</v>
      </c>
      <c r="I1860" s="27">
        <v>2350.5</v>
      </c>
      <c r="J1860" s="6">
        <v>3266</v>
      </c>
      <c r="K1860" s="6">
        <v>126</v>
      </c>
      <c r="L1860" s="27">
        <v>9.3165860379669319</v>
      </c>
      <c r="M1860" s="27">
        <v>18.654761904761905</v>
      </c>
      <c r="N1860" s="34">
        <v>16.821647995283019</v>
      </c>
    </row>
    <row r="1861" spans="1:14" x14ac:dyDescent="0.35">
      <c r="A1861" s="82">
        <v>1858</v>
      </c>
      <c r="B1861" s="89" t="str">
        <f>_xlfn.XLOOKUP(A1861,'Model Modeshare by TAZ'!A:A,'Model Modeshare by TAZ'!B:B)</f>
        <v>San Francisco</v>
      </c>
      <c r="C1861" s="90" t="str">
        <f>_xlfn.XLOOKUP(A1861,'Model Modeshare by TAZ'!A:A,'Model Modeshare by TAZ'!D:D)</f>
        <v>NO</v>
      </c>
      <c r="D1861" s="27">
        <v>1956.78</v>
      </c>
      <c r="E1861" s="27">
        <v>38455.75</v>
      </c>
      <c r="F1861" s="27">
        <v>733.66</v>
      </c>
      <c r="G1861" s="27">
        <v>7267.98</v>
      </c>
      <c r="H1861" s="27">
        <v>349.03</v>
      </c>
      <c r="I1861" s="27">
        <v>4234.26</v>
      </c>
      <c r="J1861" s="6">
        <v>751</v>
      </c>
      <c r="K1861" s="6">
        <v>286</v>
      </c>
      <c r="L1861" s="27">
        <v>9.6777363515312906</v>
      </c>
      <c r="M1861" s="27">
        <v>14.805104895104895</v>
      </c>
      <c r="N1861" s="34">
        <v>26.66950819672131</v>
      </c>
    </row>
    <row r="1862" spans="1:14" x14ac:dyDescent="0.35">
      <c r="A1862" s="82">
        <v>1859</v>
      </c>
      <c r="B1862" s="89" t="str">
        <f>_xlfn.XLOOKUP(A1862,'Model Modeshare by TAZ'!A:A,'Model Modeshare by TAZ'!B:B)</f>
        <v>San Francisco</v>
      </c>
      <c r="C1862" s="90" t="str">
        <f>_xlfn.XLOOKUP(A1862,'Model Modeshare by TAZ'!A:A,'Model Modeshare by TAZ'!D:D)</f>
        <v>NO</v>
      </c>
      <c r="D1862" s="27">
        <v>5013.42</v>
      </c>
      <c r="E1862" s="27">
        <v>98102.6</v>
      </c>
      <c r="F1862" s="27">
        <v>5931.21</v>
      </c>
      <c r="G1862" s="27">
        <v>58666.87</v>
      </c>
      <c r="H1862" s="27">
        <v>307.89</v>
      </c>
      <c r="I1862" s="27">
        <v>3602.61</v>
      </c>
      <c r="J1862" s="6">
        <v>5035</v>
      </c>
      <c r="K1862" s="6">
        <v>189</v>
      </c>
      <c r="L1862" s="27">
        <v>11.651811320754717</v>
      </c>
      <c r="M1862" s="27">
        <v>19.061428571428571</v>
      </c>
      <c r="N1862" s="34">
        <v>17.230133996937212</v>
      </c>
    </row>
    <row r="1863" spans="1:14" x14ac:dyDescent="0.35">
      <c r="A1863" s="82">
        <v>1860</v>
      </c>
      <c r="B1863" s="89" t="str">
        <f>_xlfn.XLOOKUP(A1863,'Model Modeshare by TAZ'!A:A,'Model Modeshare by TAZ'!B:B)</f>
        <v>San Francisco</v>
      </c>
      <c r="C1863" s="90" t="str">
        <f>_xlfn.XLOOKUP(A1863,'Model Modeshare by TAZ'!A:A,'Model Modeshare by TAZ'!D:D)</f>
        <v>NO</v>
      </c>
      <c r="D1863" s="27">
        <v>5473.32</v>
      </c>
      <c r="E1863" s="27">
        <v>88396.71</v>
      </c>
      <c r="F1863" s="27">
        <v>5492.92</v>
      </c>
      <c r="G1863" s="27">
        <v>48346.49</v>
      </c>
      <c r="H1863" s="27">
        <v>230</v>
      </c>
      <c r="I1863" s="27">
        <v>2326.75</v>
      </c>
      <c r="J1863" s="6">
        <v>4963</v>
      </c>
      <c r="K1863" s="6">
        <v>155</v>
      </c>
      <c r="L1863" s="27">
        <v>9.7413842434011677</v>
      </c>
      <c r="M1863" s="27">
        <v>15.011290322580646</v>
      </c>
      <c r="N1863" s="34">
        <v>14.540236420476747</v>
      </c>
    </row>
    <row r="1864" spans="1:14" x14ac:dyDescent="0.35">
      <c r="A1864" s="82">
        <v>1861</v>
      </c>
      <c r="B1864" s="89" t="str">
        <f>_xlfn.XLOOKUP(A1864,'Model Modeshare by TAZ'!A:A,'Model Modeshare by TAZ'!B:B)</f>
        <v>San Francisco</v>
      </c>
      <c r="C1864" s="90" t="str">
        <f>_xlfn.XLOOKUP(A1864,'Model Modeshare by TAZ'!A:A,'Model Modeshare by TAZ'!D:D)</f>
        <v>NO</v>
      </c>
      <c r="D1864" s="27">
        <v>4448.58</v>
      </c>
      <c r="E1864" s="27">
        <v>77892.509999999995</v>
      </c>
      <c r="F1864" s="27">
        <v>4550.71</v>
      </c>
      <c r="G1864" s="27">
        <v>38994.33</v>
      </c>
      <c r="H1864" s="27">
        <v>364.93</v>
      </c>
      <c r="I1864" s="27">
        <v>3751.63</v>
      </c>
      <c r="J1864" s="6">
        <v>4368</v>
      </c>
      <c r="K1864" s="6">
        <v>238</v>
      </c>
      <c r="L1864" s="27">
        <v>8.9272733516483527</v>
      </c>
      <c r="M1864" s="27">
        <v>15.763151260504202</v>
      </c>
      <c r="N1864" s="34">
        <v>13.270746851932262</v>
      </c>
    </row>
    <row r="1865" spans="1:14" x14ac:dyDescent="0.35">
      <c r="A1865" s="82">
        <v>1862</v>
      </c>
      <c r="B1865" s="89" t="str">
        <f>_xlfn.XLOOKUP(A1865,'Model Modeshare by TAZ'!A:A,'Model Modeshare by TAZ'!B:B)</f>
        <v>San Francisco</v>
      </c>
      <c r="C1865" s="90" t="str">
        <f>_xlfn.XLOOKUP(A1865,'Model Modeshare by TAZ'!A:A,'Model Modeshare by TAZ'!D:D)</f>
        <v>NO</v>
      </c>
      <c r="D1865" s="27">
        <v>4920.54</v>
      </c>
      <c r="E1865" s="27">
        <v>89525.32</v>
      </c>
      <c r="F1865" s="27">
        <v>5119.54</v>
      </c>
      <c r="G1865" s="27">
        <v>47473.96</v>
      </c>
      <c r="H1865" s="27">
        <v>639.55999999999995</v>
      </c>
      <c r="I1865" s="27">
        <v>6520.6</v>
      </c>
      <c r="J1865" s="6">
        <v>4946</v>
      </c>
      <c r="K1865" s="6">
        <v>445</v>
      </c>
      <c r="L1865" s="27">
        <v>9.5984553174282254</v>
      </c>
      <c r="M1865" s="27">
        <v>14.65303370786517</v>
      </c>
      <c r="N1865" s="34">
        <v>14.981853088480801</v>
      </c>
    </row>
    <row r="1866" spans="1:14" x14ac:dyDescent="0.35">
      <c r="A1866" s="82">
        <v>1863</v>
      </c>
      <c r="B1866" s="89" t="str">
        <f>_xlfn.XLOOKUP(A1866,'Model Modeshare by TAZ'!A:A,'Model Modeshare by TAZ'!B:B)</f>
        <v>San Francisco</v>
      </c>
      <c r="C1866" s="90" t="str">
        <f>_xlfn.XLOOKUP(A1866,'Model Modeshare by TAZ'!A:A,'Model Modeshare by TAZ'!D:D)</f>
        <v>NO</v>
      </c>
      <c r="D1866" s="27">
        <v>4852.3100000000004</v>
      </c>
      <c r="E1866" s="27">
        <v>104058.21</v>
      </c>
      <c r="F1866" s="27">
        <v>5945.64</v>
      </c>
      <c r="G1866" s="27">
        <v>67239.45</v>
      </c>
      <c r="H1866" s="27">
        <v>353.85</v>
      </c>
      <c r="I1866" s="27">
        <v>4010.21</v>
      </c>
      <c r="J1866" s="6">
        <v>4544</v>
      </c>
      <c r="K1866" s="6">
        <v>203</v>
      </c>
      <c r="L1866" s="27">
        <v>14.797414172535211</v>
      </c>
      <c r="M1866" s="27">
        <v>19.75472906403941</v>
      </c>
      <c r="N1866" s="34">
        <v>20.92836949652412</v>
      </c>
    </row>
    <row r="1867" spans="1:14" x14ac:dyDescent="0.35">
      <c r="A1867" s="82">
        <v>1864</v>
      </c>
      <c r="B1867" s="89" t="str">
        <f>_xlfn.XLOOKUP(A1867,'Model Modeshare by TAZ'!A:A,'Model Modeshare by TAZ'!B:B)</f>
        <v>San Francisco</v>
      </c>
      <c r="C1867" s="90" t="str">
        <f>_xlfn.XLOOKUP(A1867,'Model Modeshare by TAZ'!A:A,'Model Modeshare by TAZ'!D:D)</f>
        <v>NO</v>
      </c>
      <c r="D1867" s="27">
        <v>8148.69</v>
      </c>
      <c r="E1867" s="27">
        <v>133366.09</v>
      </c>
      <c r="F1867" s="27">
        <v>8266.17</v>
      </c>
      <c r="G1867" s="27">
        <v>72486.06</v>
      </c>
      <c r="H1867" s="27">
        <v>748.71</v>
      </c>
      <c r="I1867" s="27">
        <v>7508.74</v>
      </c>
      <c r="J1867" s="6">
        <v>7653</v>
      </c>
      <c r="K1867" s="6">
        <v>477</v>
      </c>
      <c r="L1867" s="27">
        <v>9.4715876127009011</v>
      </c>
      <c r="M1867" s="27">
        <v>15.741593291404612</v>
      </c>
      <c r="N1867" s="34">
        <v>14.044984009840098</v>
      </c>
    </row>
    <row r="1868" spans="1:14" x14ac:dyDescent="0.35">
      <c r="A1868" s="82">
        <v>1865</v>
      </c>
      <c r="B1868" s="89" t="str">
        <f>_xlfn.XLOOKUP(A1868,'Model Modeshare by TAZ'!A:A,'Model Modeshare by TAZ'!B:B)</f>
        <v>San Francisco</v>
      </c>
      <c r="C1868" s="90" t="str">
        <f>_xlfn.XLOOKUP(A1868,'Model Modeshare by TAZ'!A:A,'Model Modeshare by TAZ'!D:D)</f>
        <v>NO</v>
      </c>
      <c r="D1868" s="27">
        <v>9855.14</v>
      </c>
      <c r="E1868" s="27">
        <v>166792.03</v>
      </c>
      <c r="F1868" s="27">
        <v>7299.61</v>
      </c>
      <c r="G1868" s="27">
        <v>65471.67</v>
      </c>
      <c r="H1868" s="27">
        <v>2549.17</v>
      </c>
      <c r="I1868" s="27">
        <v>26928.27</v>
      </c>
      <c r="J1868" s="6">
        <v>6994</v>
      </c>
      <c r="K1868" s="6">
        <v>2284</v>
      </c>
      <c r="L1868" s="27">
        <v>9.3611195310265938</v>
      </c>
      <c r="M1868" s="27">
        <v>11.789960595446585</v>
      </c>
      <c r="N1868" s="34">
        <v>19.528118128907092</v>
      </c>
    </row>
    <row r="1869" spans="1:14" x14ac:dyDescent="0.35">
      <c r="A1869" s="82">
        <v>1866</v>
      </c>
      <c r="B1869" s="89" t="str">
        <f>_xlfn.XLOOKUP(A1869,'Model Modeshare by TAZ'!A:A,'Model Modeshare by TAZ'!B:B)</f>
        <v>San Francisco</v>
      </c>
      <c r="C1869" s="90" t="str">
        <f>_xlfn.XLOOKUP(A1869,'Model Modeshare by TAZ'!A:A,'Model Modeshare by TAZ'!D:D)</f>
        <v>NO</v>
      </c>
      <c r="D1869" s="27">
        <v>10316.58</v>
      </c>
      <c r="E1869" s="27">
        <v>176452.2</v>
      </c>
      <c r="F1869" s="27">
        <v>9864.2999999999993</v>
      </c>
      <c r="G1869" s="27">
        <v>86386.26</v>
      </c>
      <c r="H1869" s="27">
        <v>1197.3399999999999</v>
      </c>
      <c r="I1869" s="27">
        <v>11796.22</v>
      </c>
      <c r="J1869" s="6">
        <v>9859</v>
      </c>
      <c r="K1869" s="6">
        <v>823</v>
      </c>
      <c r="L1869" s="27">
        <v>8.7621726341413932</v>
      </c>
      <c r="M1869" s="27">
        <v>14.333195625759416</v>
      </c>
      <c r="N1869" s="34">
        <v>14.806515633776447</v>
      </c>
    </row>
    <row r="1870" spans="1:14" x14ac:dyDescent="0.35">
      <c r="A1870" s="82">
        <v>1867</v>
      </c>
      <c r="B1870" s="89" t="str">
        <f>_xlfn.XLOOKUP(A1870,'Model Modeshare by TAZ'!A:A,'Model Modeshare by TAZ'!B:B)</f>
        <v>San Francisco</v>
      </c>
      <c r="C1870" s="90" t="str">
        <f>_xlfn.XLOOKUP(A1870,'Model Modeshare by TAZ'!A:A,'Model Modeshare by TAZ'!D:D)</f>
        <v>NO</v>
      </c>
      <c r="D1870" s="27">
        <v>6689.17</v>
      </c>
      <c r="E1870" s="27">
        <v>108003.69</v>
      </c>
      <c r="F1870" s="27">
        <v>6819.65</v>
      </c>
      <c r="G1870" s="27">
        <v>60916.89</v>
      </c>
      <c r="H1870" s="27">
        <v>546.19000000000005</v>
      </c>
      <c r="I1870" s="27">
        <v>5668.2</v>
      </c>
      <c r="J1870" s="6">
        <v>6718</v>
      </c>
      <c r="K1870" s="6">
        <v>340</v>
      </c>
      <c r="L1870" s="27">
        <v>9.067712116701399</v>
      </c>
      <c r="M1870" s="27">
        <v>16.671176470588236</v>
      </c>
      <c r="N1870" s="34">
        <v>14.233374893737603</v>
      </c>
    </row>
    <row r="1871" spans="1:14" x14ac:dyDescent="0.35">
      <c r="A1871" s="82">
        <v>1868</v>
      </c>
      <c r="B1871" s="89" t="str">
        <f>_xlfn.XLOOKUP(A1871,'Model Modeshare by TAZ'!A:A,'Model Modeshare by TAZ'!B:B)</f>
        <v>San Francisco</v>
      </c>
      <c r="C1871" s="90" t="str">
        <f>_xlfn.XLOOKUP(A1871,'Model Modeshare by TAZ'!A:A,'Model Modeshare by TAZ'!D:D)</f>
        <v>NO</v>
      </c>
      <c r="D1871" s="27">
        <v>11821.01</v>
      </c>
      <c r="E1871" s="27">
        <v>216458.85</v>
      </c>
      <c r="F1871" s="27">
        <v>10346.66</v>
      </c>
      <c r="G1871" s="27">
        <v>95080.57</v>
      </c>
      <c r="H1871" s="27">
        <v>715.53</v>
      </c>
      <c r="I1871" s="27">
        <v>7846.3</v>
      </c>
      <c r="J1871" s="6">
        <v>10302</v>
      </c>
      <c r="K1871" s="6">
        <v>447</v>
      </c>
      <c r="L1871" s="27">
        <v>9.2293311978256654</v>
      </c>
      <c r="M1871" s="27">
        <v>17.553243847874722</v>
      </c>
      <c r="N1871" s="34">
        <v>15.644406921574101</v>
      </c>
    </row>
    <row r="1872" spans="1:14" x14ac:dyDescent="0.35">
      <c r="A1872" s="82">
        <v>1869</v>
      </c>
      <c r="B1872" s="89" t="str">
        <f>_xlfn.XLOOKUP(A1872,'Model Modeshare by TAZ'!A:A,'Model Modeshare by TAZ'!B:B)</f>
        <v>San Francisco</v>
      </c>
      <c r="C1872" s="90" t="str">
        <f>_xlfn.XLOOKUP(A1872,'Model Modeshare by TAZ'!A:A,'Model Modeshare by TAZ'!D:D)</f>
        <v>NO</v>
      </c>
      <c r="D1872" s="27">
        <v>10995.44</v>
      </c>
      <c r="E1872" s="27">
        <v>192569.04</v>
      </c>
      <c r="F1872" s="27">
        <v>10687.21</v>
      </c>
      <c r="G1872" s="27">
        <v>95979.03</v>
      </c>
      <c r="H1872" s="27">
        <v>2420.3200000000002</v>
      </c>
      <c r="I1872" s="27">
        <v>26663.05</v>
      </c>
      <c r="J1872" s="6">
        <v>7130</v>
      </c>
      <c r="K1872" s="6">
        <v>1766</v>
      </c>
      <c r="L1872" s="27">
        <v>13.461294530154278</v>
      </c>
      <c r="M1872" s="27">
        <v>15.097989807474518</v>
      </c>
      <c r="N1872" s="34">
        <v>22.508691546762591</v>
      </c>
    </row>
    <row r="1873" spans="1:14" x14ac:dyDescent="0.35">
      <c r="A1873" s="82">
        <v>1870</v>
      </c>
      <c r="B1873" s="89" t="str">
        <f>_xlfn.XLOOKUP(A1873,'Model Modeshare by TAZ'!A:A,'Model Modeshare by TAZ'!B:B)</f>
        <v>San Francisco</v>
      </c>
      <c r="C1873" s="90" t="str">
        <f>_xlfn.XLOOKUP(A1873,'Model Modeshare by TAZ'!A:A,'Model Modeshare by TAZ'!D:D)</f>
        <v>NO</v>
      </c>
      <c r="D1873" s="27">
        <v>10777.88</v>
      </c>
      <c r="E1873" s="27">
        <v>179880.93</v>
      </c>
      <c r="F1873" s="27">
        <v>7300.82</v>
      </c>
      <c r="G1873" s="27">
        <v>58160.34</v>
      </c>
      <c r="H1873" s="27">
        <v>2487.87</v>
      </c>
      <c r="I1873" s="27">
        <v>26315.16</v>
      </c>
      <c r="J1873" s="6">
        <v>5661</v>
      </c>
      <c r="K1873" s="6">
        <v>2464</v>
      </c>
      <c r="L1873" s="27">
        <v>10.273863275039744</v>
      </c>
      <c r="M1873" s="27">
        <v>10.679853896103896</v>
      </c>
      <c r="N1873" s="34">
        <v>22.26897476923077</v>
      </c>
    </row>
    <row r="1874" spans="1:14" x14ac:dyDescent="0.35">
      <c r="A1874" s="82">
        <v>1871</v>
      </c>
      <c r="B1874" s="89" t="str">
        <f>_xlfn.XLOOKUP(A1874,'Model Modeshare by TAZ'!A:A,'Model Modeshare by TAZ'!B:B)</f>
        <v>San Francisco</v>
      </c>
      <c r="C1874" s="90" t="str">
        <f>_xlfn.XLOOKUP(A1874,'Model Modeshare by TAZ'!A:A,'Model Modeshare by TAZ'!D:D)</f>
        <v>NO</v>
      </c>
      <c r="D1874" s="27">
        <v>3936.43</v>
      </c>
      <c r="E1874" s="27">
        <v>60084.95</v>
      </c>
      <c r="F1874" s="27">
        <v>3127.66</v>
      </c>
      <c r="G1874" s="27">
        <v>22502.07</v>
      </c>
      <c r="H1874" s="27">
        <v>889.07</v>
      </c>
      <c r="I1874" s="27">
        <v>9353.68</v>
      </c>
      <c r="J1874" s="6">
        <v>2242</v>
      </c>
      <c r="K1874" s="6">
        <v>665</v>
      </c>
      <c r="L1874" s="27">
        <v>10.036605709188224</v>
      </c>
      <c r="M1874" s="27">
        <v>14.065684210526316</v>
      </c>
      <c r="N1874" s="34">
        <v>20.21202270381837</v>
      </c>
    </row>
    <row r="1875" spans="1:14" x14ac:dyDescent="0.35">
      <c r="A1875" s="82">
        <v>1872</v>
      </c>
      <c r="B1875" s="89" t="str">
        <f>_xlfn.XLOOKUP(A1875,'Model Modeshare by TAZ'!A:A,'Model Modeshare by TAZ'!B:B)</f>
        <v>San Francisco</v>
      </c>
      <c r="C1875" s="90" t="str">
        <f>_xlfn.XLOOKUP(A1875,'Model Modeshare by TAZ'!A:A,'Model Modeshare by TAZ'!D:D)</f>
        <v>NO</v>
      </c>
      <c r="D1875" s="27">
        <v>7953.71</v>
      </c>
      <c r="E1875" s="27">
        <v>128473.43</v>
      </c>
      <c r="F1875" s="27">
        <v>6383.52</v>
      </c>
      <c r="G1875" s="27">
        <v>49065.69</v>
      </c>
      <c r="H1875" s="27">
        <v>1675.73</v>
      </c>
      <c r="I1875" s="27">
        <v>17274.12</v>
      </c>
      <c r="J1875" s="6">
        <v>5166</v>
      </c>
      <c r="K1875" s="6">
        <v>1268</v>
      </c>
      <c r="L1875" s="27">
        <v>9.4978106852497106</v>
      </c>
      <c r="M1875" s="27">
        <v>13.623123028391166</v>
      </c>
      <c r="N1875" s="34">
        <v>19.697314267951509</v>
      </c>
    </row>
    <row r="1876" spans="1:14" x14ac:dyDescent="0.35">
      <c r="A1876" s="82">
        <v>1873</v>
      </c>
      <c r="B1876" s="89" t="str">
        <f>_xlfn.XLOOKUP(A1876,'Model Modeshare by TAZ'!A:A,'Model Modeshare by TAZ'!B:B)</f>
        <v>San Francisco</v>
      </c>
      <c r="C1876" s="90" t="str">
        <f>_xlfn.XLOOKUP(A1876,'Model Modeshare by TAZ'!A:A,'Model Modeshare by TAZ'!D:D)</f>
        <v>NO</v>
      </c>
      <c r="D1876" s="27">
        <v>5012.46</v>
      </c>
      <c r="E1876" s="27">
        <v>75173.83</v>
      </c>
      <c r="F1876" s="27">
        <v>4961.3100000000004</v>
      </c>
      <c r="G1876" s="27">
        <v>37355.71</v>
      </c>
      <c r="H1876" s="27">
        <v>580.67999999999995</v>
      </c>
      <c r="I1876" s="27">
        <v>6138.92</v>
      </c>
      <c r="J1876" s="6">
        <v>3601</v>
      </c>
      <c r="K1876" s="6">
        <v>352</v>
      </c>
      <c r="L1876" s="27">
        <v>10.373704526520411</v>
      </c>
      <c r="M1876" s="27">
        <v>17.440113636363638</v>
      </c>
      <c r="N1876" s="34">
        <v>17.878128004047561</v>
      </c>
    </row>
    <row r="1877" spans="1:14" x14ac:dyDescent="0.35">
      <c r="A1877" s="82">
        <v>1874</v>
      </c>
      <c r="B1877" s="89" t="str">
        <f>_xlfn.XLOOKUP(A1877,'Model Modeshare by TAZ'!A:A,'Model Modeshare by TAZ'!B:B)</f>
        <v>San Francisco</v>
      </c>
      <c r="C1877" s="90" t="str">
        <f>_xlfn.XLOOKUP(A1877,'Model Modeshare by TAZ'!A:A,'Model Modeshare by TAZ'!D:D)</f>
        <v>NO</v>
      </c>
      <c r="D1877" s="27">
        <v>7032.76</v>
      </c>
      <c r="E1877" s="27">
        <v>107638.87</v>
      </c>
      <c r="F1877" s="27">
        <v>7790.54</v>
      </c>
      <c r="G1877" s="27">
        <v>57265.94</v>
      </c>
      <c r="H1877" s="27">
        <v>986.81</v>
      </c>
      <c r="I1877" s="27">
        <v>10704.24</v>
      </c>
      <c r="J1877" s="6">
        <v>5658</v>
      </c>
      <c r="K1877" s="6">
        <v>605</v>
      </c>
      <c r="L1877" s="27">
        <v>10.12123365146695</v>
      </c>
      <c r="M1877" s="27">
        <v>17.692958677685951</v>
      </c>
      <c r="N1877" s="34">
        <v>18.458729043589337</v>
      </c>
    </row>
    <row r="1878" spans="1:14" x14ac:dyDescent="0.35">
      <c r="A1878" s="82">
        <v>1875</v>
      </c>
      <c r="B1878" s="89" t="str">
        <f>_xlfn.XLOOKUP(A1878,'Model Modeshare by TAZ'!A:A,'Model Modeshare by TAZ'!B:B)</f>
        <v>San Francisco</v>
      </c>
      <c r="C1878" s="90" t="str">
        <f>_xlfn.XLOOKUP(A1878,'Model Modeshare by TAZ'!A:A,'Model Modeshare by TAZ'!D:D)</f>
        <v>NO</v>
      </c>
      <c r="D1878" s="27">
        <v>7978.56</v>
      </c>
      <c r="E1878" s="27">
        <v>140480.72</v>
      </c>
      <c r="F1878" s="27">
        <v>4898.8999999999996</v>
      </c>
      <c r="G1878" s="27">
        <v>38648.730000000003</v>
      </c>
      <c r="H1878" s="27">
        <v>1641.65</v>
      </c>
      <c r="I1878" s="27">
        <v>18843.32</v>
      </c>
      <c r="J1878" s="6">
        <v>4359</v>
      </c>
      <c r="K1878" s="6">
        <v>1460</v>
      </c>
      <c r="L1878" s="27">
        <v>8.866421197522369</v>
      </c>
      <c r="M1878" s="27">
        <v>12.906383561643835</v>
      </c>
      <c r="N1878" s="34">
        <v>23.753509194019593</v>
      </c>
    </row>
    <row r="1879" spans="1:14" x14ac:dyDescent="0.35">
      <c r="A1879" s="82">
        <v>1876</v>
      </c>
      <c r="B1879" s="89" t="str">
        <f>_xlfn.XLOOKUP(A1879,'Model Modeshare by TAZ'!A:A,'Model Modeshare by TAZ'!B:B)</f>
        <v>San Francisco</v>
      </c>
      <c r="C1879" s="90" t="str">
        <f>_xlfn.XLOOKUP(A1879,'Model Modeshare by TAZ'!A:A,'Model Modeshare by TAZ'!D:D)</f>
        <v>NO</v>
      </c>
      <c r="D1879" s="27">
        <v>6212.26</v>
      </c>
      <c r="E1879" s="27">
        <v>108324.95</v>
      </c>
      <c r="F1879" s="27">
        <v>4647.32</v>
      </c>
      <c r="G1879" s="27">
        <v>36893.480000000003</v>
      </c>
      <c r="H1879" s="27">
        <v>994.43</v>
      </c>
      <c r="I1879" s="27">
        <v>11616.5</v>
      </c>
      <c r="J1879" s="6">
        <v>3972</v>
      </c>
      <c r="K1879" s="6">
        <v>868</v>
      </c>
      <c r="L1879" s="27">
        <v>9.2883887210473315</v>
      </c>
      <c r="M1879" s="27">
        <v>13.383064516129032</v>
      </c>
      <c r="N1879" s="34">
        <v>21.911535123966942</v>
      </c>
    </row>
    <row r="1880" spans="1:14" x14ac:dyDescent="0.35">
      <c r="A1880" s="82">
        <v>1877</v>
      </c>
      <c r="B1880" s="89" t="str">
        <f>_xlfn.XLOOKUP(A1880,'Model Modeshare by TAZ'!A:A,'Model Modeshare by TAZ'!B:B)</f>
        <v>San Francisco</v>
      </c>
      <c r="C1880" s="90" t="str">
        <f>_xlfn.XLOOKUP(A1880,'Model Modeshare by TAZ'!A:A,'Model Modeshare by TAZ'!D:D)</f>
        <v>NO</v>
      </c>
      <c r="D1880" s="27">
        <v>14385.51</v>
      </c>
      <c r="E1880" s="27">
        <v>223355.5</v>
      </c>
      <c r="F1880" s="27">
        <v>10553.21</v>
      </c>
      <c r="G1880" s="27">
        <v>77119.11</v>
      </c>
      <c r="H1880" s="27">
        <v>2558.7199999999998</v>
      </c>
      <c r="I1880" s="27">
        <v>27308.41</v>
      </c>
      <c r="J1880" s="6">
        <v>8804</v>
      </c>
      <c r="K1880" s="6">
        <v>2142</v>
      </c>
      <c r="L1880" s="27">
        <v>8.7595536119945479</v>
      </c>
      <c r="M1880" s="27">
        <v>12.749024276377218</v>
      </c>
      <c r="N1880" s="34">
        <v>19.246335647725196</v>
      </c>
    </row>
    <row r="1881" spans="1:14" x14ac:dyDescent="0.35">
      <c r="A1881" s="82">
        <v>1878</v>
      </c>
      <c r="B1881" s="89" t="str">
        <f>_xlfn.XLOOKUP(A1881,'Model Modeshare by TAZ'!A:A,'Model Modeshare by TAZ'!B:B)</f>
        <v>San Francisco</v>
      </c>
      <c r="C1881" s="90" t="str">
        <f>_xlfn.XLOOKUP(A1881,'Model Modeshare by TAZ'!A:A,'Model Modeshare by TAZ'!D:D)</f>
        <v>NO</v>
      </c>
      <c r="D1881" s="27">
        <v>8358.7099999999991</v>
      </c>
      <c r="E1881" s="27">
        <v>126576.5</v>
      </c>
      <c r="F1881" s="27">
        <v>8683.24</v>
      </c>
      <c r="G1881" s="27">
        <v>67570.62</v>
      </c>
      <c r="H1881" s="27">
        <v>1118.18</v>
      </c>
      <c r="I1881" s="27">
        <v>11879.42</v>
      </c>
      <c r="J1881" s="6">
        <v>6652</v>
      </c>
      <c r="K1881" s="6">
        <v>694</v>
      </c>
      <c r="L1881" s="27">
        <v>10.157940469031869</v>
      </c>
      <c r="M1881" s="27">
        <v>17.117319884726225</v>
      </c>
      <c r="N1881" s="34">
        <v>17.163810236863601</v>
      </c>
    </row>
    <row r="1882" spans="1:14" x14ac:dyDescent="0.35">
      <c r="A1882" s="82">
        <v>1879</v>
      </c>
      <c r="B1882" s="89" t="str">
        <f>_xlfn.XLOOKUP(A1882,'Model Modeshare by TAZ'!A:A,'Model Modeshare by TAZ'!B:B)</f>
        <v>San Francisco</v>
      </c>
      <c r="C1882" s="90" t="str">
        <f>_xlfn.XLOOKUP(A1882,'Model Modeshare by TAZ'!A:A,'Model Modeshare by TAZ'!D:D)</f>
        <v>NO</v>
      </c>
      <c r="D1882" s="27">
        <v>10153.469999999999</v>
      </c>
      <c r="E1882" s="27">
        <v>162146.4</v>
      </c>
      <c r="F1882" s="27">
        <v>9926.1200000000008</v>
      </c>
      <c r="G1882" s="27">
        <v>81022.64</v>
      </c>
      <c r="H1882" s="27">
        <v>1197.54</v>
      </c>
      <c r="I1882" s="27">
        <v>13347.81</v>
      </c>
      <c r="J1882" s="6">
        <v>7923</v>
      </c>
      <c r="K1882" s="6">
        <v>763</v>
      </c>
      <c r="L1882" s="27">
        <v>10.226257730657579</v>
      </c>
      <c r="M1882" s="27">
        <v>17.493853211009174</v>
      </c>
      <c r="N1882" s="34">
        <v>18.373826847801059</v>
      </c>
    </row>
    <row r="1883" spans="1:14" x14ac:dyDescent="0.35">
      <c r="A1883" s="82">
        <v>1880</v>
      </c>
      <c r="B1883" s="89" t="str">
        <f>_xlfn.XLOOKUP(A1883,'Model Modeshare by TAZ'!A:A,'Model Modeshare by TAZ'!B:B)</f>
        <v>San Francisco</v>
      </c>
      <c r="C1883" s="90" t="str">
        <f>_xlfn.XLOOKUP(A1883,'Model Modeshare by TAZ'!A:A,'Model Modeshare by TAZ'!D:D)</f>
        <v>NO</v>
      </c>
      <c r="D1883" s="27">
        <v>5434.72</v>
      </c>
      <c r="E1883" s="27">
        <v>93099.09</v>
      </c>
      <c r="F1883" s="27">
        <v>5555.9</v>
      </c>
      <c r="G1883" s="27">
        <v>50977.42</v>
      </c>
      <c r="H1883" s="27">
        <v>580.87</v>
      </c>
      <c r="I1883" s="27">
        <v>6703.7</v>
      </c>
      <c r="J1883" s="6">
        <v>4356</v>
      </c>
      <c r="K1883" s="6">
        <v>356</v>
      </c>
      <c r="L1883" s="27">
        <v>11.702805325987145</v>
      </c>
      <c r="M1883" s="27">
        <v>18.830617977528089</v>
      </c>
      <c r="N1883" s="34">
        <v>19.707752546689303</v>
      </c>
    </row>
    <row r="1884" spans="1:14" x14ac:dyDescent="0.35">
      <c r="A1884" s="82">
        <v>1881</v>
      </c>
      <c r="B1884" s="89" t="str">
        <f>_xlfn.XLOOKUP(A1884,'Model Modeshare by TAZ'!A:A,'Model Modeshare by TAZ'!B:B)</f>
        <v>San Francisco</v>
      </c>
      <c r="C1884" s="90" t="str">
        <f>_xlfn.XLOOKUP(A1884,'Model Modeshare by TAZ'!A:A,'Model Modeshare by TAZ'!D:D)</f>
        <v>NO</v>
      </c>
      <c r="D1884" s="27">
        <v>6775.85</v>
      </c>
      <c r="E1884" s="27">
        <v>114921.35</v>
      </c>
      <c r="F1884" s="27">
        <v>6937.38</v>
      </c>
      <c r="G1884" s="27">
        <v>62523.47</v>
      </c>
      <c r="H1884" s="27">
        <v>851.72</v>
      </c>
      <c r="I1884" s="27">
        <v>9916.59</v>
      </c>
      <c r="J1884" s="6">
        <v>5360</v>
      </c>
      <c r="K1884" s="6">
        <v>541</v>
      </c>
      <c r="L1884" s="27">
        <v>11.664826492537314</v>
      </c>
      <c r="M1884" s="27">
        <v>18.33011090573013</v>
      </c>
      <c r="N1884" s="34">
        <v>19.725954922894424</v>
      </c>
    </row>
    <row r="1885" spans="1:14" x14ac:dyDescent="0.35">
      <c r="A1885" s="82">
        <v>1882</v>
      </c>
      <c r="B1885" s="89" t="str">
        <f>_xlfn.XLOOKUP(A1885,'Model Modeshare by TAZ'!A:A,'Model Modeshare by TAZ'!B:B)</f>
        <v>San Francisco</v>
      </c>
      <c r="C1885" s="90" t="str">
        <f>_xlfn.XLOOKUP(A1885,'Model Modeshare by TAZ'!A:A,'Model Modeshare by TAZ'!D:D)</f>
        <v>NO</v>
      </c>
      <c r="D1885" s="27">
        <v>7798.29</v>
      </c>
      <c r="E1885" s="27">
        <v>140136.91</v>
      </c>
      <c r="F1885" s="27">
        <v>8345.77</v>
      </c>
      <c r="G1885" s="27">
        <v>76127.25</v>
      </c>
      <c r="H1885" s="27">
        <v>609.54</v>
      </c>
      <c r="I1885" s="27">
        <v>7050.51</v>
      </c>
      <c r="J1885" s="6">
        <v>6767</v>
      </c>
      <c r="K1885" s="6">
        <v>371</v>
      </c>
      <c r="L1885" s="27">
        <v>11.24977833604256</v>
      </c>
      <c r="M1885" s="27">
        <v>19.004070080862533</v>
      </c>
      <c r="N1885" s="34">
        <v>18.245780330624825</v>
      </c>
    </row>
    <row r="1886" spans="1:14" x14ac:dyDescent="0.35">
      <c r="A1886" s="82">
        <v>1883</v>
      </c>
      <c r="B1886" s="89" t="str">
        <f>_xlfn.XLOOKUP(A1886,'Model Modeshare by TAZ'!A:A,'Model Modeshare by TAZ'!B:B)</f>
        <v>San Francisco</v>
      </c>
      <c r="C1886" s="90" t="str">
        <f>_xlfn.XLOOKUP(A1886,'Model Modeshare by TAZ'!A:A,'Model Modeshare by TAZ'!D:D)</f>
        <v>NO</v>
      </c>
      <c r="D1886" s="27">
        <v>9970.77</v>
      </c>
      <c r="E1886" s="27">
        <v>158756.64000000001</v>
      </c>
      <c r="F1886" s="27">
        <v>8943.25</v>
      </c>
      <c r="G1886" s="27">
        <v>76101.94</v>
      </c>
      <c r="H1886" s="27">
        <v>1584.95</v>
      </c>
      <c r="I1886" s="27">
        <v>18095.38</v>
      </c>
      <c r="J1886" s="6">
        <v>7295</v>
      </c>
      <c r="K1886" s="6">
        <v>984</v>
      </c>
      <c r="L1886" s="27">
        <v>10.432068540095957</v>
      </c>
      <c r="M1886" s="27">
        <v>18.389613821138212</v>
      </c>
      <c r="N1886" s="34">
        <v>19.678199057857228</v>
      </c>
    </row>
    <row r="1887" spans="1:14" x14ac:dyDescent="0.35">
      <c r="A1887" s="82">
        <v>1884</v>
      </c>
      <c r="B1887" s="89" t="str">
        <f>_xlfn.XLOOKUP(A1887,'Model Modeshare by TAZ'!A:A,'Model Modeshare by TAZ'!B:B)</f>
        <v>San Francisco</v>
      </c>
      <c r="C1887" s="90" t="str">
        <f>_xlfn.XLOOKUP(A1887,'Model Modeshare by TAZ'!A:A,'Model Modeshare by TAZ'!D:D)</f>
        <v>NO</v>
      </c>
      <c r="D1887" s="27">
        <v>12889.23</v>
      </c>
      <c r="E1887" s="27">
        <v>208226.92</v>
      </c>
      <c r="F1887" s="27">
        <v>11629.23</v>
      </c>
      <c r="G1887" s="27">
        <v>95780.82</v>
      </c>
      <c r="H1887" s="27">
        <v>1917.26</v>
      </c>
      <c r="I1887" s="27">
        <v>20975.17</v>
      </c>
      <c r="J1887" s="6">
        <v>8945</v>
      </c>
      <c r="K1887" s="6">
        <v>1188</v>
      </c>
      <c r="L1887" s="27">
        <v>10.707749580771381</v>
      </c>
      <c r="M1887" s="27">
        <v>17.655867003367003</v>
      </c>
      <c r="N1887" s="34">
        <v>19.836695943945525</v>
      </c>
    </row>
    <row r="1888" spans="1:14" x14ac:dyDescent="0.35">
      <c r="A1888" s="82">
        <v>1885</v>
      </c>
      <c r="B1888" s="89" t="str">
        <f>_xlfn.XLOOKUP(A1888,'Model Modeshare by TAZ'!A:A,'Model Modeshare by TAZ'!B:B)</f>
        <v>San Francisco</v>
      </c>
      <c r="C1888" s="90" t="str">
        <f>_xlfn.XLOOKUP(A1888,'Model Modeshare by TAZ'!A:A,'Model Modeshare by TAZ'!D:D)</f>
        <v>NO</v>
      </c>
      <c r="D1888" s="27">
        <v>13230.38</v>
      </c>
      <c r="E1888" s="27">
        <v>205925.33</v>
      </c>
      <c r="F1888" s="27">
        <v>9497.76</v>
      </c>
      <c r="G1888" s="27">
        <v>69721.77</v>
      </c>
      <c r="H1888" s="27">
        <v>2452.89</v>
      </c>
      <c r="I1888" s="27">
        <v>26376.39</v>
      </c>
      <c r="J1888" s="6">
        <v>8232</v>
      </c>
      <c r="K1888" s="6">
        <v>2306</v>
      </c>
      <c r="L1888" s="27">
        <v>8.4696027696792999</v>
      </c>
      <c r="M1888" s="27">
        <v>11.438156981786642</v>
      </c>
      <c r="N1888" s="34">
        <v>17.518032833554756</v>
      </c>
    </row>
    <row r="1889" spans="1:14" x14ac:dyDescent="0.35">
      <c r="A1889" s="82">
        <v>1886</v>
      </c>
      <c r="B1889" s="89" t="str">
        <f>_xlfn.XLOOKUP(A1889,'Model Modeshare by TAZ'!A:A,'Model Modeshare by TAZ'!B:B)</f>
        <v>San Francisco</v>
      </c>
      <c r="C1889" s="90" t="str">
        <f>_xlfn.XLOOKUP(A1889,'Model Modeshare by TAZ'!A:A,'Model Modeshare by TAZ'!D:D)</f>
        <v>NO</v>
      </c>
      <c r="D1889" s="27">
        <v>11370.35</v>
      </c>
      <c r="E1889" s="27">
        <v>198564.63</v>
      </c>
      <c r="F1889" s="27">
        <v>10256.969999999999</v>
      </c>
      <c r="G1889" s="27">
        <v>90067.33</v>
      </c>
      <c r="H1889" s="27">
        <v>1757.04</v>
      </c>
      <c r="I1889" s="27">
        <v>19128.18</v>
      </c>
      <c r="J1889" s="6">
        <v>8714</v>
      </c>
      <c r="K1889" s="6">
        <v>1089</v>
      </c>
      <c r="L1889" s="27">
        <v>10.335934128987835</v>
      </c>
      <c r="M1889" s="27">
        <v>17.564903581267217</v>
      </c>
      <c r="N1889" s="34">
        <v>18.279685810466184</v>
      </c>
    </row>
    <row r="1890" spans="1:14" x14ac:dyDescent="0.35">
      <c r="A1890" s="82">
        <v>1887</v>
      </c>
      <c r="B1890" s="89" t="str">
        <f>_xlfn.XLOOKUP(A1890,'Model Modeshare by TAZ'!A:A,'Model Modeshare by TAZ'!B:B)</f>
        <v>San Francisco</v>
      </c>
      <c r="C1890" s="90" t="str">
        <f>_xlfn.XLOOKUP(A1890,'Model Modeshare by TAZ'!A:A,'Model Modeshare by TAZ'!D:D)</f>
        <v>NO</v>
      </c>
      <c r="D1890" s="27">
        <v>8873.57</v>
      </c>
      <c r="E1890" s="27">
        <v>147750.07</v>
      </c>
      <c r="F1890" s="27">
        <v>5228.82</v>
      </c>
      <c r="G1890" s="27">
        <v>46790.26</v>
      </c>
      <c r="H1890" s="27">
        <v>1238.05</v>
      </c>
      <c r="I1890" s="27">
        <v>13689.22</v>
      </c>
      <c r="J1890" s="6">
        <v>4104</v>
      </c>
      <c r="K1890" s="6">
        <v>907</v>
      </c>
      <c r="L1890" s="27">
        <v>11.401135477582846</v>
      </c>
      <c r="M1890" s="27">
        <v>15.092855567805953</v>
      </c>
      <c r="N1890" s="34">
        <v>22.971265216523648</v>
      </c>
    </row>
    <row r="1891" spans="1:14" x14ac:dyDescent="0.35">
      <c r="A1891" s="82">
        <v>1888</v>
      </c>
      <c r="B1891" s="89" t="str">
        <f>_xlfn.XLOOKUP(A1891,'Model Modeshare by TAZ'!A:A,'Model Modeshare by TAZ'!B:B)</f>
        <v>San Francisco</v>
      </c>
      <c r="C1891" s="90" t="str">
        <f>_xlfn.XLOOKUP(A1891,'Model Modeshare by TAZ'!A:A,'Model Modeshare by TAZ'!D:D)</f>
        <v>NO</v>
      </c>
      <c r="D1891" s="27">
        <v>18400.73</v>
      </c>
      <c r="E1891" s="27">
        <v>365856.5</v>
      </c>
      <c r="F1891" s="27">
        <v>2463.0100000000002</v>
      </c>
      <c r="G1891" s="27">
        <v>28718.49</v>
      </c>
      <c r="H1891" s="27">
        <v>9516.6200000000008</v>
      </c>
      <c r="I1891" s="27">
        <v>119894.62</v>
      </c>
      <c r="J1891" s="6">
        <v>3102</v>
      </c>
      <c r="K1891" s="6">
        <v>9438</v>
      </c>
      <c r="L1891" s="27">
        <v>9.2580560928433275</v>
      </c>
      <c r="M1891" s="27">
        <v>12.703392667938122</v>
      </c>
      <c r="N1891" s="34">
        <v>61.047040669856457</v>
      </c>
    </row>
    <row r="1892" spans="1:14" x14ac:dyDescent="0.35">
      <c r="A1892" s="82">
        <v>1889</v>
      </c>
      <c r="B1892" s="89" t="str">
        <f>_xlfn.XLOOKUP(A1892,'Model Modeshare by TAZ'!A:A,'Model Modeshare by TAZ'!B:B)</f>
        <v>San Francisco</v>
      </c>
      <c r="C1892" s="90" t="str">
        <f>_xlfn.XLOOKUP(A1892,'Model Modeshare by TAZ'!A:A,'Model Modeshare by TAZ'!D:D)</f>
        <v>NO</v>
      </c>
      <c r="D1892" s="27">
        <v>10946.15</v>
      </c>
      <c r="E1892" s="27">
        <v>254457.68</v>
      </c>
      <c r="F1892" s="27">
        <v>10284.48</v>
      </c>
      <c r="G1892" s="27">
        <v>122513.16</v>
      </c>
      <c r="H1892" s="27">
        <v>564.96</v>
      </c>
      <c r="I1892" s="27">
        <v>7060.52</v>
      </c>
      <c r="J1892" s="6">
        <v>8066</v>
      </c>
      <c r="K1892" s="6">
        <v>346</v>
      </c>
      <c r="L1892" s="27">
        <v>15.188837093974708</v>
      </c>
      <c r="M1892" s="27">
        <v>20.406127167630061</v>
      </c>
      <c r="N1892" s="34">
        <v>24.352004279600571</v>
      </c>
    </row>
    <row r="1893" spans="1:14" x14ac:dyDescent="0.35">
      <c r="A1893" s="82">
        <v>1890</v>
      </c>
      <c r="B1893" s="89" t="str">
        <f>_xlfn.XLOOKUP(A1893,'Model Modeshare by TAZ'!A:A,'Model Modeshare by TAZ'!B:B)</f>
        <v>San Francisco</v>
      </c>
      <c r="C1893" s="90" t="str">
        <f>_xlfn.XLOOKUP(A1893,'Model Modeshare by TAZ'!A:A,'Model Modeshare by TAZ'!D:D)</f>
        <v>NO</v>
      </c>
      <c r="D1893" s="27">
        <v>4012.63</v>
      </c>
      <c r="E1893" s="27">
        <v>75637.25</v>
      </c>
      <c r="F1893" s="27">
        <v>2868.45</v>
      </c>
      <c r="G1893" s="27">
        <v>28938.37</v>
      </c>
      <c r="H1893" s="27">
        <v>1339.02</v>
      </c>
      <c r="I1893" s="27">
        <v>14946.46</v>
      </c>
      <c r="J1893" s="6">
        <v>1817</v>
      </c>
      <c r="K1893" s="6">
        <v>1028</v>
      </c>
      <c r="L1893" s="27">
        <v>15.926455696202531</v>
      </c>
      <c r="M1893" s="27">
        <v>14.539357976653696</v>
      </c>
      <c r="N1893" s="34">
        <v>30.618998242530758</v>
      </c>
    </row>
    <row r="1894" spans="1:14" x14ac:dyDescent="0.35">
      <c r="A1894" s="82">
        <v>1891</v>
      </c>
      <c r="B1894" s="89" t="str">
        <f>_xlfn.XLOOKUP(A1894,'Model Modeshare by TAZ'!A:A,'Model Modeshare by TAZ'!B:B)</f>
        <v>Unincorporated</v>
      </c>
      <c r="C1894" s="90" t="str">
        <f>_xlfn.XLOOKUP(A1894,'Model Modeshare by TAZ'!A:A,'Model Modeshare by TAZ'!D:D)</f>
        <v>YES</v>
      </c>
      <c r="D1894" s="27">
        <v>4120.99</v>
      </c>
      <c r="E1894" s="27">
        <v>74153.210000000006</v>
      </c>
      <c r="F1894" s="27">
        <v>2712.49</v>
      </c>
      <c r="G1894" s="27">
        <v>21454.21</v>
      </c>
      <c r="H1894" s="27">
        <v>572.34</v>
      </c>
      <c r="I1894" s="27">
        <v>6606.51</v>
      </c>
      <c r="J1894" s="6">
        <v>1910</v>
      </c>
      <c r="K1894" s="6">
        <v>371</v>
      </c>
      <c r="L1894" s="27">
        <v>11.232570680628271</v>
      </c>
      <c r="M1894" s="27">
        <v>17.807304582210243</v>
      </c>
      <c r="N1894" s="34">
        <v>29.380004384042085</v>
      </c>
    </row>
    <row r="1895" spans="1:14" x14ac:dyDescent="0.35">
      <c r="A1895" s="82">
        <v>1892</v>
      </c>
      <c r="B1895" s="89" t="str">
        <f>_xlfn.XLOOKUP(A1895,'Model Modeshare by TAZ'!A:A,'Model Modeshare by TAZ'!B:B)</f>
        <v>Daly City</v>
      </c>
      <c r="C1895" s="90" t="str">
        <f>_xlfn.XLOOKUP(A1895,'Model Modeshare by TAZ'!A:A,'Model Modeshare by TAZ'!D:D)</f>
        <v>YES</v>
      </c>
      <c r="D1895" s="27">
        <v>13092.46</v>
      </c>
      <c r="E1895" s="27">
        <v>227882.79</v>
      </c>
      <c r="F1895" s="27">
        <v>8105.43</v>
      </c>
      <c r="G1895" s="27">
        <v>65549.75</v>
      </c>
      <c r="H1895" s="27">
        <v>1948.22</v>
      </c>
      <c r="I1895" s="27">
        <v>22337.72</v>
      </c>
      <c r="J1895" s="6">
        <v>6845</v>
      </c>
      <c r="K1895" s="6">
        <v>1161</v>
      </c>
      <c r="L1895" s="27">
        <v>9.5762965668371081</v>
      </c>
      <c r="M1895" s="27">
        <v>19.240068906115418</v>
      </c>
      <c r="N1895" s="34">
        <v>23.924258056457656</v>
      </c>
    </row>
    <row r="1896" spans="1:14" x14ac:dyDescent="0.35">
      <c r="A1896" s="82">
        <v>1893</v>
      </c>
      <c r="B1896" s="89" t="str">
        <f>_xlfn.XLOOKUP(A1896,'Model Modeshare by TAZ'!A:A,'Model Modeshare by TAZ'!B:B)</f>
        <v>Daly City</v>
      </c>
      <c r="C1896" s="90" t="str">
        <f>_xlfn.XLOOKUP(A1896,'Model Modeshare by TAZ'!A:A,'Model Modeshare by TAZ'!D:D)</f>
        <v>YES</v>
      </c>
      <c r="D1896" s="27">
        <v>9141.3799999999992</v>
      </c>
      <c r="E1896" s="27">
        <v>144944.68</v>
      </c>
      <c r="F1896" s="27">
        <v>4060.02</v>
      </c>
      <c r="G1896" s="27">
        <v>28702.07</v>
      </c>
      <c r="H1896" s="27">
        <v>2854.22</v>
      </c>
      <c r="I1896" s="27">
        <v>29755.03</v>
      </c>
      <c r="J1896" s="6">
        <v>3020</v>
      </c>
      <c r="K1896" s="6">
        <v>2487</v>
      </c>
      <c r="L1896" s="27">
        <v>9.5039966887417222</v>
      </c>
      <c r="M1896" s="27">
        <v>11.964225975070365</v>
      </c>
      <c r="N1896" s="34">
        <v>26.781423642636643</v>
      </c>
    </row>
    <row r="1897" spans="1:14" x14ac:dyDescent="0.35">
      <c r="A1897" s="82">
        <v>1894</v>
      </c>
      <c r="B1897" s="89" t="str">
        <f>_xlfn.XLOOKUP(A1897,'Model Modeshare by TAZ'!A:A,'Model Modeshare by TAZ'!B:B)</f>
        <v>Daly City</v>
      </c>
      <c r="C1897" s="90" t="str">
        <f>_xlfn.XLOOKUP(A1897,'Model Modeshare by TAZ'!A:A,'Model Modeshare by TAZ'!D:D)</f>
        <v>YES</v>
      </c>
      <c r="D1897" s="27">
        <v>8898.65</v>
      </c>
      <c r="E1897" s="27">
        <v>113610.82</v>
      </c>
      <c r="F1897" s="27">
        <v>4481.45</v>
      </c>
      <c r="G1897" s="27">
        <v>27964.91</v>
      </c>
      <c r="H1897" s="27">
        <v>3338.43</v>
      </c>
      <c r="I1897" s="27">
        <v>35788.39</v>
      </c>
      <c r="J1897" s="6">
        <v>3300</v>
      </c>
      <c r="K1897" s="6">
        <v>3018</v>
      </c>
      <c r="L1897" s="27">
        <v>8.4742151515151516</v>
      </c>
      <c r="M1897" s="27">
        <v>11.858313452617628</v>
      </c>
      <c r="N1897" s="34">
        <v>17.293670465337133</v>
      </c>
    </row>
    <row r="1898" spans="1:14" x14ac:dyDescent="0.35">
      <c r="A1898" s="82">
        <v>1895</v>
      </c>
      <c r="B1898" s="89" t="str">
        <f>_xlfn.XLOOKUP(A1898,'Model Modeshare by TAZ'!A:A,'Model Modeshare by TAZ'!B:B)</f>
        <v>Daly City</v>
      </c>
      <c r="C1898" s="90" t="str">
        <f>_xlfn.XLOOKUP(A1898,'Model Modeshare by TAZ'!A:A,'Model Modeshare by TAZ'!D:D)</f>
        <v>YES</v>
      </c>
      <c r="D1898" s="27">
        <v>8859.44</v>
      </c>
      <c r="E1898" s="27">
        <v>145946.1</v>
      </c>
      <c r="F1898" s="27">
        <v>7470.97</v>
      </c>
      <c r="G1898" s="27">
        <v>60141.18</v>
      </c>
      <c r="H1898" s="27">
        <v>399.12</v>
      </c>
      <c r="I1898" s="27">
        <v>5001.28</v>
      </c>
      <c r="J1898" s="6">
        <v>5775</v>
      </c>
      <c r="K1898" s="6">
        <v>225</v>
      </c>
      <c r="L1898" s="27">
        <v>10.414057142857143</v>
      </c>
      <c r="M1898" s="27">
        <v>22.227911111111109</v>
      </c>
      <c r="N1898" s="34">
        <v>19.099481666666666</v>
      </c>
    </row>
    <row r="1899" spans="1:14" x14ac:dyDescent="0.35">
      <c r="A1899" s="82">
        <v>1896</v>
      </c>
      <c r="B1899" s="89" t="str">
        <f>_xlfn.XLOOKUP(A1899,'Model Modeshare by TAZ'!A:A,'Model Modeshare by TAZ'!B:B)</f>
        <v>Daly City</v>
      </c>
      <c r="C1899" s="90" t="str">
        <f>_xlfn.XLOOKUP(A1899,'Model Modeshare by TAZ'!A:A,'Model Modeshare by TAZ'!D:D)</f>
        <v>YES</v>
      </c>
      <c r="D1899" s="27">
        <v>9308.41</v>
      </c>
      <c r="E1899" s="27">
        <v>159238.1</v>
      </c>
      <c r="F1899" s="27">
        <v>9715.2800000000007</v>
      </c>
      <c r="G1899" s="27">
        <v>81658.320000000007</v>
      </c>
      <c r="H1899" s="27">
        <v>1002.11</v>
      </c>
      <c r="I1899" s="27">
        <v>11977.59</v>
      </c>
      <c r="J1899" s="6">
        <v>6967</v>
      </c>
      <c r="K1899" s="6">
        <v>540</v>
      </c>
      <c r="L1899" s="27">
        <v>11.720729151715229</v>
      </c>
      <c r="M1899" s="27">
        <v>22.180722222222222</v>
      </c>
      <c r="N1899" s="34">
        <v>22.697893965632076</v>
      </c>
    </row>
    <row r="1900" spans="1:14" x14ac:dyDescent="0.35">
      <c r="A1900" s="82">
        <v>1897</v>
      </c>
      <c r="B1900" s="89" t="str">
        <f>_xlfn.XLOOKUP(A1900,'Model Modeshare by TAZ'!A:A,'Model Modeshare by TAZ'!B:B)</f>
        <v>Daly City</v>
      </c>
      <c r="C1900" s="90" t="str">
        <f>_xlfn.XLOOKUP(A1900,'Model Modeshare by TAZ'!A:A,'Model Modeshare by TAZ'!D:D)</f>
        <v>YES</v>
      </c>
      <c r="D1900" s="27">
        <v>4834.32</v>
      </c>
      <c r="E1900" s="27">
        <v>78465.649999999994</v>
      </c>
      <c r="F1900" s="27">
        <v>6416.64</v>
      </c>
      <c r="G1900" s="27">
        <v>53960.92</v>
      </c>
      <c r="H1900" s="27">
        <v>157.82</v>
      </c>
      <c r="I1900" s="27">
        <v>1792.76</v>
      </c>
      <c r="J1900" s="6">
        <v>5102</v>
      </c>
      <c r="K1900" s="6">
        <v>137</v>
      </c>
      <c r="L1900" s="27">
        <v>10.576424931399451</v>
      </c>
      <c r="M1900" s="27">
        <v>13.085839416058395</v>
      </c>
      <c r="N1900" s="34">
        <v>17.653632372590192</v>
      </c>
    </row>
    <row r="1901" spans="1:14" x14ac:dyDescent="0.35">
      <c r="A1901" s="82">
        <v>1898</v>
      </c>
      <c r="B1901" s="89" t="str">
        <f>_xlfn.XLOOKUP(A1901,'Model Modeshare by TAZ'!A:A,'Model Modeshare by TAZ'!B:B)</f>
        <v>Daly City</v>
      </c>
      <c r="C1901" s="90" t="str">
        <f>_xlfn.XLOOKUP(A1901,'Model Modeshare by TAZ'!A:A,'Model Modeshare by TAZ'!D:D)</f>
        <v>YES</v>
      </c>
      <c r="D1901" s="27">
        <v>4080.29</v>
      </c>
      <c r="E1901" s="27">
        <v>68651.33</v>
      </c>
      <c r="F1901" s="27">
        <v>2024.1</v>
      </c>
      <c r="G1901" s="27">
        <v>17460.09</v>
      </c>
      <c r="H1901" s="27">
        <v>756.52</v>
      </c>
      <c r="I1901" s="27">
        <v>8792.5</v>
      </c>
      <c r="J1901" s="6">
        <v>1218</v>
      </c>
      <c r="K1901" s="6">
        <v>650</v>
      </c>
      <c r="L1901" s="27">
        <v>14.335049261083745</v>
      </c>
      <c r="M1901" s="27">
        <v>13.526923076923078</v>
      </c>
      <c r="N1901" s="34">
        <v>31.01146680942184</v>
      </c>
    </row>
    <row r="1902" spans="1:14" x14ac:dyDescent="0.35">
      <c r="A1902" s="82">
        <v>1899</v>
      </c>
      <c r="B1902" s="89" t="str">
        <f>_xlfn.XLOOKUP(A1902,'Model Modeshare by TAZ'!A:A,'Model Modeshare by TAZ'!B:B)</f>
        <v>Daly City</v>
      </c>
      <c r="C1902" s="90" t="str">
        <f>_xlfn.XLOOKUP(A1902,'Model Modeshare by TAZ'!A:A,'Model Modeshare by TAZ'!D:D)</f>
        <v>YES</v>
      </c>
      <c r="D1902" s="27">
        <v>13027.44</v>
      </c>
      <c r="E1902" s="27">
        <v>243953.83</v>
      </c>
      <c r="F1902" s="27">
        <v>276</v>
      </c>
      <c r="G1902" s="27">
        <v>2282.29</v>
      </c>
      <c r="H1902" s="27">
        <v>2332.56</v>
      </c>
      <c r="I1902" s="27">
        <v>27113.35</v>
      </c>
      <c r="J1902" s="6">
        <v>189</v>
      </c>
      <c r="K1902" s="6">
        <v>2081</v>
      </c>
      <c r="L1902" s="27">
        <v>12.075608465608465</v>
      </c>
      <c r="M1902" s="27">
        <v>13.029000480538203</v>
      </c>
      <c r="N1902" s="34">
        <v>61.850251101321589</v>
      </c>
    </row>
    <row r="1903" spans="1:14" x14ac:dyDescent="0.35">
      <c r="A1903" s="82">
        <v>1900</v>
      </c>
      <c r="B1903" s="89" t="str">
        <f>_xlfn.XLOOKUP(A1903,'Model Modeshare by TAZ'!A:A,'Model Modeshare by TAZ'!B:B)</f>
        <v>Colma</v>
      </c>
      <c r="C1903" s="90" t="str">
        <f>_xlfn.XLOOKUP(A1903,'Model Modeshare by TAZ'!A:A,'Model Modeshare by TAZ'!D:D)</f>
        <v>YES</v>
      </c>
      <c r="D1903" s="27">
        <v>13630.73</v>
      </c>
      <c r="E1903" s="27">
        <v>210304.64000000001</v>
      </c>
      <c r="F1903" s="27">
        <v>2212.7199999999998</v>
      </c>
      <c r="G1903" s="27">
        <v>13076.43</v>
      </c>
      <c r="H1903" s="27">
        <v>3059.53</v>
      </c>
      <c r="I1903" s="27">
        <v>31142.2</v>
      </c>
      <c r="J1903" s="6">
        <v>1740</v>
      </c>
      <c r="K1903" s="6">
        <v>2663</v>
      </c>
      <c r="L1903" s="27">
        <v>7.5151896551724136</v>
      </c>
      <c r="M1903" s="27">
        <v>11.694404806609088</v>
      </c>
      <c r="N1903" s="34">
        <v>31.426516011810133</v>
      </c>
    </row>
    <row r="1904" spans="1:14" x14ac:dyDescent="0.35">
      <c r="A1904" s="82">
        <v>1901</v>
      </c>
      <c r="B1904" s="89" t="str">
        <f>_xlfn.XLOOKUP(A1904,'Model Modeshare by TAZ'!A:A,'Model Modeshare by TAZ'!B:B)</f>
        <v>Daly City</v>
      </c>
      <c r="C1904" s="90" t="str">
        <f>_xlfn.XLOOKUP(A1904,'Model Modeshare by TAZ'!A:A,'Model Modeshare by TAZ'!D:D)</f>
        <v>YES</v>
      </c>
      <c r="D1904" s="27">
        <v>10453.35</v>
      </c>
      <c r="E1904" s="27">
        <v>133012.91</v>
      </c>
      <c r="F1904" s="27">
        <v>6582.89</v>
      </c>
      <c r="G1904" s="27">
        <v>48510.7</v>
      </c>
      <c r="H1904" s="27">
        <v>900.19</v>
      </c>
      <c r="I1904" s="27">
        <v>9747.9500000000007</v>
      </c>
      <c r="J1904" s="6">
        <v>5351</v>
      </c>
      <c r="K1904" s="6">
        <v>513</v>
      </c>
      <c r="L1904" s="27">
        <v>9.0657260325172864</v>
      </c>
      <c r="M1904" s="27">
        <v>19.001851851851853</v>
      </c>
      <c r="N1904" s="34">
        <v>19.432812073669847</v>
      </c>
    </row>
    <row r="1905" spans="1:14" x14ac:dyDescent="0.35">
      <c r="A1905" s="82">
        <v>1902</v>
      </c>
      <c r="B1905" s="89" t="str">
        <f>_xlfn.XLOOKUP(A1905,'Model Modeshare by TAZ'!A:A,'Model Modeshare by TAZ'!B:B)</f>
        <v>Daly City</v>
      </c>
      <c r="C1905" s="90" t="str">
        <f>_xlfn.XLOOKUP(A1905,'Model Modeshare by TAZ'!A:A,'Model Modeshare by TAZ'!D:D)</f>
        <v>YES</v>
      </c>
      <c r="D1905" s="27">
        <v>5698.9</v>
      </c>
      <c r="E1905" s="27">
        <v>80473.460000000006</v>
      </c>
      <c r="F1905" s="27">
        <v>6049.05</v>
      </c>
      <c r="G1905" s="27">
        <v>42559.31</v>
      </c>
      <c r="H1905" s="27">
        <v>323.39999999999998</v>
      </c>
      <c r="I1905" s="27">
        <v>3466.65</v>
      </c>
      <c r="J1905" s="6">
        <v>4271</v>
      </c>
      <c r="K1905" s="6">
        <v>191</v>
      </c>
      <c r="L1905" s="27">
        <v>9.964717864668696</v>
      </c>
      <c r="M1905" s="27">
        <v>18.150000000000002</v>
      </c>
      <c r="N1905" s="34">
        <v>16.946528462572839</v>
      </c>
    </row>
    <row r="1906" spans="1:14" x14ac:dyDescent="0.35">
      <c r="A1906" s="82">
        <v>1903</v>
      </c>
      <c r="B1906" s="89" t="str">
        <f>_xlfn.XLOOKUP(A1906,'Model Modeshare by TAZ'!A:A,'Model Modeshare by TAZ'!B:B)</f>
        <v>Daly City</v>
      </c>
      <c r="C1906" s="90" t="str">
        <f>_xlfn.XLOOKUP(A1906,'Model Modeshare by TAZ'!A:A,'Model Modeshare by TAZ'!D:D)</f>
        <v>YES</v>
      </c>
      <c r="D1906" s="27">
        <v>8315.39</v>
      </c>
      <c r="E1906" s="27">
        <v>120974.53</v>
      </c>
      <c r="F1906" s="27">
        <v>4152.13</v>
      </c>
      <c r="G1906" s="27">
        <v>28191.83</v>
      </c>
      <c r="H1906" s="27">
        <v>2219.0100000000002</v>
      </c>
      <c r="I1906" s="27">
        <v>23303.09</v>
      </c>
      <c r="J1906" s="6">
        <v>3581</v>
      </c>
      <c r="K1906" s="6">
        <v>2200</v>
      </c>
      <c r="L1906" s="27">
        <v>7.8726137950293218</v>
      </c>
      <c r="M1906" s="27">
        <v>10.592313636363636</v>
      </c>
      <c r="N1906" s="34">
        <v>24.00573257221934</v>
      </c>
    </row>
    <row r="1907" spans="1:14" x14ac:dyDescent="0.35">
      <c r="A1907" s="82">
        <v>1904</v>
      </c>
      <c r="B1907" s="89" t="str">
        <f>_xlfn.XLOOKUP(A1907,'Model Modeshare by TAZ'!A:A,'Model Modeshare by TAZ'!B:B)</f>
        <v>Daly City</v>
      </c>
      <c r="C1907" s="90" t="str">
        <f>_xlfn.XLOOKUP(A1907,'Model Modeshare by TAZ'!A:A,'Model Modeshare by TAZ'!D:D)</f>
        <v>YES</v>
      </c>
      <c r="D1907" s="27">
        <v>8095.67</v>
      </c>
      <c r="E1907" s="27">
        <v>78480.92</v>
      </c>
      <c r="F1907" s="27">
        <v>4215.22</v>
      </c>
      <c r="G1907" s="27">
        <v>30041.119999999999</v>
      </c>
      <c r="H1907" s="27">
        <v>720.93</v>
      </c>
      <c r="I1907" s="27">
        <v>7405.43</v>
      </c>
      <c r="J1907" s="6">
        <v>3267</v>
      </c>
      <c r="K1907" s="6">
        <v>454</v>
      </c>
      <c r="L1907" s="27">
        <v>9.1953229262320164</v>
      </c>
      <c r="M1907" s="27">
        <v>16.311519823788547</v>
      </c>
      <c r="N1907" s="34">
        <v>22.05084385917764</v>
      </c>
    </row>
    <row r="1908" spans="1:14" x14ac:dyDescent="0.35">
      <c r="A1908" s="82">
        <v>1905</v>
      </c>
      <c r="B1908" s="89" t="str">
        <f>_xlfn.XLOOKUP(A1908,'Model Modeshare by TAZ'!A:A,'Model Modeshare by TAZ'!B:B)</f>
        <v>Daly City</v>
      </c>
      <c r="C1908" s="90" t="str">
        <f>_xlfn.XLOOKUP(A1908,'Model Modeshare by TAZ'!A:A,'Model Modeshare by TAZ'!D:D)</f>
        <v>YES</v>
      </c>
      <c r="D1908" s="27">
        <v>9636.76</v>
      </c>
      <c r="E1908" s="27">
        <v>144455.10999999999</v>
      </c>
      <c r="F1908" s="27">
        <v>10091.719999999999</v>
      </c>
      <c r="G1908" s="27">
        <v>68750.36</v>
      </c>
      <c r="H1908" s="27">
        <v>408.09</v>
      </c>
      <c r="I1908" s="27">
        <v>4504.3100000000004</v>
      </c>
      <c r="J1908" s="6">
        <v>8394</v>
      </c>
      <c r="K1908" s="6">
        <v>223</v>
      </c>
      <c r="L1908" s="27">
        <v>8.1904169644984517</v>
      </c>
      <c r="M1908" s="27">
        <v>20.198699551569508</v>
      </c>
      <c r="N1908" s="34">
        <v>14.4288104908901</v>
      </c>
    </row>
    <row r="1909" spans="1:14" x14ac:dyDescent="0.35">
      <c r="A1909" s="82">
        <v>1906</v>
      </c>
      <c r="B1909" s="89" t="str">
        <f>_xlfn.XLOOKUP(A1909,'Model Modeshare by TAZ'!A:A,'Model Modeshare by TAZ'!B:B)</f>
        <v>Unincorporated</v>
      </c>
      <c r="C1909" s="90" t="str">
        <f>_xlfn.XLOOKUP(A1909,'Model Modeshare by TAZ'!A:A,'Model Modeshare by TAZ'!D:D)</f>
        <v>YES</v>
      </c>
      <c r="D1909" s="27">
        <v>657</v>
      </c>
      <c r="E1909" s="27">
        <v>13352.47</v>
      </c>
      <c r="F1909" s="27">
        <v>943.5</v>
      </c>
      <c r="G1909" s="27">
        <v>9610.08</v>
      </c>
      <c r="H1909" s="27">
        <v>7.95</v>
      </c>
      <c r="I1909" s="27">
        <v>123.19</v>
      </c>
      <c r="J1909" s="6">
        <v>482</v>
      </c>
      <c r="K1909" s="6">
        <v>4</v>
      </c>
      <c r="L1909" s="27">
        <v>19.937925311203319</v>
      </c>
      <c r="M1909" s="27">
        <v>30.797499999999999</v>
      </c>
      <c r="N1909" s="34">
        <v>29.716255144032921</v>
      </c>
    </row>
    <row r="1910" spans="1:14" x14ac:dyDescent="0.35">
      <c r="A1910" s="82">
        <v>1907</v>
      </c>
      <c r="B1910" s="89" t="str">
        <f>_xlfn.XLOOKUP(A1910,'Model Modeshare by TAZ'!A:A,'Model Modeshare by TAZ'!B:B)</f>
        <v>Daly City</v>
      </c>
      <c r="C1910" s="90" t="str">
        <f>_xlfn.XLOOKUP(A1910,'Model Modeshare by TAZ'!A:A,'Model Modeshare by TAZ'!D:D)</f>
        <v>YES</v>
      </c>
      <c r="D1910" s="27">
        <v>6294.67</v>
      </c>
      <c r="E1910" s="27">
        <v>114944.55</v>
      </c>
      <c r="F1910" s="27">
        <v>6629.52</v>
      </c>
      <c r="G1910" s="27">
        <v>51625.98</v>
      </c>
      <c r="H1910" s="27">
        <v>1523.67</v>
      </c>
      <c r="I1910" s="27">
        <v>18701.16</v>
      </c>
      <c r="J1910" s="6">
        <v>4719</v>
      </c>
      <c r="K1910" s="6">
        <v>1057</v>
      </c>
      <c r="L1910" s="27">
        <v>10.940025429116339</v>
      </c>
      <c r="M1910" s="27">
        <v>17.69267738883633</v>
      </c>
      <c r="N1910" s="34">
        <v>21.764896121883655</v>
      </c>
    </row>
    <row r="1911" spans="1:14" x14ac:dyDescent="0.35">
      <c r="A1911" s="82">
        <v>1908</v>
      </c>
      <c r="B1911" s="89" t="str">
        <f>_xlfn.XLOOKUP(A1911,'Model Modeshare by TAZ'!A:A,'Model Modeshare by TAZ'!B:B)</f>
        <v>Unincorporated</v>
      </c>
      <c r="C1911" s="90" t="str">
        <f>_xlfn.XLOOKUP(A1911,'Model Modeshare by TAZ'!A:A,'Model Modeshare by TAZ'!D:D)</f>
        <v>YES</v>
      </c>
      <c r="D1911" s="27">
        <v>170.36</v>
      </c>
      <c r="E1911" s="27">
        <v>4418.08</v>
      </c>
      <c r="F1911" s="27">
        <v>143.49</v>
      </c>
      <c r="G1911" s="27">
        <v>1858.63</v>
      </c>
      <c r="H1911" s="27">
        <v>145.66</v>
      </c>
      <c r="I1911" s="27">
        <v>2164.42</v>
      </c>
      <c r="J1911" s="6">
        <v>10</v>
      </c>
      <c r="K1911" s="6">
        <v>117</v>
      </c>
      <c r="L1911" s="27">
        <v>185.863</v>
      </c>
      <c r="M1911" s="27">
        <v>18.49931623931624</v>
      </c>
      <c r="N1911" s="34">
        <v>43.907716535433067</v>
      </c>
    </row>
    <row r="1912" spans="1:14" x14ac:dyDescent="0.35">
      <c r="A1912" s="82">
        <v>1909</v>
      </c>
      <c r="B1912" s="89" t="str">
        <f>_xlfn.XLOOKUP(A1912,'Model Modeshare by TAZ'!A:A,'Model Modeshare by TAZ'!B:B)</f>
        <v>South San Francisco</v>
      </c>
      <c r="C1912" s="90" t="str">
        <f>_xlfn.XLOOKUP(A1912,'Model Modeshare by TAZ'!A:A,'Model Modeshare by TAZ'!D:D)</f>
        <v>YES</v>
      </c>
      <c r="D1912" s="27">
        <v>9998.2099999999991</v>
      </c>
      <c r="E1912" s="27">
        <v>137946.37</v>
      </c>
      <c r="F1912" s="27">
        <v>9060.89</v>
      </c>
      <c r="G1912" s="27">
        <v>63240.02</v>
      </c>
      <c r="H1912" s="27">
        <v>905.63</v>
      </c>
      <c r="I1912" s="27">
        <v>11743.13</v>
      </c>
      <c r="J1912" s="6">
        <v>6411</v>
      </c>
      <c r="K1912" s="6">
        <v>499</v>
      </c>
      <c r="L1912" s="27">
        <v>9.8642988613320846</v>
      </c>
      <c r="M1912" s="27">
        <v>23.533326653306613</v>
      </c>
      <c r="N1912" s="34">
        <v>18.34912445730825</v>
      </c>
    </row>
    <row r="1913" spans="1:14" x14ac:dyDescent="0.35">
      <c r="A1913" s="82">
        <v>1910</v>
      </c>
      <c r="B1913" s="89" t="str">
        <f>_xlfn.XLOOKUP(A1913,'Model Modeshare by TAZ'!A:A,'Model Modeshare by TAZ'!B:B)</f>
        <v>South San Francisco</v>
      </c>
      <c r="C1913" s="90" t="str">
        <f>_xlfn.XLOOKUP(A1913,'Model Modeshare by TAZ'!A:A,'Model Modeshare by TAZ'!D:D)</f>
        <v>YES</v>
      </c>
      <c r="D1913" s="27">
        <v>5913.77</v>
      </c>
      <c r="E1913" s="27">
        <v>107944.97</v>
      </c>
      <c r="F1913" s="27">
        <v>6006.88</v>
      </c>
      <c r="G1913" s="27">
        <v>49066.09</v>
      </c>
      <c r="H1913" s="27">
        <v>1304.58</v>
      </c>
      <c r="I1913" s="27">
        <v>17533.48</v>
      </c>
      <c r="J1913" s="6">
        <v>4462</v>
      </c>
      <c r="K1913" s="6">
        <v>953</v>
      </c>
      <c r="L1913" s="27">
        <v>10.996434334379201</v>
      </c>
      <c r="M1913" s="27">
        <v>18.398195173137459</v>
      </c>
      <c r="N1913" s="34">
        <v>23.66782456140351</v>
      </c>
    </row>
    <row r="1914" spans="1:14" x14ac:dyDescent="0.35">
      <c r="A1914" s="82">
        <v>1911</v>
      </c>
      <c r="B1914" s="89" t="str">
        <f>_xlfn.XLOOKUP(A1914,'Model Modeshare by TAZ'!A:A,'Model Modeshare by TAZ'!B:B)</f>
        <v>South San Francisco</v>
      </c>
      <c r="C1914" s="90" t="str">
        <f>_xlfn.XLOOKUP(A1914,'Model Modeshare by TAZ'!A:A,'Model Modeshare by TAZ'!D:D)</f>
        <v>YES</v>
      </c>
      <c r="D1914" s="27">
        <v>6762.54</v>
      </c>
      <c r="E1914" s="27">
        <v>129284.92</v>
      </c>
      <c r="F1914" s="27">
        <v>4348.91</v>
      </c>
      <c r="G1914" s="27">
        <v>36181.31</v>
      </c>
      <c r="H1914" s="27">
        <v>2898.42</v>
      </c>
      <c r="I1914" s="27">
        <v>41038.839999999997</v>
      </c>
      <c r="J1914" s="6">
        <v>3653</v>
      </c>
      <c r="K1914" s="6">
        <v>2752</v>
      </c>
      <c r="L1914" s="27">
        <v>9.9045469477142074</v>
      </c>
      <c r="M1914" s="27">
        <v>14.91236918604651</v>
      </c>
      <c r="N1914" s="34">
        <v>29.695434816549572</v>
      </c>
    </row>
    <row r="1915" spans="1:14" x14ac:dyDescent="0.35">
      <c r="A1915" s="82">
        <v>1912</v>
      </c>
      <c r="B1915" s="89" t="str">
        <f>_xlfn.XLOOKUP(A1915,'Model Modeshare by TAZ'!A:A,'Model Modeshare by TAZ'!B:B)</f>
        <v>South San Francisco</v>
      </c>
      <c r="C1915" s="90" t="str">
        <f>_xlfn.XLOOKUP(A1915,'Model Modeshare by TAZ'!A:A,'Model Modeshare by TAZ'!D:D)</f>
        <v>YES</v>
      </c>
      <c r="D1915" s="27">
        <v>6795.92</v>
      </c>
      <c r="E1915" s="27">
        <v>159749.14000000001</v>
      </c>
      <c r="F1915" s="27">
        <v>96.47</v>
      </c>
      <c r="G1915" s="27">
        <v>1228.0999999999999</v>
      </c>
      <c r="H1915" s="27">
        <v>5283.68</v>
      </c>
      <c r="I1915" s="27">
        <v>74649.11</v>
      </c>
      <c r="J1915" s="6">
        <v>26</v>
      </c>
      <c r="K1915" s="6">
        <v>4486</v>
      </c>
      <c r="L1915" s="27">
        <v>47.234615384615381</v>
      </c>
      <c r="M1915" s="27">
        <v>16.64046143557735</v>
      </c>
      <c r="N1915" s="34">
        <v>40.691374113475177</v>
      </c>
    </row>
    <row r="1916" spans="1:14" x14ac:dyDescent="0.35">
      <c r="A1916" s="82">
        <v>1913</v>
      </c>
      <c r="B1916" s="89" t="str">
        <f>_xlfn.XLOOKUP(A1916,'Model Modeshare by TAZ'!A:A,'Model Modeshare by TAZ'!B:B)</f>
        <v>South San Francisco</v>
      </c>
      <c r="C1916" s="90" t="str">
        <f>_xlfn.XLOOKUP(A1916,'Model Modeshare by TAZ'!A:A,'Model Modeshare by TAZ'!D:D)</f>
        <v>YES</v>
      </c>
      <c r="D1916" s="27">
        <v>9151.66</v>
      </c>
      <c r="E1916" s="27">
        <v>141156.21</v>
      </c>
      <c r="F1916" s="27">
        <v>7195.01</v>
      </c>
      <c r="G1916" s="27">
        <v>50577.34</v>
      </c>
      <c r="H1916" s="27">
        <v>1431.64</v>
      </c>
      <c r="I1916" s="27">
        <v>17145.849999999999</v>
      </c>
      <c r="J1916" s="6">
        <v>4875</v>
      </c>
      <c r="K1916" s="6">
        <v>793</v>
      </c>
      <c r="L1916" s="27">
        <v>10.374838974358974</v>
      </c>
      <c r="M1916" s="27">
        <v>21.621500630517023</v>
      </c>
      <c r="N1916" s="34">
        <v>22.845488708539168</v>
      </c>
    </row>
    <row r="1917" spans="1:14" x14ac:dyDescent="0.35">
      <c r="A1917" s="82">
        <v>1914</v>
      </c>
      <c r="B1917" s="89" t="str">
        <f>_xlfn.XLOOKUP(A1917,'Model Modeshare by TAZ'!A:A,'Model Modeshare by TAZ'!B:B)</f>
        <v>South San Francisco</v>
      </c>
      <c r="C1917" s="90" t="str">
        <f>_xlfn.XLOOKUP(A1917,'Model Modeshare by TAZ'!A:A,'Model Modeshare by TAZ'!D:D)</f>
        <v>YES</v>
      </c>
      <c r="D1917" s="27">
        <v>6413.04</v>
      </c>
      <c r="E1917" s="27">
        <v>78106.289999999994</v>
      </c>
      <c r="F1917" s="27">
        <v>4740.3900000000003</v>
      </c>
      <c r="G1917" s="27">
        <v>29877.34</v>
      </c>
      <c r="H1917" s="27">
        <v>733.27</v>
      </c>
      <c r="I1917" s="27">
        <v>8339.8799999999992</v>
      </c>
      <c r="J1917" s="6">
        <v>3591</v>
      </c>
      <c r="K1917" s="6">
        <v>425</v>
      </c>
      <c r="L1917" s="27">
        <v>8.320061264271791</v>
      </c>
      <c r="M1917" s="27">
        <v>19.623247058823527</v>
      </c>
      <c r="N1917" s="34">
        <v>14.588979083665338</v>
      </c>
    </row>
    <row r="1918" spans="1:14" x14ac:dyDescent="0.35">
      <c r="A1918" s="82">
        <v>1915</v>
      </c>
      <c r="B1918" s="89" t="str">
        <f>_xlfn.XLOOKUP(A1918,'Model Modeshare by TAZ'!A:A,'Model Modeshare by TAZ'!B:B)</f>
        <v>South San Francisco</v>
      </c>
      <c r="C1918" s="90" t="str">
        <f>_xlfn.XLOOKUP(A1918,'Model Modeshare by TAZ'!A:A,'Model Modeshare by TAZ'!D:D)</f>
        <v>YES</v>
      </c>
      <c r="D1918" s="27">
        <v>6768.55</v>
      </c>
      <c r="E1918" s="27">
        <v>98216</v>
      </c>
      <c r="F1918" s="27">
        <v>5619.16</v>
      </c>
      <c r="G1918" s="27">
        <v>40649.35</v>
      </c>
      <c r="H1918" s="27">
        <v>1219.8699999999999</v>
      </c>
      <c r="I1918" s="27">
        <v>15172.92</v>
      </c>
      <c r="J1918" s="6">
        <v>4055</v>
      </c>
      <c r="K1918" s="6">
        <v>670</v>
      </c>
      <c r="L1918" s="27">
        <v>10.024500616522811</v>
      </c>
      <c r="M1918" s="27">
        <v>22.646149253731345</v>
      </c>
      <c r="N1918" s="34">
        <v>21.697837037037036</v>
      </c>
    </row>
    <row r="1919" spans="1:14" x14ac:dyDescent="0.35">
      <c r="A1919" s="82">
        <v>1916</v>
      </c>
      <c r="B1919" s="89" t="str">
        <f>_xlfn.XLOOKUP(A1919,'Model Modeshare by TAZ'!A:A,'Model Modeshare by TAZ'!B:B)</f>
        <v>South San Francisco</v>
      </c>
      <c r="C1919" s="90" t="str">
        <f>_xlfn.XLOOKUP(A1919,'Model Modeshare by TAZ'!A:A,'Model Modeshare by TAZ'!D:D)</f>
        <v>YES</v>
      </c>
      <c r="D1919" s="27">
        <v>6488.83</v>
      </c>
      <c r="E1919" s="27">
        <v>80222.37</v>
      </c>
      <c r="F1919" s="27">
        <v>2676.67</v>
      </c>
      <c r="G1919" s="27">
        <v>21094.22</v>
      </c>
      <c r="H1919" s="27">
        <v>1008.9</v>
      </c>
      <c r="I1919" s="27">
        <v>12799.28</v>
      </c>
      <c r="J1919" s="6">
        <v>1812</v>
      </c>
      <c r="K1919" s="6">
        <v>826</v>
      </c>
      <c r="L1919" s="27">
        <v>11.641401766004416</v>
      </c>
      <c r="M1919" s="27">
        <v>15.495496368038742</v>
      </c>
      <c r="N1919" s="34">
        <v>35.740269143290369</v>
      </c>
    </row>
    <row r="1920" spans="1:14" x14ac:dyDescent="0.35">
      <c r="A1920" s="82">
        <v>1917</v>
      </c>
      <c r="B1920" s="89" t="str">
        <f>_xlfn.XLOOKUP(A1920,'Model Modeshare by TAZ'!A:A,'Model Modeshare by TAZ'!B:B)</f>
        <v>South San Francisco</v>
      </c>
      <c r="C1920" s="90" t="str">
        <f>_xlfn.XLOOKUP(A1920,'Model Modeshare by TAZ'!A:A,'Model Modeshare by TAZ'!D:D)</f>
        <v>YES</v>
      </c>
      <c r="D1920" s="27">
        <v>4946.2700000000004</v>
      </c>
      <c r="E1920" s="27">
        <v>65614.13</v>
      </c>
      <c r="F1920" s="27">
        <v>3846.88</v>
      </c>
      <c r="G1920" s="27">
        <v>26210.57</v>
      </c>
      <c r="H1920" s="27">
        <v>493.62</v>
      </c>
      <c r="I1920" s="27">
        <v>5439.32</v>
      </c>
      <c r="J1920" s="6">
        <v>2908</v>
      </c>
      <c r="K1920" s="6">
        <v>297</v>
      </c>
      <c r="L1920" s="27">
        <v>9.0132634112792296</v>
      </c>
      <c r="M1920" s="27">
        <v>18.314208754208753</v>
      </c>
      <c r="N1920" s="34">
        <v>15.96035569422777</v>
      </c>
    </row>
    <row r="1921" spans="1:14" x14ac:dyDescent="0.35">
      <c r="A1921" s="82">
        <v>1918</v>
      </c>
      <c r="B1921" s="89" t="str">
        <f>_xlfn.XLOOKUP(A1921,'Model Modeshare by TAZ'!A:A,'Model Modeshare by TAZ'!B:B)</f>
        <v>Daly City</v>
      </c>
      <c r="C1921" s="90" t="str">
        <f>_xlfn.XLOOKUP(A1921,'Model Modeshare by TAZ'!A:A,'Model Modeshare by TAZ'!D:D)</f>
        <v>YES</v>
      </c>
      <c r="D1921" s="27">
        <v>7436.6</v>
      </c>
      <c r="E1921" s="27">
        <v>131356.93</v>
      </c>
      <c r="F1921" s="27">
        <v>9299.5499999999993</v>
      </c>
      <c r="G1921" s="27">
        <v>86155.94</v>
      </c>
      <c r="H1921" s="27">
        <v>2479.35</v>
      </c>
      <c r="I1921" s="27">
        <v>31743.94</v>
      </c>
      <c r="J1921" s="6">
        <v>5861</v>
      </c>
      <c r="K1921" s="6">
        <v>1856</v>
      </c>
      <c r="L1921" s="27">
        <v>14.699870329295342</v>
      </c>
      <c r="M1921" s="27">
        <v>17.10341594827586</v>
      </c>
      <c r="N1921" s="34">
        <v>31.294097447194503</v>
      </c>
    </row>
    <row r="1922" spans="1:14" x14ac:dyDescent="0.35">
      <c r="A1922" s="82">
        <v>1919</v>
      </c>
      <c r="B1922" s="89" t="str">
        <f>_xlfn.XLOOKUP(A1922,'Model Modeshare by TAZ'!A:A,'Model Modeshare by TAZ'!B:B)</f>
        <v>Daly City</v>
      </c>
      <c r="C1922" s="90" t="str">
        <f>_xlfn.XLOOKUP(A1922,'Model Modeshare by TAZ'!A:A,'Model Modeshare by TAZ'!D:D)</f>
        <v>YES</v>
      </c>
      <c r="D1922" s="27">
        <v>6836.48</v>
      </c>
      <c r="E1922" s="27">
        <v>118039.13</v>
      </c>
      <c r="F1922" s="27">
        <v>5549.33</v>
      </c>
      <c r="G1922" s="27">
        <v>47939.73</v>
      </c>
      <c r="H1922" s="27">
        <v>405.76</v>
      </c>
      <c r="I1922" s="27">
        <v>4883.82</v>
      </c>
      <c r="J1922" s="6">
        <v>3927</v>
      </c>
      <c r="K1922" s="6">
        <v>236</v>
      </c>
      <c r="L1922" s="27">
        <v>12.207723453017572</v>
      </c>
      <c r="M1922" s="27">
        <v>20.69415254237288</v>
      </c>
      <c r="N1922" s="34">
        <v>21.927239971174636</v>
      </c>
    </row>
    <row r="1923" spans="1:14" x14ac:dyDescent="0.35">
      <c r="A1923" s="82">
        <v>1920</v>
      </c>
      <c r="B1923" s="89" t="str">
        <f>_xlfn.XLOOKUP(A1923,'Model Modeshare by TAZ'!A:A,'Model Modeshare by TAZ'!B:B)</f>
        <v>Pacifica</v>
      </c>
      <c r="C1923" s="90" t="str">
        <f>_xlfn.XLOOKUP(A1923,'Model Modeshare by TAZ'!A:A,'Model Modeshare by TAZ'!D:D)</f>
        <v>YES</v>
      </c>
      <c r="D1923" s="27">
        <v>8880.44</v>
      </c>
      <c r="E1923" s="27">
        <v>142872.70000000001</v>
      </c>
      <c r="F1923" s="27">
        <v>8846.11</v>
      </c>
      <c r="G1923" s="27">
        <v>71057.31</v>
      </c>
      <c r="H1923" s="27">
        <v>508.38</v>
      </c>
      <c r="I1923" s="27">
        <v>5753.88</v>
      </c>
      <c r="J1923" s="6">
        <v>5847</v>
      </c>
      <c r="K1923" s="6">
        <v>303</v>
      </c>
      <c r="L1923" s="27">
        <v>12.152780913288865</v>
      </c>
      <c r="M1923" s="27">
        <v>18.989702970297031</v>
      </c>
      <c r="N1923" s="34">
        <v>20.836338211382113</v>
      </c>
    </row>
    <row r="1924" spans="1:14" x14ac:dyDescent="0.35">
      <c r="A1924" s="82">
        <v>1921</v>
      </c>
      <c r="B1924" s="89" t="str">
        <f>_xlfn.XLOOKUP(A1924,'Model Modeshare by TAZ'!A:A,'Model Modeshare by TAZ'!B:B)</f>
        <v>Pacifica</v>
      </c>
      <c r="C1924" s="90" t="str">
        <f>_xlfn.XLOOKUP(A1924,'Model Modeshare by TAZ'!A:A,'Model Modeshare by TAZ'!D:D)</f>
        <v>YES</v>
      </c>
      <c r="D1924" s="27">
        <v>5012.08</v>
      </c>
      <c r="E1924" s="27">
        <v>80731.41</v>
      </c>
      <c r="F1924" s="27">
        <v>5296.57</v>
      </c>
      <c r="G1924" s="27">
        <v>45218.45</v>
      </c>
      <c r="H1924" s="27">
        <v>770.72</v>
      </c>
      <c r="I1924" s="27">
        <v>9259.7199999999993</v>
      </c>
      <c r="J1924" s="6">
        <v>3514</v>
      </c>
      <c r="K1924" s="6">
        <v>421</v>
      </c>
      <c r="L1924" s="27">
        <v>12.868084803642573</v>
      </c>
      <c r="M1924" s="27">
        <v>21.994584323040378</v>
      </c>
      <c r="N1924" s="34">
        <v>24.909105463786531</v>
      </c>
    </row>
    <row r="1925" spans="1:14" x14ac:dyDescent="0.35">
      <c r="A1925" s="82">
        <v>1922</v>
      </c>
      <c r="B1925" s="89" t="str">
        <f>_xlfn.XLOOKUP(A1925,'Model Modeshare by TAZ'!A:A,'Model Modeshare by TAZ'!B:B)</f>
        <v>Pacifica</v>
      </c>
      <c r="C1925" s="90" t="str">
        <f>_xlfn.XLOOKUP(A1925,'Model Modeshare by TAZ'!A:A,'Model Modeshare by TAZ'!D:D)</f>
        <v>YES</v>
      </c>
      <c r="D1925" s="27">
        <v>4667.1400000000003</v>
      </c>
      <c r="E1925" s="27">
        <v>81304.27</v>
      </c>
      <c r="F1925" s="27">
        <v>4137.5600000000004</v>
      </c>
      <c r="G1925" s="27">
        <v>36600.78</v>
      </c>
      <c r="H1925" s="27">
        <v>532.72</v>
      </c>
      <c r="I1925" s="27">
        <v>6360.57</v>
      </c>
      <c r="J1925" s="6">
        <v>2630</v>
      </c>
      <c r="K1925" s="6">
        <v>310</v>
      </c>
      <c r="L1925" s="27">
        <v>13.916646387832699</v>
      </c>
      <c r="M1925" s="27">
        <v>20.517967741935482</v>
      </c>
      <c r="N1925" s="34">
        <v>29.061027210884355</v>
      </c>
    </row>
    <row r="1926" spans="1:14" x14ac:dyDescent="0.35">
      <c r="A1926" s="82">
        <v>1923</v>
      </c>
      <c r="B1926" s="89" t="str">
        <f>_xlfn.XLOOKUP(A1926,'Model Modeshare by TAZ'!A:A,'Model Modeshare by TAZ'!B:B)</f>
        <v>Pacifica</v>
      </c>
      <c r="C1926" s="90" t="str">
        <f>_xlfn.XLOOKUP(A1926,'Model Modeshare by TAZ'!A:A,'Model Modeshare by TAZ'!D:D)</f>
        <v>YES</v>
      </c>
      <c r="D1926" s="27">
        <v>4993.8</v>
      </c>
      <c r="E1926" s="27">
        <v>60147.19</v>
      </c>
      <c r="F1926" s="27">
        <v>3351.09</v>
      </c>
      <c r="G1926" s="27">
        <v>21639.95</v>
      </c>
      <c r="H1926" s="27">
        <v>896.28</v>
      </c>
      <c r="I1926" s="27">
        <v>10194.459999999999</v>
      </c>
      <c r="J1926" s="6">
        <v>2131</v>
      </c>
      <c r="K1926" s="6">
        <v>566</v>
      </c>
      <c r="L1926" s="27">
        <v>10.154833411543876</v>
      </c>
      <c r="M1926" s="27">
        <v>18.011413427561838</v>
      </c>
      <c r="N1926" s="34">
        <v>19.814434556915092</v>
      </c>
    </row>
    <row r="1927" spans="1:14" x14ac:dyDescent="0.35">
      <c r="A1927" s="82">
        <v>1924</v>
      </c>
      <c r="B1927" s="89" t="str">
        <f>_xlfn.XLOOKUP(A1927,'Model Modeshare by TAZ'!A:A,'Model Modeshare by TAZ'!B:B)</f>
        <v>Pacifica</v>
      </c>
      <c r="C1927" s="90" t="str">
        <f>_xlfn.XLOOKUP(A1927,'Model Modeshare by TAZ'!A:A,'Model Modeshare by TAZ'!D:D)</f>
        <v>YES</v>
      </c>
      <c r="D1927" s="27">
        <v>6989.66</v>
      </c>
      <c r="E1927" s="27">
        <v>146121.97</v>
      </c>
      <c r="F1927" s="27">
        <v>5366.16</v>
      </c>
      <c r="G1927" s="27">
        <v>53645.1</v>
      </c>
      <c r="H1927" s="27">
        <v>1086</v>
      </c>
      <c r="I1927" s="27">
        <v>14573.81</v>
      </c>
      <c r="J1927" s="6">
        <v>3308</v>
      </c>
      <c r="K1927" s="6">
        <v>558</v>
      </c>
      <c r="L1927" s="27">
        <v>16.216777509068923</v>
      </c>
      <c r="M1927" s="27">
        <v>26.117939068100359</v>
      </c>
      <c r="N1927" s="34">
        <v>35.04810915675116</v>
      </c>
    </row>
    <row r="1928" spans="1:14" x14ac:dyDescent="0.35">
      <c r="A1928" s="82">
        <v>1925</v>
      </c>
      <c r="B1928" s="89" t="str">
        <f>_xlfn.XLOOKUP(A1928,'Model Modeshare by TAZ'!A:A,'Model Modeshare by TAZ'!B:B)</f>
        <v>Unincorporated</v>
      </c>
      <c r="C1928" s="90" t="str">
        <f>_xlfn.XLOOKUP(A1928,'Model Modeshare by TAZ'!A:A,'Model Modeshare by TAZ'!D:D)</f>
        <v>YES</v>
      </c>
      <c r="D1928" s="27">
        <v>6783.47</v>
      </c>
      <c r="E1928" s="27">
        <v>123883.94</v>
      </c>
      <c r="F1928" s="27">
        <v>4417.8599999999997</v>
      </c>
      <c r="G1928" s="27">
        <v>42099.65</v>
      </c>
      <c r="H1928" s="27">
        <v>1248.68</v>
      </c>
      <c r="I1928" s="27">
        <v>15748.56</v>
      </c>
      <c r="J1928" s="6">
        <v>3084</v>
      </c>
      <c r="K1928" s="6">
        <v>1012</v>
      </c>
      <c r="L1928" s="27">
        <v>13.650988975356681</v>
      </c>
      <c r="M1928" s="27">
        <v>15.561818181818181</v>
      </c>
      <c r="N1928" s="34">
        <v>27.813044433593749</v>
      </c>
    </row>
    <row r="1929" spans="1:14" x14ac:dyDescent="0.35">
      <c r="A1929" s="82">
        <v>1926</v>
      </c>
      <c r="B1929" s="89" t="str">
        <f>_xlfn.XLOOKUP(A1929,'Model Modeshare by TAZ'!A:A,'Model Modeshare by TAZ'!B:B)</f>
        <v>Unincorporated</v>
      </c>
      <c r="C1929" s="90" t="str">
        <f>_xlfn.XLOOKUP(A1929,'Model Modeshare by TAZ'!A:A,'Model Modeshare by TAZ'!D:D)</f>
        <v>YES</v>
      </c>
      <c r="D1929" s="27">
        <v>8987.07</v>
      </c>
      <c r="E1929" s="27">
        <v>151777.12</v>
      </c>
      <c r="F1929" s="27">
        <v>7896.6</v>
      </c>
      <c r="G1929" s="27">
        <v>77942.759999999995</v>
      </c>
      <c r="H1929" s="27">
        <v>1001.93</v>
      </c>
      <c r="I1929" s="27">
        <v>12168.39</v>
      </c>
      <c r="J1929" s="6">
        <v>4712</v>
      </c>
      <c r="K1929" s="6">
        <v>581</v>
      </c>
      <c r="L1929" s="27">
        <v>16.541332767402377</v>
      </c>
      <c r="M1929" s="27">
        <v>20.943872633390704</v>
      </c>
      <c r="N1929" s="34">
        <v>26.153281692801816</v>
      </c>
    </row>
    <row r="1930" spans="1:14" x14ac:dyDescent="0.35">
      <c r="A1930" s="82">
        <v>1927</v>
      </c>
      <c r="B1930" s="89" t="str">
        <f>_xlfn.XLOOKUP(A1930,'Model Modeshare by TAZ'!A:A,'Model Modeshare by TAZ'!B:B)</f>
        <v>Pacifica</v>
      </c>
      <c r="C1930" s="90" t="str">
        <f>_xlfn.XLOOKUP(A1930,'Model Modeshare by TAZ'!A:A,'Model Modeshare by TAZ'!D:D)</f>
        <v>YES</v>
      </c>
      <c r="D1930" s="27">
        <v>10189.66</v>
      </c>
      <c r="E1930" s="27">
        <v>190233.66</v>
      </c>
      <c r="F1930" s="27">
        <v>9219.2999999999993</v>
      </c>
      <c r="G1930" s="27">
        <v>99086.22</v>
      </c>
      <c r="H1930" s="27">
        <v>987.27</v>
      </c>
      <c r="I1930" s="27">
        <v>12214.23</v>
      </c>
      <c r="J1930" s="6">
        <v>5543</v>
      </c>
      <c r="K1930" s="6">
        <v>536</v>
      </c>
      <c r="L1930" s="27">
        <v>17.875919177340791</v>
      </c>
      <c r="M1930" s="27">
        <v>22.787742537313431</v>
      </c>
      <c r="N1930" s="34">
        <v>32.179281131765094</v>
      </c>
    </row>
    <row r="1931" spans="1:14" x14ac:dyDescent="0.35">
      <c r="A1931" s="82">
        <v>1928</v>
      </c>
      <c r="B1931" s="89" t="str">
        <f>_xlfn.XLOOKUP(A1931,'Model Modeshare by TAZ'!A:A,'Model Modeshare by TAZ'!B:B)</f>
        <v>Unincorporated</v>
      </c>
      <c r="C1931" s="90" t="str">
        <f>_xlfn.XLOOKUP(A1931,'Model Modeshare by TAZ'!A:A,'Model Modeshare by TAZ'!D:D)</f>
        <v>YES</v>
      </c>
      <c r="D1931" s="27">
        <v>192.35</v>
      </c>
      <c r="E1931" s="27">
        <v>3531.11</v>
      </c>
      <c r="F1931" s="27">
        <v>44.02</v>
      </c>
      <c r="G1931" s="27">
        <v>274.8</v>
      </c>
      <c r="H1931" s="27">
        <v>703.99</v>
      </c>
      <c r="I1931" s="27">
        <v>8625.09</v>
      </c>
      <c r="J1931" s="6">
        <v>39</v>
      </c>
      <c r="K1931" s="6">
        <v>140</v>
      </c>
      <c r="L1931" s="27">
        <v>7.0461538461538469</v>
      </c>
      <c r="M1931" s="27">
        <v>61.607785714285718</v>
      </c>
      <c r="N1931" s="34">
        <v>63.470223463687148</v>
      </c>
    </row>
    <row r="1932" spans="1:14" x14ac:dyDescent="0.35">
      <c r="A1932" s="82">
        <v>1929</v>
      </c>
      <c r="B1932" s="89" t="str">
        <f>_xlfn.XLOOKUP(A1932,'Model Modeshare by TAZ'!A:A,'Model Modeshare by TAZ'!B:B)</f>
        <v>San Bruno</v>
      </c>
      <c r="C1932" s="90" t="str">
        <f>_xlfn.XLOOKUP(A1932,'Model Modeshare by TAZ'!A:A,'Model Modeshare by TAZ'!D:D)</f>
        <v>YES</v>
      </c>
      <c r="D1932" s="27">
        <v>4933.75</v>
      </c>
      <c r="E1932" s="27">
        <v>56096.43</v>
      </c>
      <c r="F1932" s="27">
        <v>2018.97</v>
      </c>
      <c r="G1932" s="27">
        <v>11563.02</v>
      </c>
      <c r="H1932" s="27">
        <v>388.71</v>
      </c>
      <c r="I1932" s="27">
        <v>4434.16</v>
      </c>
      <c r="J1932" s="6">
        <v>1509</v>
      </c>
      <c r="K1932" s="6">
        <v>212</v>
      </c>
      <c r="L1932" s="27">
        <v>7.6627037773359845</v>
      </c>
      <c r="M1932" s="27">
        <v>20.915849056603772</v>
      </c>
      <c r="N1932" s="34">
        <v>28.03335851249274</v>
      </c>
    </row>
    <row r="1933" spans="1:14" x14ac:dyDescent="0.35">
      <c r="A1933" s="82">
        <v>1930</v>
      </c>
      <c r="B1933" s="89" t="str">
        <f>_xlfn.XLOOKUP(A1933,'Model Modeshare by TAZ'!A:A,'Model Modeshare by TAZ'!B:B)</f>
        <v>South San Francisco</v>
      </c>
      <c r="C1933" s="90" t="str">
        <f>_xlfn.XLOOKUP(A1933,'Model Modeshare by TAZ'!A:A,'Model Modeshare by TAZ'!D:D)</f>
        <v>YES</v>
      </c>
      <c r="D1933" s="27">
        <v>14612.88</v>
      </c>
      <c r="E1933" s="27">
        <v>237879.64</v>
      </c>
      <c r="F1933" s="27">
        <v>11237.76</v>
      </c>
      <c r="G1933" s="27">
        <v>91415.4</v>
      </c>
      <c r="H1933" s="27">
        <v>1538.66</v>
      </c>
      <c r="I1933" s="27">
        <v>17523.16</v>
      </c>
      <c r="J1933" s="6">
        <v>8249</v>
      </c>
      <c r="K1933" s="6">
        <v>876</v>
      </c>
      <c r="L1933" s="27">
        <v>11.081997817917323</v>
      </c>
      <c r="M1933" s="27">
        <v>20.003607305936072</v>
      </c>
      <c r="N1933" s="34">
        <v>21.43434301369863</v>
      </c>
    </row>
    <row r="1934" spans="1:14" x14ac:dyDescent="0.35">
      <c r="A1934" s="82">
        <v>1931</v>
      </c>
      <c r="B1934" s="89" t="str">
        <f>_xlfn.XLOOKUP(A1934,'Model Modeshare by TAZ'!A:A,'Model Modeshare by TAZ'!B:B)</f>
        <v>South San Francisco</v>
      </c>
      <c r="C1934" s="90" t="str">
        <f>_xlfn.XLOOKUP(A1934,'Model Modeshare by TAZ'!A:A,'Model Modeshare by TAZ'!D:D)</f>
        <v>YES</v>
      </c>
      <c r="D1934" s="27">
        <v>7324.35</v>
      </c>
      <c r="E1934" s="27">
        <v>107659.54</v>
      </c>
      <c r="F1934" s="27">
        <v>7723.42</v>
      </c>
      <c r="G1934" s="27">
        <v>62508.13</v>
      </c>
      <c r="H1934" s="27">
        <v>221.06</v>
      </c>
      <c r="I1934" s="27">
        <v>2872.01</v>
      </c>
      <c r="J1934" s="6">
        <v>5057</v>
      </c>
      <c r="K1934" s="6">
        <v>126</v>
      </c>
      <c r="L1934" s="27">
        <v>12.360713861973501</v>
      </c>
      <c r="M1934" s="27">
        <v>22.79373015873016</v>
      </c>
      <c r="N1934" s="34">
        <v>17.620561450897164</v>
      </c>
    </row>
    <row r="1935" spans="1:14" x14ac:dyDescent="0.35">
      <c r="A1935" s="82">
        <v>1932</v>
      </c>
      <c r="B1935" s="89" t="str">
        <f>_xlfn.XLOOKUP(A1935,'Model Modeshare by TAZ'!A:A,'Model Modeshare by TAZ'!B:B)</f>
        <v>San Bruno</v>
      </c>
      <c r="C1935" s="90" t="str">
        <f>_xlfn.XLOOKUP(A1935,'Model Modeshare by TAZ'!A:A,'Model Modeshare by TAZ'!D:D)</f>
        <v>YES</v>
      </c>
      <c r="D1935" s="27">
        <v>4344.46</v>
      </c>
      <c r="E1935" s="27">
        <v>62687.83</v>
      </c>
      <c r="F1935" s="27">
        <v>4350.75</v>
      </c>
      <c r="G1935" s="27">
        <v>33008.879999999997</v>
      </c>
      <c r="H1935" s="27">
        <v>206.39</v>
      </c>
      <c r="I1935" s="27">
        <v>2548.25</v>
      </c>
      <c r="J1935" s="6">
        <v>2883</v>
      </c>
      <c r="K1935" s="6">
        <v>125</v>
      </c>
      <c r="L1935" s="27">
        <v>11.449490114464099</v>
      </c>
      <c r="M1935" s="27">
        <v>20.385999999999999</v>
      </c>
      <c r="N1935" s="34">
        <v>17.554205452127661</v>
      </c>
    </row>
    <row r="1936" spans="1:14" x14ac:dyDescent="0.35">
      <c r="A1936" s="82">
        <v>1933</v>
      </c>
      <c r="B1936" s="89" t="str">
        <f>_xlfn.XLOOKUP(A1936,'Model Modeshare by TAZ'!A:A,'Model Modeshare by TAZ'!B:B)</f>
        <v>San Bruno</v>
      </c>
      <c r="C1936" s="90" t="str">
        <f>_xlfn.XLOOKUP(A1936,'Model Modeshare by TAZ'!A:A,'Model Modeshare by TAZ'!D:D)</f>
        <v>YES</v>
      </c>
      <c r="D1936" s="27">
        <v>9061.7000000000007</v>
      </c>
      <c r="E1936" s="27">
        <v>149074.68</v>
      </c>
      <c r="F1936" s="27">
        <v>9675.41</v>
      </c>
      <c r="G1936" s="27">
        <v>83911.21</v>
      </c>
      <c r="H1936" s="27">
        <v>631.11</v>
      </c>
      <c r="I1936" s="27">
        <v>8220.64</v>
      </c>
      <c r="J1936" s="6">
        <v>5356</v>
      </c>
      <c r="K1936" s="6">
        <v>348</v>
      </c>
      <c r="L1936" s="27">
        <v>15.666768110530247</v>
      </c>
      <c r="M1936" s="27">
        <v>23.622528735632184</v>
      </c>
      <c r="N1936" s="34">
        <v>28.184975455820478</v>
      </c>
    </row>
    <row r="1937" spans="1:14" x14ac:dyDescent="0.35">
      <c r="A1937" s="82">
        <v>1934</v>
      </c>
      <c r="B1937" s="89" t="str">
        <f>_xlfn.XLOOKUP(A1937,'Model Modeshare by TAZ'!A:A,'Model Modeshare by TAZ'!B:B)</f>
        <v>San Bruno</v>
      </c>
      <c r="C1937" s="90" t="str">
        <f>_xlfn.XLOOKUP(A1937,'Model Modeshare by TAZ'!A:A,'Model Modeshare by TAZ'!D:D)</f>
        <v>YES</v>
      </c>
      <c r="D1937" s="27">
        <v>14074.41</v>
      </c>
      <c r="E1937" s="27">
        <v>259642.16</v>
      </c>
      <c r="F1937" s="27">
        <v>13.94</v>
      </c>
      <c r="G1937" s="27">
        <v>121.2</v>
      </c>
      <c r="H1937" s="27">
        <v>4012.16</v>
      </c>
      <c r="I1937" s="27">
        <v>55823.37</v>
      </c>
      <c r="J1937" s="6">
        <v>15</v>
      </c>
      <c r="K1937" s="6">
        <v>3609</v>
      </c>
      <c r="L1937" s="27">
        <v>8.08</v>
      </c>
      <c r="M1937" s="27">
        <v>15.467822111388196</v>
      </c>
      <c r="N1937" s="34">
        <v>86.301186534216342</v>
      </c>
    </row>
    <row r="1938" spans="1:14" x14ac:dyDescent="0.35">
      <c r="A1938" s="82">
        <v>1935</v>
      </c>
      <c r="B1938" s="89" t="str">
        <f>_xlfn.XLOOKUP(A1938,'Model Modeshare by TAZ'!A:A,'Model Modeshare by TAZ'!B:B)</f>
        <v>San Bruno</v>
      </c>
      <c r="C1938" s="90" t="str">
        <f>_xlfn.XLOOKUP(A1938,'Model Modeshare by TAZ'!A:A,'Model Modeshare by TAZ'!D:D)</f>
        <v>YES</v>
      </c>
      <c r="D1938" s="27">
        <v>5811.32</v>
      </c>
      <c r="E1938" s="27">
        <v>76450.34</v>
      </c>
      <c r="F1938" s="27">
        <v>5002.26</v>
      </c>
      <c r="G1938" s="27">
        <v>32098.400000000001</v>
      </c>
      <c r="H1938" s="27">
        <v>1391.99</v>
      </c>
      <c r="I1938" s="27">
        <v>17804.2</v>
      </c>
      <c r="J1938" s="6">
        <v>3279</v>
      </c>
      <c r="K1938" s="6">
        <v>942</v>
      </c>
      <c r="L1938" s="27">
        <v>9.789082037206466</v>
      </c>
      <c r="M1938" s="27">
        <v>18.900424628450107</v>
      </c>
      <c r="N1938" s="34">
        <v>22.037495854063017</v>
      </c>
    </row>
    <row r="1939" spans="1:14" x14ac:dyDescent="0.35">
      <c r="A1939" s="82">
        <v>1936</v>
      </c>
      <c r="B1939" s="89" t="str">
        <f>_xlfn.XLOOKUP(A1939,'Model Modeshare by TAZ'!A:A,'Model Modeshare by TAZ'!B:B)</f>
        <v>San Bruno</v>
      </c>
      <c r="C1939" s="90" t="str">
        <f>_xlfn.XLOOKUP(A1939,'Model Modeshare by TAZ'!A:A,'Model Modeshare by TAZ'!D:D)</f>
        <v>YES</v>
      </c>
      <c r="D1939" s="27">
        <v>6410.31</v>
      </c>
      <c r="E1939" s="27">
        <v>82917.429999999993</v>
      </c>
      <c r="F1939" s="27">
        <v>5201.75</v>
      </c>
      <c r="G1939" s="27">
        <v>34729.74</v>
      </c>
      <c r="H1939" s="27">
        <v>769.06</v>
      </c>
      <c r="I1939" s="27">
        <v>9492.2199999999993</v>
      </c>
      <c r="J1939" s="6">
        <v>3293</v>
      </c>
      <c r="K1939" s="6">
        <v>436</v>
      </c>
      <c r="L1939" s="27">
        <v>10.546535074400243</v>
      </c>
      <c r="M1939" s="27">
        <v>21.771146788990823</v>
      </c>
      <c r="N1939" s="34">
        <v>20.201584875301691</v>
      </c>
    </row>
    <row r="1940" spans="1:14" x14ac:dyDescent="0.35">
      <c r="A1940" s="82">
        <v>1937</v>
      </c>
      <c r="B1940" s="89" t="str">
        <f>_xlfn.XLOOKUP(A1940,'Model Modeshare by TAZ'!A:A,'Model Modeshare by TAZ'!B:B)</f>
        <v>San Bruno</v>
      </c>
      <c r="C1940" s="90" t="str">
        <f>_xlfn.XLOOKUP(A1940,'Model Modeshare by TAZ'!A:A,'Model Modeshare by TAZ'!D:D)</f>
        <v>YES</v>
      </c>
      <c r="D1940" s="27">
        <v>3986.3</v>
      </c>
      <c r="E1940" s="27">
        <v>65605.100000000006</v>
      </c>
      <c r="F1940" s="27">
        <v>3877.74</v>
      </c>
      <c r="G1940" s="27">
        <v>31042.31</v>
      </c>
      <c r="H1940" s="27">
        <v>324.02999999999997</v>
      </c>
      <c r="I1940" s="27">
        <v>4503.16</v>
      </c>
      <c r="J1940" s="6">
        <v>2885</v>
      </c>
      <c r="K1940" s="6">
        <v>183</v>
      </c>
      <c r="L1940" s="27">
        <v>10.759899480069324</v>
      </c>
      <c r="M1940" s="27">
        <v>24.607431693989071</v>
      </c>
      <c r="N1940" s="34">
        <v>22.143054106910039</v>
      </c>
    </row>
    <row r="1941" spans="1:14" x14ac:dyDescent="0.35">
      <c r="A1941" s="82">
        <v>1938</v>
      </c>
      <c r="B1941" s="89" t="str">
        <f>_xlfn.XLOOKUP(A1941,'Model Modeshare by TAZ'!A:A,'Model Modeshare by TAZ'!B:B)</f>
        <v>San Bruno</v>
      </c>
      <c r="C1941" s="90" t="str">
        <f>_xlfn.XLOOKUP(A1941,'Model Modeshare by TAZ'!A:A,'Model Modeshare by TAZ'!D:D)</f>
        <v>YES</v>
      </c>
      <c r="D1941" s="27">
        <v>4901.3999999999996</v>
      </c>
      <c r="E1941" s="27">
        <v>85973.05</v>
      </c>
      <c r="F1941" s="27">
        <v>5072.07</v>
      </c>
      <c r="G1941" s="27">
        <v>40162.35</v>
      </c>
      <c r="H1941" s="27">
        <v>871.91</v>
      </c>
      <c r="I1941" s="27">
        <v>12274.7</v>
      </c>
      <c r="J1941" s="6">
        <v>3724</v>
      </c>
      <c r="K1941" s="6">
        <v>488</v>
      </c>
      <c r="L1941" s="27">
        <v>10.784734156820623</v>
      </c>
      <c r="M1941" s="27">
        <v>25.153073770491805</v>
      </c>
      <c r="N1941" s="34">
        <v>22.583017568850902</v>
      </c>
    </row>
    <row r="1942" spans="1:14" x14ac:dyDescent="0.35">
      <c r="A1942" s="82">
        <v>1939</v>
      </c>
      <c r="B1942" s="89" t="str">
        <f>_xlfn.XLOOKUP(A1942,'Model Modeshare by TAZ'!A:A,'Model Modeshare by TAZ'!B:B)</f>
        <v>Unincorporated</v>
      </c>
      <c r="C1942" s="90" t="str">
        <f>_xlfn.XLOOKUP(A1942,'Model Modeshare by TAZ'!A:A,'Model Modeshare by TAZ'!D:D)</f>
        <v>YES</v>
      </c>
      <c r="D1942" s="27">
        <v>0</v>
      </c>
      <c r="E1942" s="27">
        <v>0</v>
      </c>
      <c r="F1942" s="27">
        <v>131.5</v>
      </c>
      <c r="G1942" s="27">
        <v>2287.04</v>
      </c>
      <c r="H1942" s="27">
        <v>0</v>
      </c>
      <c r="I1942" s="27">
        <v>0</v>
      </c>
      <c r="J1942" s="6">
        <v>6</v>
      </c>
      <c r="K1942" s="6">
        <v>0</v>
      </c>
      <c r="L1942" s="27">
        <v>381.17333333333335</v>
      </c>
      <c r="M1942" s="27">
        <v>0</v>
      </c>
      <c r="N1942" s="34">
        <v>411.82499999999999</v>
      </c>
    </row>
    <row r="1943" spans="1:14" x14ac:dyDescent="0.35">
      <c r="A1943" s="82">
        <v>1940</v>
      </c>
      <c r="B1943" s="89" t="str">
        <f>_xlfn.XLOOKUP(A1943,'Model Modeshare by TAZ'!A:A,'Model Modeshare by TAZ'!B:B)</f>
        <v>Millbrae</v>
      </c>
      <c r="C1943" s="90" t="str">
        <f>_xlfn.XLOOKUP(A1943,'Model Modeshare by TAZ'!A:A,'Model Modeshare by TAZ'!D:D)</f>
        <v>YES</v>
      </c>
      <c r="D1943" s="27">
        <v>5351.51</v>
      </c>
      <c r="E1943" s="27">
        <v>92330.2</v>
      </c>
      <c r="F1943" s="27">
        <v>1854.68</v>
      </c>
      <c r="G1943" s="27">
        <v>15302.29</v>
      </c>
      <c r="H1943" s="27">
        <v>1696.66</v>
      </c>
      <c r="I1943" s="27">
        <v>24890.33</v>
      </c>
      <c r="J1943" s="6">
        <v>1304</v>
      </c>
      <c r="K1943" s="6">
        <v>1557</v>
      </c>
      <c r="L1943" s="27">
        <v>11.734884969325154</v>
      </c>
      <c r="M1943" s="27">
        <v>15.986082209377008</v>
      </c>
      <c r="N1943" s="34">
        <v>38.757217756029355</v>
      </c>
    </row>
    <row r="1944" spans="1:14" x14ac:dyDescent="0.35">
      <c r="A1944" s="82">
        <v>1941</v>
      </c>
      <c r="B1944" s="89" t="str">
        <f>_xlfn.XLOOKUP(A1944,'Model Modeshare by TAZ'!A:A,'Model Modeshare by TAZ'!B:B)</f>
        <v>Millbrae</v>
      </c>
      <c r="C1944" s="90" t="str">
        <f>_xlfn.XLOOKUP(A1944,'Model Modeshare by TAZ'!A:A,'Model Modeshare by TAZ'!D:D)</f>
        <v>YES</v>
      </c>
      <c r="D1944" s="27">
        <v>5778.73</v>
      </c>
      <c r="E1944" s="27">
        <v>91286.67</v>
      </c>
      <c r="F1944" s="27">
        <v>4765.4799999999996</v>
      </c>
      <c r="G1944" s="27">
        <v>34281.68</v>
      </c>
      <c r="H1944" s="27">
        <v>737.27</v>
      </c>
      <c r="I1944" s="27">
        <v>9747.82</v>
      </c>
      <c r="J1944" s="6">
        <v>3448</v>
      </c>
      <c r="K1944" s="6">
        <v>425</v>
      </c>
      <c r="L1944" s="27">
        <v>9.9424825986078886</v>
      </c>
      <c r="M1944" s="27">
        <v>22.936047058823529</v>
      </c>
      <c r="N1944" s="34">
        <v>20.474895429899306</v>
      </c>
    </row>
    <row r="1945" spans="1:14" x14ac:dyDescent="0.35">
      <c r="A1945" s="82">
        <v>1942</v>
      </c>
      <c r="B1945" s="89" t="str">
        <f>_xlfn.XLOOKUP(A1945,'Model Modeshare by TAZ'!A:A,'Model Modeshare by TAZ'!B:B)</f>
        <v>Millbrae</v>
      </c>
      <c r="C1945" s="90" t="str">
        <f>_xlfn.XLOOKUP(A1945,'Model Modeshare by TAZ'!A:A,'Model Modeshare by TAZ'!D:D)</f>
        <v>YES</v>
      </c>
      <c r="D1945" s="27">
        <v>4505.51</v>
      </c>
      <c r="E1945" s="27">
        <v>78283.259999999995</v>
      </c>
      <c r="F1945" s="27">
        <v>4063.91</v>
      </c>
      <c r="G1945" s="27">
        <v>34627.33</v>
      </c>
      <c r="H1945" s="27">
        <v>660.25</v>
      </c>
      <c r="I1945" s="27">
        <v>9791.58</v>
      </c>
      <c r="J1945" s="6">
        <v>2637</v>
      </c>
      <c r="K1945" s="6">
        <v>332</v>
      </c>
      <c r="L1945" s="27">
        <v>13.131334850208571</v>
      </c>
      <c r="M1945" s="27">
        <v>29.492710843373494</v>
      </c>
      <c r="N1945" s="34">
        <v>29.927733243516336</v>
      </c>
    </row>
    <row r="1946" spans="1:14" x14ac:dyDescent="0.35">
      <c r="A1946" s="82">
        <v>1943</v>
      </c>
      <c r="B1946" s="89" t="str">
        <f>_xlfn.XLOOKUP(A1946,'Model Modeshare by TAZ'!A:A,'Model Modeshare by TAZ'!B:B)</f>
        <v>Millbrae</v>
      </c>
      <c r="C1946" s="90" t="str">
        <f>_xlfn.XLOOKUP(A1946,'Model Modeshare by TAZ'!A:A,'Model Modeshare by TAZ'!D:D)</f>
        <v>YES</v>
      </c>
      <c r="D1946" s="27">
        <v>4213.45</v>
      </c>
      <c r="E1946" s="27">
        <v>77026.94</v>
      </c>
      <c r="F1946" s="27">
        <v>4401.49</v>
      </c>
      <c r="G1946" s="27">
        <v>39377.410000000003</v>
      </c>
      <c r="H1946" s="27">
        <v>687.69</v>
      </c>
      <c r="I1946" s="27">
        <v>10267.08</v>
      </c>
      <c r="J1946" s="6">
        <v>2817</v>
      </c>
      <c r="K1946" s="6">
        <v>371</v>
      </c>
      <c r="L1946" s="27">
        <v>13.978491302804404</v>
      </c>
      <c r="M1946" s="27">
        <v>27.674070080862535</v>
      </c>
      <c r="N1946" s="34">
        <v>30.862932873274779</v>
      </c>
    </row>
    <row r="1947" spans="1:14" x14ac:dyDescent="0.35">
      <c r="A1947" s="82">
        <v>1944</v>
      </c>
      <c r="B1947" s="89" t="str">
        <f>_xlfn.XLOOKUP(A1947,'Model Modeshare by TAZ'!A:A,'Model Modeshare by TAZ'!B:B)</f>
        <v>Millbrae</v>
      </c>
      <c r="C1947" s="90" t="str">
        <f>_xlfn.XLOOKUP(A1947,'Model Modeshare by TAZ'!A:A,'Model Modeshare by TAZ'!D:D)</f>
        <v>YES</v>
      </c>
      <c r="D1947" s="27">
        <v>12034.64</v>
      </c>
      <c r="E1947" s="27">
        <v>206906.67</v>
      </c>
      <c r="F1947" s="27">
        <v>7146.62</v>
      </c>
      <c r="G1947" s="27">
        <v>53414.6</v>
      </c>
      <c r="H1947" s="27">
        <v>2078.71</v>
      </c>
      <c r="I1947" s="27">
        <v>28658.02</v>
      </c>
      <c r="J1947" s="6">
        <v>5136</v>
      </c>
      <c r="K1947" s="6">
        <v>1427</v>
      </c>
      <c r="L1947" s="27">
        <v>10.400038940809969</v>
      </c>
      <c r="M1947" s="27">
        <v>20.082704975473021</v>
      </c>
      <c r="N1947" s="34">
        <v>30.974581746152673</v>
      </c>
    </row>
    <row r="1948" spans="1:14" x14ac:dyDescent="0.35">
      <c r="A1948" s="82">
        <v>1945</v>
      </c>
      <c r="B1948" s="89" t="str">
        <f>_xlfn.XLOOKUP(A1948,'Model Modeshare by TAZ'!A:A,'Model Modeshare by TAZ'!B:B)</f>
        <v>Millbrae</v>
      </c>
      <c r="C1948" s="90" t="str">
        <f>_xlfn.XLOOKUP(A1948,'Model Modeshare by TAZ'!A:A,'Model Modeshare by TAZ'!D:D)</f>
        <v>YES</v>
      </c>
      <c r="D1948" s="27">
        <v>3419.06</v>
      </c>
      <c r="E1948" s="27">
        <v>55473.120000000003</v>
      </c>
      <c r="F1948" s="27">
        <v>3787.06</v>
      </c>
      <c r="G1948" s="27">
        <v>31107.87</v>
      </c>
      <c r="H1948" s="27">
        <v>189.41</v>
      </c>
      <c r="I1948" s="27">
        <v>2817.22</v>
      </c>
      <c r="J1948" s="6">
        <v>2464</v>
      </c>
      <c r="K1948" s="6">
        <v>101</v>
      </c>
      <c r="L1948" s="27">
        <v>12.62494724025974</v>
      </c>
      <c r="M1948" s="27">
        <v>27.893267326732673</v>
      </c>
      <c r="N1948" s="34">
        <v>22.811485380116959</v>
      </c>
    </row>
    <row r="1949" spans="1:14" x14ac:dyDescent="0.35">
      <c r="A1949" s="82">
        <v>1946</v>
      </c>
      <c r="B1949" s="89" t="str">
        <f>_xlfn.XLOOKUP(A1949,'Model Modeshare by TAZ'!A:A,'Model Modeshare by TAZ'!B:B)</f>
        <v>Burlingame</v>
      </c>
      <c r="C1949" s="90" t="str">
        <f>_xlfn.XLOOKUP(A1949,'Model Modeshare by TAZ'!A:A,'Model Modeshare by TAZ'!D:D)</f>
        <v>YES</v>
      </c>
      <c r="D1949" s="27">
        <v>8170.59</v>
      </c>
      <c r="E1949" s="27">
        <v>146506.62</v>
      </c>
      <c r="F1949" s="27">
        <v>7975.52</v>
      </c>
      <c r="G1949" s="27">
        <v>70869.81</v>
      </c>
      <c r="H1949" s="27">
        <v>700.65</v>
      </c>
      <c r="I1949" s="27">
        <v>10394.469999999999</v>
      </c>
      <c r="J1949" s="6">
        <v>4700</v>
      </c>
      <c r="K1949" s="6">
        <v>374</v>
      </c>
      <c r="L1949" s="27">
        <v>15.078682978723403</v>
      </c>
      <c r="M1949" s="27">
        <v>27.792700534759355</v>
      </c>
      <c r="N1949" s="34">
        <v>27.452213243988965</v>
      </c>
    </row>
    <row r="1950" spans="1:14" x14ac:dyDescent="0.35">
      <c r="A1950" s="82">
        <v>1947</v>
      </c>
      <c r="B1950" s="89" t="str">
        <f>_xlfn.XLOOKUP(A1950,'Model Modeshare by TAZ'!A:A,'Model Modeshare by TAZ'!B:B)</f>
        <v>Burlingame</v>
      </c>
      <c r="C1950" s="90" t="str">
        <f>_xlfn.XLOOKUP(A1950,'Model Modeshare by TAZ'!A:A,'Model Modeshare by TAZ'!D:D)</f>
        <v>YES</v>
      </c>
      <c r="D1950" s="27">
        <v>5590.63</v>
      </c>
      <c r="E1950" s="27">
        <v>79690.92</v>
      </c>
      <c r="F1950" s="27">
        <v>5548.08</v>
      </c>
      <c r="G1950" s="27">
        <v>40980.76</v>
      </c>
      <c r="H1950" s="27">
        <v>659.83</v>
      </c>
      <c r="I1950" s="27">
        <v>9619.91</v>
      </c>
      <c r="J1950" s="6">
        <v>3800</v>
      </c>
      <c r="K1950" s="6">
        <v>375</v>
      </c>
      <c r="L1950" s="27">
        <v>10.78441052631579</v>
      </c>
      <c r="M1950" s="27">
        <v>25.653093333333334</v>
      </c>
      <c r="N1950" s="34">
        <v>19.054658682634731</v>
      </c>
    </row>
    <row r="1951" spans="1:14" x14ac:dyDescent="0.35">
      <c r="A1951" s="82">
        <v>1948</v>
      </c>
      <c r="B1951" s="89" t="str">
        <f>_xlfn.XLOOKUP(A1951,'Model Modeshare by TAZ'!A:A,'Model Modeshare by TAZ'!B:B)</f>
        <v>Burlingame</v>
      </c>
      <c r="C1951" s="90" t="str">
        <f>_xlfn.XLOOKUP(A1951,'Model Modeshare by TAZ'!A:A,'Model Modeshare by TAZ'!D:D)</f>
        <v>YES</v>
      </c>
      <c r="D1951" s="27">
        <v>16712.68</v>
      </c>
      <c r="E1951" s="27">
        <v>420367.51</v>
      </c>
      <c r="F1951" s="27">
        <v>20.79</v>
      </c>
      <c r="G1951" s="27">
        <v>344.02</v>
      </c>
      <c r="H1951" s="27">
        <v>8373.39</v>
      </c>
      <c r="I1951" s="27">
        <v>132985.68</v>
      </c>
      <c r="J1951" s="6">
        <v>19</v>
      </c>
      <c r="K1951" s="6">
        <v>7128</v>
      </c>
      <c r="L1951" s="27">
        <v>18.106315789473683</v>
      </c>
      <c r="M1951" s="27">
        <v>18.656801346801345</v>
      </c>
      <c r="N1951" s="34">
        <v>53.928202042815165</v>
      </c>
    </row>
    <row r="1952" spans="1:14" x14ac:dyDescent="0.35">
      <c r="A1952" s="82">
        <v>1949</v>
      </c>
      <c r="B1952" s="89" t="str">
        <f>_xlfn.XLOOKUP(A1952,'Model Modeshare by TAZ'!A:A,'Model Modeshare by TAZ'!B:B)</f>
        <v>Burlingame</v>
      </c>
      <c r="C1952" s="90" t="str">
        <f>_xlfn.XLOOKUP(A1952,'Model Modeshare by TAZ'!A:A,'Model Modeshare by TAZ'!D:D)</f>
        <v>YES</v>
      </c>
      <c r="D1952" s="27">
        <v>9195.18</v>
      </c>
      <c r="E1952" s="27">
        <v>237707.91</v>
      </c>
      <c r="F1952" s="27">
        <v>0</v>
      </c>
      <c r="G1952" s="27">
        <v>0</v>
      </c>
      <c r="H1952" s="27">
        <v>6075.51</v>
      </c>
      <c r="I1952" s="27">
        <v>98459.78</v>
      </c>
      <c r="J1952" s="6">
        <v>1</v>
      </c>
      <c r="K1952" s="6">
        <v>5075</v>
      </c>
      <c r="L1952" s="27">
        <v>0</v>
      </c>
      <c r="M1952" s="27">
        <v>19.400941871921184</v>
      </c>
      <c r="N1952" s="34">
        <v>54.342037037037038</v>
      </c>
    </row>
    <row r="1953" spans="1:14" x14ac:dyDescent="0.35">
      <c r="A1953" s="82">
        <v>1950</v>
      </c>
      <c r="B1953" s="89" t="str">
        <f>_xlfn.XLOOKUP(A1953,'Model Modeshare by TAZ'!A:A,'Model Modeshare by TAZ'!B:B)</f>
        <v>Burlingame</v>
      </c>
      <c r="C1953" s="90" t="str">
        <f>_xlfn.XLOOKUP(A1953,'Model Modeshare by TAZ'!A:A,'Model Modeshare by TAZ'!D:D)</f>
        <v>YES</v>
      </c>
      <c r="D1953" s="27">
        <v>4122.26</v>
      </c>
      <c r="E1953" s="27">
        <v>65681.56</v>
      </c>
      <c r="F1953" s="27">
        <v>4039.13</v>
      </c>
      <c r="G1953" s="27">
        <v>29893.200000000001</v>
      </c>
      <c r="H1953" s="27">
        <v>539.28</v>
      </c>
      <c r="I1953" s="27">
        <v>7778.42</v>
      </c>
      <c r="J1953" s="6">
        <v>2639</v>
      </c>
      <c r="K1953" s="6">
        <v>308</v>
      </c>
      <c r="L1953" s="27">
        <v>11.327472527472528</v>
      </c>
      <c r="M1953" s="27">
        <v>25.254610389610392</v>
      </c>
      <c r="N1953" s="34">
        <v>22.835585341024771</v>
      </c>
    </row>
    <row r="1954" spans="1:14" x14ac:dyDescent="0.35">
      <c r="A1954" s="82">
        <v>1951</v>
      </c>
      <c r="B1954" s="89" t="str">
        <f>_xlfn.XLOOKUP(A1954,'Model Modeshare by TAZ'!A:A,'Model Modeshare by TAZ'!B:B)</f>
        <v>Burlingame</v>
      </c>
      <c r="C1954" s="90" t="str">
        <f>_xlfn.XLOOKUP(A1954,'Model Modeshare by TAZ'!A:A,'Model Modeshare by TAZ'!D:D)</f>
        <v>YES</v>
      </c>
      <c r="D1954" s="27">
        <v>15958.91</v>
      </c>
      <c r="E1954" s="27">
        <v>335486.78000000003</v>
      </c>
      <c r="F1954" s="27">
        <v>4974.0600000000004</v>
      </c>
      <c r="G1954" s="27">
        <v>42627.43</v>
      </c>
      <c r="H1954" s="27">
        <v>4674.76</v>
      </c>
      <c r="I1954" s="27">
        <v>75164.98</v>
      </c>
      <c r="J1954" s="6">
        <v>2947</v>
      </c>
      <c r="K1954" s="6">
        <v>4300</v>
      </c>
      <c r="L1954" s="27">
        <v>14.46468612147947</v>
      </c>
      <c r="M1954" s="27">
        <v>17.480227906976744</v>
      </c>
      <c r="N1954" s="34">
        <v>50.612944666758658</v>
      </c>
    </row>
    <row r="1955" spans="1:14" x14ac:dyDescent="0.35">
      <c r="A1955" s="82">
        <v>1952</v>
      </c>
      <c r="B1955" s="89" t="str">
        <f>_xlfn.XLOOKUP(A1955,'Model Modeshare by TAZ'!A:A,'Model Modeshare by TAZ'!B:B)</f>
        <v>Hillsborough</v>
      </c>
      <c r="C1955" s="90" t="str">
        <f>_xlfn.XLOOKUP(A1955,'Model Modeshare by TAZ'!A:A,'Model Modeshare by TAZ'!D:D)</f>
        <v>YES</v>
      </c>
      <c r="D1955" s="27">
        <v>5126.53</v>
      </c>
      <c r="E1955" s="27">
        <v>113974.38</v>
      </c>
      <c r="F1955" s="27">
        <v>3227.88</v>
      </c>
      <c r="G1955" s="27">
        <v>32509.56</v>
      </c>
      <c r="H1955" s="27">
        <v>1246.47</v>
      </c>
      <c r="I1955" s="27">
        <v>20717.689999999999</v>
      </c>
      <c r="J1955" s="6">
        <v>1936</v>
      </c>
      <c r="K1955" s="6">
        <v>979</v>
      </c>
      <c r="L1955" s="27">
        <v>16.792128099173553</v>
      </c>
      <c r="M1955" s="27">
        <v>21.162093973442285</v>
      </c>
      <c r="N1955" s="34">
        <v>38.946349914236706</v>
      </c>
    </row>
    <row r="1956" spans="1:14" x14ac:dyDescent="0.35">
      <c r="A1956" s="82">
        <v>1953</v>
      </c>
      <c r="B1956" s="89" t="str">
        <f>_xlfn.XLOOKUP(A1956,'Model Modeshare by TAZ'!A:A,'Model Modeshare by TAZ'!B:B)</f>
        <v>San Mateo</v>
      </c>
      <c r="C1956" s="90" t="str">
        <f>_xlfn.XLOOKUP(A1956,'Model Modeshare by TAZ'!A:A,'Model Modeshare by TAZ'!D:D)</f>
        <v>YES</v>
      </c>
      <c r="D1956" s="27">
        <v>4589.5</v>
      </c>
      <c r="E1956" s="27">
        <v>71424.81</v>
      </c>
      <c r="F1956" s="27">
        <v>4782.62</v>
      </c>
      <c r="G1956" s="27">
        <v>38027.75</v>
      </c>
      <c r="H1956" s="27">
        <v>765.62</v>
      </c>
      <c r="I1956" s="27">
        <v>11060.18</v>
      </c>
      <c r="J1956" s="6">
        <v>2686</v>
      </c>
      <c r="K1956" s="6">
        <v>442</v>
      </c>
      <c r="L1956" s="27">
        <v>14.157762472077438</v>
      </c>
      <c r="M1956" s="27">
        <v>25.023031674208145</v>
      </c>
      <c r="N1956" s="34">
        <v>26.830000000000002</v>
      </c>
    </row>
    <row r="1957" spans="1:14" x14ac:dyDescent="0.35">
      <c r="A1957" s="82">
        <v>1954</v>
      </c>
      <c r="B1957" s="89" t="str">
        <f>_xlfn.XLOOKUP(A1957,'Model Modeshare by TAZ'!A:A,'Model Modeshare by TAZ'!B:B)</f>
        <v>Hillsborough</v>
      </c>
      <c r="C1957" s="90" t="str">
        <f>_xlfn.XLOOKUP(A1957,'Model Modeshare by TAZ'!A:A,'Model Modeshare by TAZ'!D:D)</f>
        <v>YES</v>
      </c>
      <c r="D1957" s="27">
        <v>3171.54</v>
      </c>
      <c r="E1957" s="27">
        <v>57843.28</v>
      </c>
      <c r="F1957" s="27">
        <v>3702.22</v>
      </c>
      <c r="G1957" s="27">
        <v>34819.269999999997</v>
      </c>
      <c r="H1957" s="27">
        <v>44.92</v>
      </c>
      <c r="I1957" s="27">
        <v>710.29</v>
      </c>
      <c r="J1957" s="6">
        <v>2120</v>
      </c>
      <c r="K1957" s="6">
        <v>22</v>
      </c>
      <c r="L1957" s="27">
        <v>16.424183962264149</v>
      </c>
      <c r="M1957" s="27">
        <v>32.285909090909087</v>
      </c>
      <c r="N1957" s="34">
        <v>25.101260504201683</v>
      </c>
    </row>
    <row r="1958" spans="1:14" x14ac:dyDescent="0.35">
      <c r="A1958" s="82">
        <v>1955</v>
      </c>
      <c r="B1958" s="89" t="str">
        <f>_xlfn.XLOOKUP(A1958,'Model Modeshare by TAZ'!A:A,'Model Modeshare by TAZ'!B:B)</f>
        <v>San Mateo</v>
      </c>
      <c r="C1958" s="90" t="str">
        <f>_xlfn.XLOOKUP(A1958,'Model Modeshare by TAZ'!A:A,'Model Modeshare by TAZ'!D:D)</f>
        <v>YES</v>
      </c>
      <c r="D1958" s="27">
        <v>7149.23</v>
      </c>
      <c r="E1958" s="27">
        <v>110483.84</v>
      </c>
      <c r="F1958" s="27">
        <v>5600.73</v>
      </c>
      <c r="G1958" s="27">
        <v>40179.82</v>
      </c>
      <c r="H1958" s="27">
        <v>1054.1099999999999</v>
      </c>
      <c r="I1958" s="27">
        <v>14856.89</v>
      </c>
      <c r="J1958" s="6">
        <v>3619</v>
      </c>
      <c r="K1958" s="6">
        <v>705</v>
      </c>
      <c r="L1958" s="27">
        <v>11.102464769273279</v>
      </c>
      <c r="M1958" s="27">
        <v>21.073602836879431</v>
      </c>
      <c r="N1958" s="34">
        <v>25.100978260869567</v>
      </c>
    </row>
    <row r="1959" spans="1:14" x14ac:dyDescent="0.35">
      <c r="A1959" s="82">
        <v>1956</v>
      </c>
      <c r="B1959" s="89" t="str">
        <f>_xlfn.XLOOKUP(A1959,'Model Modeshare by TAZ'!A:A,'Model Modeshare by TAZ'!B:B)</f>
        <v>San Mateo</v>
      </c>
      <c r="C1959" s="90" t="str">
        <f>_xlfn.XLOOKUP(A1959,'Model Modeshare by TAZ'!A:A,'Model Modeshare by TAZ'!D:D)</f>
        <v>YES</v>
      </c>
      <c r="D1959" s="27">
        <v>3572.77</v>
      </c>
      <c r="E1959" s="27">
        <v>65495.23</v>
      </c>
      <c r="F1959" s="27">
        <v>3006.08</v>
      </c>
      <c r="G1959" s="27">
        <v>25649.17</v>
      </c>
      <c r="H1959" s="27">
        <v>859.51</v>
      </c>
      <c r="I1959" s="27">
        <v>13545.36</v>
      </c>
      <c r="J1959" s="6">
        <v>1884</v>
      </c>
      <c r="K1959" s="6">
        <v>734</v>
      </c>
      <c r="L1959" s="27">
        <v>13.614209129511677</v>
      </c>
      <c r="M1959" s="27">
        <v>18.454168937329701</v>
      </c>
      <c r="N1959" s="34">
        <v>31.375924369747899</v>
      </c>
    </row>
    <row r="1960" spans="1:14" x14ac:dyDescent="0.35">
      <c r="A1960" s="82">
        <v>1957</v>
      </c>
      <c r="B1960" s="89" t="str">
        <f>_xlfn.XLOOKUP(A1960,'Model Modeshare by TAZ'!A:A,'Model Modeshare by TAZ'!B:B)</f>
        <v>San Mateo</v>
      </c>
      <c r="C1960" s="90" t="str">
        <f>_xlfn.XLOOKUP(A1960,'Model Modeshare by TAZ'!A:A,'Model Modeshare by TAZ'!D:D)</f>
        <v>YES</v>
      </c>
      <c r="D1960" s="27">
        <v>18872.990000000002</v>
      </c>
      <c r="E1960" s="27">
        <v>370010.94</v>
      </c>
      <c r="F1960" s="27">
        <v>3884.19</v>
      </c>
      <c r="G1960" s="27">
        <v>30849.86</v>
      </c>
      <c r="H1960" s="27">
        <v>7087.46</v>
      </c>
      <c r="I1960" s="27">
        <v>105062.32</v>
      </c>
      <c r="J1960" s="6">
        <v>2398</v>
      </c>
      <c r="K1960" s="6">
        <v>6683</v>
      </c>
      <c r="L1960" s="27">
        <v>12.864829024186822</v>
      </c>
      <c r="M1960" s="27">
        <v>15.72083196169385</v>
      </c>
      <c r="N1960" s="34">
        <v>43.984714238519985</v>
      </c>
    </row>
    <row r="1961" spans="1:14" x14ac:dyDescent="0.35">
      <c r="A1961" s="82">
        <v>1958</v>
      </c>
      <c r="B1961" s="89" t="str">
        <f>_xlfn.XLOOKUP(A1961,'Model Modeshare by TAZ'!A:A,'Model Modeshare by TAZ'!B:B)</f>
        <v>San Mateo</v>
      </c>
      <c r="C1961" s="90" t="str">
        <f>_xlfn.XLOOKUP(A1961,'Model Modeshare by TAZ'!A:A,'Model Modeshare by TAZ'!D:D)</f>
        <v>YES</v>
      </c>
      <c r="D1961" s="27">
        <v>5214.5</v>
      </c>
      <c r="E1961" s="27">
        <v>85917.41</v>
      </c>
      <c r="F1961" s="27">
        <v>4316.42</v>
      </c>
      <c r="G1961" s="27">
        <v>32800.519999999997</v>
      </c>
      <c r="H1961" s="27">
        <v>1064.74</v>
      </c>
      <c r="I1961" s="27">
        <v>15814.43</v>
      </c>
      <c r="J1961" s="6">
        <v>2876</v>
      </c>
      <c r="K1961" s="6">
        <v>762</v>
      </c>
      <c r="L1961" s="27">
        <v>11.40490959666203</v>
      </c>
      <c r="M1961" s="27">
        <v>20.753845144356955</v>
      </c>
      <c r="N1961" s="34">
        <v>26.233369983507423</v>
      </c>
    </row>
    <row r="1962" spans="1:14" x14ac:dyDescent="0.35">
      <c r="A1962" s="82">
        <v>1959</v>
      </c>
      <c r="B1962" s="89" t="str">
        <f>_xlfn.XLOOKUP(A1962,'Model Modeshare by TAZ'!A:A,'Model Modeshare by TAZ'!B:B)</f>
        <v>San Mateo</v>
      </c>
      <c r="C1962" s="90" t="str">
        <f>_xlfn.XLOOKUP(A1962,'Model Modeshare by TAZ'!A:A,'Model Modeshare by TAZ'!D:D)</f>
        <v>YES</v>
      </c>
      <c r="D1962" s="27">
        <v>7113.31</v>
      </c>
      <c r="E1962" s="27">
        <v>128357.37</v>
      </c>
      <c r="F1962" s="27">
        <v>5050.25</v>
      </c>
      <c r="G1962" s="27">
        <v>42403.46</v>
      </c>
      <c r="H1962" s="27">
        <v>1009.78</v>
      </c>
      <c r="I1962" s="27">
        <v>15755.96</v>
      </c>
      <c r="J1962" s="6">
        <v>3073</v>
      </c>
      <c r="K1962" s="6">
        <v>704</v>
      </c>
      <c r="L1962" s="27">
        <v>13.798717865278229</v>
      </c>
      <c r="M1962" s="27">
        <v>22.380624999999998</v>
      </c>
      <c r="N1962" s="34">
        <v>32.634109081281437</v>
      </c>
    </row>
    <row r="1963" spans="1:14" x14ac:dyDescent="0.35">
      <c r="A1963" s="82">
        <v>1960</v>
      </c>
      <c r="B1963" s="89" t="str">
        <f>_xlfn.XLOOKUP(A1963,'Model Modeshare by TAZ'!A:A,'Model Modeshare by TAZ'!B:B)</f>
        <v>San Mateo</v>
      </c>
      <c r="C1963" s="90" t="str">
        <f>_xlfn.XLOOKUP(A1963,'Model Modeshare by TAZ'!A:A,'Model Modeshare by TAZ'!D:D)</f>
        <v>YES</v>
      </c>
      <c r="D1963" s="27">
        <v>6319.02</v>
      </c>
      <c r="E1963" s="27">
        <v>104550.46</v>
      </c>
      <c r="F1963" s="27">
        <v>4076.54</v>
      </c>
      <c r="G1963" s="27">
        <v>32112.1</v>
      </c>
      <c r="H1963" s="27">
        <v>856.03</v>
      </c>
      <c r="I1963" s="27">
        <v>12974.82</v>
      </c>
      <c r="J1963" s="6">
        <v>3171</v>
      </c>
      <c r="K1963" s="6">
        <v>521</v>
      </c>
      <c r="L1963" s="27">
        <v>10.126805424156418</v>
      </c>
      <c r="M1963" s="27">
        <v>24.903685220729365</v>
      </c>
      <c r="N1963" s="34">
        <v>24.943136511375947</v>
      </c>
    </row>
    <row r="1964" spans="1:14" x14ac:dyDescent="0.35">
      <c r="A1964" s="82">
        <v>1961</v>
      </c>
      <c r="B1964" s="89" t="str">
        <f>_xlfn.XLOOKUP(A1964,'Model Modeshare by TAZ'!A:A,'Model Modeshare by TAZ'!B:B)</f>
        <v>San Mateo</v>
      </c>
      <c r="C1964" s="90" t="str">
        <f>_xlfn.XLOOKUP(A1964,'Model Modeshare by TAZ'!A:A,'Model Modeshare by TAZ'!D:D)</f>
        <v>YES</v>
      </c>
      <c r="D1964" s="27">
        <v>7987.87</v>
      </c>
      <c r="E1964" s="27">
        <v>142474.1</v>
      </c>
      <c r="F1964" s="27">
        <v>7297.14</v>
      </c>
      <c r="G1964" s="27">
        <v>61291.64</v>
      </c>
      <c r="H1964" s="27">
        <v>1179.1500000000001</v>
      </c>
      <c r="I1964" s="27">
        <v>17661.46</v>
      </c>
      <c r="J1964" s="6">
        <v>4341</v>
      </c>
      <c r="K1964" s="6">
        <v>661</v>
      </c>
      <c r="L1964" s="27">
        <v>14.119244413729556</v>
      </c>
      <c r="M1964" s="27">
        <v>26.719304084720118</v>
      </c>
      <c r="N1964" s="34">
        <v>27.209310275889646</v>
      </c>
    </row>
    <row r="1965" spans="1:14" x14ac:dyDescent="0.35">
      <c r="A1965" s="82">
        <v>1962</v>
      </c>
      <c r="B1965" s="89" t="str">
        <f>_xlfn.XLOOKUP(A1965,'Model Modeshare by TAZ'!A:A,'Model Modeshare by TAZ'!B:B)</f>
        <v>San Mateo</v>
      </c>
      <c r="C1965" s="90" t="str">
        <f>_xlfn.XLOOKUP(A1965,'Model Modeshare by TAZ'!A:A,'Model Modeshare by TAZ'!D:D)</f>
        <v>YES</v>
      </c>
      <c r="D1965" s="27">
        <v>6714</v>
      </c>
      <c r="E1965" s="27">
        <v>109236.31</v>
      </c>
      <c r="F1965" s="27">
        <v>6534.54</v>
      </c>
      <c r="G1965" s="27">
        <v>52493.23</v>
      </c>
      <c r="H1965" s="27">
        <v>855.43</v>
      </c>
      <c r="I1965" s="27">
        <v>12163.39</v>
      </c>
      <c r="J1965" s="6">
        <v>3971</v>
      </c>
      <c r="K1965" s="6">
        <v>489</v>
      </c>
      <c r="L1965" s="27">
        <v>13.21914631075296</v>
      </c>
      <c r="M1965" s="27">
        <v>24.874008179959098</v>
      </c>
      <c r="N1965" s="34">
        <v>25.33314798206278</v>
      </c>
    </row>
    <row r="1966" spans="1:14" x14ac:dyDescent="0.35">
      <c r="A1966" s="82">
        <v>1963</v>
      </c>
      <c r="B1966" s="89" t="str">
        <f>_xlfn.XLOOKUP(A1966,'Model Modeshare by TAZ'!A:A,'Model Modeshare by TAZ'!B:B)</f>
        <v>San Mateo</v>
      </c>
      <c r="C1966" s="90" t="str">
        <f>_xlfn.XLOOKUP(A1966,'Model Modeshare by TAZ'!A:A,'Model Modeshare by TAZ'!D:D)</f>
        <v>YES</v>
      </c>
      <c r="D1966" s="27">
        <v>3967.12</v>
      </c>
      <c r="E1966" s="27">
        <v>41568.89</v>
      </c>
      <c r="F1966" s="27">
        <v>4350.7</v>
      </c>
      <c r="G1966" s="27">
        <v>26968.32</v>
      </c>
      <c r="H1966" s="27">
        <v>131.38999999999999</v>
      </c>
      <c r="I1966" s="27">
        <v>1969.7</v>
      </c>
      <c r="J1966" s="6">
        <v>2863</v>
      </c>
      <c r="K1966" s="6">
        <v>70</v>
      </c>
      <c r="L1966" s="27">
        <v>9.4196018162766322</v>
      </c>
      <c r="M1966" s="27">
        <v>28.138571428571428</v>
      </c>
      <c r="N1966" s="34">
        <v>13.079880668257758</v>
      </c>
    </row>
    <row r="1967" spans="1:14" x14ac:dyDescent="0.35">
      <c r="A1967" s="82">
        <v>1964</v>
      </c>
      <c r="B1967" s="89" t="str">
        <f>_xlfn.XLOOKUP(A1967,'Model Modeshare by TAZ'!A:A,'Model Modeshare by TAZ'!B:B)</f>
        <v>San Mateo</v>
      </c>
      <c r="C1967" s="90" t="str">
        <f>_xlfn.XLOOKUP(A1967,'Model Modeshare by TAZ'!A:A,'Model Modeshare by TAZ'!D:D)</f>
        <v>YES</v>
      </c>
      <c r="D1967" s="27">
        <v>9639.07</v>
      </c>
      <c r="E1967" s="27">
        <v>141340.38</v>
      </c>
      <c r="F1967" s="27">
        <v>4927.8900000000003</v>
      </c>
      <c r="G1967" s="27">
        <v>32806.19</v>
      </c>
      <c r="H1967" s="27">
        <v>874.66</v>
      </c>
      <c r="I1967" s="27">
        <v>12500.39</v>
      </c>
      <c r="J1967" s="6">
        <v>3155</v>
      </c>
      <c r="K1967" s="6">
        <v>499</v>
      </c>
      <c r="L1967" s="27">
        <v>10.398158478605389</v>
      </c>
      <c r="M1967" s="27">
        <v>25.050881763527052</v>
      </c>
      <c r="N1967" s="34">
        <v>22.28334701696771</v>
      </c>
    </row>
    <row r="1968" spans="1:14" x14ac:dyDescent="0.35">
      <c r="A1968" s="82">
        <v>1965</v>
      </c>
      <c r="B1968" s="89" t="str">
        <f>_xlfn.XLOOKUP(A1968,'Model Modeshare by TAZ'!A:A,'Model Modeshare by TAZ'!B:B)</f>
        <v>San Mateo</v>
      </c>
      <c r="C1968" s="90" t="str">
        <f>_xlfn.XLOOKUP(A1968,'Model Modeshare by TAZ'!A:A,'Model Modeshare by TAZ'!D:D)</f>
        <v>YES</v>
      </c>
      <c r="D1968" s="27">
        <v>17574.580000000002</v>
      </c>
      <c r="E1968" s="27">
        <v>330038.75</v>
      </c>
      <c r="F1968" s="27">
        <v>5759.05</v>
      </c>
      <c r="G1968" s="27">
        <v>42934.93</v>
      </c>
      <c r="H1968" s="27">
        <v>9640</v>
      </c>
      <c r="I1968" s="27">
        <v>144393.97</v>
      </c>
      <c r="J1968" s="6">
        <v>3246</v>
      </c>
      <c r="K1968" s="6">
        <v>8000</v>
      </c>
      <c r="L1968" s="27">
        <v>13.227027110289587</v>
      </c>
      <c r="M1968" s="27">
        <v>18.049246249999999</v>
      </c>
      <c r="N1968" s="34">
        <v>44.13222301262671</v>
      </c>
    </row>
    <row r="1969" spans="1:14" x14ac:dyDescent="0.35">
      <c r="A1969" s="82">
        <v>1966</v>
      </c>
      <c r="B1969" s="89" t="str">
        <f>_xlfn.XLOOKUP(A1969,'Model Modeshare by TAZ'!A:A,'Model Modeshare by TAZ'!B:B)</f>
        <v>Foster City</v>
      </c>
      <c r="C1969" s="90" t="str">
        <f>_xlfn.XLOOKUP(A1969,'Model Modeshare by TAZ'!A:A,'Model Modeshare by TAZ'!D:D)</f>
        <v>YES</v>
      </c>
      <c r="D1969" s="27">
        <v>5427.78</v>
      </c>
      <c r="E1969" s="27">
        <v>73300.740000000005</v>
      </c>
      <c r="F1969" s="27">
        <v>3938.62</v>
      </c>
      <c r="G1969" s="27">
        <v>30245.95</v>
      </c>
      <c r="H1969" s="27">
        <v>309.44</v>
      </c>
      <c r="I1969" s="27">
        <v>4469.63</v>
      </c>
      <c r="J1969" s="6">
        <v>2389</v>
      </c>
      <c r="K1969" s="6">
        <v>160</v>
      </c>
      <c r="L1969" s="27">
        <v>12.660506488070322</v>
      </c>
      <c r="M1969" s="27">
        <v>27.935187500000001</v>
      </c>
      <c r="N1969" s="34">
        <v>20.403346410357003</v>
      </c>
    </row>
    <row r="1970" spans="1:14" x14ac:dyDescent="0.35">
      <c r="A1970" s="82">
        <v>1967</v>
      </c>
      <c r="B1970" s="89" t="str">
        <f>_xlfn.XLOOKUP(A1970,'Model Modeshare by TAZ'!A:A,'Model Modeshare by TAZ'!B:B)</f>
        <v>Foster City</v>
      </c>
      <c r="C1970" s="90" t="str">
        <f>_xlfn.XLOOKUP(A1970,'Model Modeshare by TAZ'!A:A,'Model Modeshare by TAZ'!D:D)</f>
        <v>YES</v>
      </c>
      <c r="D1970" s="27">
        <v>6557.13</v>
      </c>
      <c r="E1970" s="27">
        <v>126084.95</v>
      </c>
      <c r="F1970" s="27">
        <v>6005.69</v>
      </c>
      <c r="G1970" s="27">
        <v>59253.33</v>
      </c>
      <c r="H1970" s="27">
        <v>1214.54</v>
      </c>
      <c r="I1970" s="27">
        <v>20320.169999999998</v>
      </c>
      <c r="J1970" s="6">
        <v>3612</v>
      </c>
      <c r="K1970" s="6">
        <v>783</v>
      </c>
      <c r="L1970" s="27">
        <v>16.404576411960132</v>
      </c>
      <c r="M1970" s="27">
        <v>25.951685823754786</v>
      </c>
      <c r="N1970" s="34">
        <v>31.91881228668942</v>
      </c>
    </row>
    <row r="1971" spans="1:14" x14ac:dyDescent="0.35">
      <c r="A1971" s="82">
        <v>1968</v>
      </c>
      <c r="B1971" s="89" t="str">
        <f>_xlfn.XLOOKUP(A1971,'Model Modeshare by TAZ'!A:A,'Model Modeshare by TAZ'!B:B)</f>
        <v>Foster City</v>
      </c>
      <c r="C1971" s="90" t="str">
        <f>_xlfn.XLOOKUP(A1971,'Model Modeshare by TAZ'!A:A,'Model Modeshare by TAZ'!D:D)</f>
        <v>YES</v>
      </c>
      <c r="D1971" s="27">
        <v>5876.6</v>
      </c>
      <c r="E1971" s="27">
        <v>93038.61</v>
      </c>
      <c r="F1971" s="27">
        <v>5811.53</v>
      </c>
      <c r="G1971" s="27">
        <v>47520.12</v>
      </c>
      <c r="H1971" s="27">
        <v>419.52</v>
      </c>
      <c r="I1971" s="27">
        <v>6336.84</v>
      </c>
      <c r="J1971" s="6">
        <v>3570</v>
      </c>
      <c r="K1971" s="6">
        <v>250</v>
      </c>
      <c r="L1971" s="27">
        <v>13.310957983193278</v>
      </c>
      <c r="M1971" s="27">
        <v>25.347360000000002</v>
      </c>
      <c r="N1971" s="34">
        <v>24.086604712041886</v>
      </c>
    </row>
    <row r="1972" spans="1:14" x14ac:dyDescent="0.35">
      <c r="A1972" s="82">
        <v>1969</v>
      </c>
      <c r="B1972" s="89" t="str">
        <f>_xlfn.XLOOKUP(A1972,'Model Modeshare by TAZ'!A:A,'Model Modeshare by TAZ'!B:B)</f>
        <v>Foster City</v>
      </c>
      <c r="C1972" s="90" t="str">
        <f>_xlfn.XLOOKUP(A1972,'Model Modeshare by TAZ'!A:A,'Model Modeshare by TAZ'!D:D)</f>
        <v>YES</v>
      </c>
      <c r="D1972" s="27">
        <v>6265.76</v>
      </c>
      <c r="E1972" s="27">
        <v>110300.66</v>
      </c>
      <c r="F1972" s="27">
        <v>5760.87</v>
      </c>
      <c r="G1972" s="27">
        <v>53939.22</v>
      </c>
      <c r="H1972" s="27">
        <v>648.16</v>
      </c>
      <c r="I1972" s="27">
        <v>10532.11</v>
      </c>
      <c r="J1972" s="6">
        <v>3442</v>
      </c>
      <c r="K1972" s="6">
        <v>351</v>
      </c>
      <c r="L1972" s="27">
        <v>15.670894828588031</v>
      </c>
      <c r="M1972" s="27">
        <v>30.006011396011399</v>
      </c>
      <c r="N1972" s="34">
        <v>28.710353282362245</v>
      </c>
    </row>
    <row r="1973" spans="1:14" x14ac:dyDescent="0.35">
      <c r="A1973" s="82">
        <v>1970</v>
      </c>
      <c r="B1973" s="89" t="str">
        <f>_xlfn.XLOOKUP(A1973,'Model Modeshare by TAZ'!A:A,'Model Modeshare by TAZ'!B:B)</f>
        <v>Foster City</v>
      </c>
      <c r="C1973" s="90" t="str">
        <f>_xlfn.XLOOKUP(A1973,'Model Modeshare by TAZ'!A:A,'Model Modeshare by TAZ'!D:D)</f>
        <v>YES</v>
      </c>
      <c r="D1973" s="27">
        <v>6445.36</v>
      </c>
      <c r="E1973" s="27">
        <v>108917.35</v>
      </c>
      <c r="F1973" s="27">
        <v>6060.81</v>
      </c>
      <c r="G1973" s="27">
        <v>56193.81</v>
      </c>
      <c r="H1973" s="27">
        <v>800.05</v>
      </c>
      <c r="I1973" s="27">
        <v>12490.63</v>
      </c>
      <c r="J1973" s="6">
        <v>3444</v>
      </c>
      <c r="K1973" s="6">
        <v>460</v>
      </c>
      <c r="L1973" s="27">
        <v>16.316437282229966</v>
      </c>
      <c r="M1973" s="27">
        <v>27.153543478260868</v>
      </c>
      <c r="N1973" s="34">
        <v>29.914590163934427</v>
      </c>
    </row>
    <row r="1974" spans="1:14" x14ac:dyDescent="0.35">
      <c r="A1974" s="82">
        <v>1971</v>
      </c>
      <c r="B1974" s="89" t="str">
        <f>_xlfn.XLOOKUP(A1974,'Model Modeshare by TAZ'!A:A,'Model Modeshare by TAZ'!B:B)</f>
        <v>Foster City</v>
      </c>
      <c r="C1974" s="90" t="str">
        <f>_xlfn.XLOOKUP(A1974,'Model Modeshare by TAZ'!A:A,'Model Modeshare by TAZ'!D:D)</f>
        <v>YES</v>
      </c>
      <c r="D1974" s="27">
        <v>6241.03</v>
      </c>
      <c r="E1974" s="27">
        <v>86618.84</v>
      </c>
      <c r="F1974" s="27">
        <v>5961.7</v>
      </c>
      <c r="G1974" s="27">
        <v>42579.56</v>
      </c>
      <c r="H1974" s="27">
        <v>325.14999999999998</v>
      </c>
      <c r="I1974" s="27">
        <v>4532.71</v>
      </c>
      <c r="J1974" s="6">
        <v>3573</v>
      </c>
      <c r="K1974" s="6">
        <v>170</v>
      </c>
      <c r="L1974" s="27">
        <v>11.917033305345647</v>
      </c>
      <c r="M1974" s="27">
        <v>26.663</v>
      </c>
      <c r="N1974" s="34">
        <v>21.18305370024045</v>
      </c>
    </row>
    <row r="1975" spans="1:14" x14ac:dyDescent="0.35">
      <c r="A1975" s="82">
        <v>1972</v>
      </c>
      <c r="B1975" s="89" t="str">
        <f>_xlfn.XLOOKUP(A1975,'Model Modeshare by TAZ'!A:A,'Model Modeshare by TAZ'!B:B)</f>
        <v>Foster City</v>
      </c>
      <c r="C1975" s="90" t="str">
        <f>_xlfn.XLOOKUP(A1975,'Model Modeshare by TAZ'!A:A,'Model Modeshare by TAZ'!D:D)</f>
        <v>YES</v>
      </c>
      <c r="D1975" s="27">
        <v>5782.42</v>
      </c>
      <c r="E1975" s="27">
        <v>112622.45</v>
      </c>
      <c r="F1975" s="27">
        <v>4156.8</v>
      </c>
      <c r="G1975" s="27">
        <v>38517.82</v>
      </c>
      <c r="H1975" s="27">
        <v>679.9</v>
      </c>
      <c r="I1975" s="27">
        <v>10748.25</v>
      </c>
      <c r="J1975" s="6">
        <v>2666</v>
      </c>
      <c r="K1975" s="6">
        <v>432</v>
      </c>
      <c r="L1975" s="27">
        <v>14.447794448612154</v>
      </c>
      <c r="M1975" s="27">
        <v>24.880208333333332</v>
      </c>
      <c r="N1975" s="34">
        <v>31.194945125887671</v>
      </c>
    </row>
    <row r="1976" spans="1:14" x14ac:dyDescent="0.35">
      <c r="A1976" s="82">
        <v>1973</v>
      </c>
      <c r="B1976" s="89" t="str">
        <f>_xlfn.XLOOKUP(A1976,'Model Modeshare by TAZ'!A:A,'Model Modeshare by TAZ'!B:B)</f>
        <v>Foster City</v>
      </c>
      <c r="C1976" s="90" t="str">
        <f>_xlfn.XLOOKUP(A1976,'Model Modeshare by TAZ'!A:A,'Model Modeshare by TAZ'!D:D)</f>
        <v>YES</v>
      </c>
      <c r="D1976" s="27">
        <v>6602.78</v>
      </c>
      <c r="E1976" s="27">
        <v>130931.67</v>
      </c>
      <c r="F1976" s="27">
        <v>7059.02</v>
      </c>
      <c r="G1976" s="27">
        <v>73025.440000000002</v>
      </c>
      <c r="H1976" s="27">
        <v>348.89</v>
      </c>
      <c r="I1976" s="27">
        <v>5913.92</v>
      </c>
      <c r="J1976" s="6">
        <v>4073</v>
      </c>
      <c r="K1976" s="6">
        <v>180</v>
      </c>
      <c r="L1976" s="27">
        <v>17.929152958507242</v>
      </c>
      <c r="M1976" s="27">
        <v>32.855111111111114</v>
      </c>
      <c r="N1976" s="34">
        <v>32.106491888079006</v>
      </c>
    </row>
    <row r="1977" spans="1:14" x14ac:dyDescent="0.35">
      <c r="A1977" s="82">
        <v>1974</v>
      </c>
      <c r="B1977" s="89" t="str">
        <f>_xlfn.XLOOKUP(A1977,'Model Modeshare by TAZ'!A:A,'Model Modeshare by TAZ'!B:B)</f>
        <v>San Mateo</v>
      </c>
      <c r="C1977" s="90" t="str">
        <f>_xlfn.XLOOKUP(A1977,'Model Modeshare by TAZ'!A:A,'Model Modeshare by TAZ'!D:D)</f>
        <v>YES</v>
      </c>
      <c r="D1977" s="27">
        <v>7137.98</v>
      </c>
      <c r="E1977" s="27">
        <v>126274.52</v>
      </c>
      <c r="F1977" s="27">
        <v>5436.1</v>
      </c>
      <c r="G1977" s="27">
        <v>44074.45</v>
      </c>
      <c r="H1977" s="27">
        <v>1272.81</v>
      </c>
      <c r="I1977" s="27">
        <v>18504.060000000001</v>
      </c>
      <c r="J1977" s="6">
        <v>3398</v>
      </c>
      <c r="K1977" s="6">
        <v>838</v>
      </c>
      <c r="L1977" s="27">
        <v>12.970703354914654</v>
      </c>
      <c r="M1977" s="27">
        <v>22.081217183770885</v>
      </c>
      <c r="N1977" s="34">
        <v>33.959539660056656</v>
      </c>
    </row>
    <row r="1978" spans="1:14" x14ac:dyDescent="0.35">
      <c r="A1978" s="82">
        <v>1975</v>
      </c>
      <c r="B1978" s="89" t="str">
        <f>_xlfn.XLOOKUP(A1978,'Model Modeshare by TAZ'!A:A,'Model Modeshare by TAZ'!B:B)</f>
        <v>Belmont</v>
      </c>
      <c r="C1978" s="90" t="str">
        <f>_xlfn.XLOOKUP(A1978,'Model Modeshare by TAZ'!A:A,'Model Modeshare by TAZ'!D:D)</f>
        <v>YES</v>
      </c>
      <c r="D1978" s="27">
        <v>8104.27</v>
      </c>
      <c r="E1978" s="27">
        <v>140676.29999999999</v>
      </c>
      <c r="F1978" s="27">
        <v>6868.48</v>
      </c>
      <c r="G1978" s="27">
        <v>53078.75</v>
      </c>
      <c r="H1978" s="27">
        <v>1634.1</v>
      </c>
      <c r="I1978" s="27">
        <v>23909.02</v>
      </c>
      <c r="J1978" s="6">
        <v>4193</v>
      </c>
      <c r="K1978" s="6">
        <v>1090</v>
      </c>
      <c r="L1978" s="27">
        <v>12.658895778678751</v>
      </c>
      <c r="M1978" s="27">
        <v>21.934880733944954</v>
      </c>
      <c r="N1978" s="34">
        <v>28.083407155025558</v>
      </c>
    </row>
    <row r="1979" spans="1:14" x14ac:dyDescent="0.35">
      <c r="A1979" s="82">
        <v>1976</v>
      </c>
      <c r="B1979" s="89" t="str">
        <f>_xlfn.XLOOKUP(A1979,'Model Modeshare by TAZ'!A:A,'Model Modeshare by TAZ'!B:B)</f>
        <v>San Mateo</v>
      </c>
      <c r="C1979" s="90" t="str">
        <f>_xlfn.XLOOKUP(A1979,'Model Modeshare by TAZ'!A:A,'Model Modeshare by TAZ'!D:D)</f>
        <v>YES</v>
      </c>
      <c r="D1979" s="27">
        <v>4706.46</v>
      </c>
      <c r="E1979" s="27">
        <v>53981.85</v>
      </c>
      <c r="F1979" s="27">
        <v>4430.3500000000004</v>
      </c>
      <c r="G1979" s="27">
        <v>26856.9</v>
      </c>
      <c r="H1979" s="27">
        <v>557.35</v>
      </c>
      <c r="I1979" s="27">
        <v>7576.87</v>
      </c>
      <c r="J1979" s="6">
        <v>2709</v>
      </c>
      <c r="K1979" s="6">
        <v>317</v>
      </c>
      <c r="L1979" s="27">
        <v>9.9139534883720941</v>
      </c>
      <c r="M1979" s="27">
        <v>23.901798107255519</v>
      </c>
      <c r="N1979" s="34">
        <v>19.256480502313284</v>
      </c>
    </row>
    <row r="1980" spans="1:14" x14ac:dyDescent="0.35">
      <c r="A1980" s="82">
        <v>1977</v>
      </c>
      <c r="B1980" s="89" t="str">
        <f>_xlfn.XLOOKUP(A1980,'Model Modeshare by TAZ'!A:A,'Model Modeshare by TAZ'!B:B)</f>
        <v>San Mateo</v>
      </c>
      <c r="C1980" s="90" t="str">
        <f>_xlfn.XLOOKUP(A1980,'Model Modeshare by TAZ'!A:A,'Model Modeshare by TAZ'!D:D)</f>
        <v>YES</v>
      </c>
      <c r="D1980" s="27">
        <v>7862.18</v>
      </c>
      <c r="E1980" s="27">
        <v>110490.02</v>
      </c>
      <c r="F1980" s="27">
        <v>7856.14</v>
      </c>
      <c r="G1980" s="27">
        <v>52627.94</v>
      </c>
      <c r="H1980" s="27">
        <v>1098.68</v>
      </c>
      <c r="I1980" s="27">
        <v>15088.72</v>
      </c>
      <c r="J1980" s="6">
        <v>4914</v>
      </c>
      <c r="K1980" s="6">
        <v>652</v>
      </c>
      <c r="L1980" s="27">
        <v>10.7097964997965</v>
      </c>
      <c r="M1980" s="27">
        <v>23.142208588957054</v>
      </c>
      <c r="N1980" s="34">
        <v>18.477438016528925</v>
      </c>
    </row>
    <row r="1981" spans="1:14" x14ac:dyDescent="0.35">
      <c r="A1981" s="82">
        <v>1978</v>
      </c>
      <c r="B1981" s="89" t="str">
        <f>_xlfn.XLOOKUP(A1981,'Model Modeshare by TAZ'!A:A,'Model Modeshare by TAZ'!B:B)</f>
        <v>San Mateo</v>
      </c>
      <c r="C1981" s="90" t="str">
        <f>_xlfn.XLOOKUP(A1981,'Model Modeshare by TAZ'!A:A,'Model Modeshare by TAZ'!D:D)</f>
        <v>YES</v>
      </c>
      <c r="D1981" s="27">
        <v>7975.65</v>
      </c>
      <c r="E1981" s="27">
        <v>152500.26999999999</v>
      </c>
      <c r="F1981" s="27">
        <v>6882.29</v>
      </c>
      <c r="G1981" s="27">
        <v>62041.18</v>
      </c>
      <c r="H1981" s="27">
        <v>1463.52</v>
      </c>
      <c r="I1981" s="27">
        <v>23445.43</v>
      </c>
      <c r="J1981" s="6">
        <v>4274</v>
      </c>
      <c r="K1981" s="6">
        <v>798</v>
      </c>
      <c r="L1981" s="27">
        <v>14.515952269536735</v>
      </c>
      <c r="M1981" s="27">
        <v>29.380238095238095</v>
      </c>
      <c r="N1981" s="34">
        <v>32.504323738170349</v>
      </c>
    </row>
    <row r="1982" spans="1:14" x14ac:dyDescent="0.35">
      <c r="A1982" s="82">
        <v>1979</v>
      </c>
      <c r="B1982" s="89" t="str">
        <f>_xlfn.XLOOKUP(A1982,'Model Modeshare by TAZ'!A:A,'Model Modeshare by TAZ'!B:B)</f>
        <v>San Mateo</v>
      </c>
      <c r="C1982" s="90" t="str">
        <f>_xlfn.XLOOKUP(A1982,'Model Modeshare by TAZ'!A:A,'Model Modeshare by TAZ'!D:D)</f>
        <v>YES</v>
      </c>
      <c r="D1982" s="27">
        <v>8804.23</v>
      </c>
      <c r="E1982" s="27">
        <v>191094.12</v>
      </c>
      <c r="F1982" s="27">
        <v>1345.26</v>
      </c>
      <c r="G1982" s="27">
        <v>10647.07</v>
      </c>
      <c r="H1982" s="27">
        <v>7435.8</v>
      </c>
      <c r="I1982" s="27">
        <v>112606.84</v>
      </c>
      <c r="J1982" s="6">
        <v>910</v>
      </c>
      <c r="K1982" s="6">
        <v>6401</v>
      </c>
      <c r="L1982" s="27">
        <v>11.700076923076923</v>
      </c>
      <c r="M1982" s="27">
        <v>17.592069989064207</v>
      </c>
      <c r="N1982" s="34">
        <v>44.0918342224046</v>
      </c>
    </row>
    <row r="1983" spans="1:14" x14ac:dyDescent="0.35">
      <c r="A1983" s="82">
        <v>1980</v>
      </c>
      <c r="B1983" s="89" t="str">
        <f>_xlfn.XLOOKUP(A1983,'Model Modeshare by TAZ'!A:A,'Model Modeshare by TAZ'!B:B)</f>
        <v>San Mateo</v>
      </c>
      <c r="C1983" s="90" t="str">
        <f>_xlfn.XLOOKUP(A1983,'Model Modeshare by TAZ'!A:A,'Model Modeshare by TAZ'!D:D)</f>
        <v>YES</v>
      </c>
      <c r="D1983" s="27">
        <v>7846.69</v>
      </c>
      <c r="E1983" s="27">
        <v>141808.15</v>
      </c>
      <c r="F1983" s="27">
        <v>4764.47</v>
      </c>
      <c r="G1983" s="27">
        <v>36058.39</v>
      </c>
      <c r="H1983" s="27">
        <v>2440.6999999999998</v>
      </c>
      <c r="I1983" s="27">
        <v>36526.65</v>
      </c>
      <c r="J1983" s="6">
        <v>3178</v>
      </c>
      <c r="K1983" s="6">
        <v>2098</v>
      </c>
      <c r="L1983" s="27">
        <v>11.346252359974827</v>
      </c>
      <c r="M1983" s="27">
        <v>17.410224022878932</v>
      </c>
      <c r="N1983" s="34">
        <v>33.566918119787715</v>
      </c>
    </row>
    <row r="1984" spans="1:14" x14ac:dyDescent="0.35">
      <c r="A1984" s="82">
        <v>1981</v>
      </c>
      <c r="B1984" s="89" t="str">
        <f>_xlfn.XLOOKUP(A1984,'Model Modeshare by TAZ'!A:A,'Model Modeshare by TAZ'!B:B)</f>
        <v>San Mateo</v>
      </c>
      <c r="C1984" s="90" t="str">
        <f>_xlfn.XLOOKUP(A1984,'Model Modeshare by TAZ'!A:A,'Model Modeshare by TAZ'!D:D)</f>
        <v>YES</v>
      </c>
      <c r="D1984" s="27">
        <v>5792.54</v>
      </c>
      <c r="E1984" s="27">
        <v>107628.37</v>
      </c>
      <c r="F1984" s="27">
        <v>3163.95</v>
      </c>
      <c r="G1984" s="27">
        <v>24734.38</v>
      </c>
      <c r="H1984" s="27">
        <v>1549.23</v>
      </c>
      <c r="I1984" s="27">
        <v>23693.439999999999</v>
      </c>
      <c r="J1984" s="6">
        <v>2008</v>
      </c>
      <c r="K1984" s="6">
        <v>1331</v>
      </c>
      <c r="L1984" s="27">
        <v>12.317918326693228</v>
      </c>
      <c r="M1984" s="27">
        <v>17.801232156273478</v>
      </c>
      <c r="N1984" s="34">
        <v>32.591626235399822</v>
      </c>
    </row>
    <row r="1985" spans="1:14" x14ac:dyDescent="0.35">
      <c r="A1985" s="82">
        <v>1982</v>
      </c>
      <c r="B1985" s="89" t="str">
        <f>_xlfn.XLOOKUP(A1985,'Model Modeshare by TAZ'!A:A,'Model Modeshare by TAZ'!B:B)</f>
        <v>San Mateo</v>
      </c>
      <c r="C1985" s="90" t="str">
        <f>_xlfn.XLOOKUP(A1985,'Model Modeshare by TAZ'!A:A,'Model Modeshare by TAZ'!D:D)</f>
        <v>YES</v>
      </c>
      <c r="D1985" s="27">
        <v>9794.5300000000007</v>
      </c>
      <c r="E1985" s="27">
        <v>204944.53</v>
      </c>
      <c r="F1985" s="27">
        <v>3843.76</v>
      </c>
      <c r="G1985" s="27">
        <v>31714.06</v>
      </c>
      <c r="H1985" s="27">
        <v>6048.07</v>
      </c>
      <c r="I1985" s="27">
        <v>93765.5</v>
      </c>
      <c r="J1985" s="6">
        <v>2419</v>
      </c>
      <c r="K1985" s="6">
        <v>4953</v>
      </c>
      <c r="L1985" s="27">
        <v>13.110400992145514</v>
      </c>
      <c r="M1985" s="27">
        <v>18.9310518877448</v>
      </c>
      <c r="N1985" s="34">
        <v>37.218113130765055</v>
      </c>
    </row>
    <row r="1986" spans="1:14" x14ac:dyDescent="0.35">
      <c r="A1986" s="82">
        <v>1983</v>
      </c>
      <c r="B1986" s="89" t="str">
        <f>_xlfn.XLOOKUP(A1986,'Model Modeshare by TAZ'!A:A,'Model Modeshare by TAZ'!B:B)</f>
        <v>San Mateo</v>
      </c>
      <c r="C1986" s="90" t="str">
        <f>_xlfn.XLOOKUP(A1986,'Model Modeshare by TAZ'!A:A,'Model Modeshare by TAZ'!D:D)</f>
        <v>YES</v>
      </c>
      <c r="D1986" s="27">
        <v>3764.11</v>
      </c>
      <c r="E1986" s="27">
        <v>47940.480000000003</v>
      </c>
      <c r="F1986" s="27">
        <v>3007.84</v>
      </c>
      <c r="G1986" s="27">
        <v>20639.61</v>
      </c>
      <c r="H1986" s="27">
        <v>331.07</v>
      </c>
      <c r="I1986" s="27">
        <v>4790.9399999999996</v>
      </c>
      <c r="J1986" s="6">
        <v>1907</v>
      </c>
      <c r="K1986" s="6">
        <v>172</v>
      </c>
      <c r="L1986" s="27">
        <v>10.823078133193498</v>
      </c>
      <c r="M1986" s="27">
        <v>27.854302325581394</v>
      </c>
      <c r="N1986" s="34">
        <v>22.424790764790764</v>
      </c>
    </row>
    <row r="1987" spans="1:14" x14ac:dyDescent="0.35">
      <c r="A1987" s="82">
        <v>1984</v>
      </c>
      <c r="B1987" s="89" t="str">
        <f>_xlfn.XLOOKUP(A1987,'Model Modeshare by TAZ'!A:A,'Model Modeshare by TAZ'!B:B)</f>
        <v>San Mateo</v>
      </c>
      <c r="C1987" s="90" t="str">
        <f>_xlfn.XLOOKUP(A1987,'Model Modeshare by TAZ'!A:A,'Model Modeshare by TAZ'!D:D)</f>
        <v>YES</v>
      </c>
      <c r="D1987" s="27">
        <v>12640.27</v>
      </c>
      <c r="E1987" s="27">
        <v>237392.56</v>
      </c>
      <c r="F1987" s="27">
        <v>5547.41</v>
      </c>
      <c r="G1987" s="27">
        <v>40518.230000000003</v>
      </c>
      <c r="H1987" s="27">
        <v>2266.13</v>
      </c>
      <c r="I1987" s="27">
        <v>32716.58</v>
      </c>
      <c r="J1987" s="6">
        <v>3831</v>
      </c>
      <c r="K1987" s="6">
        <v>2039</v>
      </c>
      <c r="L1987" s="27">
        <v>10.576410858783609</v>
      </c>
      <c r="M1987" s="27">
        <v>16.045404610102992</v>
      </c>
      <c r="N1987" s="34">
        <v>28.335192504258941</v>
      </c>
    </row>
    <row r="1988" spans="1:14" x14ac:dyDescent="0.35">
      <c r="A1988" s="82">
        <v>1985</v>
      </c>
      <c r="B1988" s="89" t="str">
        <f>_xlfn.XLOOKUP(A1988,'Model Modeshare by TAZ'!A:A,'Model Modeshare by TAZ'!B:B)</f>
        <v>San Mateo</v>
      </c>
      <c r="C1988" s="90" t="str">
        <f>_xlfn.XLOOKUP(A1988,'Model Modeshare by TAZ'!A:A,'Model Modeshare by TAZ'!D:D)</f>
        <v>YES</v>
      </c>
      <c r="D1988" s="27">
        <v>1821.21</v>
      </c>
      <c r="E1988" s="27">
        <v>18577.509999999998</v>
      </c>
      <c r="F1988" s="27">
        <v>1758.06</v>
      </c>
      <c r="G1988" s="27">
        <v>8735.39</v>
      </c>
      <c r="H1988" s="27">
        <v>318.08</v>
      </c>
      <c r="I1988" s="27">
        <v>4405.53</v>
      </c>
      <c r="J1988" s="6">
        <v>1171</v>
      </c>
      <c r="K1988" s="6">
        <v>161</v>
      </c>
      <c r="L1988" s="27">
        <v>7.4597694278394533</v>
      </c>
      <c r="M1988" s="27">
        <v>27.363540372670805</v>
      </c>
      <c r="N1988" s="34">
        <v>13.323813813813814</v>
      </c>
    </row>
    <row r="1989" spans="1:14" x14ac:dyDescent="0.35">
      <c r="A1989" s="82">
        <v>1986</v>
      </c>
      <c r="B1989" s="89" t="str">
        <f>_xlfn.XLOOKUP(A1989,'Model Modeshare by TAZ'!A:A,'Model Modeshare by TAZ'!B:B)</f>
        <v>Belmont</v>
      </c>
      <c r="C1989" s="90" t="str">
        <f>_xlfn.XLOOKUP(A1989,'Model Modeshare by TAZ'!A:A,'Model Modeshare by TAZ'!D:D)</f>
        <v>YES</v>
      </c>
      <c r="D1989" s="27">
        <v>5596.31</v>
      </c>
      <c r="E1989" s="27">
        <v>81087.149999999994</v>
      </c>
      <c r="F1989" s="27">
        <v>5098.51</v>
      </c>
      <c r="G1989" s="27">
        <v>37913.03</v>
      </c>
      <c r="H1989" s="27">
        <v>419.44</v>
      </c>
      <c r="I1989" s="27">
        <v>6146.18</v>
      </c>
      <c r="J1989" s="6">
        <v>3250</v>
      </c>
      <c r="K1989" s="6">
        <v>227</v>
      </c>
      <c r="L1989" s="27">
        <v>11.665547692307692</v>
      </c>
      <c r="M1989" s="27">
        <v>27.07568281938326</v>
      </c>
      <c r="N1989" s="34">
        <v>24.712372735116478</v>
      </c>
    </row>
    <row r="1990" spans="1:14" x14ac:dyDescent="0.35">
      <c r="A1990" s="82">
        <v>1987</v>
      </c>
      <c r="B1990" s="89" t="str">
        <f>_xlfn.XLOOKUP(A1990,'Model Modeshare by TAZ'!A:A,'Model Modeshare by TAZ'!B:B)</f>
        <v>Belmont</v>
      </c>
      <c r="C1990" s="90" t="str">
        <f>_xlfn.XLOOKUP(A1990,'Model Modeshare by TAZ'!A:A,'Model Modeshare by TAZ'!D:D)</f>
        <v>YES</v>
      </c>
      <c r="D1990" s="27">
        <v>7569.33</v>
      </c>
      <c r="E1990" s="27">
        <v>118212.61</v>
      </c>
      <c r="F1990" s="27">
        <v>4029.98</v>
      </c>
      <c r="G1990" s="27">
        <v>23398.54</v>
      </c>
      <c r="H1990" s="27">
        <v>1596.62</v>
      </c>
      <c r="I1990" s="27">
        <v>22120.29</v>
      </c>
      <c r="J1990" s="6">
        <v>2603</v>
      </c>
      <c r="K1990" s="6">
        <v>1407</v>
      </c>
      <c r="L1990" s="27">
        <v>8.9890664617748754</v>
      </c>
      <c r="M1990" s="27">
        <v>15.721599147121536</v>
      </c>
      <c r="N1990" s="34">
        <v>24.362009975062346</v>
      </c>
    </row>
    <row r="1991" spans="1:14" x14ac:dyDescent="0.35">
      <c r="A1991" s="82">
        <v>1988</v>
      </c>
      <c r="B1991" s="89" t="str">
        <f>_xlfn.XLOOKUP(A1991,'Model Modeshare by TAZ'!A:A,'Model Modeshare by TAZ'!B:B)</f>
        <v>Unincorporated</v>
      </c>
      <c r="C1991" s="90" t="str">
        <f>_xlfn.XLOOKUP(A1991,'Model Modeshare by TAZ'!A:A,'Model Modeshare by TAZ'!D:D)</f>
        <v>YES</v>
      </c>
      <c r="D1991" s="27">
        <v>2055.79</v>
      </c>
      <c r="E1991" s="27">
        <v>40020.720000000001</v>
      </c>
      <c r="F1991" s="27">
        <v>2082.7600000000002</v>
      </c>
      <c r="G1991" s="27">
        <v>20192.37</v>
      </c>
      <c r="H1991" s="27">
        <v>255.96</v>
      </c>
      <c r="I1991" s="27">
        <v>4119.74</v>
      </c>
      <c r="J1991" s="6">
        <v>1175</v>
      </c>
      <c r="K1991" s="6">
        <v>132</v>
      </c>
      <c r="L1991" s="27">
        <v>17.184995744680851</v>
      </c>
      <c r="M1991" s="27">
        <v>31.210151515151512</v>
      </c>
      <c r="N1991" s="34">
        <v>32.126595256312164</v>
      </c>
    </row>
    <row r="1992" spans="1:14" x14ac:dyDescent="0.35">
      <c r="A1992" s="82">
        <v>1989</v>
      </c>
      <c r="B1992" s="89" t="str">
        <f>_xlfn.XLOOKUP(A1992,'Model Modeshare by TAZ'!A:A,'Model Modeshare by TAZ'!B:B)</f>
        <v>Belmont</v>
      </c>
      <c r="C1992" s="90" t="str">
        <f>_xlfn.XLOOKUP(A1992,'Model Modeshare by TAZ'!A:A,'Model Modeshare by TAZ'!D:D)</f>
        <v>YES</v>
      </c>
      <c r="D1992" s="27">
        <v>6877.73</v>
      </c>
      <c r="E1992" s="27">
        <v>108089.45</v>
      </c>
      <c r="F1992" s="27">
        <v>6809.76</v>
      </c>
      <c r="G1992" s="27">
        <v>52732.83</v>
      </c>
      <c r="H1992" s="27">
        <v>789.9</v>
      </c>
      <c r="I1992" s="27">
        <v>11108.24</v>
      </c>
      <c r="J1992" s="6">
        <v>4055</v>
      </c>
      <c r="K1992" s="6">
        <v>442</v>
      </c>
      <c r="L1992" s="27">
        <v>13.004397040690506</v>
      </c>
      <c r="M1992" s="27">
        <v>25.131764705882354</v>
      </c>
      <c r="N1992" s="34">
        <v>24.584883255503669</v>
      </c>
    </row>
    <row r="1993" spans="1:14" x14ac:dyDescent="0.35">
      <c r="A1993" s="82">
        <v>1990</v>
      </c>
      <c r="B1993" s="89" t="str">
        <f>_xlfn.XLOOKUP(A1993,'Model Modeshare by TAZ'!A:A,'Model Modeshare by TAZ'!B:B)</f>
        <v>San Mateo</v>
      </c>
      <c r="C1993" s="90" t="str">
        <f>_xlfn.XLOOKUP(A1993,'Model Modeshare by TAZ'!A:A,'Model Modeshare by TAZ'!D:D)</f>
        <v>YES</v>
      </c>
      <c r="D1993" s="27">
        <v>5689.02</v>
      </c>
      <c r="E1993" s="27">
        <v>83036.05</v>
      </c>
      <c r="F1993" s="27">
        <v>5718.85</v>
      </c>
      <c r="G1993" s="27">
        <v>44079.199999999997</v>
      </c>
      <c r="H1993" s="27">
        <v>387.34</v>
      </c>
      <c r="I1993" s="27">
        <v>5509.7</v>
      </c>
      <c r="J1993" s="6">
        <v>3295</v>
      </c>
      <c r="K1993" s="6">
        <v>200</v>
      </c>
      <c r="L1993" s="27">
        <v>13.377602427921092</v>
      </c>
      <c r="M1993" s="27">
        <v>27.548500000000001</v>
      </c>
      <c r="N1993" s="34">
        <v>23.309030042918454</v>
      </c>
    </row>
    <row r="1994" spans="1:14" x14ac:dyDescent="0.35">
      <c r="A1994" s="82">
        <v>1991</v>
      </c>
      <c r="B1994" s="89" t="str">
        <f>_xlfn.XLOOKUP(A1994,'Model Modeshare by TAZ'!A:A,'Model Modeshare by TAZ'!B:B)</f>
        <v>Unincorporated</v>
      </c>
      <c r="C1994" s="90" t="str">
        <f>_xlfn.XLOOKUP(A1994,'Model Modeshare by TAZ'!A:A,'Model Modeshare by TAZ'!D:D)</f>
        <v>YES</v>
      </c>
      <c r="D1994" s="27">
        <v>6739.32</v>
      </c>
      <c r="E1994" s="27">
        <v>127957.62</v>
      </c>
      <c r="F1994" s="27">
        <v>5897.11</v>
      </c>
      <c r="G1994" s="27">
        <v>53544.29</v>
      </c>
      <c r="H1994" s="27">
        <v>1658.37</v>
      </c>
      <c r="I1994" s="27">
        <v>25411.93</v>
      </c>
      <c r="J1994" s="6">
        <v>3267</v>
      </c>
      <c r="K1994" s="6">
        <v>1040</v>
      </c>
      <c r="L1994" s="27">
        <v>16.389436792164066</v>
      </c>
      <c r="M1994" s="27">
        <v>24.434548076923079</v>
      </c>
      <c r="N1994" s="34">
        <v>33.819349895518926</v>
      </c>
    </row>
    <row r="1995" spans="1:14" x14ac:dyDescent="0.35">
      <c r="A1995" s="82">
        <v>1992</v>
      </c>
      <c r="B1995" s="89" t="str">
        <f>_xlfn.XLOOKUP(A1995,'Model Modeshare by TAZ'!A:A,'Model Modeshare by TAZ'!B:B)</f>
        <v>Unincorporated</v>
      </c>
      <c r="C1995" s="90" t="str">
        <f>_xlfn.XLOOKUP(A1995,'Model Modeshare by TAZ'!A:A,'Model Modeshare by TAZ'!D:D)</f>
        <v>YES</v>
      </c>
      <c r="D1995" s="27">
        <v>7086.73</v>
      </c>
      <c r="E1995" s="27">
        <v>163776.12</v>
      </c>
      <c r="F1995" s="27">
        <v>4210.34</v>
      </c>
      <c r="G1995" s="27">
        <v>44630.07</v>
      </c>
      <c r="H1995" s="27">
        <v>1343.59</v>
      </c>
      <c r="I1995" s="27">
        <v>21881.7</v>
      </c>
      <c r="J1995" s="6">
        <v>2311</v>
      </c>
      <c r="K1995" s="6">
        <v>1010</v>
      </c>
      <c r="L1995" s="27">
        <v>19.312016443098226</v>
      </c>
      <c r="M1995" s="27">
        <v>21.665049504950495</v>
      </c>
      <c r="N1995" s="34">
        <v>45.461842818428181</v>
      </c>
    </row>
    <row r="1996" spans="1:14" x14ac:dyDescent="0.35">
      <c r="A1996" s="82">
        <v>1993</v>
      </c>
      <c r="B1996" s="89" t="str">
        <f>_xlfn.XLOOKUP(A1996,'Model Modeshare by TAZ'!A:A,'Model Modeshare by TAZ'!B:B)</f>
        <v>Unincorporated</v>
      </c>
      <c r="C1996" s="90" t="str">
        <f>_xlfn.XLOOKUP(A1996,'Model Modeshare by TAZ'!A:A,'Model Modeshare by TAZ'!D:D)</f>
        <v>YES</v>
      </c>
      <c r="D1996" s="27">
        <v>4684.6099999999997</v>
      </c>
      <c r="E1996" s="27">
        <v>218870.19</v>
      </c>
      <c r="F1996" s="27">
        <v>5323.81</v>
      </c>
      <c r="G1996" s="27">
        <v>75636.86</v>
      </c>
      <c r="H1996" s="27">
        <v>406.46</v>
      </c>
      <c r="I1996" s="27">
        <v>7180.14</v>
      </c>
      <c r="J1996" s="6">
        <v>3156</v>
      </c>
      <c r="K1996" s="6">
        <v>238</v>
      </c>
      <c r="L1996" s="27">
        <v>23.96605196451204</v>
      </c>
      <c r="M1996" s="27">
        <v>30.168655462184876</v>
      </c>
      <c r="N1996" s="34">
        <v>37.675212139068947</v>
      </c>
    </row>
    <row r="1997" spans="1:14" x14ac:dyDescent="0.35">
      <c r="A1997" s="82">
        <v>1994</v>
      </c>
      <c r="B1997" s="89" t="str">
        <f>_xlfn.XLOOKUP(A1997,'Model Modeshare by TAZ'!A:A,'Model Modeshare by TAZ'!B:B)</f>
        <v>Unincorporated</v>
      </c>
      <c r="C1997" s="90" t="str">
        <f>_xlfn.XLOOKUP(A1997,'Model Modeshare by TAZ'!A:A,'Model Modeshare by TAZ'!D:D)</f>
        <v>YES</v>
      </c>
      <c r="D1997" s="27">
        <v>2468.34</v>
      </c>
      <c r="E1997" s="27">
        <v>103737.05</v>
      </c>
      <c r="F1997" s="27">
        <v>2910.01</v>
      </c>
      <c r="G1997" s="27">
        <v>41994.62</v>
      </c>
      <c r="H1997" s="27">
        <v>97.38</v>
      </c>
      <c r="I1997" s="27">
        <v>1993.9</v>
      </c>
      <c r="J1997" s="6">
        <v>1643</v>
      </c>
      <c r="K1997" s="6">
        <v>53</v>
      </c>
      <c r="L1997" s="27">
        <v>25.559720024345712</v>
      </c>
      <c r="M1997" s="27">
        <v>37.620754716981132</v>
      </c>
      <c r="N1997" s="34">
        <v>39.595318396226418</v>
      </c>
    </row>
    <row r="1998" spans="1:14" x14ac:dyDescent="0.35">
      <c r="A1998" s="82">
        <v>1995</v>
      </c>
      <c r="B1998" s="89" t="str">
        <f>_xlfn.XLOOKUP(A1998,'Model Modeshare by TAZ'!A:A,'Model Modeshare by TAZ'!B:B)</f>
        <v>Unincorporated</v>
      </c>
      <c r="C1998" s="90" t="str">
        <f>_xlfn.XLOOKUP(A1998,'Model Modeshare by TAZ'!A:A,'Model Modeshare by TAZ'!D:D)</f>
        <v>YES</v>
      </c>
      <c r="D1998" s="27">
        <v>376.66</v>
      </c>
      <c r="E1998" s="27">
        <v>11198.23</v>
      </c>
      <c r="F1998" s="27">
        <v>113.37</v>
      </c>
      <c r="G1998" s="27">
        <v>1548.09</v>
      </c>
      <c r="H1998" s="27">
        <v>96.82</v>
      </c>
      <c r="I1998" s="27">
        <v>1820.46</v>
      </c>
      <c r="J1998" s="6">
        <v>66</v>
      </c>
      <c r="K1998" s="6">
        <v>76</v>
      </c>
      <c r="L1998" s="27">
        <v>23.455909090909088</v>
      </c>
      <c r="M1998" s="27">
        <v>23.95342105263158</v>
      </c>
      <c r="N1998" s="34">
        <v>56.3043661971831</v>
      </c>
    </row>
    <row r="1999" spans="1:14" x14ac:dyDescent="0.35">
      <c r="A1999" s="82">
        <v>1996</v>
      </c>
      <c r="B1999" s="89" t="str">
        <f>_xlfn.XLOOKUP(A1999,'Model Modeshare by TAZ'!A:A,'Model Modeshare by TAZ'!B:B)</f>
        <v>Unincorporated</v>
      </c>
      <c r="C1999" s="90" t="str">
        <f>_xlfn.XLOOKUP(A1999,'Model Modeshare by TAZ'!A:A,'Model Modeshare by TAZ'!D:D)</f>
        <v>YES</v>
      </c>
      <c r="D1999" s="27">
        <v>12.32</v>
      </c>
      <c r="E1999" s="27">
        <v>331.21</v>
      </c>
      <c r="F1999" s="27">
        <v>12.33</v>
      </c>
      <c r="G1999" s="27">
        <v>180.74</v>
      </c>
      <c r="H1999" s="27">
        <v>0</v>
      </c>
      <c r="I1999" s="27">
        <v>0</v>
      </c>
      <c r="J1999" s="6">
        <v>17</v>
      </c>
      <c r="K1999" s="6">
        <v>0</v>
      </c>
      <c r="L1999" s="27">
        <v>10.631764705882354</v>
      </c>
      <c r="M1999" s="27">
        <v>0</v>
      </c>
      <c r="N1999" s="34">
        <v>18.16764705882353</v>
      </c>
    </row>
    <row r="2000" spans="1:14" x14ac:dyDescent="0.35">
      <c r="A2000" s="82">
        <v>1997</v>
      </c>
      <c r="B2000" s="89" t="str">
        <f>_xlfn.XLOOKUP(A2000,'Model Modeshare by TAZ'!A:A,'Model Modeshare by TAZ'!B:B)</f>
        <v>Unincorporated</v>
      </c>
      <c r="C2000" s="90" t="str">
        <f>_xlfn.XLOOKUP(A2000,'Model Modeshare by TAZ'!A:A,'Model Modeshare by TAZ'!D:D)</f>
        <v>YES</v>
      </c>
      <c r="D2000" s="27">
        <v>2268.56</v>
      </c>
      <c r="E2000" s="27">
        <v>183983.68</v>
      </c>
      <c r="F2000" s="27">
        <v>2313.92</v>
      </c>
      <c r="G2000" s="27">
        <v>47917.46</v>
      </c>
      <c r="H2000" s="27">
        <v>408.96</v>
      </c>
      <c r="I2000" s="27">
        <v>15240.7</v>
      </c>
      <c r="J2000" s="6">
        <v>1435</v>
      </c>
      <c r="K2000" s="6">
        <v>316</v>
      </c>
      <c r="L2000" s="27">
        <v>33.391958188153311</v>
      </c>
      <c r="M2000" s="27">
        <v>48.230063291139246</v>
      </c>
      <c r="N2000" s="34">
        <v>60.114688749286124</v>
      </c>
    </row>
    <row r="2001" spans="1:14" x14ac:dyDescent="0.35">
      <c r="A2001" s="82">
        <v>1998</v>
      </c>
      <c r="B2001" s="89" t="str">
        <f>_xlfn.XLOOKUP(A2001,'Model Modeshare by TAZ'!A:A,'Model Modeshare by TAZ'!B:B)</f>
        <v>Portola Valley</v>
      </c>
      <c r="C2001" s="90" t="str">
        <f>_xlfn.XLOOKUP(A2001,'Model Modeshare by TAZ'!A:A,'Model Modeshare by TAZ'!D:D)</f>
        <v>YES</v>
      </c>
      <c r="D2001" s="27">
        <v>5618.24</v>
      </c>
      <c r="E2001" s="27">
        <v>286054.48</v>
      </c>
      <c r="F2001" s="27">
        <v>4864.41</v>
      </c>
      <c r="G2001" s="27">
        <v>65497.98</v>
      </c>
      <c r="H2001" s="27">
        <v>1497.27</v>
      </c>
      <c r="I2001" s="27">
        <v>33954.85</v>
      </c>
      <c r="J2001" s="6">
        <v>2817</v>
      </c>
      <c r="K2001" s="6">
        <v>1183</v>
      </c>
      <c r="L2001" s="27">
        <v>23.250969116080938</v>
      </c>
      <c r="M2001" s="27">
        <v>28.702324598478445</v>
      </c>
      <c r="N2001" s="34">
        <v>47.153109999999998</v>
      </c>
    </row>
    <row r="2002" spans="1:14" x14ac:dyDescent="0.35">
      <c r="A2002" s="82">
        <v>1999</v>
      </c>
      <c r="B2002" s="89" t="str">
        <f>_xlfn.XLOOKUP(A2002,'Model Modeshare by TAZ'!A:A,'Model Modeshare by TAZ'!B:B)</f>
        <v>Unincorporated</v>
      </c>
      <c r="C2002" s="90" t="str">
        <f>_xlfn.XLOOKUP(A2002,'Model Modeshare by TAZ'!A:A,'Model Modeshare by TAZ'!D:D)</f>
        <v>YES</v>
      </c>
      <c r="D2002" s="27">
        <v>6974.11</v>
      </c>
      <c r="E2002" s="27">
        <v>204833.01</v>
      </c>
      <c r="F2002" s="27">
        <v>5721.29</v>
      </c>
      <c r="G2002" s="27">
        <v>75118.02</v>
      </c>
      <c r="H2002" s="27">
        <v>1596.64</v>
      </c>
      <c r="I2002" s="27">
        <v>30662.34</v>
      </c>
      <c r="J2002" s="6">
        <v>3142</v>
      </c>
      <c r="K2002" s="6">
        <v>1238</v>
      </c>
      <c r="L2002" s="27">
        <v>23.907708465945259</v>
      </c>
      <c r="M2002" s="27">
        <v>24.767641357027465</v>
      </c>
      <c r="N2002" s="34">
        <v>50.789164383561648</v>
      </c>
    </row>
    <row r="2003" spans="1:14" x14ac:dyDescent="0.35">
      <c r="A2003" s="82">
        <v>2000</v>
      </c>
      <c r="B2003" s="89" t="str">
        <f>_xlfn.XLOOKUP(A2003,'Model Modeshare by TAZ'!A:A,'Model Modeshare by TAZ'!B:B)</f>
        <v>Woodside</v>
      </c>
      <c r="C2003" s="90" t="str">
        <f>_xlfn.XLOOKUP(A2003,'Model Modeshare by TAZ'!A:A,'Model Modeshare by TAZ'!D:D)</f>
        <v>YES</v>
      </c>
      <c r="D2003" s="27">
        <v>3375.83</v>
      </c>
      <c r="E2003" s="27">
        <v>83434.44</v>
      </c>
      <c r="F2003" s="27">
        <v>2096.2399999999998</v>
      </c>
      <c r="G2003" s="27">
        <v>24127.91</v>
      </c>
      <c r="H2003" s="27">
        <v>557.29</v>
      </c>
      <c r="I2003" s="27">
        <v>9890.6200000000008</v>
      </c>
      <c r="J2003" s="6">
        <v>1125</v>
      </c>
      <c r="K2003" s="6">
        <v>388</v>
      </c>
      <c r="L2003" s="27">
        <v>21.447031111111112</v>
      </c>
      <c r="M2003" s="27">
        <v>25.491288659793817</v>
      </c>
      <c r="N2003" s="34">
        <v>52.692544613350961</v>
      </c>
    </row>
    <row r="2004" spans="1:14" x14ac:dyDescent="0.35">
      <c r="A2004" s="82">
        <v>2001</v>
      </c>
      <c r="B2004" s="89" t="str">
        <f>_xlfn.XLOOKUP(A2004,'Model Modeshare by TAZ'!A:A,'Model Modeshare by TAZ'!B:B)</f>
        <v>Redwood City</v>
      </c>
      <c r="C2004" s="90" t="str">
        <f>_xlfn.XLOOKUP(A2004,'Model Modeshare by TAZ'!A:A,'Model Modeshare by TAZ'!D:D)</f>
        <v>YES</v>
      </c>
      <c r="D2004" s="27">
        <v>5412.47</v>
      </c>
      <c r="E2004" s="27">
        <v>108862.51</v>
      </c>
      <c r="F2004" s="27">
        <v>4893.7</v>
      </c>
      <c r="G2004" s="27">
        <v>48841.78</v>
      </c>
      <c r="H2004" s="27">
        <v>628.89</v>
      </c>
      <c r="I2004" s="27">
        <v>10693.4</v>
      </c>
      <c r="J2004" s="6">
        <v>2837</v>
      </c>
      <c r="K2004" s="6">
        <v>337</v>
      </c>
      <c r="L2004" s="27">
        <v>17.215995770179767</v>
      </c>
      <c r="M2004" s="27">
        <v>31.731157270029673</v>
      </c>
      <c r="N2004" s="34">
        <v>32.159250157529932</v>
      </c>
    </row>
    <row r="2005" spans="1:14" x14ac:dyDescent="0.35">
      <c r="A2005" s="82">
        <v>2002</v>
      </c>
      <c r="B2005" s="89" t="str">
        <f>_xlfn.XLOOKUP(A2005,'Model Modeshare by TAZ'!A:A,'Model Modeshare by TAZ'!B:B)</f>
        <v>Unincorporated</v>
      </c>
      <c r="C2005" s="90" t="str">
        <f>_xlfn.XLOOKUP(A2005,'Model Modeshare by TAZ'!A:A,'Model Modeshare by TAZ'!D:D)</f>
        <v>YES</v>
      </c>
      <c r="D2005" s="27">
        <v>8139.55</v>
      </c>
      <c r="E2005" s="27">
        <v>198365.5</v>
      </c>
      <c r="F2005" s="27">
        <v>8267.74</v>
      </c>
      <c r="G2005" s="27">
        <v>93787.9</v>
      </c>
      <c r="H2005" s="27">
        <v>986.34</v>
      </c>
      <c r="I2005" s="27">
        <v>17863.82</v>
      </c>
      <c r="J2005" s="6">
        <v>4476</v>
      </c>
      <c r="K2005" s="6">
        <v>545</v>
      </c>
      <c r="L2005" s="27">
        <v>20.953507596067915</v>
      </c>
      <c r="M2005" s="27">
        <v>32.777651376146785</v>
      </c>
      <c r="N2005" s="34">
        <v>38.098597888866756</v>
      </c>
    </row>
    <row r="2006" spans="1:14" x14ac:dyDescent="0.35">
      <c r="A2006" s="82">
        <v>2003</v>
      </c>
      <c r="B2006" s="89" t="str">
        <f>_xlfn.XLOOKUP(A2006,'Model Modeshare by TAZ'!A:A,'Model Modeshare by TAZ'!B:B)</f>
        <v>Redwood City</v>
      </c>
      <c r="C2006" s="90" t="str">
        <f>_xlfn.XLOOKUP(A2006,'Model Modeshare by TAZ'!A:A,'Model Modeshare by TAZ'!D:D)</f>
        <v>YES</v>
      </c>
      <c r="D2006" s="27">
        <v>6175.59</v>
      </c>
      <c r="E2006" s="27">
        <v>116141.09</v>
      </c>
      <c r="F2006" s="27">
        <v>5471.95</v>
      </c>
      <c r="G2006" s="27">
        <v>46728.81</v>
      </c>
      <c r="H2006" s="27">
        <v>2517.7199999999998</v>
      </c>
      <c r="I2006" s="27">
        <v>37744.19</v>
      </c>
      <c r="J2006" s="6">
        <v>3290</v>
      </c>
      <c r="K2006" s="6">
        <v>2045</v>
      </c>
      <c r="L2006" s="27">
        <v>14.203285714285714</v>
      </c>
      <c r="M2006" s="27">
        <v>18.456816625916872</v>
      </c>
      <c r="N2006" s="34">
        <v>32.293610121836927</v>
      </c>
    </row>
    <row r="2007" spans="1:14" x14ac:dyDescent="0.35">
      <c r="A2007" s="82">
        <v>2004</v>
      </c>
      <c r="B2007" s="89" t="str">
        <f>_xlfn.XLOOKUP(A2007,'Model Modeshare by TAZ'!A:A,'Model Modeshare by TAZ'!B:B)</f>
        <v>Unincorporated</v>
      </c>
      <c r="C2007" s="90" t="str">
        <f>_xlfn.XLOOKUP(A2007,'Model Modeshare by TAZ'!A:A,'Model Modeshare by TAZ'!D:D)</f>
        <v>YES</v>
      </c>
      <c r="D2007" s="27">
        <v>3051.2</v>
      </c>
      <c r="E2007" s="27">
        <v>70568.03</v>
      </c>
      <c r="F2007" s="27">
        <v>3064.5</v>
      </c>
      <c r="G2007" s="27">
        <v>34181.370000000003</v>
      </c>
      <c r="H2007" s="27">
        <v>740.62</v>
      </c>
      <c r="I2007" s="27">
        <v>12505.3</v>
      </c>
      <c r="J2007" s="6">
        <v>1585</v>
      </c>
      <c r="K2007" s="6">
        <v>536</v>
      </c>
      <c r="L2007" s="27">
        <v>21.565533123028391</v>
      </c>
      <c r="M2007" s="27">
        <v>23.330783582089552</v>
      </c>
      <c r="N2007" s="34">
        <v>39.502663837812349</v>
      </c>
    </row>
    <row r="2008" spans="1:14" x14ac:dyDescent="0.35">
      <c r="A2008" s="82">
        <v>2005</v>
      </c>
      <c r="B2008" s="89" t="str">
        <f>_xlfn.XLOOKUP(A2008,'Model Modeshare by TAZ'!A:A,'Model Modeshare by TAZ'!B:B)</f>
        <v>San Carlos</v>
      </c>
      <c r="C2008" s="90" t="str">
        <f>_xlfn.XLOOKUP(A2008,'Model Modeshare by TAZ'!A:A,'Model Modeshare by TAZ'!D:D)</f>
        <v>YES</v>
      </c>
      <c r="D2008" s="27">
        <v>3287.31</v>
      </c>
      <c r="E2008" s="27">
        <v>63160.18</v>
      </c>
      <c r="F2008" s="27">
        <v>3000.67</v>
      </c>
      <c r="G2008" s="27">
        <v>27703.25</v>
      </c>
      <c r="H2008" s="27">
        <v>231.05</v>
      </c>
      <c r="I2008" s="27">
        <v>3655.73</v>
      </c>
      <c r="J2008" s="6">
        <v>1692</v>
      </c>
      <c r="K2008" s="6">
        <v>114</v>
      </c>
      <c r="L2008" s="27">
        <v>16.373079196217493</v>
      </c>
      <c r="M2008" s="27">
        <v>32.067807017543856</v>
      </c>
      <c r="N2008" s="34">
        <v>30.78238648947951</v>
      </c>
    </row>
    <row r="2009" spans="1:14" x14ac:dyDescent="0.35">
      <c r="A2009" s="82">
        <v>2006</v>
      </c>
      <c r="B2009" s="89" t="str">
        <f>_xlfn.XLOOKUP(A2009,'Model Modeshare by TAZ'!A:A,'Model Modeshare by TAZ'!B:B)</f>
        <v>San Carlos</v>
      </c>
      <c r="C2009" s="90" t="str">
        <f>_xlfn.XLOOKUP(A2009,'Model Modeshare by TAZ'!A:A,'Model Modeshare by TAZ'!D:D)</f>
        <v>YES</v>
      </c>
      <c r="D2009" s="27">
        <v>5260.71</v>
      </c>
      <c r="E2009" s="27">
        <v>100352.06</v>
      </c>
      <c r="F2009" s="27">
        <v>5466</v>
      </c>
      <c r="G2009" s="27">
        <v>52619.24</v>
      </c>
      <c r="H2009" s="27">
        <v>508.13</v>
      </c>
      <c r="I2009" s="27">
        <v>7893.91</v>
      </c>
      <c r="J2009" s="6">
        <v>2993</v>
      </c>
      <c r="K2009" s="6">
        <v>295</v>
      </c>
      <c r="L2009" s="27">
        <v>17.580768459739392</v>
      </c>
      <c r="M2009" s="27">
        <v>26.759016949152542</v>
      </c>
      <c r="N2009" s="34">
        <v>31.227776763990267</v>
      </c>
    </row>
    <row r="2010" spans="1:14" x14ac:dyDescent="0.35">
      <c r="A2010" s="82">
        <v>2007</v>
      </c>
      <c r="B2010" s="89" t="str">
        <f>_xlfn.XLOOKUP(A2010,'Model Modeshare by TAZ'!A:A,'Model Modeshare by TAZ'!B:B)</f>
        <v>San Carlos</v>
      </c>
      <c r="C2010" s="90" t="str">
        <f>_xlfn.XLOOKUP(A2010,'Model Modeshare by TAZ'!A:A,'Model Modeshare by TAZ'!D:D)</f>
        <v>YES</v>
      </c>
      <c r="D2010" s="27">
        <v>4008.17</v>
      </c>
      <c r="E2010" s="27">
        <v>43709.93</v>
      </c>
      <c r="F2010" s="27">
        <v>4115.57</v>
      </c>
      <c r="G2010" s="27">
        <v>24537.82</v>
      </c>
      <c r="H2010" s="27">
        <v>667.89</v>
      </c>
      <c r="I2010" s="27">
        <v>9190.16</v>
      </c>
      <c r="J2010" s="6">
        <v>2698</v>
      </c>
      <c r="K2010" s="6">
        <v>366</v>
      </c>
      <c r="L2010" s="27">
        <v>9.0948183839881391</v>
      </c>
      <c r="M2010" s="27">
        <v>25.109726775956283</v>
      </c>
      <c r="N2010" s="34">
        <v>17.939050261096607</v>
      </c>
    </row>
    <row r="2011" spans="1:14" x14ac:dyDescent="0.35">
      <c r="A2011" s="82">
        <v>2008</v>
      </c>
      <c r="B2011" s="89" t="str">
        <f>_xlfn.XLOOKUP(A2011,'Model Modeshare by TAZ'!A:A,'Model Modeshare by TAZ'!B:B)</f>
        <v>San Carlos</v>
      </c>
      <c r="C2011" s="90" t="str">
        <f>_xlfn.XLOOKUP(A2011,'Model Modeshare by TAZ'!A:A,'Model Modeshare by TAZ'!D:D)</f>
        <v>YES</v>
      </c>
      <c r="D2011" s="27">
        <v>6823.45</v>
      </c>
      <c r="E2011" s="27">
        <v>98995.68</v>
      </c>
      <c r="F2011" s="27">
        <v>5251.47</v>
      </c>
      <c r="G2011" s="27">
        <v>40318.81</v>
      </c>
      <c r="H2011" s="27">
        <v>320.69</v>
      </c>
      <c r="I2011" s="27">
        <v>4517.7700000000004</v>
      </c>
      <c r="J2011" s="6">
        <v>3188</v>
      </c>
      <c r="K2011" s="6">
        <v>160</v>
      </c>
      <c r="L2011" s="27">
        <v>12.647054579673776</v>
      </c>
      <c r="M2011" s="27">
        <v>28.236062500000003</v>
      </c>
      <c r="N2011" s="34">
        <v>22.590695937873356</v>
      </c>
    </row>
    <row r="2012" spans="1:14" x14ac:dyDescent="0.35">
      <c r="A2012" s="82">
        <v>2009</v>
      </c>
      <c r="B2012" s="89" t="str">
        <f>_xlfn.XLOOKUP(A2012,'Model Modeshare by TAZ'!A:A,'Model Modeshare by TAZ'!B:B)</f>
        <v>San Carlos</v>
      </c>
      <c r="C2012" s="90" t="str">
        <f>_xlfn.XLOOKUP(A2012,'Model Modeshare by TAZ'!A:A,'Model Modeshare by TAZ'!D:D)</f>
        <v>YES</v>
      </c>
      <c r="D2012" s="27">
        <v>15176.82</v>
      </c>
      <c r="E2012" s="27">
        <v>224821.98</v>
      </c>
      <c r="F2012" s="27">
        <v>5434.37</v>
      </c>
      <c r="G2012" s="27">
        <v>27937.67</v>
      </c>
      <c r="H2012" s="27">
        <v>2470.14</v>
      </c>
      <c r="I2012" s="27">
        <v>32530.83</v>
      </c>
      <c r="J2012" s="6">
        <v>3624</v>
      </c>
      <c r="K2012" s="6">
        <v>2183</v>
      </c>
      <c r="L2012" s="27">
        <v>7.7090700883002201</v>
      </c>
      <c r="M2012" s="27">
        <v>14.901891891891893</v>
      </c>
      <c r="N2012" s="34">
        <v>22.516287239538489</v>
      </c>
    </row>
    <row r="2013" spans="1:14" x14ac:dyDescent="0.35">
      <c r="A2013" s="82">
        <v>2010</v>
      </c>
      <c r="B2013" s="89" t="str">
        <f>_xlfn.XLOOKUP(A2013,'Model Modeshare by TAZ'!A:A,'Model Modeshare by TAZ'!B:B)</f>
        <v>San Carlos</v>
      </c>
      <c r="C2013" s="90" t="str">
        <f>_xlfn.XLOOKUP(A2013,'Model Modeshare by TAZ'!A:A,'Model Modeshare by TAZ'!D:D)</f>
        <v>YES</v>
      </c>
      <c r="D2013" s="27">
        <v>7699.28</v>
      </c>
      <c r="E2013" s="27">
        <v>182948.04</v>
      </c>
      <c r="F2013" s="27">
        <v>359.01</v>
      </c>
      <c r="G2013" s="27">
        <v>2907.73</v>
      </c>
      <c r="H2013" s="27">
        <v>5158.0200000000004</v>
      </c>
      <c r="I2013" s="27">
        <v>72753.279999999999</v>
      </c>
      <c r="J2013" s="6">
        <v>170</v>
      </c>
      <c r="K2013" s="6">
        <v>4380</v>
      </c>
      <c r="L2013" s="27">
        <v>17.104294117647058</v>
      </c>
      <c r="M2013" s="27">
        <v>16.610337899543378</v>
      </c>
      <c r="N2013" s="34">
        <v>38.784296703296704</v>
      </c>
    </row>
    <row r="2014" spans="1:14" x14ac:dyDescent="0.35">
      <c r="A2014" s="82">
        <v>2011</v>
      </c>
      <c r="B2014" s="89" t="str">
        <f>_xlfn.XLOOKUP(A2014,'Model Modeshare by TAZ'!A:A,'Model Modeshare by TAZ'!B:B)</f>
        <v>Redwood City</v>
      </c>
      <c r="C2014" s="90" t="str">
        <f>_xlfn.XLOOKUP(A2014,'Model Modeshare by TAZ'!A:A,'Model Modeshare by TAZ'!D:D)</f>
        <v>YES</v>
      </c>
      <c r="D2014" s="27">
        <v>3907.94</v>
      </c>
      <c r="E2014" s="27">
        <v>48043.1</v>
      </c>
      <c r="F2014" s="27">
        <v>3229.78</v>
      </c>
      <c r="G2014" s="27">
        <v>19486.66</v>
      </c>
      <c r="H2014" s="27">
        <v>491.9</v>
      </c>
      <c r="I2014" s="27">
        <v>7648.1</v>
      </c>
      <c r="J2014" s="6">
        <v>2002</v>
      </c>
      <c r="K2014" s="6">
        <v>255</v>
      </c>
      <c r="L2014" s="27">
        <v>9.7335964035964029</v>
      </c>
      <c r="M2014" s="27">
        <v>29.992549019607843</v>
      </c>
      <c r="N2014" s="34">
        <v>17.436681435533892</v>
      </c>
    </row>
    <row r="2015" spans="1:14" x14ac:dyDescent="0.35">
      <c r="A2015" s="82">
        <v>2012</v>
      </c>
      <c r="B2015" s="89" t="str">
        <f>_xlfn.XLOOKUP(A2015,'Model Modeshare by TAZ'!A:A,'Model Modeshare by TAZ'!B:B)</f>
        <v>Redwood City</v>
      </c>
      <c r="C2015" s="90" t="str">
        <f>_xlfn.XLOOKUP(A2015,'Model Modeshare by TAZ'!A:A,'Model Modeshare by TAZ'!D:D)</f>
        <v>YES</v>
      </c>
      <c r="D2015" s="27">
        <v>16088.25</v>
      </c>
      <c r="E2015" s="27">
        <v>311417.21999999997</v>
      </c>
      <c r="F2015" s="27">
        <v>12185.27</v>
      </c>
      <c r="G2015" s="27">
        <v>112631.47</v>
      </c>
      <c r="H2015" s="27">
        <v>708.08</v>
      </c>
      <c r="I2015" s="27">
        <v>11622.79</v>
      </c>
      <c r="J2015" s="6">
        <v>6653</v>
      </c>
      <c r="K2015" s="6">
        <v>380</v>
      </c>
      <c r="L2015" s="27">
        <v>16.92942582293702</v>
      </c>
      <c r="M2015" s="27">
        <v>30.586289473684214</v>
      </c>
      <c r="N2015" s="34">
        <v>29.973290203327171</v>
      </c>
    </row>
    <row r="2016" spans="1:14" x14ac:dyDescent="0.35">
      <c r="A2016" s="82">
        <v>2013</v>
      </c>
      <c r="B2016" s="89" t="str">
        <f>_xlfn.XLOOKUP(A2016,'Model Modeshare by TAZ'!A:A,'Model Modeshare by TAZ'!B:B)</f>
        <v>Redwood City</v>
      </c>
      <c r="C2016" s="90" t="str">
        <f>_xlfn.XLOOKUP(A2016,'Model Modeshare by TAZ'!A:A,'Model Modeshare by TAZ'!D:D)</f>
        <v>YES</v>
      </c>
      <c r="D2016" s="27">
        <v>1.6</v>
      </c>
      <c r="E2016" s="27">
        <v>40.86</v>
      </c>
      <c r="F2016" s="27">
        <v>210.8</v>
      </c>
      <c r="G2016" s="27">
        <v>3030.85</v>
      </c>
      <c r="H2016" s="27">
        <v>13.69</v>
      </c>
      <c r="I2016" s="27">
        <v>252.38</v>
      </c>
      <c r="J2016" s="6">
        <v>1</v>
      </c>
      <c r="K2016" s="6">
        <v>10</v>
      </c>
      <c r="L2016" s="27">
        <v>3030.85</v>
      </c>
      <c r="M2016" s="27">
        <v>25.238</v>
      </c>
      <c r="N2016" s="34">
        <v>306.68272727272728</v>
      </c>
    </row>
    <row r="2017" spans="1:14" x14ac:dyDescent="0.35">
      <c r="A2017" s="82">
        <v>2014</v>
      </c>
      <c r="B2017" s="89" t="str">
        <f>_xlfn.XLOOKUP(A2017,'Model Modeshare by TAZ'!A:A,'Model Modeshare by TAZ'!B:B)</f>
        <v>Redwood City</v>
      </c>
      <c r="C2017" s="90" t="str">
        <f>_xlfn.XLOOKUP(A2017,'Model Modeshare by TAZ'!A:A,'Model Modeshare by TAZ'!D:D)</f>
        <v>YES</v>
      </c>
      <c r="D2017" s="27">
        <v>7635.59</v>
      </c>
      <c r="E2017" s="27">
        <v>178000.35</v>
      </c>
      <c r="F2017" s="27">
        <v>2331.2800000000002</v>
      </c>
      <c r="G2017" s="27">
        <v>19557.34</v>
      </c>
      <c r="H2017" s="27">
        <v>4314.76</v>
      </c>
      <c r="I2017" s="27">
        <v>67809.039999999994</v>
      </c>
      <c r="J2017" s="6">
        <v>1771</v>
      </c>
      <c r="K2017" s="6">
        <v>3673</v>
      </c>
      <c r="L2017" s="27">
        <v>11.043105590062112</v>
      </c>
      <c r="M2017" s="27">
        <v>18.461486523277973</v>
      </c>
      <c r="N2017" s="34">
        <v>35.875890889052165</v>
      </c>
    </row>
    <row r="2018" spans="1:14" x14ac:dyDescent="0.35">
      <c r="A2018" s="82">
        <v>2015</v>
      </c>
      <c r="B2018" s="89" t="str">
        <f>_xlfn.XLOOKUP(A2018,'Model Modeshare by TAZ'!A:A,'Model Modeshare by TAZ'!B:B)</f>
        <v>Redwood City</v>
      </c>
      <c r="C2018" s="90" t="str">
        <f>_xlfn.XLOOKUP(A2018,'Model Modeshare by TAZ'!A:A,'Model Modeshare by TAZ'!D:D)</f>
        <v>YES</v>
      </c>
      <c r="D2018" s="27">
        <v>15505.73</v>
      </c>
      <c r="E2018" s="27">
        <v>370563.71</v>
      </c>
      <c r="F2018" s="27">
        <v>2259.86</v>
      </c>
      <c r="G2018" s="27">
        <v>18986.48</v>
      </c>
      <c r="H2018" s="27">
        <v>10331.459999999999</v>
      </c>
      <c r="I2018" s="27">
        <v>158653.21</v>
      </c>
      <c r="J2018" s="6">
        <v>1822</v>
      </c>
      <c r="K2018" s="6">
        <v>9287</v>
      </c>
      <c r="L2018" s="27">
        <v>10.420680570801316</v>
      </c>
      <c r="M2018" s="27">
        <v>17.083364918703563</v>
      </c>
      <c r="N2018" s="34">
        <v>40.184262309838864</v>
      </c>
    </row>
    <row r="2019" spans="1:14" x14ac:dyDescent="0.35">
      <c r="A2019" s="82">
        <v>2016</v>
      </c>
      <c r="B2019" s="89" t="str">
        <f>_xlfn.XLOOKUP(A2019,'Model Modeshare by TAZ'!A:A,'Model Modeshare by TAZ'!B:B)</f>
        <v>Redwood City</v>
      </c>
      <c r="C2019" s="90" t="str">
        <f>_xlfn.XLOOKUP(A2019,'Model Modeshare by TAZ'!A:A,'Model Modeshare by TAZ'!D:D)</f>
        <v>YES</v>
      </c>
      <c r="D2019" s="27">
        <v>4850.08</v>
      </c>
      <c r="E2019" s="27">
        <v>87127.03</v>
      </c>
      <c r="F2019" s="27">
        <v>4115.25</v>
      </c>
      <c r="G2019" s="27">
        <v>33080.230000000003</v>
      </c>
      <c r="H2019" s="27">
        <v>897.79</v>
      </c>
      <c r="I2019" s="27">
        <v>13180.56</v>
      </c>
      <c r="J2019" s="6">
        <v>2860</v>
      </c>
      <c r="K2019" s="6">
        <v>620</v>
      </c>
      <c r="L2019" s="27">
        <v>11.566513986013987</v>
      </c>
      <c r="M2019" s="27">
        <v>21.258967741935482</v>
      </c>
      <c r="N2019" s="34">
        <v>24.177715517241378</v>
      </c>
    </row>
    <row r="2020" spans="1:14" x14ac:dyDescent="0.35">
      <c r="A2020" s="82">
        <v>2017</v>
      </c>
      <c r="B2020" s="89" t="str">
        <f>_xlfn.XLOOKUP(A2020,'Model Modeshare by TAZ'!A:A,'Model Modeshare by TAZ'!B:B)</f>
        <v>Redwood City</v>
      </c>
      <c r="C2020" s="90" t="str">
        <f>_xlfn.XLOOKUP(A2020,'Model Modeshare by TAZ'!A:A,'Model Modeshare by TAZ'!D:D)</f>
        <v>YES</v>
      </c>
      <c r="D2020" s="27">
        <v>6889.45</v>
      </c>
      <c r="E2020" s="27">
        <v>103131.36</v>
      </c>
      <c r="F2020" s="27">
        <v>3821.34</v>
      </c>
      <c r="G2020" s="27">
        <v>25435.14</v>
      </c>
      <c r="H2020" s="27">
        <v>1275.3599999999999</v>
      </c>
      <c r="I2020" s="27">
        <v>17525.91</v>
      </c>
      <c r="J2020" s="6">
        <v>2575</v>
      </c>
      <c r="K2020" s="6">
        <v>1085</v>
      </c>
      <c r="L2020" s="27">
        <v>9.8777242718446594</v>
      </c>
      <c r="M2020" s="27">
        <v>16.152912442396314</v>
      </c>
      <c r="N2020" s="34">
        <v>21.344636612021855</v>
      </c>
    </row>
    <row r="2021" spans="1:14" x14ac:dyDescent="0.35">
      <c r="A2021" s="82">
        <v>2018</v>
      </c>
      <c r="B2021" s="89" t="str">
        <f>_xlfn.XLOOKUP(A2021,'Model Modeshare by TAZ'!A:A,'Model Modeshare by TAZ'!B:B)</f>
        <v>San Carlos</v>
      </c>
      <c r="C2021" s="90" t="str">
        <f>_xlfn.XLOOKUP(A2021,'Model Modeshare by TAZ'!A:A,'Model Modeshare by TAZ'!D:D)</f>
        <v>YES</v>
      </c>
      <c r="D2021" s="27">
        <v>5409.88</v>
      </c>
      <c r="E2021" s="27">
        <v>70700.03</v>
      </c>
      <c r="F2021" s="27">
        <v>5292.12</v>
      </c>
      <c r="G2021" s="27">
        <v>34921.11</v>
      </c>
      <c r="H2021" s="27">
        <v>1238.31</v>
      </c>
      <c r="I2021" s="27">
        <v>16987.45</v>
      </c>
      <c r="J2021" s="6">
        <v>3486</v>
      </c>
      <c r="K2021" s="6">
        <v>813</v>
      </c>
      <c r="L2021" s="27">
        <v>10.017530120481927</v>
      </c>
      <c r="M2021" s="27">
        <v>20.894772447724478</v>
      </c>
      <c r="N2021" s="34">
        <v>22.876843451965573</v>
      </c>
    </row>
    <row r="2022" spans="1:14" x14ac:dyDescent="0.35">
      <c r="A2022" s="82">
        <v>2019</v>
      </c>
      <c r="B2022" s="89" t="str">
        <f>_xlfn.XLOOKUP(A2022,'Model Modeshare by TAZ'!A:A,'Model Modeshare by TAZ'!B:B)</f>
        <v>Redwood City</v>
      </c>
      <c r="C2022" s="90" t="str">
        <f>_xlfn.XLOOKUP(A2022,'Model Modeshare by TAZ'!A:A,'Model Modeshare by TAZ'!D:D)</f>
        <v>YES</v>
      </c>
      <c r="D2022" s="27">
        <v>5419.13</v>
      </c>
      <c r="E2022" s="27">
        <v>81240.77</v>
      </c>
      <c r="F2022" s="27">
        <v>4766.24</v>
      </c>
      <c r="G2022" s="27">
        <v>34358.01</v>
      </c>
      <c r="H2022" s="27">
        <v>624.04</v>
      </c>
      <c r="I2022" s="27">
        <v>8557.5400000000009</v>
      </c>
      <c r="J2022" s="6">
        <v>2950</v>
      </c>
      <c r="K2022" s="6">
        <v>360</v>
      </c>
      <c r="L2022" s="27">
        <v>11.646783050847459</v>
      </c>
      <c r="M2022" s="27">
        <v>23.770944444444446</v>
      </c>
      <c r="N2022" s="34">
        <v>21.907882175226586</v>
      </c>
    </row>
    <row r="2023" spans="1:14" x14ac:dyDescent="0.35">
      <c r="A2023" s="82">
        <v>2020</v>
      </c>
      <c r="B2023" s="89" t="str">
        <f>_xlfn.XLOOKUP(A2023,'Model Modeshare by TAZ'!A:A,'Model Modeshare by TAZ'!B:B)</f>
        <v>Redwood City</v>
      </c>
      <c r="C2023" s="90" t="str">
        <f>_xlfn.XLOOKUP(A2023,'Model Modeshare by TAZ'!A:A,'Model Modeshare by TAZ'!D:D)</f>
        <v>YES</v>
      </c>
      <c r="D2023" s="27">
        <v>7538.43</v>
      </c>
      <c r="E2023" s="27">
        <v>109165.39</v>
      </c>
      <c r="F2023" s="27">
        <v>7518.01</v>
      </c>
      <c r="G2023" s="27">
        <v>52504.92</v>
      </c>
      <c r="H2023" s="27">
        <v>754.64</v>
      </c>
      <c r="I2023" s="27">
        <v>10845.26</v>
      </c>
      <c r="J2023" s="6">
        <v>4744</v>
      </c>
      <c r="K2023" s="6">
        <v>459</v>
      </c>
      <c r="L2023" s="27">
        <v>11.06764755480607</v>
      </c>
      <c r="M2023" s="27">
        <v>23.6280174291939</v>
      </c>
      <c r="N2023" s="34">
        <v>19.274382087257351</v>
      </c>
    </row>
    <row r="2024" spans="1:14" x14ac:dyDescent="0.35">
      <c r="A2024" s="82">
        <v>2021</v>
      </c>
      <c r="B2024" s="89" t="str">
        <f>_xlfn.XLOOKUP(A2024,'Model Modeshare by TAZ'!A:A,'Model Modeshare by TAZ'!B:B)</f>
        <v>Redwood City</v>
      </c>
      <c r="C2024" s="90" t="str">
        <f>_xlfn.XLOOKUP(A2024,'Model Modeshare by TAZ'!A:A,'Model Modeshare by TAZ'!D:D)</f>
        <v>YES</v>
      </c>
      <c r="D2024" s="27">
        <v>5276.21</v>
      </c>
      <c r="E2024" s="27">
        <v>91437.98</v>
      </c>
      <c r="F2024" s="27">
        <v>4746.46</v>
      </c>
      <c r="G2024" s="27">
        <v>37606.89</v>
      </c>
      <c r="H2024" s="27">
        <v>1179.04</v>
      </c>
      <c r="I2024" s="27">
        <v>17392.599999999999</v>
      </c>
      <c r="J2024" s="6">
        <v>3045</v>
      </c>
      <c r="K2024" s="6">
        <v>745</v>
      </c>
      <c r="L2024" s="27">
        <v>12.350374384236453</v>
      </c>
      <c r="M2024" s="27">
        <v>23.345771812080535</v>
      </c>
      <c r="N2024" s="34">
        <v>25.587377308707126</v>
      </c>
    </row>
    <row r="2025" spans="1:14" x14ac:dyDescent="0.35">
      <c r="A2025" s="82">
        <v>2022</v>
      </c>
      <c r="B2025" s="89" t="str">
        <f>_xlfn.XLOOKUP(A2025,'Model Modeshare by TAZ'!A:A,'Model Modeshare by TAZ'!B:B)</f>
        <v>Unincorporated</v>
      </c>
      <c r="C2025" s="90" t="str">
        <f>_xlfn.XLOOKUP(A2025,'Model Modeshare by TAZ'!A:A,'Model Modeshare by TAZ'!D:D)</f>
        <v>YES</v>
      </c>
      <c r="D2025" s="27">
        <v>16303.94</v>
      </c>
      <c r="E2025" s="27">
        <v>197350.08</v>
      </c>
      <c r="F2025" s="27">
        <v>7977.13</v>
      </c>
      <c r="G2025" s="27">
        <v>53230.31</v>
      </c>
      <c r="H2025" s="27">
        <v>2627.63</v>
      </c>
      <c r="I2025" s="27">
        <v>37855.47</v>
      </c>
      <c r="J2025" s="6">
        <v>4793</v>
      </c>
      <c r="K2025" s="6">
        <v>2148</v>
      </c>
      <c r="L2025" s="27">
        <v>11.105843939077822</v>
      </c>
      <c r="M2025" s="27">
        <v>17.623589385474862</v>
      </c>
      <c r="N2025" s="34">
        <v>22.19224319262354</v>
      </c>
    </row>
    <row r="2026" spans="1:14" x14ac:dyDescent="0.35">
      <c r="A2026" s="82">
        <v>2023</v>
      </c>
      <c r="B2026" s="89" t="str">
        <f>_xlfn.XLOOKUP(A2026,'Model Modeshare by TAZ'!A:A,'Model Modeshare by TAZ'!B:B)</f>
        <v>Redwood City</v>
      </c>
      <c r="C2026" s="90" t="str">
        <f>_xlfn.XLOOKUP(A2026,'Model Modeshare by TAZ'!A:A,'Model Modeshare by TAZ'!D:D)</f>
        <v>YES</v>
      </c>
      <c r="D2026" s="27">
        <v>9642.5300000000007</v>
      </c>
      <c r="E2026" s="27">
        <v>165994.96</v>
      </c>
      <c r="F2026" s="27">
        <v>8146.48</v>
      </c>
      <c r="G2026" s="27">
        <v>60999.85</v>
      </c>
      <c r="H2026" s="27">
        <v>2194.79</v>
      </c>
      <c r="I2026" s="27">
        <v>32461.27</v>
      </c>
      <c r="J2026" s="6">
        <v>5414</v>
      </c>
      <c r="K2026" s="6">
        <v>1632</v>
      </c>
      <c r="L2026" s="27">
        <v>11.267057628370891</v>
      </c>
      <c r="M2026" s="27">
        <v>19.890484068627451</v>
      </c>
      <c r="N2026" s="34">
        <v>26.719818336644906</v>
      </c>
    </row>
    <row r="2027" spans="1:14" x14ac:dyDescent="0.35">
      <c r="A2027" s="82">
        <v>2024</v>
      </c>
      <c r="B2027" s="89" t="str">
        <f>_xlfn.XLOOKUP(A2027,'Model Modeshare by TAZ'!A:A,'Model Modeshare by TAZ'!B:B)</f>
        <v>Redwood City</v>
      </c>
      <c r="C2027" s="90" t="str">
        <f>_xlfn.XLOOKUP(A2027,'Model Modeshare by TAZ'!A:A,'Model Modeshare by TAZ'!D:D)</f>
        <v>YES</v>
      </c>
      <c r="D2027" s="27">
        <v>9287.7199999999993</v>
      </c>
      <c r="E2027" s="27">
        <v>161023.6</v>
      </c>
      <c r="F2027" s="27">
        <v>6709.63</v>
      </c>
      <c r="G2027" s="27">
        <v>53250.43</v>
      </c>
      <c r="H2027" s="27">
        <v>1420.73</v>
      </c>
      <c r="I2027" s="27">
        <v>22125.81</v>
      </c>
      <c r="J2027" s="6">
        <v>4792</v>
      </c>
      <c r="K2027" s="6">
        <v>868</v>
      </c>
      <c r="L2027" s="27">
        <v>11.112360183639399</v>
      </c>
      <c r="M2027" s="27">
        <v>25.490564516129034</v>
      </c>
      <c r="N2027" s="34">
        <v>29.470908127208482</v>
      </c>
    </row>
    <row r="2028" spans="1:14" x14ac:dyDescent="0.35">
      <c r="A2028" s="82">
        <v>2025</v>
      </c>
      <c r="B2028" s="89" t="str">
        <f>_xlfn.XLOOKUP(A2028,'Model Modeshare by TAZ'!A:A,'Model Modeshare by TAZ'!B:B)</f>
        <v>Redwood City</v>
      </c>
      <c r="C2028" s="90" t="str">
        <f>_xlfn.XLOOKUP(A2028,'Model Modeshare by TAZ'!A:A,'Model Modeshare by TAZ'!D:D)</f>
        <v>YES</v>
      </c>
      <c r="D2028" s="27">
        <v>4583.41</v>
      </c>
      <c r="E2028" s="27">
        <v>52977.57</v>
      </c>
      <c r="F2028" s="27">
        <v>5181.5600000000004</v>
      </c>
      <c r="G2028" s="27">
        <v>31023.599999999999</v>
      </c>
      <c r="H2028" s="27">
        <v>489.86</v>
      </c>
      <c r="I2028" s="27">
        <v>6518.94</v>
      </c>
      <c r="J2028" s="6">
        <v>3654</v>
      </c>
      <c r="K2028" s="6">
        <v>315</v>
      </c>
      <c r="L2028" s="27">
        <v>8.4903119868637109</v>
      </c>
      <c r="M2028" s="27">
        <v>20.695047619047617</v>
      </c>
      <c r="N2028" s="34">
        <v>13.189569160997733</v>
      </c>
    </row>
    <row r="2029" spans="1:14" x14ac:dyDescent="0.35">
      <c r="A2029" s="82">
        <v>2026</v>
      </c>
      <c r="B2029" s="89" t="str">
        <f>_xlfn.XLOOKUP(A2029,'Model Modeshare by TAZ'!A:A,'Model Modeshare by TAZ'!B:B)</f>
        <v>Redwood City</v>
      </c>
      <c r="C2029" s="90" t="str">
        <f>_xlfn.XLOOKUP(A2029,'Model Modeshare by TAZ'!A:A,'Model Modeshare by TAZ'!D:D)</f>
        <v>YES</v>
      </c>
      <c r="D2029" s="27">
        <v>4205.49</v>
      </c>
      <c r="E2029" s="27">
        <v>77150.25</v>
      </c>
      <c r="F2029" s="27">
        <v>3816.62</v>
      </c>
      <c r="G2029" s="27">
        <v>30454.720000000001</v>
      </c>
      <c r="H2029" s="27">
        <v>1248.58</v>
      </c>
      <c r="I2029" s="27">
        <v>19528.849999999999</v>
      </c>
      <c r="J2029" s="6">
        <v>3111</v>
      </c>
      <c r="K2029" s="6">
        <v>1206</v>
      </c>
      <c r="L2029" s="27">
        <v>9.7893667630986823</v>
      </c>
      <c r="M2029" s="27">
        <v>16.193076285240462</v>
      </c>
      <c r="N2029" s="34">
        <v>25.734137132267779</v>
      </c>
    </row>
    <row r="2030" spans="1:14" x14ac:dyDescent="0.35">
      <c r="A2030" s="82">
        <v>2027</v>
      </c>
      <c r="B2030" s="89" t="str">
        <f>_xlfn.XLOOKUP(A2030,'Model Modeshare by TAZ'!A:A,'Model Modeshare by TAZ'!B:B)</f>
        <v>Unincorporated</v>
      </c>
      <c r="C2030" s="90" t="str">
        <f>_xlfn.XLOOKUP(A2030,'Model Modeshare by TAZ'!A:A,'Model Modeshare by TAZ'!D:D)</f>
        <v>YES</v>
      </c>
      <c r="D2030" s="27">
        <v>7836.16</v>
      </c>
      <c r="E2030" s="27">
        <v>97273.18</v>
      </c>
      <c r="F2030" s="27">
        <v>7340.86</v>
      </c>
      <c r="G2030" s="27">
        <v>40229.49</v>
      </c>
      <c r="H2030" s="27">
        <v>1849.92</v>
      </c>
      <c r="I2030" s="27">
        <v>25778.14</v>
      </c>
      <c r="J2030" s="6">
        <v>6248</v>
      </c>
      <c r="K2030" s="6">
        <v>1407</v>
      </c>
      <c r="L2030" s="27">
        <v>6.4387788092189497</v>
      </c>
      <c r="M2030" s="27">
        <v>18.32135039090263</v>
      </c>
      <c r="N2030" s="34">
        <v>13.258785107772697</v>
      </c>
    </row>
    <row r="2031" spans="1:14" x14ac:dyDescent="0.35">
      <c r="A2031" s="82">
        <v>2028</v>
      </c>
      <c r="B2031" s="89" t="str">
        <f>_xlfn.XLOOKUP(A2031,'Model Modeshare by TAZ'!A:A,'Model Modeshare by TAZ'!B:B)</f>
        <v>Unincorporated</v>
      </c>
      <c r="C2031" s="90" t="str">
        <f>_xlfn.XLOOKUP(A2031,'Model Modeshare by TAZ'!A:A,'Model Modeshare by TAZ'!D:D)</f>
        <v>YES</v>
      </c>
      <c r="D2031" s="27">
        <v>6055.7</v>
      </c>
      <c r="E2031" s="27">
        <v>82218.41</v>
      </c>
      <c r="F2031" s="27">
        <v>6220.42</v>
      </c>
      <c r="G2031" s="27">
        <v>37371.31</v>
      </c>
      <c r="H2031" s="27">
        <v>1614.18</v>
      </c>
      <c r="I2031" s="27">
        <v>22836.57</v>
      </c>
      <c r="J2031" s="6">
        <v>4241</v>
      </c>
      <c r="K2031" s="6">
        <v>1332</v>
      </c>
      <c r="L2031" s="27">
        <v>8.8119099269040309</v>
      </c>
      <c r="M2031" s="27">
        <v>17.144572072072073</v>
      </c>
      <c r="N2031" s="34">
        <v>18.102205275435132</v>
      </c>
    </row>
    <row r="2032" spans="1:14" x14ac:dyDescent="0.35">
      <c r="A2032" s="82">
        <v>2029</v>
      </c>
      <c r="B2032" s="89" t="str">
        <f>_xlfn.XLOOKUP(A2032,'Model Modeshare by TAZ'!A:A,'Model Modeshare by TAZ'!B:B)</f>
        <v>Unincorporated</v>
      </c>
      <c r="C2032" s="90" t="str">
        <f>_xlfn.XLOOKUP(A2032,'Model Modeshare by TAZ'!A:A,'Model Modeshare by TAZ'!D:D)</f>
        <v>YES</v>
      </c>
      <c r="D2032" s="27">
        <v>10797.43</v>
      </c>
      <c r="E2032" s="27">
        <v>201017.36</v>
      </c>
      <c r="F2032" s="27">
        <v>8185.74</v>
      </c>
      <c r="G2032" s="27">
        <v>60905.95</v>
      </c>
      <c r="H2032" s="27">
        <v>3977.98</v>
      </c>
      <c r="I2032" s="27">
        <v>59549.61</v>
      </c>
      <c r="J2032" s="6">
        <v>6135</v>
      </c>
      <c r="K2032" s="6">
        <v>3574</v>
      </c>
      <c r="L2032" s="27">
        <v>9.9276202118989403</v>
      </c>
      <c r="M2032" s="27">
        <v>16.661894236149973</v>
      </c>
      <c r="N2032" s="34">
        <v>24.22941291585127</v>
      </c>
    </row>
    <row r="2033" spans="1:14" x14ac:dyDescent="0.35">
      <c r="A2033" s="82">
        <v>2030</v>
      </c>
      <c r="B2033" s="89" t="str">
        <f>_xlfn.XLOOKUP(A2033,'Model Modeshare by TAZ'!A:A,'Model Modeshare by TAZ'!B:B)</f>
        <v>Redwood City</v>
      </c>
      <c r="C2033" s="90" t="str">
        <f>_xlfn.XLOOKUP(A2033,'Model Modeshare by TAZ'!A:A,'Model Modeshare by TAZ'!D:D)</f>
        <v>YES</v>
      </c>
      <c r="D2033" s="27">
        <v>8661.4500000000007</v>
      </c>
      <c r="E2033" s="27">
        <v>150308.03</v>
      </c>
      <c r="F2033" s="27">
        <v>8154.13</v>
      </c>
      <c r="G2033" s="27">
        <v>71928.460000000006</v>
      </c>
      <c r="H2033" s="27">
        <v>1389.43</v>
      </c>
      <c r="I2033" s="27">
        <v>21538.16</v>
      </c>
      <c r="J2033" s="6">
        <v>5701</v>
      </c>
      <c r="K2033" s="6">
        <v>817</v>
      </c>
      <c r="L2033" s="27">
        <v>12.61681459393089</v>
      </c>
      <c r="M2033" s="27">
        <v>26.362496940024478</v>
      </c>
      <c r="N2033" s="34">
        <v>22.431118441239644</v>
      </c>
    </row>
    <row r="2034" spans="1:14" x14ac:dyDescent="0.35">
      <c r="A2034" s="82">
        <v>2031</v>
      </c>
      <c r="B2034" s="89" t="str">
        <f>_xlfn.XLOOKUP(A2034,'Model Modeshare by TAZ'!A:A,'Model Modeshare by TAZ'!B:B)</f>
        <v>Menlo Park</v>
      </c>
      <c r="C2034" s="90" t="str">
        <f>_xlfn.XLOOKUP(A2034,'Model Modeshare by TAZ'!A:A,'Model Modeshare by TAZ'!D:D)</f>
        <v>YES</v>
      </c>
      <c r="D2034" s="27">
        <v>8540.49</v>
      </c>
      <c r="E2034" s="27">
        <v>256793.44</v>
      </c>
      <c r="F2034" s="27">
        <v>102.76</v>
      </c>
      <c r="G2034" s="27">
        <v>1083.03</v>
      </c>
      <c r="H2034" s="27">
        <v>12088.02</v>
      </c>
      <c r="I2034" s="27">
        <v>191686.63</v>
      </c>
      <c r="J2034" s="6">
        <v>79</v>
      </c>
      <c r="K2034" s="6">
        <v>9592</v>
      </c>
      <c r="L2034" s="27">
        <v>13.709240506329113</v>
      </c>
      <c r="M2034" s="27">
        <v>19.984010633861551</v>
      </c>
      <c r="N2034" s="34">
        <v>42.412956260986455</v>
      </c>
    </row>
    <row r="2035" spans="1:14" x14ac:dyDescent="0.35">
      <c r="A2035" s="82">
        <v>2032</v>
      </c>
      <c r="B2035" s="89" t="str">
        <f>_xlfn.XLOOKUP(A2035,'Model Modeshare by TAZ'!A:A,'Model Modeshare by TAZ'!B:B)</f>
        <v>Menlo Park</v>
      </c>
      <c r="C2035" s="90" t="str">
        <f>_xlfn.XLOOKUP(A2035,'Model Modeshare by TAZ'!A:A,'Model Modeshare by TAZ'!D:D)</f>
        <v>YES</v>
      </c>
      <c r="D2035" s="27">
        <v>2449.23</v>
      </c>
      <c r="E2035" s="27">
        <v>33314.57</v>
      </c>
      <c r="F2035" s="27">
        <v>3472.61</v>
      </c>
      <c r="G2035" s="27">
        <v>25193.35</v>
      </c>
      <c r="H2035" s="27">
        <v>2.2000000000000002</v>
      </c>
      <c r="I2035" s="27">
        <v>37.65</v>
      </c>
      <c r="J2035" s="6">
        <v>3078</v>
      </c>
      <c r="K2035" s="6">
        <v>1</v>
      </c>
      <c r="L2035" s="27">
        <v>8.1849740090968162</v>
      </c>
      <c r="M2035" s="27">
        <v>37.65</v>
      </c>
      <c r="N2035" s="34">
        <v>10.479681714842481</v>
      </c>
    </row>
    <row r="2036" spans="1:14" x14ac:dyDescent="0.35">
      <c r="A2036" s="82">
        <v>2033</v>
      </c>
      <c r="B2036" s="89" t="str">
        <f>_xlfn.XLOOKUP(A2036,'Model Modeshare by TAZ'!A:A,'Model Modeshare by TAZ'!B:B)</f>
        <v>East Palo Alto</v>
      </c>
      <c r="C2036" s="90" t="str">
        <f>_xlfn.XLOOKUP(A2036,'Model Modeshare by TAZ'!A:A,'Model Modeshare by TAZ'!D:D)</f>
        <v>YES</v>
      </c>
      <c r="D2036" s="27">
        <v>2277.38</v>
      </c>
      <c r="E2036" s="27">
        <v>36078.53</v>
      </c>
      <c r="F2036" s="27">
        <v>1708.21</v>
      </c>
      <c r="G2036" s="27">
        <v>12201.81</v>
      </c>
      <c r="H2036" s="27">
        <v>505.65</v>
      </c>
      <c r="I2036" s="27">
        <v>8230.2000000000007</v>
      </c>
      <c r="J2036" s="6">
        <v>1382</v>
      </c>
      <c r="K2036" s="6">
        <v>407</v>
      </c>
      <c r="L2036" s="27">
        <v>8.8290955137481912</v>
      </c>
      <c r="M2036" s="27">
        <v>20.221621621621622</v>
      </c>
      <c r="N2036" s="34">
        <v>17.038848518725544</v>
      </c>
    </row>
    <row r="2037" spans="1:14" x14ac:dyDescent="0.35">
      <c r="A2037" s="82">
        <v>2034</v>
      </c>
      <c r="B2037" s="89" t="str">
        <f>_xlfn.XLOOKUP(A2037,'Model Modeshare by TAZ'!A:A,'Model Modeshare by TAZ'!B:B)</f>
        <v>East Palo Alto</v>
      </c>
      <c r="C2037" s="90" t="str">
        <f>_xlfn.XLOOKUP(A2037,'Model Modeshare by TAZ'!A:A,'Model Modeshare by TAZ'!D:D)</f>
        <v>YES</v>
      </c>
      <c r="D2037" s="27">
        <v>4502.68</v>
      </c>
      <c r="E2037" s="27">
        <v>59375.31</v>
      </c>
      <c r="F2037" s="27">
        <v>4241.34</v>
      </c>
      <c r="G2037" s="27">
        <v>27916.42</v>
      </c>
      <c r="H2037" s="27">
        <v>710.62</v>
      </c>
      <c r="I2037" s="27">
        <v>10703.66</v>
      </c>
      <c r="J2037" s="6">
        <v>3477</v>
      </c>
      <c r="K2037" s="6">
        <v>454</v>
      </c>
      <c r="L2037" s="27">
        <v>8.0288812194420469</v>
      </c>
      <c r="M2037" s="27">
        <v>23.576343612334803</v>
      </c>
      <c r="N2037" s="34">
        <v>13.410376494530654</v>
      </c>
    </row>
    <row r="2038" spans="1:14" x14ac:dyDescent="0.35">
      <c r="A2038" s="82">
        <v>2035</v>
      </c>
      <c r="B2038" s="89" t="str">
        <f>_xlfn.XLOOKUP(A2038,'Model Modeshare by TAZ'!A:A,'Model Modeshare by TAZ'!B:B)</f>
        <v>East Palo Alto</v>
      </c>
      <c r="C2038" s="90" t="str">
        <f>_xlfn.XLOOKUP(A2038,'Model Modeshare by TAZ'!A:A,'Model Modeshare by TAZ'!D:D)</f>
        <v>YES</v>
      </c>
      <c r="D2038" s="27">
        <v>15958.47</v>
      </c>
      <c r="E2038" s="27">
        <v>324470.39</v>
      </c>
      <c r="F2038" s="27">
        <v>9601.33</v>
      </c>
      <c r="G2038" s="27">
        <v>81340.899999999994</v>
      </c>
      <c r="H2038" s="27">
        <v>909.19</v>
      </c>
      <c r="I2038" s="27">
        <v>14215.56</v>
      </c>
      <c r="J2038" s="6">
        <v>7157</v>
      </c>
      <c r="K2038" s="6">
        <v>549</v>
      </c>
      <c r="L2038" s="27">
        <v>11.365222858739694</v>
      </c>
      <c r="M2038" s="27">
        <v>25.893551912568306</v>
      </c>
      <c r="N2038" s="34">
        <v>25.91323384375811</v>
      </c>
    </row>
    <row r="2039" spans="1:14" x14ac:dyDescent="0.35">
      <c r="A2039" s="82">
        <v>2036</v>
      </c>
      <c r="B2039" s="89" t="str">
        <f>_xlfn.XLOOKUP(A2039,'Model Modeshare by TAZ'!A:A,'Model Modeshare by TAZ'!B:B)</f>
        <v>Menlo Park</v>
      </c>
      <c r="C2039" s="90" t="str">
        <f>_xlfn.XLOOKUP(A2039,'Model Modeshare by TAZ'!A:A,'Model Modeshare by TAZ'!D:D)</f>
        <v>YES</v>
      </c>
      <c r="D2039" s="27">
        <v>6172.65</v>
      </c>
      <c r="E2039" s="27">
        <v>90983.83</v>
      </c>
      <c r="F2039" s="27">
        <v>4957.41</v>
      </c>
      <c r="G2039" s="27">
        <v>32062.46</v>
      </c>
      <c r="H2039" s="27">
        <v>845</v>
      </c>
      <c r="I2039" s="27">
        <v>12072.58</v>
      </c>
      <c r="J2039" s="6">
        <v>3190</v>
      </c>
      <c r="K2039" s="6">
        <v>475</v>
      </c>
      <c r="L2039" s="27">
        <v>10.050927899686521</v>
      </c>
      <c r="M2039" s="27">
        <v>25.415957894736842</v>
      </c>
      <c r="N2039" s="34">
        <v>20.089833560709415</v>
      </c>
    </row>
    <row r="2040" spans="1:14" x14ac:dyDescent="0.35">
      <c r="A2040" s="82">
        <v>2037</v>
      </c>
      <c r="B2040" s="89" t="str">
        <f>_xlfn.XLOOKUP(A2040,'Model Modeshare by TAZ'!A:A,'Model Modeshare by TAZ'!B:B)</f>
        <v>Unincorporated</v>
      </c>
      <c r="C2040" s="90" t="str">
        <f>_xlfn.XLOOKUP(A2040,'Model Modeshare by TAZ'!A:A,'Model Modeshare by TAZ'!D:D)</f>
        <v>YES</v>
      </c>
      <c r="D2040" s="27">
        <v>1134.6500000000001</v>
      </c>
      <c r="E2040" s="27">
        <v>16290.99</v>
      </c>
      <c r="F2040" s="27">
        <v>1025.4100000000001</v>
      </c>
      <c r="G2040" s="27">
        <v>7212.67</v>
      </c>
      <c r="H2040" s="27">
        <v>273.04000000000002</v>
      </c>
      <c r="I2040" s="27">
        <v>4222.92</v>
      </c>
      <c r="J2040" s="6">
        <v>640</v>
      </c>
      <c r="K2040" s="6">
        <v>167</v>
      </c>
      <c r="L2040" s="27">
        <v>11.269796875000001</v>
      </c>
      <c r="M2040" s="27">
        <v>25.286946107784431</v>
      </c>
      <c r="N2040" s="34">
        <v>23.344052044609668</v>
      </c>
    </row>
    <row r="2041" spans="1:14" x14ac:dyDescent="0.35">
      <c r="A2041" s="82">
        <v>2038</v>
      </c>
      <c r="B2041" s="89" t="str">
        <f>_xlfn.XLOOKUP(A2041,'Model Modeshare by TAZ'!A:A,'Model Modeshare by TAZ'!B:B)</f>
        <v>Menlo Park</v>
      </c>
      <c r="C2041" s="90" t="str">
        <f>_xlfn.XLOOKUP(A2041,'Model Modeshare by TAZ'!A:A,'Model Modeshare by TAZ'!D:D)</f>
        <v>YES</v>
      </c>
      <c r="D2041" s="27">
        <v>2712.13</v>
      </c>
      <c r="E2041" s="27">
        <v>51170.35</v>
      </c>
      <c r="F2041" s="27">
        <v>2343.63</v>
      </c>
      <c r="G2041" s="27">
        <v>19976.650000000001</v>
      </c>
      <c r="H2041" s="27">
        <v>192.95</v>
      </c>
      <c r="I2041" s="27">
        <v>3132.25</v>
      </c>
      <c r="J2041" s="6">
        <v>1404</v>
      </c>
      <c r="K2041" s="6">
        <v>113</v>
      </c>
      <c r="L2041" s="27">
        <v>14.228383190883191</v>
      </c>
      <c r="M2041" s="27">
        <v>27.719026548672566</v>
      </c>
      <c r="N2041" s="34">
        <v>27.684291364535266</v>
      </c>
    </row>
    <row r="2042" spans="1:14" x14ac:dyDescent="0.35">
      <c r="A2042" s="82">
        <v>2039</v>
      </c>
      <c r="B2042" s="89" t="str">
        <f>_xlfn.XLOOKUP(A2042,'Model Modeshare by TAZ'!A:A,'Model Modeshare by TAZ'!B:B)</f>
        <v>Atherton</v>
      </c>
      <c r="C2042" s="90" t="str">
        <f>_xlfn.XLOOKUP(A2042,'Model Modeshare by TAZ'!A:A,'Model Modeshare by TAZ'!D:D)</f>
        <v>YES</v>
      </c>
      <c r="D2042" s="27">
        <v>4171.16</v>
      </c>
      <c r="E2042" s="27">
        <v>59250.37</v>
      </c>
      <c r="F2042" s="27">
        <v>2720.27</v>
      </c>
      <c r="G2042" s="27">
        <v>19589.740000000002</v>
      </c>
      <c r="H2042" s="27">
        <v>818.58</v>
      </c>
      <c r="I2042" s="27">
        <v>11996.02</v>
      </c>
      <c r="J2042" s="6">
        <v>1574</v>
      </c>
      <c r="K2042" s="6">
        <v>597</v>
      </c>
      <c r="L2042" s="27">
        <v>12.445832274459976</v>
      </c>
      <c r="M2042" s="27">
        <v>20.093835845896148</v>
      </c>
      <c r="N2042" s="34">
        <v>30.460373099953937</v>
      </c>
    </row>
    <row r="2043" spans="1:14" x14ac:dyDescent="0.35">
      <c r="A2043" s="82">
        <v>2040</v>
      </c>
      <c r="B2043" s="89" t="str">
        <f>_xlfn.XLOOKUP(A2043,'Model Modeshare by TAZ'!A:A,'Model Modeshare by TAZ'!B:B)</f>
        <v>Menlo Park</v>
      </c>
      <c r="C2043" s="90" t="str">
        <f>_xlfn.XLOOKUP(A2043,'Model Modeshare by TAZ'!A:A,'Model Modeshare by TAZ'!D:D)</f>
        <v>YES</v>
      </c>
      <c r="D2043" s="27">
        <v>13430.3</v>
      </c>
      <c r="E2043" s="27">
        <v>247582.5</v>
      </c>
      <c r="F2043" s="27">
        <v>2570.77</v>
      </c>
      <c r="G2043" s="27">
        <v>13423.38</v>
      </c>
      <c r="H2043" s="27">
        <v>3376.32</v>
      </c>
      <c r="I2043" s="27">
        <v>47199.94</v>
      </c>
      <c r="J2043" s="6">
        <v>1762</v>
      </c>
      <c r="K2043" s="6">
        <v>2824</v>
      </c>
      <c r="L2043" s="27">
        <v>7.6182633371169119</v>
      </c>
      <c r="M2043" s="27">
        <v>16.713859773371105</v>
      </c>
      <c r="N2043" s="34">
        <v>25.883606628870474</v>
      </c>
    </row>
    <row r="2044" spans="1:14" x14ac:dyDescent="0.35">
      <c r="A2044" s="82">
        <v>2041</v>
      </c>
      <c r="B2044" s="89" t="str">
        <f>_xlfn.XLOOKUP(A2044,'Model Modeshare by TAZ'!A:A,'Model Modeshare by TAZ'!B:B)</f>
        <v>Menlo Park</v>
      </c>
      <c r="C2044" s="90" t="str">
        <f>_xlfn.XLOOKUP(A2044,'Model Modeshare by TAZ'!A:A,'Model Modeshare by TAZ'!D:D)</f>
        <v>YES</v>
      </c>
      <c r="D2044" s="27">
        <v>14344.13</v>
      </c>
      <c r="E2044" s="27">
        <v>267988.78999999998</v>
      </c>
      <c r="F2044" s="27">
        <v>5283.58</v>
      </c>
      <c r="G2044" s="27">
        <v>34685.949999999997</v>
      </c>
      <c r="H2044" s="27">
        <v>4641.57</v>
      </c>
      <c r="I2044" s="27">
        <v>68314.320000000007</v>
      </c>
      <c r="J2044" s="6">
        <v>3318</v>
      </c>
      <c r="K2044" s="6">
        <v>4174</v>
      </c>
      <c r="L2044" s="27">
        <v>10.453872814948763</v>
      </c>
      <c r="M2044" s="27">
        <v>16.366631528509824</v>
      </c>
      <c r="N2044" s="34">
        <v>33.126256006406834</v>
      </c>
    </row>
    <row r="2045" spans="1:14" x14ac:dyDescent="0.35">
      <c r="A2045" s="82">
        <v>2042</v>
      </c>
      <c r="B2045" s="89" t="str">
        <f>_xlfn.XLOOKUP(A2045,'Model Modeshare by TAZ'!A:A,'Model Modeshare by TAZ'!B:B)</f>
        <v>Atherton</v>
      </c>
      <c r="C2045" s="90" t="str">
        <f>_xlfn.XLOOKUP(A2045,'Model Modeshare by TAZ'!A:A,'Model Modeshare by TAZ'!D:D)</f>
        <v>YES</v>
      </c>
      <c r="D2045" s="27">
        <v>1085.3699999999999</v>
      </c>
      <c r="E2045" s="27">
        <v>15288.74</v>
      </c>
      <c r="F2045" s="27">
        <v>1197.27</v>
      </c>
      <c r="G2045" s="27">
        <v>9129.14</v>
      </c>
      <c r="H2045" s="27">
        <v>4.05</v>
      </c>
      <c r="I2045" s="27">
        <v>57.81</v>
      </c>
      <c r="J2045" s="6">
        <v>720</v>
      </c>
      <c r="K2045" s="6">
        <v>2</v>
      </c>
      <c r="L2045" s="27">
        <v>12.67936111111111</v>
      </c>
      <c r="M2045" s="27">
        <v>28.905000000000001</v>
      </c>
      <c r="N2045" s="34">
        <v>20.63292243767313</v>
      </c>
    </row>
    <row r="2046" spans="1:14" x14ac:dyDescent="0.35">
      <c r="A2046" s="82">
        <v>2043</v>
      </c>
      <c r="B2046" s="89" t="str">
        <f>_xlfn.XLOOKUP(A2046,'Model Modeshare by TAZ'!A:A,'Model Modeshare by TAZ'!B:B)</f>
        <v>Menlo Park</v>
      </c>
      <c r="C2046" s="90" t="str">
        <f>_xlfn.XLOOKUP(A2046,'Model Modeshare by TAZ'!A:A,'Model Modeshare by TAZ'!D:D)</f>
        <v>YES</v>
      </c>
      <c r="D2046" s="27">
        <v>3637.73</v>
      </c>
      <c r="E2046" s="27">
        <v>42281.98</v>
      </c>
      <c r="F2046" s="27">
        <v>3480.71</v>
      </c>
      <c r="G2046" s="27">
        <v>18978.060000000001</v>
      </c>
      <c r="H2046" s="27">
        <v>528.51</v>
      </c>
      <c r="I2046" s="27">
        <v>7377.42</v>
      </c>
      <c r="J2046" s="6">
        <v>2242</v>
      </c>
      <c r="K2046" s="6">
        <v>297</v>
      </c>
      <c r="L2046" s="27">
        <v>8.4647903657448715</v>
      </c>
      <c r="M2046" s="27">
        <v>24.839797979797979</v>
      </c>
      <c r="N2046" s="34">
        <v>15.798184324537218</v>
      </c>
    </row>
    <row r="2047" spans="1:14" x14ac:dyDescent="0.35">
      <c r="A2047" s="82">
        <v>2044</v>
      </c>
      <c r="B2047" s="89" t="str">
        <f>_xlfn.XLOOKUP(A2047,'Model Modeshare by TAZ'!A:A,'Model Modeshare by TAZ'!B:B)</f>
        <v>Menlo Park</v>
      </c>
      <c r="C2047" s="90" t="str">
        <f>_xlfn.XLOOKUP(A2047,'Model Modeshare by TAZ'!A:A,'Model Modeshare by TAZ'!D:D)</f>
        <v>YES</v>
      </c>
      <c r="D2047" s="27">
        <v>5027.6499999999996</v>
      </c>
      <c r="E2047" s="27">
        <v>62287.76</v>
      </c>
      <c r="F2047" s="27">
        <v>5271.65</v>
      </c>
      <c r="G2047" s="27">
        <v>33620.300000000003</v>
      </c>
      <c r="H2047" s="27">
        <v>598.89</v>
      </c>
      <c r="I2047" s="27">
        <v>9013.31</v>
      </c>
      <c r="J2047" s="6">
        <v>3348</v>
      </c>
      <c r="K2047" s="6">
        <v>312</v>
      </c>
      <c r="L2047" s="27">
        <v>10.041905615292713</v>
      </c>
      <c r="M2047" s="27">
        <v>28.888814102564101</v>
      </c>
      <c r="N2047" s="34">
        <v>18.413846994535518</v>
      </c>
    </row>
    <row r="2048" spans="1:14" x14ac:dyDescent="0.35">
      <c r="A2048" s="82">
        <v>2045</v>
      </c>
      <c r="B2048" s="89" t="str">
        <f>_xlfn.XLOOKUP(A2048,'Model Modeshare by TAZ'!A:A,'Model Modeshare by TAZ'!B:B)</f>
        <v>Unincorporated</v>
      </c>
      <c r="C2048" s="90" t="str">
        <f>_xlfn.XLOOKUP(A2048,'Model Modeshare by TAZ'!A:A,'Model Modeshare by TAZ'!D:D)</f>
        <v>YES</v>
      </c>
      <c r="D2048" s="27">
        <v>8493.0400000000009</v>
      </c>
      <c r="E2048" s="27">
        <v>139357.31</v>
      </c>
      <c r="F2048" s="27">
        <v>7094.01</v>
      </c>
      <c r="G2048" s="27">
        <v>52928.32</v>
      </c>
      <c r="H2048" s="27">
        <v>1143.33</v>
      </c>
      <c r="I2048" s="27">
        <v>17306.5</v>
      </c>
      <c r="J2048" s="6">
        <v>4403</v>
      </c>
      <c r="K2048" s="6">
        <v>707</v>
      </c>
      <c r="L2048" s="27">
        <v>12.020967522143993</v>
      </c>
      <c r="M2048" s="27">
        <v>24.47878359264498</v>
      </c>
      <c r="N2048" s="34">
        <v>25.520313111545988</v>
      </c>
    </row>
    <row r="2049" spans="1:14" x14ac:dyDescent="0.35">
      <c r="A2049" s="82">
        <v>2046</v>
      </c>
      <c r="B2049" s="89" t="str">
        <f>_xlfn.XLOOKUP(A2049,'Model Modeshare by TAZ'!A:A,'Model Modeshare by TAZ'!B:B)</f>
        <v>Unincorporated</v>
      </c>
      <c r="C2049" s="90" t="str">
        <f>_xlfn.XLOOKUP(A2049,'Model Modeshare by TAZ'!A:A,'Model Modeshare by TAZ'!D:D)</f>
        <v>YES</v>
      </c>
      <c r="D2049" s="27">
        <v>2654.6</v>
      </c>
      <c r="E2049" s="27">
        <v>61009.86</v>
      </c>
      <c r="F2049" s="27">
        <v>834.64</v>
      </c>
      <c r="G2049" s="27">
        <v>6965.78</v>
      </c>
      <c r="H2049" s="27">
        <v>875.09</v>
      </c>
      <c r="I2049" s="27">
        <v>14339.51</v>
      </c>
      <c r="J2049" s="6">
        <v>533</v>
      </c>
      <c r="K2049" s="6">
        <v>644</v>
      </c>
      <c r="L2049" s="27">
        <v>13.069005628517823</v>
      </c>
      <c r="M2049" s="27">
        <v>22.266319875776396</v>
      </c>
      <c r="N2049" s="34">
        <v>42.987774001699236</v>
      </c>
    </row>
    <row r="2050" spans="1:14" x14ac:dyDescent="0.35">
      <c r="A2050" s="82">
        <v>2047</v>
      </c>
      <c r="B2050" s="89" t="str">
        <f>_xlfn.XLOOKUP(A2050,'Model Modeshare by TAZ'!A:A,'Model Modeshare by TAZ'!B:B)</f>
        <v>Unincorporated</v>
      </c>
      <c r="C2050" s="90" t="str">
        <f>_xlfn.XLOOKUP(A2050,'Model Modeshare by TAZ'!A:A,'Model Modeshare by TAZ'!D:D)</f>
        <v>NO</v>
      </c>
      <c r="D2050" s="27">
        <v>38371.57</v>
      </c>
      <c r="E2050" s="27">
        <v>1207632.2</v>
      </c>
      <c r="F2050" s="27">
        <v>12671.53</v>
      </c>
      <c r="G2050" s="27">
        <v>162472.69</v>
      </c>
      <c r="H2050" s="27">
        <v>26731.24</v>
      </c>
      <c r="I2050" s="27">
        <v>566637.59</v>
      </c>
      <c r="J2050" s="6">
        <v>8485</v>
      </c>
      <c r="K2050" s="6">
        <v>19994</v>
      </c>
      <c r="L2050" s="27">
        <v>19.14822510312316</v>
      </c>
      <c r="M2050" s="27">
        <v>28.340381614484343</v>
      </c>
      <c r="N2050" s="34">
        <v>39.472721654552473</v>
      </c>
    </row>
    <row r="2051" spans="1:14" x14ac:dyDescent="0.35">
      <c r="A2051" s="82">
        <v>2048</v>
      </c>
      <c r="B2051" s="89" t="str">
        <f>_xlfn.XLOOKUP(A2051,'Model Modeshare by TAZ'!A:A,'Model Modeshare by TAZ'!B:B)</f>
        <v>Livermore</v>
      </c>
      <c r="C2051" s="90" t="str">
        <f>_xlfn.XLOOKUP(A2051,'Model Modeshare by TAZ'!A:A,'Model Modeshare by TAZ'!D:D)</f>
        <v>NO</v>
      </c>
      <c r="D2051" s="27">
        <v>9453.39</v>
      </c>
      <c r="E2051" s="27">
        <v>199152.52</v>
      </c>
      <c r="F2051" s="27">
        <v>6579.18</v>
      </c>
      <c r="G2051" s="27">
        <v>70440.19</v>
      </c>
      <c r="H2051" s="27">
        <v>2870.33</v>
      </c>
      <c r="I2051" s="27">
        <v>50569.88</v>
      </c>
      <c r="J2051" s="6">
        <v>4724</v>
      </c>
      <c r="K2051" s="6">
        <v>2527</v>
      </c>
      <c r="L2051" s="27">
        <v>14.911132514817952</v>
      </c>
      <c r="M2051" s="27">
        <v>20.01182429758607</v>
      </c>
      <c r="N2051" s="34">
        <v>26.794887601710112</v>
      </c>
    </row>
    <row r="2052" spans="1:14" x14ac:dyDescent="0.35">
      <c r="A2052" s="82">
        <v>2049</v>
      </c>
      <c r="B2052" s="89" t="str">
        <f>_xlfn.XLOOKUP(A2052,'Model Modeshare by TAZ'!A:A,'Model Modeshare by TAZ'!B:B)</f>
        <v>Livermore</v>
      </c>
      <c r="C2052" s="90" t="str">
        <f>_xlfn.XLOOKUP(A2052,'Model Modeshare by TAZ'!A:A,'Model Modeshare by TAZ'!D:D)</f>
        <v>NO</v>
      </c>
      <c r="D2052" s="27">
        <v>11072.53</v>
      </c>
      <c r="E2052" s="27">
        <v>212849.25</v>
      </c>
      <c r="F2052" s="27">
        <v>7912.37</v>
      </c>
      <c r="G2052" s="27">
        <v>83363.149999999994</v>
      </c>
      <c r="H2052" s="27">
        <v>2729.35</v>
      </c>
      <c r="I2052" s="27">
        <v>47688.94</v>
      </c>
      <c r="J2052" s="6">
        <v>5735</v>
      </c>
      <c r="K2052" s="6">
        <v>2218</v>
      </c>
      <c r="L2052" s="27">
        <v>14.535858761987793</v>
      </c>
      <c r="M2052" s="27">
        <v>21.50087466185753</v>
      </c>
      <c r="N2052" s="34">
        <v>25.304569344901292</v>
      </c>
    </row>
    <row r="2053" spans="1:14" x14ac:dyDescent="0.35">
      <c r="A2053" s="82">
        <v>2050</v>
      </c>
      <c r="B2053" s="89" t="str">
        <f>_xlfn.XLOOKUP(A2053,'Model Modeshare by TAZ'!A:A,'Model Modeshare by TAZ'!B:B)</f>
        <v>Livermore</v>
      </c>
      <c r="C2053" s="90" t="str">
        <f>_xlfn.XLOOKUP(A2053,'Model Modeshare by TAZ'!A:A,'Model Modeshare by TAZ'!D:D)</f>
        <v>NO</v>
      </c>
      <c r="D2053" s="27">
        <v>18451.419999999998</v>
      </c>
      <c r="E2053" s="27">
        <v>320008.78000000003</v>
      </c>
      <c r="F2053" s="27">
        <v>11822.38</v>
      </c>
      <c r="G2053" s="27">
        <v>110315.84</v>
      </c>
      <c r="H2053" s="27">
        <v>5532.4</v>
      </c>
      <c r="I2053" s="27">
        <v>92273.4</v>
      </c>
      <c r="J2053" s="6">
        <v>8108</v>
      </c>
      <c r="K2053" s="6">
        <v>4524</v>
      </c>
      <c r="L2053" s="27">
        <v>13.605801677355698</v>
      </c>
      <c r="M2053" s="27">
        <v>20.396419098143234</v>
      </c>
      <c r="N2053" s="34">
        <v>22.289673052564915</v>
      </c>
    </row>
    <row r="2054" spans="1:14" x14ac:dyDescent="0.35">
      <c r="A2054" s="82">
        <v>2051</v>
      </c>
      <c r="B2054" s="89" t="str">
        <f>_xlfn.XLOOKUP(A2054,'Model Modeshare by TAZ'!A:A,'Model Modeshare by TAZ'!B:B)</f>
        <v>Livermore</v>
      </c>
      <c r="C2054" s="90" t="str">
        <f>_xlfn.XLOOKUP(A2054,'Model Modeshare by TAZ'!A:A,'Model Modeshare by TAZ'!D:D)</f>
        <v>NO</v>
      </c>
      <c r="D2054" s="27">
        <v>9977.76</v>
      </c>
      <c r="E2054" s="27">
        <v>246249.08</v>
      </c>
      <c r="F2054" s="27">
        <v>10546.71</v>
      </c>
      <c r="G2054" s="27">
        <v>156143.81</v>
      </c>
      <c r="H2054" s="27">
        <v>1204.1400000000001</v>
      </c>
      <c r="I2054" s="27">
        <v>23398.51</v>
      </c>
      <c r="J2054" s="6">
        <v>6726</v>
      </c>
      <c r="K2054" s="6">
        <v>674</v>
      </c>
      <c r="L2054" s="27">
        <v>23.214958370502526</v>
      </c>
      <c r="M2054" s="27">
        <v>34.715890207715134</v>
      </c>
      <c r="N2054" s="34">
        <v>33.08311891891892</v>
      </c>
    </row>
    <row r="2055" spans="1:14" x14ac:dyDescent="0.35">
      <c r="A2055" s="82">
        <v>2052</v>
      </c>
      <c r="B2055" s="89" t="str">
        <f>_xlfn.XLOOKUP(A2055,'Model Modeshare by TAZ'!A:A,'Model Modeshare by TAZ'!B:B)</f>
        <v>Unincorporated</v>
      </c>
      <c r="C2055" s="90" t="str">
        <f>_xlfn.XLOOKUP(A2055,'Model Modeshare by TAZ'!A:A,'Model Modeshare by TAZ'!D:D)</f>
        <v>NO</v>
      </c>
      <c r="D2055" s="27">
        <v>10772.84</v>
      </c>
      <c r="E2055" s="27">
        <v>280637.46000000002</v>
      </c>
      <c r="F2055" s="27">
        <v>6582.75</v>
      </c>
      <c r="G2055" s="27">
        <v>93687.66</v>
      </c>
      <c r="H2055" s="27">
        <v>1635.78</v>
      </c>
      <c r="I2055" s="27">
        <v>30382.400000000001</v>
      </c>
      <c r="J2055" s="6">
        <v>4040</v>
      </c>
      <c r="K2055" s="6">
        <v>1058</v>
      </c>
      <c r="L2055" s="27">
        <v>23.190014851485149</v>
      </c>
      <c r="M2055" s="27">
        <v>28.716824196597354</v>
      </c>
      <c r="N2055" s="34">
        <v>42.305853275794426</v>
      </c>
    </row>
    <row r="2056" spans="1:14" x14ac:dyDescent="0.35">
      <c r="A2056" s="82">
        <v>2053</v>
      </c>
      <c r="B2056" s="89" t="str">
        <f>_xlfn.XLOOKUP(A2056,'Model Modeshare by TAZ'!A:A,'Model Modeshare by TAZ'!B:B)</f>
        <v>Livermore</v>
      </c>
      <c r="C2056" s="90" t="str">
        <f>_xlfn.XLOOKUP(A2056,'Model Modeshare by TAZ'!A:A,'Model Modeshare by TAZ'!D:D)</f>
        <v>NO</v>
      </c>
      <c r="D2056" s="27">
        <v>15232.41</v>
      </c>
      <c r="E2056" s="27">
        <v>225042.82</v>
      </c>
      <c r="F2056" s="27">
        <v>8436.84</v>
      </c>
      <c r="G2056" s="27">
        <v>75828.3</v>
      </c>
      <c r="H2056" s="27">
        <v>3712.38</v>
      </c>
      <c r="I2056" s="27">
        <v>60977.41</v>
      </c>
      <c r="J2056" s="6">
        <v>5904</v>
      </c>
      <c r="K2056" s="6">
        <v>3048</v>
      </c>
      <c r="L2056" s="27">
        <v>12.84354674796748</v>
      </c>
      <c r="M2056" s="27">
        <v>20.005711942257218</v>
      </c>
      <c r="N2056" s="34">
        <v>22.838622654155497</v>
      </c>
    </row>
    <row r="2057" spans="1:14" x14ac:dyDescent="0.35">
      <c r="A2057" s="82">
        <v>2054</v>
      </c>
      <c r="B2057" s="89" t="str">
        <f>_xlfn.XLOOKUP(A2057,'Model Modeshare by TAZ'!A:A,'Model Modeshare by TAZ'!B:B)</f>
        <v>Livermore</v>
      </c>
      <c r="C2057" s="90" t="str">
        <f>_xlfn.XLOOKUP(A2057,'Model Modeshare by TAZ'!A:A,'Model Modeshare by TAZ'!D:D)</f>
        <v>NO</v>
      </c>
      <c r="D2057" s="27">
        <v>11179.15</v>
      </c>
      <c r="E2057" s="27">
        <v>204090.8</v>
      </c>
      <c r="F2057" s="27">
        <v>12148.65</v>
      </c>
      <c r="G2057" s="27">
        <v>122796.3</v>
      </c>
      <c r="H2057" s="27">
        <v>1675.57</v>
      </c>
      <c r="I2057" s="27">
        <v>27183.61</v>
      </c>
      <c r="J2057" s="6">
        <v>9014</v>
      </c>
      <c r="K2057" s="6">
        <v>961</v>
      </c>
      <c r="L2057" s="27">
        <v>13.62284224539605</v>
      </c>
      <c r="M2057" s="27">
        <v>28.286795005202915</v>
      </c>
      <c r="N2057" s="34">
        <v>21.668544360902256</v>
      </c>
    </row>
    <row r="2058" spans="1:14" x14ac:dyDescent="0.35">
      <c r="A2058" s="82">
        <v>2055</v>
      </c>
      <c r="B2058" s="89" t="str">
        <f>_xlfn.XLOOKUP(A2058,'Model Modeshare by TAZ'!A:A,'Model Modeshare by TAZ'!B:B)</f>
        <v>Livermore</v>
      </c>
      <c r="C2058" s="90" t="str">
        <f>_xlfn.XLOOKUP(A2058,'Model Modeshare by TAZ'!A:A,'Model Modeshare by TAZ'!D:D)</f>
        <v>NO</v>
      </c>
      <c r="D2058" s="27">
        <v>14910.55</v>
      </c>
      <c r="E2058" s="27">
        <v>280166.90999999997</v>
      </c>
      <c r="F2058" s="27">
        <v>6969.69</v>
      </c>
      <c r="G2058" s="27">
        <v>72293.350000000006</v>
      </c>
      <c r="H2058" s="27">
        <v>2874.35</v>
      </c>
      <c r="I2058" s="27">
        <v>46547.6</v>
      </c>
      <c r="J2058" s="6">
        <v>4801</v>
      </c>
      <c r="K2058" s="6">
        <v>2523</v>
      </c>
      <c r="L2058" s="27">
        <v>15.057977504686525</v>
      </c>
      <c r="M2058" s="27">
        <v>18.449306381292111</v>
      </c>
      <c r="N2058" s="34">
        <v>31.082172310212997</v>
      </c>
    </row>
    <row r="2059" spans="1:14" x14ac:dyDescent="0.35">
      <c r="A2059" s="82">
        <v>2056</v>
      </c>
      <c r="B2059" s="89" t="str">
        <f>_xlfn.XLOOKUP(A2059,'Model Modeshare by TAZ'!A:A,'Model Modeshare by TAZ'!B:B)</f>
        <v>Livermore</v>
      </c>
      <c r="C2059" s="90" t="str">
        <f>_xlfn.XLOOKUP(A2059,'Model Modeshare by TAZ'!A:A,'Model Modeshare by TAZ'!D:D)</f>
        <v>NO</v>
      </c>
      <c r="D2059" s="27">
        <v>27857.88</v>
      </c>
      <c r="E2059" s="27">
        <v>545151.91</v>
      </c>
      <c r="F2059" s="27">
        <v>9576.18</v>
      </c>
      <c r="G2059" s="27">
        <v>101385.55</v>
      </c>
      <c r="H2059" s="27">
        <v>4192.68</v>
      </c>
      <c r="I2059" s="27">
        <v>68096.66</v>
      </c>
      <c r="J2059" s="6">
        <v>6514</v>
      </c>
      <c r="K2059" s="6">
        <v>3731</v>
      </c>
      <c r="L2059" s="27">
        <v>15.564253914645379</v>
      </c>
      <c r="M2059" s="27">
        <v>18.251584025730367</v>
      </c>
      <c r="N2059" s="34">
        <v>32.408206930209857</v>
      </c>
    </row>
    <row r="2060" spans="1:14" x14ac:dyDescent="0.35">
      <c r="A2060" s="82">
        <v>2057</v>
      </c>
      <c r="B2060" s="89" t="str">
        <f>_xlfn.XLOOKUP(A2060,'Model Modeshare by TAZ'!A:A,'Model Modeshare by TAZ'!B:B)</f>
        <v>Livermore</v>
      </c>
      <c r="C2060" s="90" t="str">
        <f>_xlfn.XLOOKUP(A2060,'Model Modeshare by TAZ'!A:A,'Model Modeshare by TAZ'!D:D)</f>
        <v>NO</v>
      </c>
      <c r="D2060" s="27">
        <v>5601.43</v>
      </c>
      <c r="E2060" s="27">
        <v>106711.85</v>
      </c>
      <c r="F2060" s="27">
        <v>6016.45</v>
      </c>
      <c r="G2060" s="27">
        <v>66223.44</v>
      </c>
      <c r="H2060" s="27">
        <v>858.11</v>
      </c>
      <c r="I2060" s="27">
        <v>14044.12</v>
      </c>
      <c r="J2060" s="6">
        <v>4121</v>
      </c>
      <c r="K2060" s="6">
        <v>484</v>
      </c>
      <c r="L2060" s="27">
        <v>16.069750060664887</v>
      </c>
      <c r="M2060" s="27">
        <v>29.016776859504134</v>
      </c>
      <c r="N2060" s="34">
        <v>23.618571118349621</v>
      </c>
    </row>
    <row r="2061" spans="1:14" x14ac:dyDescent="0.35">
      <c r="A2061" s="82">
        <v>2058</v>
      </c>
      <c r="B2061" s="89" t="str">
        <f>_xlfn.XLOOKUP(A2061,'Model Modeshare by TAZ'!A:A,'Model Modeshare by TAZ'!B:B)</f>
        <v>Livermore</v>
      </c>
      <c r="C2061" s="90" t="str">
        <f>_xlfn.XLOOKUP(A2061,'Model Modeshare by TAZ'!A:A,'Model Modeshare by TAZ'!D:D)</f>
        <v>NO</v>
      </c>
      <c r="D2061" s="27">
        <v>12801.48</v>
      </c>
      <c r="E2061" s="27">
        <v>274101.74</v>
      </c>
      <c r="F2061" s="27">
        <v>11734.68</v>
      </c>
      <c r="G2061" s="27">
        <v>142563.98000000001</v>
      </c>
      <c r="H2061" s="27">
        <v>1503.39</v>
      </c>
      <c r="I2061" s="27">
        <v>25503.58</v>
      </c>
      <c r="J2061" s="6">
        <v>8429</v>
      </c>
      <c r="K2061" s="6">
        <v>875</v>
      </c>
      <c r="L2061" s="27">
        <v>16.913510499466131</v>
      </c>
      <c r="M2061" s="27">
        <v>29.146948571428574</v>
      </c>
      <c r="N2061" s="34">
        <v>25.819336844368014</v>
      </c>
    </row>
    <row r="2062" spans="1:14" x14ac:dyDescent="0.35">
      <c r="A2062" s="82">
        <v>2059</v>
      </c>
      <c r="B2062" s="89" t="str">
        <f>_xlfn.XLOOKUP(A2062,'Model Modeshare by TAZ'!A:A,'Model Modeshare by TAZ'!B:B)</f>
        <v>Livermore</v>
      </c>
      <c r="C2062" s="90" t="str">
        <f>_xlfn.XLOOKUP(A2062,'Model Modeshare by TAZ'!A:A,'Model Modeshare by TAZ'!D:D)</f>
        <v>NO</v>
      </c>
      <c r="D2062" s="27">
        <v>5307.6</v>
      </c>
      <c r="E2062" s="27">
        <v>96868.04</v>
      </c>
      <c r="F2062" s="27">
        <v>4302.8900000000003</v>
      </c>
      <c r="G2062" s="27">
        <v>51279.62</v>
      </c>
      <c r="H2062" s="27">
        <v>719.26</v>
      </c>
      <c r="I2062" s="27">
        <v>12157.15</v>
      </c>
      <c r="J2062" s="6">
        <v>3086</v>
      </c>
      <c r="K2062" s="6">
        <v>412</v>
      </c>
      <c r="L2062" s="27">
        <v>16.616856772521064</v>
      </c>
      <c r="M2062" s="27">
        <v>29.507645631067959</v>
      </c>
      <c r="N2062" s="34">
        <v>27.392761578044599</v>
      </c>
    </row>
    <row r="2063" spans="1:14" x14ac:dyDescent="0.35">
      <c r="A2063" s="82">
        <v>2060</v>
      </c>
      <c r="B2063" s="89" t="str">
        <f>_xlfn.XLOOKUP(A2063,'Model Modeshare by TAZ'!A:A,'Model Modeshare by TAZ'!B:B)</f>
        <v>Livermore</v>
      </c>
      <c r="C2063" s="90" t="str">
        <f>_xlfn.XLOOKUP(A2063,'Model Modeshare by TAZ'!A:A,'Model Modeshare by TAZ'!D:D)</f>
        <v>NO</v>
      </c>
      <c r="D2063" s="27">
        <v>18332.580000000002</v>
      </c>
      <c r="E2063" s="27">
        <v>458713.34</v>
      </c>
      <c r="F2063" s="27">
        <v>10188.58</v>
      </c>
      <c r="G2063" s="27">
        <v>127574.55</v>
      </c>
      <c r="H2063" s="27">
        <v>9756.9599999999991</v>
      </c>
      <c r="I2063" s="27">
        <v>171269.29</v>
      </c>
      <c r="J2063" s="6">
        <v>6799</v>
      </c>
      <c r="K2063" s="6">
        <v>7955</v>
      </c>
      <c r="L2063" s="27">
        <v>18.763722606265627</v>
      </c>
      <c r="M2063" s="27">
        <v>21.529766184789441</v>
      </c>
      <c r="N2063" s="34">
        <v>32.50489833265555</v>
      </c>
    </row>
    <row r="2064" spans="1:14" x14ac:dyDescent="0.35">
      <c r="A2064" s="82">
        <v>2061</v>
      </c>
      <c r="B2064" s="89" t="str">
        <f>_xlfn.XLOOKUP(A2064,'Model Modeshare by TAZ'!A:A,'Model Modeshare by TAZ'!B:B)</f>
        <v>Dublin</v>
      </c>
      <c r="C2064" s="90" t="str">
        <f>_xlfn.XLOOKUP(A2064,'Model Modeshare by TAZ'!A:A,'Model Modeshare by TAZ'!D:D)</f>
        <v>NO</v>
      </c>
      <c r="D2064" s="27">
        <v>27324.23</v>
      </c>
      <c r="E2064" s="27">
        <v>708974.27</v>
      </c>
      <c r="F2064" s="27">
        <v>21409.360000000001</v>
      </c>
      <c r="G2064" s="27">
        <v>294699.65000000002</v>
      </c>
      <c r="H2064" s="27">
        <v>3409.81</v>
      </c>
      <c r="I2064" s="27">
        <v>61771.54</v>
      </c>
      <c r="J2064" s="6">
        <v>12394</v>
      </c>
      <c r="K2064" s="6">
        <v>1894</v>
      </c>
      <c r="L2064" s="27">
        <v>23.777606099725677</v>
      </c>
      <c r="M2064" s="27">
        <v>32.614329461457231</v>
      </c>
      <c r="N2064" s="34">
        <v>33.62422942329227</v>
      </c>
    </row>
    <row r="2065" spans="1:14" x14ac:dyDescent="0.35">
      <c r="A2065" s="82">
        <v>2062</v>
      </c>
      <c r="B2065" s="89" t="str">
        <f>_xlfn.XLOOKUP(A2065,'Model Modeshare by TAZ'!A:A,'Model Modeshare by TAZ'!B:B)</f>
        <v>Dublin</v>
      </c>
      <c r="C2065" s="90" t="str">
        <f>_xlfn.XLOOKUP(A2065,'Model Modeshare by TAZ'!A:A,'Model Modeshare by TAZ'!D:D)</f>
        <v>NO</v>
      </c>
      <c r="D2065" s="27">
        <v>27015.64</v>
      </c>
      <c r="E2065" s="27">
        <v>602680.04</v>
      </c>
      <c r="F2065" s="27">
        <v>15763.48</v>
      </c>
      <c r="G2065" s="27">
        <v>185569.13</v>
      </c>
      <c r="H2065" s="27">
        <v>6082.21</v>
      </c>
      <c r="I2065" s="27">
        <v>100822.12</v>
      </c>
      <c r="J2065" s="6">
        <v>9786</v>
      </c>
      <c r="K2065" s="6">
        <v>4747</v>
      </c>
      <c r="L2065" s="27">
        <v>18.962715103208666</v>
      </c>
      <c r="M2065" s="27">
        <v>21.239123657046555</v>
      </c>
      <c r="N2065" s="34">
        <v>32.131853712241103</v>
      </c>
    </row>
    <row r="2066" spans="1:14" x14ac:dyDescent="0.35">
      <c r="A2066" s="82">
        <v>2063</v>
      </c>
      <c r="B2066" s="89" t="str">
        <f>_xlfn.XLOOKUP(A2066,'Model Modeshare by TAZ'!A:A,'Model Modeshare by TAZ'!B:B)</f>
        <v>Dublin</v>
      </c>
      <c r="C2066" s="90" t="str">
        <f>_xlfn.XLOOKUP(A2066,'Model Modeshare by TAZ'!A:A,'Model Modeshare by TAZ'!D:D)</f>
        <v>NO</v>
      </c>
      <c r="D2066" s="27">
        <v>8010.8</v>
      </c>
      <c r="E2066" s="27">
        <v>166674.94</v>
      </c>
      <c r="F2066" s="27">
        <v>7243.91</v>
      </c>
      <c r="G2066" s="27">
        <v>84583.88</v>
      </c>
      <c r="H2066" s="27">
        <v>434.45</v>
      </c>
      <c r="I2066" s="27">
        <v>7674.76</v>
      </c>
      <c r="J2066" s="6">
        <v>4266</v>
      </c>
      <c r="K2066" s="6">
        <v>226</v>
      </c>
      <c r="L2066" s="27">
        <v>19.827444913267698</v>
      </c>
      <c r="M2066" s="27">
        <v>33.959115044247788</v>
      </c>
      <c r="N2066" s="34">
        <v>28.680598842386466</v>
      </c>
    </row>
    <row r="2067" spans="1:14" x14ac:dyDescent="0.35">
      <c r="A2067" s="82">
        <v>2064</v>
      </c>
      <c r="B2067" s="89" t="str">
        <f>_xlfn.XLOOKUP(A2067,'Model Modeshare by TAZ'!A:A,'Model Modeshare by TAZ'!B:B)</f>
        <v>Dublin</v>
      </c>
      <c r="C2067" s="90" t="str">
        <f>_xlfn.XLOOKUP(A2067,'Model Modeshare by TAZ'!A:A,'Model Modeshare by TAZ'!D:D)</f>
        <v>NO</v>
      </c>
      <c r="D2067" s="27">
        <v>20158.669999999998</v>
      </c>
      <c r="E2067" s="27">
        <v>414327.41</v>
      </c>
      <c r="F2067" s="27">
        <v>6798.04</v>
      </c>
      <c r="G2067" s="27">
        <v>73462.100000000006</v>
      </c>
      <c r="H2067" s="27">
        <v>7719.67</v>
      </c>
      <c r="I2067" s="27">
        <v>125724.81</v>
      </c>
      <c r="J2067" s="6">
        <v>4778</v>
      </c>
      <c r="K2067" s="6">
        <v>6775</v>
      </c>
      <c r="L2067" s="27">
        <v>15.375073252406866</v>
      </c>
      <c r="M2067" s="27">
        <v>18.557167527675276</v>
      </c>
      <c r="N2067" s="34">
        <v>36.802030641391845</v>
      </c>
    </row>
    <row r="2068" spans="1:14" x14ac:dyDescent="0.35">
      <c r="A2068" s="82">
        <v>2065</v>
      </c>
      <c r="B2068" s="89" t="str">
        <f>_xlfn.XLOOKUP(A2068,'Model Modeshare by TAZ'!A:A,'Model Modeshare by TAZ'!B:B)</f>
        <v>Dublin</v>
      </c>
      <c r="C2068" s="90" t="str">
        <f>_xlfn.XLOOKUP(A2068,'Model Modeshare by TAZ'!A:A,'Model Modeshare by TAZ'!D:D)</f>
        <v>NO</v>
      </c>
      <c r="D2068" s="27">
        <v>16945.95</v>
      </c>
      <c r="E2068" s="27">
        <v>381077.46</v>
      </c>
      <c r="F2068" s="27">
        <v>9565.84</v>
      </c>
      <c r="G2068" s="27">
        <v>111327.73</v>
      </c>
      <c r="H2068" s="27">
        <v>5816.56</v>
      </c>
      <c r="I2068" s="27">
        <v>98744.320000000007</v>
      </c>
      <c r="J2068" s="6">
        <v>6267</v>
      </c>
      <c r="K2068" s="6">
        <v>4998</v>
      </c>
      <c r="L2068" s="27">
        <v>17.764118397957557</v>
      </c>
      <c r="M2068" s="27">
        <v>19.756766706682676</v>
      </c>
      <c r="N2068" s="34">
        <v>33.435888149134492</v>
      </c>
    </row>
    <row r="2069" spans="1:14" x14ac:dyDescent="0.35">
      <c r="A2069" s="82">
        <v>2066</v>
      </c>
      <c r="B2069" s="89" t="str">
        <f>_xlfn.XLOOKUP(A2069,'Model Modeshare by TAZ'!A:A,'Model Modeshare by TAZ'!B:B)</f>
        <v>Dublin</v>
      </c>
      <c r="C2069" s="90" t="str">
        <f>_xlfn.XLOOKUP(A2069,'Model Modeshare by TAZ'!A:A,'Model Modeshare by TAZ'!D:D)</f>
        <v>NO</v>
      </c>
      <c r="D2069" s="27">
        <v>14859.49</v>
      </c>
      <c r="E2069" s="27">
        <v>326001</v>
      </c>
      <c r="F2069" s="27">
        <v>12262.74</v>
      </c>
      <c r="G2069" s="27">
        <v>140216.79</v>
      </c>
      <c r="H2069" s="27">
        <v>4483.4799999999996</v>
      </c>
      <c r="I2069" s="27">
        <v>76179.17</v>
      </c>
      <c r="J2069" s="6">
        <v>7816</v>
      </c>
      <c r="K2069" s="6">
        <v>2853</v>
      </c>
      <c r="L2069" s="27">
        <v>17.939712128966224</v>
      </c>
      <c r="M2069" s="27">
        <v>26.701426568524361</v>
      </c>
      <c r="N2069" s="34">
        <v>29.786836629487301</v>
      </c>
    </row>
    <row r="2070" spans="1:14" x14ac:dyDescent="0.35">
      <c r="A2070" s="82">
        <v>2067</v>
      </c>
      <c r="B2070" s="89" t="str">
        <f>_xlfn.XLOOKUP(A2070,'Model Modeshare by TAZ'!A:A,'Model Modeshare by TAZ'!B:B)</f>
        <v>Unincorporated</v>
      </c>
      <c r="C2070" s="90" t="str">
        <f>_xlfn.XLOOKUP(A2070,'Model Modeshare by TAZ'!A:A,'Model Modeshare by TAZ'!D:D)</f>
        <v>NO</v>
      </c>
      <c r="D2070" s="27">
        <v>5915.99</v>
      </c>
      <c r="E2070" s="27">
        <v>166602.18</v>
      </c>
      <c r="F2070" s="27">
        <v>5487.97</v>
      </c>
      <c r="G2070" s="27">
        <v>77987.03</v>
      </c>
      <c r="H2070" s="27">
        <v>1726.7</v>
      </c>
      <c r="I2070" s="27">
        <v>32510.11</v>
      </c>
      <c r="J2070" s="6">
        <v>3450</v>
      </c>
      <c r="K2070" s="6">
        <v>1091</v>
      </c>
      <c r="L2070" s="27">
        <v>22.604936231884057</v>
      </c>
      <c r="M2070" s="27">
        <v>29.7984509624198</v>
      </c>
      <c r="N2070" s="34">
        <v>35.594038757982823</v>
      </c>
    </row>
    <row r="2071" spans="1:14" x14ac:dyDescent="0.35">
      <c r="A2071" s="82">
        <v>2068</v>
      </c>
      <c r="B2071" s="89" t="str">
        <f>_xlfn.XLOOKUP(A2071,'Model Modeshare by TAZ'!A:A,'Model Modeshare by TAZ'!B:B)</f>
        <v>Pleasanton</v>
      </c>
      <c r="C2071" s="90" t="str">
        <f>_xlfn.XLOOKUP(A2071,'Model Modeshare by TAZ'!A:A,'Model Modeshare by TAZ'!D:D)</f>
        <v>NO</v>
      </c>
      <c r="D2071" s="27">
        <v>40155.839999999997</v>
      </c>
      <c r="E2071" s="27">
        <v>1066718.8799999999</v>
      </c>
      <c r="F2071" s="27">
        <v>13153.64</v>
      </c>
      <c r="G2071" s="27">
        <v>177948.74</v>
      </c>
      <c r="H2071" s="27">
        <v>9996.1</v>
      </c>
      <c r="I2071" s="27">
        <v>183627.68</v>
      </c>
      <c r="J2071" s="6">
        <v>8957</v>
      </c>
      <c r="K2071" s="6">
        <v>8825</v>
      </c>
      <c r="L2071" s="27">
        <v>19.867002344534999</v>
      </c>
      <c r="M2071" s="27">
        <v>20.807669121813031</v>
      </c>
      <c r="N2071" s="34">
        <v>45.98254976942976</v>
      </c>
    </row>
    <row r="2072" spans="1:14" x14ac:dyDescent="0.35">
      <c r="A2072" s="82">
        <v>2069</v>
      </c>
      <c r="B2072" s="89" t="str">
        <f>_xlfn.XLOOKUP(A2072,'Model Modeshare by TAZ'!A:A,'Model Modeshare by TAZ'!B:B)</f>
        <v>Pleasanton</v>
      </c>
      <c r="C2072" s="90" t="str">
        <f>_xlfn.XLOOKUP(A2072,'Model Modeshare by TAZ'!A:A,'Model Modeshare by TAZ'!D:D)</f>
        <v>NO</v>
      </c>
      <c r="D2072" s="27">
        <v>15209.85</v>
      </c>
      <c r="E2072" s="27">
        <v>341856.58</v>
      </c>
      <c r="F2072" s="27">
        <v>6838.66</v>
      </c>
      <c r="G2072" s="27">
        <v>73296.89</v>
      </c>
      <c r="H2072" s="27">
        <v>11037.82</v>
      </c>
      <c r="I2072" s="27">
        <v>183484.53</v>
      </c>
      <c r="J2072" s="6">
        <v>4822</v>
      </c>
      <c r="K2072" s="6">
        <v>9676</v>
      </c>
      <c r="L2072" s="27">
        <v>15.200516383243468</v>
      </c>
      <c r="M2072" s="27">
        <v>18.962849317899959</v>
      </c>
      <c r="N2072" s="34">
        <v>31.077774175748381</v>
      </c>
    </row>
    <row r="2073" spans="1:14" x14ac:dyDescent="0.35">
      <c r="A2073" s="82">
        <v>2070</v>
      </c>
      <c r="B2073" s="89" t="str">
        <f>_xlfn.XLOOKUP(A2073,'Model Modeshare by TAZ'!A:A,'Model Modeshare by TAZ'!B:B)</f>
        <v>Pleasanton</v>
      </c>
      <c r="C2073" s="90" t="str">
        <f>_xlfn.XLOOKUP(A2073,'Model Modeshare by TAZ'!A:A,'Model Modeshare by TAZ'!D:D)</f>
        <v>NO</v>
      </c>
      <c r="D2073" s="27">
        <v>8386.7099999999991</v>
      </c>
      <c r="E2073" s="27">
        <v>158248.29</v>
      </c>
      <c r="F2073" s="27">
        <v>8920.01</v>
      </c>
      <c r="G2073" s="27">
        <v>94678.21</v>
      </c>
      <c r="H2073" s="27">
        <v>698.57</v>
      </c>
      <c r="I2073" s="27">
        <v>11234.2</v>
      </c>
      <c r="J2073" s="6">
        <v>5885</v>
      </c>
      <c r="K2073" s="6">
        <v>423</v>
      </c>
      <c r="L2073" s="27">
        <v>16.088056074766357</v>
      </c>
      <c r="M2073" s="27">
        <v>26.558392434988182</v>
      </c>
      <c r="N2073" s="34">
        <v>22.926970513633478</v>
      </c>
    </row>
    <row r="2074" spans="1:14" x14ac:dyDescent="0.35">
      <c r="A2074" s="82">
        <v>2071</v>
      </c>
      <c r="B2074" s="89" t="str">
        <f>_xlfn.XLOOKUP(A2074,'Model Modeshare by TAZ'!A:A,'Model Modeshare by TAZ'!B:B)</f>
        <v>Pleasanton</v>
      </c>
      <c r="C2074" s="90" t="str">
        <f>_xlfn.XLOOKUP(A2074,'Model Modeshare by TAZ'!A:A,'Model Modeshare by TAZ'!D:D)</f>
        <v>NO</v>
      </c>
      <c r="D2074" s="27">
        <v>25743.3</v>
      </c>
      <c r="E2074" s="27">
        <v>552797.99</v>
      </c>
      <c r="F2074" s="27">
        <v>7216.11</v>
      </c>
      <c r="G2074" s="27">
        <v>80251.520000000004</v>
      </c>
      <c r="H2074" s="27">
        <v>8758.89</v>
      </c>
      <c r="I2074" s="27">
        <v>147013.37</v>
      </c>
      <c r="J2074" s="6">
        <v>5360</v>
      </c>
      <c r="K2074" s="6">
        <v>7737</v>
      </c>
      <c r="L2074" s="27">
        <v>14.972298507462687</v>
      </c>
      <c r="M2074" s="27">
        <v>19.00134031278273</v>
      </c>
      <c r="N2074" s="34">
        <v>33.920507749866381</v>
      </c>
    </row>
    <row r="2075" spans="1:14" x14ac:dyDescent="0.35">
      <c r="A2075" s="82">
        <v>2072</v>
      </c>
      <c r="B2075" s="89" t="str">
        <f>_xlfn.XLOOKUP(A2075,'Model Modeshare by TAZ'!A:A,'Model Modeshare by TAZ'!B:B)</f>
        <v>Pleasanton</v>
      </c>
      <c r="C2075" s="90" t="str">
        <f>_xlfn.XLOOKUP(A2075,'Model Modeshare by TAZ'!A:A,'Model Modeshare by TAZ'!D:D)</f>
        <v>NO</v>
      </c>
      <c r="D2075" s="27">
        <v>10278.93</v>
      </c>
      <c r="E2075" s="27">
        <v>172689.05</v>
      </c>
      <c r="F2075" s="27">
        <v>5273.96</v>
      </c>
      <c r="G2075" s="27">
        <v>51353.59</v>
      </c>
      <c r="H2075" s="27">
        <v>1884.38</v>
      </c>
      <c r="I2075" s="27">
        <v>30907.39</v>
      </c>
      <c r="J2075" s="6">
        <v>3779</v>
      </c>
      <c r="K2075" s="6">
        <v>1675</v>
      </c>
      <c r="L2075" s="27">
        <v>13.589200846784863</v>
      </c>
      <c r="M2075" s="27">
        <v>18.452173134328358</v>
      </c>
      <c r="N2075" s="34">
        <v>27.703373670700405</v>
      </c>
    </row>
    <row r="2076" spans="1:14" x14ac:dyDescent="0.35">
      <c r="A2076" s="82">
        <v>2073</v>
      </c>
      <c r="B2076" s="89" t="str">
        <f>_xlfn.XLOOKUP(A2076,'Model Modeshare by TAZ'!A:A,'Model Modeshare by TAZ'!B:B)</f>
        <v>Pleasanton</v>
      </c>
      <c r="C2076" s="90" t="str">
        <f>_xlfn.XLOOKUP(A2076,'Model Modeshare by TAZ'!A:A,'Model Modeshare by TAZ'!D:D)</f>
        <v>NO</v>
      </c>
      <c r="D2076" s="27">
        <v>8407.48</v>
      </c>
      <c r="E2076" s="27">
        <v>153304.95000000001</v>
      </c>
      <c r="F2076" s="27">
        <v>6976.14</v>
      </c>
      <c r="G2076" s="27">
        <v>69946.649999999994</v>
      </c>
      <c r="H2076" s="27">
        <v>1438.28</v>
      </c>
      <c r="I2076" s="27">
        <v>24270.58</v>
      </c>
      <c r="J2076" s="6">
        <v>4922</v>
      </c>
      <c r="K2076" s="6">
        <v>939</v>
      </c>
      <c r="L2076" s="27">
        <v>14.211021942299876</v>
      </c>
      <c r="M2076" s="27">
        <v>25.847263045793397</v>
      </c>
      <c r="N2076" s="34">
        <v>24.64394983791162</v>
      </c>
    </row>
    <row r="2077" spans="1:14" x14ac:dyDescent="0.35">
      <c r="A2077" s="82">
        <v>2074</v>
      </c>
      <c r="B2077" s="89" t="str">
        <f>_xlfn.XLOOKUP(A2077,'Model Modeshare by TAZ'!A:A,'Model Modeshare by TAZ'!B:B)</f>
        <v>Pleasanton</v>
      </c>
      <c r="C2077" s="90" t="str">
        <f>_xlfn.XLOOKUP(A2077,'Model Modeshare by TAZ'!A:A,'Model Modeshare by TAZ'!D:D)</f>
        <v>NO</v>
      </c>
      <c r="D2077" s="27">
        <v>48380.62</v>
      </c>
      <c r="E2077" s="27">
        <v>1177886.82</v>
      </c>
      <c r="F2077" s="27">
        <v>16950.169999999998</v>
      </c>
      <c r="G2077" s="27">
        <v>206013.94</v>
      </c>
      <c r="H2077" s="27">
        <v>21077.14</v>
      </c>
      <c r="I2077" s="27">
        <v>361260.92</v>
      </c>
      <c r="J2077" s="6">
        <v>11217</v>
      </c>
      <c r="K2077" s="6">
        <v>18890</v>
      </c>
      <c r="L2077" s="27">
        <v>18.366224480698939</v>
      </c>
      <c r="M2077" s="27">
        <v>19.124453149814716</v>
      </c>
      <c r="N2077" s="34">
        <v>34.868953731690304</v>
      </c>
    </row>
    <row r="2078" spans="1:14" x14ac:dyDescent="0.35">
      <c r="A2078" s="82">
        <v>2075</v>
      </c>
      <c r="B2078" s="89" t="str">
        <f>_xlfn.XLOOKUP(A2078,'Model Modeshare by TAZ'!A:A,'Model Modeshare by TAZ'!B:B)</f>
        <v>Pleasanton</v>
      </c>
      <c r="C2078" s="90" t="str">
        <f>_xlfn.XLOOKUP(A2078,'Model Modeshare by TAZ'!A:A,'Model Modeshare by TAZ'!D:D)</f>
        <v>NO</v>
      </c>
      <c r="D2078" s="27">
        <v>18265.5</v>
      </c>
      <c r="E2078" s="27">
        <v>371288.35</v>
      </c>
      <c r="F2078" s="27">
        <v>14297.3</v>
      </c>
      <c r="G2078" s="27">
        <v>151462.01</v>
      </c>
      <c r="H2078" s="27">
        <v>6157.84</v>
      </c>
      <c r="I2078" s="27">
        <v>102714.18</v>
      </c>
      <c r="J2078" s="6">
        <v>9319</v>
      </c>
      <c r="K2078" s="6">
        <v>4973</v>
      </c>
      <c r="L2078" s="27">
        <v>16.253032514218265</v>
      </c>
      <c r="M2078" s="27">
        <v>20.654369595817414</v>
      </c>
      <c r="N2078" s="34">
        <v>25.279860061572908</v>
      </c>
    </row>
    <row r="2079" spans="1:14" x14ac:dyDescent="0.35">
      <c r="A2079" s="82">
        <v>2076</v>
      </c>
      <c r="B2079" s="89" t="str">
        <f>_xlfn.XLOOKUP(A2079,'Model Modeshare by TAZ'!A:A,'Model Modeshare by TAZ'!B:B)</f>
        <v>Pleasanton</v>
      </c>
      <c r="C2079" s="90" t="str">
        <f>_xlfn.XLOOKUP(A2079,'Model Modeshare by TAZ'!A:A,'Model Modeshare by TAZ'!D:D)</f>
        <v>NO</v>
      </c>
      <c r="D2079" s="27">
        <v>9313.23</v>
      </c>
      <c r="E2079" s="27">
        <v>208053.72</v>
      </c>
      <c r="F2079" s="27">
        <v>6853.67</v>
      </c>
      <c r="G2079" s="27">
        <v>83783.92</v>
      </c>
      <c r="H2079" s="27">
        <v>2140.6</v>
      </c>
      <c r="I2079" s="27">
        <v>37603.269999999997</v>
      </c>
      <c r="J2079" s="6">
        <v>4753</v>
      </c>
      <c r="K2079" s="6">
        <v>1705</v>
      </c>
      <c r="L2079" s="27">
        <v>17.627586787292238</v>
      </c>
      <c r="M2079" s="27">
        <v>22.054703812316713</v>
      </c>
      <c r="N2079" s="34">
        <v>27.654383710126975</v>
      </c>
    </row>
    <row r="2080" spans="1:14" x14ac:dyDescent="0.35">
      <c r="A2080" s="82">
        <v>2077</v>
      </c>
      <c r="B2080" s="89" t="str">
        <f>_xlfn.XLOOKUP(A2080,'Model Modeshare by TAZ'!A:A,'Model Modeshare by TAZ'!B:B)</f>
        <v>Unincorporated</v>
      </c>
      <c r="C2080" s="90" t="str">
        <f>_xlfn.XLOOKUP(A2080,'Model Modeshare by TAZ'!A:A,'Model Modeshare by TAZ'!D:D)</f>
        <v>NO</v>
      </c>
      <c r="D2080" s="27">
        <v>6985.15</v>
      </c>
      <c r="E2080" s="27">
        <v>143817.07</v>
      </c>
      <c r="F2080" s="27">
        <v>6935.23</v>
      </c>
      <c r="G2080" s="27">
        <v>82717.05</v>
      </c>
      <c r="H2080" s="27">
        <v>906.25</v>
      </c>
      <c r="I2080" s="27">
        <v>15349.4</v>
      </c>
      <c r="J2080" s="6">
        <v>4695</v>
      </c>
      <c r="K2080" s="6">
        <v>506</v>
      </c>
      <c r="L2080" s="27">
        <v>17.618115015974443</v>
      </c>
      <c r="M2080" s="27">
        <v>30.334782608695651</v>
      </c>
      <c r="N2080" s="34">
        <v>25.854779850028837</v>
      </c>
    </row>
    <row r="2081" spans="1:14" x14ac:dyDescent="0.35">
      <c r="A2081" s="82">
        <v>2078</v>
      </c>
      <c r="B2081" s="89" t="str">
        <f>_xlfn.XLOOKUP(A2081,'Model Modeshare by TAZ'!A:A,'Model Modeshare by TAZ'!B:B)</f>
        <v>Unincorporated</v>
      </c>
      <c r="C2081" s="90" t="str">
        <f>_xlfn.XLOOKUP(A2081,'Model Modeshare by TAZ'!A:A,'Model Modeshare by TAZ'!D:D)</f>
        <v>NO</v>
      </c>
      <c r="D2081" s="27">
        <v>14469.32</v>
      </c>
      <c r="E2081" s="27">
        <v>362311.41</v>
      </c>
      <c r="F2081" s="27">
        <v>12541.48</v>
      </c>
      <c r="G2081" s="27">
        <v>176218.63</v>
      </c>
      <c r="H2081" s="27">
        <v>4590.62</v>
      </c>
      <c r="I2081" s="27">
        <v>86727.48</v>
      </c>
      <c r="J2081" s="6">
        <v>8276</v>
      </c>
      <c r="K2081" s="6">
        <v>3385</v>
      </c>
      <c r="L2081" s="27">
        <v>21.292729579507007</v>
      </c>
      <c r="M2081" s="27">
        <v>25.621116691285081</v>
      </c>
      <c r="N2081" s="34">
        <v>32.217562816225026</v>
      </c>
    </row>
    <row r="2082" spans="1:14" x14ac:dyDescent="0.35">
      <c r="A2082" s="82">
        <v>2079</v>
      </c>
      <c r="B2082" s="89" t="str">
        <f>_xlfn.XLOOKUP(A2082,'Model Modeshare by TAZ'!A:A,'Model Modeshare by TAZ'!B:B)</f>
        <v>Fremont</v>
      </c>
      <c r="C2082" s="90" t="str">
        <f>_xlfn.XLOOKUP(A2082,'Model Modeshare by TAZ'!A:A,'Model Modeshare by TAZ'!D:D)</f>
        <v>NO</v>
      </c>
      <c r="D2082" s="27">
        <v>5113.3100000000004</v>
      </c>
      <c r="E2082" s="27">
        <v>104502.11</v>
      </c>
      <c r="F2082" s="27">
        <v>5963.97</v>
      </c>
      <c r="G2082" s="27">
        <v>63802.57</v>
      </c>
      <c r="H2082" s="27">
        <v>298.61</v>
      </c>
      <c r="I2082" s="27">
        <v>4443.3</v>
      </c>
      <c r="J2082" s="6">
        <v>3803</v>
      </c>
      <c r="K2082" s="6">
        <v>175</v>
      </c>
      <c r="L2082" s="27">
        <v>16.776905074940835</v>
      </c>
      <c r="M2082" s="27">
        <v>25.390285714285714</v>
      </c>
      <c r="N2082" s="34">
        <v>24.595927601809958</v>
      </c>
    </row>
    <row r="2083" spans="1:14" x14ac:dyDescent="0.35">
      <c r="A2083" s="82">
        <v>2080</v>
      </c>
      <c r="B2083" s="89" t="str">
        <f>_xlfn.XLOOKUP(A2083,'Model Modeshare by TAZ'!A:A,'Model Modeshare by TAZ'!B:B)</f>
        <v>Fremont</v>
      </c>
      <c r="C2083" s="90" t="str">
        <f>_xlfn.XLOOKUP(A2083,'Model Modeshare by TAZ'!A:A,'Model Modeshare by TAZ'!D:D)</f>
        <v>NO</v>
      </c>
      <c r="D2083" s="27">
        <v>5552.44</v>
      </c>
      <c r="E2083" s="27">
        <v>123741.18</v>
      </c>
      <c r="F2083" s="27">
        <v>6563.26</v>
      </c>
      <c r="G2083" s="27">
        <v>70905.31</v>
      </c>
      <c r="H2083" s="27">
        <v>430.67</v>
      </c>
      <c r="I2083" s="27">
        <v>6986.77</v>
      </c>
      <c r="J2083" s="6">
        <v>4576</v>
      </c>
      <c r="K2083" s="6">
        <v>238</v>
      </c>
      <c r="L2083" s="27">
        <v>15.49504152097902</v>
      </c>
      <c r="M2083" s="27">
        <v>29.356176470588238</v>
      </c>
      <c r="N2083" s="34">
        <v>24.387100124636476</v>
      </c>
    </row>
    <row r="2084" spans="1:14" x14ac:dyDescent="0.35">
      <c r="A2084" s="82">
        <v>2081</v>
      </c>
      <c r="B2084" s="89" t="str">
        <f>_xlfn.XLOOKUP(A2084,'Model Modeshare by TAZ'!A:A,'Model Modeshare by TAZ'!B:B)</f>
        <v>Fremont</v>
      </c>
      <c r="C2084" s="90" t="str">
        <f>_xlfn.XLOOKUP(A2084,'Model Modeshare by TAZ'!A:A,'Model Modeshare by TAZ'!D:D)</f>
        <v>NO</v>
      </c>
      <c r="D2084" s="27">
        <v>9367.11</v>
      </c>
      <c r="E2084" s="27">
        <v>215074.98</v>
      </c>
      <c r="F2084" s="27">
        <v>10843.1</v>
      </c>
      <c r="G2084" s="27">
        <v>121714</v>
      </c>
      <c r="H2084" s="27">
        <v>1544.44</v>
      </c>
      <c r="I2084" s="27">
        <v>25226.26</v>
      </c>
      <c r="J2084" s="6">
        <v>7078</v>
      </c>
      <c r="K2084" s="6">
        <v>854</v>
      </c>
      <c r="L2084" s="27">
        <v>17.196100593387964</v>
      </c>
      <c r="M2084" s="27">
        <v>29.538946135831381</v>
      </c>
      <c r="N2084" s="34">
        <v>27.974166666666665</v>
      </c>
    </row>
    <row r="2085" spans="1:14" x14ac:dyDescent="0.35">
      <c r="A2085" s="82">
        <v>2082</v>
      </c>
      <c r="B2085" s="89" t="str">
        <f>_xlfn.XLOOKUP(A2085,'Model Modeshare by TAZ'!A:A,'Model Modeshare by TAZ'!B:B)</f>
        <v>Fremont</v>
      </c>
      <c r="C2085" s="90" t="str">
        <f>_xlfn.XLOOKUP(A2085,'Model Modeshare by TAZ'!A:A,'Model Modeshare by TAZ'!D:D)</f>
        <v>NO</v>
      </c>
      <c r="D2085" s="27">
        <v>11857.56</v>
      </c>
      <c r="E2085" s="27">
        <v>369619.68</v>
      </c>
      <c r="F2085" s="27">
        <v>12.6</v>
      </c>
      <c r="G2085" s="27">
        <v>154.34</v>
      </c>
      <c r="H2085" s="27">
        <v>11498.56</v>
      </c>
      <c r="I2085" s="27">
        <v>196887.5</v>
      </c>
      <c r="J2085" s="6">
        <v>16</v>
      </c>
      <c r="K2085" s="6">
        <v>10148</v>
      </c>
      <c r="L2085" s="27">
        <v>9.6462500000000002</v>
      </c>
      <c r="M2085" s="27">
        <v>19.401606227828143</v>
      </c>
      <c r="N2085" s="34">
        <v>39.222693821330189</v>
      </c>
    </row>
    <row r="2086" spans="1:14" x14ac:dyDescent="0.35">
      <c r="A2086" s="82">
        <v>2083</v>
      </c>
      <c r="B2086" s="89" t="str">
        <f>_xlfn.XLOOKUP(A2086,'Model Modeshare by TAZ'!A:A,'Model Modeshare by TAZ'!B:B)</f>
        <v>Fremont</v>
      </c>
      <c r="C2086" s="90" t="str">
        <f>_xlfn.XLOOKUP(A2086,'Model Modeshare by TAZ'!A:A,'Model Modeshare by TAZ'!D:D)</f>
        <v>NO</v>
      </c>
      <c r="D2086" s="27">
        <v>32055.18</v>
      </c>
      <c r="E2086" s="27">
        <v>937701.67</v>
      </c>
      <c r="F2086" s="27">
        <v>12.76</v>
      </c>
      <c r="G2086" s="27">
        <v>156.72</v>
      </c>
      <c r="H2086" s="27">
        <v>28231.78</v>
      </c>
      <c r="I2086" s="27">
        <v>442469.7</v>
      </c>
      <c r="J2086" s="6">
        <v>18</v>
      </c>
      <c r="K2086" s="6">
        <v>23944</v>
      </c>
      <c r="L2086" s="27">
        <v>8.706666666666667</v>
      </c>
      <c r="M2086" s="27">
        <v>18.479355997327097</v>
      </c>
      <c r="N2086" s="34">
        <v>36.483900342208493</v>
      </c>
    </row>
    <row r="2087" spans="1:14" x14ac:dyDescent="0.35">
      <c r="A2087" s="82">
        <v>2084</v>
      </c>
      <c r="B2087" s="89" t="str">
        <f>_xlfn.XLOOKUP(A2087,'Model Modeshare by TAZ'!A:A,'Model Modeshare by TAZ'!B:B)</f>
        <v>Fremont</v>
      </c>
      <c r="C2087" s="90" t="str">
        <f>_xlfn.XLOOKUP(A2087,'Model Modeshare by TAZ'!A:A,'Model Modeshare by TAZ'!D:D)</f>
        <v>NO</v>
      </c>
      <c r="D2087" s="27">
        <v>38415.449999999997</v>
      </c>
      <c r="E2087" s="27">
        <v>1150911.5900000001</v>
      </c>
      <c r="F2087" s="27">
        <v>1097.98</v>
      </c>
      <c r="G2087" s="27">
        <v>13089.03</v>
      </c>
      <c r="H2087" s="27">
        <v>17373.099999999999</v>
      </c>
      <c r="I2087" s="27">
        <v>279265.71000000002</v>
      </c>
      <c r="J2087" s="6">
        <v>785</v>
      </c>
      <c r="K2087" s="6">
        <v>14915</v>
      </c>
      <c r="L2087" s="27">
        <v>16.673923566878983</v>
      </c>
      <c r="M2087" s="27">
        <v>18.723815621857192</v>
      </c>
      <c r="N2087" s="34">
        <v>37.258916560509554</v>
      </c>
    </row>
    <row r="2088" spans="1:14" x14ac:dyDescent="0.35">
      <c r="A2088" s="82">
        <v>2085</v>
      </c>
      <c r="B2088" s="89" t="str">
        <f>_xlfn.XLOOKUP(A2088,'Model Modeshare by TAZ'!A:A,'Model Modeshare by TAZ'!B:B)</f>
        <v>Fremont</v>
      </c>
      <c r="C2088" s="90" t="str">
        <f>_xlfn.XLOOKUP(A2088,'Model Modeshare by TAZ'!A:A,'Model Modeshare by TAZ'!D:D)</f>
        <v>NO</v>
      </c>
      <c r="D2088" s="27">
        <v>6754.71</v>
      </c>
      <c r="E2088" s="27">
        <v>130613.68</v>
      </c>
      <c r="F2088" s="27">
        <v>7375.47</v>
      </c>
      <c r="G2088" s="27">
        <v>80006.509999999995</v>
      </c>
      <c r="H2088" s="27">
        <v>670.71</v>
      </c>
      <c r="I2088" s="27">
        <v>9875.59</v>
      </c>
      <c r="J2088" s="6">
        <v>4752</v>
      </c>
      <c r="K2088" s="6">
        <v>399</v>
      </c>
      <c r="L2088" s="27">
        <v>16.836386784511784</v>
      </c>
      <c r="M2088" s="27">
        <v>24.750852130325814</v>
      </c>
      <c r="N2088" s="34">
        <v>24.196163851679287</v>
      </c>
    </row>
    <row r="2089" spans="1:14" x14ac:dyDescent="0.35">
      <c r="A2089" s="82">
        <v>2086</v>
      </c>
      <c r="B2089" s="89" t="str">
        <f>_xlfn.XLOOKUP(A2089,'Model Modeshare by TAZ'!A:A,'Model Modeshare by TAZ'!B:B)</f>
        <v>Fremont</v>
      </c>
      <c r="C2089" s="90" t="str">
        <f>_xlfn.XLOOKUP(A2089,'Model Modeshare by TAZ'!A:A,'Model Modeshare by TAZ'!D:D)</f>
        <v>NO</v>
      </c>
      <c r="D2089" s="27">
        <v>10294.26</v>
      </c>
      <c r="E2089" s="27">
        <v>225529.49</v>
      </c>
      <c r="F2089" s="27">
        <v>6038.58</v>
      </c>
      <c r="G2089" s="27">
        <v>66694.94</v>
      </c>
      <c r="H2089" s="27">
        <v>1197.75</v>
      </c>
      <c r="I2089" s="27">
        <v>17809.14</v>
      </c>
      <c r="J2089" s="6">
        <v>4092</v>
      </c>
      <c r="K2089" s="6">
        <v>671</v>
      </c>
      <c r="L2089" s="27">
        <v>16.298861192570872</v>
      </c>
      <c r="M2089" s="27">
        <v>26.541192250372578</v>
      </c>
      <c r="N2089" s="34">
        <v>46.679960109174885</v>
      </c>
    </row>
    <row r="2090" spans="1:14" x14ac:dyDescent="0.35">
      <c r="A2090" s="82">
        <v>2087</v>
      </c>
      <c r="B2090" s="89" t="str">
        <f>_xlfn.XLOOKUP(A2090,'Model Modeshare by TAZ'!A:A,'Model Modeshare by TAZ'!B:B)</f>
        <v>Fremont</v>
      </c>
      <c r="C2090" s="90" t="str">
        <f>_xlfn.XLOOKUP(A2090,'Model Modeshare by TAZ'!A:A,'Model Modeshare by TAZ'!D:D)</f>
        <v>NO</v>
      </c>
      <c r="D2090" s="27">
        <v>14216.79</v>
      </c>
      <c r="E2090" s="27">
        <v>283660.5</v>
      </c>
      <c r="F2090" s="27">
        <v>14576.26</v>
      </c>
      <c r="G2090" s="27">
        <v>154490.9</v>
      </c>
      <c r="H2090" s="27">
        <v>2327.4699999999998</v>
      </c>
      <c r="I2090" s="27">
        <v>35415.99</v>
      </c>
      <c r="J2090" s="6">
        <v>10235</v>
      </c>
      <c r="K2090" s="6">
        <v>1335</v>
      </c>
      <c r="L2090" s="27">
        <v>15.094372252076209</v>
      </c>
      <c r="M2090" s="27">
        <v>26.528831460674155</v>
      </c>
      <c r="N2090" s="34">
        <v>23.59777700950735</v>
      </c>
    </row>
    <row r="2091" spans="1:14" x14ac:dyDescent="0.35">
      <c r="A2091" s="82">
        <v>2088</v>
      </c>
      <c r="B2091" s="89" t="str">
        <f>_xlfn.XLOOKUP(A2091,'Model Modeshare by TAZ'!A:A,'Model Modeshare by TAZ'!B:B)</f>
        <v>Fremont</v>
      </c>
      <c r="C2091" s="90" t="str">
        <f>_xlfn.XLOOKUP(A2091,'Model Modeshare by TAZ'!A:A,'Model Modeshare by TAZ'!D:D)</f>
        <v>NO</v>
      </c>
      <c r="D2091" s="27">
        <v>15932.59</v>
      </c>
      <c r="E2091" s="27">
        <v>305015.90000000002</v>
      </c>
      <c r="F2091" s="27">
        <v>9335.42</v>
      </c>
      <c r="G2091" s="27">
        <v>90542.11</v>
      </c>
      <c r="H2091" s="27">
        <v>3600.4</v>
      </c>
      <c r="I2091" s="27">
        <v>50531.31</v>
      </c>
      <c r="J2091" s="6">
        <v>7184</v>
      </c>
      <c r="K2091" s="6">
        <v>3119</v>
      </c>
      <c r="L2091" s="27">
        <v>12.603300389755011</v>
      </c>
      <c r="M2091" s="27">
        <v>16.201125360692529</v>
      </c>
      <c r="N2091" s="34">
        <v>23.962995244103659</v>
      </c>
    </row>
    <row r="2092" spans="1:14" x14ac:dyDescent="0.35">
      <c r="A2092" s="82">
        <v>2089</v>
      </c>
      <c r="B2092" s="89" t="str">
        <f>_xlfn.XLOOKUP(A2092,'Model Modeshare by TAZ'!A:A,'Model Modeshare by TAZ'!B:B)</f>
        <v>Fremont</v>
      </c>
      <c r="C2092" s="90" t="str">
        <f>_xlfn.XLOOKUP(A2092,'Model Modeshare by TAZ'!A:A,'Model Modeshare by TAZ'!D:D)</f>
        <v>NO</v>
      </c>
      <c r="D2092" s="27">
        <v>3741.61</v>
      </c>
      <c r="E2092" s="27">
        <v>70976.759999999995</v>
      </c>
      <c r="F2092" s="27">
        <v>4345.6400000000003</v>
      </c>
      <c r="G2092" s="27">
        <v>44748.76</v>
      </c>
      <c r="H2092" s="27">
        <v>547.97</v>
      </c>
      <c r="I2092" s="27">
        <v>7632.16</v>
      </c>
      <c r="J2092" s="6">
        <v>2992</v>
      </c>
      <c r="K2092" s="6">
        <v>313</v>
      </c>
      <c r="L2092" s="27">
        <v>14.956136363636364</v>
      </c>
      <c r="M2092" s="27">
        <v>24.383897763578275</v>
      </c>
      <c r="N2092" s="34">
        <v>21.750977307110439</v>
      </c>
    </row>
    <row r="2093" spans="1:14" x14ac:dyDescent="0.35">
      <c r="A2093" s="82">
        <v>2090</v>
      </c>
      <c r="B2093" s="89" t="str">
        <f>_xlfn.XLOOKUP(A2093,'Model Modeshare by TAZ'!A:A,'Model Modeshare by TAZ'!B:B)</f>
        <v>Fremont</v>
      </c>
      <c r="C2093" s="90" t="str">
        <f>_xlfn.XLOOKUP(A2093,'Model Modeshare by TAZ'!A:A,'Model Modeshare by TAZ'!D:D)</f>
        <v>NO</v>
      </c>
      <c r="D2093" s="27">
        <v>7844.54</v>
      </c>
      <c r="E2093" s="27">
        <v>139237.69</v>
      </c>
      <c r="F2093" s="27">
        <v>8710.59</v>
      </c>
      <c r="G2093" s="27">
        <v>87923.51</v>
      </c>
      <c r="H2093" s="27">
        <v>537.24</v>
      </c>
      <c r="I2093" s="27">
        <v>7459.25</v>
      </c>
      <c r="J2093" s="6">
        <v>6058</v>
      </c>
      <c r="K2093" s="6">
        <v>304</v>
      </c>
      <c r="L2093" s="27">
        <v>14.513620006602839</v>
      </c>
      <c r="M2093" s="27">
        <v>24.53700657894737</v>
      </c>
      <c r="N2093" s="34">
        <v>20.375466834328826</v>
      </c>
    </row>
    <row r="2094" spans="1:14" x14ac:dyDescent="0.35">
      <c r="A2094" s="82">
        <v>2091</v>
      </c>
      <c r="B2094" s="89" t="str">
        <f>_xlfn.XLOOKUP(A2094,'Model Modeshare by TAZ'!A:A,'Model Modeshare by TAZ'!B:B)</f>
        <v>Fremont</v>
      </c>
      <c r="C2094" s="90" t="str">
        <f>_xlfn.XLOOKUP(A2094,'Model Modeshare by TAZ'!A:A,'Model Modeshare by TAZ'!D:D)</f>
        <v>NO</v>
      </c>
      <c r="D2094" s="27">
        <v>10742.59</v>
      </c>
      <c r="E2094" s="27">
        <v>202769.06</v>
      </c>
      <c r="F2094" s="27">
        <v>10977.77</v>
      </c>
      <c r="G2094" s="27">
        <v>112982.65</v>
      </c>
      <c r="H2094" s="27">
        <v>885.36</v>
      </c>
      <c r="I2094" s="27">
        <v>12009.13</v>
      </c>
      <c r="J2094" s="6">
        <v>7413</v>
      </c>
      <c r="K2094" s="6">
        <v>515</v>
      </c>
      <c r="L2094" s="27">
        <v>15.241150681235666</v>
      </c>
      <c r="M2094" s="27">
        <v>23.318699029126211</v>
      </c>
      <c r="N2094" s="34">
        <v>21.924747729566093</v>
      </c>
    </row>
    <row r="2095" spans="1:14" x14ac:dyDescent="0.35">
      <c r="A2095" s="82">
        <v>2092</v>
      </c>
      <c r="B2095" s="89" t="str">
        <f>_xlfn.XLOOKUP(A2095,'Model Modeshare by TAZ'!A:A,'Model Modeshare by TAZ'!B:B)</f>
        <v>Fremont</v>
      </c>
      <c r="C2095" s="90" t="str">
        <f>_xlfn.XLOOKUP(A2095,'Model Modeshare by TAZ'!A:A,'Model Modeshare by TAZ'!D:D)</f>
        <v>NO</v>
      </c>
      <c r="D2095" s="27">
        <v>8236.41</v>
      </c>
      <c r="E2095" s="27">
        <v>147864.43</v>
      </c>
      <c r="F2095" s="27">
        <v>9964.65</v>
      </c>
      <c r="G2095" s="27">
        <v>99428.21</v>
      </c>
      <c r="H2095" s="27">
        <v>559.70000000000005</v>
      </c>
      <c r="I2095" s="27">
        <v>7326.49</v>
      </c>
      <c r="J2095" s="6">
        <v>6469</v>
      </c>
      <c r="K2095" s="6">
        <v>327</v>
      </c>
      <c r="L2095" s="27">
        <v>15.369950533312723</v>
      </c>
      <c r="M2095" s="27">
        <v>22.405168195718655</v>
      </c>
      <c r="N2095" s="34">
        <v>21.105466450853442</v>
      </c>
    </row>
    <row r="2096" spans="1:14" x14ac:dyDescent="0.35">
      <c r="A2096" s="82">
        <v>2093</v>
      </c>
      <c r="B2096" s="89" t="str">
        <f>_xlfn.XLOOKUP(A2096,'Model Modeshare by TAZ'!A:A,'Model Modeshare by TAZ'!B:B)</f>
        <v>Fremont</v>
      </c>
      <c r="C2096" s="90" t="str">
        <f>_xlfn.XLOOKUP(A2096,'Model Modeshare by TAZ'!A:A,'Model Modeshare by TAZ'!D:D)</f>
        <v>NO</v>
      </c>
      <c r="D2096" s="27">
        <v>19573.88</v>
      </c>
      <c r="E2096" s="27">
        <v>337424.53</v>
      </c>
      <c r="F2096" s="27">
        <v>13157.6</v>
      </c>
      <c r="G2096" s="27">
        <v>119270.79</v>
      </c>
      <c r="H2096" s="27">
        <v>3304.79</v>
      </c>
      <c r="I2096" s="27">
        <v>43754.57</v>
      </c>
      <c r="J2096" s="6">
        <v>9824</v>
      </c>
      <c r="K2096" s="6">
        <v>2316</v>
      </c>
      <c r="L2096" s="27">
        <v>12.140756311074918</v>
      </c>
      <c r="M2096" s="27">
        <v>18.892301381692572</v>
      </c>
      <c r="N2096" s="34">
        <v>21.609631795716638</v>
      </c>
    </row>
    <row r="2097" spans="1:14" x14ac:dyDescent="0.35">
      <c r="A2097" s="82">
        <v>2094</v>
      </c>
      <c r="B2097" s="89" t="str">
        <f>_xlfn.XLOOKUP(A2097,'Model Modeshare by TAZ'!A:A,'Model Modeshare by TAZ'!B:B)</f>
        <v>Fremont</v>
      </c>
      <c r="C2097" s="90" t="str">
        <f>_xlfn.XLOOKUP(A2097,'Model Modeshare by TAZ'!A:A,'Model Modeshare by TAZ'!D:D)</f>
        <v>NO</v>
      </c>
      <c r="D2097" s="27">
        <v>5811.81</v>
      </c>
      <c r="E2097" s="27">
        <v>111381.66</v>
      </c>
      <c r="F2097" s="27">
        <v>5612.95</v>
      </c>
      <c r="G2097" s="27">
        <v>55597.33</v>
      </c>
      <c r="H2097" s="27">
        <v>1093.8800000000001</v>
      </c>
      <c r="I2097" s="27">
        <v>14468.93</v>
      </c>
      <c r="J2097" s="6">
        <v>3820</v>
      </c>
      <c r="K2097" s="6">
        <v>641</v>
      </c>
      <c r="L2097" s="27">
        <v>14.554274869109948</v>
      </c>
      <c r="M2097" s="27">
        <v>22.572433697347893</v>
      </c>
      <c r="N2097" s="34">
        <v>22.656334902488233</v>
      </c>
    </row>
    <row r="2098" spans="1:14" x14ac:dyDescent="0.35">
      <c r="A2098" s="82">
        <v>2095</v>
      </c>
      <c r="B2098" s="89" t="str">
        <f>_xlfn.XLOOKUP(A2098,'Model Modeshare by TAZ'!A:A,'Model Modeshare by TAZ'!B:B)</f>
        <v>Fremont</v>
      </c>
      <c r="C2098" s="90" t="str">
        <f>_xlfn.XLOOKUP(A2098,'Model Modeshare by TAZ'!A:A,'Model Modeshare by TAZ'!D:D)</f>
        <v>NO</v>
      </c>
      <c r="D2098" s="27">
        <v>13511.02</v>
      </c>
      <c r="E2098" s="27">
        <v>237322.36</v>
      </c>
      <c r="F2098" s="27">
        <v>9848.4599999999991</v>
      </c>
      <c r="G2098" s="27">
        <v>89958.81</v>
      </c>
      <c r="H2098" s="27">
        <v>4337.43</v>
      </c>
      <c r="I2098" s="27">
        <v>54903.27</v>
      </c>
      <c r="J2098" s="6">
        <v>8628</v>
      </c>
      <c r="K2098" s="6">
        <v>4172</v>
      </c>
      <c r="L2098" s="27">
        <v>10.426380389429763</v>
      </c>
      <c r="M2098" s="27">
        <v>13.159940076701821</v>
      </c>
      <c r="N2098" s="34">
        <v>20.780203906249998</v>
      </c>
    </row>
    <row r="2099" spans="1:14" x14ac:dyDescent="0.35">
      <c r="A2099" s="82">
        <v>2096</v>
      </c>
      <c r="B2099" s="89" t="str">
        <f>_xlfn.XLOOKUP(A2099,'Model Modeshare by TAZ'!A:A,'Model Modeshare by TAZ'!B:B)</f>
        <v>Fremont</v>
      </c>
      <c r="C2099" s="90" t="str">
        <f>_xlfn.XLOOKUP(A2099,'Model Modeshare by TAZ'!A:A,'Model Modeshare by TAZ'!D:D)</f>
        <v>NO</v>
      </c>
      <c r="D2099" s="27">
        <v>11028.67</v>
      </c>
      <c r="E2099" s="27">
        <v>214955.34</v>
      </c>
      <c r="F2099" s="27">
        <v>10097.02</v>
      </c>
      <c r="G2099" s="27">
        <v>100560.46</v>
      </c>
      <c r="H2099" s="27">
        <v>2009.09</v>
      </c>
      <c r="I2099" s="27">
        <v>26144.639999999999</v>
      </c>
      <c r="J2099" s="6">
        <v>7319</v>
      </c>
      <c r="K2099" s="6">
        <v>1353</v>
      </c>
      <c r="L2099" s="27">
        <v>13.739644760213144</v>
      </c>
      <c r="M2099" s="27">
        <v>19.323458980044347</v>
      </c>
      <c r="N2099" s="34">
        <v>21.925793357933582</v>
      </c>
    </row>
    <row r="2100" spans="1:14" x14ac:dyDescent="0.35">
      <c r="A2100" s="82">
        <v>2097</v>
      </c>
      <c r="B2100" s="89" t="str">
        <f>_xlfn.XLOOKUP(A2100,'Model Modeshare by TAZ'!A:A,'Model Modeshare by TAZ'!B:B)</f>
        <v>Fremont</v>
      </c>
      <c r="C2100" s="90" t="str">
        <f>_xlfn.XLOOKUP(A2100,'Model Modeshare by TAZ'!A:A,'Model Modeshare by TAZ'!D:D)</f>
        <v>NO</v>
      </c>
      <c r="D2100" s="27">
        <v>6546.01</v>
      </c>
      <c r="E2100" s="27">
        <v>97648.639999999999</v>
      </c>
      <c r="F2100" s="27">
        <v>4042.45</v>
      </c>
      <c r="G2100" s="27">
        <v>34769.51</v>
      </c>
      <c r="H2100" s="27">
        <v>1440.56</v>
      </c>
      <c r="I2100" s="27">
        <v>18350.310000000001</v>
      </c>
      <c r="J2100" s="6">
        <v>2883</v>
      </c>
      <c r="K2100" s="6">
        <v>955</v>
      </c>
      <c r="L2100" s="27">
        <v>12.060183836281652</v>
      </c>
      <c r="M2100" s="27">
        <v>19.214984293193719</v>
      </c>
      <c r="N2100" s="34">
        <v>21.005992704533611</v>
      </c>
    </row>
    <row r="2101" spans="1:14" x14ac:dyDescent="0.35">
      <c r="A2101" s="82">
        <v>2098</v>
      </c>
      <c r="B2101" s="89" t="str">
        <f>_xlfn.XLOOKUP(A2101,'Model Modeshare by TAZ'!A:A,'Model Modeshare by TAZ'!B:B)</f>
        <v>Fremont</v>
      </c>
      <c r="C2101" s="90" t="str">
        <f>_xlfn.XLOOKUP(A2101,'Model Modeshare by TAZ'!A:A,'Model Modeshare by TAZ'!D:D)</f>
        <v>NO</v>
      </c>
      <c r="D2101" s="27">
        <v>5603.53</v>
      </c>
      <c r="E2101" s="27">
        <v>102785.93</v>
      </c>
      <c r="F2101" s="27">
        <v>4038.26</v>
      </c>
      <c r="G2101" s="27">
        <v>40750.089999999997</v>
      </c>
      <c r="H2101" s="27">
        <v>667.65</v>
      </c>
      <c r="I2101" s="27">
        <v>8243.4500000000007</v>
      </c>
      <c r="J2101" s="6">
        <v>2960</v>
      </c>
      <c r="K2101" s="6">
        <v>395</v>
      </c>
      <c r="L2101" s="27">
        <v>13.766922297297295</v>
      </c>
      <c r="M2101" s="27">
        <v>20.869493670886079</v>
      </c>
      <c r="N2101" s="34">
        <v>24.167353204172876</v>
      </c>
    </row>
    <row r="2102" spans="1:14" x14ac:dyDescent="0.35">
      <c r="A2102" s="82">
        <v>2099</v>
      </c>
      <c r="B2102" s="89" t="str">
        <f>_xlfn.XLOOKUP(A2102,'Model Modeshare by TAZ'!A:A,'Model Modeshare by TAZ'!B:B)</f>
        <v>Newark</v>
      </c>
      <c r="C2102" s="90" t="str">
        <f>_xlfn.XLOOKUP(A2102,'Model Modeshare by TAZ'!A:A,'Model Modeshare by TAZ'!D:D)</f>
        <v>NO</v>
      </c>
      <c r="D2102" s="27">
        <v>30880.080000000002</v>
      </c>
      <c r="E2102" s="27">
        <v>598433.91</v>
      </c>
      <c r="F2102" s="27">
        <v>13180.74</v>
      </c>
      <c r="G2102" s="27">
        <v>135084.57999999999</v>
      </c>
      <c r="H2102" s="27">
        <v>8682.16</v>
      </c>
      <c r="I2102" s="27">
        <v>111015.08</v>
      </c>
      <c r="J2102" s="6">
        <v>8917</v>
      </c>
      <c r="K2102" s="6">
        <v>7628</v>
      </c>
      <c r="L2102" s="27">
        <v>15.14910620163732</v>
      </c>
      <c r="M2102" s="27">
        <v>14.553628736234923</v>
      </c>
      <c r="N2102" s="34">
        <v>32.349871864611664</v>
      </c>
    </row>
    <row r="2103" spans="1:14" x14ac:dyDescent="0.35">
      <c r="A2103" s="82">
        <v>2100</v>
      </c>
      <c r="B2103" s="89" t="str">
        <f>_xlfn.XLOOKUP(A2103,'Model Modeshare by TAZ'!A:A,'Model Modeshare by TAZ'!B:B)</f>
        <v>Newark</v>
      </c>
      <c r="C2103" s="90" t="str">
        <f>_xlfn.XLOOKUP(A2103,'Model Modeshare by TAZ'!A:A,'Model Modeshare by TAZ'!D:D)</f>
        <v>NO</v>
      </c>
      <c r="D2103" s="27">
        <v>19519.990000000002</v>
      </c>
      <c r="E2103" s="27">
        <v>445737.88</v>
      </c>
      <c r="F2103" s="27">
        <v>13218.09</v>
      </c>
      <c r="G2103" s="27">
        <v>154178.6</v>
      </c>
      <c r="H2103" s="27">
        <v>7549.39</v>
      </c>
      <c r="I2103" s="27">
        <v>104219.36</v>
      </c>
      <c r="J2103" s="6">
        <v>9840</v>
      </c>
      <c r="K2103" s="6">
        <v>6333</v>
      </c>
      <c r="L2103" s="27">
        <v>15.668556910569107</v>
      </c>
      <c r="M2103" s="27">
        <v>16.456554555502922</v>
      </c>
      <c r="N2103" s="34">
        <v>28.515686638224203</v>
      </c>
    </row>
    <row r="2104" spans="1:14" x14ac:dyDescent="0.35">
      <c r="A2104" s="82">
        <v>2101</v>
      </c>
      <c r="B2104" s="89" t="str">
        <f>_xlfn.XLOOKUP(A2104,'Model Modeshare by TAZ'!A:A,'Model Modeshare by TAZ'!B:B)</f>
        <v>Fremont</v>
      </c>
      <c r="C2104" s="90" t="str">
        <f>_xlfn.XLOOKUP(A2104,'Model Modeshare by TAZ'!A:A,'Model Modeshare by TAZ'!D:D)</f>
        <v>NO</v>
      </c>
      <c r="D2104" s="27">
        <v>21609.94</v>
      </c>
      <c r="E2104" s="27">
        <v>471233.33</v>
      </c>
      <c r="F2104" s="27">
        <v>18737.830000000002</v>
      </c>
      <c r="G2104" s="27">
        <v>218431.5</v>
      </c>
      <c r="H2104" s="27">
        <v>4286.3999999999996</v>
      </c>
      <c r="I2104" s="27">
        <v>54765.84</v>
      </c>
      <c r="J2104" s="6">
        <v>13173</v>
      </c>
      <c r="K2104" s="6">
        <v>2821</v>
      </c>
      <c r="L2104" s="27">
        <v>16.581758141653381</v>
      </c>
      <c r="M2104" s="27">
        <v>19.413626373626371</v>
      </c>
      <c r="N2104" s="34">
        <v>25.016103538827061</v>
      </c>
    </row>
    <row r="2105" spans="1:14" x14ac:dyDescent="0.35">
      <c r="A2105" s="82">
        <v>2102</v>
      </c>
      <c r="B2105" s="89" t="str">
        <f>_xlfn.XLOOKUP(A2105,'Model Modeshare by TAZ'!A:A,'Model Modeshare by TAZ'!B:B)</f>
        <v>Newark</v>
      </c>
      <c r="C2105" s="90" t="str">
        <f>_xlfn.XLOOKUP(A2105,'Model Modeshare by TAZ'!A:A,'Model Modeshare by TAZ'!D:D)</f>
        <v>NO</v>
      </c>
      <c r="D2105" s="27">
        <v>11457.43</v>
      </c>
      <c r="E2105" s="27">
        <v>214758.77</v>
      </c>
      <c r="F2105" s="27">
        <v>8833.89</v>
      </c>
      <c r="G2105" s="27">
        <v>92575.53</v>
      </c>
      <c r="H2105" s="27">
        <v>2020.15</v>
      </c>
      <c r="I2105" s="27">
        <v>25471.96</v>
      </c>
      <c r="J2105" s="6">
        <v>6590</v>
      </c>
      <c r="K2105" s="6">
        <v>1133</v>
      </c>
      <c r="L2105" s="27">
        <v>14.047880121396055</v>
      </c>
      <c r="M2105" s="27">
        <v>22.481871138570167</v>
      </c>
      <c r="N2105" s="34">
        <v>24.060525702447237</v>
      </c>
    </row>
    <row r="2106" spans="1:14" x14ac:dyDescent="0.35">
      <c r="A2106" s="82">
        <v>2103</v>
      </c>
      <c r="B2106" s="89" t="str">
        <f>_xlfn.XLOOKUP(A2106,'Model Modeshare by TAZ'!A:A,'Model Modeshare by TAZ'!B:B)</f>
        <v>Newark</v>
      </c>
      <c r="C2106" s="90" t="str">
        <f>_xlfn.XLOOKUP(A2106,'Model Modeshare by TAZ'!A:A,'Model Modeshare by TAZ'!D:D)</f>
        <v>NO</v>
      </c>
      <c r="D2106" s="27">
        <v>12184.97</v>
      </c>
      <c r="E2106" s="27">
        <v>177994.14</v>
      </c>
      <c r="F2106" s="27">
        <v>9707.64</v>
      </c>
      <c r="G2106" s="27">
        <v>83529.119999999995</v>
      </c>
      <c r="H2106" s="27">
        <v>2313.46</v>
      </c>
      <c r="I2106" s="27">
        <v>28398.19</v>
      </c>
      <c r="J2106" s="6">
        <v>7400</v>
      </c>
      <c r="K2106" s="6">
        <v>1594</v>
      </c>
      <c r="L2106" s="27">
        <v>11.287718918918918</v>
      </c>
      <c r="M2106" s="27">
        <v>17.815677540777916</v>
      </c>
      <c r="N2106" s="34">
        <v>19.359684233933734</v>
      </c>
    </row>
    <row r="2107" spans="1:14" x14ac:dyDescent="0.35">
      <c r="A2107" s="82">
        <v>2104</v>
      </c>
      <c r="B2107" s="89" t="str">
        <f>_xlfn.XLOOKUP(A2107,'Model Modeshare by TAZ'!A:A,'Model Modeshare by TAZ'!B:B)</f>
        <v>Newark</v>
      </c>
      <c r="C2107" s="90" t="str">
        <f>_xlfn.XLOOKUP(A2107,'Model Modeshare by TAZ'!A:A,'Model Modeshare by TAZ'!D:D)</f>
        <v>NO</v>
      </c>
      <c r="D2107" s="27">
        <v>6695.97</v>
      </c>
      <c r="E2107" s="27">
        <v>133449.25</v>
      </c>
      <c r="F2107" s="27">
        <v>7417.69</v>
      </c>
      <c r="G2107" s="27">
        <v>83409.53</v>
      </c>
      <c r="H2107" s="27">
        <v>636.04999999999995</v>
      </c>
      <c r="I2107" s="27">
        <v>7876.54</v>
      </c>
      <c r="J2107" s="6">
        <v>5295</v>
      </c>
      <c r="K2107" s="6">
        <v>352</v>
      </c>
      <c r="L2107" s="27">
        <v>15.752508026440038</v>
      </c>
      <c r="M2107" s="27">
        <v>22.37653409090909</v>
      </c>
      <c r="N2107" s="34">
        <v>22.693458473525766</v>
      </c>
    </row>
    <row r="2108" spans="1:14" x14ac:dyDescent="0.35">
      <c r="A2108" s="82">
        <v>2105</v>
      </c>
      <c r="B2108" s="89" t="str">
        <f>_xlfn.XLOOKUP(A2108,'Model Modeshare by TAZ'!A:A,'Model Modeshare by TAZ'!B:B)</f>
        <v>Newark</v>
      </c>
      <c r="C2108" s="90" t="str">
        <f>_xlfn.XLOOKUP(A2108,'Model Modeshare by TAZ'!A:A,'Model Modeshare by TAZ'!D:D)</f>
        <v>NO</v>
      </c>
      <c r="D2108" s="27">
        <v>10754.14</v>
      </c>
      <c r="E2108" s="27">
        <v>150974.82999999999</v>
      </c>
      <c r="F2108" s="27">
        <v>8363.06</v>
      </c>
      <c r="G2108" s="27">
        <v>64181.43</v>
      </c>
      <c r="H2108" s="27">
        <v>2616.94</v>
      </c>
      <c r="I2108" s="27">
        <v>31982.18</v>
      </c>
      <c r="J2108" s="6">
        <v>6915</v>
      </c>
      <c r="K2108" s="6">
        <v>2264</v>
      </c>
      <c r="L2108" s="27">
        <v>9.2814793926247283</v>
      </c>
      <c r="M2108" s="27">
        <v>14.126404593639576</v>
      </c>
      <c r="N2108" s="34">
        <v>15.558487852707264</v>
      </c>
    </row>
    <row r="2109" spans="1:14" x14ac:dyDescent="0.35">
      <c r="A2109" s="82">
        <v>2106</v>
      </c>
      <c r="B2109" s="89" t="str">
        <f>_xlfn.XLOOKUP(A2109,'Model Modeshare by TAZ'!A:A,'Model Modeshare by TAZ'!B:B)</f>
        <v>Fremont</v>
      </c>
      <c r="C2109" s="90" t="str">
        <f>_xlfn.XLOOKUP(A2109,'Model Modeshare by TAZ'!A:A,'Model Modeshare by TAZ'!D:D)</f>
        <v>NO</v>
      </c>
      <c r="D2109" s="27">
        <v>13324.19</v>
      </c>
      <c r="E2109" s="27">
        <v>199647</v>
      </c>
      <c r="F2109" s="27">
        <v>9710.34</v>
      </c>
      <c r="G2109" s="27">
        <v>80968.25</v>
      </c>
      <c r="H2109" s="27">
        <v>3232.33</v>
      </c>
      <c r="I2109" s="27">
        <v>37067.449999999997</v>
      </c>
      <c r="J2109" s="6">
        <v>7622</v>
      </c>
      <c r="K2109" s="6">
        <v>2773</v>
      </c>
      <c r="L2109" s="27">
        <v>10.622966413014957</v>
      </c>
      <c r="M2109" s="27">
        <v>13.367273710782545</v>
      </c>
      <c r="N2109" s="34">
        <v>16.628923520923522</v>
      </c>
    </row>
    <row r="2110" spans="1:14" x14ac:dyDescent="0.35">
      <c r="A2110" s="82">
        <v>2107</v>
      </c>
      <c r="B2110" s="89" t="str">
        <f>_xlfn.XLOOKUP(A2110,'Model Modeshare by TAZ'!A:A,'Model Modeshare by TAZ'!B:B)</f>
        <v>Fremont</v>
      </c>
      <c r="C2110" s="90" t="str">
        <f>_xlfn.XLOOKUP(A2110,'Model Modeshare by TAZ'!A:A,'Model Modeshare by TAZ'!D:D)</f>
        <v>NO</v>
      </c>
      <c r="D2110" s="27">
        <v>12212.58</v>
      </c>
      <c r="E2110" s="27">
        <v>228087.24</v>
      </c>
      <c r="F2110" s="27">
        <v>12292.14</v>
      </c>
      <c r="G2110" s="27">
        <v>128171.77</v>
      </c>
      <c r="H2110" s="27">
        <v>1187.21</v>
      </c>
      <c r="I2110" s="27">
        <v>14889.36</v>
      </c>
      <c r="J2110" s="6">
        <v>9125</v>
      </c>
      <c r="K2110" s="6">
        <v>685</v>
      </c>
      <c r="L2110" s="27">
        <v>14.046221369863014</v>
      </c>
      <c r="M2110" s="27">
        <v>21.73629197080292</v>
      </c>
      <c r="N2110" s="34">
        <v>21.03897757390418</v>
      </c>
    </row>
    <row r="2111" spans="1:14" x14ac:dyDescent="0.35">
      <c r="A2111" s="82">
        <v>2108</v>
      </c>
      <c r="B2111" s="89" t="str">
        <f>_xlfn.XLOOKUP(A2111,'Model Modeshare by TAZ'!A:A,'Model Modeshare by TAZ'!B:B)</f>
        <v>Fremont</v>
      </c>
      <c r="C2111" s="90" t="str">
        <f>_xlfn.XLOOKUP(A2111,'Model Modeshare by TAZ'!A:A,'Model Modeshare by TAZ'!D:D)</f>
        <v>NO</v>
      </c>
      <c r="D2111" s="27">
        <v>12272.52</v>
      </c>
      <c r="E2111" s="27">
        <v>208992.46</v>
      </c>
      <c r="F2111" s="27">
        <v>9667.32</v>
      </c>
      <c r="G2111" s="27">
        <v>86930.27</v>
      </c>
      <c r="H2111" s="27">
        <v>2108.4499999999998</v>
      </c>
      <c r="I2111" s="27">
        <v>24306.52</v>
      </c>
      <c r="J2111" s="6">
        <v>7159</v>
      </c>
      <c r="K2111" s="6">
        <v>1489</v>
      </c>
      <c r="L2111" s="27">
        <v>12.142795083112167</v>
      </c>
      <c r="M2111" s="27">
        <v>16.324056413700472</v>
      </c>
      <c r="N2111" s="34">
        <v>20.309019426456985</v>
      </c>
    </row>
    <row r="2112" spans="1:14" x14ac:dyDescent="0.35">
      <c r="A2112" s="82">
        <v>2109</v>
      </c>
      <c r="B2112" s="89" t="str">
        <f>_xlfn.XLOOKUP(A2112,'Model Modeshare by TAZ'!A:A,'Model Modeshare by TAZ'!B:B)</f>
        <v>Fremont</v>
      </c>
      <c r="C2112" s="90" t="str">
        <f>_xlfn.XLOOKUP(A2112,'Model Modeshare by TAZ'!A:A,'Model Modeshare by TAZ'!D:D)</f>
        <v>NO</v>
      </c>
      <c r="D2112" s="27">
        <v>24209.83</v>
      </c>
      <c r="E2112" s="27">
        <v>493475.59</v>
      </c>
      <c r="F2112" s="27">
        <v>7274.06</v>
      </c>
      <c r="G2112" s="27">
        <v>79378.91</v>
      </c>
      <c r="H2112" s="27">
        <v>9841.8700000000008</v>
      </c>
      <c r="I2112" s="27">
        <v>131414.26999999999</v>
      </c>
      <c r="J2112" s="6">
        <v>5671</v>
      </c>
      <c r="K2112" s="6">
        <v>9551</v>
      </c>
      <c r="L2112" s="27">
        <v>13.997339093634281</v>
      </c>
      <c r="M2112" s="27">
        <v>13.759215788922624</v>
      </c>
      <c r="N2112" s="34">
        <v>31.341139797661281</v>
      </c>
    </row>
    <row r="2113" spans="1:14" x14ac:dyDescent="0.35">
      <c r="A2113" s="82">
        <v>2110</v>
      </c>
      <c r="B2113" s="89" t="str">
        <f>_xlfn.XLOOKUP(A2113,'Model Modeshare by TAZ'!A:A,'Model Modeshare by TAZ'!B:B)</f>
        <v>Fremont</v>
      </c>
      <c r="C2113" s="90" t="str">
        <f>_xlfn.XLOOKUP(A2113,'Model Modeshare by TAZ'!A:A,'Model Modeshare by TAZ'!D:D)</f>
        <v>NO</v>
      </c>
      <c r="D2113" s="27">
        <v>26230.48</v>
      </c>
      <c r="E2113" s="27">
        <v>445400.61</v>
      </c>
      <c r="F2113" s="27">
        <v>20242.68</v>
      </c>
      <c r="G2113" s="27">
        <v>174153.08</v>
      </c>
      <c r="H2113" s="27">
        <v>8927.7999999999993</v>
      </c>
      <c r="I2113" s="27">
        <v>104057.2</v>
      </c>
      <c r="J2113" s="6">
        <v>14331</v>
      </c>
      <c r="K2113" s="6">
        <v>8598</v>
      </c>
      <c r="L2113" s="27">
        <v>12.152193147721722</v>
      </c>
      <c r="M2113" s="27">
        <v>12.102488950918818</v>
      </c>
      <c r="N2113" s="34">
        <v>21.240782415281959</v>
      </c>
    </row>
    <row r="2114" spans="1:14" x14ac:dyDescent="0.35">
      <c r="A2114" s="82">
        <v>2111</v>
      </c>
      <c r="B2114" s="89" t="str">
        <f>_xlfn.XLOOKUP(A2114,'Model Modeshare by TAZ'!A:A,'Model Modeshare by TAZ'!B:B)</f>
        <v>Fremont</v>
      </c>
      <c r="C2114" s="90" t="str">
        <f>_xlfn.XLOOKUP(A2114,'Model Modeshare by TAZ'!A:A,'Model Modeshare by TAZ'!D:D)</f>
        <v>NO</v>
      </c>
      <c r="D2114" s="27">
        <v>8621.36</v>
      </c>
      <c r="E2114" s="27">
        <v>166823.63</v>
      </c>
      <c r="F2114" s="27">
        <v>7525.67</v>
      </c>
      <c r="G2114" s="27">
        <v>77761.539999999994</v>
      </c>
      <c r="H2114" s="27">
        <v>873.01</v>
      </c>
      <c r="I2114" s="27">
        <v>12370.51</v>
      </c>
      <c r="J2114" s="6">
        <v>5353</v>
      </c>
      <c r="K2114" s="6">
        <v>496</v>
      </c>
      <c r="L2114" s="27">
        <v>14.526721464599289</v>
      </c>
      <c r="M2114" s="27">
        <v>24.94054435483871</v>
      </c>
      <c r="N2114" s="34">
        <v>22.888411694306722</v>
      </c>
    </row>
    <row r="2115" spans="1:14" x14ac:dyDescent="0.35">
      <c r="A2115" s="82">
        <v>2112</v>
      </c>
      <c r="B2115" s="89" t="str">
        <f>_xlfn.XLOOKUP(A2115,'Model Modeshare by TAZ'!A:A,'Model Modeshare by TAZ'!B:B)</f>
        <v>Fremont</v>
      </c>
      <c r="C2115" s="90" t="str">
        <f>_xlfn.XLOOKUP(A2115,'Model Modeshare by TAZ'!A:A,'Model Modeshare by TAZ'!D:D)</f>
        <v>NO</v>
      </c>
      <c r="D2115" s="27">
        <v>5438.15</v>
      </c>
      <c r="E2115" s="27">
        <v>103136.69</v>
      </c>
      <c r="F2115" s="27">
        <v>4813.43</v>
      </c>
      <c r="G2115" s="27">
        <v>46669</v>
      </c>
      <c r="H2115" s="27">
        <v>929.57</v>
      </c>
      <c r="I2115" s="27">
        <v>12610.95</v>
      </c>
      <c r="J2115" s="6">
        <v>3304</v>
      </c>
      <c r="K2115" s="6">
        <v>595</v>
      </c>
      <c r="L2115" s="27">
        <v>14.125</v>
      </c>
      <c r="M2115" s="27">
        <v>21.194873949579833</v>
      </c>
      <c r="N2115" s="34">
        <v>22.192613490638625</v>
      </c>
    </row>
    <row r="2116" spans="1:14" x14ac:dyDescent="0.35">
      <c r="A2116" s="82">
        <v>2113</v>
      </c>
      <c r="B2116" s="89" t="str">
        <f>_xlfn.XLOOKUP(A2116,'Model Modeshare by TAZ'!A:A,'Model Modeshare by TAZ'!B:B)</f>
        <v>Fremont</v>
      </c>
      <c r="C2116" s="90" t="str">
        <f>_xlfn.XLOOKUP(A2116,'Model Modeshare by TAZ'!A:A,'Model Modeshare by TAZ'!D:D)</f>
        <v>NO</v>
      </c>
      <c r="D2116" s="27">
        <v>5873.18</v>
      </c>
      <c r="E2116" s="27">
        <v>123686.59</v>
      </c>
      <c r="F2116" s="27">
        <v>6920.37</v>
      </c>
      <c r="G2116" s="27">
        <v>77343.88</v>
      </c>
      <c r="H2116" s="27">
        <v>601.72</v>
      </c>
      <c r="I2116" s="27">
        <v>8019.31</v>
      </c>
      <c r="J2116" s="6">
        <v>4346</v>
      </c>
      <c r="K2116" s="6">
        <v>331</v>
      </c>
      <c r="L2116" s="27">
        <v>17.796566958122412</v>
      </c>
      <c r="M2116" s="27">
        <v>24.227522658610273</v>
      </c>
      <c r="N2116" s="34">
        <v>25.687429976480651</v>
      </c>
    </row>
    <row r="2117" spans="1:14" x14ac:dyDescent="0.35">
      <c r="A2117" s="82">
        <v>2114</v>
      </c>
      <c r="B2117" s="89" t="str">
        <f>_xlfn.XLOOKUP(A2117,'Model Modeshare by TAZ'!A:A,'Model Modeshare by TAZ'!B:B)</f>
        <v>Fremont</v>
      </c>
      <c r="C2117" s="90" t="str">
        <f>_xlfn.XLOOKUP(A2117,'Model Modeshare by TAZ'!A:A,'Model Modeshare by TAZ'!D:D)</f>
        <v>NO</v>
      </c>
      <c r="D2117" s="27">
        <v>10030.42</v>
      </c>
      <c r="E2117" s="27">
        <v>187490.91</v>
      </c>
      <c r="F2117" s="27">
        <v>10414.92</v>
      </c>
      <c r="G2117" s="27">
        <v>110032.26</v>
      </c>
      <c r="H2117" s="27">
        <v>1156.7</v>
      </c>
      <c r="I2117" s="27">
        <v>13657.51</v>
      </c>
      <c r="J2117" s="6">
        <v>6983</v>
      </c>
      <c r="K2117" s="6">
        <v>669</v>
      </c>
      <c r="L2117" s="27">
        <v>15.757161678361735</v>
      </c>
      <c r="M2117" s="27">
        <v>20.414813153961138</v>
      </c>
      <c r="N2117" s="34">
        <v>22.733900940930475</v>
      </c>
    </row>
    <row r="2118" spans="1:14" x14ac:dyDescent="0.35">
      <c r="A2118" s="82">
        <v>2115</v>
      </c>
      <c r="B2118" s="89" t="str">
        <f>_xlfn.XLOOKUP(A2118,'Model Modeshare by TAZ'!A:A,'Model Modeshare by TAZ'!B:B)</f>
        <v>Fremont</v>
      </c>
      <c r="C2118" s="90" t="str">
        <f>_xlfn.XLOOKUP(A2118,'Model Modeshare by TAZ'!A:A,'Model Modeshare by TAZ'!D:D)</f>
        <v>NO</v>
      </c>
      <c r="D2118" s="27">
        <v>3794.61</v>
      </c>
      <c r="E2118" s="27">
        <v>63158.1</v>
      </c>
      <c r="F2118" s="27">
        <v>4772.07</v>
      </c>
      <c r="G2118" s="27">
        <v>46694.48</v>
      </c>
      <c r="H2118" s="27">
        <v>265.74</v>
      </c>
      <c r="I2118" s="27">
        <v>2976.79</v>
      </c>
      <c r="J2118" s="6">
        <v>3303</v>
      </c>
      <c r="K2118" s="6">
        <v>146</v>
      </c>
      <c r="L2118" s="27">
        <v>14.136990614592795</v>
      </c>
      <c r="M2118" s="27">
        <v>20.388972602739727</v>
      </c>
      <c r="N2118" s="34">
        <v>20.337999420121772</v>
      </c>
    </row>
    <row r="2119" spans="1:14" x14ac:dyDescent="0.35">
      <c r="A2119" s="82">
        <v>2116</v>
      </c>
      <c r="B2119" s="89" t="str">
        <f>_xlfn.XLOOKUP(A2119,'Model Modeshare by TAZ'!A:A,'Model Modeshare by TAZ'!B:B)</f>
        <v>Fremont</v>
      </c>
      <c r="C2119" s="90" t="str">
        <f>_xlfn.XLOOKUP(A2119,'Model Modeshare by TAZ'!A:A,'Model Modeshare by TAZ'!D:D)</f>
        <v>NO</v>
      </c>
      <c r="D2119" s="27">
        <v>9594.7000000000007</v>
      </c>
      <c r="E2119" s="27">
        <v>146785.93</v>
      </c>
      <c r="F2119" s="27">
        <v>7950.4</v>
      </c>
      <c r="G2119" s="27">
        <v>75906.64</v>
      </c>
      <c r="H2119" s="27">
        <v>1178.69</v>
      </c>
      <c r="I2119" s="27">
        <v>13509.71</v>
      </c>
      <c r="J2119" s="6">
        <v>5788</v>
      </c>
      <c r="K2119" s="6">
        <v>674</v>
      </c>
      <c r="L2119" s="27">
        <v>13.114485141672425</v>
      </c>
      <c r="M2119" s="27">
        <v>20.04408011869436</v>
      </c>
      <c r="N2119" s="34">
        <v>19.500242958836274</v>
      </c>
    </row>
    <row r="2120" spans="1:14" x14ac:dyDescent="0.35">
      <c r="A2120" s="82">
        <v>2117</v>
      </c>
      <c r="B2120" s="89" t="str">
        <f>_xlfn.XLOOKUP(A2120,'Model Modeshare by TAZ'!A:A,'Model Modeshare by TAZ'!B:B)</f>
        <v>Fremont</v>
      </c>
      <c r="C2120" s="90" t="str">
        <f>_xlfn.XLOOKUP(A2120,'Model Modeshare by TAZ'!A:A,'Model Modeshare by TAZ'!D:D)</f>
        <v>NO</v>
      </c>
      <c r="D2120" s="27">
        <v>9762.7900000000009</v>
      </c>
      <c r="E2120" s="27">
        <v>168373.73</v>
      </c>
      <c r="F2120" s="27">
        <v>9201.06</v>
      </c>
      <c r="G2120" s="27">
        <v>92599.99</v>
      </c>
      <c r="H2120" s="27">
        <v>1212.05</v>
      </c>
      <c r="I2120" s="27">
        <v>13805.09</v>
      </c>
      <c r="J2120" s="6">
        <v>7012</v>
      </c>
      <c r="K2120" s="6">
        <v>687</v>
      </c>
      <c r="L2120" s="27">
        <v>13.20593126069595</v>
      </c>
      <c r="M2120" s="27">
        <v>20.094745269286754</v>
      </c>
      <c r="N2120" s="34">
        <v>19.239098584231719</v>
      </c>
    </row>
    <row r="2121" spans="1:14" x14ac:dyDescent="0.35">
      <c r="A2121" s="82">
        <v>2118</v>
      </c>
      <c r="B2121" s="89" t="str">
        <f>_xlfn.XLOOKUP(A2121,'Model Modeshare by TAZ'!A:A,'Model Modeshare by TAZ'!B:B)</f>
        <v>Fremont</v>
      </c>
      <c r="C2121" s="90" t="str">
        <f>_xlfn.XLOOKUP(A2121,'Model Modeshare by TAZ'!A:A,'Model Modeshare by TAZ'!D:D)</f>
        <v>NO</v>
      </c>
      <c r="D2121" s="27">
        <v>5973.76</v>
      </c>
      <c r="E2121" s="27">
        <v>115837.23</v>
      </c>
      <c r="F2121" s="27">
        <v>6667.94</v>
      </c>
      <c r="G2121" s="27">
        <v>75453.58</v>
      </c>
      <c r="H2121" s="27">
        <v>453.92</v>
      </c>
      <c r="I2121" s="27">
        <v>5463.87</v>
      </c>
      <c r="J2121" s="6">
        <v>4699</v>
      </c>
      <c r="K2121" s="6">
        <v>260</v>
      </c>
      <c r="L2121" s="27">
        <v>16.057369653117686</v>
      </c>
      <c r="M2121" s="27">
        <v>21.014884615384616</v>
      </c>
      <c r="N2121" s="34">
        <v>22.789691470054446</v>
      </c>
    </row>
    <row r="2122" spans="1:14" x14ac:dyDescent="0.35">
      <c r="A2122" s="82">
        <v>2119</v>
      </c>
      <c r="B2122" s="89" t="str">
        <f>_xlfn.XLOOKUP(A2122,'Model Modeshare by TAZ'!A:A,'Model Modeshare by TAZ'!B:B)</f>
        <v>Fremont</v>
      </c>
      <c r="C2122" s="90" t="str">
        <f>_xlfn.XLOOKUP(A2122,'Model Modeshare by TAZ'!A:A,'Model Modeshare by TAZ'!D:D)</f>
        <v>NO</v>
      </c>
      <c r="D2122" s="27">
        <v>10407.44</v>
      </c>
      <c r="E2122" s="27">
        <v>207352.26</v>
      </c>
      <c r="F2122" s="27">
        <v>10197.15</v>
      </c>
      <c r="G2122" s="27">
        <v>117513.4</v>
      </c>
      <c r="H2122" s="27">
        <v>846.47</v>
      </c>
      <c r="I2122" s="27">
        <v>9931.42</v>
      </c>
      <c r="J2122" s="6">
        <v>7157</v>
      </c>
      <c r="K2122" s="6">
        <v>463</v>
      </c>
      <c r="L2122" s="27">
        <v>16.419365656001116</v>
      </c>
      <c r="M2122" s="27">
        <v>21.450151187904968</v>
      </c>
      <c r="N2122" s="34">
        <v>24.479366141732282</v>
      </c>
    </row>
    <row r="2123" spans="1:14" x14ac:dyDescent="0.35">
      <c r="A2123" s="82">
        <v>2120</v>
      </c>
      <c r="B2123" s="89" t="str">
        <f>_xlfn.XLOOKUP(A2123,'Model Modeshare by TAZ'!A:A,'Model Modeshare by TAZ'!B:B)</f>
        <v>Fremont</v>
      </c>
      <c r="C2123" s="90" t="str">
        <f>_xlfn.XLOOKUP(A2123,'Model Modeshare by TAZ'!A:A,'Model Modeshare by TAZ'!D:D)</f>
        <v>NO</v>
      </c>
      <c r="D2123" s="27">
        <v>8132.06</v>
      </c>
      <c r="E2123" s="27">
        <v>166142.5</v>
      </c>
      <c r="F2123" s="27">
        <v>8427.11</v>
      </c>
      <c r="G2123" s="27">
        <v>99433.01</v>
      </c>
      <c r="H2123" s="27">
        <v>515.91999999999996</v>
      </c>
      <c r="I2123" s="27">
        <v>6284.62</v>
      </c>
      <c r="J2123" s="6">
        <v>6009</v>
      </c>
      <c r="K2123" s="6">
        <v>293</v>
      </c>
      <c r="L2123" s="27">
        <v>16.547347312364785</v>
      </c>
      <c r="M2123" s="27">
        <v>21.449215017064844</v>
      </c>
      <c r="N2123" s="34">
        <v>23.11241827991114</v>
      </c>
    </row>
    <row r="2124" spans="1:14" x14ac:dyDescent="0.35">
      <c r="A2124" s="82">
        <v>2121</v>
      </c>
      <c r="B2124" s="89" t="str">
        <f>_xlfn.XLOOKUP(A2124,'Model Modeshare by TAZ'!A:A,'Model Modeshare by TAZ'!B:B)</f>
        <v>Fremont</v>
      </c>
      <c r="C2124" s="90" t="str">
        <f>_xlfn.XLOOKUP(A2124,'Model Modeshare by TAZ'!A:A,'Model Modeshare by TAZ'!D:D)</f>
        <v>NO</v>
      </c>
      <c r="D2124" s="27">
        <v>5648.73</v>
      </c>
      <c r="E2124" s="27">
        <v>119154.57</v>
      </c>
      <c r="F2124" s="27">
        <v>7303.81</v>
      </c>
      <c r="G2124" s="27">
        <v>89603.7</v>
      </c>
      <c r="H2124" s="27">
        <v>213.97</v>
      </c>
      <c r="I2124" s="27">
        <v>2667.4</v>
      </c>
      <c r="J2124" s="6">
        <v>5163</v>
      </c>
      <c r="K2124" s="6">
        <v>127</v>
      </c>
      <c r="L2124" s="27">
        <v>17.354968041836141</v>
      </c>
      <c r="M2124" s="27">
        <v>21.003149606299214</v>
      </c>
      <c r="N2124" s="34">
        <v>23.524550094517956</v>
      </c>
    </row>
    <row r="2125" spans="1:14" x14ac:dyDescent="0.35">
      <c r="A2125" s="82">
        <v>2122</v>
      </c>
      <c r="B2125" s="89" t="str">
        <f>_xlfn.XLOOKUP(A2125,'Model Modeshare by TAZ'!A:A,'Model Modeshare by TAZ'!B:B)</f>
        <v>Union City</v>
      </c>
      <c r="C2125" s="90" t="str">
        <f>_xlfn.XLOOKUP(A2125,'Model Modeshare by TAZ'!A:A,'Model Modeshare by TAZ'!D:D)</f>
        <v>NO</v>
      </c>
      <c r="D2125" s="27">
        <v>8807.06</v>
      </c>
      <c r="E2125" s="27">
        <v>184762.46</v>
      </c>
      <c r="F2125" s="27">
        <v>8964.98</v>
      </c>
      <c r="G2125" s="27">
        <v>107961.44</v>
      </c>
      <c r="H2125" s="27">
        <v>340.85</v>
      </c>
      <c r="I2125" s="27">
        <v>4228.2700000000004</v>
      </c>
      <c r="J2125" s="6">
        <v>6236</v>
      </c>
      <c r="K2125" s="6">
        <v>197</v>
      </c>
      <c r="L2125" s="27">
        <v>17.312610647851187</v>
      </c>
      <c r="M2125" s="27">
        <v>21.46329949238579</v>
      </c>
      <c r="N2125" s="34">
        <v>22.521748795274366</v>
      </c>
    </row>
    <row r="2126" spans="1:14" x14ac:dyDescent="0.35">
      <c r="A2126" s="82">
        <v>2123</v>
      </c>
      <c r="B2126" s="89" t="str">
        <f>_xlfn.XLOOKUP(A2126,'Model Modeshare by TAZ'!A:A,'Model Modeshare by TAZ'!B:B)</f>
        <v>Union City</v>
      </c>
      <c r="C2126" s="90" t="str">
        <f>_xlfn.XLOOKUP(A2126,'Model Modeshare by TAZ'!A:A,'Model Modeshare by TAZ'!D:D)</f>
        <v>NO</v>
      </c>
      <c r="D2126" s="27">
        <v>4513.13</v>
      </c>
      <c r="E2126" s="27">
        <v>88916.58</v>
      </c>
      <c r="F2126" s="27">
        <v>5493.77</v>
      </c>
      <c r="G2126" s="27">
        <v>64252.49</v>
      </c>
      <c r="H2126" s="27">
        <v>384.78</v>
      </c>
      <c r="I2126" s="27">
        <v>4700.29</v>
      </c>
      <c r="J2126" s="6">
        <v>3921</v>
      </c>
      <c r="K2126" s="6">
        <v>211</v>
      </c>
      <c r="L2126" s="27">
        <v>16.386761030349401</v>
      </c>
      <c r="M2126" s="27">
        <v>22.276255924170616</v>
      </c>
      <c r="N2126" s="34">
        <v>22.090588092933203</v>
      </c>
    </row>
    <row r="2127" spans="1:14" x14ac:dyDescent="0.35">
      <c r="A2127" s="82">
        <v>2124</v>
      </c>
      <c r="B2127" s="89" t="str">
        <f>_xlfn.XLOOKUP(A2127,'Model Modeshare by TAZ'!A:A,'Model Modeshare by TAZ'!B:B)</f>
        <v>Union City</v>
      </c>
      <c r="C2127" s="90" t="str">
        <f>_xlfn.XLOOKUP(A2127,'Model Modeshare by TAZ'!A:A,'Model Modeshare by TAZ'!D:D)</f>
        <v>NO</v>
      </c>
      <c r="D2127" s="27">
        <v>3461.92</v>
      </c>
      <c r="E2127" s="27">
        <v>69080.22</v>
      </c>
      <c r="F2127" s="27">
        <v>5348.54</v>
      </c>
      <c r="G2127" s="27">
        <v>62830.54</v>
      </c>
      <c r="H2127" s="27">
        <v>498.49</v>
      </c>
      <c r="I2127" s="27">
        <v>5989.58</v>
      </c>
      <c r="J2127" s="6">
        <v>3937</v>
      </c>
      <c r="K2127" s="6">
        <v>294</v>
      </c>
      <c r="L2127" s="27">
        <v>15.958989077978156</v>
      </c>
      <c r="M2127" s="27">
        <v>20.372721088435373</v>
      </c>
      <c r="N2127" s="34">
        <v>21.092911841172299</v>
      </c>
    </row>
    <row r="2128" spans="1:14" x14ac:dyDescent="0.35">
      <c r="A2128" s="82">
        <v>2125</v>
      </c>
      <c r="B2128" s="89" t="str">
        <f>_xlfn.XLOOKUP(A2128,'Model Modeshare by TAZ'!A:A,'Model Modeshare by TAZ'!B:B)</f>
        <v>Union City</v>
      </c>
      <c r="C2128" s="90" t="str">
        <f>_xlfn.XLOOKUP(A2128,'Model Modeshare by TAZ'!A:A,'Model Modeshare by TAZ'!D:D)</f>
        <v>NO</v>
      </c>
      <c r="D2128" s="27">
        <v>6774.47</v>
      </c>
      <c r="E2128" s="27">
        <v>131625.48000000001</v>
      </c>
      <c r="F2128" s="27">
        <v>6294.8</v>
      </c>
      <c r="G2128" s="27">
        <v>71628.570000000007</v>
      </c>
      <c r="H2128" s="27">
        <v>623.47</v>
      </c>
      <c r="I2128" s="27">
        <v>7382.84</v>
      </c>
      <c r="J2128" s="6">
        <v>4768</v>
      </c>
      <c r="K2128" s="6">
        <v>373</v>
      </c>
      <c r="L2128" s="27">
        <v>15.022770553691277</v>
      </c>
      <c r="M2128" s="27">
        <v>19.793136729222521</v>
      </c>
      <c r="N2128" s="34">
        <v>21.592581209881349</v>
      </c>
    </row>
    <row r="2129" spans="1:14" x14ac:dyDescent="0.35">
      <c r="A2129" s="82">
        <v>2126</v>
      </c>
      <c r="B2129" s="89" t="str">
        <f>_xlfn.XLOOKUP(A2129,'Model Modeshare by TAZ'!A:A,'Model Modeshare by TAZ'!B:B)</f>
        <v>Union City</v>
      </c>
      <c r="C2129" s="90" t="str">
        <f>_xlfn.XLOOKUP(A2129,'Model Modeshare by TAZ'!A:A,'Model Modeshare by TAZ'!D:D)</f>
        <v>NO</v>
      </c>
      <c r="D2129" s="27">
        <v>3767.26</v>
      </c>
      <c r="E2129" s="27">
        <v>62394.45</v>
      </c>
      <c r="F2129" s="27">
        <v>4628.58</v>
      </c>
      <c r="G2129" s="27">
        <v>46219.03</v>
      </c>
      <c r="H2129" s="27">
        <v>238.27</v>
      </c>
      <c r="I2129" s="27">
        <v>2847.61</v>
      </c>
      <c r="J2129" s="6">
        <v>3413</v>
      </c>
      <c r="K2129" s="6">
        <v>152</v>
      </c>
      <c r="L2129" s="27">
        <v>13.542053911514795</v>
      </c>
      <c r="M2129" s="27">
        <v>18.734276315789476</v>
      </c>
      <c r="N2129" s="34">
        <v>17.13143338008415</v>
      </c>
    </row>
    <row r="2130" spans="1:14" x14ac:dyDescent="0.35">
      <c r="A2130" s="82">
        <v>2127</v>
      </c>
      <c r="B2130" s="89" t="str">
        <f>_xlfn.XLOOKUP(A2130,'Model Modeshare by TAZ'!A:A,'Model Modeshare by TAZ'!B:B)</f>
        <v>Union City</v>
      </c>
      <c r="C2130" s="90" t="str">
        <f>_xlfn.XLOOKUP(A2130,'Model Modeshare by TAZ'!A:A,'Model Modeshare by TAZ'!D:D)</f>
        <v>NO</v>
      </c>
      <c r="D2130" s="27">
        <v>5014.96</v>
      </c>
      <c r="E2130" s="27">
        <v>94045</v>
      </c>
      <c r="F2130" s="27">
        <v>4110.4799999999996</v>
      </c>
      <c r="G2130" s="27">
        <v>39803.03</v>
      </c>
      <c r="H2130" s="27">
        <v>1623.57</v>
      </c>
      <c r="I2130" s="27">
        <v>19014.54</v>
      </c>
      <c r="J2130" s="6">
        <v>3303</v>
      </c>
      <c r="K2130" s="6">
        <v>1434</v>
      </c>
      <c r="L2130" s="27">
        <v>12.050569179533756</v>
      </c>
      <c r="M2130" s="27">
        <v>13.259790794979081</v>
      </c>
      <c r="N2130" s="34">
        <v>17.695108718598267</v>
      </c>
    </row>
    <row r="2131" spans="1:14" x14ac:dyDescent="0.35">
      <c r="A2131" s="82">
        <v>2128</v>
      </c>
      <c r="B2131" s="89" t="str">
        <f>_xlfn.XLOOKUP(A2131,'Model Modeshare by TAZ'!A:A,'Model Modeshare by TAZ'!B:B)</f>
        <v>Union City</v>
      </c>
      <c r="C2131" s="90" t="str">
        <f>_xlfn.XLOOKUP(A2131,'Model Modeshare by TAZ'!A:A,'Model Modeshare by TAZ'!D:D)</f>
        <v>NO</v>
      </c>
      <c r="D2131" s="27">
        <v>18885.28</v>
      </c>
      <c r="E2131" s="27">
        <v>393016.47</v>
      </c>
      <c r="F2131" s="27">
        <v>10043.799999999999</v>
      </c>
      <c r="G2131" s="27">
        <v>110779.63</v>
      </c>
      <c r="H2131" s="27">
        <v>5046.8599999999997</v>
      </c>
      <c r="I2131" s="27">
        <v>60450.52</v>
      </c>
      <c r="J2131" s="6">
        <v>7014</v>
      </c>
      <c r="K2131" s="6">
        <v>4374</v>
      </c>
      <c r="L2131" s="27">
        <v>15.794073282007414</v>
      </c>
      <c r="M2131" s="27">
        <v>13.820420667581161</v>
      </c>
      <c r="N2131" s="34">
        <v>26.176372497365652</v>
      </c>
    </row>
    <row r="2132" spans="1:14" x14ac:dyDescent="0.35">
      <c r="A2132" s="82">
        <v>2129</v>
      </c>
      <c r="B2132" s="89" t="str">
        <f>_xlfn.XLOOKUP(A2132,'Model Modeshare by TAZ'!A:A,'Model Modeshare by TAZ'!B:B)</f>
        <v>Union City</v>
      </c>
      <c r="C2132" s="90" t="str">
        <f>_xlfn.XLOOKUP(A2132,'Model Modeshare by TAZ'!A:A,'Model Modeshare by TAZ'!D:D)</f>
        <v>NO</v>
      </c>
      <c r="D2132" s="27">
        <v>13702.05</v>
      </c>
      <c r="E2132" s="27">
        <v>313222.02</v>
      </c>
      <c r="F2132" s="27">
        <v>9903.08</v>
      </c>
      <c r="G2132" s="27">
        <v>113307.93</v>
      </c>
      <c r="H2132" s="27">
        <v>9816.58</v>
      </c>
      <c r="I2132" s="27">
        <v>120202.2</v>
      </c>
      <c r="J2132" s="6">
        <v>7455</v>
      </c>
      <c r="K2132" s="6">
        <v>8526</v>
      </c>
      <c r="L2132" s="27">
        <v>15.198917505030181</v>
      </c>
      <c r="M2132" s="27">
        <v>14.098311048557354</v>
      </c>
      <c r="N2132" s="34">
        <v>24.521400412990427</v>
      </c>
    </row>
    <row r="2133" spans="1:14" x14ac:dyDescent="0.35">
      <c r="A2133" s="82">
        <v>2130</v>
      </c>
      <c r="B2133" s="89" t="str">
        <f>_xlfn.XLOOKUP(A2133,'Model Modeshare by TAZ'!A:A,'Model Modeshare by TAZ'!B:B)</f>
        <v>Union City</v>
      </c>
      <c r="C2133" s="90" t="str">
        <f>_xlfn.XLOOKUP(A2133,'Model Modeshare by TAZ'!A:A,'Model Modeshare by TAZ'!D:D)</f>
        <v>NO</v>
      </c>
      <c r="D2133" s="27">
        <v>6338.78</v>
      </c>
      <c r="E2133" s="27">
        <v>129512.63</v>
      </c>
      <c r="F2133" s="27">
        <v>5766.23</v>
      </c>
      <c r="G2133" s="27">
        <v>64365.17</v>
      </c>
      <c r="H2133" s="27">
        <v>1349.67</v>
      </c>
      <c r="I2133" s="27">
        <v>15959.85</v>
      </c>
      <c r="J2133" s="6">
        <v>4302</v>
      </c>
      <c r="K2133" s="6">
        <v>894</v>
      </c>
      <c r="L2133" s="27">
        <v>14.961685262668526</v>
      </c>
      <c r="M2133" s="27">
        <v>17.852181208053693</v>
      </c>
      <c r="N2133" s="34">
        <v>23.177854118552734</v>
      </c>
    </row>
    <row r="2134" spans="1:14" x14ac:dyDescent="0.35">
      <c r="A2134" s="82">
        <v>2131</v>
      </c>
      <c r="B2134" s="89" t="str">
        <f>_xlfn.XLOOKUP(A2134,'Model Modeshare by TAZ'!A:A,'Model Modeshare by TAZ'!B:B)</f>
        <v>Fremont</v>
      </c>
      <c r="C2134" s="90" t="str">
        <f>_xlfn.XLOOKUP(A2134,'Model Modeshare by TAZ'!A:A,'Model Modeshare by TAZ'!D:D)</f>
        <v>NO</v>
      </c>
      <c r="D2134" s="27">
        <v>7289.21</v>
      </c>
      <c r="E2134" s="27">
        <v>152843.6</v>
      </c>
      <c r="F2134" s="27">
        <v>7922.54</v>
      </c>
      <c r="G2134" s="27">
        <v>97304.38</v>
      </c>
      <c r="H2134" s="27">
        <v>487.7</v>
      </c>
      <c r="I2134" s="27">
        <v>6128.14</v>
      </c>
      <c r="J2134" s="6">
        <v>5392</v>
      </c>
      <c r="K2134" s="6">
        <v>286</v>
      </c>
      <c r="L2134" s="27">
        <v>18.046064540059348</v>
      </c>
      <c r="M2134" s="27">
        <v>21.427062937062939</v>
      </c>
      <c r="N2134" s="34">
        <v>26.174489256780557</v>
      </c>
    </row>
    <row r="2135" spans="1:14" x14ac:dyDescent="0.35">
      <c r="A2135" s="82">
        <v>2132</v>
      </c>
      <c r="B2135" s="89" t="str">
        <f>_xlfn.XLOOKUP(A2135,'Model Modeshare by TAZ'!A:A,'Model Modeshare by TAZ'!B:B)</f>
        <v>Union City</v>
      </c>
      <c r="C2135" s="90" t="str">
        <f>_xlfn.XLOOKUP(A2135,'Model Modeshare by TAZ'!A:A,'Model Modeshare by TAZ'!D:D)</f>
        <v>NO</v>
      </c>
      <c r="D2135" s="27">
        <v>11411.25</v>
      </c>
      <c r="E2135" s="27">
        <v>222797.29</v>
      </c>
      <c r="F2135" s="27">
        <v>8188.58</v>
      </c>
      <c r="G2135" s="27">
        <v>97716.27</v>
      </c>
      <c r="H2135" s="27">
        <v>2729.21</v>
      </c>
      <c r="I2135" s="27">
        <v>32189.72</v>
      </c>
      <c r="J2135" s="6">
        <v>6003</v>
      </c>
      <c r="K2135" s="6">
        <v>1967</v>
      </c>
      <c r="L2135" s="27">
        <v>16.277906046976511</v>
      </c>
      <c r="M2135" s="27">
        <v>16.364880528723944</v>
      </c>
      <c r="N2135" s="34">
        <v>27.660776662484317</v>
      </c>
    </row>
    <row r="2136" spans="1:14" x14ac:dyDescent="0.35">
      <c r="A2136" s="82">
        <v>2133</v>
      </c>
      <c r="B2136" s="89" t="str">
        <f>_xlfn.XLOOKUP(A2136,'Model Modeshare by TAZ'!A:A,'Model Modeshare by TAZ'!B:B)</f>
        <v>Union City</v>
      </c>
      <c r="C2136" s="90" t="str">
        <f>_xlfn.XLOOKUP(A2136,'Model Modeshare by TAZ'!A:A,'Model Modeshare by TAZ'!D:D)</f>
        <v>NO</v>
      </c>
      <c r="D2136" s="27">
        <v>19022.52</v>
      </c>
      <c r="E2136" s="27">
        <v>358274.53</v>
      </c>
      <c r="F2136" s="27">
        <v>16036.26</v>
      </c>
      <c r="G2136" s="27">
        <v>178006.99</v>
      </c>
      <c r="H2136" s="27">
        <v>3732.56</v>
      </c>
      <c r="I2136" s="27">
        <v>41364.18</v>
      </c>
      <c r="J2136" s="6">
        <v>11492</v>
      </c>
      <c r="K2136" s="6">
        <v>2206</v>
      </c>
      <c r="L2136" s="27">
        <v>15.489644100243646</v>
      </c>
      <c r="M2136" s="27">
        <v>18.750761559383498</v>
      </c>
      <c r="N2136" s="34">
        <v>24.391373193166888</v>
      </c>
    </row>
    <row r="2137" spans="1:14" x14ac:dyDescent="0.35">
      <c r="A2137" s="82">
        <v>2134</v>
      </c>
      <c r="B2137" s="89" t="str">
        <f>_xlfn.XLOOKUP(A2137,'Model Modeshare by TAZ'!A:A,'Model Modeshare by TAZ'!B:B)</f>
        <v>Union City</v>
      </c>
      <c r="C2137" s="90" t="str">
        <f>_xlfn.XLOOKUP(A2137,'Model Modeshare by TAZ'!A:A,'Model Modeshare by TAZ'!D:D)</f>
        <v>NO</v>
      </c>
      <c r="D2137" s="27">
        <v>7355.43</v>
      </c>
      <c r="E2137" s="27">
        <v>147239.69</v>
      </c>
      <c r="F2137" s="27">
        <v>7094.33</v>
      </c>
      <c r="G2137" s="27">
        <v>80008.77</v>
      </c>
      <c r="H2137" s="27">
        <v>1068.57</v>
      </c>
      <c r="I2137" s="27">
        <v>12745.64</v>
      </c>
      <c r="J2137" s="6">
        <v>6129</v>
      </c>
      <c r="K2137" s="6">
        <v>632</v>
      </c>
      <c r="L2137" s="27">
        <v>13.054131179637789</v>
      </c>
      <c r="M2137" s="27">
        <v>20.167151898734176</v>
      </c>
      <c r="N2137" s="34">
        <v>19.208708770891882</v>
      </c>
    </row>
    <row r="2138" spans="1:14" x14ac:dyDescent="0.35">
      <c r="A2138" s="82">
        <v>2135</v>
      </c>
      <c r="B2138" s="89" t="str">
        <f>_xlfn.XLOOKUP(A2138,'Model Modeshare by TAZ'!A:A,'Model Modeshare by TAZ'!B:B)</f>
        <v>Union City</v>
      </c>
      <c r="C2138" s="90" t="str">
        <f>_xlfn.XLOOKUP(A2138,'Model Modeshare by TAZ'!A:A,'Model Modeshare by TAZ'!D:D)</f>
        <v>NO</v>
      </c>
      <c r="D2138" s="27">
        <v>3921.06</v>
      </c>
      <c r="E2138" s="27">
        <v>95535.78</v>
      </c>
      <c r="F2138" s="27">
        <v>3379.75</v>
      </c>
      <c r="G2138" s="27">
        <v>44689.82</v>
      </c>
      <c r="H2138" s="27">
        <v>790.87</v>
      </c>
      <c r="I2138" s="27">
        <v>10468.08</v>
      </c>
      <c r="J2138" s="6">
        <v>2314</v>
      </c>
      <c r="K2138" s="6">
        <v>503</v>
      </c>
      <c r="L2138" s="27">
        <v>19.312800345721694</v>
      </c>
      <c r="M2138" s="27">
        <v>20.811292246520875</v>
      </c>
      <c r="N2138" s="34">
        <v>29.445211217607383</v>
      </c>
    </row>
    <row r="2139" spans="1:14" x14ac:dyDescent="0.35">
      <c r="A2139" s="82">
        <v>2136</v>
      </c>
      <c r="B2139" s="89" t="str">
        <f>_xlfn.XLOOKUP(A2139,'Model Modeshare by TAZ'!A:A,'Model Modeshare by TAZ'!B:B)</f>
        <v>Hayward</v>
      </c>
      <c r="C2139" s="90" t="str">
        <f>_xlfn.XLOOKUP(A2139,'Model Modeshare by TAZ'!A:A,'Model Modeshare by TAZ'!D:D)</f>
        <v>NO</v>
      </c>
      <c r="D2139" s="27">
        <v>5816.14</v>
      </c>
      <c r="E2139" s="27">
        <v>119134.04</v>
      </c>
      <c r="F2139" s="27">
        <v>4599.3999999999996</v>
      </c>
      <c r="G2139" s="27">
        <v>49875.63</v>
      </c>
      <c r="H2139" s="27">
        <v>924.05</v>
      </c>
      <c r="I2139" s="27">
        <v>10929.09</v>
      </c>
      <c r="J2139" s="6">
        <v>3374</v>
      </c>
      <c r="K2139" s="6">
        <v>521</v>
      </c>
      <c r="L2139" s="27">
        <v>14.782344398340248</v>
      </c>
      <c r="M2139" s="27">
        <v>20.977140115163149</v>
      </c>
      <c r="N2139" s="34">
        <v>24.64067522464698</v>
      </c>
    </row>
    <row r="2140" spans="1:14" x14ac:dyDescent="0.35">
      <c r="A2140" s="82">
        <v>2137</v>
      </c>
      <c r="B2140" s="89" t="str">
        <f>_xlfn.XLOOKUP(A2140,'Model Modeshare by TAZ'!A:A,'Model Modeshare by TAZ'!B:B)</f>
        <v>Hayward</v>
      </c>
      <c r="C2140" s="90" t="str">
        <f>_xlfn.XLOOKUP(A2140,'Model Modeshare by TAZ'!A:A,'Model Modeshare by TAZ'!D:D)</f>
        <v>NO</v>
      </c>
      <c r="D2140" s="27">
        <v>8792.7999999999993</v>
      </c>
      <c r="E2140" s="27">
        <v>182691.28</v>
      </c>
      <c r="F2140" s="27">
        <v>10953.25</v>
      </c>
      <c r="G2140" s="27">
        <v>123071.73</v>
      </c>
      <c r="H2140" s="27">
        <v>916.76</v>
      </c>
      <c r="I2140" s="27">
        <v>11430.2</v>
      </c>
      <c r="J2140" s="6">
        <v>7794</v>
      </c>
      <c r="K2140" s="6">
        <v>507</v>
      </c>
      <c r="L2140" s="27">
        <v>15.790573518090838</v>
      </c>
      <c r="M2140" s="27">
        <v>22.544773175542407</v>
      </c>
      <c r="N2140" s="34">
        <v>23.276544994578966</v>
      </c>
    </row>
    <row r="2141" spans="1:14" x14ac:dyDescent="0.35">
      <c r="A2141" s="82">
        <v>2138</v>
      </c>
      <c r="B2141" s="89" t="str">
        <f>_xlfn.XLOOKUP(A2141,'Model Modeshare by TAZ'!A:A,'Model Modeshare by TAZ'!B:B)</f>
        <v>Hayward</v>
      </c>
      <c r="C2141" s="90" t="str">
        <f>_xlfn.XLOOKUP(A2141,'Model Modeshare by TAZ'!A:A,'Model Modeshare by TAZ'!D:D)</f>
        <v>NO</v>
      </c>
      <c r="D2141" s="27">
        <v>23728.15</v>
      </c>
      <c r="E2141" s="27">
        <v>490265.07</v>
      </c>
      <c r="F2141" s="27">
        <v>12610.83</v>
      </c>
      <c r="G2141" s="27">
        <v>120401.92</v>
      </c>
      <c r="H2141" s="27">
        <v>10156.24</v>
      </c>
      <c r="I2141" s="27">
        <v>122345.14</v>
      </c>
      <c r="J2141" s="6">
        <v>9415</v>
      </c>
      <c r="K2141" s="6">
        <v>9178</v>
      </c>
      <c r="L2141" s="27">
        <v>12.788308019118428</v>
      </c>
      <c r="M2141" s="27">
        <v>13.330261494879059</v>
      </c>
      <c r="N2141" s="34">
        <v>21.380291507556606</v>
      </c>
    </row>
    <row r="2142" spans="1:14" x14ac:dyDescent="0.35">
      <c r="A2142" s="82">
        <v>2139</v>
      </c>
      <c r="B2142" s="89" t="str">
        <f>_xlfn.XLOOKUP(A2142,'Model Modeshare by TAZ'!A:A,'Model Modeshare by TAZ'!B:B)</f>
        <v>Hayward</v>
      </c>
      <c r="C2142" s="90" t="str">
        <f>_xlfn.XLOOKUP(A2142,'Model Modeshare by TAZ'!A:A,'Model Modeshare by TAZ'!D:D)</f>
        <v>NO</v>
      </c>
      <c r="D2142" s="27">
        <v>6053.63</v>
      </c>
      <c r="E2142" s="27">
        <v>115642.85</v>
      </c>
      <c r="F2142" s="27">
        <v>5597.48</v>
      </c>
      <c r="G2142" s="27">
        <v>57287.55</v>
      </c>
      <c r="H2142" s="27">
        <v>523.03</v>
      </c>
      <c r="I2142" s="27">
        <v>6263.47</v>
      </c>
      <c r="J2142" s="6">
        <v>4615</v>
      </c>
      <c r="K2142" s="6">
        <v>298</v>
      </c>
      <c r="L2142" s="27">
        <v>12.413336944745396</v>
      </c>
      <c r="M2142" s="27">
        <v>21.018355704697989</v>
      </c>
      <c r="N2142" s="34">
        <v>19.100696112354978</v>
      </c>
    </row>
    <row r="2143" spans="1:14" x14ac:dyDescent="0.35">
      <c r="A2143" s="82">
        <v>2140</v>
      </c>
      <c r="B2143" s="89" t="str">
        <f>_xlfn.XLOOKUP(A2143,'Model Modeshare by TAZ'!A:A,'Model Modeshare by TAZ'!B:B)</f>
        <v>Hayward</v>
      </c>
      <c r="C2143" s="90" t="str">
        <f>_xlfn.XLOOKUP(A2143,'Model Modeshare by TAZ'!A:A,'Model Modeshare by TAZ'!D:D)</f>
        <v>NO</v>
      </c>
      <c r="D2143" s="27">
        <v>4477.99</v>
      </c>
      <c r="E2143" s="27">
        <v>87767.99</v>
      </c>
      <c r="F2143" s="27">
        <v>4555.12</v>
      </c>
      <c r="G2143" s="27">
        <v>46938.76</v>
      </c>
      <c r="H2143" s="27">
        <v>1977.22</v>
      </c>
      <c r="I2143" s="27">
        <v>26546.09</v>
      </c>
      <c r="J2143" s="6">
        <v>3788</v>
      </c>
      <c r="K2143" s="6">
        <v>1747</v>
      </c>
      <c r="L2143" s="27">
        <v>12.391436114044351</v>
      </c>
      <c r="M2143" s="27">
        <v>15.195243274184316</v>
      </c>
      <c r="N2143" s="34">
        <v>23.06407046070461</v>
      </c>
    </row>
    <row r="2144" spans="1:14" x14ac:dyDescent="0.35">
      <c r="A2144" s="82">
        <v>2141</v>
      </c>
      <c r="B2144" s="89" t="str">
        <f>_xlfn.XLOOKUP(A2144,'Model Modeshare by TAZ'!A:A,'Model Modeshare by TAZ'!B:B)</f>
        <v>Hayward</v>
      </c>
      <c r="C2144" s="90" t="str">
        <f>_xlfn.XLOOKUP(A2144,'Model Modeshare by TAZ'!A:A,'Model Modeshare by TAZ'!D:D)</f>
        <v>NO</v>
      </c>
      <c r="D2144" s="27">
        <v>6531.31</v>
      </c>
      <c r="E2144" s="27">
        <v>125914.19</v>
      </c>
      <c r="F2144" s="27">
        <v>3085.54</v>
      </c>
      <c r="G2144" s="27">
        <v>31097.84</v>
      </c>
      <c r="H2144" s="27">
        <v>2419.52</v>
      </c>
      <c r="I2144" s="27">
        <v>30710.39</v>
      </c>
      <c r="J2144" s="6">
        <v>2393</v>
      </c>
      <c r="K2144" s="6">
        <v>2082</v>
      </c>
      <c r="L2144" s="27">
        <v>12.995336397826996</v>
      </c>
      <c r="M2144" s="27">
        <v>14.750427473583093</v>
      </c>
      <c r="N2144" s="34">
        <v>24.791680446927376</v>
      </c>
    </row>
    <row r="2145" spans="1:14" x14ac:dyDescent="0.35">
      <c r="A2145" s="82">
        <v>2142</v>
      </c>
      <c r="B2145" s="89" t="str">
        <f>_xlfn.XLOOKUP(A2145,'Model Modeshare by TAZ'!A:A,'Model Modeshare by TAZ'!B:B)</f>
        <v>Hayward</v>
      </c>
      <c r="C2145" s="90" t="str">
        <f>_xlfn.XLOOKUP(A2145,'Model Modeshare by TAZ'!A:A,'Model Modeshare by TAZ'!D:D)</f>
        <v>NO</v>
      </c>
      <c r="D2145" s="27">
        <v>54798</v>
      </c>
      <c r="E2145" s="27">
        <v>1323265.5</v>
      </c>
      <c r="F2145" s="27">
        <v>14476.27</v>
      </c>
      <c r="G2145" s="27">
        <v>140770.22</v>
      </c>
      <c r="H2145" s="27">
        <v>34360.199999999997</v>
      </c>
      <c r="I2145" s="27">
        <v>491982.2</v>
      </c>
      <c r="J2145" s="6">
        <v>10885</v>
      </c>
      <c r="K2145" s="6">
        <v>27076</v>
      </c>
      <c r="L2145" s="27">
        <v>12.932496095544327</v>
      </c>
      <c r="M2145" s="27">
        <v>18.170416605111537</v>
      </c>
      <c r="N2145" s="34">
        <v>31.822207265351285</v>
      </c>
    </row>
    <row r="2146" spans="1:14" x14ac:dyDescent="0.35">
      <c r="A2146" s="82">
        <v>2143</v>
      </c>
      <c r="B2146" s="89" t="str">
        <f>_xlfn.XLOOKUP(A2146,'Model Modeshare by TAZ'!A:A,'Model Modeshare by TAZ'!B:B)</f>
        <v>Hayward</v>
      </c>
      <c r="C2146" s="90" t="str">
        <f>_xlfn.XLOOKUP(A2146,'Model Modeshare by TAZ'!A:A,'Model Modeshare by TAZ'!D:D)</f>
        <v>NO</v>
      </c>
      <c r="D2146" s="27">
        <v>16074.94</v>
      </c>
      <c r="E2146" s="27">
        <v>313031.67999999999</v>
      </c>
      <c r="F2146" s="27">
        <v>8607.64</v>
      </c>
      <c r="G2146" s="27">
        <v>86477.759999999995</v>
      </c>
      <c r="H2146" s="27">
        <v>3559.92</v>
      </c>
      <c r="I2146" s="27">
        <v>47704.87</v>
      </c>
      <c r="J2146" s="6">
        <v>6727</v>
      </c>
      <c r="K2146" s="6">
        <v>3031</v>
      </c>
      <c r="L2146" s="27">
        <v>12.855323323918537</v>
      </c>
      <c r="M2146" s="27">
        <v>15.738987132959419</v>
      </c>
      <c r="N2146" s="34">
        <v>36.909480426316868</v>
      </c>
    </row>
    <row r="2147" spans="1:14" x14ac:dyDescent="0.35">
      <c r="A2147" s="82">
        <v>2144</v>
      </c>
      <c r="B2147" s="89" t="str">
        <f>_xlfn.XLOOKUP(A2147,'Model Modeshare by TAZ'!A:A,'Model Modeshare by TAZ'!B:B)</f>
        <v>Hayward</v>
      </c>
      <c r="C2147" s="90" t="str">
        <f>_xlfn.XLOOKUP(A2147,'Model Modeshare by TAZ'!A:A,'Model Modeshare by TAZ'!D:D)</f>
        <v>NO</v>
      </c>
      <c r="D2147" s="27">
        <v>12209.1</v>
      </c>
      <c r="E2147" s="27">
        <v>258488.36</v>
      </c>
      <c r="F2147" s="27">
        <v>4708.58</v>
      </c>
      <c r="G2147" s="27">
        <v>51335.31</v>
      </c>
      <c r="H2147" s="27">
        <v>3439.19</v>
      </c>
      <c r="I2147" s="27">
        <v>46179.74</v>
      </c>
      <c r="J2147" s="6">
        <v>3516</v>
      </c>
      <c r="K2147" s="6">
        <v>3102</v>
      </c>
      <c r="L2147" s="27">
        <v>14.600486348122866</v>
      </c>
      <c r="M2147" s="27">
        <v>14.887085751128303</v>
      </c>
      <c r="N2147" s="34">
        <v>37.478082502266545</v>
      </c>
    </row>
    <row r="2148" spans="1:14" x14ac:dyDescent="0.35">
      <c r="A2148" s="82">
        <v>2145</v>
      </c>
      <c r="B2148" s="89" t="str">
        <f>_xlfn.XLOOKUP(A2148,'Model Modeshare by TAZ'!A:A,'Model Modeshare by TAZ'!B:B)</f>
        <v>Hayward</v>
      </c>
      <c r="C2148" s="90" t="str">
        <f>_xlfn.XLOOKUP(A2148,'Model Modeshare by TAZ'!A:A,'Model Modeshare by TAZ'!D:D)</f>
        <v>NO</v>
      </c>
      <c r="D2148" s="27">
        <v>6311.84</v>
      </c>
      <c r="E2148" s="27">
        <v>126770.33</v>
      </c>
      <c r="F2148" s="27">
        <v>3999.57</v>
      </c>
      <c r="G2148" s="27">
        <v>40566.54</v>
      </c>
      <c r="H2148" s="27">
        <v>1357.71</v>
      </c>
      <c r="I2148" s="27">
        <v>18282.509999999998</v>
      </c>
      <c r="J2148" s="6">
        <v>3167</v>
      </c>
      <c r="K2148" s="6">
        <v>1146</v>
      </c>
      <c r="L2148" s="27">
        <v>12.809137985475214</v>
      </c>
      <c r="M2148" s="27">
        <v>15.953324607329842</v>
      </c>
      <c r="N2148" s="34">
        <v>24.219738001391143</v>
      </c>
    </row>
    <row r="2149" spans="1:14" x14ac:dyDescent="0.35">
      <c r="A2149" s="82">
        <v>2146</v>
      </c>
      <c r="B2149" s="89" t="str">
        <f>_xlfn.XLOOKUP(A2149,'Model Modeshare by TAZ'!A:A,'Model Modeshare by TAZ'!B:B)</f>
        <v>Hayward</v>
      </c>
      <c r="C2149" s="90" t="str">
        <f>_xlfn.XLOOKUP(A2149,'Model Modeshare by TAZ'!A:A,'Model Modeshare by TAZ'!D:D)</f>
        <v>NO</v>
      </c>
      <c r="D2149" s="27">
        <v>3891.08</v>
      </c>
      <c r="E2149" s="27">
        <v>74718.289999999994</v>
      </c>
      <c r="F2149" s="27">
        <v>4443.22</v>
      </c>
      <c r="G2149" s="27">
        <v>45516.08</v>
      </c>
      <c r="H2149" s="27">
        <v>246.93</v>
      </c>
      <c r="I2149" s="27">
        <v>3299.65</v>
      </c>
      <c r="J2149" s="6">
        <v>3464</v>
      </c>
      <c r="K2149" s="6">
        <v>148</v>
      </c>
      <c r="L2149" s="27">
        <v>13.139745958429561</v>
      </c>
      <c r="M2149" s="27">
        <v>22.294932432432432</v>
      </c>
      <c r="N2149" s="34">
        <v>19.624501661129568</v>
      </c>
    </row>
    <row r="2150" spans="1:14" x14ac:dyDescent="0.35">
      <c r="A2150" s="82">
        <v>2147</v>
      </c>
      <c r="B2150" s="89" t="str">
        <f>_xlfn.XLOOKUP(A2150,'Model Modeshare by TAZ'!A:A,'Model Modeshare by TAZ'!B:B)</f>
        <v>Hayward</v>
      </c>
      <c r="C2150" s="90" t="str">
        <f>_xlfn.XLOOKUP(A2150,'Model Modeshare by TAZ'!A:A,'Model Modeshare by TAZ'!D:D)</f>
        <v>NO</v>
      </c>
      <c r="D2150" s="27">
        <v>4823.5</v>
      </c>
      <c r="E2150" s="27">
        <v>86759.679999999993</v>
      </c>
      <c r="F2150" s="27">
        <v>4871.24</v>
      </c>
      <c r="G2150" s="27">
        <v>47612.17</v>
      </c>
      <c r="H2150" s="27">
        <v>321.58999999999997</v>
      </c>
      <c r="I2150" s="27">
        <v>3776.31</v>
      </c>
      <c r="J2150" s="6">
        <v>4516</v>
      </c>
      <c r="K2150" s="6">
        <v>187</v>
      </c>
      <c r="L2150" s="27">
        <v>10.542996014171834</v>
      </c>
      <c r="M2150" s="27">
        <v>20.194171122994653</v>
      </c>
      <c r="N2150" s="34">
        <v>15.979487561131192</v>
      </c>
    </row>
    <row r="2151" spans="1:14" x14ac:dyDescent="0.35">
      <c r="A2151" s="82">
        <v>2148</v>
      </c>
      <c r="B2151" s="89" t="str">
        <f>_xlfn.XLOOKUP(A2151,'Model Modeshare by TAZ'!A:A,'Model Modeshare by TAZ'!B:B)</f>
        <v>Hayward</v>
      </c>
      <c r="C2151" s="90" t="str">
        <f>_xlfn.XLOOKUP(A2151,'Model Modeshare by TAZ'!A:A,'Model Modeshare by TAZ'!D:D)</f>
        <v>NO</v>
      </c>
      <c r="D2151" s="27">
        <v>4575.6899999999996</v>
      </c>
      <c r="E2151" s="27">
        <v>97397.440000000002</v>
      </c>
      <c r="F2151" s="27">
        <v>4196.3999999999996</v>
      </c>
      <c r="G2151" s="27">
        <v>49141.14</v>
      </c>
      <c r="H2151" s="27">
        <v>1131.1500000000001</v>
      </c>
      <c r="I2151" s="27">
        <v>14568.14</v>
      </c>
      <c r="J2151" s="6">
        <v>3074</v>
      </c>
      <c r="K2151" s="6">
        <v>787</v>
      </c>
      <c r="L2151" s="27">
        <v>15.986057254391671</v>
      </c>
      <c r="M2151" s="27">
        <v>18.510978398983482</v>
      </c>
      <c r="N2151" s="34">
        <v>26.300005180005183</v>
      </c>
    </row>
    <row r="2152" spans="1:14" x14ac:dyDescent="0.35">
      <c r="A2152" s="82">
        <v>2149</v>
      </c>
      <c r="B2152" s="89" t="str">
        <f>_xlfn.XLOOKUP(A2152,'Model Modeshare by TAZ'!A:A,'Model Modeshare by TAZ'!B:B)</f>
        <v>Hayward</v>
      </c>
      <c r="C2152" s="90" t="str">
        <f>_xlfn.XLOOKUP(A2152,'Model Modeshare by TAZ'!A:A,'Model Modeshare by TAZ'!D:D)</f>
        <v>NO</v>
      </c>
      <c r="D2152" s="27">
        <v>9752.3700000000008</v>
      </c>
      <c r="E2152" s="27">
        <v>183982.7</v>
      </c>
      <c r="F2152" s="27">
        <v>8433.5300000000007</v>
      </c>
      <c r="G2152" s="27">
        <v>86697.56</v>
      </c>
      <c r="H2152" s="27">
        <v>790.23</v>
      </c>
      <c r="I2152" s="27">
        <v>9933.42</v>
      </c>
      <c r="J2152" s="6">
        <v>8026</v>
      </c>
      <c r="K2152" s="6">
        <v>476</v>
      </c>
      <c r="L2152" s="27">
        <v>10.802088213306753</v>
      </c>
      <c r="M2152" s="27">
        <v>20.868529411764705</v>
      </c>
      <c r="N2152" s="34">
        <v>17.689048459186075</v>
      </c>
    </row>
    <row r="2153" spans="1:14" x14ac:dyDescent="0.35">
      <c r="A2153" s="82">
        <v>2150</v>
      </c>
      <c r="B2153" s="89" t="str">
        <f>_xlfn.XLOOKUP(A2153,'Model Modeshare by TAZ'!A:A,'Model Modeshare by TAZ'!B:B)</f>
        <v>Hayward</v>
      </c>
      <c r="C2153" s="90" t="str">
        <f>_xlfn.XLOOKUP(A2153,'Model Modeshare by TAZ'!A:A,'Model Modeshare by TAZ'!D:D)</f>
        <v>NO</v>
      </c>
      <c r="D2153" s="27">
        <v>6606.53</v>
      </c>
      <c r="E2153" s="27">
        <v>110863.74</v>
      </c>
      <c r="F2153" s="27">
        <v>6089.53</v>
      </c>
      <c r="G2153" s="27">
        <v>58508.95</v>
      </c>
      <c r="H2153" s="27">
        <v>689.65</v>
      </c>
      <c r="I2153" s="27">
        <v>7748.32</v>
      </c>
      <c r="J2153" s="6">
        <v>4681</v>
      </c>
      <c r="K2153" s="6">
        <v>376</v>
      </c>
      <c r="L2153" s="27">
        <v>12.499241615039521</v>
      </c>
      <c r="M2153" s="27">
        <v>20.607234042553191</v>
      </c>
      <c r="N2153" s="34">
        <v>19.595835475578404</v>
      </c>
    </row>
    <row r="2154" spans="1:14" x14ac:dyDescent="0.35">
      <c r="A2154" s="82">
        <v>2151</v>
      </c>
      <c r="B2154" s="89" t="str">
        <f>_xlfn.XLOOKUP(A2154,'Model Modeshare by TAZ'!A:A,'Model Modeshare by TAZ'!B:B)</f>
        <v>Hayward</v>
      </c>
      <c r="C2154" s="90" t="str">
        <f>_xlfn.XLOOKUP(A2154,'Model Modeshare by TAZ'!A:A,'Model Modeshare by TAZ'!D:D)</f>
        <v>NO</v>
      </c>
      <c r="D2154" s="27">
        <v>5504.28</v>
      </c>
      <c r="E2154" s="27">
        <v>58547.42</v>
      </c>
      <c r="F2154" s="27">
        <v>3635.57</v>
      </c>
      <c r="G2154" s="27">
        <v>23147.5</v>
      </c>
      <c r="H2154" s="27">
        <v>976.99</v>
      </c>
      <c r="I2154" s="27">
        <v>10741.31</v>
      </c>
      <c r="J2154" s="6">
        <v>3664</v>
      </c>
      <c r="K2154" s="6">
        <v>677</v>
      </c>
      <c r="L2154" s="27">
        <v>6.3175491266375543</v>
      </c>
      <c r="M2154" s="27">
        <v>15.866041358936483</v>
      </c>
      <c r="N2154" s="34">
        <v>14.23257544344621</v>
      </c>
    </row>
    <row r="2155" spans="1:14" x14ac:dyDescent="0.35">
      <c r="A2155" s="82">
        <v>2152</v>
      </c>
      <c r="B2155" s="89" t="str">
        <f>_xlfn.XLOOKUP(A2155,'Model Modeshare by TAZ'!A:A,'Model Modeshare by TAZ'!B:B)</f>
        <v>Unincorporated</v>
      </c>
      <c r="C2155" s="90" t="str">
        <f>_xlfn.XLOOKUP(A2155,'Model Modeshare by TAZ'!A:A,'Model Modeshare by TAZ'!D:D)</f>
        <v>NO</v>
      </c>
      <c r="D2155" s="27">
        <v>16972.77</v>
      </c>
      <c r="E2155" s="27">
        <v>355761.35</v>
      </c>
      <c r="F2155" s="27">
        <v>18470.16</v>
      </c>
      <c r="G2155" s="27">
        <v>206709.75</v>
      </c>
      <c r="H2155" s="27">
        <v>2451.8200000000002</v>
      </c>
      <c r="I2155" s="27">
        <v>30391.41</v>
      </c>
      <c r="J2155" s="6">
        <v>12759</v>
      </c>
      <c r="K2155" s="6">
        <v>1368</v>
      </c>
      <c r="L2155" s="27">
        <v>16.201093345873502</v>
      </c>
      <c r="M2155" s="27">
        <v>22.215942982456141</v>
      </c>
      <c r="N2155" s="34">
        <v>24.514379556876904</v>
      </c>
    </row>
    <row r="2156" spans="1:14" x14ac:dyDescent="0.35">
      <c r="A2156" s="82">
        <v>2153</v>
      </c>
      <c r="B2156" s="89" t="str">
        <f>_xlfn.XLOOKUP(A2156,'Model Modeshare by TAZ'!A:A,'Model Modeshare by TAZ'!B:B)</f>
        <v>Hayward</v>
      </c>
      <c r="C2156" s="90" t="str">
        <f>_xlfn.XLOOKUP(A2156,'Model Modeshare by TAZ'!A:A,'Model Modeshare by TAZ'!D:D)</f>
        <v>NO</v>
      </c>
      <c r="D2156" s="27">
        <v>16267.76</v>
      </c>
      <c r="E2156" s="27">
        <v>376192.6</v>
      </c>
      <c r="F2156" s="27">
        <v>6341.06</v>
      </c>
      <c r="G2156" s="27">
        <v>79893</v>
      </c>
      <c r="H2156" s="27">
        <v>2429.2600000000002</v>
      </c>
      <c r="I2156" s="27">
        <v>33844.129999999997</v>
      </c>
      <c r="J2156" s="6">
        <v>4822</v>
      </c>
      <c r="K2156" s="6">
        <v>1908</v>
      </c>
      <c r="L2156" s="27">
        <v>16.568436333471588</v>
      </c>
      <c r="M2156" s="27">
        <v>17.73801362683438</v>
      </c>
      <c r="N2156" s="34">
        <v>59.964930163447249</v>
      </c>
    </row>
    <row r="2157" spans="1:14" x14ac:dyDescent="0.35">
      <c r="A2157" s="82">
        <v>2154</v>
      </c>
      <c r="B2157" s="89" t="str">
        <f>_xlfn.XLOOKUP(A2157,'Model Modeshare by TAZ'!A:A,'Model Modeshare by TAZ'!B:B)</f>
        <v>Unincorporated</v>
      </c>
      <c r="C2157" s="90" t="str">
        <f>_xlfn.XLOOKUP(A2157,'Model Modeshare by TAZ'!A:A,'Model Modeshare by TAZ'!D:D)</f>
        <v>NO</v>
      </c>
      <c r="D2157" s="27">
        <v>4002.52</v>
      </c>
      <c r="E2157" s="27">
        <v>107881.34</v>
      </c>
      <c r="F2157" s="27">
        <v>4159.78</v>
      </c>
      <c r="G2157" s="27">
        <v>57273.95</v>
      </c>
      <c r="H2157" s="27">
        <v>208.23</v>
      </c>
      <c r="I2157" s="27">
        <v>3057.02</v>
      </c>
      <c r="J2157" s="6">
        <v>2637</v>
      </c>
      <c r="K2157" s="6">
        <v>111</v>
      </c>
      <c r="L2157" s="27">
        <v>21.71935912021236</v>
      </c>
      <c r="M2157" s="27">
        <v>27.540720720720721</v>
      </c>
      <c r="N2157" s="34">
        <v>32.317205240174673</v>
      </c>
    </row>
    <row r="2158" spans="1:14" x14ac:dyDescent="0.35">
      <c r="A2158" s="82">
        <v>2155</v>
      </c>
      <c r="B2158" s="89" t="str">
        <f>_xlfn.XLOOKUP(A2158,'Model Modeshare by TAZ'!A:A,'Model Modeshare by TAZ'!B:B)</f>
        <v>Hayward</v>
      </c>
      <c r="C2158" s="90" t="str">
        <f>_xlfn.XLOOKUP(A2158,'Model Modeshare by TAZ'!A:A,'Model Modeshare by TAZ'!D:D)</f>
        <v>NO</v>
      </c>
      <c r="D2158" s="27">
        <v>11902.95</v>
      </c>
      <c r="E2158" s="27">
        <v>227681.98</v>
      </c>
      <c r="F2158" s="27">
        <v>10079.14</v>
      </c>
      <c r="G2158" s="27">
        <v>104470.47</v>
      </c>
      <c r="H2158" s="27">
        <v>1540.96</v>
      </c>
      <c r="I2158" s="27">
        <v>20091.72</v>
      </c>
      <c r="J2158" s="6">
        <v>7216</v>
      </c>
      <c r="K2158" s="6">
        <v>889</v>
      </c>
      <c r="L2158" s="27">
        <v>14.47761502217295</v>
      </c>
      <c r="M2158" s="27">
        <v>22.600359955005626</v>
      </c>
      <c r="N2158" s="34">
        <v>24.3073658235657</v>
      </c>
    </row>
    <row r="2159" spans="1:14" x14ac:dyDescent="0.35">
      <c r="A2159" s="82">
        <v>2156</v>
      </c>
      <c r="B2159" s="89" t="str">
        <f>_xlfn.XLOOKUP(A2159,'Model Modeshare by TAZ'!A:A,'Model Modeshare by TAZ'!B:B)</f>
        <v>Hayward</v>
      </c>
      <c r="C2159" s="90" t="str">
        <f>_xlfn.XLOOKUP(A2159,'Model Modeshare by TAZ'!A:A,'Model Modeshare by TAZ'!D:D)</f>
        <v>NO</v>
      </c>
      <c r="D2159" s="27">
        <v>9645.44</v>
      </c>
      <c r="E2159" s="27">
        <v>178444.91</v>
      </c>
      <c r="F2159" s="27">
        <v>6821.89</v>
      </c>
      <c r="G2159" s="27">
        <v>64643.73</v>
      </c>
      <c r="H2159" s="27">
        <v>2094.1</v>
      </c>
      <c r="I2159" s="27">
        <v>25628.68</v>
      </c>
      <c r="J2159" s="6">
        <v>5228</v>
      </c>
      <c r="K2159" s="6">
        <v>1710</v>
      </c>
      <c r="L2159" s="27">
        <v>12.364906273909718</v>
      </c>
      <c r="M2159" s="27">
        <v>14.98753216374269</v>
      </c>
      <c r="N2159" s="34">
        <v>25.504077543960797</v>
      </c>
    </row>
    <row r="2160" spans="1:14" x14ac:dyDescent="0.35">
      <c r="A2160" s="82">
        <v>2157</v>
      </c>
      <c r="B2160" s="89" t="str">
        <f>_xlfn.XLOOKUP(A2160,'Model Modeshare by TAZ'!A:A,'Model Modeshare by TAZ'!B:B)</f>
        <v>Hayward</v>
      </c>
      <c r="C2160" s="90" t="str">
        <f>_xlfn.XLOOKUP(A2160,'Model Modeshare by TAZ'!A:A,'Model Modeshare by TAZ'!D:D)</f>
        <v>NO</v>
      </c>
      <c r="D2160" s="27">
        <v>6982.55</v>
      </c>
      <c r="E2160" s="27">
        <v>118870.08</v>
      </c>
      <c r="F2160" s="27">
        <v>7521.73</v>
      </c>
      <c r="G2160" s="27">
        <v>69384.58</v>
      </c>
      <c r="H2160" s="27">
        <v>622.48</v>
      </c>
      <c r="I2160" s="27">
        <v>7700.17</v>
      </c>
      <c r="J2160" s="6">
        <v>6184</v>
      </c>
      <c r="K2160" s="6">
        <v>381</v>
      </c>
      <c r="L2160" s="27">
        <v>11.220016170763261</v>
      </c>
      <c r="M2160" s="27">
        <v>20.210419947506562</v>
      </c>
      <c r="N2160" s="34">
        <v>17.169323686214774</v>
      </c>
    </row>
    <row r="2161" spans="1:14" x14ac:dyDescent="0.35">
      <c r="A2161" s="82">
        <v>2158</v>
      </c>
      <c r="B2161" s="89" t="str">
        <f>_xlfn.XLOOKUP(A2161,'Model Modeshare by TAZ'!A:A,'Model Modeshare by TAZ'!B:B)</f>
        <v>Hayward</v>
      </c>
      <c r="C2161" s="90" t="str">
        <f>_xlfn.XLOOKUP(A2161,'Model Modeshare by TAZ'!A:A,'Model Modeshare by TAZ'!D:D)</f>
        <v>NO</v>
      </c>
      <c r="D2161" s="27">
        <v>6933.57</v>
      </c>
      <c r="E2161" s="27">
        <v>127003.71</v>
      </c>
      <c r="F2161" s="27">
        <v>5777.03</v>
      </c>
      <c r="G2161" s="27">
        <v>55513.72</v>
      </c>
      <c r="H2161" s="27">
        <v>1437.55</v>
      </c>
      <c r="I2161" s="27">
        <v>17799.580000000002</v>
      </c>
      <c r="J2161" s="6">
        <v>4688</v>
      </c>
      <c r="K2161" s="6">
        <v>839</v>
      </c>
      <c r="L2161" s="27">
        <v>11.841663822525598</v>
      </c>
      <c r="M2161" s="27">
        <v>21.215232419547082</v>
      </c>
      <c r="N2161" s="34">
        <v>20.941782160303962</v>
      </c>
    </row>
    <row r="2162" spans="1:14" x14ac:dyDescent="0.35">
      <c r="A2162" s="82">
        <v>2159</v>
      </c>
      <c r="B2162" s="89" t="str">
        <f>_xlfn.XLOOKUP(A2162,'Model Modeshare by TAZ'!A:A,'Model Modeshare by TAZ'!B:B)</f>
        <v>Hayward</v>
      </c>
      <c r="C2162" s="90" t="str">
        <f>_xlfn.XLOOKUP(A2162,'Model Modeshare by TAZ'!A:A,'Model Modeshare by TAZ'!D:D)</f>
        <v>NO</v>
      </c>
      <c r="D2162" s="27">
        <v>10790.24</v>
      </c>
      <c r="E2162" s="27">
        <v>216629.73</v>
      </c>
      <c r="F2162" s="27">
        <v>5490.24</v>
      </c>
      <c r="G2162" s="27">
        <v>55795.1</v>
      </c>
      <c r="H2162" s="27">
        <v>3484.98</v>
      </c>
      <c r="I2162" s="27">
        <v>46435.62</v>
      </c>
      <c r="J2162" s="6">
        <v>4101</v>
      </c>
      <c r="K2162" s="6">
        <v>3219</v>
      </c>
      <c r="L2162" s="27">
        <v>13.605242623750305</v>
      </c>
      <c r="M2162" s="27">
        <v>14.425479962721344</v>
      </c>
      <c r="N2162" s="34">
        <v>26.730245901639343</v>
      </c>
    </row>
    <row r="2163" spans="1:14" x14ac:dyDescent="0.35">
      <c r="A2163" s="82">
        <v>2160</v>
      </c>
      <c r="B2163" s="89" t="str">
        <f>_xlfn.XLOOKUP(A2163,'Model Modeshare by TAZ'!A:A,'Model Modeshare by TAZ'!B:B)</f>
        <v>Hayward</v>
      </c>
      <c r="C2163" s="90" t="str">
        <f>_xlfn.XLOOKUP(A2163,'Model Modeshare by TAZ'!A:A,'Model Modeshare by TAZ'!D:D)</f>
        <v>NO</v>
      </c>
      <c r="D2163" s="27">
        <v>10742.12</v>
      </c>
      <c r="E2163" s="27">
        <v>193339.1</v>
      </c>
      <c r="F2163" s="27">
        <v>9134.2099999999991</v>
      </c>
      <c r="G2163" s="27">
        <v>82469.97</v>
      </c>
      <c r="H2163" s="27">
        <v>2922.17</v>
      </c>
      <c r="I2163" s="27">
        <v>36216.120000000003</v>
      </c>
      <c r="J2163" s="6">
        <v>7675</v>
      </c>
      <c r="K2163" s="6">
        <v>2084</v>
      </c>
      <c r="L2163" s="27">
        <v>10.745272964169381</v>
      </c>
      <c r="M2163" s="27">
        <v>17.378176583493282</v>
      </c>
      <c r="N2163" s="34">
        <v>19.709767394200224</v>
      </c>
    </row>
    <row r="2164" spans="1:14" x14ac:dyDescent="0.35">
      <c r="A2164" s="82">
        <v>2161</v>
      </c>
      <c r="B2164" s="89" t="str">
        <f>_xlfn.XLOOKUP(A2164,'Model Modeshare by TAZ'!A:A,'Model Modeshare by TAZ'!B:B)</f>
        <v>Hayward</v>
      </c>
      <c r="C2164" s="90" t="str">
        <f>_xlfn.XLOOKUP(A2164,'Model Modeshare by TAZ'!A:A,'Model Modeshare by TAZ'!D:D)</f>
        <v>NO</v>
      </c>
      <c r="D2164" s="27">
        <v>5296.15</v>
      </c>
      <c r="E2164" s="27">
        <v>114471.21</v>
      </c>
      <c r="F2164" s="27">
        <v>4354.53</v>
      </c>
      <c r="G2164" s="27">
        <v>46638.69</v>
      </c>
      <c r="H2164" s="27">
        <v>1697.67</v>
      </c>
      <c r="I2164" s="27">
        <v>22769.119999999999</v>
      </c>
      <c r="J2164" s="6">
        <v>3528</v>
      </c>
      <c r="K2164" s="6">
        <v>1470</v>
      </c>
      <c r="L2164" s="27">
        <v>13.219583333333334</v>
      </c>
      <c r="M2164" s="27">
        <v>15.489197278911563</v>
      </c>
      <c r="N2164" s="34">
        <v>22.626742697078832</v>
      </c>
    </row>
    <row r="2165" spans="1:14" x14ac:dyDescent="0.35">
      <c r="A2165" s="82">
        <v>2162</v>
      </c>
      <c r="B2165" s="89" t="str">
        <f>_xlfn.XLOOKUP(A2165,'Model Modeshare by TAZ'!A:A,'Model Modeshare by TAZ'!B:B)</f>
        <v>Hayward</v>
      </c>
      <c r="C2165" s="90" t="str">
        <f>_xlfn.XLOOKUP(A2165,'Model Modeshare by TAZ'!A:A,'Model Modeshare by TAZ'!D:D)</f>
        <v>NO</v>
      </c>
      <c r="D2165" s="27">
        <v>8098.08</v>
      </c>
      <c r="E2165" s="27">
        <v>136771.78</v>
      </c>
      <c r="F2165" s="27">
        <v>7991.09</v>
      </c>
      <c r="G2165" s="27">
        <v>69425.36</v>
      </c>
      <c r="H2165" s="27">
        <v>967.68</v>
      </c>
      <c r="I2165" s="27">
        <v>11621.35</v>
      </c>
      <c r="J2165" s="6">
        <v>6841</v>
      </c>
      <c r="K2165" s="6">
        <v>541</v>
      </c>
      <c r="L2165" s="27">
        <v>10.148422745212688</v>
      </c>
      <c r="M2165" s="27">
        <v>21.481238447319779</v>
      </c>
      <c r="N2165" s="34">
        <v>17.193455703061499</v>
      </c>
    </row>
    <row r="2166" spans="1:14" x14ac:dyDescent="0.35">
      <c r="A2166" s="82">
        <v>2163</v>
      </c>
      <c r="B2166" s="89" t="str">
        <f>_xlfn.XLOOKUP(A2166,'Model Modeshare by TAZ'!A:A,'Model Modeshare by TAZ'!B:B)</f>
        <v>Unincorporated</v>
      </c>
      <c r="C2166" s="90" t="str">
        <f>_xlfn.XLOOKUP(A2166,'Model Modeshare by TAZ'!A:A,'Model Modeshare by TAZ'!D:D)</f>
        <v>NO</v>
      </c>
      <c r="D2166" s="27">
        <v>5160.7</v>
      </c>
      <c r="E2166" s="27">
        <v>86429.57</v>
      </c>
      <c r="F2166" s="27">
        <v>4198.5</v>
      </c>
      <c r="G2166" s="27">
        <v>35331.370000000003</v>
      </c>
      <c r="H2166" s="27">
        <v>1283.8900000000001</v>
      </c>
      <c r="I2166" s="27">
        <v>15734.64</v>
      </c>
      <c r="J2166" s="6">
        <v>3749</v>
      </c>
      <c r="K2166" s="6">
        <v>1131</v>
      </c>
      <c r="L2166" s="27">
        <v>9.4242117898106166</v>
      </c>
      <c r="M2166" s="27">
        <v>13.912148541114059</v>
      </c>
      <c r="N2166" s="34">
        <v>18.549034836065573</v>
      </c>
    </row>
    <row r="2167" spans="1:14" x14ac:dyDescent="0.35">
      <c r="A2167" s="82">
        <v>2164</v>
      </c>
      <c r="B2167" s="89" t="str">
        <f>_xlfn.XLOOKUP(A2167,'Model Modeshare by TAZ'!A:A,'Model Modeshare by TAZ'!B:B)</f>
        <v>Unincorporated</v>
      </c>
      <c r="C2167" s="90" t="str">
        <f>_xlfn.XLOOKUP(A2167,'Model Modeshare by TAZ'!A:A,'Model Modeshare by TAZ'!D:D)</f>
        <v>NO</v>
      </c>
      <c r="D2167" s="27">
        <v>8481.34</v>
      </c>
      <c r="E2167" s="27">
        <v>144651.12</v>
      </c>
      <c r="F2167" s="27">
        <v>6525.21</v>
      </c>
      <c r="G2167" s="27">
        <v>58493.279999999999</v>
      </c>
      <c r="H2167" s="27">
        <v>1183.69</v>
      </c>
      <c r="I2167" s="27">
        <v>13912.28</v>
      </c>
      <c r="J2167" s="6">
        <v>5423</v>
      </c>
      <c r="K2167" s="6">
        <v>699</v>
      </c>
      <c r="L2167" s="27">
        <v>10.786147888622533</v>
      </c>
      <c r="M2167" s="27">
        <v>19.903118741058655</v>
      </c>
      <c r="N2167" s="34">
        <v>20.418082326037243</v>
      </c>
    </row>
    <row r="2168" spans="1:14" x14ac:dyDescent="0.35">
      <c r="A2168" s="82">
        <v>2165</v>
      </c>
      <c r="B2168" s="89" t="str">
        <f>_xlfn.XLOOKUP(A2168,'Model Modeshare by TAZ'!A:A,'Model Modeshare by TAZ'!B:B)</f>
        <v>Unincorporated</v>
      </c>
      <c r="C2168" s="90" t="str">
        <f>_xlfn.XLOOKUP(A2168,'Model Modeshare by TAZ'!A:A,'Model Modeshare by TAZ'!D:D)</f>
        <v>NO</v>
      </c>
      <c r="D2168" s="27">
        <v>5491.51</v>
      </c>
      <c r="E2168" s="27">
        <v>109272.43</v>
      </c>
      <c r="F2168" s="27">
        <v>6467.89</v>
      </c>
      <c r="G2168" s="27">
        <v>70078.64</v>
      </c>
      <c r="H2168" s="27">
        <v>172.26</v>
      </c>
      <c r="I2168" s="27">
        <v>2254.54</v>
      </c>
      <c r="J2168" s="6">
        <v>4570</v>
      </c>
      <c r="K2168" s="6">
        <v>100</v>
      </c>
      <c r="L2168" s="27">
        <v>15.334494529540482</v>
      </c>
      <c r="M2168" s="27">
        <v>22.545400000000001</v>
      </c>
      <c r="N2168" s="34">
        <v>22.255890792291218</v>
      </c>
    </row>
    <row r="2169" spans="1:14" x14ac:dyDescent="0.35">
      <c r="A2169" s="82">
        <v>2166</v>
      </c>
      <c r="B2169" s="89" t="str">
        <f>_xlfn.XLOOKUP(A2169,'Model Modeshare by TAZ'!A:A,'Model Modeshare by TAZ'!B:B)</f>
        <v>Unincorporated</v>
      </c>
      <c r="C2169" s="90" t="str">
        <f>_xlfn.XLOOKUP(A2169,'Model Modeshare by TAZ'!A:A,'Model Modeshare by TAZ'!D:D)</f>
        <v>NO</v>
      </c>
      <c r="D2169" s="27">
        <v>8851.58</v>
      </c>
      <c r="E2169" s="27">
        <v>178951.39</v>
      </c>
      <c r="F2169" s="27">
        <v>6763.1</v>
      </c>
      <c r="G2169" s="27">
        <v>72657.440000000002</v>
      </c>
      <c r="H2169" s="27">
        <v>2277.06</v>
      </c>
      <c r="I2169" s="27">
        <v>29473.599999999999</v>
      </c>
      <c r="J2169" s="6">
        <v>5094</v>
      </c>
      <c r="K2169" s="6">
        <v>1510</v>
      </c>
      <c r="L2169" s="27">
        <v>14.263337259521006</v>
      </c>
      <c r="M2169" s="27">
        <v>19.518940397350992</v>
      </c>
      <c r="N2169" s="34">
        <v>25.013912780133253</v>
      </c>
    </row>
    <row r="2170" spans="1:14" x14ac:dyDescent="0.35">
      <c r="A2170" s="82">
        <v>2167</v>
      </c>
      <c r="B2170" s="89" t="str">
        <f>_xlfn.XLOOKUP(A2170,'Model Modeshare by TAZ'!A:A,'Model Modeshare by TAZ'!B:B)</f>
        <v>Unincorporated</v>
      </c>
      <c r="C2170" s="90" t="str">
        <f>_xlfn.XLOOKUP(A2170,'Model Modeshare by TAZ'!A:A,'Model Modeshare by TAZ'!D:D)</f>
        <v>NO</v>
      </c>
      <c r="D2170" s="27">
        <v>8201.49</v>
      </c>
      <c r="E2170" s="27">
        <v>103207.5</v>
      </c>
      <c r="F2170" s="27">
        <v>6632.97</v>
      </c>
      <c r="G2170" s="27">
        <v>45742.37</v>
      </c>
      <c r="H2170" s="27">
        <v>1276.19</v>
      </c>
      <c r="I2170" s="27">
        <v>14965.97</v>
      </c>
      <c r="J2170" s="6">
        <v>5652</v>
      </c>
      <c r="K2170" s="6">
        <v>752</v>
      </c>
      <c r="L2170" s="27">
        <v>8.0931298655343245</v>
      </c>
      <c r="M2170" s="27">
        <v>19.901555851063829</v>
      </c>
      <c r="N2170" s="34">
        <v>14.008416614615864</v>
      </c>
    </row>
    <row r="2171" spans="1:14" x14ac:dyDescent="0.35">
      <c r="A2171" s="82">
        <v>2168</v>
      </c>
      <c r="B2171" s="89" t="str">
        <f>_xlfn.XLOOKUP(A2171,'Model Modeshare by TAZ'!A:A,'Model Modeshare by TAZ'!B:B)</f>
        <v>Unincorporated</v>
      </c>
      <c r="C2171" s="90" t="str">
        <f>_xlfn.XLOOKUP(A2171,'Model Modeshare by TAZ'!A:A,'Model Modeshare by TAZ'!D:D)</f>
        <v>NO</v>
      </c>
      <c r="D2171" s="27">
        <v>5707.93</v>
      </c>
      <c r="E2171" s="27">
        <v>99748.5</v>
      </c>
      <c r="F2171" s="27">
        <v>5851.94</v>
      </c>
      <c r="G2171" s="27">
        <v>53087.07</v>
      </c>
      <c r="H2171" s="27">
        <v>982.1</v>
      </c>
      <c r="I2171" s="27">
        <v>11691.23</v>
      </c>
      <c r="J2171" s="6">
        <v>4623</v>
      </c>
      <c r="K2171" s="6">
        <v>542</v>
      </c>
      <c r="L2171" s="27">
        <v>11.483251135626217</v>
      </c>
      <c r="M2171" s="27">
        <v>21.570535055350554</v>
      </c>
      <c r="N2171" s="34">
        <v>18.758853823814132</v>
      </c>
    </row>
    <row r="2172" spans="1:14" x14ac:dyDescent="0.35">
      <c r="A2172" s="82">
        <v>2169</v>
      </c>
      <c r="B2172" s="89" t="str">
        <f>_xlfn.XLOOKUP(A2172,'Model Modeshare by TAZ'!A:A,'Model Modeshare by TAZ'!B:B)</f>
        <v>Unincorporated</v>
      </c>
      <c r="C2172" s="90" t="str">
        <f>_xlfn.XLOOKUP(A2172,'Model Modeshare by TAZ'!A:A,'Model Modeshare by TAZ'!D:D)</f>
        <v>NO</v>
      </c>
      <c r="D2172" s="27">
        <v>12483.03</v>
      </c>
      <c r="E2172" s="27">
        <v>212144.54</v>
      </c>
      <c r="F2172" s="27">
        <v>11782.98</v>
      </c>
      <c r="G2172" s="27">
        <v>103265.7</v>
      </c>
      <c r="H2172" s="27">
        <v>2186.46</v>
      </c>
      <c r="I2172" s="27">
        <v>26930.3</v>
      </c>
      <c r="J2172" s="6">
        <v>10320</v>
      </c>
      <c r="K2172" s="6">
        <v>1279</v>
      </c>
      <c r="L2172" s="27">
        <v>10.006366279069766</v>
      </c>
      <c r="M2172" s="27">
        <v>21.055746677091477</v>
      </c>
      <c r="N2172" s="34">
        <v>17.294380550047418</v>
      </c>
    </row>
    <row r="2173" spans="1:14" x14ac:dyDescent="0.35">
      <c r="A2173" s="82">
        <v>2170</v>
      </c>
      <c r="B2173" s="89" t="str">
        <f>_xlfn.XLOOKUP(A2173,'Model Modeshare by TAZ'!A:A,'Model Modeshare by TAZ'!B:B)</f>
        <v>Unincorporated</v>
      </c>
      <c r="C2173" s="90" t="str">
        <f>_xlfn.XLOOKUP(A2173,'Model Modeshare by TAZ'!A:A,'Model Modeshare by TAZ'!D:D)</f>
        <v>NO</v>
      </c>
      <c r="D2173" s="27">
        <v>6270.11</v>
      </c>
      <c r="E2173" s="27">
        <v>108063.23</v>
      </c>
      <c r="F2173" s="27">
        <v>4762.47</v>
      </c>
      <c r="G2173" s="27">
        <v>41843.79</v>
      </c>
      <c r="H2173" s="27">
        <v>1433.36</v>
      </c>
      <c r="I2173" s="27">
        <v>17220.650000000001</v>
      </c>
      <c r="J2173" s="6">
        <v>3894</v>
      </c>
      <c r="K2173" s="6">
        <v>1036</v>
      </c>
      <c r="L2173" s="27">
        <v>10.745708782742682</v>
      </c>
      <c r="M2173" s="27">
        <v>16.622249034749036</v>
      </c>
      <c r="N2173" s="34">
        <v>21.11594523326572</v>
      </c>
    </row>
    <row r="2174" spans="1:14" x14ac:dyDescent="0.35">
      <c r="A2174" s="82">
        <v>2171</v>
      </c>
      <c r="B2174" s="89" t="str">
        <f>_xlfn.XLOOKUP(A2174,'Model Modeshare by TAZ'!A:A,'Model Modeshare by TAZ'!B:B)</f>
        <v>Hayward</v>
      </c>
      <c r="C2174" s="90" t="str">
        <f>_xlfn.XLOOKUP(A2174,'Model Modeshare by TAZ'!A:A,'Model Modeshare by TAZ'!D:D)</f>
        <v>NO</v>
      </c>
      <c r="D2174" s="27">
        <v>16262.08</v>
      </c>
      <c r="E2174" s="27">
        <v>289175.03000000003</v>
      </c>
      <c r="F2174" s="27">
        <v>5872.47</v>
      </c>
      <c r="G2174" s="27">
        <v>56122.64</v>
      </c>
      <c r="H2174" s="27">
        <v>8101.07</v>
      </c>
      <c r="I2174" s="27">
        <v>106800.76</v>
      </c>
      <c r="J2174" s="6">
        <v>5190</v>
      </c>
      <c r="K2174" s="6">
        <v>7934</v>
      </c>
      <c r="L2174" s="27">
        <v>10.813610789980732</v>
      </c>
      <c r="M2174" s="27">
        <v>13.461149483236703</v>
      </c>
      <c r="N2174" s="34">
        <v>30.30375571472112</v>
      </c>
    </row>
    <row r="2175" spans="1:14" x14ac:dyDescent="0.35">
      <c r="A2175" s="82">
        <v>2172</v>
      </c>
      <c r="B2175" s="89" t="str">
        <f>_xlfn.XLOOKUP(A2175,'Model Modeshare by TAZ'!A:A,'Model Modeshare by TAZ'!B:B)</f>
        <v>Unincorporated</v>
      </c>
      <c r="C2175" s="90" t="str">
        <f>_xlfn.XLOOKUP(A2175,'Model Modeshare by TAZ'!A:A,'Model Modeshare by TAZ'!D:D)</f>
        <v>NO</v>
      </c>
      <c r="D2175" s="27">
        <v>9401.18</v>
      </c>
      <c r="E2175" s="27">
        <v>185997.22</v>
      </c>
      <c r="F2175" s="27">
        <v>7972.15</v>
      </c>
      <c r="G2175" s="27">
        <v>79411.100000000006</v>
      </c>
      <c r="H2175" s="27">
        <v>2158.2199999999998</v>
      </c>
      <c r="I2175" s="27">
        <v>28153.88</v>
      </c>
      <c r="J2175" s="6">
        <v>5824</v>
      </c>
      <c r="K2175" s="6">
        <v>1459</v>
      </c>
      <c r="L2175" s="27">
        <v>13.635147664835166</v>
      </c>
      <c r="M2175" s="27">
        <v>19.296696367374913</v>
      </c>
      <c r="N2175" s="34">
        <v>24.550560208705207</v>
      </c>
    </row>
    <row r="2176" spans="1:14" x14ac:dyDescent="0.35">
      <c r="A2176" s="82">
        <v>2173</v>
      </c>
      <c r="B2176" s="89" t="str">
        <f>_xlfn.XLOOKUP(A2176,'Model Modeshare by TAZ'!A:A,'Model Modeshare by TAZ'!B:B)</f>
        <v>Hayward</v>
      </c>
      <c r="C2176" s="90" t="str">
        <f>_xlfn.XLOOKUP(A2176,'Model Modeshare by TAZ'!A:A,'Model Modeshare by TAZ'!D:D)</f>
        <v>NO</v>
      </c>
      <c r="D2176" s="27">
        <v>6784.79</v>
      </c>
      <c r="E2176" s="27">
        <v>132604.26</v>
      </c>
      <c r="F2176" s="27">
        <v>5754.2</v>
      </c>
      <c r="G2176" s="27">
        <v>55873.47</v>
      </c>
      <c r="H2176" s="27">
        <v>923.97</v>
      </c>
      <c r="I2176" s="27">
        <v>11817.97</v>
      </c>
      <c r="J2176" s="6">
        <v>4320</v>
      </c>
      <c r="K2176" s="6">
        <v>526</v>
      </c>
      <c r="L2176" s="27">
        <v>12.933673611111111</v>
      </c>
      <c r="M2176" s="27">
        <v>22.467623574144486</v>
      </c>
      <c r="N2176" s="34">
        <v>21.461099876186548</v>
      </c>
    </row>
    <row r="2177" spans="1:14" x14ac:dyDescent="0.35">
      <c r="A2177" s="82">
        <v>2174</v>
      </c>
      <c r="B2177" s="89" t="str">
        <f>_xlfn.XLOOKUP(A2177,'Model Modeshare by TAZ'!A:A,'Model Modeshare by TAZ'!B:B)</f>
        <v>Unincorporated</v>
      </c>
      <c r="C2177" s="90" t="str">
        <f>_xlfn.XLOOKUP(A2177,'Model Modeshare by TAZ'!A:A,'Model Modeshare by TAZ'!D:D)</f>
        <v>NO</v>
      </c>
      <c r="D2177" s="27">
        <v>5312.79</v>
      </c>
      <c r="E2177" s="27">
        <v>102683.98</v>
      </c>
      <c r="F2177" s="27">
        <v>4417.3</v>
      </c>
      <c r="G2177" s="27">
        <v>47557.04</v>
      </c>
      <c r="H2177" s="27">
        <v>1063.1099999999999</v>
      </c>
      <c r="I2177" s="27">
        <v>13578.63</v>
      </c>
      <c r="J2177" s="6">
        <v>3269</v>
      </c>
      <c r="K2177" s="6">
        <v>585</v>
      </c>
      <c r="L2177" s="27">
        <v>14.547886203732029</v>
      </c>
      <c r="M2177" s="27">
        <v>23.211333333333332</v>
      </c>
      <c r="N2177" s="34">
        <v>26.038572911261028</v>
      </c>
    </row>
    <row r="2178" spans="1:14" x14ac:dyDescent="0.35">
      <c r="A2178" s="82">
        <v>2175</v>
      </c>
      <c r="B2178" s="89" t="str">
        <f>_xlfn.XLOOKUP(A2178,'Model Modeshare by TAZ'!A:A,'Model Modeshare by TAZ'!B:B)</f>
        <v>Unincorporated</v>
      </c>
      <c r="C2178" s="90" t="str">
        <f>_xlfn.XLOOKUP(A2178,'Model Modeshare by TAZ'!A:A,'Model Modeshare by TAZ'!D:D)</f>
        <v>NO</v>
      </c>
      <c r="D2178" s="27">
        <v>6010.51</v>
      </c>
      <c r="E2178" s="27">
        <v>128298.99</v>
      </c>
      <c r="F2178" s="27">
        <v>5748.09</v>
      </c>
      <c r="G2178" s="27">
        <v>64785.5</v>
      </c>
      <c r="H2178" s="27">
        <v>455.61</v>
      </c>
      <c r="I2178" s="27">
        <v>5878.09</v>
      </c>
      <c r="J2178" s="6">
        <v>4088</v>
      </c>
      <c r="K2178" s="6">
        <v>252</v>
      </c>
      <c r="L2178" s="27">
        <v>15.84772504892368</v>
      </c>
      <c r="M2178" s="27">
        <v>23.32575396825397</v>
      </c>
      <c r="N2178" s="34">
        <v>24.143094470046083</v>
      </c>
    </row>
    <row r="2179" spans="1:14" x14ac:dyDescent="0.35">
      <c r="A2179" s="82">
        <v>2176</v>
      </c>
      <c r="B2179" s="89" t="str">
        <f>_xlfn.XLOOKUP(A2179,'Model Modeshare by TAZ'!A:A,'Model Modeshare by TAZ'!B:B)</f>
        <v>Unincorporated</v>
      </c>
      <c r="C2179" s="90" t="str">
        <f>_xlfn.XLOOKUP(A2179,'Model Modeshare by TAZ'!A:A,'Model Modeshare by TAZ'!D:D)</f>
        <v>NO</v>
      </c>
      <c r="D2179" s="27">
        <v>13573.45</v>
      </c>
      <c r="E2179" s="27">
        <v>429748.6</v>
      </c>
      <c r="F2179" s="27">
        <v>13634.63</v>
      </c>
      <c r="G2179" s="27">
        <v>228883.64</v>
      </c>
      <c r="H2179" s="27">
        <v>2501.56</v>
      </c>
      <c r="I2179" s="27">
        <v>45688.36</v>
      </c>
      <c r="J2179" s="6">
        <v>8862</v>
      </c>
      <c r="K2179" s="6">
        <v>1373</v>
      </c>
      <c r="L2179" s="27">
        <v>25.8275378018506</v>
      </c>
      <c r="M2179" s="27">
        <v>33.276300072833216</v>
      </c>
      <c r="N2179" s="34">
        <v>40.36209184171959</v>
      </c>
    </row>
    <row r="2180" spans="1:14" x14ac:dyDescent="0.35">
      <c r="A2180" s="82">
        <v>2177</v>
      </c>
      <c r="B2180" s="89" t="str">
        <f>_xlfn.XLOOKUP(A2180,'Model Modeshare by TAZ'!A:A,'Model Modeshare by TAZ'!B:B)</f>
        <v>Unincorporated</v>
      </c>
      <c r="C2180" s="90" t="str">
        <f>_xlfn.XLOOKUP(A2180,'Model Modeshare by TAZ'!A:A,'Model Modeshare by TAZ'!D:D)</f>
        <v>NO</v>
      </c>
      <c r="D2180" s="27">
        <v>9004.1299999999992</v>
      </c>
      <c r="E2180" s="27">
        <v>181835.92</v>
      </c>
      <c r="F2180" s="27">
        <v>9931.39</v>
      </c>
      <c r="G2180" s="27">
        <v>113495.42</v>
      </c>
      <c r="H2180" s="27">
        <v>1904.07</v>
      </c>
      <c r="I2180" s="27">
        <v>26453.55</v>
      </c>
      <c r="J2180" s="6">
        <v>6862</v>
      </c>
      <c r="K2180" s="6">
        <v>1091</v>
      </c>
      <c r="L2180" s="27">
        <v>16.53969979597785</v>
      </c>
      <c r="M2180" s="27">
        <v>24.247066911090741</v>
      </c>
      <c r="N2180" s="34">
        <v>25.184804476298254</v>
      </c>
    </row>
    <row r="2181" spans="1:14" x14ac:dyDescent="0.35">
      <c r="A2181" s="82">
        <v>2178</v>
      </c>
      <c r="B2181" s="89" t="str">
        <f>_xlfn.XLOOKUP(A2181,'Model Modeshare by TAZ'!A:A,'Model Modeshare by TAZ'!B:B)</f>
        <v>Unincorporated</v>
      </c>
      <c r="C2181" s="90" t="str">
        <f>_xlfn.XLOOKUP(A2181,'Model Modeshare by TAZ'!A:A,'Model Modeshare by TAZ'!D:D)</f>
        <v>NO</v>
      </c>
      <c r="D2181" s="27">
        <v>8044.22</v>
      </c>
      <c r="E2181" s="27">
        <v>152883.85999999999</v>
      </c>
      <c r="F2181" s="27">
        <v>7391.76</v>
      </c>
      <c r="G2181" s="27">
        <v>78795.05</v>
      </c>
      <c r="H2181" s="27">
        <v>1591.87</v>
      </c>
      <c r="I2181" s="27">
        <v>21371.45</v>
      </c>
      <c r="J2181" s="6">
        <v>5442</v>
      </c>
      <c r="K2181" s="6">
        <v>918</v>
      </c>
      <c r="L2181" s="27">
        <v>14.479061006982727</v>
      </c>
      <c r="M2181" s="27">
        <v>23.280446623093681</v>
      </c>
      <c r="N2181" s="34">
        <v>23.758599056603774</v>
      </c>
    </row>
    <row r="2182" spans="1:14" x14ac:dyDescent="0.35">
      <c r="A2182" s="82">
        <v>2179</v>
      </c>
      <c r="B2182" s="89" t="str">
        <f>_xlfn.XLOOKUP(A2182,'Model Modeshare by TAZ'!A:A,'Model Modeshare by TAZ'!B:B)</f>
        <v>Unincorporated</v>
      </c>
      <c r="C2182" s="90" t="str">
        <f>_xlfn.XLOOKUP(A2182,'Model Modeshare by TAZ'!A:A,'Model Modeshare by TAZ'!D:D)</f>
        <v>NO</v>
      </c>
      <c r="D2182" s="27">
        <v>7841.92</v>
      </c>
      <c r="E2182" s="27">
        <v>128139.61</v>
      </c>
      <c r="F2182" s="27">
        <v>3772.61</v>
      </c>
      <c r="G2182" s="27">
        <v>37857.21</v>
      </c>
      <c r="H2182" s="27">
        <v>1730.18</v>
      </c>
      <c r="I2182" s="27">
        <v>22403.47</v>
      </c>
      <c r="J2182" s="6">
        <v>2902</v>
      </c>
      <c r="K2182" s="6">
        <v>1594</v>
      </c>
      <c r="L2182" s="27">
        <v>13.045213645761544</v>
      </c>
      <c r="M2182" s="27">
        <v>14.054874529485572</v>
      </c>
      <c r="N2182" s="34">
        <v>30.694979982206405</v>
      </c>
    </row>
    <row r="2183" spans="1:14" x14ac:dyDescent="0.35">
      <c r="A2183" s="82">
        <v>2180</v>
      </c>
      <c r="B2183" s="89" t="str">
        <f>_xlfn.XLOOKUP(A2183,'Model Modeshare by TAZ'!A:A,'Model Modeshare by TAZ'!B:B)</f>
        <v>Unincorporated</v>
      </c>
      <c r="C2183" s="90" t="str">
        <f>_xlfn.XLOOKUP(A2183,'Model Modeshare by TAZ'!A:A,'Model Modeshare by TAZ'!D:D)</f>
        <v>NO</v>
      </c>
      <c r="D2183" s="27">
        <v>16844.79</v>
      </c>
      <c r="E2183" s="27">
        <v>289458.52</v>
      </c>
      <c r="F2183" s="27">
        <v>5576.55</v>
      </c>
      <c r="G2183" s="27">
        <v>50575.59</v>
      </c>
      <c r="H2183" s="27">
        <v>3165.24</v>
      </c>
      <c r="I2183" s="27">
        <v>40677.379999999997</v>
      </c>
      <c r="J2183" s="6">
        <v>4545</v>
      </c>
      <c r="K2183" s="6">
        <v>2898</v>
      </c>
      <c r="L2183" s="27">
        <v>11.127742574257425</v>
      </c>
      <c r="M2183" s="27">
        <v>14.036363008971703</v>
      </c>
      <c r="N2183" s="34">
        <v>25.467582963858661</v>
      </c>
    </row>
    <row r="2184" spans="1:14" x14ac:dyDescent="0.35">
      <c r="A2184" s="82">
        <v>2181</v>
      </c>
      <c r="B2184" s="89" t="str">
        <f>_xlfn.XLOOKUP(A2184,'Model Modeshare by TAZ'!A:A,'Model Modeshare by TAZ'!B:B)</f>
        <v>Unincorporated</v>
      </c>
      <c r="C2184" s="90" t="str">
        <f>_xlfn.XLOOKUP(A2184,'Model Modeshare by TAZ'!A:A,'Model Modeshare by TAZ'!D:D)</f>
        <v>NO</v>
      </c>
      <c r="D2184" s="27">
        <v>5905.61</v>
      </c>
      <c r="E2184" s="27">
        <v>117346.89</v>
      </c>
      <c r="F2184" s="27">
        <v>5128.7299999999996</v>
      </c>
      <c r="G2184" s="27">
        <v>54903.57</v>
      </c>
      <c r="H2184" s="27">
        <v>1103.3499999999999</v>
      </c>
      <c r="I2184" s="27">
        <v>15569.1</v>
      </c>
      <c r="J2184" s="6">
        <v>3817</v>
      </c>
      <c r="K2184" s="6">
        <v>621</v>
      </c>
      <c r="L2184" s="27">
        <v>14.383958606235263</v>
      </c>
      <c r="M2184" s="27">
        <v>25.071014492753623</v>
      </c>
      <c r="N2184" s="34">
        <v>24.648810274898601</v>
      </c>
    </row>
    <row r="2185" spans="1:14" x14ac:dyDescent="0.35">
      <c r="A2185" s="82">
        <v>2182</v>
      </c>
      <c r="B2185" s="89" t="str">
        <f>_xlfn.XLOOKUP(A2185,'Model Modeshare by TAZ'!A:A,'Model Modeshare by TAZ'!B:B)</f>
        <v>Unincorporated</v>
      </c>
      <c r="C2185" s="90" t="str">
        <f>_xlfn.XLOOKUP(A2185,'Model Modeshare by TAZ'!A:A,'Model Modeshare by TAZ'!D:D)</f>
        <v>NO</v>
      </c>
      <c r="D2185" s="27">
        <v>5539.75</v>
      </c>
      <c r="E2185" s="27">
        <v>100549.17</v>
      </c>
      <c r="F2185" s="27">
        <v>5045.29</v>
      </c>
      <c r="G2185" s="27">
        <v>52319.68</v>
      </c>
      <c r="H2185" s="27">
        <v>740.55</v>
      </c>
      <c r="I2185" s="27">
        <v>9871.82</v>
      </c>
      <c r="J2185" s="6">
        <v>3683</v>
      </c>
      <c r="K2185" s="6">
        <v>404</v>
      </c>
      <c r="L2185" s="27">
        <v>14.205723594895465</v>
      </c>
      <c r="M2185" s="27">
        <v>24.43519801980198</v>
      </c>
      <c r="N2185" s="34">
        <v>22.968350868607779</v>
      </c>
    </row>
    <row r="2186" spans="1:14" x14ac:dyDescent="0.35">
      <c r="A2186" s="82">
        <v>2183</v>
      </c>
      <c r="B2186" s="89" t="str">
        <f>_xlfn.XLOOKUP(A2186,'Model Modeshare by TAZ'!A:A,'Model Modeshare by TAZ'!B:B)</f>
        <v>Unincorporated</v>
      </c>
      <c r="C2186" s="90" t="str">
        <f>_xlfn.XLOOKUP(A2186,'Model Modeshare by TAZ'!A:A,'Model Modeshare by TAZ'!D:D)</f>
        <v>NO</v>
      </c>
      <c r="D2186" s="27">
        <v>3096.59</v>
      </c>
      <c r="E2186" s="27">
        <v>59635.05</v>
      </c>
      <c r="F2186" s="27">
        <v>2928.91</v>
      </c>
      <c r="G2186" s="27">
        <v>30945.19</v>
      </c>
      <c r="H2186" s="27">
        <v>385.15</v>
      </c>
      <c r="I2186" s="27">
        <v>5231.04</v>
      </c>
      <c r="J2186" s="6">
        <v>2070</v>
      </c>
      <c r="K2186" s="6">
        <v>211</v>
      </c>
      <c r="L2186" s="27">
        <v>14.949367149758453</v>
      </c>
      <c r="M2186" s="27">
        <v>24.79165876777251</v>
      </c>
      <c r="N2186" s="34">
        <v>24.277772906619902</v>
      </c>
    </row>
    <row r="2187" spans="1:14" x14ac:dyDescent="0.35">
      <c r="A2187" s="82">
        <v>2184</v>
      </c>
      <c r="B2187" s="89" t="str">
        <f>_xlfn.XLOOKUP(A2187,'Model Modeshare by TAZ'!A:A,'Model Modeshare by TAZ'!B:B)</f>
        <v>Unincorporated</v>
      </c>
      <c r="C2187" s="90" t="str">
        <f>_xlfn.XLOOKUP(A2187,'Model Modeshare by TAZ'!A:A,'Model Modeshare by TAZ'!D:D)</f>
        <v>NO</v>
      </c>
      <c r="D2187" s="27">
        <v>7937.46</v>
      </c>
      <c r="E2187" s="27">
        <v>153722.57999999999</v>
      </c>
      <c r="F2187" s="27">
        <v>7907.27</v>
      </c>
      <c r="G2187" s="27">
        <v>78486.87</v>
      </c>
      <c r="H2187" s="27">
        <v>772.13</v>
      </c>
      <c r="I2187" s="27">
        <v>9853.3700000000008</v>
      </c>
      <c r="J2187" s="6">
        <v>5917</v>
      </c>
      <c r="K2187" s="6">
        <v>433</v>
      </c>
      <c r="L2187" s="27">
        <v>13.264639175257731</v>
      </c>
      <c r="M2187" s="27">
        <v>22.75605080831409</v>
      </c>
      <c r="N2187" s="34">
        <v>21.172993700787401</v>
      </c>
    </row>
    <row r="2188" spans="1:14" x14ac:dyDescent="0.35">
      <c r="A2188" s="82">
        <v>2185</v>
      </c>
      <c r="B2188" s="89" t="str">
        <f>_xlfn.XLOOKUP(A2188,'Model Modeshare by TAZ'!A:A,'Model Modeshare by TAZ'!B:B)</f>
        <v>Unincorporated</v>
      </c>
      <c r="C2188" s="90" t="str">
        <f>_xlfn.XLOOKUP(A2188,'Model Modeshare by TAZ'!A:A,'Model Modeshare by TAZ'!D:D)</f>
        <v>NO</v>
      </c>
      <c r="D2188" s="27">
        <v>9997.14</v>
      </c>
      <c r="E2188" s="27">
        <v>208146.23</v>
      </c>
      <c r="F2188" s="27">
        <v>7516.4</v>
      </c>
      <c r="G2188" s="27">
        <v>80002</v>
      </c>
      <c r="H2188" s="27">
        <v>3236.81</v>
      </c>
      <c r="I2188" s="27">
        <v>42899.34</v>
      </c>
      <c r="J2188" s="6">
        <v>5463</v>
      </c>
      <c r="K2188" s="6">
        <v>2871</v>
      </c>
      <c r="L2188" s="27">
        <v>14.644334614680579</v>
      </c>
      <c r="M2188" s="27">
        <v>14.942298850574712</v>
      </c>
      <c r="N2188" s="34">
        <v>28.816619870410367</v>
      </c>
    </row>
    <row r="2189" spans="1:14" x14ac:dyDescent="0.35">
      <c r="A2189" s="82">
        <v>2186</v>
      </c>
      <c r="B2189" s="89" t="str">
        <f>_xlfn.XLOOKUP(A2189,'Model Modeshare by TAZ'!A:A,'Model Modeshare by TAZ'!B:B)</f>
        <v>Unincorporated</v>
      </c>
      <c r="C2189" s="90" t="str">
        <f>_xlfn.XLOOKUP(A2189,'Model Modeshare by TAZ'!A:A,'Model Modeshare by TAZ'!D:D)</f>
        <v>NO</v>
      </c>
      <c r="D2189" s="27">
        <v>7975.54</v>
      </c>
      <c r="E2189" s="27">
        <v>130961.95</v>
      </c>
      <c r="F2189" s="27">
        <v>7955.62</v>
      </c>
      <c r="G2189" s="27">
        <v>74381.84</v>
      </c>
      <c r="H2189" s="27">
        <v>935.51</v>
      </c>
      <c r="I2189" s="27">
        <v>11596.96</v>
      </c>
      <c r="J2189" s="6">
        <v>6865</v>
      </c>
      <c r="K2189" s="6">
        <v>543</v>
      </c>
      <c r="L2189" s="27">
        <v>10.834936635105608</v>
      </c>
      <c r="M2189" s="27">
        <v>21.357200736648249</v>
      </c>
      <c r="N2189" s="34">
        <v>18.25445464362851</v>
      </c>
    </row>
    <row r="2190" spans="1:14" x14ac:dyDescent="0.35">
      <c r="A2190" s="82">
        <v>2187</v>
      </c>
      <c r="B2190" s="89" t="str">
        <f>_xlfn.XLOOKUP(A2190,'Model Modeshare by TAZ'!A:A,'Model Modeshare by TAZ'!B:B)</f>
        <v>Unincorporated</v>
      </c>
      <c r="C2190" s="90" t="str">
        <f>_xlfn.XLOOKUP(A2190,'Model Modeshare by TAZ'!A:A,'Model Modeshare by TAZ'!D:D)</f>
        <v>NO</v>
      </c>
      <c r="D2190" s="27">
        <v>6505.67</v>
      </c>
      <c r="E2190" s="27">
        <v>109901.29</v>
      </c>
      <c r="F2190" s="27">
        <v>5572.01</v>
      </c>
      <c r="G2190" s="27">
        <v>49569.18</v>
      </c>
      <c r="H2190" s="27">
        <v>1078.83</v>
      </c>
      <c r="I2190" s="27">
        <v>13598.95</v>
      </c>
      <c r="J2190" s="6">
        <v>5144</v>
      </c>
      <c r="K2190" s="6">
        <v>647</v>
      </c>
      <c r="L2190" s="27">
        <v>9.6363102643856919</v>
      </c>
      <c r="M2190" s="27">
        <v>21.018469860896445</v>
      </c>
      <c r="N2190" s="34">
        <v>18.312731825246072</v>
      </c>
    </row>
    <row r="2191" spans="1:14" x14ac:dyDescent="0.35">
      <c r="A2191" s="82">
        <v>2188</v>
      </c>
      <c r="B2191" s="89" t="str">
        <f>_xlfn.XLOOKUP(A2191,'Model Modeshare by TAZ'!A:A,'Model Modeshare by TAZ'!B:B)</f>
        <v>Unincorporated</v>
      </c>
      <c r="C2191" s="90" t="str">
        <f>_xlfn.XLOOKUP(A2191,'Model Modeshare by TAZ'!A:A,'Model Modeshare by TAZ'!D:D)</f>
        <v>NO</v>
      </c>
      <c r="D2191" s="27">
        <v>12835.32</v>
      </c>
      <c r="E2191" s="27">
        <v>218932.65</v>
      </c>
      <c r="F2191" s="27">
        <v>8975.76</v>
      </c>
      <c r="G2191" s="27">
        <v>79951.240000000005</v>
      </c>
      <c r="H2191" s="27">
        <v>1866.75</v>
      </c>
      <c r="I2191" s="27">
        <v>21680.58</v>
      </c>
      <c r="J2191" s="6">
        <v>7594</v>
      </c>
      <c r="K2191" s="6">
        <v>1138</v>
      </c>
      <c r="L2191" s="27">
        <v>10.528211746115355</v>
      </c>
      <c r="M2191" s="27">
        <v>19.051476274165204</v>
      </c>
      <c r="N2191" s="34">
        <v>20.042538937242327</v>
      </c>
    </row>
    <row r="2192" spans="1:14" x14ac:dyDescent="0.35">
      <c r="A2192" s="82">
        <v>2189</v>
      </c>
      <c r="B2192" s="89" t="str">
        <f>_xlfn.XLOOKUP(A2192,'Model Modeshare by TAZ'!A:A,'Model Modeshare by TAZ'!B:B)</f>
        <v>Unincorporated</v>
      </c>
      <c r="C2192" s="90" t="str">
        <f>_xlfn.XLOOKUP(A2192,'Model Modeshare by TAZ'!A:A,'Model Modeshare by TAZ'!D:D)</f>
        <v>NO</v>
      </c>
      <c r="D2192" s="27">
        <v>7527.16</v>
      </c>
      <c r="E2192" s="27">
        <v>98858.67</v>
      </c>
      <c r="F2192" s="27">
        <v>4034.45</v>
      </c>
      <c r="G2192" s="27">
        <v>29141.43</v>
      </c>
      <c r="H2192" s="27">
        <v>1476.38</v>
      </c>
      <c r="I2192" s="27">
        <v>17341.53</v>
      </c>
      <c r="J2192" s="6">
        <v>3268</v>
      </c>
      <c r="K2192" s="6">
        <v>1239</v>
      </c>
      <c r="L2192" s="27">
        <v>8.917206242350062</v>
      </c>
      <c r="M2192" s="27">
        <v>13.99639225181598</v>
      </c>
      <c r="N2192" s="34">
        <v>17.219767029065899</v>
      </c>
    </row>
    <row r="2193" spans="1:14" x14ac:dyDescent="0.35">
      <c r="A2193" s="82">
        <v>2190</v>
      </c>
      <c r="B2193" s="89" t="str">
        <f>_xlfn.XLOOKUP(A2193,'Model Modeshare by TAZ'!A:A,'Model Modeshare by TAZ'!B:B)</f>
        <v>San Leandro</v>
      </c>
      <c r="C2193" s="90" t="str">
        <f>_xlfn.XLOOKUP(A2193,'Model Modeshare by TAZ'!A:A,'Model Modeshare by TAZ'!D:D)</f>
        <v>NO</v>
      </c>
      <c r="D2193" s="27">
        <v>10288.98</v>
      </c>
      <c r="E2193" s="27">
        <v>185645.39</v>
      </c>
      <c r="F2193" s="27">
        <v>8030.6</v>
      </c>
      <c r="G2193" s="27">
        <v>76554.539999999994</v>
      </c>
      <c r="H2193" s="27">
        <v>1753.18</v>
      </c>
      <c r="I2193" s="27">
        <v>21731.9</v>
      </c>
      <c r="J2193" s="6">
        <v>6080</v>
      </c>
      <c r="K2193" s="6">
        <v>991</v>
      </c>
      <c r="L2193" s="27">
        <v>12.591207236842104</v>
      </c>
      <c r="M2193" s="27">
        <v>21.929263370332997</v>
      </c>
      <c r="N2193" s="34">
        <v>22.867687738650829</v>
      </c>
    </row>
    <row r="2194" spans="1:14" x14ac:dyDescent="0.35">
      <c r="A2194" s="82">
        <v>2191</v>
      </c>
      <c r="B2194" s="89" t="str">
        <f>_xlfn.XLOOKUP(A2194,'Model Modeshare by TAZ'!A:A,'Model Modeshare by TAZ'!B:B)</f>
        <v>San Leandro</v>
      </c>
      <c r="C2194" s="90" t="str">
        <f>_xlfn.XLOOKUP(A2194,'Model Modeshare by TAZ'!A:A,'Model Modeshare by TAZ'!D:D)</f>
        <v>NO</v>
      </c>
      <c r="D2194" s="27">
        <v>5921.82</v>
      </c>
      <c r="E2194" s="27">
        <v>111219</v>
      </c>
      <c r="F2194" s="27">
        <v>5829.36</v>
      </c>
      <c r="G2194" s="27">
        <v>60285.18</v>
      </c>
      <c r="H2194" s="27">
        <v>356.41</v>
      </c>
      <c r="I2194" s="27">
        <v>4454.67</v>
      </c>
      <c r="J2194" s="6">
        <v>4429</v>
      </c>
      <c r="K2194" s="6">
        <v>196</v>
      </c>
      <c r="L2194" s="27">
        <v>13.611465342063671</v>
      </c>
      <c r="M2194" s="27">
        <v>22.727908163265308</v>
      </c>
      <c r="N2194" s="34">
        <v>20.768339459459462</v>
      </c>
    </row>
    <row r="2195" spans="1:14" x14ac:dyDescent="0.35">
      <c r="A2195" s="82">
        <v>2192</v>
      </c>
      <c r="B2195" s="89" t="str">
        <f>_xlfn.XLOOKUP(A2195,'Model Modeshare by TAZ'!A:A,'Model Modeshare by TAZ'!B:B)</f>
        <v>San Leandro</v>
      </c>
      <c r="C2195" s="90" t="str">
        <f>_xlfn.XLOOKUP(A2195,'Model Modeshare by TAZ'!A:A,'Model Modeshare by TAZ'!D:D)</f>
        <v>NO</v>
      </c>
      <c r="D2195" s="27">
        <v>12390.58</v>
      </c>
      <c r="E2195" s="27">
        <v>268673.61</v>
      </c>
      <c r="F2195" s="27">
        <v>9174.01</v>
      </c>
      <c r="G2195" s="27">
        <v>92293.01</v>
      </c>
      <c r="H2195" s="27">
        <v>4986.82</v>
      </c>
      <c r="I2195" s="27">
        <v>65086.03</v>
      </c>
      <c r="J2195" s="6">
        <v>6435</v>
      </c>
      <c r="K2195" s="6">
        <v>4201</v>
      </c>
      <c r="L2195" s="27">
        <v>14.342348096348095</v>
      </c>
      <c r="M2195" s="27">
        <v>15.492985003570578</v>
      </c>
      <c r="N2195" s="34">
        <v>22.830590447536668</v>
      </c>
    </row>
    <row r="2196" spans="1:14" x14ac:dyDescent="0.35">
      <c r="A2196" s="82">
        <v>2193</v>
      </c>
      <c r="B2196" s="89" t="str">
        <f>_xlfn.XLOOKUP(A2196,'Model Modeshare by TAZ'!A:A,'Model Modeshare by TAZ'!B:B)</f>
        <v>San Leandro</v>
      </c>
      <c r="C2196" s="90" t="str">
        <f>_xlfn.XLOOKUP(A2196,'Model Modeshare by TAZ'!A:A,'Model Modeshare by TAZ'!D:D)</f>
        <v>NO</v>
      </c>
      <c r="D2196" s="27">
        <v>11158.01</v>
      </c>
      <c r="E2196" s="27">
        <v>200559.89</v>
      </c>
      <c r="F2196" s="27">
        <v>9106.1200000000008</v>
      </c>
      <c r="G2196" s="27">
        <v>85299.19</v>
      </c>
      <c r="H2196" s="27">
        <v>3384.37</v>
      </c>
      <c r="I2196" s="27">
        <v>42956.6</v>
      </c>
      <c r="J2196" s="6">
        <v>6941</v>
      </c>
      <c r="K2196" s="6">
        <v>2329</v>
      </c>
      <c r="L2196" s="27">
        <v>12.28917879268117</v>
      </c>
      <c r="M2196" s="27">
        <v>18.444224989265777</v>
      </c>
      <c r="N2196" s="34">
        <v>21.763624595469253</v>
      </c>
    </row>
    <row r="2197" spans="1:14" x14ac:dyDescent="0.35">
      <c r="A2197" s="82">
        <v>2194</v>
      </c>
      <c r="B2197" s="89" t="str">
        <f>_xlfn.XLOOKUP(A2197,'Model Modeshare by TAZ'!A:A,'Model Modeshare by TAZ'!B:B)</f>
        <v>San Leandro</v>
      </c>
      <c r="C2197" s="90" t="str">
        <f>_xlfn.XLOOKUP(A2197,'Model Modeshare by TAZ'!A:A,'Model Modeshare by TAZ'!D:D)</f>
        <v>NO</v>
      </c>
      <c r="D2197" s="27">
        <v>15839.82</v>
      </c>
      <c r="E2197" s="27">
        <v>297385.53999999998</v>
      </c>
      <c r="F2197" s="27">
        <v>9098.2800000000007</v>
      </c>
      <c r="G2197" s="27">
        <v>86446.81</v>
      </c>
      <c r="H2197" s="27">
        <v>5147.3999999999996</v>
      </c>
      <c r="I2197" s="27">
        <v>62624.19</v>
      </c>
      <c r="J2197" s="6">
        <v>6956</v>
      </c>
      <c r="K2197" s="6">
        <v>4682</v>
      </c>
      <c r="L2197" s="27">
        <v>12.427661012075905</v>
      </c>
      <c r="M2197" s="27">
        <v>13.375521144809911</v>
      </c>
      <c r="N2197" s="34">
        <v>24.007243512631035</v>
      </c>
    </row>
    <row r="2198" spans="1:14" x14ac:dyDescent="0.35">
      <c r="A2198" s="82">
        <v>2195</v>
      </c>
      <c r="B2198" s="89" t="str">
        <f>_xlfn.XLOOKUP(A2198,'Model Modeshare by TAZ'!A:A,'Model Modeshare by TAZ'!B:B)</f>
        <v>San Leandro</v>
      </c>
      <c r="C2198" s="90" t="str">
        <f>_xlfn.XLOOKUP(A2198,'Model Modeshare by TAZ'!A:A,'Model Modeshare by TAZ'!D:D)</f>
        <v>NO</v>
      </c>
      <c r="D2198" s="27">
        <v>9570.6299999999992</v>
      </c>
      <c r="E2198" s="27">
        <v>149565.79999999999</v>
      </c>
      <c r="F2198" s="27">
        <v>5098.8500000000004</v>
      </c>
      <c r="G2198" s="27">
        <v>46225.67</v>
      </c>
      <c r="H2198" s="27">
        <v>2548.7199999999998</v>
      </c>
      <c r="I2198" s="27">
        <v>31287.53</v>
      </c>
      <c r="J2198" s="6">
        <v>4275</v>
      </c>
      <c r="K2198" s="6">
        <v>2438</v>
      </c>
      <c r="L2198" s="27">
        <v>10.813022222222221</v>
      </c>
      <c r="M2198" s="27">
        <v>12.83327727645611</v>
      </c>
      <c r="N2198" s="34">
        <v>24.193393415760465</v>
      </c>
    </row>
    <row r="2199" spans="1:14" x14ac:dyDescent="0.35">
      <c r="A2199" s="82">
        <v>2196</v>
      </c>
      <c r="B2199" s="89" t="str">
        <f>_xlfn.XLOOKUP(A2199,'Model Modeshare by TAZ'!A:A,'Model Modeshare by TAZ'!B:B)</f>
        <v>San Leandro</v>
      </c>
      <c r="C2199" s="90" t="str">
        <f>_xlfn.XLOOKUP(A2199,'Model Modeshare by TAZ'!A:A,'Model Modeshare by TAZ'!D:D)</f>
        <v>NO</v>
      </c>
      <c r="D2199" s="27">
        <v>15073.47</v>
      </c>
      <c r="E2199" s="27">
        <v>288841.57</v>
      </c>
      <c r="F2199" s="27">
        <v>9171.86</v>
      </c>
      <c r="G2199" s="27">
        <v>87433.7</v>
      </c>
      <c r="H2199" s="27">
        <v>3220.23</v>
      </c>
      <c r="I2199" s="27">
        <v>42071.95</v>
      </c>
      <c r="J2199" s="6">
        <v>7635</v>
      </c>
      <c r="K2199" s="6">
        <v>2825</v>
      </c>
      <c r="L2199" s="27">
        <v>11.4516961362148</v>
      </c>
      <c r="M2199" s="27">
        <v>14.892725663716814</v>
      </c>
      <c r="N2199" s="34">
        <v>23.65064913957935</v>
      </c>
    </row>
    <row r="2200" spans="1:14" x14ac:dyDescent="0.35">
      <c r="A2200" s="82">
        <v>2197</v>
      </c>
      <c r="B2200" s="89" t="str">
        <f>_xlfn.XLOOKUP(A2200,'Model Modeshare by TAZ'!A:A,'Model Modeshare by TAZ'!B:B)</f>
        <v>San Leandro</v>
      </c>
      <c r="C2200" s="90" t="str">
        <f>_xlfn.XLOOKUP(A2200,'Model Modeshare by TAZ'!A:A,'Model Modeshare by TAZ'!D:D)</f>
        <v>NO</v>
      </c>
      <c r="D2200" s="27">
        <v>6129.8</v>
      </c>
      <c r="E2200" s="27">
        <v>107849.29</v>
      </c>
      <c r="F2200" s="27">
        <v>5291.94</v>
      </c>
      <c r="G2200" s="27">
        <v>51650.13</v>
      </c>
      <c r="H2200" s="27">
        <v>901.25</v>
      </c>
      <c r="I2200" s="27">
        <v>11428.73</v>
      </c>
      <c r="J2200" s="6">
        <v>3919</v>
      </c>
      <c r="K2200" s="6">
        <v>520</v>
      </c>
      <c r="L2200" s="27">
        <v>13.179415667262056</v>
      </c>
      <c r="M2200" s="27">
        <v>21.978326923076921</v>
      </c>
      <c r="N2200" s="34">
        <v>24.420468574003156</v>
      </c>
    </row>
    <row r="2201" spans="1:14" x14ac:dyDescent="0.35">
      <c r="A2201" s="82">
        <v>2198</v>
      </c>
      <c r="B2201" s="89" t="str">
        <f>_xlfn.XLOOKUP(A2201,'Model Modeshare by TAZ'!A:A,'Model Modeshare by TAZ'!B:B)</f>
        <v>Unincorporated</v>
      </c>
      <c r="C2201" s="90" t="str">
        <f>_xlfn.XLOOKUP(A2201,'Model Modeshare by TAZ'!A:A,'Model Modeshare by TAZ'!D:D)</f>
        <v>NO</v>
      </c>
      <c r="D2201" s="27">
        <v>6203.32</v>
      </c>
      <c r="E2201" s="27">
        <v>130098.57</v>
      </c>
      <c r="F2201" s="27">
        <v>5145.51</v>
      </c>
      <c r="G2201" s="27">
        <v>53799.61</v>
      </c>
      <c r="H2201" s="27">
        <v>1456.79</v>
      </c>
      <c r="I2201" s="27">
        <v>19893.169999999998</v>
      </c>
      <c r="J2201" s="6">
        <v>3773</v>
      </c>
      <c r="K2201" s="6">
        <v>944</v>
      </c>
      <c r="L2201" s="27">
        <v>14.259106811555791</v>
      </c>
      <c r="M2201" s="27">
        <v>21.073273305084744</v>
      </c>
      <c r="N2201" s="34">
        <v>26.559495442018232</v>
      </c>
    </row>
    <row r="2202" spans="1:14" x14ac:dyDescent="0.35">
      <c r="A2202" s="82">
        <v>2199</v>
      </c>
      <c r="B2202" s="89" t="str">
        <f>_xlfn.XLOOKUP(A2202,'Model Modeshare by TAZ'!A:A,'Model Modeshare by TAZ'!B:B)</f>
        <v>San Leandro</v>
      </c>
      <c r="C2202" s="90" t="str">
        <f>_xlfn.XLOOKUP(A2202,'Model Modeshare by TAZ'!A:A,'Model Modeshare by TAZ'!D:D)</f>
        <v>NO</v>
      </c>
      <c r="D2202" s="27">
        <v>4138.6099999999997</v>
      </c>
      <c r="E2202" s="27">
        <v>66930.37</v>
      </c>
      <c r="F2202" s="27">
        <v>3355.12</v>
      </c>
      <c r="G2202" s="27">
        <v>28766.81</v>
      </c>
      <c r="H2202" s="27">
        <v>532.37</v>
      </c>
      <c r="I2202" s="27">
        <v>6922.62</v>
      </c>
      <c r="J2202" s="6">
        <v>2526</v>
      </c>
      <c r="K2202" s="6">
        <v>311</v>
      </c>
      <c r="L2202" s="27">
        <v>11.388285827395091</v>
      </c>
      <c r="M2202" s="27">
        <v>22.259228295819934</v>
      </c>
      <c r="N2202" s="34">
        <v>19.642329925978146</v>
      </c>
    </row>
    <row r="2203" spans="1:14" x14ac:dyDescent="0.35">
      <c r="A2203" s="82">
        <v>2200</v>
      </c>
      <c r="B2203" s="89" t="str">
        <f>_xlfn.XLOOKUP(A2203,'Model Modeshare by TAZ'!A:A,'Model Modeshare by TAZ'!B:B)</f>
        <v>San Leandro</v>
      </c>
      <c r="C2203" s="90" t="str">
        <f>_xlfn.XLOOKUP(A2203,'Model Modeshare by TAZ'!A:A,'Model Modeshare by TAZ'!D:D)</f>
        <v>NO</v>
      </c>
      <c r="D2203" s="27">
        <v>5257.65</v>
      </c>
      <c r="E2203" s="27">
        <v>70997.009999999995</v>
      </c>
      <c r="F2203" s="27">
        <v>4965.76</v>
      </c>
      <c r="G2203" s="27">
        <v>37582.120000000003</v>
      </c>
      <c r="H2203" s="27">
        <v>863.1</v>
      </c>
      <c r="I2203" s="27">
        <v>11134.83</v>
      </c>
      <c r="J2203" s="6">
        <v>3830</v>
      </c>
      <c r="K2203" s="6">
        <v>512</v>
      </c>
      <c r="L2203" s="27">
        <v>9.8125639686684085</v>
      </c>
      <c r="M2203" s="27">
        <v>21.74771484375</v>
      </c>
      <c r="N2203" s="34">
        <v>15.889458774758175</v>
      </c>
    </row>
    <row r="2204" spans="1:14" x14ac:dyDescent="0.35">
      <c r="A2204" s="82">
        <v>2201</v>
      </c>
      <c r="B2204" s="89" t="str">
        <f>_xlfn.XLOOKUP(A2204,'Model Modeshare by TAZ'!A:A,'Model Modeshare by TAZ'!B:B)</f>
        <v>San Leandro</v>
      </c>
      <c r="C2204" s="90" t="str">
        <f>_xlfn.XLOOKUP(A2204,'Model Modeshare by TAZ'!A:A,'Model Modeshare by TAZ'!D:D)</f>
        <v>NO</v>
      </c>
      <c r="D2204" s="27">
        <v>7460.47</v>
      </c>
      <c r="E2204" s="27">
        <v>111371.43</v>
      </c>
      <c r="F2204" s="27">
        <v>5372.8</v>
      </c>
      <c r="G2204" s="27">
        <v>43370.98</v>
      </c>
      <c r="H2204" s="27">
        <v>1184.18</v>
      </c>
      <c r="I2204" s="27">
        <v>15523.54</v>
      </c>
      <c r="J2204" s="6">
        <v>4311</v>
      </c>
      <c r="K2204" s="6">
        <v>839</v>
      </c>
      <c r="L2204" s="27">
        <v>10.060538158199954</v>
      </c>
      <c r="M2204" s="27">
        <v>18.502431466030991</v>
      </c>
      <c r="N2204" s="34">
        <v>19.120547572815536</v>
      </c>
    </row>
    <row r="2205" spans="1:14" x14ac:dyDescent="0.35">
      <c r="A2205" s="82">
        <v>2202</v>
      </c>
      <c r="B2205" s="89" t="str">
        <f>_xlfn.XLOOKUP(A2205,'Model Modeshare by TAZ'!A:A,'Model Modeshare by TAZ'!B:B)</f>
        <v>San Leandro</v>
      </c>
      <c r="C2205" s="90" t="str">
        <f>_xlfn.XLOOKUP(A2205,'Model Modeshare by TAZ'!A:A,'Model Modeshare by TAZ'!D:D)</f>
        <v>NO</v>
      </c>
      <c r="D2205" s="27">
        <v>26384.85</v>
      </c>
      <c r="E2205" s="27">
        <v>526934.85</v>
      </c>
      <c r="F2205" s="27">
        <v>5895.22</v>
      </c>
      <c r="G2205" s="27">
        <v>52107.77</v>
      </c>
      <c r="H2205" s="27">
        <v>4649.93</v>
      </c>
      <c r="I2205" s="27">
        <v>60642.61</v>
      </c>
      <c r="J2205" s="6">
        <v>4890</v>
      </c>
      <c r="K2205" s="6">
        <v>4428</v>
      </c>
      <c r="L2205" s="27">
        <v>10.655985685071574</v>
      </c>
      <c r="M2205" s="27">
        <v>13.695259710930443</v>
      </c>
      <c r="N2205" s="34">
        <v>24.178233526507835</v>
      </c>
    </row>
    <row r="2206" spans="1:14" x14ac:dyDescent="0.35">
      <c r="A2206" s="82">
        <v>2203</v>
      </c>
      <c r="B2206" s="89" t="str">
        <f>_xlfn.XLOOKUP(A2206,'Model Modeshare by TAZ'!A:A,'Model Modeshare by TAZ'!B:B)</f>
        <v>San Leandro</v>
      </c>
      <c r="C2206" s="90" t="str">
        <f>_xlfn.XLOOKUP(A2206,'Model Modeshare by TAZ'!A:A,'Model Modeshare by TAZ'!D:D)</f>
        <v>NO</v>
      </c>
      <c r="D2206" s="27">
        <v>18305.759999999998</v>
      </c>
      <c r="E2206" s="27">
        <v>300465.05</v>
      </c>
      <c r="F2206" s="27">
        <v>8132.26</v>
      </c>
      <c r="G2206" s="27">
        <v>73155.28</v>
      </c>
      <c r="H2206" s="27">
        <v>5934.51</v>
      </c>
      <c r="I2206" s="27">
        <v>79037.75</v>
      </c>
      <c r="J2206" s="6">
        <v>7675</v>
      </c>
      <c r="K2206" s="6">
        <v>5991</v>
      </c>
      <c r="L2206" s="27">
        <v>9.5316325732899028</v>
      </c>
      <c r="M2206" s="27">
        <v>13.192747454515105</v>
      </c>
      <c r="N2206" s="34">
        <v>24.285218791160542</v>
      </c>
    </row>
    <row r="2207" spans="1:14" x14ac:dyDescent="0.35">
      <c r="A2207" s="82">
        <v>2204</v>
      </c>
      <c r="B2207" s="89" t="str">
        <f>_xlfn.XLOOKUP(A2207,'Model Modeshare by TAZ'!A:A,'Model Modeshare by TAZ'!B:B)</f>
        <v>San Leandro</v>
      </c>
      <c r="C2207" s="90" t="str">
        <f>_xlfn.XLOOKUP(A2207,'Model Modeshare by TAZ'!A:A,'Model Modeshare by TAZ'!D:D)</f>
        <v>NO</v>
      </c>
      <c r="D2207" s="27">
        <v>13014.1</v>
      </c>
      <c r="E2207" s="27">
        <v>240241.33</v>
      </c>
      <c r="F2207" s="27">
        <v>11468.17</v>
      </c>
      <c r="G2207" s="27">
        <v>105344.16</v>
      </c>
      <c r="H2207" s="27">
        <v>2524.17</v>
      </c>
      <c r="I2207" s="27">
        <v>33170.339999999997</v>
      </c>
      <c r="J2207" s="6">
        <v>9559</v>
      </c>
      <c r="K2207" s="6">
        <v>1487</v>
      </c>
      <c r="L2207" s="27">
        <v>11.020416361544095</v>
      </c>
      <c r="M2207" s="27">
        <v>22.306886348352386</v>
      </c>
      <c r="N2207" s="34">
        <v>19.183992395437262</v>
      </c>
    </row>
    <row r="2208" spans="1:14" x14ac:dyDescent="0.35">
      <c r="A2208" s="82">
        <v>2205</v>
      </c>
      <c r="B2208" s="89" t="str">
        <f>_xlfn.XLOOKUP(A2208,'Model Modeshare by TAZ'!A:A,'Model Modeshare by TAZ'!B:B)</f>
        <v>San Leandro</v>
      </c>
      <c r="C2208" s="90" t="str">
        <f>_xlfn.XLOOKUP(A2208,'Model Modeshare by TAZ'!A:A,'Model Modeshare by TAZ'!D:D)</f>
        <v>NO</v>
      </c>
      <c r="D2208" s="27">
        <v>23557.65</v>
      </c>
      <c r="E2208" s="27">
        <v>541617.85</v>
      </c>
      <c r="F2208" s="27">
        <v>7540.59</v>
      </c>
      <c r="G2208" s="27">
        <v>73454.22</v>
      </c>
      <c r="H2208" s="27">
        <v>12853.71</v>
      </c>
      <c r="I2208" s="27">
        <v>170606.17</v>
      </c>
      <c r="J2208" s="6">
        <v>5930</v>
      </c>
      <c r="K2208" s="6">
        <v>11121</v>
      </c>
      <c r="L2208" s="27">
        <v>12.386883642495784</v>
      </c>
      <c r="M2208" s="27">
        <v>15.340901897311394</v>
      </c>
      <c r="N2208" s="34">
        <v>27.242788692745293</v>
      </c>
    </row>
    <row r="2209" spans="1:14" x14ac:dyDescent="0.35">
      <c r="A2209" s="82">
        <v>2206</v>
      </c>
      <c r="B2209" s="89" t="str">
        <f>_xlfn.XLOOKUP(A2209,'Model Modeshare by TAZ'!A:A,'Model Modeshare by TAZ'!B:B)</f>
        <v>Oakland</v>
      </c>
      <c r="C2209" s="90" t="str">
        <f>_xlfn.XLOOKUP(A2209,'Model Modeshare by TAZ'!A:A,'Model Modeshare by TAZ'!D:D)</f>
        <v>NO</v>
      </c>
      <c r="D2209" s="27">
        <v>2909.87</v>
      </c>
      <c r="E2209" s="27">
        <v>77052.960000000006</v>
      </c>
      <c r="F2209" s="27">
        <v>129.05000000000001</v>
      </c>
      <c r="G2209" s="27">
        <v>1792.67</v>
      </c>
      <c r="H2209" s="27">
        <v>4142.43</v>
      </c>
      <c r="I2209" s="27">
        <v>60825.39</v>
      </c>
      <c r="J2209" s="6">
        <v>26</v>
      </c>
      <c r="K2209" s="6">
        <v>3577</v>
      </c>
      <c r="L2209" s="27">
        <v>68.948846153846162</v>
      </c>
      <c r="M2209" s="27">
        <v>17.004582051998881</v>
      </c>
      <c r="N2209" s="34">
        <v>38.539736330835417</v>
      </c>
    </row>
    <row r="2210" spans="1:14" x14ac:dyDescent="0.35">
      <c r="A2210" s="82">
        <v>2207</v>
      </c>
      <c r="B2210" s="89" t="str">
        <f>_xlfn.XLOOKUP(A2210,'Model Modeshare by TAZ'!A:A,'Model Modeshare by TAZ'!B:B)</f>
        <v>Oakland</v>
      </c>
      <c r="C2210" s="90" t="str">
        <f>_xlfn.XLOOKUP(A2210,'Model Modeshare by TAZ'!A:A,'Model Modeshare by TAZ'!D:D)</f>
        <v>NO</v>
      </c>
      <c r="D2210" s="27">
        <v>25452.77</v>
      </c>
      <c r="E2210" s="27">
        <v>572241.48</v>
      </c>
      <c r="F2210" s="27">
        <v>3783.44</v>
      </c>
      <c r="G2210" s="27">
        <v>34494.78</v>
      </c>
      <c r="H2210" s="27">
        <v>19292.310000000001</v>
      </c>
      <c r="I2210" s="27">
        <v>252325.94</v>
      </c>
      <c r="J2210" s="6">
        <v>3701</v>
      </c>
      <c r="K2210" s="6">
        <v>17522</v>
      </c>
      <c r="L2210" s="27">
        <v>9.3203944879762215</v>
      </c>
      <c r="M2210" s="27">
        <v>14.400521629950919</v>
      </c>
      <c r="N2210" s="34">
        <v>29.640513122555717</v>
      </c>
    </row>
    <row r="2211" spans="1:14" x14ac:dyDescent="0.35">
      <c r="A2211" s="82">
        <v>2208</v>
      </c>
      <c r="B2211" s="89" t="str">
        <f>_xlfn.XLOOKUP(A2211,'Model Modeshare by TAZ'!A:A,'Model Modeshare by TAZ'!B:B)</f>
        <v>Oakland</v>
      </c>
      <c r="C2211" s="90" t="str">
        <f>_xlfn.XLOOKUP(A2211,'Model Modeshare by TAZ'!A:A,'Model Modeshare by TAZ'!D:D)</f>
        <v>NO</v>
      </c>
      <c r="D2211" s="27">
        <v>2285.1999999999998</v>
      </c>
      <c r="E2211" s="27">
        <v>37282.94</v>
      </c>
      <c r="F2211" s="27">
        <v>2300.14</v>
      </c>
      <c r="G2211" s="27">
        <v>21186.58</v>
      </c>
      <c r="H2211" s="27">
        <v>127.59</v>
      </c>
      <c r="I2211" s="27">
        <v>1584.13</v>
      </c>
      <c r="J2211" s="6">
        <v>2322</v>
      </c>
      <c r="K2211" s="6">
        <v>69</v>
      </c>
      <c r="L2211" s="27">
        <v>9.1242807924203273</v>
      </c>
      <c r="M2211" s="27">
        <v>22.958405797101452</v>
      </c>
      <c r="N2211" s="34">
        <v>14.777013801756585</v>
      </c>
    </row>
    <row r="2212" spans="1:14" x14ac:dyDescent="0.35">
      <c r="A2212" s="82">
        <v>2209</v>
      </c>
      <c r="B2212" s="89" t="str">
        <f>_xlfn.XLOOKUP(A2212,'Model Modeshare by TAZ'!A:A,'Model Modeshare by TAZ'!B:B)</f>
        <v>Oakland</v>
      </c>
      <c r="C2212" s="90" t="str">
        <f>_xlfn.XLOOKUP(A2212,'Model Modeshare by TAZ'!A:A,'Model Modeshare by TAZ'!D:D)</f>
        <v>NO</v>
      </c>
      <c r="D2212" s="27">
        <v>3698.44</v>
      </c>
      <c r="E2212" s="27">
        <v>65146.6</v>
      </c>
      <c r="F2212" s="27">
        <v>3162.82</v>
      </c>
      <c r="G2212" s="27">
        <v>29438.92</v>
      </c>
      <c r="H2212" s="27">
        <v>397.85</v>
      </c>
      <c r="I2212" s="27">
        <v>4853.9799999999996</v>
      </c>
      <c r="J2212" s="6">
        <v>3232</v>
      </c>
      <c r="K2212" s="6">
        <v>235</v>
      </c>
      <c r="L2212" s="27">
        <v>9.1085767326732672</v>
      </c>
      <c r="M2212" s="27">
        <v>20.65523404255319</v>
      </c>
      <c r="N2212" s="34">
        <v>15.968993366022497</v>
      </c>
    </row>
    <row r="2213" spans="1:14" x14ac:dyDescent="0.35">
      <c r="A2213" s="82">
        <v>2210</v>
      </c>
      <c r="B2213" s="89" t="str">
        <f>_xlfn.XLOOKUP(A2213,'Model Modeshare by TAZ'!A:A,'Model Modeshare by TAZ'!B:B)</f>
        <v>Oakland</v>
      </c>
      <c r="C2213" s="90" t="str">
        <f>_xlfn.XLOOKUP(A2213,'Model Modeshare by TAZ'!A:A,'Model Modeshare by TAZ'!D:D)</f>
        <v>NO</v>
      </c>
      <c r="D2213" s="27">
        <v>6071.91</v>
      </c>
      <c r="E2213" s="27">
        <v>106769.83</v>
      </c>
      <c r="F2213" s="27">
        <v>4794.49</v>
      </c>
      <c r="G2213" s="27">
        <v>43140.7</v>
      </c>
      <c r="H2213" s="27">
        <v>933.35</v>
      </c>
      <c r="I2213" s="27">
        <v>11076.69</v>
      </c>
      <c r="J2213" s="6">
        <v>5390</v>
      </c>
      <c r="K2213" s="6">
        <v>671</v>
      </c>
      <c r="L2213" s="27">
        <v>8.0038404452690166</v>
      </c>
      <c r="M2213" s="27">
        <v>16.507734724292103</v>
      </c>
      <c r="N2213" s="34">
        <v>15.40363801352912</v>
      </c>
    </row>
    <row r="2214" spans="1:14" x14ac:dyDescent="0.35">
      <c r="A2214" s="82">
        <v>2211</v>
      </c>
      <c r="B2214" s="89" t="str">
        <f>_xlfn.XLOOKUP(A2214,'Model Modeshare by TAZ'!A:A,'Model Modeshare by TAZ'!B:B)</f>
        <v>Oakland</v>
      </c>
      <c r="C2214" s="90" t="str">
        <f>_xlfn.XLOOKUP(A2214,'Model Modeshare by TAZ'!A:A,'Model Modeshare by TAZ'!D:D)</f>
        <v>NO</v>
      </c>
      <c r="D2214" s="27">
        <v>5218.68</v>
      </c>
      <c r="E2214" s="27">
        <v>87143.02</v>
      </c>
      <c r="F2214" s="27">
        <v>4768.6099999999997</v>
      </c>
      <c r="G2214" s="27">
        <v>43976.800000000003</v>
      </c>
      <c r="H2214" s="27">
        <v>644.16</v>
      </c>
      <c r="I2214" s="27">
        <v>7853.03</v>
      </c>
      <c r="J2214" s="6">
        <v>3929</v>
      </c>
      <c r="K2214" s="6">
        <v>393</v>
      </c>
      <c r="L2214" s="27">
        <v>11.192873504708578</v>
      </c>
      <c r="M2214" s="27">
        <v>19.982264631043257</v>
      </c>
      <c r="N2214" s="34">
        <v>19.420409532623783</v>
      </c>
    </row>
    <row r="2215" spans="1:14" x14ac:dyDescent="0.35">
      <c r="A2215" s="82">
        <v>2212</v>
      </c>
      <c r="B2215" s="89" t="str">
        <f>_xlfn.XLOOKUP(A2215,'Model Modeshare by TAZ'!A:A,'Model Modeshare by TAZ'!B:B)</f>
        <v>Oakland</v>
      </c>
      <c r="C2215" s="90" t="str">
        <f>_xlfn.XLOOKUP(A2215,'Model Modeshare by TAZ'!A:A,'Model Modeshare by TAZ'!D:D)</f>
        <v>NO</v>
      </c>
      <c r="D2215" s="27">
        <v>4095.69</v>
      </c>
      <c r="E2215" s="27">
        <v>69168.19</v>
      </c>
      <c r="F2215" s="27">
        <v>3471.35</v>
      </c>
      <c r="G2215" s="27">
        <v>29629.07</v>
      </c>
      <c r="H2215" s="27">
        <v>453.46</v>
      </c>
      <c r="I2215" s="27">
        <v>5132.7</v>
      </c>
      <c r="J2215" s="6">
        <v>3669</v>
      </c>
      <c r="K2215" s="6">
        <v>286</v>
      </c>
      <c r="L2215" s="27">
        <v>8.0755164895066773</v>
      </c>
      <c r="M2215" s="27">
        <v>17.946503496503496</v>
      </c>
      <c r="N2215" s="34">
        <v>13.586988621997472</v>
      </c>
    </row>
    <row r="2216" spans="1:14" x14ac:dyDescent="0.35">
      <c r="A2216" s="82">
        <v>2213</v>
      </c>
      <c r="B2216" s="89" t="str">
        <f>_xlfn.XLOOKUP(A2216,'Model Modeshare by TAZ'!A:A,'Model Modeshare by TAZ'!B:B)</f>
        <v>Oakland</v>
      </c>
      <c r="C2216" s="90" t="str">
        <f>_xlfn.XLOOKUP(A2216,'Model Modeshare by TAZ'!A:A,'Model Modeshare by TAZ'!D:D)</f>
        <v>NO</v>
      </c>
      <c r="D2216" s="27">
        <v>3703.98</v>
      </c>
      <c r="E2216" s="27">
        <v>68269.98</v>
      </c>
      <c r="F2216" s="27">
        <v>3418.84</v>
      </c>
      <c r="G2216" s="27">
        <v>33796.32</v>
      </c>
      <c r="H2216" s="27">
        <v>324.66000000000003</v>
      </c>
      <c r="I2216" s="27">
        <v>3587.46</v>
      </c>
      <c r="J2216" s="6">
        <v>3115</v>
      </c>
      <c r="K2216" s="6">
        <v>191</v>
      </c>
      <c r="L2216" s="27">
        <v>10.849540930979133</v>
      </c>
      <c r="M2216" s="27">
        <v>18.782513089005235</v>
      </c>
      <c r="N2216" s="34">
        <v>18.886185722928012</v>
      </c>
    </row>
    <row r="2217" spans="1:14" x14ac:dyDescent="0.35">
      <c r="A2217" s="82">
        <v>2214</v>
      </c>
      <c r="B2217" s="89" t="str">
        <f>_xlfn.XLOOKUP(A2217,'Model Modeshare by TAZ'!A:A,'Model Modeshare by TAZ'!B:B)</f>
        <v>Oakland</v>
      </c>
      <c r="C2217" s="90" t="str">
        <f>_xlfn.XLOOKUP(A2217,'Model Modeshare by TAZ'!A:A,'Model Modeshare by TAZ'!D:D)</f>
        <v>NO</v>
      </c>
      <c r="D2217" s="27">
        <v>5128.76</v>
      </c>
      <c r="E2217" s="27">
        <v>97660.22</v>
      </c>
      <c r="F2217" s="27">
        <v>2959.55</v>
      </c>
      <c r="G2217" s="27">
        <v>28877.53</v>
      </c>
      <c r="H2217" s="27">
        <v>881.89</v>
      </c>
      <c r="I2217" s="27">
        <v>10592.75</v>
      </c>
      <c r="J2217" s="6">
        <v>2452</v>
      </c>
      <c r="K2217" s="6">
        <v>581</v>
      </c>
      <c r="L2217" s="27">
        <v>11.77713295269168</v>
      </c>
      <c r="M2217" s="27">
        <v>18.231927710843372</v>
      </c>
      <c r="N2217" s="34">
        <v>24.601566106165514</v>
      </c>
    </row>
    <row r="2218" spans="1:14" x14ac:dyDescent="0.35">
      <c r="A2218" s="82">
        <v>2215</v>
      </c>
      <c r="B2218" s="89" t="str">
        <f>_xlfn.XLOOKUP(A2218,'Model Modeshare by TAZ'!A:A,'Model Modeshare by TAZ'!B:B)</f>
        <v>Oakland</v>
      </c>
      <c r="C2218" s="90" t="str">
        <f>_xlfn.XLOOKUP(A2218,'Model Modeshare by TAZ'!A:A,'Model Modeshare by TAZ'!D:D)</f>
        <v>NO</v>
      </c>
      <c r="D2218" s="27">
        <v>4909.43</v>
      </c>
      <c r="E2218" s="27">
        <v>123214.84</v>
      </c>
      <c r="F2218" s="27">
        <v>4066.04</v>
      </c>
      <c r="G2218" s="27">
        <v>51641.83</v>
      </c>
      <c r="H2218" s="27">
        <v>1180.1199999999999</v>
      </c>
      <c r="I2218" s="27">
        <v>17633.8</v>
      </c>
      <c r="J2218" s="6">
        <v>2837</v>
      </c>
      <c r="K2218" s="6">
        <v>892</v>
      </c>
      <c r="L2218" s="27">
        <v>18.202971448713431</v>
      </c>
      <c r="M2218" s="27">
        <v>19.76883408071749</v>
      </c>
      <c r="N2218" s="34">
        <v>33.654242424242426</v>
      </c>
    </row>
    <row r="2219" spans="1:14" x14ac:dyDescent="0.35">
      <c r="A2219" s="82">
        <v>2216</v>
      </c>
      <c r="B2219" s="89" t="str">
        <f>_xlfn.XLOOKUP(A2219,'Model Modeshare by TAZ'!A:A,'Model Modeshare by TAZ'!B:B)</f>
        <v>Oakland</v>
      </c>
      <c r="C2219" s="90" t="str">
        <f>_xlfn.XLOOKUP(A2219,'Model Modeshare by TAZ'!A:A,'Model Modeshare by TAZ'!D:D)</f>
        <v>NO</v>
      </c>
      <c r="D2219" s="27">
        <v>5214.6499999999996</v>
      </c>
      <c r="E2219" s="27">
        <v>119924.16</v>
      </c>
      <c r="F2219" s="27">
        <v>5020.8599999999997</v>
      </c>
      <c r="G2219" s="27">
        <v>58339.8</v>
      </c>
      <c r="H2219" s="27">
        <v>879.51</v>
      </c>
      <c r="I2219" s="27">
        <v>11911.94</v>
      </c>
      <c r="J2219" s="6">
        <v>3341</v>
      </c>
      <c r="K2219" s="6">
        <v>485</v>
      </c>
      <c r="L2219" s="27">
        <v>17.46177791080515</v>
      </c>
      <c r="M2219" s="27">
        <v>24.560701030927834</v>
      </c>
      <c r="N2219" s="34">
        <v>28.756487192890749</v>
      </c>
    </row>
    <row r="2220" spans="1:14" x14ac:dyDescent="0.35">
      <c r="A2220" s="82">
        <v>2217</v>
      </c>
      <c r="B2220" s="89" t="str">
        <f>_xlfn.XLOOKUP(A2220,'Model Modeshare by TAZ'!A:A,'Model Modeshare by TAZ'!B:B)</f>
        <v>Oakland</v>
      </c>
      <c r="C2220" s="90" t="str">
        <f>_xlfn.XLOOKUP(A2220,'Model Modeshare by TAZ'!A:A,'Model Modeshare by TAZ'!D:D)</f>
        <v>NO</v>
      </c>
      <c r="D2220" s="27">
        <v>14101.01</v>
      </c>
      <c r="E2220" s="27">
        <v>281017.3</v>
      </c>
      <c r="F2220" s="27">
        <v>8857.77</v>
      </c>
      <c r="G2220" s="27">
        <v>92885.6</v>
      </c>
      <c r="H2220" s="27">
        <v>1754.06</v>
      </c>
      <c r="I2220" s="27">
        <v>24058.1</v>
      </c>
      <c r="J2220" s="6">
        <v>6110</v>
      </c>
      <c r="K2220" s="6">
        <v>992</v>
      </c>
      <c r="L2220" s="27">
        <v>15.202225859247136</v>
      </c>
      <c r="M2220" s="27">
        <v>24.252116935483869</v>
      </c>
      <c r="N2220" s="34">
        <v>36.133917206420726</v>
      </c>
    </row>
    <row r="2221" spans="1:14" x14ac:dyDescent="0.35">
      <c r="A2221" s="82">
        <v>2218</v>
      </c>
      <c r="B2221" s="89" t="str">
        <f>_xlfn.XLOOKUP(A2221,'Model Modeshare by TAZ'!A:A,'Model Modeshare by TAZ'!B:B)</f>
        <v>Oakland</v>
      </c>
      <c r="C2221" s="90" t="str">
        <f>_xlfn.XLOOKUP(A2221,'Model Modeshare by TAZ'!A:A,'Model Modeshare by TAZ'!D:D)</f>
        <v>NO</v>
      </c>
      <c r="D2221" s="27">
        <v>7023.5</v>
      </c>
      <c r="E2221" s="27">
        <v>127340.34</v>
      </c>
      <c r="F2221" s="27">
        <v>5405.77</v>
      </c>
      <c r="G2221" s="27">
        <v>49743.9</v>
      </c>
      <c r="H2221" s="27">
        <v>647.42999999999995</v>
      </c>
      <c r="I2221" s="27">
        <v>7468.51</v>
      </c>
      <c r="J2221" s="6">
        <v>4278</v>
      </c>
      <c r="K2221" s="6">
        <v>381</v>
      </c>
      <c r="L2221" s="27">
        <v>11.627840112201964</v>
      </c>
      <c r="M2221" s="27">
        <v>19.60238845144357</v>
      </c>
      <c r="N2221" s="34">
        <v>20.604769263790512</v>
      </c>
    </row>
    <row r="2222" spans="1:14" x14ac:dyDescent="0.35">
      <c r="A2222" s="82">
        <v>2219</v>
      </c>
      <c r="B2222" s="89" t="str">
        <f>_xlfn.XLOOKUP(A2222,'Model Modeshare by TAZ'!A:A,'Model Modeshare by TAZ'!B:B)</f>
        <v>Oakland</v>
      </c>
      <c r="C2222" s="90" t="str">
        <f>_xlfn.XLOOKUP(A2222,'Model Modeshare by TAZ'!A:A,'Model Modeshare by TAZ'!D:D)</f>
        <v>NO</v>
      </c>
      <c r="D2222" s="27">
        <v>5056.87</v>
      </c>
      <c r="E2222" s="27">
        <v>89424.88</v>
      </c>
      <c r="F2222" s="27">
        <v>3505.21</v>
      </c>
      <c r="G2222" s="27">
        <v>34717.519999999997</v>
      </c>
      <c r="H2222" s="27">
        <v>588</v>
      </c>
      <c r="I2222" s="27">
        <v>7552.8</v>
      </c>
      <c r="J2222" s="6">
        <v>2880</v>
      </c>
      <c r="K2222" s="6">
        <v>333</v>
      </c>
      <c r="L2222" s="27">
        <v>12.054694444444443</v>
      </c>
      <c r="M2222" s="27">
        <v>22.681081081081082</v>
      </c>
      <c r="N2222" s="34">
        <v>23.071111111111112</v>
      </c>
    </row>
    <row r="2223" spans="1:14" x14ac:dyDescent="0.35">
      <c r="A2223" s="82">
        <v>2220</v>
      </c>
      <c r="B2223" s="89" t="str">
        <f>_xlfn.XLOOKUP(A2223,'Model Modeshare by TAZ'!A:A,'Model Modeshare by TAZ'!B:B)</f>
        <v>Oakland</v>
      </c>
      <c r="C2223" s="90" t="str">
        <f>_xlfn.XLOOKUP(A2223,'Model Modeshare by TAZ'!A:A,'Model Modeshare by TAZ'!D:D)</f>
        <v>NO</v>
      </c>
      <c r="D2223" s="27">
        <v>6715.13</v>
      </c>
      <c r="E2223" s="27">
        <v>96742.02</v>
      </c>
      <c r="F2223" s="27">
        <v>4702.2</v>
      </c>
      <c r="G2223" s="27">
        <v>41037.11</v>
      </c>
      <c r="H2223" s="27">
        <v>244.58</v>
      </c>
      <c r="I2223" s="27">
        <v>2889.94</v>
      </c>
      <c r="J2223" s="6">
        <v>4779</v>
      </c>
      <c r="K2223" s="6">
        <v>144</v>
      </c>
      <c r="L2223" s="27">
        <v>8.5869658924461181</v>
      </c>
      <c r="M2223" s="27">
        <v>20.069027777777777</v>
      </c>
      <c r="N2223" s="34">
        <v>15.751608775137111</v>
      </c>
    </row>
    <row r="2224" spans="1:14" x14ac:dyDescent="0.35">
      <c r="A2224" s="82">
        <v>2221</v>
      </c>
      <c r="B2224" s="89" t="str">
        <f>_xlfn.XLOOKUP(A2224,'Model Modeshare by TAZ'!A:A,'Model Modeshare by TAZ'!B:B)</f>
        <v>Oakland</v>
      </c>
      <c r="C2224" s="90" t="str">
        <f>_xlfn.XLOOKUP(A2224,'Model Modeshare by TAZ'!A:A,'Model Modeshare by TAZ'!D:D)</f>
        <v>NO</v>
      </c>
      <c r="D2224" s="27">
        <v>3642.28</v>
      </c>
      <c r="E2224" s="27">
        <v>55175.49</v>
      </c>
      <c r="F2224" s="27">
        <v>3346.57</v>
      </c>
      <c r="G2224" s="27">
        <v>28046.32</v>
      </c>
      <c r="H2224" s="27">
        <v>402.63</v>
      </c>
      <c r="I2224" s="27">
        <v>4584.17</v>
      </c>
      <c r="J2224" s="6">
        <v>3426</v>
      </c>
      <c r="K2224" s="6">
        <v>259</v>
      </c>
      <c r="L2224" s="27">
        <v>8.1863164039696432</v>
      </c>
      <c r="M2224" s="27">
        <v>17.69949806949807</v>
      </c>
      <c r="N2224" s="34">
        <v>15.785267299864314</v>
      </c>
    </row>
    <row r="2225" spans="1:14" x14ac:dyDescent="0.35">
      <c r="A2225" s="82">
        <v>2222</v>
      </c>
      <c r="B2225" s="89" t="str">
        <f>_xlfn.XLOOKUP(A2225,'Model Modeshare by TAZ'!A:A,'Model Modeshare by TAZ'!B:B)</f>
        <v>Oakland</v>
      </c>
      <c r="C2225" s="90" t="str">
        <f>_xlfn.XLOOKUP(A2225,'Model Modeshare by TAZ'!A:A,'Model Modeshare by TAZ'!D:D)</f>
        <v>NO</v>
      </c>
      <c r="D2225" s="27">
        <v>5969.56</v>
      </c>
      <c r="E2225" s="27">
        <v>88248.93</v>
      </c>
      <c r="F2225" s="27">
        <v>4965.54</v>
      </c>
      <c r="G2225" s="27">
        <v>40582.559999999998</v>
      </c>
      <c r="H2225" s="27">
        <v>471.33</v>
      </c>
      <c r="I2225" s="27">
        <v>5360.42</v>
      </c>
      <c r="J2225" s="6">
        <v>5425</v>
      </c>
      <c r="K2225" s="6">
        <v>273</v>
      </c>
      <c r="L2225" s="27">
        <v>7.4806562211981564</v>
      </c>
      <c r="M2225" s="27">
        <v>19.635238095238094</v>
      </c>
      <c r="N2225" s="34">
        <v>13.407876447876449</v>
      </c>
    </row>
    <row r="2226" spans="1:14" x14ac:dyDescent="0.35">
      <c r="A2226" s="82">
        <v>2223</v>
      </c>
      <c r="B2226" s="89" t="str">
        <f>_xlfn.XLOOKUP(A2226,'Model Modeshare by TAZ'!A:A,'Model Modeshare by TAZ'!B:B)</f>
        <v>Oakland</v>
      </c>
      <c r="C2226" s="90" t="str">
        <f>_xlfn.XLOOKUP(A2226,'Model Modeshare by TAZ'!A:A,'Model Modeshare by TAZ'!D:D)</f>
        <v>NO</v>
      </c>
      <c r="D2226" s="27">
        <v>4513.6400000000003</v>
      </c>
      <c r="E2226" s="27">
        <v>56375.02</v>
      </c>
      <c r="F2226" s="27">
        <v>4764.6899999999996</v>
      </c>
      <c r="G2226" s="27">
        <v>34828.89</v>
      </c>
      <c r="H2226" s="27">
        <v>337.6</v>
      </c>
      <c r="I2226" s="27">
        <v>3705.96</v>
      </c>
      <c r="J2226" s="6">
        <v>5254</v>
      </c>
      <c r="K2226" s="6">
        <v>188</v>
      </c>
      <c r="L2226" s="27">
        <v>6.6290236010658541</v>
      </c>
      <c r="M2226" s="27">
        <v>19.712553191489363</v>
      </c>
      <c r="N2226" s="34">
        <v>9.8531587651598684</v>
      </c>
    </row>
    <row r="2227" spans="1:14" x14ac:dyDescent="0.35">
      <c r="A2227" s="82">
        <v>2224</v>
      </c>
      <c r="B2227" s="89" t="str">
        <f>_xlfn.XLOOKUP(A2227,'Model Modeshare by TAZ'!A:A,'Model Modeshare by TAZ'!B:B)</f>
        <v>Oakland</v>
      </c>
      <c r="C2227" s="90" t="str">
        <f>_xlfn.XLOOKUP(A2227,'Model Modeshare by TAZ'!A:A,'Model Modeshare by TAZ'!D:D)</f>
        <v>NO</v>
      </c>
      <c r="D2227" s="27">
        <v>5675.46</v>
      </c>
      <c r="E2227" s="27">
        <v>88589.02</v>
      </c>
      <c r="F2227" s="27">
        <v>4756.26</v>
      </c>
      <c r="G2227" s="27">
        <v>39226.949999999997</v>
      </c>
      <c r="H2227" s="27">
        <v>1253.47</v>
      </c>
      <c r="I2227" s="27">
        <v>14524.99</v>
      </c>
      <c r="J2227" s="6">
        <v>4530</v>
      </c>
      <c r="K2227" s="6">
        <v>891</v>
      </c>
      <c r="L2227" s="27">
        <v>8.6593708609271509</v>
      </c>
      <c r="M2227" s="27">
        <v>16.301896745230078</v>
      </c>
      <c r="N2227" s="34">
        <v>15.331042243128575</v>
      </c>
    </row>
    <row r="2228" spans="1:14" x14ac:dyDescent="0.35">
      <c r="A2228" s="82">
        <v>2225</v>
      </c>
      <c r="B2228" s="89" t="str">
        <f>_xlfn.XLOOKUP(A2228,'Model Modeshare by TAZ'!A:A,'Model Modeshare by TAZ'!B:B)</f>
        <v>Oakland</v>
      </c>
      <c r="C2228" s="90" t="str">
        <f>_xlfn.XLOOKUP(A2228,'Model Modeshare by TAZ'!A:A,'Model Modeshare by TAZ'!D:D)</f>
        <v>NO</v>
      </c>
      <c r="D2228" s="27">
        <v>4669.25</v>
      </c>
      <c r="E2228" s="27">
        <v>68460.89</v>
      </c>
      <c r="F2228" s="27">
        <v>3067.39</v>
      </c>
      <c r="G2228" s="27">
        <v>22857.81</v>
      </c>
      <c r="H2228" s="27">
        <v>1136.78</v>
      </c>
      <c r="I2228" s="27">
        <v>14445.8</v>
      </c>
      <c r="J2228" s="6">
        <v>3239</v>
      </c>
      <c r="K2228" s="6">
        <v>819</v>
      </c>
      <c r="L2228" s="27">
        <v>7.0570577338684783</v>
      </c>
      <c r="M2228" s="27">
        <v>17.638339438339436</v>
      </c>
      <c r="N2228" s="34">
        <v>13.006274026614095</v>
      </c>
    </row>
    <row r="2229" spans="1:14" x14ac:dyDescent="0.35">
      <c r="A2229" s="82">
        <v>2226</v>
      </c>
      <c r="B2229" s="89" t="str">
        <f>_xlfn.XLOOKUP(A2229,'Model Modeshare by TAZ'!A:A,'Model Modeshare by TAZ'!B:B)</f>
        <v>Oakland</v>
      </c>
      <c r="C2229" s="90" t="str">
        <f>_xlfn.XLOOKUP(A2229,'Model Modeshare by TAZ'!A:A,'Model Modeshare by TAZ'!D:D)</f>
        <v>NO</v>
      </c>
      <c r="D2229" s="27">
        <v>3899.83</v>
      </c>
      <c r="E2229" s="27">
        <v>72268.639999999999</v>
      </c>
      <c r="F2229" s="27">
        <v>3541.62</v>
      </c>
      <c r="G2229" s="27">
        <v>31307.62</v>
      </c>
      <c r="H2229" s="27">
        <v>942.69</v>
      </c>
      <c r="I2229" s="27">
        <v>11852.64</v>
      </c>
      <c r="J2229" s="6">
        <v>4302</v>
      </c>
      <c r="K2229" s="6">
        <v>890</v>
      </c>
      <c r="L2229" s="27">
        <v>7.2774569967456992</v>
      </c>
      <c r="M2229" s="27">
        <v>13.317573033707864</v>
      </c>
      <c r="N2229" s="34">
        <v>13.80546032357473</v>
      </c>
    </row>
    <row r="2230" spans="1:14" x14ac:dyDescent="0.35">
      <c r="A2230" s="82">
        <v>2227</v>
      </c>
      <c r="B2230" s="89" t="str">
        <f>_xlfn.XLOOKUP(A2230,'Model Modeshare by TAZ'!A:A,'Model Modeshare by TAZ'!B:B)</f>
        <v>Oakland</v>
      </c>
      <c r="C2230" s="90" t="str">
        <f>_xlfn.XLOOKUP(A2230,'Model Modeshare by TAZ'!A:A,'Model Modeshare by TAZ'!D:D)</f>
        <v>NO</v>
      </c>
      <c r="D2230" s="27">
        <v>8080.17</v>
      </c>
      <c r="E2230" s="27">
        <v>74258.960000000006</v>
      </c>
      <c r="F2230" s="27">
        <v>5861.54</v>
      </c>
      <c r="G2230" s="27">
        <v>35345.599999999999</v>
      </c>
      <c r="H2230" s="27">
        <v>1364.09</v>
      </c>
      <c r="I2230" s="27">
        <v>15099.52</v>
      </c>
      <c r="J2230" s="6">
        <v>7439</v>
      </c>
      <c r="K2230" s="6">
        <v>1020</v>
      </c>
      <c r="L2230" s="27">
        <v>4.7513913160371013</v>
      </c>
      <c r="M2230" s="27">
        <v>14.803450980392157</v>
      </c>
      <c r="N2230" s="34">
        <v>10.58679985813926</v>
      </c>
    </row>
    <row r="2231" spans="1:14" x14ac:dyDescent="0.35">
      <c r="A2231" s="82">
        <v>2228</v>
      </c>
      <c r="B2231" s="89" t="str">
        <f>_xlfn.XLOOKUP(A2231,'Model Modeshare by TAZ'!A:A,'Model Modeshare by TAZ'!B:B)</f>
        <v>Oakland</v>
      </c>
      <c r="C2231" s="90" t="str">
        <f>_xlfn.XLOOKUP(A2231,'Model Modeshare by TAZ'!A:A,'Model Modeshare by TAZ'!D:D)</f>
        <v>NO</v>
      </c>
      <c r="D2231" s="27">
        <v>7301.8</v>
      </c>
      <c r="E2231" s="27">
        <v>137252.29999999999</v>
      </c>
      <c r="F2231" s="27">
        <v>3008.31</v>
      </c>
      <c r="G2231" s="27">
        <v>23483.58</v>
      </c>
      <c r="H2231" s="27">
        <v>3890.87</v>
      </c>
      <c r="I2231" s="27">
        <v>45765.81</v>
      </c>
      <c r="J2231" s="6">
        <v>2928</v>
      </c>
      <c r="K2231" s="6">
        <v>3579</v>
      </c>
      <c r="L2231" s="27">
        <v>8.0203483606557384</v>
      </c>
      <c r="M2231" s="27">
        <v>12.787317686504609</v>
      </c>
      <c r="N2231" s="34">
        <v>21.721911787305981</v>
      </c>
    </row>
    <row r="2232" spans="1:14" x14ac:dyDescent="0.35">
      <c r="A2232" s="82">
        <v>2229</v>
      </c>
      <c r="B2232" s="89" t="str">
        <f>_xlfn.XLOOKUP(A2232,'Model Modeshare by TAZ'!A:A,'Model Modeshare by TAZ'!B:B)</f>
        <v>Oakland</v>
      </c>
      <c r="C2232" s="90" t="str">
        <f>_xlfn.XLOOKUP(A2232,'Model Modeshare by TAZ'!A:A,'Model Modeshare by TAZ'!D:D)</f>
        <v>NO</v>
      </c>
      <c r="D2232" s="27">
        <v>4346.4799999999996</v>
      </c>
      <c r="E2232" s="27">
        <v>68110.8</v>
      </c>
      <c r="F2232" s="27">
        <v>3843.44</v>
      </c>
      <c r="G2232" s="27">
        <v>31270.25</v>
      </c>
      <c r="H2232" s="27">
        <v>556.91</v>
      </c>
      <c r="I2232" s="27">
        <v>6581.54</v>
      </c>
      <c r="J2232" s="6">
        <v>4193</v>
      </c>
      <c r="K2232" s="6">
        <v>353</v>
      </c>
      <c r="L2232" s="27">
        <v>7.4577271643214882</v>
      </c>
      <c r="M2232" s="27">
        <v>18.64458923512748</v>
      </c>
      <c r="N2232" s="34">
        <v>14.003224813022438</v>
      </c>
    </row>
    <row r="2233" spans="1:14" x14ac:dyDescent="0.35">
      <c r="A2233" s="82">
        <v>2230</v>
      </c>
      <c r="B2233" s="89" t="str">
        <f>_xlfn.XLOOKUP(A2233,'Model Modeshare by TAZ'!A:A,'Model Modeshare by TAZ'!B:B)</f>
        <v>Oakland</v>
      </c>
      <c r="C2233" s="90" t="str">
        <f>_xlfn.XLOOKUP(A2233,'Model Modeshare by TAZ'!A:A,'Model Modeshare by TAZ'!D:D)</f>
        <v>NO</v>
      </c>
      <c r="D2233" s="27">
        <v>4553.3</v>
      </c>
      <c r="E2233" s="27">
        <v>71483.86</v>
      </c>
      <c r="F2233" s="27">
        <v>3566.85</v>
      </c>
      <c r="G2233" s="27">
        <v>28726.52</v>
      </c>
      <c r="H2233" s="27">
        <v>366.08</v>
      </c>
      <c r="I2233" s="27">
        <v>4512.04</v>
      </c>
      <c r="J2233" s="6">
        <v>4141</v>
      </c>
      <c r="K2233" s="6">
        <v>211</v>
      </c>
      <c r="L2233" s="27">
        <v>6.9370973194880463</v>
      </c>
      <c r="M2233" s="27">
        <v>21.384075829383885</v>
      </c>
      <c r="N2233" s="34">
        <v>13.36563419117647</v>
      </c>
    </row>
    <row r="2234" spans="1:14" x14ac:dyDescent="0.35">
      <c r="A2234" s="82">
        <v>2231</v>
      </c>
      <c r="B2234" s="89" t="str">
        <f>_xlfn.XLOOKUP(A2234,'Model Modeshare by TAZ'!A:A,'Model Modeshare by TAZ'!B:B)</f>
        <v>Oakland</v>
      </c>
      <c r="C2234" s="90" t="str">
        <f>_xlfn.XLOOKUP(A2234,'Model Modeshare by TAZ'!A:A,'Model Modeshare by TAZ'!D:D)</f>
        <v>NO</v>
      </c>
      <c r="D2234" s="27">
        <v>9053.65</v>
      </c>
      <c r="E2234" s="27">
        <v>112489.05</v>
      </c>
      <c r="F2234" s="27">
        <v>7198.11</v>
      </c>
      <c r="G2234" s="27">
        <v>47612.74</v>
      </c>
      <c r="H2234" s="27">
        <v>1072.7</v>
      </c>
      <c r="I2234" s="27">
        <v>11613.41</v>
      </c>
      <c r="J2234" s="6">
        <v>7763</v>
      </c>
      <c r="K2234" s="6">
        <v>669</v>
      </c>
      <c r="L2234" s="27">
        <v>6.1332912533814241</v>
      </c>
      <c r="M2234" s="27">
        <v>17.359357249626306</v>
      </c>
      <c r="N2234" s="34">
        <v>10.602847485768502</v>
      </c>
    </row>
    <row r="2235" spans="1:14" x14ac:dyDescent="0.35">
      <c r="A2235" s="82">
        <v>2232</v>
      </c>
      <c r="B2235" s="89" t="str">
        <f>_xlfn.XLOOKUP(A2235,'Model Modeshare by TAZ'!A:A,'Model Modeshare by TAZ'!B:B)</f>
        <v>Oakland</v>
      </c>
      <c r="C2235" s="90" t="str">
        <f>_xlfn.XLOOKUP(A2235,'Model Modeshare by TAZ'!A:A,'Model Modeshare by TAZ'!D:D)</f>
        <v>NO</v>
      </c>
      <c r="D2235" s="27">
        <v>9659.2800000000007</v>
      </c>
      <c r="E2235" s="27">
        <v>168492.39</v>
      </c>
      <c r="F2235" s="27">
        <v>6040.86</v>
      </c>
      <c r="G2235" s="27">
        <v>54739.53</v>
      </c>
      <c r="H2235" s="27">
        <v>2468.13</v>
      </c>
      <c r="I2235" s="27">
        <v>30786.21</v>
      </c>
      <c r="J2235" s="6">
        <v>6056</v>
      </c>
      <c r="K2235" s="6">
        <v>2285</v>
      </c>
      <c r="L2235" s="27">
        <v>9.0388920079260231</v>
      </c>
      <c r="M2235" s="27">
        <v>13.473177242888402</v>
      </c>
      <c r="N2235" s="34">
        <v>25.090091116173124</v>
      </c>
    </row>
    <row r="2236" spans="1:14" x14ac:dyDescent="0.35">
      <c r="A2236" s="82">
        <v>2233</v>
      </c>
      <c r="B2236" s="89" t="str">
        <f>_xlfn.XLOOKUP(A2236,'Model Modeshare by TAZ'!A:A,'Model Modeshare by TAZ'!B:B)</f>
        <v>Oakland</v>
      </c>
      <c r="C2236" s="90" t="str">
        <f>_xlfn.XLOOKUP(A2236,'Model Modeshare by TAZ'!A:A,'Model Modeshare by TAZ'!D:D)</f>
        <v>NO</v>
      </c>
      <c r="D2236" s="27">
        <v>5607.21</v>
      </c>
      <c r="E2236" s="27">
        <v>103844.86</v>
      </c>
      <c r="F2236" s="27">
        <v>4837.04</v>
      </c>
      <c r="G2236" s="27">
        <v>46355.61</v>
      </c>
      <c r="H2236" s="27">
        <v>374.86</v>
      </c>
      <c r="I2236" s="27">
        <v>4432.12</v>
      </c>
      <c r="J2236" s="6">
        <v>4175</v>
      </c>
      <c r="K2236" s="6">
        <v>227</v>
      </c>
      <c r="L2236" s="27">
        <v>11.103140119760479</v>
      </c>
      <c r="M2236" s="27">
        <v>19.524757709251102</v>
      </c>
      <c r="N2236" s="34">
        <v>19.816335756474327</v>
      </c>
    </row>
    <row r="2237" spans="1:14" x14ac:dyDescent="0.35">
      <c r="A2237" s="82">
        <v>2234</v>
      </c>
      <c r="B2237" s="89" t="str">
        <f>_xlfn.XLOOKUP(A2237,'Model Modeshare by TAZ'!A:A,'Model Modeshare by TAZ'!B:B)</f>
        <v>Oakland</v>
      </c>
      <c r="C2237" s="90" t="str">
        <f>_xlfn.XLOOKUP(A2237,'Model Modeshare by TAZ'!A:A,'Model Modeshare by TAZ'!D:D)</f>
        <v>NO</v>
      </c>
      <c r="D2237" s="27">
        <v>3613.29</v>
      </c>
      <c r="E2237" s="27">
        <v>60685.43</v>
      </c>
      <c r="F2237" s="27">
        <v>2791.68</v>
      </c>
      <c r="G2237" s="27">
        <v>25609.88</v>
      </c>
      <c r="H2237" s="27">
        <v>1089.96</v>
      </c>
      <c r="I2237" s="27">
        <v>13254.84</v>
      </c>
      <c r="J2237" s="6">
        <v>2227</v>
      </c>
      <c r="K2237" s="6">
        <v>785</v>
      </c>
      <c r="L2237" s="27">
        <v>11.49972159856309</v>
      </c>
      <c r="M2237" s="27">
        <v>16.885146496815288</v>
      </c>
      <c r="N2237" s="34">
        <v>26.725096281540505</v>
      </c>
    </row>
    <row r="2238" spans="1:14" x14ac:dyDescent="0.35">
      <c r="A2238" s="82">
        <v>2235</v>
      </c>
      <c r="B2238" s="89" t="str">
        <f>_xlfn.XLOOKUP(A2238,'Model Modeshare by TAZ'!A:A,'Model Modeshare by TAZ'!B:B)</f>
        <v>Oakland</v>
      </c>
      <c r="C2238" s="90" t="str">
        <f>_xlfn.XLOOKUP(A2238,'Model Modeshare by TAZ'!A:A,'Model Modeshare by TAZ'!D:D)</f>
        <v>NO</v>
      </c>
      <c r="D2238" s="27">
        <v>5217.05</v>
      </c>
      <c r="E2238" s="27">
        <v>80422.960000000006</v>
      </c>
      <c r="F2238" s="27">
        <v>5358.03</v>
      </c>
      <c r="G2238" s="27">
        <v>44107.6</v>
      </c>
      <c r="H2238" s="27">
        <v>465.87</v>
      </c>
      <c r="I2238" s="27">
        <v>5381.16</v>
      </c>
      <c r="J2238" s="6">
        <v>4240</v>
      </c>
      <c r="K2238" s="6">
        <v>284</v>
      </c>
      <c r="L2238" s="27">
        <v>10.402735849056603</v>
      </c>
      <c r="M2238" s="27">
        <v>18.947746478873238</v>
      </c>
      <c r="N2238" s="34">
        <v>17.476593722369586</v>
      </c>
    </row>
    <row r="2239" spans="1:14" x14ac:dyDescent="0.35">
      <c r="A2239" s="82">
        <v>2236</v>
      </c>
      <c r="B2239" s="89" t="str">
        <f>_xlfn.XLOOKUP(A2239,'Model Modeshare by TAZ'!A:A,'Model Modeshare by TAZ'!B:B)</f>
        <v>Oakland</v>
      </c>
      <c r="C2239" s="90" t="str">
        <f>_xlfn.XLOOKUP(A2239,'Model Modeshare by TAZ'!A:A,'Model Modeshare by TAZ'!D:D)</f>
        <v>NO</v>
      </c>
      <c r="D2239" s="27">
        <v>8086.23</v>
      </c>
      <c r="E2239" s="27">
        <v>122142.46</v>
      </c>
      <c r="F2239" s="27">
        <v>6579.93</v>
      </c>
      <c r="G2239" s="27">
        <v>52608.63</v>
      </c>
      <c r="H2239" s="27">
        <v>763.59</v>
      </c>
      <c r="I2239" s="27">
        <v>9481.4</v>
      </c>
      <c r="J2239" s="6">
        <v>6238</v>
      </c>
      <c r="K2239" s="6">
        <v>453</v>
      </c>
      <c r="L2239" s="27">
        <v>8.4335732606604683</v>
      </c>
      <c r="M2239" s="27">
        <v>20.930242825607063</v>
      </c>
      <c r="N2239" s="34">
        <v>15.573719922283663</v>
      </c>
    </row>
    <row r="2240" spans="1:14" x14ac:dyDescent="0.35">
      <c r="A2240" s="82">
        <v>2237</v>
      </c>
      <c r="B2240" s="89" t="str">
        <f>_xlfn.XLOOKUP(A2240,'Model Modeshare by TAZ'!A:A,'Model Modeshare by TAZ'!B:B)</f>
        <v>Oakland</v>
      </c>
      <c r="C2240" s="90" t="str">
        <f>_xlfn.XLOOKUP(A2240,'Model Modeshare by TAZ'!A:A,'Model Modeshare by TAZ'!D:D)</f>
        <v>NO</v>
      </c>
      <c r="D2240" s="27">
        <v>8345.31</v>
      </c>
      <c r="E2240" s="27">
        <v>139453.54999999999</v>
      </c>
      <c r="F2240" s="27">
        <v>8232.24</v>
      </c>
      <c r="G2240" s="27">
        <v>68602.05</v>
      </c>
      <c r="H2240" s="27">
        <v>785.6</v>
      </c>
      <c r="I2240" s="27">
        <v>9759.9500000000007</v>
      </c>
      <c r="J2240" s="6">
        <v>8085</v>
      </c>
      <c r="K2240" s="6">
        <v>483</v>
      </c>
      <c r="L2240" s="27">
        <v>8.4851020408163276</v>
      </c>
      <c r="M2240" s="27">
        <v>20.206935817805384</v>
      </c>
      <c r="N2240" s="34">
        <v>15.073930905695612</v>
      </c>
    </row>
    <row r="2241" spans="1:14" x14ac:dyDescent="0.35">
      <c r="A2241" s="82">
        <v>2238</v>
      </c>
      <c r="B2241" s="89" t="str">
        <f>_xlfn.XLOOKUP(A2241,'Model Modeshare by TAZ'!A:A,'Model Modeshare by TAZ'!B:B)</f>
        <v>Oakland</v>
      </c>
      <c r="C2241" s="90" t="str">
        <f>_xlfn.XLOOKUP(A2241,'Model Modeshare by TAZ'!A:A,'Model Modeshare by TAZ'!D:D)</f>
        <v>NO</v>
      </c>
      <c r="D2241" s="27">
        <v>7105.19</v>
      </c>
      <c r="E2241" s="27">
        <v>116733.85</v>
      </c>
      <c r="F2241" s="27">
        <v>6165.93</v>
      </c>
      <c r="G2241" s="27">
        <v>53220.62</v>
      </c>
      <c r="H2241" s="27">
        <v>673.08</v>
      </c>
      <c r="I2241" s="27">
        <v>8352.0499999999993</v>
      </c>
      <c r="J2241" s="6">
        <v>5859</v>
      </c>
      <c r="K2241" s="6">
        <v>399</v>
      </c>
      <c r="L2241" s="27">
        <v>9.0835671616316773</v>
      </c>
      <c r="M2241" s="27">
        <v>20.932456140350876</v>
      </c>
      <c r="N2241" s="34">
        <v>17.878827101310321</v>
      </c>
    </row>
    <row r="2242" spans="1:14" x14ac:dyDescent="0.35">
      <c r="A2242" s="82">
        <v>2239</v>
      </c>
      <c r="B2242" s="89" t="str">
        <f>_xlfn.XLOOKUP(A2242,'Model Modeshare by TAZ'!A:A,'Model Modeshare by TAZ'!B:B)</f>
        <v>Oakland</v>
      </c>
      <c r="C2242" s="90" t="str">
        <f>_xlfn.XLOOKUP(A2242,'Model Modeshare by TAZ'!A:A,'Model Modeshare by TAZ'!D:D)</f>
        <v>NO</v>
      </c>
      <c r="D2242" s="27">
        <v>4442.88</v>
      </c>
      <c r="E2242" s="27">
        <v>77984.14</v>
      </c>
      <c r="F2242" s="27">
        <v>3995.2</v>
      </c>
      <c r="G2242" s="27">
        <v>36685.760000000002</v>
      </c>
      <c r="H2242" s="27">
        <v>443.09</v>
      </c>
      <c r="I2242" s="27">
        <v>5205.04</v>
      </c>
      <c r="J2242" s="6">
        <v>2751</v>
      </c>
      <c r="K2242" s="6">
        <v>246</v>
      </c>
      <c r="L2242" s="27">
        <v>13.33542711741185</v>
      </c>
      <c r="M2242" s="27">
        <v>21.158699186991871</v>
      </c>
      <c r="N2242" s="34">
        <v>22.762068735402067</v>
      </c>
    </row>
    <row r="2243" spans="1:14" x14ac:dyDescent="0.35">
      <c r="A2243" s="82">
        <v>2240</v>
      </c>
      <c r="B2243" s="89" t="str">
        <f>_xlfn.XLOOKUP(A2243,'Model Modeshare by TAZ'!A:A,'Model Modeshare by TAZ'!B:B)</f>
        <v>Oakland</v>
      </c>
      <c r="C2243" s="90" t="str">
        <f>_xlfn.XLOOKUP(A2243,'Model Modeshare by TAZ'!A:A,'Model Modeshare by TAZ'!D:D)</f>
        <v>NO</v>
      </c>
      <c r="D2243" s="27">
        <v>5863.83</v>
      </c>
      <c r="E2243" s="27">
        <v>103324.59</v>
      </c>
      <c r="F2243" s="27">
        <v>5275.15</v>
      </c>
      <c r="G2243" s="27">
        <v>47716.26</v>
      </c>
      <c r="H2243" s="27">
        <v>715.57</v>
      </c>
      <c r="I2243" s="27">
        <v>8493.11</v>
      </c>
      <c r="J2243" s="6">
        <v>3811</v>
      </c>
      <c r="K2243" s="6">
        <v>409</v>
      </c>
      <c r="L2243" s="27">
        <v>12.520666491734453</v>
      </c>
      <c r="M2243" s="27">
        <v>20.76555012224939</v>
      </c>
      <c r="N2243" s="34">
        <v>22.838402843601894</v>
      </c>
    </row>
    <row r="2244" spans="1:14" x14ac:dyDescent="0.35">
      <c r="A2244" s="82">
        <v>2241</v>
      </c>
      <c r="B2244" s="89" t="str">
        <f>_xlfn.XLOOKUP(A2244,'Model Modeshare by TAZ'!A:A,'Model Modeshare by TAZ'!B:B)</f>
        <v>Oakland</v>
      </c>
      <c r="C2244" s="90" t="str">
        <f>_xlfn.XLOOKUP(A2244,'Model Modeshare by TAZ'!A:A,'Model Modeshare by TAZ'!D:D)</f>
        <v>NO</v>
      </c>
      <c r="D2244" s="27">
        <v>5075.16</v>
      </c>
      <c r="E2244" s="27">
        <v>88916.2</v>
      </c>
      <c r="F2244" s="27">
        <v>4605.01</v>
      </c>
      <c r="G2244" s="27">
        <v>41267.86</v>
      </c>
      <c r="H2244" s="27">
        <v>374.19</v>
      </c>
      <c r="I2244" s="27">
        <v>4725.78</v>
      </c>
      <c r="J2244" s="6">
        <v>3649</v>
      </c>
      <c r="K2244" s="6">
        <v>220</v>
      </c>
      <c r="L2244" s="27">
        <v>11.309361468895588</v>
      </c>
      <c r="M2244" s="27">
        <v>21.480818181818179</v>
      </c>
      <c r="N2244" s="34">
        <v>19.695554406823469</v>
      </c>
    </row>
    <row r="2245" spans="1:14" x14ac:dyDescent="0.35">
      <c r="A2245" s="82">
        <v>2242</v>
      </c>
      <c r="B2245" s="89" t="str">
        <f>_xlfn.XLOOKUP(A2245,'Model Modeshare by TAZ'!A:A,'Model Modeshare by TAZ'!B:B)</f>
        <v>Oakland</v>
      </c>
      <c r="C2245" s="90" t="str">
        <f>_xlfn.XLOOKUP(A2245,'Model Modeshare by TAZ'!A:A,'Model Modeshare by TAZ'!D:D)</f>
        <v>NO</v>
      </c>
      <c r="D2245" s="27">
        <v>8559.19</v>
      </c>
      <c r="E2245" s="27">
        <v>159078.14000000001</v>
      </c>
      <c r="F2245" s="27">
        <v>7802.19</v>
      </c>
      <c r="G2245" s="27">
        <v>72417.52</v>
      </c>
      <c r="H2245" s="27">
        <v>1500.5</v>
      </c>
      <c r="I2245" s="27">
        <v>19283.09</v>
      </c>
      <c r="J2245" s="6">
        <v>5153</v>
      </c>
      <c r="K2245" s="6">
        <v>865</v>
      </c>
      <c r="L2245" s="27">
        <v>14.053467882786727</v>
      </c>
      <c r="M2245" s="27">
        <v>22.292589595375723</v>
      </c>
      <c r="N2245" s="34">
        <v>25.361058491193088</v>
      </c>
    </row>
    <row r="2246" spans="1:14" x14ac:dyDescent="0.35">
      <c r="A2246" s="82">
        <v>2243</v>
      </c>
      <c r="B2246" s="89" t="str">
        <f>_xlfn.XLOOKUP(A2246,'Model Modeshare by TAZ'!A:A,'Model Modeshare by TAZ'!B:B)</f>
        <v>Oakland</v>
      </c>
      <c r="C2246" s="90" t="str">
        <f>_xlfn.XLOOKUP(A2246,'Model Modeshare by TAZ'!A:A,'Model Modeshare by TAZ'!D:D)</f>
        <v>NO</v>
      </c>
      <c r="D2246" s="27">
        <v>23481.79</v>
      </c>
      <c r="E2246" s="27">
        <v>564151.93000000005</v>
      </c>
      <c r="F2246" s="27">
        <v>3693.48</v>
      </c>
      <c r="G2246" s="27">
        <v>37730.03</v>
      </c>
      <c r="H2246" s="27">
        <v>973.02</v>
      </c>
      <c r="I2246" s="27">
        <v>13128.26</v>
      </c>
      <c r="J2246" s="6">
        <v>2556</v>
      </c>
      <c r="K2246" s="6">
        <v>637</v>
      </c>
      <c r="L2246" s="27">
        <v>14.76135758998435</v>
      </c>
      <c r="M2246" s="27">
        <v>20.609513343799058</v>
      </c>
      <c r="N2246" s="34">
        <v>30.949298465393049</v>
      </c>
    </row>
    <row r="2247" spans="1:14" x14ac:dyDescent="0.35">
      <c r="A2247" s="82">
        <v>2244</v>
      </c>
      <c r="B2247" s="89" t="str">
        <f>_xlfn.XLOOKUP(A2247,'Model Modeshare by TAZ'!A:A,'Model Modeshare by TAZ'!B:B)</f>
        <v>Oakland</v>
      </c>
      <c r="C2247" s="90" t="str">
        <f>_xlfn.XLOOKUP(A2247,'Model Modeshare by TAZ'!A:A,'Model Modeshare by TAZ'!D:D)</f>
        <v>NO</v>
      </c>
      <c r="D2247" s="27">
        <v>7631.75</v>
      </c>
      <c r="E2247" s="27">
        <v>151573.42000000001</v>
      </c>
      <c r="F2247" s="27">
        <v>7032.34</v>
      </c>
      <c r="G2247" s="27">
        <v>68403.08</v>
      </c>
      <c r="H2247" s="27">
        <v>1007.57</v>
      </c>
      <c r="I2247" s="27">
        <v>13735.72</v>
      </c>
      <c r="J2247" s="6">
        <v>4403</v>
      </c>
      <c r="K2247" s="6">
        <v>571</v>
      </c>
      <c r="L2247" s="27">
        <v>15.535562116738587</v>
      </c>
      <c r="M2247" s="27">
        <v>24.05555166374781</v>
      </c>
      <c r="N2247" s="34">
        <v>27.283188580619218</v>
      </c>
    </row>
    <row r="2248" spans="1:14" x14ac:dyDescent="0.35">
      <c r="A2248" s="82">
        <v>2245</v>
      </c>
      <c r="B2248" s="89" t="str">
        <f>_xlfn.XLOOKUP(A2248,'Model Modeshare by TAZ'!A:A,'Model Modeshare by TAZ'!B:B)</f>
        <v>Oakland</v>
      </c>
      <c r="C2248" s="90" t="str">
        <f>_xlfn.XLOOKUP(A2248,'Model Modeshare by TAZ'!A:A,'Model Modeshare by TAZ'!D:D)</f>
        <v>NO</v>
      </c>
      <c r="D2248" s="27">
        <v>14146.88</v>
      </c>
      <c r="E2248" s="27">
        <v>312568.03999999998</v>
      </c>
      <c r="F2248" s="27">
        <v>8463.07</v>
      </c>
      <c r="G2248" s="27">
        <v>86497.4</v>
      </c>
      <c r="H2248" s="27">
        <v>2583.5300000000002</v>
      </c>
      <c r="I2248" s="27">
        <v>36340.61</v>
      </c>
      <c r="J2248" s="6">
        <v>5849</v>
      </c>
      <c r="K2248" s="6">
        <v>2075</v>
      </c>
      <c r="L2248" s="27">
        <v>14.788408274918789</v>
      </c>
      <c r="M2248" s="27">
        <v>17.513546987951809</v>
      </c>
      <c r="N2248" s="34">
        <v>35.626611559818279</v>
      </c>
    </row>
    <row r="2249" spans="1:14" x14ac:dyDescent="0.35">
      <c r="A2249" s="82">
        <v>2246</v>
      </c>
      <c r="B2249" s="89" t="str">
        <f>_xlfn.XLOOKUP(A2249,'Model Modeshare by TAZ'!A:A,'Model Modeshare by TAZ'!B:B)</f>
        <v>Oakland</v>
      </c>
      <c r="C2249" s="90" t="str">
        <f>_xlfn.XLOOKUP(A2249,'Model Modeshare by TAZ'!A:A,'Model Modeshare by TAZ'!D:D)</f>
        <v>NO</v>
      </c>
      <c r="D2249" s="27">
        <v>7868.59</v>
      </c>
      <c r="E2249" s="27">
        <v>143709.47</v>
      </c>
      <c r="F2249" s="27">
        <v>8016.23</v>
      </c>
      <c r="G2249" s="27">
        <v>73864.11</v>
      </c>
      <c r="H2249" s="27">
        <v>936.93</v>
      </c>
      <c r="I2249" s="27">
        <v>13126.82</v>
      </c>
      <c r="J2249" s="6">
        <v>5443</v>
      </c>
      <c r="K2249" s="6">
        <v>539</v>
      </c>
      <c r="L2249" s="27">
        <v>13.57047767775124</v>
      </c>
      <c r="M2249" s="27">
        <v>24.354025974025973</v>
      </c>
      <c r="N2249" s="34">
        <v>23.742903711133398</v>
      </c>
    </row>
    <row r="2250" spans="1:14" x14ac:dyDescent="0.35">
      <c r="A2250" s="82">
        <v>2247</v>
      </c>
      <c r="B2250" s="89" t="str">
        <f>_xlfn.XLOOKUP(A2250,'Model Modeshare by TAZ'!A:A,'Model Modeshare by TAZ'!B:B)</f>
        <v>Oakland</v>
      </c>
      <c r="C2250" s="90" t="str">
        <f>_xlfn.XLOOKUP(A2250,'Model Modeshare by TAZ'!A:A,'Model Modeshare by TAZ'!D:D)</f>
        <v>NO</v>
      </c>
      <c r="D2250" s="27">
        <v>5284.65</v>
      </c>
      <c r="E2250" s="27">
        <v>89832.7</v>
      </c>
      <c r="F2250" s="27">
        <v>4573.8500000000004</v>
      </c>
      <c r="G2250" s="27">
        <v>35104.14</v>
      </c>
      <c r="H2250" s="27">
        <v>823.08</v>
      </c>
      <c r="I2250" s="27">
        <v>11435.2</v>
      </c>
      <c r="J2250" s="6">
        <v>3313</v>
      </c>
      <c r="K2250" s="6">
        <v>489</v>
      </c>
      <c r="L2250" s="27">
        <v>10.595876848777543</v>
      </c>
      <c r="M2250" s="27">
        <v>23.384867075664623</v>
      </c>
      <c r="N2250" s="34">
        <v>20.643190426091532</v>
      </c>
    </row>
    <row r="2251" spans="1:14" x14ac:dyDescent="0.35">
      <c r="A2251" s="82">
        <v>2248</v>
      </c>
      <c r="B2251" s="89" t="str">
        <f>_xlfn.XLOOKUP(A2251,'Model Modeshare by TAZ'!A:A,'Model Modeshare by TAZ'!B:B)</f>
        <v>Oakland</v>
      </c>
      <c r="C2251" s="90" t="str">
        <f>_xlfn.XLOOKUP(A2251,'Model Modeshare by TAZ'!A:A,'Model Modeshare by TAZ'!D:D)</f>
        <v>NO</v>
      </c>
      <c r="D2251" s="27">
        <v>9641.58</v>
      </c>
      <c r="E2251" s="27">
        <v>192513.36</v>
      </c>
      <c r="F2251" s="27">
        <v>4577.1899999999996</v>
      </c>
      <c r="G2251" s="27">
        <v>38688.76</v>
      </c>
      <c r="H2251" s="27">
        <v>1378.46</v>
      </c>
      <c r="I2251" s="27">
        <v>19058.84</v>
      </c>
      <c r="J2251" s="6">
        <v>3468</v>
      </c>
      <c r="K2251" s="6">
        <v>1069</v>
      </c>
      <c r="L2251" s="27">
        <v>11.155928489042676</v>
      </c>
      <c r="M2251" s="27">
        <v>17.828662301216092</v>
      </c>
      <c r="N2251" s="34">
        <v>29.757577694511792</v>
      </c>
    </row>
    <row r="2252" spans="1:14" x14ac:dyDescent="0.35">
      <c r="A2252" s="82">
        <v>2249</v>
      </c>
      <c r="B2252" s="89" t="str">
        <f>_xlfn.XLOOKUP(A2252,'Model Modeshare by TAZ'!A:A,'Model Modeshare by TAZ'!B:B)</f>
        <v>Piedmont</v>
      </c>
      <c r="C2252" s="90" t="str">
        <f>_xlfn.XLOOKUP(A2252,'Model Modeshare by TAZ'!A:A,'Model Modeshare by TAZ'!D:D)</f>
        <v>NO</v>
      </c>
      <c r="D2252" s="27">
        <v>8608.73</v>
      </c>
      <c r="E2252" s="27">
        <v>120741.65</v>
      </c>
      <c r="F2252" s="27">
        <v>6523.97</v>
      </c>
      <c r="G2252" s="27">
        <v>41799.06</v>
      </c>
      <c r="H2252" s="27">
        <v>1408.86</v>
      </c>
      <c r="I2252" s="27">
        <v>16737.46</v>
      </c>
      <c r="J2252" s="6">
        <v>4810</v>
      </c>
      <c r="K2252" s="6">
        <v>1013</v>
      </c>
      <c r="L2252" s="27">
        <v>8.6900332640332643</v>
      </c>
      <c r="M2252" s="27">
        <v>16.522665350444225</v>
      </c>
      <c r="N2252" s="34">
        <v>17.272601751674394</v>
      </c>
    </row>
    <row r="2253" spans="1:14" x14ac:dyDescent="0.35">
      <c r="A2253" s="82">
        <v>2250</v>
      </c>
      <c r="B2253" s="89" t="str">
        <f>_xlfn.XLOOKUP(A2253,'Model Modeshare by TAZ'!A:A,'Model Modeshare by TAZ'!B:B)</f>
        <v>Piedmont</v>
      </c>
      <c r="C2253" s="90" t="str">
        <f>_xlfn.XLOOKUP(A2253,'Model Modeshare by TAZ'!A:A,'Model Modeshare by TAZ'!D:D)</f>
        <v>NO</v>
      </c>
      <c r="D2253" s="27">
        <v>10678.45</v>
      </c>
      <c r="E2253" s="27">
        <v>182544.9</v>
      </c>
      <c r="F2253" s="27">
        <v>9763.94</v>
      </c>
      <c r="G2253" s="27">
        <v>78127.69</v>
      </c>
      <c r="H2253" s="27">
        <v>1799.81</v>
      </c>
      <c r="I2253" s="27">
        <v>23231</v>
      </c>
      <c r="J2253" s="6">
        <v>5960</v>
      </c>
      <c r="K2253" s="6">
        <v>1029</v>
      </c>
      <c r="L2253" s="27">
        <v>13.108672818791947</v>
      </c>
      <c r="M2253" s="27">
        <v>22.576287657920311</v>
      </c>
      <c r="N2253" s="34">
        <v>22.940021462297896</v>
      </c>
    </row>
    <row r="2254" spans="1:14" x14ac:dyDescent="0.35">
      <c r="A2254" s="82">
        <v>2251</v>
      </c>
      <c r="B2254" s="89" t="str">
        <f>_xlfn.XLOOKUP(A2254,'Model Modeshare by TAZ'!A:A,'Model Modeshare by TAZ'!B:B)</f>
        <v>Oakland</v>
      </c>
      <c r="C2254" s="90" t="str">
        <f>_xlfn.XLOOKUP(A2254,'Model Modeshare by TAZ'!A:A,'Model Modeshare by TAZ'!D:D)</f>
        <v>NO</v>
      </c>
      <c r="D2254" s="27">
        <v>2801.76</v>
      </c>
      <c r="E2254" s="27">
        <v>51958.34</v>
      </c>
      <c r="F2254" s="27">
        <v>2689.03</v>
      </c>
      <c r="G2254" s="27">
        <v>24655.47</v>
      </c>
      <c r="H2254" s="27">
        <v>377.53</v>
      </c>
      <c r="I2254" s="27">
        <v>4982.6899999999996</v>
      </c>
      <c r="J2254" s="6">
        <v>1697</v>
      </c>
      <c r="K2254" s="6">
        <v>198</v>
      </c>
      <c r="L2254" s="27">
        <v>14.528856806128463</v>
      </c>
      <c r="M2254" s="27">
        <v>25.165101010101008</v>
      </c>
      <c r="N2254" s="34">
        <v>29.782649076517153</v>
      </c>
    </row>
    <row r="2255" spans="1:14" x14ac:dyDescent="0.35">
      <c r="A2255" s="82">
        <v>2252</v>
      </c>
      <c r="B2255" s="89" t="str">
        <f>_xlfn.XLOOKUP(A2255,'Model Modeshare by TAZ'!A:A,'Model Modeshare by TAZ'!B:B)</f>
        <v>Oakland</v>
      </c>
      <c r="C2255" s="90" t="str">
        <f>_xlfn.XLOOKUP(A2255,'Model Modeshare by TAZ'!A:A,'Model Modeshare by TAZ'!D:D)</f>
        <v>NO</v>
      </c>
      <c r="D2255" s="27">
        <v>3587.68</v>
      </c>
      <c r="E2255" s="27">
        <v>69253.48</v>
      </c>
      <c r="F2255" s="27">
        <v>3070.75</v>
      </c>
      <c r="G2255" s="27">
        <v>27901.8</v>
      </c>
      <c r="H2255" s="27">
        <v>539.66999999999996</v>
      </c>
      <c r="I2255" s="27">
        <v>7448.48</v>
      </c>
      <c r="J2255" s="6">
        <v>1976</v>
      </c>
      <c r="K2255" s="6">
        <v>322</v>
      </c>
      <c r="L2255" s="27">
        <v>14.120344129554656</v>
      </c>
      <c r="M2255" s="27">
        <v>23.131925465838506</v>
      </c>
      <c r="N2255" s="34">
        <v>26.472584856396868</v>
      </c>
    </row>
    <row r="2256" spans="1:14" x14ac:dyDescent="0.35">
      <c r="A2256" s="82">
        <v>2253</v>
      </c>
      <c r="B2256" s="89" t="str">
        <f>_xlfn.XLOOKUP(A2256,'Model Modeshare by TAZ'!A:A,'Model Modeshare by TAZ'!B:B)</f>
        <v>Oakland</v>
      </c>
      <c r="C2256" s="90" t="str">
        <f>_xlfn.XLOOKUP(A2256,'Model Modeshare by TAZ'!A:A,'Model Modeshare by TAZ'!D:D)</f>
        <v>NO</v>
      </c>
      <c r="D2256" s="27">
        <v>4930.22</v>
      </c>
      <c r="E2256" s="27">
        <v>96840.3</v>
      </c>
      <c r="F2256" s="27">
        <v>3477.04</v>
      </c>
      <c r="G2256" s="27">
        <v>31171.37</v>
      </c>
      <c r="H2256" s="27">
        <v>683.52</v>
      </c>
      <c r="I2256" s="27">
        <v>9335.5300000000007</v>
      </c>
      <c r="J2256" s="6">
        <v>2779</v>
      </c>
      <c r="K2256" s="6">
        <v>407</v>
      </c>
      <c r="L2256" s="27">
        <v>11.216757826556314</v>
      </c>
      <c r="M2256" s="27">
        <v>22.937420147420148</v>
      </c>
      <c r="N2256" s="34">
        <v>25.197912743251727</v>
      </c>
    </row>
    <row r="2257" spans="1:14" x14ac:dyDescent="0.35">
      <c r="A2257" s="82">
        <v>2254</v>
      </c>
      <c r="B2257" s="89" t="str">
        <f>_xlfn.XLOOKUP(A2257,'Model Modeshare by TAZ'!A:A,'Model Modeshare by TAZ'!B:B)</f>
        <v>Oakland</v>
      </c>
      <c r="C2257" s="90" t="str">
        <f>_xlfn.XLOOKUP(A2257,'Model Modeshare by TAZ'!A:A,'Model Modeshare by TAZ'!D:D)</f>
        <v>NO</v>
      </c>
      <c r="D2257" s="27">
        <v>6803.85</v>
      </c>
      <c r="E2257" s="27">
        <v>117467.67</v>
      </c>
      <c r="F2257" s="27">
        <v>5986.56</v>
      </c>
      <c r="G2257" s="27">
        <v>47116.06</v>
      </c>
      <c r="H2257" s="27">
        <v>1027.23</v>
      </c>
      <c r="I2257" s="27">
        <v>12546.38</v>
      </c>
      <c r="J2257" s="6">
        <v>4305</v>
      </c>
      <c r="K2257" s="6">
        <v>609</v>
      </c>
      <c r="L2257" s="27">
        <v>10.944497096399536</v>
      </c>
      <c r="M2257" s="27">
        <v>20.601609195402297</v>
      </c>
      <c r="N2257" s="34">
        <v>21.726957671957674</v>
      </c>
    </row>
    <row r="2258" spans="1:14" x14ac:dyDescent="0.35">
      <c r="A2258" s="82">
        <v>2255</v>
      </c>
      <c r="B2258" s="89" t="str">
        <f>_xlfn.XLOOKUP(A2258,'Model Modeshare by TAZ'!A:A,'Model Modeshare by TAZ'!B:B)</f>
        <v>Oakland</v>
      </c>
      <c r="C2258" s="90" t="str">
        <f>_xlfn.XLOOKUP(A2258,'Model Modeshare by TAZ'!A:A,'Model Modeshare by TAZ'!D:D)</f>
        <v>NO</v>
      </c>
      <c r="D2258" s="27">
        <v>8731.31</v>
      </c>
      <c r="E2258" s="27">
        <v>138653.57999999999</v>
      </c>
      <c r="F2258" s="27">
        <v>7319.1</v>
      </c>
      <c r="G2258" s="27">
        <v>59563.45</v>
      </c>
      <c r="H2258" s="27">
        <v>1210.4000000000001</v>
      </c>
      <c r="I2258" s="27">
        <v>14446.33</v>
      </c>
      <c r="J2258" s="6">
        <v>7395</v>
      </c>
      <c r="K2258" s="6">
        <v>723</v>
      </c>
      <c r="L2258" s="27">
        <v>8.0545571331981058</v>
      </c>
      <c r="M2258" s="27">
        <v>19.981092669432918</v>
      </c>
      <c r="N2258" s="34">
        <v>16.989678492239467</v>
      </c>
    </row>
    <row r="2259" spans="1:14" x14ac:dyDescent="0.35">
      <c r="A2259" s="82">
        <v>2256</v>
      </c>
      <c r="B2259" s="89" t="str">
        <f>_xlfn.XLOOKUP(A2259,'Model Modeshare by TAZ'!A:A,'Model Modeshare by TAZ'!B:B)</f>
        <v>Oakland</v>
      </c>
      <c r="C2259" s="90" t="str">
        <f>_xlfn.XLOOKUP(A2259,'Model Modeshare by TAZ'!A:A,'Model Modeshare by TAZ'!D:D)</f>
        <v>NO</v>
      </c>
      <c r="D2259" s="27">
        <v>7630.12</v>
      </c>
      <c r="E2259" s="27">
        <v>120932.01</v>
      </c>
      <c r="F2259" s="27">
        <v>5931.05</v>
      </c>
      <c r="G2259" s="27">
        <v>47962.23</v>
      </c>
      <c r="H2259" s="27">
        <v>1042.3699999999999</v>
      </c>
      <c r="I2259" s="27">
        <v>12414.16</v>
      </c>
      <c r="J2259" s="6">
        <v>6222</v>
      </c>
      <c r="K2259" s="6">
        <v>627</v>
      </c>
      <c r="L2259" s="27">
        <v>7.7084908389585349</v>
      </c>
      <c r="M2259" s="27">
        <v>19.799298245614036</v>
      </c>
      <c r="N2259" s="34">
        <v>15.686535260621989</v>
      </c>
    </row>
    <row r="2260" spans="1:14" x14ac:dyDescent="0.35">
      <c r="A2260" s="82">
        <v>2257</v>
      </c>
      <c r="B2260" s="89" t="str">
        <f>_xlfn.XLOOKUP(A2260,'Model Modeshare by TAZ'!A:A,'Model Modeshare by TAZ'!B:B)</f>
        <v>Oakland</v>
      </c>
      <c r="C2260" s="90" t="str">
        <f>_xlfn.XLOOKUP(A2260,'Model Modeshare by TAZ'!A:A,'Model Modeshare by TAZ'!D:D)</f>
        <v>NO</v>
      </c>
      <c r="D2260" s="27">
        <v>8935.42</v>
      </c>
      <c r="E2260" s="27">
        <v>145221.57</v>
      </c>
      <c r="F2260" s="27">
        <v>5641.24</v>
      </c>
      <c r="G2260" s="27">
        <v>45588.95</v>
      </c>
      <c r="H2260" s="27">
        <v>1665.98</v>
      </c>
      <c r="I2260" s="27">
        <v>19370.310000000001</v>
      </c>
      <c r="J2260" s="6">
        <v>7117</v>
      </c>
      <c r="K2260" s="6">
        <v>1467</v>
      </c>
      <c r="L2260" s="27">
        <v>6.4056414219474496</v>
      </c>
      <c r="M2260" s="27">
        <v>13.204028629856852</v>
      </c>
      <c r="N2260" s="34">
        <v>14.51431267474371</v>
      </c>
    </row>
    <row r="2261" spans="1:14" x14ac:dyDescent="0.35">
      <c r="A2261" s="82">
        <v>2258</v>
      </c>
      <c r="B2261" s="89" t="str">
        <f>_xlfn.XLOOKUP(A2261,'Model Modeshare by TAZ'!A:A,'Model Modeshare by TAZ'!B:B)</f>
        <v>Oakland</v>
      </c>
      <c r="C2261" s="90" t="str">
        <f>_xlfn.XLOOKUP(A2261,'Model Modeshare by TAZ'!A:A,'Model Modeshare by TAZ'!D:D)</f>
        <v>NO</v>
      </c>
      <c r="D2261" s="27">
        <v>14580.95</v>
      </c>
      <c r="E2261" s="27">
        <v>212188.13</v>
      </c>
      <c r="F2261" s="27">
        <v>4220.04</v>
      </c>
      <c r="G2261" s="27">
        <v>29040.07</v>
      </c>
      <c r="H2261" s="27">
        <v>3727.22</v>
      </c>
      <c r="I2261" s="27">
        <v>43116.7</v>
      </c>
      <c r="J2261" s="6">
        <v>4657</v>
      </c>
      <c r="K2261" s="6">
        <v>3844</v>
      </c>
      <c r="L2261" s="27">
        <v>6.2357891346360317</v>
      </c>
      <c r="M2261" s="27">
        <v>11.21662330905307</v>
      </c>
      <c r="N2261" s="34">
        <v>19.547445006469825</v>
      </c>
    </row>
    <row r="2262" spans="1:14" x14ac:dyDescent="0.35">
      <c r="A2262" s="82">
        <v>2259</v>
      </c>
      <c r="B2262" s="89" t="str">
        <f>_xlfn.XLOOKUP(A2262,'Model Modeshare by TAZ'!A:A,'Model Modeshare by TAZ'!B:B)</f>
        <v>Oakland</v>
      </c>
      <c r="C2262" s="90" t="str">
        <f>_xlfn.XLOOKUP(A2262,'Model Modeshare by TAZ'!A:A,'Model Modeshare by TAZ'!D:D)</f>
        <v>NO</v>
      </c>
      <c r="D2262" s="27">
        <v>6110.62</v>
      </c>
      <c r="E2262" s="27">
        <v>114066.21</v>
      </c>
      <c r="F2262" s="27">
        <v>4097.07</v>
      </c>
      <c r="G2262" s="27">
        <v>36606.559999999998</v>
      </c>
      <c r="H2262" s="27">
        <v>1301.74</v>
      </c>
      <c r="I2262" s="27">
        <v>16701.490000000002</v>
      </c>
      <c r="J2262" s="6">
        <v>4850</v>
      </c>
      <c r="K2262" s="6">
        <v>1080</v>
      </c>
      <c r="L2262" s="27">
        <v>7.5477443298969069</v>
      </c>
      <c r="M2262" s="27">
        <v>15.464342592592594</v>
      </c>
      <c r="N2262" s="34">
        <v>17.292843170320403</v>
      </c>
    </row>
    <row r="2263" spans="1:14" x14ac:dyDescent="0.35">
      <c r="A2263" s="82">
        <v>2260</v>
      </c>
      <c r="B2263" s="89" t="str">
        <f>_xlfn.XLOOKUP(A2263,'Model Modeshare by TAZ'!A:A,'Model Modeshare by TAZ'!B:B)</f>
        <v>Oakland</v>
      </c>
      <c r="C2263" s="90" t="str">
        <f>_xlfn.XLOOKUP(A2263,'Model Modeshare by TAZ'!A:A,'Model Modeshare by TAZ'!D:D)</f>
        <v>NO</v>
      </c>
      <c r="D2263" s="27">
        <v>4680.82</v>
      </c>
      <c r="E2263" s="27">
        <v>80533.39</v>
      </c>
      <c r="F2263" s="27">
        <v>4334.8900000000003</v>
      </c>
      <c r="G2263" s="27">
        <v>38851.96</v>
      </c>
      <c r="H2263" s="27">
        <v>828.25</v>
      </c>
      <c r="I2263" s="27">
        <v>10691.43</v>
      </c>
      <c r="J2263" s="6">
        <v>4882</v>
      </c>
      <c r="K2263" s="6">
        <v>541</v>
      </c>
      <c r="L2263" s="27">
        <v>7.9582056534207286</v>
      </c>
      <c r="M2263" s="27">
        <v>19.762347504621072</v>
      </c>
      <c r="N2263" s="34">
        <v>16.366964779642267</v>
      </c>
    </row>
    <row r="2264" spans="1:14" x14ac:dyDescent="0.35">
      <c r="A2264" s="82">
        <v>2261</v>
      </c>
      <c r="B2264" s="89" t="str">
        <f>_xlfn.XLOOKUP(A2264,'Model Modeshare by TAZ'!A:A,'Model Modeshare by TAZ'!B:B)</f>
        <v>Oakland</v>
      </c>
      <c r="C2264" s="90" t="str">
        <f>_xlfn.XLOOKUP(A2264,'Model Modeshare by TAZ'!A:A,'Model Modeshare by TAZ'!D:D)</f>
        <v>NO</v>
      </c>
      <c r="D2264" s="27">
        <v>4404.8599999999997</v>
      </c>
      <c r="E2264" s="27">
        <v>69637.13</v>
      </c>
      <c r="F2264" s="27">
        <v>3927.38</v>
      </c>
      <c r="G2264" s="27">
        <v>31936.02</v>
      </c>
      <c r="H2264" s="27">
        <v>364.34</v>
      </c>
      <c r="I2264" s="27">
        <v>4264.6400000000003</v>
      </c>
      <c r="J2264" s="6">
        <v>4269</v>
      </c>
      <c r="K2264" s="6">
        <v>216</v>
      </c>
      <c r="L2264" s="27">
        <v>7.4809135628952914</v>
      </c>
      <c r="M2264" s="27">
        <v>19.743703703703705</v>
      </c>
      <c r="N2264" s="34">
        <v>13.990421404682275</v>
      </c>
    </row>
    <row r="2265" spans="1:14" x14ac:dyDescent="0.35">
      <c r="A2265" s="82">
        <v>2262</v>
      </c>
      <c r="B2265" s="89" t="str">
        <f>_xlfn.XLOOKUP(A2265,'Model Modeshare by TAZ'!A:A,'Model Modeshare by TAZ'!B:B)</f>
        <v>Oakland</v>
      </c>
      <c r="C2265" s="90" t="str">
        <f>_xlfn.XLOOKUP(A2265,'Model Modeshare by TAZ'!A:A,'Model Modeshare by TAZ'!D:D)</f>
        <v>NO</v>
      </c>
      <c r="D2265" s="27">
        <v>2740.88</v>
      </c>
      <c r="E2265" s="27">
        <v>45691.86</v>
      </c>
      <c r="F2265" s="27">
        <v>2003.79</v>
      </c>
      <c r="G2265" s="27">
        <v>15623.63</v>
      </c>
      <c r="H2265" s="27">
        <v>384.38</v>
      </c>
      <c r="I2265" s="27">
        <v>4402.3100000000004</v>
      </c>
      <c r="J2265" s="6">
        <v>1915</v>
      </c>
      <c r="K2265" s="6">
        <v>297</v>
      </c>
      <c r="L2265" s="27">
        <v>8.1585535248041765</v>
      </c>
      <c r="M2265" s="27">
        <v>14.822592592592594</v>
      </c>
      <c r="N2265" s="34">
        <v>16.312359855334542</v>
      </c>
    </row>
    <row r="2266" spans="1:14" x14ac:dyDescent="0.35">
      <c r="A2266" s="82">
        <v>2263</v>
      </c>
      <c r="B2266" s="89" t="str">
        <f>_xlfn.XLOOKUP(A2266,'Model Modeshare by TAZ'!A:A,'Model Modeshare by TAZ'!B:B)</f>
        <v>Oakland</v>
      </c>
      <c r="C2266" s="90" t="str">
        <f>_xlfn.XLOOKUP(A2266,'Model Modeshare by TAZ'!A:A,'Model Modeshare by TAZ'!D:D)</f>
        <v>NO</v>
      </c>
      <c r="D2266" s="27">
        <v>11633.78</v>
      </c>
      <c r="E2266" s="27">
        <v>232597.68</v>
      </c>
      <c r="F2266" s="27">
        <v>3648.79</v>
      </c>
      <c r="G2266" s="27">
        <v>30367.96</v>
      </c>
      <c r="H2266" s="27">
        <v>1421.91</v>
      </c>
      <c r="I2266" s="27">
        <v>18175.57</v>
      </c>
      <c r="J2266" s="6">
        <v>3306</v>
      </c>
      <c r="K2266" s="6">
        <v>1361</v>
      </c>
      <c r="L2266" s="27">
        <v>9.1857108287961271</v>
      </c>
      <c r="M2266" s="27">
        <v>13.354570168993387</v>
      </c>
      <c r="N2266" s="34">
        <v>21.528982215556031</v>
      </c>
    </row>
    <row r="2267" spans="1:14" x14ac:dyDescent="0.35">
      <c r="A2267" s="82">
        <v>2264</v>
      </c>
      <c r="B2267" s="89" t="str">
        <f>_xlfn.XLOOKUP(A2267,'Model Modeshare by TAZ'!A:A,'Model Modeshare by TAZ'!B:B)</f>
        <v>Oakland</v>
      </c>
      <c r="C2267" s="90" t="str">
        <f>_xlfn.XLOOKUP(A2267,'Model Modeshare by TAZ'!A:A,'Model Modeshare by TAZ'!D:D)</f>
        <v>NO</v>
      </c>
      <c r="D2267" s="27">
        <v>4259.99</v>
      </c>
      <c r="E2267" s="27">
        <v>67163.19</v>
      </c>
      <c r="F2267" s="27">
        <v>3907.86</v>
      </c>
      <c r="G2267" s="27">
        <v>31811.599999999999</v>
      </c>
      <c r="H2267" s="27">
        <v>80.05</v>
      </c>
      <c r="I2267" s="27">
        <v>967.36</v>
      </c>
      <c r="J2267" s="6">
        <v>4089</v>
      </c>
      <c r="K2267" s="6">
        <v>51</v>
      </c>
      <c r="L2267" s="27">
        <v>7.7797994619711419</v>
      </c>
      <c r="M2267" s="27">
        <v>18.967843137254903</v>
      </c>
      <c r="N2267" s="34">
        <v>13.742999999999999</v>
      </c>
    </row>
    <row r="2268" spans="1:14" x14ac:dyDescent="0.35">
      <c r="A2268" s="82">
        <v>2265</v>
      </c>
      <c r="B2268" s="89" t="str">
        <f>_xlfn.XLOOKUP(A2268,'Model Modeshare by TAZ'!A:A,'Model Modeshare by TAZ'!B:B)</f>
        <v>Oakland</v>
      </c>
      <c r="C2268" s="90" t="str">
        <f>_xlfn.XLOOKUP(A2268,'Model Modeshare by TAZ'!A:A,'Model Modeshare by TAZ'!D:D)</f>
        <v>NO</v>
      </c>
      <c r="D2268" s="27">
        <v>7119.04</v>
      </c>
      <c r="E2268" s="27">
        <v>107389.42</v>
      </c>
      <c r="F2268" s="27">
        <v>6211.13</v>
      </c>
      <c r="G2268" s="27">
        <v>46595.92</v>
      </c>
      <c r="H2268" s="27">
        <v>719.76</v>
      </c>
      <c r="I2268" s="27">
        <v>8575.4500000000007</v>
      </c>
      <c r="J2268" s="6">
        <v>7206</v>
      </c>
      <c r="K2268" s="6">
        <v>453</v>
      </c>
      <c r="L2268" s="27">
        <v>6.4662669997224533</v>
      </c>
      <c r="M2268" s="27">
        <v>18.930353200883005</v>
      </c>
      <c r="N2268" s="34">
        <v>12.819479044261653</v>
      </c>
    </row>
    <row r="2269" spans="1:14" x14ac:dyDescent="0.35">
      <c r="A2269" s="82">
        <v>2266</v>
      </c>
      <c r="B2269" s="89" t="str">
        <f>_xlfn.XLOOKUP(A2269,'Model Modeshare by TAZ'!A:A,'Model Modeshare by TAZ'!B:B)</f>
        <v>Oakland</v>
      </c>
      <c r="C2269" s="90" t="str">
        <f>_xlfn.XLOOKUP(A2269,'Model Modeshare by TAZ'!A:A,'Model Modeshare by TAZ'!D:D)</f>
        <v>NO</v>
      </c>
      <c r="D2269" s="27">
        <v>9464.32</v>
      </c>
      <c r="E2269" s="27">
        <v>166616.53</v>
      </c>
      <c r="F2269" s="27">
        <v>5983.33</v>
      </c>
      <c r="G2269" s="27">
        <v>48056.89</v>
      </c>
      <c r="H2269" s="27">
        <v>948.23</v>
      </c>
      <c r="I2269" s="27">
        <v>12388.35</v>
      </c>
      <c r="J2269" s="6">
        <v>7208</v>
      </c>
      <c r="K2269" s="6">
        <v>582</v>
      </c>
      <c r="L2269" s="27">
        <v>6.6671600998890117</v>
      </c>
      <c r="M2269" s="27">
        <v>21.285824742268041</v>
      </c>
      <c r="N2269" s="34">
        <v>15.386835686777919</v>
      </c>
    </row>
    <row r="2270" spans="1:14" x14ac:dyDescent="0.35">
      <c r="A2270" s="82">
        <v>2267</v>
      </c>
      <c r="B2270" s="89" t="str">
        <f>_xlfn.XLOOKUP(A2270,'Model Modeshare by TAZ'!A:A,'Model Modeshare by TAZ'!B:B)</f>
        <v>Oakland</v>
      </c>
      <c r="C2270" s="90" t="str">
        <f>_xlfn.XLOOKUP(A2270,'Model Modeshare by TAZ'!A:A,'Model Modeshare by TAZ'!D:D)</f>
        <v>NO</v>
      </c>
      <c r="D2270" s="27">
        <v>4414.5</v>
      </c>
      <c r="E2270" s="27">
        <v>73852.600000000006</v>
      </c>
      <c r="F2270" s="27">
        <v>3876.31</v>
      </c>
      <c r="G2270" s="27">
        <v>31753.45</v>
      </c>
      <c r="H2270" s="27">
        <v>175.96</v>
      </c>
      <c r="I2270" s="27">
        <v>2078.0700000000002</v>
      </c>
      <c r="J2270" s="6">
        <v>3754</v>
      </c>
      <c r="K2270" s="6">
        <v>103</v>
      </c>
      <c r="L2270" s="27">
        <v>8.4585641981885988</v>
      </c>
      <c r="M2270" s="27">
        <v>20.175436893203884</v>
      </c>
      <c r="N2270" s="34">
        <v>16.066020222971222</v>
      </c>
    </row>
    <row r="2271" spans="1:14" x14ac:dyDescent="0.35">
      <c r="A2271" s="82">
        <v>2268</v>
      </c>
      <c r="B2271" s="89" t="str">
        <f>_xlfn.XLOOKUP(A2271,'Model Modeshare by TAZ'!A:A,'Model Modeshare by TAZ'!B:B)</f>
        <v>Oakland</v>
      </c>
      <c r="C2271" s="90" t="str">
        <f>_xlfn.XLOOKUP(A2271,'Model Modeshare by TAZ'!A:A,'Model Modeshare by TAZ'!D:D)</f>
        <v>NO</v>
      </c>
      <c r="D2271" s="27">
        <v>3894.85</v>
      </c>
      <c r="E2271" s="27">
        <v>63503.7</v>
      </c>
      <c r="F2271" s="27">
        <v>3522.98</v>
      </c>
      <c r="G2271" s="27">
        <v>27611.56</v>
      </c>
      <c r="H2271" s="27">
        <v>295.27</v>
      </c>
      <c r="I2271" s="27">
        <v>3862.85</v>
      </c>
      <c r="J2271" s="6">
        <v>3197</v>
      </c>
      <c r="K2271" s="6">
        <v>180</v>
      </c>
      <c r="L2271" s="27">
        <v>8.6367094150766341</v>
      </c>
      <c r="M2271" s="27">
        <v>21.460277777777776</v>
      </c>
      <c r="N2271" s="34">
        <v>16.850405685519693</v>
      </c>
    </row>
    <row r="2272" spans="1:14" x14ac:dyDescent="0.35">
      <c r="A2272" s="82">
        <v>2269</v>
      </c>
      <c r="B2272" s="89" t="str">
        <f>_xlfn.XLOOKUP(A2272,'Model Modeshare by TAZ'!A:A,'Model Modeshare by TAZ'!B:B)</f>
        <v>Oakland</v>
      </c>
      <c r="C2272" s="90" t="str">
        <f>_xlfn.XLOOKUP(A2272,'Model Modeshare by TAZ'!A:A,'Model Modeshare by TAZ'!D:D)</f>
        <v>NO</v>
      </c>
      <c r="D2272" s="27">
        <v>6459.49</v>
      </c>
      <c r="E2272" s="27">
        <v>110841.36</v>
      </c>
      <c r="F2272" s="27">
        <v>4446.1499999999996</v>
      </c>
      <c r="G2272" s="27">
        <v>33866.78</v>
      </c>
      <c r="H2272" s="27">
        <v>847.43</v>
      </c>
      <c r="I2272" s="27">
        <v>10291.9</v>
      </c>
      <c r="J2272" s="6">
        <v>3200</v>
      </c>
      <c r="K2272" s="6">
        <v>602</v>
      </c>
      <c r="L2272" s="27">
        <v>10.58336875</v>
      </c>
      <c r="M2272" s="27">
        <v>17.096179401993354</v>
      </c>
      <c r="N2272" s="34">
        <v>24.093366649132033</v>
      </c>
    </row>
    <row r="2273" spans="1:14" x14ac:dyDescent="0.35">
      <c r="A2273" s="82">
        <v>2270</v>
      </c>
      <c r="B2273" s="89" t="str">
        <f>_xlfn.XLOOKUP(A2273,'Model Modeshare by TAZ'!A:A,'Model Modeshare by TAZ'!B:B)</f>
        <v>Oakland</v>
      </c>
      <c r="C2273" s="90" t="str">
        <f>_xlfn.XLOOKUP(A2273,'Model Modeshare by TAZ'!A:A,'Model Modeshare by TAZ'!D:D)</f>
        <v>NO</v>
      </c>
      <c r="D2273" s="27">
        <v>5840.75</v>
      </c>
      <c r="E2273" s="27">
        <v>93891.46</v>
      </c>
      <c r="F2273" s="27">
        <v>5710.19</v>
      </c>
      <c r="G2273" s="27">
        <v>42597.13</v>
      </c>
      <c r="H2273" s="27">
        <v>617.26</v>
      </c>
      <c r="I2273" s="27">
        <v>7747.61</v>
      </c>
      <c r="J2273" s="6">
        <v>4269</v>
      </c>
      <c r="K2273" s="6">
        <v>360</v>
      </c>
      <c r="L2273" s="27">
        <v>9.9782454907472466</v>
      </c>
      <c r="M2273" s="27">
        <v>21.521138888888888</v>
      </c>
      <c r="N2273" s="34">
        <v>17.846666666666668</v>
      </c>
    </row>
    <row r="2274" spans="1:14" x14ac:dyDescent="0.35">
      <c r="A2274" s="82">
        <v>2271</v>
      </c>
      <c r="B2274" s="89" t="str">
        <f>_xlfn.XLOOKUP(A2274,'Model Modeshare by TAZ'!A:A,'Model Modeshare by TAZ'!B:B)</f>
        <v>Oakland</v>
      </c>
      <c r="C2274" s="90" t="str">
        <f>_xlfn.XLOOKUP(A2274,'Model Modeshare by TAZ'!A:A,'Model Modeshare by TAZ'!D:D)</f>
        <v>NO</v>
      </c>
      <c r="D2274" s="27">
        <v>9931.4500000000007</v>
      </c>
      <c r="E2274" s="27">
        <v>183382.55</v>
      </c>
      <c r="F2274" s="27">
        <v>4782.1000000000004</v>
      </c>
      <c r="G2274" s="27">
        <v>37957.71</v>
      </c>
      <c r="H2274" s="27">
        <v>1351.37</v>
      </c>
      <c r="I2274" s="27">
        <v>17426.55</v>
      </c>
      <c r="J2274" s="6">
        <v>3533</v>
      </c>
      <c r="K2274" s="6">
        <v>1045</v>
      </c>
      <c r="L2274" s="27">
        <v>10.743761675629775</v>
      </c>
      <c r="M2274" s="27">
        <v>16.676124401913874</v>
      </c>
      <c r="N2274" s="34">
        <v>25.448278724333772</v>
      </c>
    </row>
    <row r="2275" spans="1:14" x14ac:dyDescent="0.35">
      <c r="A2275" s="82">
        <v>2272</v>
      </c>
      <c r="B2275" s="89" t="str">
        <f>_xlfn.XLOOKUP(A2275,'Model Modeshare by TAZ'!A:A,'Model Modeshare by TAZ'!B:B)</f>
        <v>Oakland</v>
      </c>
      <c r="C2275" s="90" t="str">
        <f>_xlfn.XLOOKUP(A2275,'Model Modeshare by TAZ'!A:A,'Model Modeshare by TAZ'!D:D)</f>
        <v>NO</v>
      </c>
      <c r="D2275" s="27">
        <v>5651.37</v>
      </c>
      <c r="E2275" s="27">
        <v>98303.09</v>
      </c>
      <c r="F2275" s="27">
        <v>4608.6899999999996</v>
      </c>
      <c r="G2275" s="27">
        <v>37907.71</v>
      </c>
      <c r="H2275" s="27">
        <v>1366.91</v>
      </c>
      <c r="I2275" s="27">
        <v>17939.36</v>
      </c>
      <c r="J2275" s="6">
        <v>3672</v>
      </c>
      <c r="K2275" s="6">
        <v>855</v>
      </c>
      <c r="L2275" s="27">
        <v>10.323450435729848</v>
      </c>
      <c r="M2275" s="27">
        <v>20.981707602339181</v>
      </c>
      <c r="N2275" s="34">
        <v>25.663613872321623</v>
      </c>
    </row>
    <row r="2276" spans="1:14" x14ac:dyDescent="0.35">
      <c r="A2276" s="82">
        <v>2273</v>
      </c>
      <c r="B2276" s="89" t="str">
        <f>_xlfn.XLOOKUP(A2276,'Model Modeshare by TAZ'!A:A,'Model Modeshare by TAZ'!B:B)</f>
        <v>Oakland</v>
      </c>
      <c r="C2276" s="90" t="str">
        <f>_xlfn.XLOOKUP(A2276,'Model Modeshare by TAZ'!A:A,'Model Modeshare by TAZ'!D:D)</f>
        <v>NO</v>
      </c>
      <c r="D2276" s="27">
        <v>6211.25</v>
      </c>
      <c r="E2276" s="27">
        <v>110941.02</v>
      </c>
      <c r="F2276" s="27">
        <v>5192.5200000000004</v>
      </c>
      <c r="G2276" s="27">
        <v>44070.080000000002</v>
      </c>
      <c r="H2276" s="27">
        <v>812.05</v>
      </c>
      <c r="I2276" s="27">
        <v>11097.17</v>
      </c>
      <c r="J2276" s="6">
        <v>4493</v>
      </c>
      <c r="K2276" s="6">
        <v>515</v>
      </c>
      <c r="L2276" s="27">
        <v>9.8086089472512796</v>
      </c>
      <c r="M2276" s="27">
        <v>21.54790291262136</v>
      </c>
      <c r="N2276" s="34">
        <v>21.439602635782748</v>
      </c>
    </row>
    <row r="2277" spans="1:14" x14ac:dyDescent="0.35">
      <c r="A2277" s="82">
        <v>2274</v>
      </c>
      <c r="B2277" s="89" t="str">
        <f>_xlfn.XLOOKUP(A2277,'Model Modeshare by TAZ'!A:A,'Model Modeshare by TAZ'!B:B)</f>
        <v>Oakland</v>
      </c>
      <c r="C2277" s="90" t="str">
        <f>_xlfn.XLOOKUP(A2277,'Model Modeshare by TAZ'!A:A,'Model Modeshare by TAZ'!D:D)</f>
        <v>NO</v>
      </c>
      <c r="D2277" s="27">
        <v>7409.07</v>
      </c>
      <c r="E2277" s="27">
        <v>141888.73000000001</v>
      </c>
      <c r="F2277" s="27">
        <v>4697.2700000000004</v>
      </c>
      <c r="G2277" s="27">
        <v>40478.07</v>
      </c>
      <c r="H2277" s="27">
        <v>2077.6</v>
      </c>
      <c r="I2277" s="27">
        <v>28482.45</v>
      </c>
      <c r="J2277" s="6">
        <v>4397</v>
      </c>
      <c r="K2277" s="6">
        <v>1906</v>
      </c>
      <c r="L2277" s="27">
        <v>9.2058380714123267</v>
      </c>
      <c r="M2277" s="27">
        <v>14.943572927597062</v>
      </c>
      <c r="N2277" s="34">
        <v>23.897996192289387</v>
      </c>
    </row>
    <row r="2278" spans="1:14" x14ac:dyDescent="0.35">
      <c r="A2278" s="82">
        <v>2275</v>
      </c>
      <c r="B2278" s="89" t="str">
        <f>_xlfn.XLOOKUP(A2278,'Model Modeshare by TAZ'!A:A,'Model Modeshare by TAZ'!B:B)</f>
        <v>Oakland</v>
      </c>
      <c r="C2278" s="90" t="str">
        <f>_xlfn.XLOOKUP(A2278,'Model Modeshare by TAZ'!A:A,'Model Modeshare by TAZ'!D:D)</f>
        <v>NO</v>
      </c>
      <c r="D2278" s="27">
        <v>8701.15</v>
      </c>
      <c r="E2278" s="27">
        <v>138514.04</v>
      </c>
      <c r="F2278" s="27">
        <v>6018.61</v>
      </c>
      <c r="G2278" s="27">
        <v>45512.47</v>
      </c>
      <c r="H2278" s="27">
        <v>859.92</v>
      </c>
      <c r="I2278" s="27">
        <v>10691.19</v>
      </c>
      <c r="J2278" s="6">
        <v>4733</v>
      </c>
      <c r="K2278" s="6">
        <v>512</v>
      </c>
      <c r="L2278" s="27">
        <v>9.6159877456158895</v>
      </c>
      <c r="M2278" s="27">
        <v>20.881230468750001</v>
      </c>
      <c r="N2278" s="34">
        <v>22.51487130600572</v>
      </c>
    </row>
    <row r="2279" spans="1:14" x14ac:dyDescent="0.35">
      <c r="A2279" s="82">
        <v>2276</v>
      </c>
      <c r="B2279" s="89" t="str">
        <f>_xlfn.XLOOKUP(A2279,'Model Modeshare by TAZ'!A:A,'Model Modeshare by TAZ'!B:B)</f>
        <v>Oakland</v>
      </c>
      <c r="C2279" s="90" t="str">
        <f>_xlfn.XLOOKUP(A2279,'Model Modeshare by TAZ'!A:A,'Model Modeshare by TAZ'!D:D)</f>
        <v>NO</v>
      </c>
      <c r="D2279" s="27">
        <v>6266.31</v>
      </c>
      <c r="E2279" s="27">
        <v>109037.85</v>
      </c>
      <c r="F2279" s="27">
        <v>5254.36</v>
      </c>
      <c r="G2279" s="27">
        <v>42871.55</v>
      </c>
      <c r="H2279" s="27">
        <v>977.58</v>
      </c>
      <c r="I2279" s="27">
        <v>12038.44</v>
      </c>
      <c r="J2279" s="6">
        <v>5344</v>
      </c>
      <c r="K2279" s="6">
        <v>630</v>
      </c>
      <c r="L2279" s="27">
        <v>8.022370883233533</v>
      </c>
      <c r="M2279" s="27">
        <v>19.10863492063492</v>
      </c>
      <c r="N2279" s="34">
        <v>20.932177770338132</v>
      </c>
    </row>
    <row r="2280" spans="1:14" x14ac:dyDescent="0.35">
      <c r="A2280" s="82">
        <v>2277</v>
      </c>
      <c r="B2280" s="89" t="str">
        <f>_xlfn.XLOOKUP(A2280,'Model Modeshare by TAZ'!A:A,'Model Modeshare by TAZ'!B:B)</f>
        <v>Oakland</v>
      </c>
      <c r="C2280" s="90" t="str">
        <f>_xlfn.XLOOKUP(A2280,'Model Modeshare by TAZ'!A:A,'Model Modeshare by TAZ'!D:D)</f>
        <v>NO</v>
      </c>
      <c r="D2280" s="27">
        <v>15476.32</v>
      </c>
      <c r="E2280" s="27">
        <v>338526.83</v>
      </c>
      <c r="F2280" s="27">
        <v>4218.1099999999997</v>
      </c>
      <c r="G2280" s="27">
        <v>33491.879999999997</v>
      </c>
      <c r="H2280" s="27">
        <v>7112.17</v>
      </c>
      <c r="I2280" s="27">
        <v>103777.23</v>
      </c>
      <c r="J2280" s="6">
        <v>4955</v>
      </c>
      <c r="K2280" s="6">
        <v>8310</v>
      </c>
      <c r="L2280" s="27">
        <v>6.7592088799192727</v>
      </c>
      <c r="M2280" s="27">
        <v>12.48823465703971</v>
      </c>
      <c r="N2280" s="34">
        <v>23.400757632868451</v>
      </c>
    </row>
    <row r="2281" spans="1:14" x14ac:dyDescent="0.35">
      <c r="A2281" s="82">
        <v>2278</v>
      </c>
      <c r="B2281" s="89" t="str">
        <f>_xlfn.XLOOKUP(A2281,'Model Modeshare by TAZ'!A:A,'Model Modeshare by TAZ'!B:B)</f>
        <v>Oakland</v>
      </c>
      <c r="C2281" s="90" t="str">
        <f>_xlfn.XLOOKUP(A2281,'Model Modeshare by TAZ'!A:A,'Model Modeshare by TAZ'!D:D)</f>
        <v>NO</v>
      </c>
      <c r="D2281" s="27">
        <v>13398.33</v>
      </c>
      <c r="E2281" s="27">
        <v>240343.02</v>
      </c>
      <c r="F2281" s="27">
        <v>4042.42</v>
      </c>
      <c r="G2281" s="27">
        <v>34454.199999999997</v>
      </c>
      <c r="H2281" s="27">
        <v>5400.36</v>
      </c>
      <c r="I2281" s="27">
        <v>75575.009999999995</v>
      </c>
      <c r="J2281" s="6">
        <v>4672</v>
      </c>
      <c r="K2281" s="6">
        <v>5773</v>
      </c>
      <c r="L2281" s="27">
        <v>7.3746147260273966</v>
      </c>
      <c r="M2281" s="27">
        <v>13.091115537848605</v>
      </c>
      <c r="N2281" s="34">
        <v>31.137191000478701</v>
      </c>
    </row>
    <row r="2282" spans="1:14" x14ac:dyDescent="0.35">
      <c r="A2282" s="82">
        <v>2279</v>
      </c>
      <c r="B2282" s="89" t="str">
        <f>_xlfn.XLOOKUP(A2282,'Model Modeshare by TAZ'!A:A,'Model Modeshare by TAZ'!B:B)</f>
        <v>Oakland</v>
      </c>
      <c r="C2282" s="90" t="str">
        <f>_xlfn.XLOOKUP(A2282,'Model Modeshare by TAZ'!A:A,'Model Modeshare by TAZ'!D:D)</f>
        <v>NO</v>
      </c>
      <c r="D2282" s="27">
        <v>8702.51</v>
      </c>
      <c r="E2282" s="27">
        <v>167425.97</v>
      </c>
      <c r="F2282" s="27">
        <v>4219.24</v>
      </c>
      <c r="G2282" s="27">
        <v>31494.25</v>
      </c>
      <c r="H2282" s="27">
        <v>5052.33</v>
      </c>
      <c r="I2282" s="27">
        <v>63191.51</v>
      </c>
      <c r="J2282" s="6">
        <v>4062</v>
      </c>
      <c r="K2282" s="6">
        <v>4936</v>
      </c>
      <c r="L2282" s="27">
        <v>7.7533850320039388</v>
      </c>
      <c r="M2282" s="27">
        <v>12.802169773095624</v>
      </c>
      <c r="N2282" s="34">
        <v>22.979492109357636</v>
      </c>
    </row>
    <row r="2283" spans="1:14" x14ac:dyDescent="0.35">
      <c r="A2283" s="82">
        <v>2280</v>
      </c>
      <c r="B2283" s="89" t="str">
        <f>_xlfn.XLOOKUP(A2283,'Model Modeshare by TAZ'!A:A,'Model Modeshare by TAZ'!B:B)</f>
        <v>Alameda</v>
      </c>
      <c r="C2283" s="90" t="str">
        <f>_xlfn.XLOOKUP(A2283,'Model Modeshare by TAZ'!A:A,'Model Modeshare by TAZ'!D:D)</f>
        <v>NO</v>
      </c>
      <c r="D2283" s="27">
        <v>7819.71</v>
      </c>
      <c r="E2283" s="27">
        <v>145359.96</v>
      </c>
      <c r="F2283" s="27">
        <v>5225.53</v>
      </c>
      <c r="G2283" s="27">
        <v>43608.959999999999</v>
      </c>
      <c r="H2283" s="27">
        <v>2218.7800000000002</v>
      </c>
      <c r="I2283" s="27">
        <v>28116.22</v>
      </c>
      <c r="J2283" s="6">
        <v>4286</v>
      </c>
      <c r="K2283" s="6">
        <v>2001</v>
      </c>
      <c r="L2283" s="27">
        <v>10.174745683621092</v>
      </c>
      <c r="M2283" s="27">
        <v>14.051084457771115</v>
      </c>
      <c r="N2283" s="34">
        <v>20.700046126928584</v>
      </c>
    </row>
    <row r="2284" spans="1:14" x14ac:dyDescent="0.35">
      <c r="A2284" s="82">
        <v>2281</v>
      </c>
      <c r="B2284" s="89" t="str">
        <f>_xlfn.XLOOKUP(A2284,'Model Modeshare by TAZ'!A:A,'Model Modeshare by TAZ'!B:B)</f>
        <v>Alameda</v>
      </c>
      <c r="C2284" s="90" t="str">
        <f>_xlfn.XLOOKUP(A2284,'Model Modeshare by TAZ'!A:A,'Model Modeshare by TAZ'!D:D)</f>
        <v>NO</v>
      </c>
      <c r="D2284" s="27">
        <v>6834.23</v>
      </c>
      <c r="E2284" s="27">
        <v>109690.31</v>
      </c>
      <c r="F2284" s="27">
        <v>4807.05</v>
      </c>
      <c r="G2284" s="27">
        <v>36939.29</v>
      </c>
      <c r="H2284" s="27">
        <v>1126.74</v>
      </c>
      <c r="I2284" s="27">
        <v>13706.02</v>
      </c>
      <c r="J2284" s="6">
        <v>3599</v>
      </c>
      <c r="K2284" s="6">
        <v>797</v>
      </c>
      <c r="L2284" s="27">
        <v>10.263764934704085</v>
      </c>
      <c r="M2284" s="27">
        <v>17.197013801756587</v>
      </c>
      <c r="N2284" s="34">
        <v>21.442804822565972</v>
      </c>
    </row>
    <row r="2285" spans="1:14" x14ac:dyDescent="0.35">
      <c r="A2285" s="82">
        <v>2282</v>
      </c>
      <c r="B2285" s="89" t="str">
        <f>_xlfn.XLOOKUP(A2285,'Model Modeshare by TAZ'!A:A,'Model Modeshare by TAZ'!B:B)</f>
        <v>Alameda</v>
      </c>
      <c r="C2285" s="90" t="str">
        <f>_xlfn.XLOOKUP(A2285,'Model Modeshare by TAZ'!A:A,'Model Modeshare by TAZ'!D:D)</f>
        <v>NO</v>
      </c>
      <c r="D2285" s="27">
        <v>8190.62</v>
      </c>
      <c r="E2285" s="27">
        <v>140407.29999999999</v>
      </c>
      <c r="F2285" s="27">
        <v>5849.51</v>
      </c>
      <c r="G2285" s="27">
        <v>49387.47</v>
      </c>
      <c r="H2285" s="27">
        <v>1904.24</v>
      </c>
      <c r="I2285" s="27">
        <v>24583.21</v>
      </c>
      <c r="J2285" s="6">
        <v>4709</v>
      </c>
      <c r="K2285" s="6">
        <v>1793</v>
      </c>
      <c r="L2285" s="27">
        <v>10.487889148439159</v>
      </c>
      <c r="M2285" s="27">
        <v>13.710658114891244</v>
      </c>
      <c r="N2285" s="34">
        <v>23.129181790218393</v>
      </c>
    </row>
    <row r="2286" spans="1:14" x14ac:dyDescent="0.35">
      <c r="A2286" s="82">
        <v>2283</v>
      </c>
      <c r="B2286" s="89" t="str">
        <f>_xlfn.XLOOKUP(A2286,'Model Modeshare by TAZ'!A:A,'Model Modeshare by TAZ'!B:B)</f>
        <v>Alameda</v>
      </c>
      <c r="C2286" s="90" t="str">
        <f>_xlfn.XLOOKUP(A2286,'Model Modeshare by TAZ'!A:A,'Model Modeshare by TAZ'!D:D)</f>
        <v>NO</v>
      </c>
      <c r="D2286" s="27">
        <v>8218.2000000000007</v>
      </c>
      <c r="E2286" s="27">
        <v>123636.69</v>
      </c>
      <c r="F2286" s="27">
        <v>7541.2</v>
      </c>
      <c r="G2286" s="27">
        <v>57431.040000000001</v>
      </c>
      <c r="H2286" s="27">
        <v>975.68</v>
      </c>
      <c r="I2286" s="27">
        <v>12270.17</v>
      </c>
      <c r="J2286" s="6">
        <v>6339</v>
      </c>
      <c r="K2286" s="6">
        <v>593</v>
      </c>
      <c r="L2286" s="27">
        <v>9.0599526739233323</v>
      </c>
      <c r="M2286" s="27">
        <v>20.69168634064081</v>
      </c>
      <c r="N2286" s="34">
        <v>17.212070109636471</v>
      </c>
    </row>
    <row r="2287" spans="1:14" x14ac:dyDescent="0.35">
      <c r="A2287" s="82">
        <v>2284</v>
      </c>
      <c r="B2287" s="89" t="str">
        <f>_xlfn.XLOOKUP(A2287,'Model Modeshare by TAZ'!A:A,'Model Modeshare by TAZ'!B:B)</f>
        <v>Alameda</v>
      </c>
      <c r="C2287" s="90" t="str">
        <f>_xlfn.XLOOKUP(A2287,'Model Modeshare by TAZ'!A:A,'Model Modeshare by TAZ'!D:D)</f>
        <v>NO</v>
      </c>
      <c r="D2287" s="27">
        <v>15425.59</v>
      </c>
      <c r="E2287" s="27">
        <v>287815.64</v>
      </c>
      <c r="F2287" s="27">
        <v>8796.11</v>
      </c>
      <c r="G2287" s="27">
        <v>76263.33</v>
      </c>
      <c r="H2287" s="27">
        <v>4705.1000000000004</v>
      </c>
      <c r="I2287" s="27">
        <v>65465.45</v>
      </c>
      <c r="J2287" s="6">
        <v>6611</v>
      </c>
      <c r="K2287" s="6">
        <v>4264</v>
      </c>
      <c r="L2287" s="27">
        <v>11.535823627287854</v>
      </c>
      <c r="M2287" s="27">
        <v>15.353060506566603</v>
      </c>
      <c r="N2287" s="34">
        <v>23.757039080459769</v>
      </c>
    </row>
    <row r="2288" spans="1:14" x14ac:dyDescent="0.35">
      <c r="A2288" s="82">
        <v>2285</v>
      </c>
      <c r="B2288" s="89" t="str">
        <f>_xlfn.XLOOKUP(A2288,'Model Modeshare by TAZ'!A:A,'Model Modeshare by TAZ'!B:B)</f>
        <v>Alameda</v>
      </c>
      <c r="C2288" s="90" t="str">
        <f>_xlfn.XLOOKUP(A2288,'Model Modeshare by TAZ'!A:A,'Model Modeshare by TAZ'!D:D)</f>
        <v>NO</v>
      </c>
      <c r="D2288" s="27">
        <v>10631.05</v>
      </c>
      <c r="E2288" s="27">
        <v>194085.23</v>
      </c>
      <c r="F2288" s="27">
        <v>10137.540000000001</v>
      </c>
      <c r="G2288" s="27">
        <v>91212.07</v>
      </c>
      <c r="H2288" s="27">
        <v>1216.95</v>
      </c>
      <c r="I2288" s="27">
        <v>17496.21</v>
      </c>
      <c r="J2288" s="6">
        <v>7152</v>
      </c>
      <c r="K2288" s="6">
        <v>695</v>
      </c>
      <c r="L2288" s="27">
        <v>12.753365492170023</v>
      </c>
      <c r="M2288" s="27">
        <v>25.17440287769784</v>
      </c>
      <c r="N2288" s="34">
        <v>20.854794188861987</v>
      </c>
    </row>
    <row r="2289" spans="1:14" x14ac:dyDescent="0.35">
      <c r="A2289" s="82">
        <v>2286</v>
      </c>
      <c r="B2289" s="89" t="str">
        <f>_xlfn.XLOOKUP(A2289,'Model Modeshare by TAZ'!A:A,'Model Modeshare by TAZ'!B:B)</f>
        <v>Alameda</v>
      </c>
      <c r="C2289" s="90" t="str">
        <f>_xlfn.XLOOKUP(A2289,'Model Modeshare by TAZ'!A:A,'Model Modeshare by TAZ'!D:D)</f>
        <v>NO</v>
      </c>
      <c r="D2289" s="27">
        <v>9335.99</v>
      </c>
      <c r="E2289" s="27">
        <v>163727.92000000001</v>
      </c>
      <c r="F2289" s="27">
        <v>5167.0200000000004</v>
      </c>
      <c r="G2289" s="27">
        <v>43669.32</v>
      </c>
      <c r="H2289" s="27">
        <v>1910.37</v>
      </c>
      <c r="I2289" s="27">
        <v>24093.97</v>
      </c>
      <c r="J2289" s="6">
        <v>4125</v>
      </c>
      <c r="K2289" s="6">
        <v>1460</v>
      </c>
      <c r="L2289" s="27">
        <v>10.586501818181818</v>
      </c>
      <c r="M2289" s="27">
        <v>16.502719178082192</v>
      </c>
      <c r="N2289" s="34">
        <v>22.722218442256043</v>
      </c>
    </row>
    <row r="2290" spans="1:14" x14ac:dyDescent="0.35">
      <c r="A2290" s="82">
        <v>2287</v>
      </c>
      <c r="B2290" s="89" t="str">
        <f>_xlfn.XLOOKUP(A2290,'Model Modeshare by TAZ'!A:A,'Model Modeshare by TAZ'!B:B)</f>
        <v>Alameda</v>
      </c>
      <c r="C2290" s="90" t="str">
        <f>_xlfn.XLOOKUP(A2290,'Model Modeshare by TAZ'!A:A,'Model Modeshare by TAZ'!D:D)</f>
        <v>NO</v>
      </c>
      <c r="D2290" s="27">
        <v>9123.56</v>
      </c>
      <c r="E2290" s="27">
        <v>160566.12</v>
      </c>
      <c r="F2290" s="27">
        <v>3502.87</v>
      </c>
      <c r="G2290" s="27">
        <v>31230.15</v>
      </c>
      <c r="H2290" s="27">
        <v>2036.74</v>
      </c>
      <c r="I2290" s="27">
        <v>27312.06</v>
      </c>
      <c r="J2290" s="6">
        <v>2967</v>
      </c>
      <c r="K2290" s="6">
        <v>2017</v>
      </c>
      <c r="L2290" s="27">
        <v>10.525834175935289</v>
      </c>
      <c r="M2290" s="27">
        <v>13.540932077342589</v>
      </c>
      <c r="N2290" s="34">
        <v>28.603908507223114</v>
      </c>
    </row>
    <row r="2291" spans="1:14" x14ac:dyDescent="0.35">
      <c r="A2291" s="82">
        <v>2288</v>
      </c>
      <c r="B2291" s="89" t="str">
        <f>_xlfn.XLOOKUP(A2291,'Model Modeshare by TAZ'!A:A,'Model Modeshare by TAZ'!B:B)</f>
        <v>Alameda</v>
      </c>
      <c r="C2291" s="90" t="str">
        <f>_xlfn.XLOOKUP(A2291,'Model Modeshare by TAZ'!A:A,'Model Modeshare by TAZ'!D:D)</f>
        <v>NO</v>
      </c>
      <c r="D2291" s="27">
        <v>8231.31</v>
      </c>
      <c r="E2291" s="27">
        <v>142033.16</v>
      </c>
      <c r="F2291" s="27">
        <v>5589.88</v>
      </c>
      <c r="G2291" s="27">
        <v>45154.33</v>
      </c>
      <c r="H2291" s="27">
        <v>1431.19</v>
      </c>
      <c r="I2291" s="27">
        <v>18721.95</v>
      </c>
      <c r="J2291" s="6">
        <v>4592</v>
      </c>
      <c r="K2291" s="6">
        <v>900</v>
      </c>
      <c r="L2291" s="27">
        <v>9.8332600174216029</v>
      </c>
      <c r="M2291" s="27">
        <v>20.802166666666668</v>
      </c>
      <c r="N2291" s="34">
        <v>21.034198834668612</v>
      </c>
    </row>
    <row r="2292" spans="1:14" x14ac:dyDescent="0.35">
      <c r="A2292" s="82">
        <v>2289</v>
      </c>
      <c r="B2292" s="89" t="str">
        <f>_xlfn.XLOOKUP(A2292,'Model Modeshare by TAZ'!A:A,'Model Modeshare by TAZ'!B:B)</f>
        <v>Alameda</v>
      </c>
      <c r="C2292" s="90" t="str">
        <f>_xlfn.XLOOKUP(A2292,'Model Modeshare by TAZ'!A:A,'Model Modeshare by TAZ'!D:D)</f>
        <v>NO</v>
      </c>
      <c r="D2292" s="27">
        <v>4864.63</v>
      </c>
      <c r="E2292" s="27">
        <v>84396.25</v>
      </c>
      <c r="F2292" s="27">
        <v>3982.75</v>
      </c>
      <c r="G2292" s="27">
        <v>31113.119999999999</v>
      </c>
      <c r="H2292" s="27">
        <v>998.66</v>
      </c>
      <c r="I2292" s="27">
        <v>12871.69</v>
      </c>
      <c r="J2292" s="6">
        <v>3164</v>
      </c>
      <c r="K2292" s="6">
        <v>721</v>
      </c>
      <c r="L2292" s="27">
        <v>9.8334766118836914</v>
      </c>
      <c r="M2292" s="27">
        <v>17.8525520110957</v>
      </c>
      <c r="N2292" s="34">
        <v>19.384386100386099</v>
      </c>
    </row>
    <row r="2293" spans="1:14" x14ac:dyDescent="0.35">
      <c r="A2293" s="82">
        <v>2290</v>
      </c>
      <c r="B2293" s="89" t="str">
        <f>_xlfn.XLOOKUP(A2293,'Model Modeshare by TAZ'!A:A,'Model Modeshare by TAZ'!B:B)</f>
        <v>Alameda</v>
      </c>
      <c r="C2293" s="90" t="str">
        <f>_xlfn.XLOOKUP(A2293,'Model Modeshare by TAZ'!A:A,'Model Modeshare by TAZ'!D:D)</f>
        <v>NO</v>
      </c>
      <c r="D2293" s="27">
        <v>4716.78</v>
      </c>
      <c r="E2293" s="27">
        <v>83681.67</v>
      </c>
      <c r="F2293" s="27">
        <v>4188.3900000000003</v>
      </c>
      <c r="G2293" s="27">
        <v>32759.040000000001</v>
      </c>
      <c r="H2293" s="27">
        <v>907.43</v>
      </c>
      <c r="I2293" s="27">
        <v>11316.97</v>
      </c>
      <c r="J2293" s="6">
        <v>3196</v>
      </c>
      <c r="K2293" s="6">
        <v>655</v>
      </c>
      <c r="L2293" s="27">
        <v>10.250012515644556</v>
      </c>
      <c r="M2293" s="27">
        <v>17.27781679389313</v>
      </c>
      <c r="N2293" s="34">
        <v>21.388522461698258</v>
      </c>
    </row>
    <row r="2294" spans="1:14" x14ac:dyDescent="0.35">
      <c r="A2294" s="82">
        <v>2291</v>
      </c>
      <c r="B2294" s="89" t="str">
        <f>_xlfn.XLOOKUP(A2294,'Model Modeshare by TAZ'!A:A,'Model Modeshare by TAZ'!B:B)</f>
        <v>Alameda</v>
      </c>
      <c r="C2294" s="90" t="str">
        <f>_xlfn.XLOOKUP(A2294,'Model Modeshare by TAZ'!A:A,'Model Modeshare by TAZ'!D:D)</f>
        <v>NO</v>
      </c>
      <c r="D2294" s="27">
        <v>6559.26</v>
      </c>
      <c r="E2294" s="27">
        <v>89805.29</v>
      </c>
      <c r="F2294" s="27">
        <v>5231.74</v>
      </c>
      <c r="G2294" s="27">
        <v>32726.81</v>
      </c>
      <c r="H2294" s="27">
        <v>881.28</v>
      </c>
      <c r="I2294" s="27">
        <v>10783.07</v>
      </c>
      <c r="J2294" s="6">
        <v>4698</v>
      </c>
      <c r="K2294" s="6">
        <v>541</v>
      </c>
      <c r="L2294" s="27">
        <v>6.9661153682418053</v>
      </c>
      <c r="M2294" s="27">
        <v>19.931737523105358</v>
      </c>
      <c r="N2294" s="34">
        <v>13.629828211490743</v>
      </c>
    </row>
    <row r="2295" spans="1:14" x14ac:dyDescent="0.35">
      <c r="A2295" s="82">
        <v>2292</v>
      </c>
      <c r="B2295" s="89" t="str">
        <f>_xlfn.XLOOKUP(A2295,'Model Modeshare by TAZ'!A:A,'Model Modeshare by TAZ'!B:B)</f>
        <v>Alameda</v>
      </c>
      <c r="C2295" s="90" t="str">
        <f>_xlfn.XLOOKUP(A2295,'Model Modeshare by TAZ'!A:A,'Model Modeshare by TAZ'!D:D)</f>
        <v>NO</v>
      </c>
      <c r="D2295" s="27">
        <v>9479.33</v>
      </c>
      <c r="E2295" s="27">
        <v>169490.64</v>
      </c>
      <c r="F2295" s="27">
        <v>5966.69</v>
      </c>
      <c r="G2295" s="27">
        <v>44679.11</v>
      </c>
      <c r="H2295" s="27">
        <v>5236.5600000000004</v>
      </c>
      <c r="I2295" s="27">
        <v>71138.259999999995</v>
      </c>
      <c r="J2295" s="6">
        <v>5005</v>
      </c>
      <c r="K2295" s="6">
        <v>4979</v>
      </c>
      <c r="L2295" s="27">
        <v>8.9268951048951042</v>
      </c>
      <c r="M2295" s="27">
        <v>14.287660172725445</v>
      </c>
      <c r="N2295" s="34">
        <v>23.364688501602561</v>
      </c>
    </row>
    <row r="2296" spans="1:14" x14ac:dyDescent="0.35">
      <c r="A2296" s="82">
        <v>2293</v>
      </c>
      <c r="B2296" s="89" t="str">
        <f>_xlfn.XLOOKUP(A2296,'Model Modeshare by TAZ'!A:A,'Model Modeshare by TAZ'!B:B)</f>
        <v>Alameda</v>
      </c>
      <c r="C2296" s="90" t="str">
        <f>_xlfn.XLOOKUP(A2296,'Model Modeshare by TAZ'!A:A,'Model Modeshare by TAZ'!D:D)</f>
        <v>NO</v>
      </c>
      <c r="D2296" s="27">
        <v>6987.15</v>
      </c>
      <c r="E2296" s="27">
        <v>142658.85999999999</v>
      </c>
      <c r="F2296" s="27">
        <v>4492.57</v>
      </c>
      <c r="G2296" s="27">
        <v>39279.370000000003</v>
      </c>
      <c r="H2296" s="27">
        <v>2120.9699999999998</v>
      </c>
      <c r="I2296" s="27">
        <v>32763.88</v>
      </c>
      <c r="J2296" s="6">
        <v>4098</v>
      </c>
      <c r="K2296" s="6">
        <v>1776</v>
      </c>
      <c r="L2296" s="27">
        <v>9.5850097608589557</v>
      </c>
      <c r="M2296" s="27">
        <v>18.448130630630633</v>
      </c>
      <c r="N2296" s="34">
        <v>35.943478038815115</v>
      </c>
    </row>
    <row r="2297" spans="1:14" x14ac:dyDescent="0.35">
      <c r="A2297" s="82">
        <v>2294</v>
      </c>
      <c r="B2297" s="89" t="str">
        <f>_xlfn.XLOOKUP(A2297,'Model Modeshare by TAZ'!A:A,'Model Modeshare by TAZ'!B:B)</f>
        <v>Alameda</v>
      </c>
      <c r="C2297" s="90" t="str">
        <f>_xlfn.XLOOKUP(A2297,'Model Modeshare by TAZ'!A:A,'Model Modeshare by TAZ'!D:D)</f>
        <v>NO</v>
      </c>
      <c r="D2297" s="27">
        <v>6518.61</v>
      </c>
      <c r="E2297" s="27">
        <v>109312.42</v>
      </c>
      <c r="F2297" s="27">
        <v>5097.1400000000003</v>
      </c>
      <c r="G2297" s="27">
        <v>41228.11</v>
      </c>
      <c r="H2297" s="27">
        <v>646.02</v>
      </c>
      <c r="I2297" s="27">
        <v>8842.1299999999992</v>
      </c>
      <c r="J2297" s="6">
        <v>5044</v>
      </c>
      <c r="K2297" s="6">
        <v>388</v>
      </c>
      <c r="L2297" s="27">
        <v>8.1736934972244253</v>
      </c>
      <c r="M2297" s="27">
        <v>22.788994845360822</v>
      </c>
      <c r="N2297" s="34">
        <v>17.082796391752577</v>
      </c>
    </row>
    <row r="2298" spans="1:14" x14ac:dyDescent="0.35">
      <c r="A2298" s="82">
        <v>2295</v>
      </c>
      <c r="B2298" s="89" t="str">
        <f>_xlfn.XLOOKUP(A2298,'Model Modeshare by TAZ'!A:A,'Model Modeshare by TAZ'!B:B)</f>
        <v>Alameda</v>
      </c>
      <c r="C2298" s="90" t="str">
        <f>_xlfn.XLOOKUP(A2298,'Model Modeshare by TAZ'!A:A,'Model Modeshare by TAZ'!D:D)</f>
        <v>NO</v>
      </c>
      <c r="D2298" s="27">
        <v>7560.79</v>
      </c>
      <c r="E2298" s="27">
        <v>138853.68</v>
      </c>
      <c r="F2298" s="27">
        <v>6302.24</v>
      </c>
      <c r="G2298" s="27">
        <v>51247.45</v>
      </c>
      <c r="H2298" s="27">
        <v>1596.71</v>
      </c>
      <c r="I2298" s="27">
        <v>21356.25</v>
      </c>
      <c r="J2298" s="6">
        <v>4924</v>
      </c>
      <c r="K2298" s="6">
        <v>1185</v>
      </c>
      <c r="L2298" s="27">
        <v>10.407686839967505</v>
      </c>
      <c r="M2298" s="27">
        <v>18.022151898734176</v>
      </c>
      <c r="N2298" s="34">
        <v>23.201054182353904</v>
      </c>
    </row>
    <row r="2299" spans="1:14" x14ac:dyDescent="0.35">
      <c r="A2299" s="82">
        <v>2296</v>
      </c>
      <c r="B2299" s="89" t="str">
        <f>_xlfn.XLOOKUP(A2299,'Model Modeshare by TAZ'!A:A,'Model Modeshare by TAZ'!B:B)</f>
        <v>Alameda</v>
      </c>
      <c r="C2299" s="90" t="str">
        <f>_xlfn.XLOOKUP(A2299,'Model Modeshare by TAZ'!A:A,'Model Modeshare by TAZ'!D:D)</f>
        <v>NO</v>
      </c>
      <c r="D2299" s="27">
        <v>2947.71</v>
      </c>
      <c r="E2299" s="27">
        <v>63526.06</v>
      </c>
      <c r="F2299" s="27">
        <v>1998.05</v>
      </c>
      <c r="G2299" s="27">
        <v>16057.34</v>
      </c>
      <c r="H2299" s="27">
        <v>2006.29</v>
      </c>
      <c r="I2299" s="27">
        <v>29596.75</v>
      </c>
      <c r="J2299" s="6">
        <v>1817</v>
      </c>
      <c r="K2299" s="6">
        <v>1622</v>
      </c>
      <c r="L2299" s="27">
        <v>8.8372812328013204</v>
      </c>
      <c r="M2299" s="27">
        <v>18.247071516646116</v>
      </c>
      <c r="N2299" s="34">
        <v>26.549046234370454</v>
      </c>
    </row>
    <row r="2300" spans="1:14" x14ac:dyDescent="0.35">
      <c r="A2300" s="82">
        <v>2297</v>
      </c>
      <c r="B2300" s="89" t="str">
        <f>_xlfn.XLOOKUP(A2300,'Model Modeshare by TAZ'!A:A,'Model Modeshare by TAZ'!B:B)</f>
        <v>Oakland</v>
      </c>
      <c r="C2300" s="90" t="str">
        <f>_xlfn.XLOOKUP(A2300,'Model Modeshare by TAZ'!A:A,'Model Modeshare by TAZ'!D:D)</f>
        <v>NO</v>
      </c>
      <c r="D2300" s="27">
        <v>8651.35</v>
      </c>
      <c r="E2300" s="27">
        <v>460150.04</v>
      </c>
      <c r="F2300" s="27">
        <v>735.7</v>
      </c>
      <c r="G2300" s="27">
        <v>6687.62</v>
      </c>
      <c r="H2300" s="27">
        <v>3613</v>
      </c>
      <c r="I2300" s="27">
        <v>56451.09</v>
      </c>
      <c r="J2300" s="6">
        <v>859</v>
      </c>
      <c r="K2300" s="6">
        <v>2936</v>
      </c>
      <c r="L2300" s="27">
        <v>7.7853550640279394</v>
      </c>
      <c r="M2300" s="27">
        <v>19.227210490463214</v>
      </c>
      <c r="N2300" s="34">
        <v>134.35881949934122</v>
      </c>
    </row>
    <row r="2301" spans="1:14" x14ac:dyDescent="0.35">
      <c r="A2301" s="82">
        <v>2298</v>
      </c>
      <c r="B2301" s="89" t="str">
        <f>_xlfn.XLOOKUP(A2301,'Model Modeshare by TAZ'!A:A,'Model Modeshare by TAZ'!B:B)</f>
        <v>Oakland</v>
      </c>
      <c r="C2301" s="90" t="str">
        <f>_xlfn.XLOOKUP(A2301,'Model Modeshare by TAZ'!A:A,'Model Modeshare by TAZ'!D:D)</f>
        <v>NO</v>
      </c>
      <c r="D2301" s="27">
        <v>2720.97</v>
      </c>
      <c r="E2301" s="27">
        <v>71489</v>
      </c>
      <c r="F2301" s="27">
        <v>70.989999999999995</v>
      </c>
      <c r="G2301" s="27">
        <v>608.34</v>
      </c>
      <c r="H2301" s="27">
        <v>2435.06</v>
      </c>
      <c r="I2301" s="27">
        <v>35036.46</v>
      </c>
      <c r="J2301" s="6">
        <v>115</v>
      </c>
      <c r="K2301" s="6">
        <v>2305</v>
      </c>
      <c r="L2301" s="27">
        <v>5.2899130434782613</v>
      </c>
      <c r="M2301" s="27">
        <v>15.200199566160521</v>
      </c>
      <c r="N2301" s="34">
        <v>31.373491735537193</v>
      </c>
    </row>
    <row r="2302" spans="1:14" x14ac:dyDescent="0.35">
      <c r="A2302" s="82">
        <v>2299</v>
      </c>
      <c r="B2302" s="89" t="str">
        <f>_xlfn.XLOOKUP(A2302,'Model Modeshare by TAZ'!A:A,'Model Modeshare by TAZ'!B:B)</f>
        <v>Oakland</v>
      </c>
      <c r="C2302" s="90" t="str">
        <f>_xlfn.XLOOKUP(A2302,'Model Modeshare by TAZ'!A:A,'Model Modeshare by TAZ'!D:D)</f>
        <v>NO</v>
      </c>
      <c r="D2302" s="27">
        <v>7449.8</v>
      </c>
      <c r="E2302" s="27">
        <v>185117.07</v>
      </c>
      <c r="F2302" s="27">
        <v>750.77</v>
      </c>
      <c r="G2302" s="27">
        <v>6158.09</v>
      </c>
      <c r="H2302" s="27">
        <v>6927</v>
      </c>
      <c r="I2302" s="27">
        <v>107237.74</v>
      </c>
      <c r="J2302" s="6">
        <v>745</v>
      </c>
      <c r="K2302" s="6">
        <v>7940</v>
      </c>
      <c r="L2302" s="27">
        <v>8.2658926174496639</v>
      </c>
      <c r="M2302" s="27">
        <v>13.506012594458438</v>
      </c>
      <c r="N2302" s="34">
        <v>34.085674150834777</v>
      </c>
    </row>
    <row r="2303" spans="1:14" x14ac:dyDescent="0.35">
      <c r="A2303" s="82">
        <v>2300</v>
      </c>
      <c r="B2303" s="89" t="str">
        <f>_xlfn.XLOOKUP(A2303,'Model Modeshare by TAZ'!A:A,'Model Modeshare by TAZ'!B:B)</f>
        <v>Oakland</v>
      </c>
      <c r="C2303" s="90" t="str">
        <f>_xlfn.XLOOKUP(A2303,'Model Modeshare by TAZ'!A:A,'Model Modeshare by TAZ'!D:D)</f>
        <v>NO</v>
      </c>
      <c r="D2303" s="27">
        <v>17919.990000000002</v>
      </c>
      <c r="E2303" s="27">
        <v>449659.11</v>
      </c>
      <c r="F2303" s="27">
        <v>1214.3699999999999</v>
      </c>
      <c r="G2303" s="27">
        <v>10754.91</v>
      </c>
      <c r="H2303" s="27">
        <v>5706.38</v>
      </c>
      <c r="I2303" s="27">
        <v>94637.53</v>
      </c>
      <c r="J2303" s="6">
        <v>3406</v>
      </c>
      <c r="K2303" s="6">
        <v>11181</v>
      </c>
      <c r="L2303" s="27">
        <v>3.1576365237815618</v>
      </c>
      <c r="M2303" s="27">
        <v>8.464138270279939</v>
      </c>
      <c r="N2303" s="34">
        <v>25.303604579420032</v>
      </c>
    </row>
    <row r="2304" spans="1:14" x14ac:dyDescent="0.35">
      <c r="A2304" s="82">
        <v>2301</v>
      </c>
      <c r="B2304" s="89" t="str">
        <f>_xlfn.XLOOKUP(A2304,'Model Modeshare by TAZ'!A:A,'Model Modeshare by TAZ'!B:B)</f>
        <v>Oakland</v>
      </c>
      <c r="C2304" s="90" t="str">
        <f>_xlfn.XLOOKUP(A2304,'Model Modeshare by TAZ'!A:A,'Model Modeshare by TAZ'!D:D)</f>
        <v>NO</v>
      </c>
      <c r="D2304" s="27">
        <v>8509.41</v>
      </c>
      <c r="E2304" s="27">
        <v>209593.33</v>
      </c>
      <c r="F2304" s="27">
        <v>966.69</v>
      </c>
      <c r="G2304" s="27">
        <v>9165.7000000000007</v>
      </c>
      <c r="H2304" s="27">
        <v>11197.63</v>
      </c>
      <c r="I2304" s="27">
        <v>193135.16</v>
      </c>
      <c r="J2304" s="6">
        <v>1732</v>
      </c>
      <c r="K2304" s="6">
        <v>23727</v>
      </c>
      <c r="L2304" s="27">
        <v>5.2919745958429569</v>
      </c>
      <c r="M2304" s="27">
        <v>8.1398895772748343</v>
      </c>
      <c r="N2304" s="34">
        <v>24.232784084213833</v>
      </c>
    </row>
    <row r="2305" spans="1:14" x14ac:dyDescent="0.35">
      <c r="A2305" s="82">
        <v>2302</v>
      </c>
      <c r="B2305" s="89" t="str">
        <f>_xlfn.XLOOKUP(A2305,'Model Modeshare by TAZ'!A:A,'Model Modeshare by TAZ'!B:B)</f>
        <v>Oakland</v>
      </c>
      <c r="C2305" s="90" t="str">
        <f>_xlfn.XLOOKUP(A2305,'Model Modeshare by TAZ'!A:A,'Model Modeshare by TAZ'!D:D)</f>
        <v>NO</v>
      </c>
      <c r="D2305" s="27">
        <v>9859.2199999999993</v>
      </c>
      <c r="E2305" s="27">
        <v>226591.28</v>
      </c>
      <c r="F2305" s="27">
        <v>1807.94</v>
      </c>
      <c r="G2305" s="27">
        <v>15888.63</v>
      </c>
      <c r="H2305" s="27">
        <v>8051.4</v>
      </c>
      <c r="I2305" s="27">
        <v>133665.37</v>
      </c>
      <c r="J2305" s="6">
        <v>3926</v>
      </c>
      <c r="K2305" s="6">
        <v>14150</v>
      </c>
      <c r="L2305" s="27">
        <v>4.0470275089149261</v>
      </c>
      <c r="M2305" s="27">
        <v>9.4463159010600695</v>
      </c>
      <c r="N2305" s="34">
        <v>24.283556649701261</v>
      </c>
    </row>
    <row r="2306" spans="1:14" x14ac:dyDescent="0.35">
      <c r="A2306" s="82">
        <v>2303</v>
      </c>
      <c r="B2306" s="89" t="str">
        <f>_xlfn.XLOOKUP(A2306,'Model Modeshare by TAZ'!A:A,'Model Modeshare by TAZ'!B:B)</f>
        <v>Oakland</v>
      </c>
      <c r="C2306" s="90" t="str">
        <f>_xlfn.XLOOKUP(A2306,'Model Modeshare by TAZ'!A:A,'Model Modeshare by TAZ'!D:D)</f>
        <v>NO</v>
      </c>
      <c r="D2306" s="27">
        <v>18558.41</v>
      </c>
      <c r="E2306" s="27">
        <v>459522.86</v>
      </c>
      <c r="F2306" s="27">
        <v>963.44</v>
      </c>
      <c r="G2306" s="27">
        <v>8138.93</v>
      </c>
      <c r="H2306" s="27">
        <v>13238.84</v>
      </c>
      <c r="I2306" s="27">
        <v>218562.14</v>
      </c>
      <c r="J2306" s="6">
        <v>1760</v>
      </c>
      <c r="K2306" s="6">
        <v>27759</v>
      </c>
      <c r="L2306" s="27">
        <v>4.6243920454545453</v>
      </c>
      <c r="M2306" s="27">
        <v>7.8735595662667972</v>
      </c>
      <c r="N2306" s="34">
        <v>23.544449337714692</v>
      </c>
    </row>
    <row r="2307" spans="1:14" x14ac:dyDescent="0.35">
      <c r="A2307" s="82">
        <v>2304</v>
      </c>
      <c r="B2307" s="89" t="str">
        <f>_xlfn.XLOOKUP(A2307,'Model Modeshare by TAZ'!A:A,'Model Modeshare by TAZ'!B:B)</f>
        <v>Oakland</v>
      </c>
      <c r="C2307" s="90" t="str">
        <f>_xlfn.XLOOKUP(A2307,'Model Modeshare by TAZ'!A:A,'Model Modeshare by TAZ'!D:D)</f>
        <v>NO</v>
      </c>
      <c r="D2307" s="27">
        <v>11698.55</v>
      </c>
      <c r="E2307" s="27">
        <v>221630.07999999999</v>
      </c>
      <c r="F2307" s="27">
        <v>5993.27</v>
      </c>
      <c r="G2307" s="27">
        <v>49321.18</v>
      </c>
      <c r="H2307" s="27">
        <v>2801.29</v>
      </c>
      <c r="I2307" s="27">
        <v>39023.980000000003</v>
      </c>
      <c r="J2307" s="6">
        <v>6724</v>
      </c>
      <c r="K2307" s="6">
        <v>2834</v>
      </c>
      <c r="L2307" s="27">
        <v>7.3350951814396197</v>
      </c>
      <c r="M2307" s="27">
        <v>13.769929428369796</v>
      </c>
      <c r="N2307" s="34">
        <v>24.261161330822347</v>
      </c>
    </row>
    <row r="2308" spans="1:14" x14ac:dyDescent="0.35">
      <c r="A2308" s="82">
        <v>2305</v>
      </c>
      <c r="B2308" s="89" t="str">
        <f>_xlfn.XLOOKUP(A2308,'Model Modeshare by TAZ'!A:A,'Model Modeshare by TAZ'!B:B)</f>
        <v>Oakland</v>
      </c>
      <c r="C2308" s="90" t="str">
        <f>_xlfn.XLOOKUP(A2308,'Model Modeshare by TAZ'!A:A,'Model Modeshare by TAZ'!D:D)</f>
        <v>NO</v>
      </c>
      <c r="D2308" s="27">
        <v>9450.0400000000009</v>
      </c>
      <c r="E2308" s="27">
        <v>175312.07</v>
      </c>
      <c r="F2308" s="27">
        <v>3176.19</v>
      </c>
      <c r="G2308" s="27">
        <v>24292.12</v>
      </c>
      <c r="H2308" s="27">
        <v>2750.81</v>
      </c>
      <c r="I2308" s="27">
        <v>36318.03</v>
      </c>
      <c r="J2308" s="6">
        <v>2930</v>
      </c>
      <c r="K2308" s="6">
        <v>2847</v>
      </c>
      <c r="L2308" s="27">
        <v>8.2908259385665524</v>
      </c>
      <c r="M2308" s="27">
        <v>12.756596417281349</v>
      </c>
      <c r="N2308" s="34">
        <v>25.144453868790031</v>
      </c>
    </row>
    <row r="2309" spans="1:14" x14ac:dyDescent="0.35">
      <c r="A2309" s="82">
        <v>2306</v>
      </c>
      <c r="B2309" s="89" t="str">
        <f>_xlfn.XLOOKUP(A2309,'Model Modeshare by TAZ'!A:A,'Model Modeshare by TAZ'!B:B)</f>
        <v>Oakland</v>
      </c>
      <c r="C2309" s="90" t="str">
        <f>_xlfn.XLOOKUP(A2309,'Model Modeshare by TAZ'!A:A,'Model Modeshare by TAZ'!D:D)</f>
        <v>NO</v>
      </c>
      <c r="D2309" s="27">
        <v>13703.11</v>
      </c>
      <c r="E2309" s="27">
        <v>233374.61</v>
      </c>
      <c r="F2309" s="27">
        <v>6425.13</v>
      </c>
      <c r="G2309" s="27">
        <v>49802.26</v>
      </c>
      <c r="H2309" s="27">
        <v>2318.27</v>
      </c>
      <c r="I2309" s="27">
        <v>29334.240000000002</v>
      </c>
      <c r="J2309" s="6">
        <v>5377</v>
      </c>
      <c r="K2309" s="6">
        <v>1963</v>
      </c>
      <c r="L2309" s="27">
        <v>9.2620903849730336</v>
      </c>
      <c r="M2309" s="27">
        <v>14.943576158940399</v>
      </c>
      <c r="N2309" s="34">
        <v>23.884840599455043</v>
      </c>
    </row>
    <row r="2310" spans="1:14" x14ac:dyDescent="0.35">
      <c r="A2310" s="82">
        <v>2307</v>
      </c>
      <c r="B2310" s="89" t="str">
        <f>_xlfn.XLOOKUP(A2310,'Model Modeshare by TAZ'!A:A,'Model Modeshare by TAZ'!B:B)</f>
        <v>Oakland</v>
      </c>
      <c r="C2310" s="90" t="str">
        <f>_xlfn.XLOOKUP(A2310,'Model Modeshare by TAZ'!A:A,'Model Modeshare by TAZ'!D:D)</f>
        <v>NO</v>
      </c>
      <c r="D2310" s="27">
        <v>5378.29</v>
      </c>
      <c r="E2310" s="27">
        <v>86018.92</v>
      </c>
      <c r="F2310" s="27">
        <v>3209.23</v>
      </c>
      <c r="G2310" s="27">
        <v>22945.47</v>
      </c>
      <c r="H2310" s="27">
        <v>1321.81</v>
      </c>
      <c r="I2310" s="27">
        <v>16586.14</v>
      </c>
      <c r="J2310" s="6">
        <v>2629</v>
      </c>
      <c r="K2310" s="6">
        <v>1326</v>
      </c>
      <c r="L2310" s="27">
        <v>8.7278318752377331</v>
      </c>
      <c r="M2310" s="27">
        <v>12.508401206636501</v>
      </c>
      <c r="N2310" s="34">
        <v>24.453155499367888</v>
      </c>
    </row>
    <row r="2311" spans="1:14" x14ac:dyDescent="0.35">
      <c r="A2311" s="82">
        <v>2308</v>
      </c>
      <c r="B2311" s="89" t="str">
        <f>_xlfn.XLOOKUP(A2311,'Model Modeshare by TAZ'!A:A,'Model Modeshare by TAZ'!B:B)</f>
        <v>Oakland</v>
      </c>
      <c r="C2311" s="90" t="str">
        <f>_xlfn.XLOOKUP(A2311,'Model Modeshare by TAZ'!A:A,'Model Modeshare by TAZ'!D:D)</f>
        <v>NO</v>
      </c>
      <c r="D2311" s="27">
        <v>8707.2999999999993</v>
      </c>
      <c r="E2311" s="27">
        <v>133376.98000000001</v>
      </c>
      <c r="F2311" s="27">
        <v>4066.86</v>
      </c>
      <c r="G2311" s="27">
        <v>30239.18</v>
      </c>
      <c r="H2311" s="27">
        <v>1334.28</v>
      </c>
      <c r="I2311" s="27">
        <v>17006.7</v>
      </c>
      <c r="J2311" s="6">
        <v>4770</v>
      </c>
      <c r="K2311" s="6">
        <v>1084</v>
      </c>
      <c r="L2311" s="27">
        <v>6.3394507337526207</v>
      </c>
      <c r="M2311" s="27">
        <v>15.688837638376384</v>
      </c>
      <c r="N2311" s="34">
        <v>17.73387598223437</v>
      </c>
    </row>
    <row r="2312" spans="1:14" x14ac:dyDescent="0.35">
      <c r="A2312" s="82">
        <v>2309</v>
      </c>
      <c r="B2312" s="89" t="str">
        <f>_xlfn.XLOOKUP(A2312,'Model Modeshare by TAZ'!A:A,'Model Modeshare by TAZ'!B:B)</f>
        <v>Oakland</v>
      </c>
      <c r="C2312" s="90" t="str">
        <f>_xlfn.XLOOKUP(A2312,'Model Modeshare by TAZ'!A:A,'Model Modeshare by TAZ'!D:D)</f>
        <v>NO</v>
      </c>
      <c r="D2312" s="27">
        <v>11725.05</v>
      </c>
      <c r="E2312" s="27">
        <v>205550.47</v>
      </c>
      <c r="F2312" s="27">
        <v>5751.82</v>
      </c>
      <c r="G2312" s="27">
        <v>38965.769999999997</v>
      </c>
      <c r="H2312" s="27">
        <v>2195.1799999999998</v>
      </c>
      <c r="I2312" s="27">
        <v>29018.81</v>
      </c>
      <c r="J2312" s="6">
        <v>6429</v>
      </c>
      <c r="K2312" s="6">
        <v>2177</v>
      </c>
      <c r="L2312" s="27">
        <v>6.0609379374708352</v>
      </c>
      <c r="M2312" s="27">
        <v>13.329724391364264</v>
      </c>
      <c r="N2312" s="34">
        <v>15.63190332326284</v>
      </c>
    </row>
    <row r="2313" spans="1:14" x14ac:dyDescent="0.35">
      <c r="A2313" s="82">
        <v>2310</v>
      </c>
      <c r="B2313" s="89" t="str">
        <f>_xlfn.XLOOKUP(A2313,'Model Modeshare by TAZ'!A:A,'Model Modeshare by TAZ'!B:B)</f>
        <v>Oakland</v>
      </c>
      <c r="C2313" s="90" t="str">
        <f>_xlfn.XLOOKUP(A2313,'Model Modeshare by TAZ'!A:A,'Model Modeshare by TAZ'!D:D)</f>
        <v>NO</v>
      </c>
      <c r="D2313" s="27">
        <v>4863.62</v>
      </c>
      <c r="E2313" s="27">
        <v>77908.44</v>
      </c>
      <c r="F2313" s="27">
        <v>3421.13</v>
      </c>
      <c r="G2313" s="27">
        <v>23892</v>
      </c>
      <c r="H2313" s="27">
        <v>1006.01</v>
      </c>
      <c r="I2313" s="27">
        <v>12807.04</v>
      </c>
      <c r="J2313" s="6">
        <v>4657</v>
      </c>
      <c r="K2313" s="6">
        <v>642</v>
      </c>
      <c r="L2313" s="27">
        <v>5.1303414215159977</v>
      </c>
      <c r="M2313" s="27">
        <v>19.948660436137072</v>
      </c>
      <c r="N2313" s="34">
        <v>14.629615021702209</v>
      </c>
    </row>
    <row r="2314" spans="1:14" x14ac:dyDescent="0.35">
      <c r="A2314" s="82">
        <v>2311</v>
      </c>
      <c r="B2314" s="89" t="str">
        <f>_xlfn.XLOOKUP(A2314,'Model Modeshare by TAZ'!A:A,'Model Modeshare by TAZ'!B:B)</f>
        <v>Oakland</v>
      </c>
      <c r="C2314" s="90" t="str">
        <f>_xlfn.XLOOKUP(A2314,'Model Modeshare by TAZ'!A:A,'Model Modeshare by TAZ'!D:D)</f>
        <v>NO</v>
      </c>
      <c r="D2314" s="27">
        <v>15256.31</v>
      </c>
      <c r="E2314" s="27">
        <v>329529.34000000003</v>
      </c>
      <c r="F2314" s="27">
        <v>2756.94</v>
      </c>
      <c r="G2314" s="27">
        <v>21664.34</v>
      </c>
      <c r="H2314" s="27">
        <v>5308.46</v>
      </c>
      <c r="I2314" s="27">
        <v>76174.490000000005</v>
      </c>
      <c r="J2314" s="6">
        <v>3617</v>
      </c>
      <c r="K2314" s="6">
        <v>5397</v>
      </c>
      <c r="L2314" s="27">
        <v>5.9895880564003319</v>
      </c>
      <c r="M2314" s="27">
        <v>14.114228274967575</v>
      </c>
      <c r="N2314" s="34">
        <v>26.87107388506767</v>
      </c>
    </row>
    <row r="2315" spans="1:14" x14ac:dyDescent="0.35">
      <c r="A2315" s="82">
        <v>2312</v>
      </c>
      <c r="B2315" s="89" t="str">
        <f>_xlfn.XLOOKUP(A2315,'Model Modeshare by TAZ'!A:A,'Model Modeshare by TAZ'!B:B)</f>
        <v>Oakland</v>
      </c>
      <c r="C2315" s="90" t="str">
        <f>_xlfn.XLOOKUP(A2315,'Model Modeshare by TAZ'!A:A,'Model Modeshare by TAZ'!D:D)</f>
        <v>NO</v>
      </c>
      <c r="D2315" s="27">
        <v>1603.35</v>
      </c>
      <c r="E2315" s="27">
        <v>26466.3</v>
      </c>
      <c r="F2315" s="27">
        <v>1436.69</v>
      </c>
      <c r="G2315" s="27">
        <v>9959.11</v>
      </c>
      <c r="H2315" s="27">
        <v>764.6</v>
      </c>
      <c r="I2315" s="27">
        <v>10298.49</v>
      </c>
      <c r="J2315" s="6">
        <v>1850</v>
      </c>
      <c r="K2315" s="6">
        <v>828</v>
      </c>
      <c r="L2315" s="27">
        <v>5.3833027027027027</v>
      </c>
      <c r="M2315" s="27">
        <v>12.437789855072463</v>
      </c>
      <c r="N2315" s="34">
        <v>16.535843913368183</v>
      </c>
    </row>
    <row r="2316" spans="1:14" x14ac:dyDescent="0.35">
      <c r="A2316" s="82">
        <v>2313</v>
      </c>
      <c r="B2316" s="89" t="str">
        <f>_xlfn.XLOOKUP(A2316,'Model Modeshare by TAZ'!A:A,'Model Modeshare by TAZ'!B:B)</f>
        <v>Oakland</v>
      </c>
      <c r="C2316" s="90" t="str">
        <f>_xlfn.XLOOKUP(A2316,'Model Modeshare by TAZ'!A:A,'Model Modeshare by TAZ'!D:D)</f>
        <v>NO</v>
      </c>
      <c r="D2316" s="27">
        <v>1967.27</v>
      </c>
      <c r="E2316" s="27">
        <v>42274.68</v>
      </c>
      <c r="F2316" s="27">
        <v>983.09</v>
      </c>
      <c r="G2316" s="27">
        <v>8424.7199999999993</v>
      </c>
      <c r="H2316" s="27">
        <v>713.18</v>
      </c>
      <c r="I2316" s="27">
        <v>10225.65</v>
      </c>
      <c r="J2316" s="6">
        <v>1363</v>
      </c>
      <c r="K2316" s="6">
        <v>779</v>
      </c>
      <c r="L2316" s="27">
        <v>6.1810124724871605</v>
      </c>
      <c r="M2316" s="27">
        <v>13.126636713735557</v>
      </c>
      <c r="N2316" s="34">
        <v>21.209617180205417</v>
      </c>
    </row>
    <row r="2317" spans="1:14" x14ac:dyDescent="0.35">
      <c r="A2317" s="82">
        <v>2314</v>
      </c>
      <c r="B2317" s="89" t="str">
        <f>_xlfn.XLOOKUP(A2317,'Model Modeshare by TAZ'!A:A,'Model Modeshare by TAZ'!B:B)</f>
        <v>Oakland</v>
      </c>
      <c r="C2317" s="90" t="str">
        <f>_xlfn.XLOOKUP(A2317,'Model Modeshare by TAZ'!A:A,'Model Modeshare by TAZ'!D:D)</f>
        <v>NO</v>
      </c>
      <c r="D2317" s="27">
        <v>2011.21</v>
      </c>
      <c r="E2317" s="27">
        <v>36778.199999999997</v>
      </c>
      <c r="F2317" s="27">
        <v>1424.23</v>
      </c>
      <c r="G2317" s="27">
        <v>11839.87</v>
      </c>
      <c r="H2317" s="27">
        <v>527.01</v>
      </c>
      <c r="I2317" s="27">
        <v>7446.55</v>
      </c>
      <c r="J2317" s="6">
        <v>2019</v>
      </c>
      <c r="K2317" s="6">
        <v>489</v>
      </c>
      <c r="L2317" s="27">
        <v>5.8642248637939582</v>
      </c>
      <c r="M2317" s="27">
        <v>15.228118609406954</v>
      </c>
      <c r="N2317" s="34">
        <v>16.726921850079744</v>
      </c>
    </row>
    <row r="2318" spans="1:14" x14ac:dyDescent="0.35">
      <c r="A2318" s="82">
        <v>2315</v>
      </c>
      <c r="B2318" s="89" t="str">
        <f>_xlfn.XLOOKUP(A2318,'Model Modeshare by TAZ'!A:A,'Model Modeshare by TAZ'!B:B)</f>
        <v>Oakland</v>
      </c>
      <c r="C2318" s="90" t="str">
        <f>_xlfn.XLOOKUP(A2318,'Model Modeshare by TAZ'!A:A,'Model Modeshare by TAZ'!D:D)</f>
        <v>NO</v>
      </c>
      <c r="D2318" s="27">
        <v>2940.5</v>
      </c>
      <c r="E2318" s="27">
        <v>50022.79</v>
      </c>
      <c r="F2318" s="27">
        <v>1797.34</v>
      </c>
      <c r="G2318" s="27">
        <v>13885.1</v>
      </c>
      <c r="H2318" s="27">
        <v>539.20000000000005</v>
      </c>
      <c r="I2318" s="27">
        <v>7436.65</v>
      </c>
      <c r="J2318" s="6">
        <v>2688</v>
      </c>
      <c r="K2318" s="6">
        <v>409</v>
      </c>
      <c r="L2318" s="27">
        <v>5.1655877976190476</v>
      </c>
      <c r="M2318" s="27">
        <v>18.182518337408311</v>
      </c>
      <c r="N2318" s="34">
        <v>16.91963835970294</v>
      </c>
    </row>
    <row r="2319" spans="1:14" x14ac:dyDescent="0.35">
      <c r="A2319" s="82">
        <v>2316</v>
      </c>
      <c r="B2319" s="89" t="str">
        <f>_xlfn.XLOOKUP(A2319,'Model Modeshare by TAZ'!A:A,'Model Modeshare by TAZ'!B:B)</f>
        <v>Oakland</v>
      </c>
      <c r="C2319" s="90" t="str">
        <f>_xlfn.XLOOKUP(A2319,'Model Modeshare by TAZ'!A:A,'Model Modeshare by TAZ'!D:D)</f>
        <v>NO</v>
      </c>
      <c r="D2319" s="27">
        <v>1145.57</v>
      </c>
      <c r="E2319" s="27">
        <v>25714.34</v>
      </c>
      <c r="F2319" s="27">
        <v>462.4</v>
      </c>
      <c r="G2319" s="27">
        <v>3748.14</v>
      </c>
      <c r="H2319" s="27">
        <v>830.72</v>
      </c>
      <c r="I2319" s="27">
        <v>11978.24</v>
      </c>
      <c r="J2319" s="6">
        <v>496</v>
      </c>
      <c r="K2319" s="6">
        <v>734</v>
      </c>
      <c r="L2319" s="27">
        <v>7.5567338709677419</v>
      </c>
      <c r="M2319" s="27">
        <v>16.319128065395095</v>
      </c>
      <c r="N2319" s="34">
        <v>24.827032520325204</v>
      </c>
    </row>
    <row r="2320" spans="1:14" x14ac:dyDescent="0.35">
      <c r="A2320" s="82">
        <v>2317</v>
      </c>
      <c r="B2320" s="89" t="str">
        <f>_xlfn.XLOOKUP(A2320,'Model Modeshare by TAZ'!A:A,'Model Modeshare by TAZ'!B:B)</f>
        <v>Oakland</v>
      </c>
      <c r="C2320" s="90" t="str">
        <f>_xlfn.XLOOKUP(A2320,'Model Modeshare by TAZ'!A:A,'Model Modeshare by TAZ'!D:D)</f>
        <v>NO</v>
      </c>
      <c r="D2320" s="27">
        <v>4432.9799999999996</v>
      </c>
      <c r="E2320" s="27">
        <v>52970.48</v>
      </c>
      <c r="F2320" s="27">
        <v>1247.06</v>
      </c>
      <c r="G2320" s="27">
        <v>10382.56</v>
      </c>
      <c r="H2320" s="27">
        <v>386.88</v>
      </c>
      <c r="I2320" s="27">
        <v>5543.33</v>
      </c>
      <c r="J2320" s="6">
        <v>2055</v>
      </c>
      <c r="K2320" s="6">
        <v>308</v>
      </c>
      <c r="L2320" s="27">
        <v>5.0523406326034062</v>
      </c>
      <c r="M2320" s="27">
        <v>17.997824675324676</v>
      </c>
      <c r="N2320" s="34">
        <v>20.547101142615322</v>
      </c>
    </row>
    <row r="2321" spans="1:14" x14ac:dyDescent="0.35">
      <c r="A2321" s="82">
        <v>2318</v>
      </c>
      <c r="B2321" s="89" t="str">
        <f>_xlfn.XLOOKUP(A2321,'Model Modeshare by TAZ'!A:A,'Model Modeshare by TAZ'!B:B)</f>
        <v>Oakland</v>
      </c>
      <c r="C2321" s="90" t="str">
        <f>_xlfn.XLOOKUP(A2321,'Model Modeshare by TAZ'!A:A,'Model Modeshare by TAZ'!D:D)</f>
        <v>NO</v>
      </c>
      <c r="D2321" s="27">
        <v>2197.67</v>
      </c>
      <c r="E2321" s="27">
        <v>39127.1</v>
      </c>
      <c r="F2321" s="27">
        <v>1462.16</v>
      </c>
      <c r="G2321" s="27">
        <v>11781.32</v>
      </c>
      <c r="H2321" s="27">
        <v>434.34</v>
      </c>
      <c r="I2321" s="27">
        <v>5938.36</v>
      </c>
      <c r="J2321" s="6">
        <v>2000</v>
      </c>
      <c r="K2321" s="6">
        <v>266</v>
      </c>
      <c r="L2321" s="27">
        <v>5.8906599999999996</v>
      </c>
      <c r="M2321" s="27">
        <v>22.324661654135337</v>
      </c>
      <c r="N2321" s="34">
        <v>15.362255075022066</v>
      </c>
    </row>
    <row r="2322" spans="1:14" x14ac:dyDescent="0.35">
      <c r="A2322" s="82">
        <v>2319</v>
      </c>
      <c r="B2322" s="89" t="str">
        <f>_xlfn.XLOOKUP(A2322,'Model Modeshare by TAZ'!A:A,'Model Modeshare by TAZ'!B:B)</f>
        <v>Oakland</v>
      </c>
      <c r="C2322" s="90" t="str">
        <f>_xlfn.XLOOKUP(A2322,'Model Modeshare by TAZ'!A:A,'Model Modeshare by TAZ'!D:D)</f>
        <v>NO</v>
      </c>
      <c r="D2322" s="27">
        <v>2198.1799999999998</v>
      </c>
      <c r="E2322" s="27">
        <v>40312.44</v>
      </c>
      <c r="F2322" s="27">
        <v>1652.29</v>
      </c>
      <c r="G2322" s="27">
        <v>14082.98</v>
      </c>
      <c r="H2322" s="27">
        <v>329.08</v>
      </c>
      <c r="I2322" s="27">
        <v>4713.1899999999996</v>
      </c>
      <c r="J2322" s="6">
        <v>1949</v>
      </c>
      <c r="K2322" s="6">
        <v>205</v>
      </c>
      <c r="L2322" s="27">
        <v>7.2257465366854792</v>
      </c>
      <c r="M2322" s="27">
        <v>22.991170731707314</v>
      </c>
      <c r="N2322" s="34">
        <v>17.698584029712162</v>
      </c>
    </row>
    <row r="2323" spans="1:14" x14ac:dyDescent="0.35">
      <c r="A2323" s="82">
        <v>2320</v>
      </c>
      <c r="B2323" s="89" t="str">
        <f>_xlfn.XLOOKUP(A2323,'Model Modeshare by TAZ'!A:A,'Model Modeshare by TAZ'!B:B)</f>
        <v>Oakland</v>
      </c>
      <c r="C2323" s="90" t="str">
        <f>_xlfn.XLOOKUP(A2323,'Model Modeshare by TAZ'!A:A,'Model Modeshare by TAZ'!D:D)</f>
        <v>NO</v>
      </c>
      <c r="D2323" s="27">
        <v>8273.67</v>
      </c>
      <c r="E2323" s="27">
        <v>183004.97</v>
      </c>
      <c r="F2323" s="27">
        <v>4242.84</v>
      </c>
      <c r="G2323" s="27">
        <v>35033.199999999997</v>
      </c>
      <c r="H2323" s="27">
        <v>4246.03</v>
      </c>
      <c r="I2323" s="27">
        <v>62055.33</v>
      </c>
      <c r="J2323" s="6">
        <v>3155</v>
      </c>
      <c r="K2323" s="6">
        <v>3637</v>
      </c>
      <c r="L2323" s="27">
        <v>11.104025356576861</v>
      </c>
      <c r="M2323" s="27">
        <v>17.06222985977454</v>
      </c>
      <c r="N2323" s="34">
        <v>28.991451707891638</v>
      </c>
    </row>
    <row r="2324" spans="1:14" x14ac:dyDescent="0.35">
      <c r="A2324" s="82">
        <v>2321</v>
      </c>
      <c r="B2324" s="89" t="str">
        <f>_xlfn.XLOOKUP(A2324,'Model Modeshare by TAZ'!A:A,'Model Modeshare by TAZ'!B:B)</f>
        <v>Oakland</v>
      </c>
      <c r="C2324" s="90" t="str">
        <f>_xlfn.XLOOKUP(A2324,'Model Modeshare by TAZ'!A:A,'Model Modeshare by TAZ'!D:D)</f>
        <v>NO</v>
      </c>
      <c r="D2324" s="27">
        <v>3919.73</v>
      </c>
      <c r="E2324" s="27">
        <v>69760.13</v>
      </c>
      <c r="F2324" s="27">
        <v>2232.16</v>
      </c>
      <c r="G2324" s="27">
        <v>15847.61</v>
      </c>
      <c r="H2324" s="27">
        <v>1097.28</v>
      </c>
      <c r="I2324" s="27">
        <v>14475.95</v>
      </c>
      <c r="J2324" s="6">
        <v>2543</v>
      </c>
      <c r="K2324" s="6">
        <v>1050</v>
      </c>
      <c r="L2324" s="27">
        <v>6.2318560755013763</v>
      </c>
      <c r="M2324" s="27">
        <v>13.786619047619048</v>
      </c>
      <c r="N2324" s="34">
        <v>17.733762872251603</v>
      </c>
    </row>
    <row r="2325" spans="1:14" x14ac:dyDescent="0.35">
      <c r="A2325" s="82">
        <v>2322</v>
      </c>
      <c r="B2325" s="89" t="str">
        <f>_xlfn.XLOOKUP(A2325,'Model Modeshare by TAZ'!A:A,'Model Modeshare by TAZ'!B:B)</f>
        <v>Oakland</v>
      </c>
      <c r="C2325" s="90" t="str">
        <f>_xlfn.XLOOKUP(A2325,'Model Modeshare by TAZ'!A:A,'Model Modeshare by TAZ'!D:D)</f>
        <v>NO</v>
      </c>
      <c r="D2325" s="27">
        <v>3123.42</v>
      </c>
      <c r="E2325" s="27">
        <v>54145.15</v>
      </c>
      <c r="F2325" s="27">
        <v>2069.86</v>
      </c>
      <c r="G2325" s="27">
        <v>14174.57</v>
      </c>
      <c r="H2325" s="27">
        <v>621.67999999999995</v>
      </c>
      <c r="I2325" s="27">
        <v>8334.81</v>
      </c>
      <c r="J2325" s="6">
        <v>2753</v>
      </c>
      <c r="K2325" s="6">
        <v>570</v>
      </c>
      <c r="L2325" s="27">
        <v>5.1487722484562291</v>
      </c>
      <c r="M2325" s="27">
        <v>14.622473684210526</v>
      </c>
      <c r="N2325" s="34">
        <v>14.476629551609991</v>
      </c>
    </row>
    <row r="2326" spans="1:14" x14ac:dyDescent="0.35">
      <c r="A2326" s="82">
        <v>2323</v>
      </c>
      <c r="B2326" s="89" t="str">
        <f>_xlfn.XLOOKUP(A2326,'Model Modeshare by TAZ'!A:A,'Model Modeshare by TAZ'!B:B)</f>
        <v>Emeryville</v>
      </c>
      <c r="C2326" s="90" t="str">
        <f>_xlfn.XLOOKUP(A2326,'Model Modeshare by TAZ'!A:A,'Model Modeshare by TAZ'!D:D)</f>
        <v>NO</v>
      </c>
      <c r="D2326" s="27">
        <v>44062.81</v>
      </c>
      <c r="E2326" s="27">
        <v>971055.89</v>
      </c>
      <c r="F2326" s="27">
        <v>14523.68</v>
      </c>
      <c r="G2326" s="27">
        <v>126972.05</v>
      </c>
      <c r="H2326" s="27">
        <v>17655.2</v>
      </c>
      <c r="I2326" s="27">
        <v>245576.43</v>
      </c>
      <c r="J2326" s="6">
        <v>11813</v>
      </c>
      <c r="K2326" s="6">
        <v>17995</v>
      </c>
      <c r="L2326" s="27">
        <v>10.74850165072378</v>
      </c>
      <c r="M2326" s="27">
        <v>13.646925812725756</v>
      </c>
      <c r="N2326" s="34">
        <v>30.148019323671498</v>
      </c>
    </row>
    <row r="2327" spans="1:14" x14ac:dyDescent="0.35">
      <c r="A2327" s="82">
        <v>2324</v>
      </c>
      <c r="B2327" s="89" t="str">
        <f>_xlfn.XLOOKUP(A2327,'Model Modeshare by TAZ'!A:A,'Model Modeshare by TAZ'!B:B)</f>
        <v>Oakland</v>
      </c>
      <c r="C2327" s="90" t="str">
        <f>_xlfn.XLOOKUP(A2327,'Model Modeshare by TAZ'!A:A,'Model Modeshare by TAZ'!D:D)</f>
        <v>NO</v>
      </c>
      <c r="D2327" s="27">
        <v>3505.9</v>
      </c>
      <c r="E2327" s="27">
        <v>53108.91</v>
      </c>
      <c r="F2327" s="27">
        <v>2386.87</v>
      </c>
      <c r="G2327" s="27">
        <v>15606.53</v>
      </c>
      <c r="H2327" s="27">
        <v>472.97</v>
      </c>
      <c r="I2327" s="27">
        <v>5353.03</v>
      </c>
      <c r="J2327" s="6">
        <v>2329</v>
      </c>
      <c r="K2327" s="6">
        <v>293</v>
      </c>
      <c r="L2327" s="27">
        <v>6.7009574924860456</v>
      </c>
      <c r="M2327" s="27">
        <v>18.269726962457337</v>
      </c>
      <c r="N2327" s="34">
        <v>15.640133485888635</v>
      </c>
    </row>
    <row r="2328" spans="1:14" x14ac:dyDescent="0.35">
      <c r="A2328" s="82">
        <v>2325</v>
      </c>
      <c r="B2328" s="89" t="str">
        <f>_xlfn.XLOOKUP(A2328,'Model Modeshare by TAZ'!A:A,'Model Modeshare by TAZ'!B:B)</f>
        <v>Oakland</v>
      </c>
      <c r="C2328" s="90" t="str">
        <f>_xlfn.XLOOKUP(A2328,'Model Modeshare by TAZ'!A:A,'Model Modeshare by TAZ'!D:D)</f>
        <v>NO</v>
      </c>
      <c r="D2328" s="27">
        <v>5977.26</v>
      </c>
      <c r="E2328" s="27">
        <v>93556.05</v>
      </c>
      <c r="F2328" s="27">
        <v>3583.3</v>
      </c>
      <c r="G2328" s="27">
        <v>23084.65</v>
      </c>
      <c r="H2328" s="27">
        <v>1293.05</v>
      </c>
      <c r="I2328" s="27">
        <v>15784.36</v>
      </c>
      <c r="J2328" s="6">
        <v>3629</v>
      </c>
      <c r="K2328" s="6">
        <v>992</v>
      </c>
      <c r="L2328" s="27">
        <v>6.3611600992008821</v>
      </c>
      <c r="M2328" s="27">
        <v>15.911653225806452</v>
      </c>
      <c r="N2328" s="34">
        <v>17.500348409435187</v>
      </c>
    </row>
    <row r="2329" spans="1:14" x14ac:dyDescent="0.35">
      <c r="A2329" s="82">
        <v>2326</v>
      </c>
      <c r="B2329" s="89" t="str">
        <f>_xlfn.XLOOKUP(A2329,'Model Modeshare by TAZ'!A:A,'Model Modeshare by TAZ'!B:B)</f>
        <v>Berkeley</v>
      </c>
      <c r="C2329" s="90" t="str">
        <f>_xlfn.XLOOKUP(A2329,'Model Modeshare by TAZ'!A:A,'Model Modeshare by TAZ'!D:D)</f>
        <v>NO</v>
      </c>
      <c r="D2329" s="27">
        <v>2324.9899999999998</v>
      </c>
      <c r="E2329" s="27">
        <v>29851.4</v>
      </c>
      <c r="F2329" s="27">
        <v>2071.5</v>
      </c>
      <c r="G2329" s="27">
        <v>12230.87</v>
      </c>
      <c r="H2329" s="27">
        <v>130.69</v>
      </c>
      <c r="I2329" s="27">
        <v>1376.07</v>
      </c>
      <c r="J2329" s="6">
        <v>2289</v>
      </c>
      <c r="K2329" s="6">
        <v>81</v>
      </c>
      <c r="L2329" s="27">
        <v>5.3433245958934039</v>
      </c>
      <c r="M2329" s="27">
        <v>16.988518518518518</v>
      </c>
      <c r="N2329" s="34">
        <v>11.510767932489452</v>
      </c>
    </row>
    <row r="2330" spans="1:14" x14ac:dyDescent="0.35">
      <c r="A2330" s="82">
        <v>2327</v>
      </c>
      <c r="B2330" s="89" t="str">
        <f>_xlfn.XLOOKUP(A2330,'Model Modeshare by TAZ'!A:A,'Model Modeshare by TAZ'!B:B)</f>
        <v>Berkeley</v>
      </c>
      <c r="C2330" s="90" t="str">
        <f>_xlfn.XLOOKUP(A2330,'Model Modeshare by TAZ'!A:A,'Model Modeshare by TAZ'!D:D)</f>
        <v>NO</v>
      </c>
      <c r="D2330" s="27">
        <v>4675.67</v>
      </c>
      <c r="E2330" s="27">
        <v>66494.789999999994</v>
      </c>
      <c r="F2330" s="27">
        <v>3582.32</v>
      </c>
      <c r="G2330" s="27">
        <v>23596.94</v>
      </c>
      <c r="H2330" s="27">
        <v>888.72</v>
      </c>
      <c r="I2330" s="27">
        <v>10360.57</v>
      </c>
      <c r="J2330" s="6">
        <v>3731</v>
      </c>
      <c r="K2330" s="6">
        <v>635</v>
      </c>
      <c r="L2330" s="27">
        <v>6.3245617796837301</v>
      </c>
      <c r="M2330" s="27">
        <v>16.315858267716536</v>
      </c>
      <c r="N2330" s="34">
        <v>15.244796152084287</v>
      </c>
    </row>
    <row r="2331" spans="1:14" x14ac:dyDescent="0.35">
      <c r="A2331" s="82">
        <v>2328</v>
      </c>
      <c r="B2331" s="89" t="str">
        <f>_xlfn.XLOOKUP(A2331,'Model Modeshare by TAZ'!A:A,'Model Modeshare by TAZ'!B:B)</f>
        <v>Oakland</v>
      </c>
      <c r="C2331" s="90" t="str">
        <f>_xlfn.XLOOKUP(A2331,'Model Modeshare by TAZ'!A:A,'Model Modeshare by TAZ'!D:D)</f>
        <v>NO</v>
      </c>
      <c r="D2331" s="27">
        <v>6179.31</v>
      </c>
      <c r="E2331" s="27">
        <v>93486.13</v>
      </c>
      <c r="F2331" s="27">
        <v>3814.77</v>
      </c>
      <c r="G2331" s="27">
        <v>24060.44</v>
      </c>
      <c r="H2331" s="27">
        <v>935.49</v>
      </c>
      <c r="I2331" s="27">
        <v>11098.2</v>
      </c>
      <c r="J2331" s="6">
        <v>4263</v>
      </c>
      <c r="K2331" s="6">
        <v>594</v>
      </c>
      <c r="L2331" s="27">
        <v>5.6440159512080692</v>
      </c>
      <c r="M2331" s="27">
        <v>18.683838383838385</v>
      </c>
      <c r="N2331" s="34">
        <v>14.112995676343424</v>
      </c>
    </row>
    <row r="2332" spans="1:14" x14ac:dyDescent="0.35">
      <c r="A2332" s="82">
        <v>2329</v>
      </c>
      <c r="B2332" s="89" t="str">
        <f>_xlfn.XLOOKUP(A2332,'Model Modeshare by TAZ'!A:A,'Model Modeshare by TAZ'!B:B)</f>
        <v>Oakland</v>
      </c>
      <c r="C2332" s="90" t="str">
        <f>_xlfn.XLOOKUP(A2332,'Model Modeshare by TAZ'!A:A,'Model Modeshare by TAZ'!D:D)</f>
        <v>NO</v>
      </c>
      <c r="D2332" s="27">
        <v>2750.38</v>
      </c>
      <c r="E2332" s="27">
        <v>49637.35</v>
      </c>
      <c r="F2332" s="27">
        <v>1941.45</v>
      </c>
      <c r="G2332" s="27">
        <v>15347.42</v>
      </c>
      <c r="H2332" s="27">
        <v>176.95</v>
      </c>
      <c r="I2332" s="27">
        <v>2326.06</v>
      </c>
      <c r="J2332" s="6">
        <v>1663</v>
      </c>
      <c r="K2332" s="6">
        <v>104</v>
      </c>
      <c r="L2332" s="27">
        <v>9.2287552615754667</v>
      </c>
      <c r="M2332" s="27">
        <v>22.365961538461537</v>
      </c>
      <c r="N2332" s="34">
        <v>19.488415393322015</v>
      </c>
    </row>
    <row r="2333" spans="1:14" x14ac:dyDescent="0.35">
      <c r="A2333" s="82">
        <v>2330</v>
      </c>
      <c r="B2333" s="89" t="str">
        <f>_xlfn.XLOOKUP(A2333,'Model Modeshare by TAZ'!A:A,'Model Modeshare by TAZ'!B:B)</f>
        <v>Oakland</v>
      </c>
      <c r="C2333" s="90" t="str">
        <f>_xlfn.XLOOKUP(A2333,'Model Modeshare by TAZ'!A:A,'Model Modeshare by TAZ'!D:D)</f>
        <v>NO</v>
      </c>
      <c r="D2333" s="27">
        <v>9498.2800000000007</v>
      </c>
      <c r="E2333" s="27">
        <v>175922.58</v>
      </c>
      <c r="F2333" s="27">
        <v>6225.26</v>
      </c>
      <c r="G2333" s="27">
        <v>49977.06</v>
      </c>
      <c r="H2333" s="27">
        <v>2025.32</v>
      </c>
      <c r="I2333" s="27">
        <v>26756.48</v>
      </c>
      <c r="J2333" s="6">
        <v>5117</v>
      </c>
      <c r="K2333" s="6">
        <v>1624</v>
      </c>
      <c r="L2333" s="27">
        <v>9.7668673050615595</v>
      </c>
      <c r="M2333" s="27">
        <v>16.475665024630541</v>
      </c>
      <c r="N2333" s="34">
        <v>23.771889927310486</v>
      </c>
    </row>
    <row r="2334" spans="1:14" x14ac:dyDescent="0.35">
      <c r="A2334" s="82">
        <v>2331</v>
      </c>
      <c r="B2334" s="89" t="str">
        <f>_xlfn.XLOOKUP(A2334,'Model Modeshare by TAZ'!A:A,'Model Modeshare by TAZ'!B:B)</f>
        <v>Oakland</v>
      </c>
      <c r="C2334" s="90" t="str">
        <f>_xlfn.XLOOKUP(A2334,'Model Modeshare by TAZ'!A:A,'Model Modeshare by TAZ'!D:D)</f>
        <v>NO</v>
      </c>
      <c r="D2334" s="27">
        <v>8631.7800000000007</v>
      </c>
      <c r="E2334" s="27">
        <v>151852.19</v>
      </c>
      <c r="F2334" s="27">
        <v>2493.5100000000002</v>
      </c>
      <c r="G2334" s="27">
        <v>20504.22</v>
      </c>
      <c r="H2334" s="27">
        <v>1452.06</v>
      </c>
      <c r="I2334" s="27">
        <v>19246.55</v>
      </c>
      <c r="J2334" s="6">
        <v>2071</v>
      </c>
      <c r="K2334" s="6">
        <v>1456</v>
      </c>
      <c r="L2334" s="27">
        <v>9.9006373732496389</v>
      </c>
      <c r="M2334" s="27">
        <v>13.21878434065934</v>
      </c>
      <c r="N2334" s="34">
        <v>31.365642188829032</v>
      </c>
    </row>
    <row r="2335" spans="1:14" x14ac:dyDescent="0.35">
      <c r="A2335" s="82">
        <v>2332</v>
      </c>
      <c r="B2335" s="89" t="str">
        <f>_xlfn.XLOOKUP(A2335,'Model Modeshare by TAZ'!A:A,'Model Modeshare by TAZ'!B:B)</f>
        <v>Oakland</v>
      </c>
      <c r="C2335" s="90" t="str">
        <f>_xlfn.XLOOKUP(A2335,'Model Modeshare by TAZ'!A:A,'Model Modeshare by TAZ'!D:D)</f>
        <v>NO</v>
      </c>
      <c r="D2335" s="27">
        <v>6599.34</v>
      </c>
      <c r="E2335" s="27">
        <v>123538.84</v>
      </c>
      <c r="F2335" s="27">
        <v>4637.0200000000004</v>
      </c>
      <c r="G2335" s="27">
        <v>39230.1</v>
      </c>
      <c r="H2335" s="27">
        <v>1060.6400000000001</v>
      </c>
      <c r="I2335" s="27">
        <v>14199.13</v>
      </c>
      <c r="J2335" s="6">
        <v>3859</v>
      </c>
      <c r="K2335" s="6">
        <v>834</v>
      </c>
      <c r="L2335" s="27">
        <v>10.165871987561545</v>
      </c>
      <c r="M2335" s="27">
        <v>17.025335731414867</v>
      </c>
      <c r="N2335" s="34">
        <v>22.181076070743661</v>
      </c>
    </row>
    <row r="2336" spans="1:14" x14ac:dyDescent="0.35">
      <c r="A2336" s="82">
        <v>2333</v>
      </c>
      <c r="B2336" s="89" t="str">
        <f>_xlfn.XLOOKUP(A2336,'Model Modeshare by TAZ'!A:A,'Model Modeshare by TAZ'!B:B)</f>
        <v>Oakland</v>
      </c>
      <c r="C2336" s="90" t="str">
        <f>_xlfn.XLOOKUP(A2336,'Model Modeshare by TAZ'!A:A,'Model Modeshare by TAZ'!D:D)</f>
        <v>NO</v>
      </c>
      <c r="D2336" s="27">
        <v>4823.84</v>
      </c>
      <c r="E2336" s="27">
        <v>81728.59</v>
      </c>
      <c r="F2336" s="27">
        <v>3953.05</v>
      </c>
      <c r="G2336" s="27">
        <v>30426.66</v>
      </c>
      <c r="H2336" s="27">
        <v>741.56</v>
      </c>
      <c r="I2336" s="27">
        <v>9028.2900000000009</v>
      </c>
      <c r="J2336" s="6">
        <v>3599</v>
      </c>
      <c r="K2336" s="6">
        <v>459</v>
      </c>
      <c r="L2336" s="27">
        <v>8.4541983884412328</v>
      </c>
      <c r="M2336" s="27">
        <v>19.669477124183008</v>
      </c>
      <c r="N2336" s="34">
        <v>19.285598817151307</v>
      </c>
    </row>
    <row r="2337" spans="1:14" x14ac:dyDescent="0.35">
      <c r="A2337" s="82">
        <v>2334</v>
      </c>
      <c r="B2337" s="89" t="str">
        <f>_xlfn.XLOOKUP(A2337,'Model Modeshare by TAZ'!A:A,'Model Modeshare by TAZ'!B:B)</f>
        <v>Berkeley</v>
      </c>
      <c r="C2337" s="90" t="str">
        <f>_xlfn.XLOOKUP(A2337,'Model Modeshare by TAZ'!A:A,'Model Modeshare by TAZ'!D:D)</f>
        <v>NO</v>
      </c>
      <c r="D2337" s="27">
        <v>4787.04</v>
      </c>
      <c r="E2337" s="27">
        <v>62280.09</v>
      </c>
      <c r="F2337" s="27">
        <v>2115.2399999999998</v>
      </c>
      <c r="G2337" s="27">
        <v>15139.21</v>
      </c>
      <c r="H2337" s="27">
        <v>663.72</v>
      </c>
      <c r="I2337" s="27">
        <v>8678.7199999999993</v>
      </c>
      <c r="J2337" s="6">
        <v>2045</v>
      </c>
      <c r="K2337" s="6">
        <v>731</v>
      </c>
      <c r="L2337" s="27">
        <v>7.4030366748166259</v>
      </c>
      <c r="M2337" s="27">
        <v>11.872393980848152</v>
      </c>
      <c r="N2337" s="34">
        <v>18.818108789625359</v>
      </c>
    </row>
    <row r="2338" spans="1:14" x14ac:dyDescent="0.35">
      <c r="A2338" s="82">
        <v>2335</v>
      </c>
      <c r="B2338" s="89" t="str">
        <f>_xlfn.XLOOKUP(A2338,'Model Modeshare by TAZ'!A:A,'Model Modeshare by TAZ'!B:B)</f>
        <v>Berkeley</v>
      </c>
      <c r="C2338" s="90" t="str">
        <f>_xlfn.XLOOKUP(A2338,'Model Modeshare by TAZ'!A:A,'Model Modeshare by TAZ'!D:D)</f>
        <v>NO</v>
      </c>
      <c r="D2338" s="27">
        <v>6820.58</v>
      </c>
      <c r="E2338" s="27">
        <v>130756.15</v>
      </c>
      <c r="F2338" s="27">
        <v>1808.98</v>
      </c>
      <c r="G2338" s="27">
        <v>13158.53</v>
      </c>
      <c r="H2338" s="27">
        <v>2473.13</v>
      </c>
      <c r="I2338" s="27">
        <v>33584.92</v>
      </c>
      <c r="J2338" s="6">
        <v>1565</v>
      </c>
      <c r="K2338" s="6">
        <v>2687</v>
      </c>
      <c r="L2338" s="27">
        <v>8.4080063897763591</v>
      </c>
      <c r="M2338" s="27">
        <v>12.499039821362114</v>
      </c>
      <c r="N2338" s="34">
        <v>26.428732361241767</v>
      </c>
    </row>
    <row r="2339" spans="1:14" x14ac:dyDescent="0.35">
      <c r="A2339" s="82">
        <v>2336</v>
      </c>
      <c r="B2339" s="89" t="str">
        <f>_xlfn.XLOOKUP(A2339,'Model Modeshare by TAZ'!A:A,'Model Modeshare by TAZ'!B:B)</f>
        <v>Berkeley</v>
      </c>
      <c r="C2339" s="90" t="str">
        <f>_xlfn.XLOOKUP(A2339,'Model Modeshare by TAZ'!A:A,'Model Modeshare by TAZ'!D:D)</f>
        <v>NO</v>
      </c>
      <c r="D2339" s="27">
        <v>8242.4500000000007</v>
      </c>
      <c r="E2339" s="27">
        <v>133326.49</v>
      </c>
      <c r="F2339" s="27">
        <v>3769.6</v>
      </c>
      <c r="G2339" s="27">
        <v>26180.89</v>
      </c>
      <c r="H2339" s="27">
        <v>926.49</v>
      </c>
      <c r="I2339" s="27">
        <v>11804.26</v>
      </c>
      <c r="J2339" s="6">
        <v>3240</v>
      </c>
      <c r="K2339" s="6">
        <v>887</v>
      </c>
      <c r="L2339" s="27">
        <v>8.0805216049382711</v>
      </c>
      <c r="M2339" s="27">
        <v>13.308072153325817</v>
      </c>
      <c r="N2339" s="34">
        <v>21.001831839108309</v>
      </c>
    </row>
    <row r="2340" spans="1:14" x14ac:dyDescent="0.35">
      <c r="A2340" s="82">
        <v>2337</v>
      </c>
      <c r="B2340" s="89" t="str">
        <f>_xlfn.XLOOKUP(A2340,'Model Modeshare by TAZ'!A:A,'Model Modeshare by TAZ'!B:B)</f>
        <v>Oakland</v>
      </c>
      <c r="C2340" s="90" t="str">
        <f>_xlfn.XLOOKUP(A2340,'Model Modeshare by TAZ'!A:A,'Model Modeshare by TAZ'!D:D)</f>
        <v>NO</v>
      </c>
      <c r="D2340" s="27">
        <v>4487</v>
      </c>
      <c r="E2340" s="27">
        <v>88241.97</v>
      </c>
      <c r="F2340" s="27">
        <v>4230.03</v>
      </c>
      <c r="G2340" s="27">
        <v>36242.589999999997</v>
      </c>
      <c r="H2340" s="27">
        <v>1181.51</v>
      </c>
      <c r="I2340" s="27">
        <v>16058.54</v>
      </c>
      <c r="J2340" s="6">
        <v>3798</v>
      </c>
      <c r="K2340" s="6">
        <v>954</v>
      </c>
      <c r="L2340" s="27">
        <v>9.5425460768825694</v>
      </c>
      <c r="M2340" s="27">
        <v>16.832851153039833</v>
      </c>
      <c r="N2340" s="34">
        <v>20.689934764309765</v>
      </c>
    </row>
    <row r="2341" spans="1:14" x14ac:dyDescent="0.35">
      <c r="A2341" s="82">
        <v>2338</v>
      </c>
      <c r="B2341" s="89" t="str">
        <f>_xlfn.XLOOKUP(A2341,'Model Modeshare by TAZ'!A:A,'Model Modeshare by TAZ'!B:B)</f>
        <v>Berkeley</v>
      </c>
      <c r="C2341" s="90" t="str">
        <f>_xlfn.XLOOKUP(A2341,'Model Modeshare by TAZ'!A:A,'Model Modeshare by TAZ'!D:D)</f>
        <v>NO</v>
      </c>
      <c r="D2341" s="27">
        <v>5439.79</v>
      </c>
      <c r="E2341" s="27">
        <v>70953.98</v>
      </c>
      <c r="F2341" s="27">
        <v>3398.33</v>
      </c>
      <c r="G2341" s="27">
        <v>19350.18</v>
      </c>
      <c r="H2341" s="27">
        <v>852.02</v>
      </c>
      <c r="I2341" s="27">
        <v>10428.41</v>
      </c>
      <c r="J2341" s="6">
        <v>5751</v>
      </c>
      <c r="K2341" s="6">
        <v>697</v>
      </c>
      <c r="L2341" s="27">
        <v>3.364663536776213</v>
      </c>
      <c r="M2341" s="27">
        <v>14.961850789096125</v>
      </c>
      <c r="N2341" s="34">
        <v>9.2936414392059561</v>
      </c>
    </row>
    <row r="2342" spans="1:14" x14ac:dyDescent="0.35">
      <c r="A2342" s="82">
        <v>2339</v>
      </c>
      <c r="B2342" s="89" t="str">
        <f>_xlfn.XLOOKUP(A2342,'Model Modeshare by TAZ'!A:A,'Model Modeshare by TAZ'!B:B)</f>
        <v>Berkeley</v>
      </c>
      <c r="C2342" s="90" t="str">
        <f>_xlfn.XLOOKUP(A2342,'Model Modeshare by TAZ'!A:A,'Model Modeshare by TAZ'!D:D)</f>
        <v>NO</v>
      </c>
      <c r="D2342" s="27">
        <v>2713.39</v>
      </c>
      <c r="E2342" s="27">
        <v>51636.54</v>
      </c>
      <c r="F2342" s="27">
        <v>2362.66</v>
      </c>
      <c r="G2342" s="27">
        <v>18253.939999999999</v>
      </c>
      <c r="H2342" s="27">
        <v>590.35</v>
      </c>
      <c r="I2342" s="27">
        <v>8202.1299999999992</v>
      </c>
      <c r="J2342" s="6">
        <v>4154</v>
      </c>
      <c r="K2342" s="6">
        <v>435</v>
      </c>
      <c r="L2342" s="27">
        <v>4.3943042850264806</v>
      </c>
      <c r="M2342" s="27">
        <v>18.855471264367814</v>
      </c>
      <c r="N2342" s="34">
        <v>11.991904554369142</v>
      </c>
    </row>
    <row r="2343" spans="1:14" x14ac:dyDescent="0.35">
      <c r="A2343" s="82">
        <v>2340</v>
      </c>
      <c r="B2343" s="89" t="str">
        <f>_xlfn.XLOOKUP(A2343,'Model Modeshare by TAZ'!A:A,'Model Modeshare by TAZ'!B:B)</f>
        <v>Berkeley</v>
      </c>
      <c r="C2343" s="90" t="str">
        <f>_xlfn.XLOOKUP(A2343,'Model Modeshare by TAZ'!A:A,'Model Modeshare by TAZ'!D:D)</f>
        <v>NO</v>
      </c>
      <c r="D2343" s="27">
        <v>8248.0300000000007</v>
      </c>
      <c r="E2343" s="27">
        <v>173368.87</v>
      </c>
      <c r="F2343" s="27">
        <v>1865.57</v>
      </c>
      <c r="G2343" s="27">
        <v>15546.32</v>
      </c>
      <c r="H2343" s="27">
        <v>2342.7800000000002</v>
      </c>
      <c r="I2343" s="27">
        <v>33296.93</v>
      </c>
      <c r="J2343" s="6">
        <v>6184</v>
      </c>
      <c r="K2343" s="6">
        <v>3294</v>
      </c>
      <c r="L2343" s="27">
        <v>2.5139586028460541</v>
      </c>
      <c r="M2343" s="27">
        <v>10.108357619914997</v>
      </c>
      <c r="N2343" s="34">
        <v>17.333176830554969</v>
      </c>
    </row>
    <row r="2344" spans="1:14" x14ac:dyDescent="0.35">
      <c r="A2344" s="82">
        <v>2341</v>
      </c>
      <c r="B2344" s="89" t="str">
        <f>_xlfn.XLOOKUP(A2344,'Model Modeshare by TAZ'!A:A,'Model Modeshare by TAZ'!B:B)</f>
        <v>Berkeley</v>
      </c>
      <c r="C2344" s="90" t="str">
        <f>_xlfn.XLOOKUP(A2344,'Model Modeshare by TAZ'!A:A,'Model Modeshare by TAZ'!D:D)</f>
        <v>NO</v>
      </c>
      <c r="D2344" s="27">
        <v>5211.7</v>
      </c>
      <c r="E2344" s="27">
        <v>97296.11</v>
      </c>
      <c r="F2344" s="27">
        <v>3961.53</v>
      </c>
      <c r="G2344" s="27">
        <v>31016.61</v>
      </c>
      <c r="H2344" s="27">
        <v>1077.28</v>
      </c>
      <c r="I2344" s="27">
        <v>14857.95</v>
      </c>
      <c r="J2344" s="6">
        <v>5793</v>
      </c>
      <c r="K2344" s="6">
        <v>736</v>
      </c>
      <c r="L2344" s="27">
        <v>5.3541532884515792</v>
      </c>
      <c r="M2344" s="27">
        <v>20.187432065217394</v>
      </c>
      <c r="N2344" s="34">
        <v>16.325189156072906</v>
      </c>
    </row>
    <row r="2345" spans="1:14" x14ac:dyDescent="0.35">
      <c r="A2345" s="82">
        <v>2342</v>
      </c>
      <c r="B2345" s="89" t="str">
        <f>_xlfn.XLOOKUP(A2345,'Model Modeshare by TAZ'!A:A,'Model Modeshare by TAZ'!B:B)</f>
        <v>Berkeley</v>
      </c>
      <c r="C2345" s="90" t="str">
        <f>_xlfn.XLOOKUP(A2345,'Model Modeshare by TAZ'!A:A,'Model Modeshare by TAZ'!D:D)</f>
        <v>NO</v>
      </c>
      <c r="D2345" s="27">
        <v>4879.8500000000004</v>
      </c>
      <c r="E2345" s="27">
        <v>94233.02</v>
      </c>
      <c r="F2345" s="27">
        <v>3064.75</v>
      </c>
      <c r="G2345" s="27">
        <v>24028.94</v>
      </c>
      <c r="H2345" s="27">
        <v>1245.8699999999999</v>
      </c>
      <c r="I2345" s="27">
        <v>17828.3</v>
      </c>
      <c r="J2345" s="6">
        <v>2733</v>
      </c>
      <c r="K2345" s="6">
        <v>1304</v>
      </c>
      <c r="L2345" s="27">
        <v>8.7921478229052319</v>
      </c>
      <c r="M2345" s="27">
        <v>13.672009202453987</v>
      </c>
      <c r="N2345" s="34">
        <v>26.102212038642559</v>
      </c>
    </row>
    <row r="2346" spans="1:14" x14ac:dyDescent="0.35">
      <c r="A2346" s="82">
        <v>2343</v>
      </c>
      <c r="B2346" s="89" t="str">
        <f>_xlfn.XLOOKUP(A2346,'Model Modeshare by TAZ'!A:A,'Model Modeshare by TAZ'!B:B)</f>
        <v>Berkeley</v>
      </c>
      <c r="C2346" s="90" t="str">
        <f>_xlfn.XLOOKUP(A2346,'Model Modeshare by TAZ'!A:A,'Model Modeshare by TAZ'!D:D)</f>
        <v>NO</v>
      </c>
      <c r="D2346" s="27">
        <v>6494.43</v>
      </c>
      <c r="E2346" s="27">
        <v>107842.1</v>
      </c>
      <c r="F2346" s="27">
        <v>3028.68</v>
      </c>
      <c r="G2346" s="27">
        <v>21775.279999999999</v>
      </c>
      <c r="H2346" s="27">
        <v>2446.5100000000002</v>
      </c>
      <c r="I2346" s="27">
        <v>31463.55</v>
      </c>
      <c r="J2346" s="6">
        <v>3059</v>
      </c>
      <c r="K2346" s="6">
        <v>2818</v>
      </c>
      <c r="L2346" s="27">
        <v>7.1184308597580905</v>
      </c>
      <c r="M2346" s="27">
        <v>11.165205819730305</v>
      </c>
      <c r="N2346" s="34">
        <v>24.252707163518803</v>
      </c>
    </row>
    <row r="2347" spans="1:14" x14ac:dyDescent="0.35">
      <c r="A2347" s="82">
        <v>2344</v>
      </c>
      <c r="B2347" s="89" t="str">
        <f>_xlfn.XLOOKUP(A2347,'Model Modeshare by TAZ'!A:A,'Model Modeshare by TAZ'!B:B)</f>
        <v>Berkeley</v>
      </c>
      <c r="C2347" s="90" t="str">
        <f>_xlfn.XLOOKUP(A2347,'Model Modeshare by TAZ'!A:A,'Model Modeshare by TAZ'!D:D)</f>
        <v>NO</v>
      </c>
      <c r="D2347" s="27">
        <v>5764.13</v>
      </c>
      <c r="E2347" s="27">
        <v>82961.850000000006</v>
      </c>
      <c r="F2347" s="27">
        <v>4125.8900000000003</v>
      </c>
      <c r="G2347" s="27">
        <v>26242.880000000001</v>
      </c>
      <c r="H2347" s="27">
        <v>889.81</v>
      </c>
      <c r="I2347" s="27">
        <v>10965.82</v>
      </c>
      <c r="J2347" s="6">
        <v>4835</v>
      </c>
      <c r="K2347" s="6">
        <v>642</v>
      </c>
      <c r="L2347" s="27">
        <v>5.4276897621509823</v>
      </c>
      <c r="M2347" s="27">
        <v>17.080716510903425</v>
      </c>
      <c r="N2347" s="34">
        <v>13.389461383969326</v>
      </c>
    </row>
    <row r="2348" spans="1:14" x14ac:dyDescent="0.35">
      <c r="A2348" s="82">
        <v>2345</v>
      </c>
      <c r="B2348" s="89" t="str">
        <f>_xlfn.XLOOKUP(A2348,'Model Modeshare by TAZ'!A:A,'Model Modeshare by TAZ'!B:B)</f>
        <v>Berkeley</v>
      </c>
      <c r="C2348" s="90" t="str">
        <f>_xlfn.XLOOKUP(A2348,'Model Modeshare by TAZ'!A:A,'Model Modeshare by TAZ'!D:D)</f>
        <v>NO</v>
      </c>
      <c r="D2348" s="27">
        <v>5281.25</v>
      </c>
      <c r="E2348" s="27">
        <v>79783.350000000006</v>
      </c>
      <c r="F2348" s="27">
        <v>4092.23</v>
      </c>
      <c r="G2348" s="27">
        <v>27153.02</v>
      </c>
      <c r="H2348" s="27">
        <v>403.34</v>
      </c>
      <c r="I2348" s="27">
        <v>4871.0600000000004</v>
      </c>
      <c r="J2348" s="6">
        <v>3793</v>
      </c>
      <c r="K2348" s="6">
        <v>275</v>
      </c>
      <c r="L2348" s="27">
        <v>7.1587186923279731</v>
      </c>
      <c r="M2348" s="27">
        <v>17.712945454545455</v>
      </c>
      <c r="N2348" s="34">
        <v>15.220105703048182</v>
      </c>
    </row>
    <row r="2349" spans="1:14" x14ac:dyDescent="0.35">
      <c r="A2349" s="82">
        <v>2346</v>
      </c>
      <c r="B2349" s="89" t="str">
        <f>_xlfn.XLOOKUP(A2349,'Model Modeshare by TAZ'!A:A,'Model Modeshare by TAZ'!B:B)</f>
        <v>Berkeley</v>
      </c>
      <c r="C2349" s="90" t="str">
        <f>_xlfn.XLOOKUP(A2349,'Model Modeshare by TAZ'!A:A,'Model Modeshare by TAZ'!D:D)</f>
        <v>NO</v>
      </c>
      <c r="D2349" s="27">
        <v>26543.39</v>
      </c>
      <c r="E2349" s="27">
        <v>627074.28</v>
      </c>
      <c r="F2349" s="27">
        <v>1751.15</v>
      </c>
      <c r="G2349" s="27">
        <v>14110.84</v>
      </c>
      <c r="H2349" s="27">
        <v>16276.32</v>
      </c>
      <c r="I2349" s="27">
        <v>225441.19</v>
      </c>
      <c r="J2349" s="6">
        <v>1849</v>
      </c>
      <c r="K2349" s="6">
        <v>16443</v>
      </c>
      <c r="L2349" s="27">
        <v>7.631606273661439</v>
      </c>
      <c r="M2349" s="27">
        <v>13.71046585173022</v>
      </c>
      <c r="N2349" s="34">
        <v>32.019270719440193</v>
      </c>
    </row>
    <row r="2350" spans="1:14" x14ac:dyDescent="0.35">
      <c r="A2350" s="82">
        <v>2347</v>
      </c>
      <c r="B2350" s="89" t="str">
        <f>_xlfn.XLOOKUP(A2350,'Model Modeshare by TAZ'!A:A,'Model Modeshare by TAZ'!B:B)</f>
        <v>Berkeley</v>
      </c>
      <c r="C2350" s="90" t="str">
        <f>_xlfn.XLOOKUP(A2350,'Model Modeshare by TAZ'!A:A,'Model Modeshare by TAZ'!D:D)</f>
        <v>NO</v>
      </c>
      <c r="D2350" s="27">
        <v>5445.16</v>
      </c>
      <c r="E2350" s="27">
        <v>89874.6</v>
      </c>
      <c r="F2350" s="27">
        <v>2766.4</v>
      </c>
      <c r="G2350" s="27">
        <v>18845.560000000001</v>
      </c>
      <c r="H2350" s="27">
        <v>1033.7</v>
      </c>
      <c r="I2350" s="27">
        <v>13104.52</v>
      </c>
      <c r="J2350" s="6">
        <v>2886</v>
      </c>
      <c r="K2350" s="6">
        <v>886</v>
      </c>
      <c r="L2350" s="27">
        <v>6.5299930699930702</v>
      </c>
      <c r="M2350" s="27">
        <v>14.790654627539503</v>
      </c>
      <c r="N2350" s="34">
        <v>19.260076882290562</v>
      </c>
    </row>
    <row r="2351" spans="1:14" x14ac:dyDescent="0.35">
      <c r="A2351" s="82">
        <v>2348</v>
      </c>
      <c r="B2351" s="89" t="str">
        <f>_xlfn.XLOOKUP(A2351,'Model Modeshare by TAZ'!A:A,'Model Modeshare by TAZ'!B:B)</f>
        <v>Berkeley</v>
      </c>
      <c r="C2351" s="90" t="str">
        <f>_xlfn.XLOOKUP(A2351,'Model Modeshare by TAZ'!A:A,'Model Modeshare by TAZ'!D:D)</f>
        <v>NO</v>
      </c>
      <c r="D2351" s="27">
        <v>9903.51</v>
      </c>
      <c r="E2351" s="27">
        <v>165965.54</v>
      </c>
      <c r="F2351" s="27">
        <v>3975.86</v>
      </c>
      <c r="G2351" s="27">
        <v>25986.97</v>
      </c>
      <c r="H2351" s="27">
        <v>1093.82</v>
      </c>
      <c r="I2351" s="27">
        <v>14234.78</v>
      </c>
      <c r="J2351" s="6">
        <v>4049</v>
      </c>
      <c r="K2351" s="6">
        <v>1134</v>
      </c>
      <c r="L2351" s="27">
        <v>6.4181205235860705</v>
      </c>
      <c r="M2351" s="27">
        <v>12.552716049382717</v>
      </c>
      <c r="N2351" s="34">
        <v>20.037428130426395</v>
      </c>
    </row>
    <row r="2352" spans="1:14" x14ac:dyDescent="0.35">
      <c r="A2352" s="82">
        <v>2349</v>
      </c>
      <c r="B2352" s="89" t="str">
        <f>_xlfn.XLOOKUP(A2352,'Model Modeshare by TAZ'!A:A,'Model Modeshare by TAZ'!B:B)</f>
        <v>Berkeley</v>
      </c>
      <c r="C2352" s="90" t="str">
        <f>_xlfn.XLOOKUP(A2352,'Model Modeshare by TAZ'!A:A,'Model Modeshare by TAZ'!D:D)</f>
        <v>NO</v>
      </c>
      <c r="D2352" s="27">
        <v>5473.69</v>
      </c>
      <c r="E2352" s="27">
        <v>88963.71</v>
      </c>
      <c r="F2352" s="27">
        <v>4538.63</v>
      </c>
      <c r="G2352" s="27">
        <v>31463.06</v>
      </c>
      <c r="H2352" s="27">
        <v>1743.36</v>
      </c>
      <c r="I2352" s="27">
        <v>22503.78</v>
      </c>
      <c r="J2352" s="6">
        <v>4936</v>
      </c>
      <c r="K2352" s="6">
        <v>1942</v>
      </c>
      <c r="L2352" s="27">
        <v>6.3742017828200979</v>
      </c>
      <c r="M2352" s="27">
        <v>11.587940267765189</v>
      </c>
      <c r="N2352" s="34">
        <v>16.269514393719106</v>
      </c>
    </row>
    <row r="2353" spans="1:14" x14ac:dyDescent="0.35">
      <c r="A2353" s="82">
        <v>2350</v>
      </c>
      <c r="B2353" s="89" t="str">
        <f>_xlfn.XLOOKUP(A2353,'Model Modeshare by TAZ'!A:A,'Model Modeshare by TAZ'!B:B)</f>
        <v>Berkeley</v>
      </c>
      <c r="C2353" s="90" t="str">
        <f>_xlfn.XLOOKUP(A2353,'Model Modeshare by TAZ'!A:A,'Model Modeshare by TAZ'!D:D)</f>
        <v>NO</v>
      </c>
      <c r="D2353" s="27">
        <v>16667.61</v>
      </c>
      <c r="E2353" s="27">
        <v>345385.38</v>
      </c>
      <c r="F2353" s="27">
        <v>2557.85</v>
      </c>
      <c r="G2353" s="27">
        <v>19777.87</v>
      </c>
      <c r="H2353" s="27">
        <v>6478.01</v>
      </c>
      <c r="I2353" s="27">
        <v>103351.24</v>
      </c>
      <c r="J2353" s="6">
        <v>6040</v>
      </c>
      <c r="K2353" s="6">
        <v>13594</v>
      </c>
      <c r="L2353" s="27">
        <v>3.2744817880794699</v>
      </c>
      <c r="M2353" s="27">
        <v>7.6027100191260857</v>
      </c>
      <c r="N2353" s="34">
        <v>26.348294285423243</v>
      </c>
    </row>
    <row r="2354" spans="1:14" x14ac:dyDescent="0.35">
      <c r="A2354" s="82">
        <v>2351</v>
      </c>
      <c r="B2354" s="89" t="str">
        <f>_xlfn.XLOOKUP(A2354,'Model Modeshare by TAZ'!A:A,'Model Modeshare by TAZ'!B:B)</f>
        <v>Berkeley</v>
      </c>
      <c r="C2354" s="90" t="str">
        <f>_xlfn.XLOOKUP(A2354,'Model Modeshare by TAZ'!A:A,'Model Modeshare by TAZ'!D:D)</f>
        <v>NO</v>
      </c>
      <c r="D2354" s="27">
        <v>31853.14</v>
      </c>
      <c r="E2354" s="27">
        <v>749544.92</v>
      </c>
      <c r="F2354" s="27">
        <v>21.31</v>
      </c>
      <c r="G2354" s="27">
        <v>137.76</v>
      </c>
      <c r="H2354" s="27">
        <v>11444.71</v>
      </c>
      <c r="I2354" s="27">
        <v>166117.96</v>
      </c>
      <c r="J2354" s="6">
        <v>734</v>
      </c>
      <c r="K2354" s="6">
        <v>15901</v>
      </c>
      <c r="L2354" s="27">
        <v>0.18768392370572207</v>
      </c>
      <c r="M2354" s="27">
        <v>10.447013395383937</v>
      </c>
      <c r="N2354" s="34">
        <v>44.289529305680787</v>
      </c>
    </row>
    <row r="2355" spans="1:14" x14ac:dyDescent="0.35">
      <c r="A2355" s="82">
        <v>2352</v>
      </c>
      <c r="B2355" s="89" t="str">
        <f>_xlfn.XLOOKUP(A2355,'Model Modeshare by TAZ'!A:A,'Model Modeshare by TAZ'!B:B)</f>
        <v>Berkeley</v>
      </c>
      <c r="C2355" s="90" t="str">
        <f>_xlfn.XLOOKUP(A2355,'Model Modeshare by TAZ'!A:A,'Model Modeshare by TAZ'!D:D)</f>
        <v>NO</v>
      </c>
      <c r="D2355" s="27">
        <v>4701.7299999999996</v>
      </c>
      <c r="E2355" s="27">
        <v>92944.41</v>
      </c>
      <c r="F2355" s="27">
        <v>2908.35</v>
      </c>
      <c r="G2355" s="27">
        <v>25369.83</v>
      </c>
      <c r="H2355" s="27">
        <v>2149.1799999999998</v>
      </c>
      <c r="I2355" s="27">
        <v>30720.62</v>
      </c>
      <c r="J2355" s="6">
        <v>3999</v>
      </c>
      <c r="K2355" s="6">
        <v>2864</v>
      </c>
      <c r="L2355" s="27">
        <v>6.3440435108777198</v>
      </c>
      <c r="M2355" s="27">
        <v>10.726473463687151</v>
      </c>
      <c r="N2355" s="34">
        <v>21.870722716013404</v>
      </c>
    </row>
    <row r="2356" spans="1:14" x14ac:dyDescent="0.35">
      <c r="A2356" s="82">
        <v>2353</v>
      </c>
      <c r="B2356" s="89" t="str">
        <f>_xlfn.XLOOKUP(A2356,'Model Modeshare by TAZ'!A:A,'Model Modeshare by TAZ'!B:B)</f>
        <v>Berkeley</v>
      </c>
      <c r="C2356" s="90" t="str">
        <f>_xlfn.XLOOKUP(A2356,'Model Modeshare by TAZ'!A:A,'Model Modeshare by TAZ'!D:D)</f>
        <v>NO</v>
      </c>
      <c r="D2356" s="27">
        <v>7619.78</v>
      </c>
      <c r="E2356" s="27">
        <v>155196.54999999999</v>
      </c>
      <c r="F2356" s="27">
        <v>2945.34</v>
      </c>
      <c r="G2356" s="27">
        <v>24823.09</v>
      </c>
      <c r="H2356" s="27">
        <v>3715.33</v>
      </c>
      <c r="I2356" s="27">
        <v>52732.07</v>
      </c>
      <c r="J2356" s="6">
        <v>4496</v>
      </c>
      <c r="K2356" s="6">
        <v>5295</v>
      </c>
      <c r="L2356" s="27">
        <v>5.5211499110320288</v>
      </c>
      <c r="M2356" s="27">
        <v>9.9588423040604344</v>
      </c>
      <c r="N2356" s="34">
        <v>25.271305280359513</v>
      </c>
    </row>
    <row r="2357" spans="1:14" x14ac:dyDescent="0.35">
      <c r="A2357" s="82">
        <v>2354</v>
      </c>
      <c r="B2357" s="89" t="str">
        <f>_xlfn.XLOOKUP(A2357,'Model Modeshare by TAZ'!A:A,'Model Modeshare by TAZ'!B:B)</f>
        <v>Berkeley</v>
      </c>
      <c r="C2357" s="90" t="str">
        <f>_xlfn.XLOOKUP(A2357,'Model Modeshare by TAZ'!A:A,'Model Modeshare by TAZ'!D:D)</f>
        <v>NO</v>
      </c>
      <c r="D2357" s="27">
        <v>4448.0200000000004</v>
      </c>
      <c r="E2357" s="27">
        <v>72836.11</v>
      </c>
      <c r="F2357" s="27">
        <v>3641.06</v>
      </c>
      <c r="G2357" s="27">
        <v>26000.6</v>
      </c>
      <c r="H2357" s="27">
        <v>822.54</v>
      </c>
      <c r="I2357" s="27">
        <v>10457.200000000001</v>
      </c>
      <c r="J2357" s="6">
        <v>3472</v>
      </c>
      <c r="K2357" s="6">
        <v>587</v>
      </c>
      <c r="L2357" s="27">
        <v>7.4886520737327187</v>
      </c>
      <c r="M2357" s="27">
        <v>17.814650766609883</v>
      </c>
      <c r="N2357" s="34">
        <v>18.468403547671841</v>
      </c>
    </row>
    <row r="2358" spans="1:14" x14ac:dyDescent="0.35">
      <c r="A2358" s="82">
        <v>2355</v>
      </c>
      <c r="B2358" s="89" t="str">
        <f>_xlfn.XLOOKUP(A2358,'Model Modeshare by TAZ'!A:A,'Model Modeshare by TAZ'!B:B)</f>
        <v>Berkeley</v>
      </c>
      <c r="C2358" s="90" t="str">
        <f>_xlfn.XLOOKUP(A2358,'Model Modeshare by TAZ'!A:A,'Model Modeshare by TAZ'!D:D)</f>
        <v>NO</v>
      </c>
      <c r="D2358" s="27">
        <v>6396.41</v>
      </c>
      <c r="E2358" s="27">
        <v>92903.95</v>
      </c>
      <c r="F2358" s="27">
        <v>3397.52</v>
      </c>
      <c r="G2358" s="27">
        <v>23197.08</v>
      </c>
      <c r="H2358" s="27">
        <v>792.74</v>
      </c>
      <c r="I2358" s="27">
        <v>10058.629999999999</v>
      </c>
      <c r="J2358" s="6">
        <v>3250</v>
      </c>
      <c r="K2358" s="6">
        <v>710</v>
      </c>
      <c r="L2358" s="27">
        <v>7.1375630769230778</v>
      </c>
      <c r="M2358" s="27">
        <v>14.167084507042253</v>
      </c>
      <c r="N2358" s="34">
        <v>19.491474747474747</v>
      </c>
    </row>
    <row r="2359" spans="1:14" x14ac:dyDescent="0.35">
      <c r="A2359" s="82">
        <v>2356</v>
      </c>
      <c r="B2359" s="89" t="str">
        <f>_xlfn.XLOOKUP(A2359,'Model Modeshare by TAZ'!A:A,'Model Modeshare by TAZ'!B:B)</f>
        <v>Berkeley</v>
      </c>
      <c r="C2359" s="90" t="str">
        <f>_xlfn.XLOOKUP(A2359,'Model Modeshare by TAZ'!A:A,'Model Modeshare by TAZ'!D:D)</f>
        <v>NO</v>
      </c>
      <c r="D2359" s="27">
        <v>4351.38</v>
      </c>
      <c r="E2359" s="27">
        <v>74632.320000000007</v>
      </c>
      <c r="F2359" s="27">
        <v>3003.99</v>
      </c>
      <c r="G2359" s="27">
        <v>22135.24</v>
      </c>
      <c r="H2359" s="27">
        <v>911.75</v>
      </c>
      <c r="I2359" s="27">
        <v>11696.01</v>
      </c>
      <c r="J2359" s="6">
        <v>2784</v>
      </c>
      <c r="K2359" s="6">
        <v>735</v>
      </c>
      <c r="L2359" s="27">
        <v>7.95087643678161</v>
      </c>
      <c r="M2359" s="27">
        <v>15.912938775510204</v>
      </c>
      <c r="N2359" s="34">
        <v>20.9974992895709</v>
      </c>
    </row>
    <row r="2360" spans="1:14" x14ac:dyDescent="0.35">
      <c r="A2360" s="82">
        <v>2357</v>
      </c>
      <c r="B2360" s="89" t="str">
        <f>_xlfn.XLOOKUP(A2360,'Model Modeshare by TAZ'!A:A,'Model Modeshare by TAZ'!B:B)</f>
        <v>Berkeley</v>
      </c>
      <c r="C2360" s="90" t="str">
        <f>_xlfn.XLOOKUP(A2360,'Model Modeshare by TAZ'!A:A,'Model Modeshare by TAZ'!D:D)</f>
        <v>NO</v>
      </c>
      <c r="D2360" s="27">
        <v>6030.6</v>
      </c>
      <c r="E2360" s="27">
        <v>89803.83</v>
      </c>
      <c r="F2360" s="27">
        <v>4794.87</v>
      </c>
      <c r="G2360" s="27">
        <v>32039.95</v>
      </c>
      <c r="H2360" s="27">
        <v>1105.98</v>
      </c>
      <c r="I2360" s="27">
        <v>13590.57</v>
      </c>
      <c r="J2360" s="6">
        <v>3731</v>
      </c>
      <c r="K2360" s="6">
        <v>896</v>
      </c>
      <c r="L2360" s="27">
        <v>8.5874966496917722</v>
      </c>
      <c r="M2360" s="27">
        <v>15.168046875</v>
      </c>
      <c r="N2360" s="34">
        <v>19.063118651393992</v>
      </c>
    </row>
    <row r="2361" spans="1:14" x14ac:dyDescent="0.35">
      <c r="A2361" s="82">
        <v>2358</v>
      </c>
      <c r="B2361" s="89" t="str">
        <f>_xlfn.XLOOKUP(A2361,'Model Modeshare by TAZ'!A:A,'Model Modeshare by TAZ'!B:B)</f>
        <v>Berkeley</v>
      </c>
      <c r="C2361" s="90" t="str">
        <f>_xlfn.XLOOKUP(A2361,'Model Modeshare by TAZ'!A:A,'Model Modeshare by TAZ'!D:D)</f>
        <v>NO</v>
      </c>
      <c r="D2361" s="27">
        <v>2901.67</v>
      </c>
      <c r="E2361" s="27">
        <v>33029.71</v>
      </c>
      <c r="F2361" s="27">
        <v>2249.13</v>
      </c>
      <c r="G2361" s="27">
        <v>11615.01</v>
      </c>
      <c r="H2361" s="27">
        <v>699.89</v>
      </c>
      <c r="I2361" s="27">
        <v>8055.78</v>
      </c>
      <c r="J2361" s="6">
        <v>2042</v>
      </c>
      <c r="K2361" s="6">
        <v>598</v>
      </c>
      <c r="L2361" s="27">
        <v>5.6880558276199809</v>
      </c>
      <c r="M2361" s="27">
        <v>13.471204013377927</v>
      </c>
      <c r="N2361" s="34">
        <v>13.025083333333333</v>
      </c>
    </row>
    <row r="2362" spans="1:14" x14ac:dyDescent="0.35">
      <c r="A2362" s="82">
        <v>2359</v>
      </c>
      <c r="B2362" s="89" t="str">
        <f>_xlfn.XLOOKUP(A2362,'Model Modeshare by TAZ'!A:A,'Model Modeshare by TAZ'!B:B)</f>
        <v>Berkeley</v>
      </c>
      <c r="C2362" s="90" t="str">
        <f>_xlfn.XLOOKUP(A2362,'Model Modeshare by TAZ'!A:A,'Model Modeshare by TAZ'!D:D)</f>
        <v>NO</v>
      </c>
      <c r="D2362" s="27">
        <v>8092.75</v>
      </c>
      <c r="E2362" s="27">
        <v>150260.6</v>
      </c>
      <c r="F2362" s="27">
        <v>3258.68</v>
      </c>
      <c r="G2362" s="27">
        <v>24299.45</v>
      </c>
      <c r="H2362" s="27">
        <v>1088.54</v>
      </c>
      <c r="I2362" s="27">
        <v>14565.14</v>
      </c>
      <c r="J2362" s="6">
        <v>3236</v>
      </c>
      <c r="K2362" s="6">
        <v>1262</v>
      </c>
      <c r="L2362" s="27">
        <v>7.5091007416563658</v>
      </c>
      <c r="M2362" s="27">
        <v>11.541315372424723</v>
      </c>
      <c r="N2362" s="34">
        <v>24.80062916851934</v>
      </c>
    </row>
    <row r="2363" spans="1:14" x14ac:dyDescent="0.35">
      <c r="A2363" s="82">
        <v>2360</v>
      </c>
      <c r="B2363" s="89" t="str">
        <f>_xlfn.XLOOKUP(A2363,'Model Modeshare by TAZ'!A:A,'Model Modeshare by TAZ'!B:B)</f>
        <v>Berkeley</v>
      </c>
      <c r="C2363" s="90" t="str">
        <f>_xlfn.XLOOKUP(A2363,'Model Modeshare by TAZ'!A:A,'Model Modeshare by TAZ'!D:D)</f>
        <v>NO</v>
      </c>
      <c r="D2363" s="27">
        <v>4592.46</v>
      </c>
      <c r="E2363" s="27">
        <v>71200.639999999999</v>
      </c>
      <c r="F2363" s="27">
        <v>4709.5600000000004</v>
      </c>
      <c r="G2363" s="27">
        <v>31363.03</v>
      </c>
      <c r="H2363" s="27">
        <v>764.91</v>
      </c>
      <c r="I2363" s="27">
        <v>9184.5</v>
      </c>
      <c r="J2363" s="6">
        <v>3609</v>
      </c>
      <c r="K2363" s="6">
        <v>512</v>
      </c>
      <c r="L2363" s="27">
        <v>8.6902272097533935</v>
      </c>
      <c r="M2363" s="27">
        <v>17.9384765625</v>
      </c>
      <c r="N2363" s="34">
        <v>17.14109196796894</v>
      </c>
    </row>
    <row r="2364" spans="1:14" x14ac:dyDescent="0.35">
      <c r="A2364" s="82">
        <v>2361</v>
      </c>
      <c r="B2364" s="89" t="str">
        <f>_xlfn.XLOOKUP(A2364,'Model Modeshare by TAZ'!A:A,'Model Modeshare by TAZ'!B:B)</f>
        <v>Berkeley</v>
      </c>
      <c r="C2364" s="90" t="str">
        <f>_xlfn.XLOOKUP(A2364,'Model Modeshare by TAZ'!A:A,'Model Modeshare by TAZ'!D:D)</f>
        <v>NO</v>
      </c>
      <c r="D2364" s="27">
        <v>5240.24</v>
      </c>
      <c r="E2364" s="27">
        <v>76057.02</v>
      </c>
      <c r="F2364" s="27">
        <v>5115.66</v>
      </c>
      <c r="G2364" s="27">
        <v>33798.910000000003</v>
      </c>
      <c r="H2364" s="27">
        <v>760.37</v>
      </c>
      <c r="I2364" s="27">
        <v>8494.66</v>
      </c>
      <c r="J2364" s="6">
        <v>3686</v>
      </c>
      <c r="K2364" s="6">
        <v>472</v>
      </c>
      <c r="L2364" s="27">
        <v>9.1695360824742274</v>
      </c>
      <c r="M2364" s="27">
        <v>17.997161016949153</v>
      </c>
      <c r="N2364" s="34">
        <v>17.355252525252524</v>
      </c>
    </row>
    <row r="2365" spans="1:14" x14ac:dyDescent="0.35">
      <c r="A2365" s="82">
        <v>2362</v>
      </c>
      <c r="B2365" s="89" t="str">
        <f>_xlfn.XLOOKUP(A2365,'Model Modeshare by TAZ'!A:A,'Model Modeshare by TAZ'!B:B)</f>
        <v>Berkeley</v>
      </c>
      <c r="C2365" s="90" t="str">
        <f>_xlfn.XLOOKUP(A2365,'Model Modeshare by TAZ'!A:A,'Model Modeshare by TAZ'!D:D)</f>
        <v>NO</v>
      </c>
      <c r="D2365" s="27">
        <v>2866.77</v>
      </c>
      <c r="E2365" s="27">
        <v>46567.42</v>
      </c>
      <c r="F2365" s="27">
        <v>2949.98</v>
      </c>
      <c r="G2365" s="27">
        <v>21805.58</v>
      </c>
      <c r="H2365" s="27">
        <v>520.95000000000005</v>
      </c>
      <c r="I2365" s="27">
        <v>6922.45</v>
      </c>
      <c r="J2365" s="6">
        <v>2023</v>
      </c>
      <c r="K2365" s="6">
        <v>296</v>
      </c>
      <c r="L2365" s="27">
        <v>10.77883341571923</v>
      </c>
      <c r="M2365" s="27">
        <v>23.386655405405406</v>
      </c>
      <c r="N2365" s="34">
        <v>21.509310047434237</v>
      </c>
    </row>
    <row r="2366" spans="1:14" x14ac:dyDescent="0.35">
      <c r="A2366" s="82">
        <v>2363</v>
      </c>
      <c r="B2366" s="89" t="str">
        <f>_xlfn.XLOOKUP(A2366,'Model Modeshare by TAZ'!A:A,'Model Modeshare by TAZ'!B:B)</f>
        <v>Berkeley</v>
      </c>
      <c r="C2366" s="90" t="str">
        <f>_xlfn.XLOOKUP(A2366,'Model Modeshare by TAZ'!A:A,'Model Modeshare by TAZ'!D:D)</f>
        <v>NO</v>
      </c>
      <c r="D2366" s="27">
        <v>5320.49</v>
      </c>
      <c r="E2366" s="27">
        <v>75406.679999999993</v>
      </c>
      <c r="F2366" s="27">
        <v>5121.2299999999996</v>
      </c>
      <c r="G2366" s="27">
        <v>32667.08</v>
      </c>
      <c r="H2366" s="27">
        <v>912.48</v>
      </c>
      <c r="I2366" s="27">
        <v>10319.69</v>
      </c>
      <c r="J2366" s="6">
        <v>3618</v>
      </c>
      <c r="K2366" s="6">
        <v>567</v>
      </c>
      <c r="L2366" s="27">
        <v>9.0290436705362076</v>
      </c>
      <c r="M2366" s="27">
        <v>18.200511463844798</v>
      </c>
      <c r="N2366" s="34">
        <v>17.326281959378736</v>
      </c>
    </row>
    <row r="2367" spans="1:14" x14ac:dyDescent="0.35">
      <c r="A2367" s="82">
        <v>2364</v>
      </c>
      <c r="B2367" s="89" t="str">
        <f>_xlfn.XLOOKUP(A2367,'Model Modeshare by TAZ'!A:A,'Model Modeshare by TAZ'!B:B)</f>
        <v>Berkeley</v>
      </c>
      <c r="C2367" s="90" t="str">
        <f>_xlfn.XLOOKUP(A2367,'Model Modeshare by TAZ'!A:A,'Model Modeshare by TAZ'!D:D)</f>
        <v>NO</v>
      </c>
      <c r="D2367" s="27">
        <v>2433.27</v>
      </c>
      <c r="E2367" s="27">
        <v>32955.800000000003</v>
      </c>
      <c r="F2367" s="27">
        <v>2342.3200000000002</v>
      </c>
      <c r="G2367" s="27">
        <v>14913.66</v>
      </c>
      <c r="H2367" s="27">
        <v>585.48</v>
      </c>
      <c r="I2367" s="27">
        <v>6667.22</v>
      </c>
      <c r="J2367" s="6">
        <v>1622</v>
      </c>
      <c r="K2367" s="6">
        <v>430</v>
      </c>
      <c r="L2367" s="27">
        <v>9.1946115906288526</v>
      </c>
      <c r="M2367" s="27">
        <v>15.505162790697675</v>
      </c>
      <c r="N2367" s="34">
        <v>20.244385964912283</v>
      </c>
    </row>
    <row r="2368" spans="1:14" x14ac:dyDescent="0.35">
      <c r="A2368" s="82">
        <v>2365</v>
      </c>
      <c r="B2368" s="89" t="str">
        <f>_xlfn.XLOOKUP(A2368,'Model Modeshare by TAZ'!A:A,'Model Modeshare by TAZ'!B:B)</f>
        <v>Berkeley</v>
      </c>
      <c r="C2368" s="90" t="str">
        <f>_xlfn.XLOOKUP(A2368,'Model Modeshare by TAZ'!A:A,'Model Modeshare by TAZ'!D:D)</f>
        <v>NO</v>
      </c>
      <c r="D2368" s="27">
        <v>8712.7199999999993</v>
      </c>
      <c r="E2368" s="27">
        <v>129863.85</v>
      </c>
      <c r="F2368" s="27">
        <v>4941.55</v>
      </c>
      <c r="G2368" s="27">
        <v>30483.78</v>
      </c>
      <c r="H2368" s="27">
        <v>1776.68</v>
      </c>
      <c r="I2368" s="27">
        <v>20529.150000000001</v>
      </c>
      <c r="J2368" s="6">
        <v>3903</v>
      </c>
      <c r="K2368" s="6">
        <v>1676</v>
      </c>
      <c r="L2368" s="27">
        <v>7.8103458877786318</v>
      </c>
      <c r="M2368" s="27">
        <v>12.248896181384248</v>
      </c>
      <c r="N2368" s="34">
        <v>22.233658361713569</v>
      </c>
    </row>
    <row r="2369" spans="1:14" x14ac:dyDescent="0.35">
      <c r="A2369" s="82">
        <v>2366</v>
      </c>
      <c r="B2369" s="89" t="str">
        <f>_xlfn.XLOOKUP(A2369,'Model Modeshare by TAZ'!A:A,'Model Modeshare by TAZ'!B:B)</f>
        <v>Albany</v>
      </c>
      <c r="C2369" s="90" t="str">
        <f>_xlfn.XLOOKUP(A2369,'Model Modeshare by TAZ'!A:A,'Model Modeshare by TAZ'!D:D)</f>
        <v>NO</v>
      </c>
      <c r="D2369" s="27">
        <v>5274.24</v>
      </c>
      <c r="E2369" s="27">
        <v>81172.490000000005</v>
      </c>
      <c r="F2369" s="27">
        <v>4318.67</v>
      </c>
      <c r="G2369" s="27">
        <v>29871.57</v>
      </c>
      <c r="H2369" s="27">
        <v>941.78</v>
      </c>
      <c r="I2369" s="27">
        <v>11417.52</v>
      </c>
      <c r="J2369" s="6">
        <v>3384</v>
      </c>
      <c r="K2369" s="6">
        <v>596</v>
      </c>
      <c r="L2369" s="27">
        <v>8.8272960992907805</v>
      </c>
      <c r="M2369" s="27">
        <v>19.156912751677854</v>
      </c>
      <c r="N2369" s="34">
        <v>17.97076633165829</v>
      </c>
    </row>
    <row r="2370" spans="1:14" x14ac:dyDescent="0.35">
      <c r="A2370" s="82">
        <v>2367</v>
      </c>
      <c r="B2370" s="89" t="str">
        <f>_xlfn.XLOOKUP(A2370,'Model Modeshare by TAZ'!A:A,'Model Modeshare by TAZ'!B:B)</f>
        <v>Albany</v>
      </c>
      <c r="C2370" s="90" t="str">
        <f>_xlfn.XLOOKUP(A2370,'Model Modeshare by TAZ'!A:A,'Model Modeshare by TAZ'!D:D)</f>
        <v>NO</v>
      </c>
      <c r="D2370" s="27">
        <v>4491.67</v>
      </c>
      <c r="E2370" s="27">
        <v>76135.55</v>
      </c>
      <c r="F2370" s="27">
        <v>2945.46</v>
      </c>
      <c r="G2370" s="27">
        <v>23321.57</v>
      </c>
      <c r="H2370" s="27">
        <v>617.45000000000005</v>
      </c>
      <c r="I2370" s="27">
        <v>7793.07</v>
      </c>
      <c r="J2370" s="6">
        <v>2430</v>
      </c>
      <c r="K2370" s="6">
        <v>433</v>
      </c>
      <c r="L2370" s="27">
        <v>9.5973539094650206</v>
      </c>
      <c r="M2370" s="27">
        <v>17.997852193995381</v>
      </c>
      <c r="N2370" s="34">
        <v>23.048494586098496</v>
      </c>
    </row>
    <row r="2371" spans="1:14" x14ac:dyDescent="0.35">
      <c r="A2371" s="82">
        <v>2368</v>
      </c>
      <c r="B2371" s="89" t="str">
        <f>_xlfn.XLOOKUP(A2371,'Model Modeshare by TAZ'!A:A,'Model Modeshare by TAZ'!B:B)</f>
        <v>Albany</v>
      </c>
      <c r="C2371" s="90" t="str">
        <f>_xlfn.XLOOKUP(A2371,'Model Modeshare by TAZ'!A:A,'Model Modeshare by TAZ'!D:D)</f>
        <v>NO</v>
      </c>
      <c r="D2371" s="27">
        <v>5371.79</v>
      </c>
      <c r="E2371" s="27">
        <v>93005.67</v>
      </c>
      <c r="F2371" s="27">
        <v>3443.59</v>
      </c>
      <c r="G2371" s="27">
        <v>27740.49</v>
      </c>
      <c r="H2371" s="27">
        <v>815.76</v>
      </c>
      <c r="I2371" s="27">
        <v>10617.73</v>
      </c>
      <c r="J2371" s="6">
        <v>3005</v>
      </c>
      <c r="K2371" s="6">
        <v>608</v>
      </c>
      <c r="L2371" s="27">
        <v>9.2314442595673878</v>
      </c>
      <c r="M2371" s="27">
        <v>17.463371710526314</v>
      </c>
      <c r="N2371" s="34">
        <v>21.810899529476888</v>
      </c>
    </row>
    <row r="2372" spans="1:14" x14ac:dyDescent="0.35">
      <c r="A2372" s="82">
        <v>2369</v>
      </c>
      <c r="B2372" s="89" t="str">
        <f>_xlfn.XLOOKUP(A2372,'Model Modeshare by TAZ'!A:A,'Model Modeshare by TAZ'!B:B)</f>
        <v>Albany</v>
      </c>
      <c r="C2372" s="90" t="str">
        <f>_xlfn.XLOOKUP(A2372,'Model Modeshare by TAZ'!A:A,'Model Modeshare by TAZ'!D:D)</f>
        <v>NO</v>
      </c>
      <c r="D2372" s="27">
        <v>3832.02</v>
      </c>
      <c r="E2372" s="27">
        <v>56701.24</v>
      </c>
      <c r="F2372" s="27">
        <v>2681.02</v>
      </c>
      <c r="G2372" s="27">
        <v>18330.63</v>
      </c>
      <c r="H2372" s="27">
        <v>796.69</v>
      </c>
      <c r="I2372" s="27">
        <v>9500.07</v>
      </c>
      <c r="J2372" s="6">
        <v>2378</v>
      </c>
      <c r="K2372" s="6">
        <v>623</v>
      </c>
      <c r="L2372" s="27">
        <v>7.7084230445752739</v>
      </c>
      <c r="M2372" s="27">
        <v>15.248908507223113</v>
      </c>
      <c r="N2372" s="34">
        <v>17.340613128957013</v>
      </c>
    </row>
    <row r="2373" spans="1:14" x14ac:dyDescent="0.35">
      <c r="A2373" s="82">
        <v>2370</v>
      </c>
      <c r="B2373" s="89" t="str">
        <f>_xlfn.XLOOKUP(A2373,'Model Modeshare by TAZ'!A:A,'Model Modeshare by TAZ'!B:B)</f>
        <v>Albany</v>
      </c>
      <c r="C2373" s="90" t="str">
        <f>_xlfn.XLOOKUP(A2373,'Model Modeshare by TAZ'!A:A,'Model Modeshare by TAZ'!D:D)</f>
        <v>NO</v>
      </c>
      <c r="D2373" s="27">
        <v>4295.5600000000004</v>
      </c>
      <c r="E2373" s="27">
        <v>74582.13</v>
      </c>
      <c r="F2373" s="27">
        <v>2927.46</v>
      </c>
      <c r="G2373" s="27">
        <v>22808.16</v>
      </c>
      <c r="H2373" s="27">
        <v>1141.1199999999999</v>
      </c>
      <c r="I2373" s="27">
        <v>14735.32</v>
      </c>
      <c r="J2373" s="6">
        <v>3208</v>
      </c>
      <c r="K2373" s="6">
        <v>1022</v>
      </c>
      <c r="L2373" s="27">
        <v>7.1097755610972566</v>
      </c>
      <c r="M2373" s="27">
        <v>14.41812133072407</v>
      </c>
      <c r="N2373" s="34">
        <v>17.440605200945626</v>
      </c>
    </row>
    <row r="2374" spans="1:14" x14ac:dyDescent="0.35">
      <c r="A2374" s="82">
        <v>2371</v>
      </c>
      <c r="B2374" s="89" t="str">
        <f>_xlfn.XLOOKUP(A2374,'Model Modeshare by TAZ'!A:A,'Model Modeshare by TAZ'!B:B)</f>
        <v>Albany</v>
      </c>
      <c r="C2374" s="90" t="str">
        <f>_xlfn.XLOOKUP(A2374,'Model Modeshare by TAZ'!A:A,'Model Modeshare by TAZ'!D:D)</f>
        <v>NO</v>
      </c>
      <c r="D2374" s="27">
        <v>7957.66</v>
      </c>
      <c r="E2374" s="27">
        <v>148189.92000000001</v>
      </c>
      <c r="F2374" s="27">
        <v>5867.72</v>
      </c>
      <c r="G2374" s="27">
        <v>50841.63</v>
      </c>
      <c r="H2374" s="27">
        <v>1738.5</v>
      </c>
      <c r="I2374" s="27">
        <v>23171.39</v>
      </c>
      <c r="J2374" s="6">
        <v>4713</v>
      </c>
      <c r="K2374" s="6">
        <v>1233</v>
      </c>
      <c r="L2374" s="27">
        <v>10.787530235518778</v>
      </c>
      <c r="M2374" s="27">
        <v>18.792692619626926</v>
      </c>
      <c r="N2374" s="34">
        <v>25.326977800201814</v>
      </c>
    </row>
    <row r="2375" spans="1:14" x14ac:dyDescent="0.35">
      <c r="A2375" s="82">
        <v>2372</v>
      </c>
      <c r="B2375" s="89" t="str">
        <f>_xlfn.XLOOKUP(A2375,'Model Modeshare by TAZ'!A:A,'Model Modeshare by TAZ'!B:B)</f>
        <v>El Cerrito</v>
      </c>
      <c r="C2375" s="90" t="str">
        <f>_xlfn.XLOOKUP(A2375,'Model Modeshare by TAZ'!A:A,'Model Modeshare by TAZ'!D:D)</f>
        <v>NO</v>
      </c>
      <c r="D2375" s="27">
        <v>2593.83</v>
      </c>
      <c r="E2375" s="27">
        <v>43392.31</v>
      </c>
      <c r="F2375" s="27">
        <v>1866.97</v>
      </c>
      <c r="G2375" s="27">
        <v>16795.16</v>
      </c>
      <c r="H2375" s="27">
        <v>632</v>
      </c>
      <c r="I2375" s="27">
        <v>7417.79</v>
      </c>
      <c r="J2375" s="6">
        <v>1676</v>
      </c>
      <c r="K2375" s="6">
        <v>420</v>
      </c>
      <c r="L2375" s="27">
        <v>10.020978520286397</v>
      </c>
      <c r="M2375" s="27">
        <v>17.661404761904762</v>
      </c>
      <c r="N2375" s="34">
        <v>25.519308206106871</v>
      </c>
    </row>
    <row r="2376" spans="1:14" x14ac:dyDescent="0.35">
      <c r="A2376" s="82">
        <v>2373</v>
      </c>
      <c r="B2376" s="89" t="str">
        <f>_xlfn.XLOOKUP(A2376,'Model Modeshare by TAZ'!A:A,'Model Modeshare by TAZ'!B:B)</f>
        <v>El Cerrito</v>
      </c>
      <c r="C2376" s="90" t="str">
        <f>_xlfn.XLOOKUP(A2376,'Model Modeshare by TAZ'!A:A,'Model Modeshare by TAZ'!D:D)</f>
        <v>NO</v>
      </c>
      <c r="D2376" s="27">
        <v>8457.77</v>
      </c>
      <c r="E2376" s="27">
        <v>135288.94</v>
      </c>
      <c r="F2376" s="27">
        <v>2383.06</v>
      </c>
      <c r="G2376" s="27">
        <v>20322.71</v>
      </c>
      <c r="H2376" s="27">
        <v>748.59</v>
      </c>
      <c r="I2376" s="27">
        <v>9421.18</v>
      </c>
      <c r="J2376" s="6">
        <v>2059</v>
      </c>
      <c r="K2376" s="6">
        <v>684</v>
      </c>
      <c r="L2376" s="27">
        <v>9.8701845556095194</v>
      </c>
      <c r="M2376" s="27">
        <v>13.773654970760234</v>
      </c>
      <c r="N2376" s="34">
        <v>29.25284724753919</v>
      </c>
    </row>
    <row r="2377" spans="1:14" x14ac:dyDescent="0.35">
      <c r="A2377" s="82">
        <v>2374</v>
      </c>
      <c r="B2377" s="89" t="str">
        <f>_xlfn.XLOOKUP(A2377,'Model Modeshare by TAZ'!A:A,'Model Modeshare by TAZ'!B:B)</f>
        <v>El Cerrito</v>
      </c>
      <c r="C2377" s="90" t="str">
        <f>_xlfn.XLOOKUP(A2377,'Model Modeshare by TAZ'!A:A,'Model Modeshare by TAZ'!D:D)</f>
        <v>NO</v>
      </c>
      <c r="D2377" s="27">
        <v>2518.1999999999998</v>
      </c>
      <c r="E2377" s="27">
        <v>40280.82</v>
      </c>
      <c r="F2377" s="27">
        <v>2283.7600000000002</v>
      </c>
      <c r="G2377" s="27">
        <v>18007.96</v>
      </c>
      <c r="H2377" s="27">
        <v>680.27</v>
      </c>
      <c r="I2377" s="27">
        <v>8389.77</v>
      </c>
      <c r="J2377" s="6">
        <v>1729</v>
      </c>
      <c r="K2377" s="6">
        <v>590</v>
      </c>
      <c r="L2377" s="27">
        <v>10.415245806824753</v>
      </c>
      <c r="M2377" s="27">
        <v>14.219949152542373</v>
      </c>
      <c r="N2377" s="34">
        <v>20.762664941785253</v>
      </c>
    </row>
    <row r="2378" spans="1:14" x14ac:dyDescent="0.35">
      <c r="A2378" s="82">
        <v>2375</v>
      </c>
      <c r="B2378" s="89" t="str">
        <f>_xlfn.XLOOKUP(A2378,'Model Modeshare by TAZ'!A:A,'Model Modeshare by TAZ'!B:B)</f>
        <v>Unincorporated</v>
      </c>
      <c r="C2378" s="90" t="str">
        <f>_xlfn.XLOOKUP(A2378,'Model Modeshare by TAZ'!A:A,'Model Modeshare by TAZ'!D:D)</f>
        <v>NO</v>
      </c>
      <c r="D2378" s="27">
        <v>5621.53</v>
      </c>
      <c r="E2378" s="27">
        <v>88469.85</v>
      </c>
      <c r="F2378" s="27">
        <v>3378.7</v>
      </c>
      <c r="G2378" s="27">
        <v>25569.99</v>
      </c>
      <c r="H2378" s="27">
        <v>514.62</v>
      </c>
      <c r="I2378" s="27">
        <v>6217.62</v>
      </c>
      <c r="J2378" s="6">
        <v>2588</v>
      </c>
      <c r="K2378" s="6">
        <v>301</v>
      </c>
      <c r="L2378" s="27">
        <v>9.8802125193199384</v>
      </c>
      <c r="M2378" s="27">
        <v>20.656544850498339</v>
      </c>
      <c r="N2378" s="34">
        <v>27.59577708549671</v>
      </c>
    </row>
    <row r="2379" spans="1:14" x14ac:dyDescent="0.35">
      <c r="A2379" s="82">
        <v>2376</v>
      </c>
      <c r="B2379" s="89" t="str">
        <f>_xlfn.XLOOKUP(A2379,'Model Modeshare by TAZ'!A:A,'Model Modeshare by TAZ'!B:B)</f>
        <v>Unincorporated</v>
      </c>
      <c r="C2379" s="90" t="str">
        <f>_xlfn.XLOOKUP(A2379,'Model Modeshare by TAZ'!A:A,'Model Modeshare by TAZ'!D:D)</f>
        <v>NO</v>
      </c>
      <c r="D2379" s="27">
        <v>4059.58</v>
      </c>
      <c r="E2379" s="27">
        <v>82680.179999999993</v>
      </c>
      <c r="F2379" s="27">
        <v>3483.14</v>
      </c>
      <c r="G2379" s="27">
        <v>32230.93</v>
      </c>
      <c r="H2379" s="27">
        <v>709.91</v>
      </c>
      <c r="I2379" s="27">
        <v>10152.68</v>
      </c>
      <c r="J2379" s="6">
        <v>2316</v>
      </c>
      <c r="K2379" s="6">
        <v>400</v>
      </c>
      <c r="L2379" s="27">
        <v>13.916636442141623</v>
      </c>
      <c r="M2379" s="27">
        <v>25.381700000000002</v>
      </c>
      <c r="N2379" s="34">
        <v>28.512131811487482</v>
      </c>
    </row>
    <row r="2380" spans="1:14" x14ac:dyDescent="0.35">
      <c r="A2380" s="82">
        <v>2377</v>
      </c>
      <c r="B2380" s="89" t="str">
        <f>_xlfn.XLOOKUP(A2380,'Model Modeshare by TAZ'!A:A,'Model Modeshare by TAZ'!B:B)</f>
        <v>El Cerrito</v>
      </c>
      <c r="C2380" s="90" t="str">
        <f>_xlfn.XLOOKUP(A2380,'Model Modeshare by TAZ'!A:A,'Model Modeshare by TAZ'!D:D)</f>
        <v>NO</v>
      </c>
      <c r="D2380" s="27">
        <v>4119.96</v>
      </c>
      <c r="E2380" s="27">
        <v>77689.45</v>
      </c>
      <c r="F2380" s="27">
        <v>3873.79</v>
      </c>
      <c r="G2380" s="27">
        <v>36641.230000000003</v>
      </c>
      <c r="H2380" s="27">
        <v>346.54</v>
      </c>
      <c r="I2380" s="27">
        <v>4228.1000000000004</v>
      </c>
      <c r="J2380" s="6">
        <v>2780</v>
      </c>
      <c r="K2380" s="6">
        <v>183</v>
      </c>
      <c r="L2380" s="27">
        <v>13.18029856115108</v>
      </c>
      <c r="M2380" s="27">
        <v>23.104371584699457</v>
      </c>
      <c r="N2380" s="34">
        <v>23.008882888963889</v>
      </c>
    </row>
    <row r="2381" spans="1:14" x14ac:dyDescent="0.35">
      <c r="A2381" s="82">
        <v>2378</v>
      </c>
      <c r="B2381" s="89" t="str">
        <f>_xlfn.XLOOKUP(A2381,'Model Modeshare by TAZ'!A:A,'Model Modeshare by TAZ'!B:B)</f>
        <v>El Cerrito</v>
      </c>
      <c r="C2381" s="90" t="str">
        <f>_xlfn.XLOOKUP(A2381,'Model Modeshare by TAZ'!A:A,'Model Modeshare by TAZ'!D:D)</f>
        <v>NO</v>
      </c>
      <c r="D2381" s="27">
        <v>3145.39</v>
      </c>
      <c r="E2381" s="27">
        <v>57798.82</v>
      </c>
      <c r="F2381" s="27">
        <v>2948.02</v>
      </c>
      <c r="G2381" s="27">
        <v>27629.3</v>
      </c>
      <c r="H2381" s="27">
        <v>421.15</v>
      </c>
      <c r="I2381" s="27">
        <v>5649.26</v>
      </c>
      <c r="J2381" s="6">
        <v>2253</v>
      </c>
      <c r="K2381" s="6">
        <v>231</v>
      </c>
      <c r="L2381" s="27">
        <v>12.263337771859742</v>
      </c>
      <c r="M2381" s="27">
        <v>24.455670995670996</v>
      </c>
      <c r="N2381" s="34">
        <v>22.936831723027375</v>
      </c>
    </row>
    <row r="2382" spans="1:14" x14ac:dyDescent="0.35">
      <c r="A2382" s="82">
        <v>2379</v>
      </c>
      <c r="B2382" s="89" t="str">
        <f>_xlfn.XLOOKUP(A2382,'Model Modeshare by TAZ'!A:A,'Model Modeshare by TAZ'!B:B)</f>
        <v>El Cerrito</v>
      </c>
      <c r="C2382" s="90" t="str">
        <f>_xlfn.XLOOKUP(A2382,'Model Modeshare by TAZ'!A:A,'Model Modeshare by TAZ'!D:D)</f>
        <v>NO</v>
      </c>
      <c r="D2382" s="27">
        <v>5289.11</v>
      </c>
      <c r="E2382" s="27">
        <v>95306.52</v>
      </c>
      <c r="F2382" s="27">
        <v>3217.87</v>
      </c>
      <c r="G2382" s="27">
        <v>28768.080000000002</v>
      </c>
      <c r="H2382" s="27">
        <v>958.07</v>
      </c>
      <c r="I2382" s="27">
        <v>12262.02</v>
      </c>
      <c r="J2382" s="6">
        <v>2638</v>
      </c>
      <c r="K2382" s="6">
        <v>843</v>
      </c>
      <c r="L2382" s="27">
        <v>10.905261561789235</v>
      </c>
      <c r="M2382" s="27">
        <v>14.545693950177936</v>
      </c>
      <c r="N2382" s="34">
        <v>24.575079000287275</v>
      </c>
    </row>
    <row r="2383" spans="1:14" x14ac:dyDescent="0.35">
      <c r="A2383" s="82">
        <v>2380</v>
      </c>
      <c r="B2383" s="89" t="str">
        <f>_xlfn.XLOOKUP(A2383,'Model Modeshare by TAZ'!A:A,'Model Modeshare by TAZ'!B:B)</f>
        <v>El Cerrito</v>
      </c>
      <c r="C2383" s="90" t="str">
        <f>_xlfn.XLOOKUP(A2383,'Model Modeshare by TAZ'!A:A,'Model Modeshare by TAZ'!D:D)</f>
        <v>NO</v>
      </c>
      <c r="D2383" s="27">
        <v>3619.27</v>
      </c>
      <c r="E2383" s="27">
        <v>60085.5</v>
      </c>
      <c r="F2383" s="27">
        <v>3073.42</v>
      </c>
      <c r="G2383" s="27">
        <v>26299.89</v>
      </c>
      <c r="H2383" s="27">
        <v>786.82</v>
      </c>
      <c r="I2383" s="27">
        <v>9548.36</v>
      </c>
      <c r="J2383" s="6">
        <v>2635</v>
      </c>
      <c r="K2383" s="6">
        <v>617</v>
      </c>
      <c r="L2383" s="27">
        <v>9.9809829222011377</v>
      </c>
      <c r="M2383" s="27">
        <v>15.475461912479741</v>
      </c>
      <c r="N2383" s="34">
        <v>20.801909594095939</v>
      </c>
    </row>
    <row r="2384" spans="1:14" x14ac:dyDescent="0.35">
      <c r="A2384" s="82">
        <v>2381</v>
      </c>
      <c r="B2384" s="89" t="str">
        <f>_xlfn.XLOOKUP(A2384,'Model Modeshare by TAZ'!A:A,'Model Modeshare by TAZ'!B:B)</f>
        <v>Richmond</v>
      </c>
      <c r="C2384" s="90" t="str">
        <f>_xlfn.XLOOKUP(A2384,'Model Modeshare by TAZ'!A:A,'Model Modeshare by TAZ'!D:D)</f>
        <v>NO</v>
      </c>
      <c r="D2384" s="27">
        <v>8374.6</v>
      </c>
      <c r="E2384" s="27">
        <v>142733.10999999999</v>
      </c>
      <c r="F2384" s="27">
        <v>6092.06</v>
      </c>
      <c r="G2384" s="27">
        <v>50951.78</v>
      </c>
      <c r="H2384" s="27">
        <v>1600.45</v>
      </c>
      <c r="I2384" s="27">
        <v>18886.23</v>
      </c>
      <c r="J2384" s="6">
        <v>4912</v>
      </c>
      <c r="K2384" s="6">
        <v>948</v>
      </c>
      <c r="L2384" s="27">
        <v>10.372919381107492</v>
      </c>
      <c r="M2384" s="27">
        <v>19.922183544303795</v>
      </c>
      <c r="N2384" s="34">
        <v>21.928401023890785</v>
      </c>
    </row>
    <row r="2385" spans="1:14" x14ac:dyDescent="0.35">
      <c r="A2385" s="82">
        <v>2382</v>
      </c>
      <c r="B2385" s="89" t="str">
        <f>_xlfn.XLOOKUP(A2385,'Model Modeshare by TAZ'!A:A,'Model Modeshare by TAZ'!B:B)</f>
        <v>Richmond</v>
      </c>
      <c r="C2385" s="90" t="str">
        <f>_xlfn.XLOOKUP(A2385,'Model Modeshare by TAZ'!A:A,'Model Modeshare by TAZ'!D:D)</f>
        <v>NO</v>
      </c>
      <c r="D2385" s="27">
        <v>10824.11</v>
      </c>
      <c r="E2385" s="27">
        <v>182190.25</v>
      </c>
      <c r="F2385" s="27">
        <v>7634.65</v>
      </c>
      <c r="G2385" s="27">
        <v>63849.29</v>
      </c>
      <c r="H2385" s="27">
        <v>1213.3900000000001</v>
      </c>
      <c r="I2385" s="27">
        <v>14523.78</v>
      </c>
      <c r="J2385" s="6">
        <v>7307</v>
      </c>
      <c r="K2385" s="6">
        <v>693</v>
      </c>
      <c r="L2385" s="27">
        <v>8.7380990830710275</v>
      </c>
      <c r="M2385" s="27">
        <v>20.9578354978355</v>
      </c>
      <c r="N2385" s="34">
        <v>17.056039999999999</v>
      </c>
    </row>
    <row r="2386" spans="1:14" x14ac:dyDescent="0.35">
      <c r="A2386" s="82">
        <v>2383</v>
      </c>
      <c r="B2386" s="89" t="str">
        <f>_xlfn.XLOOKUP(A2386,'Model Modeshare by TAZ'!A:A,'Model Modeshare by TAZ'!B:B)</f>
        <v>El Cerrito</v>
      </c>
      <c r="C2386" s="90" t="str">
        <f>_xlfn.XLOOKUP(A2386,'Model Modeshare by TAZ'!A:A,'Model Modeshare by TAZ'!D:D)</f>
        <v>NO</v>
      </c>
      <c r="D2386" s="27">
        <v>7447.44</v>
      </c>
      <c r="E2386" s="27">
        <v>91800.15</v>
      </c>
      <c r="F2386" s="27">
        <v>3363.75</v>
      </c>
      <c r="G2386" s="27">
        <v>21120.45</v>
      </c>
      <c r="H2386" s="27">
        <v>2350.06</v>
      </c>
      <c r="I2386" s="27">
        <v>27820.240000000002</v>
      </c>
      <c r="J2386" s="6">
        <v>3415</v>
      </c>
      <c r="K2386" s="6">
        <v>2291</v>
      </c>
      <c r="L2386" s="27">
        <v>6.1846120058565157</v>
      </c>
      <c r="M2386" s="27">
        <v>12.14327367961589</v>
      </c>
      <c r="N2386" s="34">
        <v>17.129235892043464</v>
      </c>
    </row>
    <row r="2387" spans="1:14" x14ac:dyDescent="0.35">
      <c r="A2387" s="82">
        <v>2384</v>
      </c>
      <c r="B2387" s="89" t="str">
        <f>_xlfn.XLOOKUP(A2387,'Model Modeshare by TAZ'!A:A,'Model Modeshare by TAZ'!B:B)</f>
        <v>El Cerrito</v>
      </c>
      <c r="C2387" s="90" t="str">
        <f>_xlfn.XLOOKUP(A2387,'Model Modeshare by TAZ'!A:A,'Model Modeshare by TAZ'!D:D)</f>
        <v>NO</v>
      </c>
      <c r="D2387" s="27">
        <v>5630.85</v>
      </c>
      <c r="E2387" s="27">
        <v>69270.22</v>
      </c>
      <c r="F2387" s="27">
        <v>1737</v>
      </c>
      <c r="G2387" s="27">
        <v>14216.74</v>
      </c>
      <c r="H2387" s="27">
        <v>205.83</v>
      </c>
      <c r="I2387" s="27">
        <v>2557.89</v>
      </c>
      <c r="J2387" s="6">
        <v>1335</v>
      </c>
      <c r="K2387" s="6">
        <v>124</v>
      </c>
      <c r="L2387" s="27">
        <v>10.649243445692884</v>
      </c>
      <c r="M2387" s="27">
        <v>20.628145161290323</v>
      </c>
      <c r="N2387" s="34">
        <v>45.126490747087047</v>
      </c>
    </row>
    <row r="2388" spans="1:14" x14ac:dyDescent="0.35">
      <c r="A2388" s="82">
        <v>2385</v>
      </c>
      <c r="B2388" s="89" t="str">
        <f>_xlfn.XLOOKUP(A2388,'Model Modeshare by TAZ'!A:A,'Model Modeshare by TAZ'!B:B)</f>
        <v>El Cerrito</v>
      </c>
      <c r="C2388" s="90" t="str">
        <f>_xlfn.XLOOKUP(A2388,'Model Modeshare by TAZ'!A:A,'Model Modeshare by TAZ'!D:D)</f>
        <v>NO</v>
      </c>
      <c r="D2388" s="27">
        <v>5130.41</v>
      </c>
      <c r="E2388" s="27">
        <v>85467.48</v>
      </c>
      <c r="F2388" s="27">
        <v>5322.2</v>
      </c>
      <c r="G2388" s="27">
        <v>48384.86</v>
      </c>
      <c r="H2388" s="27">
        <v>628</v>
      </c>
      <c r="I2388" s="27">
        <v>7633.72</v>
      </c>
      <c r="J2388" s="6">
        <v>3919</v>
      </c>
      <c r="K2388" s="6">
        <v>367</v>
      </c>
      <c r="L2388" s="27">
        <v>12.346226078081143</v>
      </c>
      <c r="M2388" s="27">
        <v>20.800326975476839</v>
      </c>
      <c r="N2388" s="34">
        <v>20.365100326644892</v>
      </c>
    </row>
    <row r="2389" spans="1:14" x14ac:dyDescent="0.35">
      <c r="A2389" s="82">
        <v>2386</v>
      </c>
      <c r="B2389" s="89" t="str">
        <f>_xlfn.XLOOKUP(A2389,'Model Modeshare by TAZ'!A:A,'Model Modeshare by TAZ'!B:B)</f>
        <v>Richmond</v>
      </c>
      <c r="C2389" s="90" t="str">
        <f>_xlfn.XLOOKUP(A2389,'Model Modeshare by TAZ'!A:A,'Model Modeshare by TAZ'!D:D)</f>
        <v>NO</v>
      </c>
      <c r="D2389" s="27">
        <v>4160.43</v>
      </c>
      <c r="E2389" s="27">
        <v>62705.25</v>
      </c>
      <c r="F2389" s="27">
        <v>3505.39</v>
      </c>
      <c r="G2389" s="27">
        <v>27908.58</v>
      </c>
      <c r="H2389" s="27">
        <v>762.05</v>
      </c>
      <c r="I2389" s="27">
        <v>8409.9599999999991</v>
      </c>
      <c r="J2389" s="6">
        <v>2961</v>
      </c>
      <c r="K2389" s="6">
        <v>520</v>
      </c>
      <c r="L2389" s="27">
        <v>9.4253900709219867</v>
      </c>
      <c r="M2389" s="27">
        <v>16.172999999999998</v>
      </c>
      <c r="N2389" s="34">
        <v>15.926569951163458</v>
      </c>
    </row>
    <row r="2390" spans="1:14" x14ac:dyDescent="0.35">
      <c r="A2390" s="82">
        <v>2387</v>
      </c>
      <c r="B2390" s="89" t="str">
        <f>_xlfn.XLOOKUP(A2390,'Model Modeshare by TAZ'!A:A,'Model Modeshare by TAZ'!B:B)</f>
        <v>Richmond</v>
      </c>
      <c r="C2390" s="90" t="str">
        <f>_xlfn.XLOOKUP(A2390,'Model Modeshare by TAZ'!A:A,'Model Modeshare by TAZ'!D:D)</f>
        <v>NO</v>
      </c>
      <c r="D2390" s="27">
        <v>7804.46</v>
      </c>
      <c r="E2390" s="27">
        <v>121813.17</v>
      </c>
      <c r="F2390" s="27">
        <v>6382</v>
      </c>
      <c r="G2390" s="27">
        <v>53772.160000000003</v>
      </c>
      <c r="H2390" s="27">
        <v>1330.56</v>
      </c>
      <c r="I2390" s="27">
        <v>14441.06</v>
      </c>
      <c r="J2390" s="6">
        <v>5568</v>
      </c>
      <c r="K2390" s="6">
        <v>792</v>
      </c>
      <c r="L2390" s="27">
        <v>9.6573563218390817</v>
      </c>
      <c r="M2390" s="27">
        <v>18.233661616161616</v>
      </c>
      <c r="N2390" s="34">
        <v>17.126454402515723</v>
      </c>
    </row>
    <row r="2391" spans="1:14" x14ac:dyDescent="0.35">
      <c r="A2391" s="82">
        <v>2388</v>
      </c>
      <c r="B2391" s="89" t="str">
        <f>_xlfn.XLOOKUP(A2391,'Model Modeshare by TAZ'!A:A,'Model Modeshare by TAZ'!B:B)</f>
        <v>Richmond</v>
      </c>
      <c r="C2391" s="90" t="str">
        <f>_xlfn.XLOOKUP(A2391,'Model Modeshare by TAZ'!A:A,'Model Modeshare by TAZ'!D:D)</f>
        <v>NO</v>
      </c>
      <c r="D2391" s="27">
        <v>8197.44</v>
      </c>
      <c r="E2391" s="27">
        <v>134164.73000000001</v>
      </c>
      <c r="F2391" s="27">
        <v>4950.58</v>
      </c>
      <c r="G2391" s="27">
        <v>42986.59</v>
      </c>
      <c r="H2391" s="27">
        <v>1850.8</v>
      </c>
      <c r="I2391" s="27">
        <v>21335.29</v>
      </c>
      <c r="J2391" s="6">
        <v>4819</v>
      </c>
      <c r="K2391" s="6">
        <v>1665</v>
      </c>
      <c r="L2391" s="27">
        <v>8.9202303382444477</v>
      </c>
      <c r="M2391" s="27">
        <v>12.813987987987989</v>
      </c>
      <c r="N2391" s="34">
        <v>18.085448797038865</v>
      </c>
    </row>
    <row r="2392" spans="1:14" x14ac:dyDescent="0.35">
      <c r="A2392" s="82">
        <v>2389</v>
      </c>
      <c r="B2392" s="89" t="str">
        <f>_xlfn.XLOOKUP(A2392,'Model Modeshare by TAZ'!A:A,'Model Modeshare by TAZ'!B:B)</f>
        <v>Richmond</v>
      </c>
      <c r="C2392" s="90" t="str">
        <f>_xlfn.XLOOKUP(A2392,'Model Modeshare by TAZ'!A:A,'Model Modeshare by TAZ'!D:D)</f>
        <v>NO</v>
      </c>
      <c r="D2392" s="27">
        <v>11451.53</v>
      </c>
      <c r="E2392" s="27">
        <v>155126.51999999999</v>
      </c>
      <c r="F2392" s="27">
        <v>3925.01</v>
      </c>
      <c r="G2392" s="27">
        <v>29117.41</v>
      </c>
      <c r="H2392" s="27">
        <v>591.15</v>
      </c>
      <c r="I2392" s="27">
        <v>6712.67</v>
      </c>
      <c r="J2392" s="6">
        <v>4608</v>
      </c>
      <c r="K2392" s="6">
        <v>366</v>
      </c>
      <c r="L2392" s="27">
        <v>6.3188823784722219</v>
      </c>
      <c r="M2392" s="27">
        <v>18.340628415300547</v>
      </c>
      <c r="N2392" s="34">
        <v>11.265301568154403</v>
      </c>
    </row>
    <row r="2393" spans="1:14" x14ac:dyDescent="0.35">
      <c r="A2393" s="82">
        <v>2390</v>
      </c>
      <c r="B2393" s="89" t="str">
        <f>_xlfn.XLOOKUP(A2393,'Model Modeshare by TAZ'!A:A,'Model Modeshare by TAZ'!B:B)</f>
        <v>Richmond</v>
      </c>
      <c r="C2393" s="90" t="str">
        <f>_xlfn.XLOOKUP(A2393,'Model Modeshare by TAZ'!A:A,'Model Modeshare by TAZ'!D:D)</f>
        <v>NO</v>
      </c>
      <c r="D2393" s="27">
        <v>12138.93</v>
      </c>
      <c r="E2393" s="27">
        <v>217081.15</v>
      </c>
      <c r="F2393" s="27">
        <v>6574.42</v>
      </c>
      <c r="G2393" s="27">
        <v>62152.47</v>
      </c>
      <c r="H2393" s="27">
        <v>2380.94</v>
      </c>
      <c r="I2393" s="27">
        <v>28801.86</v>
      </c>
      <c r="J2393" s="6">
        <v>6250</v>
      </c>
      <c r="K2393" s="6">
        <v>1995</v>
      </c>
      <c r="L2393" s="27">
        <v>9.9443952000000007</v>
      </c>
      <c r="M2393" s="27">
        <v>14.437022556390978</v>
      </c>
      <c r="N2393" s="34">
        <v>21.73678956943602</v>
      </c>
    </row>
    <row r="2394" spans="1:14" x14ac:dyDescent="0.35">
      <c r="A2394" s="82">
        <v>2391</v>
      </c>
      <c r="B2394" s="89" t="str">
        <f>_xlfn.XLOOKUP(A2394,'Model Modeshare by TAZ'!A:A,'Model Modeshare by TAZ'!B:B)</f>
        <v>Richmond</v>
      </c>
      <c r="C2394" s="90" t="str">
        <f>_xlfn.XLOOKUP(A2394,'Model Modeshare by TAZ'!A:A,'Model Modeshare by TAZ'!D:D)</f>
        <v>NO</v>
      </c>
      <c r="D2394" s="27">
        <v>20548.55</v>
      </c>
      <c r="E2394" s="27">
        <v>402918.14</v>
      </c>
      <c r="F2394" s="27">
        <v>8256.07</v>
      </c>
      <c r="G2394" s="27">
        <v>77972.899999999994</v>
      </c>
      <c r="H2394" s="27">
        <v>7892.38</v>
      </c>
      <c r="I2394" s="27">
        <v>100698.11</v>
      </c>
      <c r="J2394" s="6">
        <v>6180</v>
      </c>
      <c r="K2394" s="6">
        <v>6772</v>
      </c>
      <c r="L2394" s="27">
        <v>12.616974110032361</v>
      </c>
      <c r="M2394" s="27">
        <v>14.86977406969876</v>
      </c>
      <c r="N2394" s="34">
        <v>31.633615657813468</v>
      </c>
    </row>
    <row r="2395" spans="1:14" x14ac:dyDescent="0.35">
      <c r="A2395" s="82">
        <v>2392</v>
      </c>
      <c r="B2395" s="89" t="str">
        <f>_xlfn.XLOOKUP(A2395,'Model Modeshare by TAZ'!A:A,'Model Modeshare by TAZ'!B:B)</f>
        <v>Richmond</v>
      </c>
      <c r="C2395" s="90" t="str">
        <f>_xlfn.XLOOKUP(A2395,'Model Modeshare by TAZ'!A:A,'Model Modeshare by TAZ'!D:D)</f>
        <v>NO</v>
      </c>
      <c r="D2395" s="27">
        <v>8197.8799999999992</v>
      </c>
      <c r="E2395" s="27">
        <v>136108.67000000001</v>
      </c>
      <c r="F2395" s="27">
        <v>5789.94</v>
      </c>
      <c r="G2395" s="27">
        <v>49288.75</v>
      </c>
      <c r="H2395" s="27">
        <v>1863.34</v>
      </c>
      <c r="I2395" s="27">
        <v>21921.439999999999</v>
      </c>
      <c r="J2395" s="6">
        <v>6427</v>
      </c>
      <c r="K2395" s="6">
        <v>1279</v>
      </c>
      <c r="L2395" s="27">
        <v>7.6690135366422902</v>
      </c>
      <c r="M2395" s="27">
        <v>17.139515246286159</v>
      </c>
      <c r="N2395" s="34">
        <v>15.386148455748767</v>
      </c>
    </row>
    <row r="2396" spans="1:14" x14ac:dyDescent="0.35">
      <c r="A2396" s="82">
        <v>2393</v>
      </c>
      <c r="B2396" s="89" t="str">
        <f>_xlfn.XLOOKUP(A2396,'Model Modeshare by TAZ'!A:A,'Model Modeshare by TAZ'!B:B)</f>
        <v>Richmond</v>
      </c>
      <c r="C2396" s="90" t="str">
        <f>_xlfn.XLOOKUP(A2396,'Model Modeshare by TAZ'!A:A,'Model Modeshare by TAZ'!D:D)</f>
        <v>NO</v>
      </c>
      <c r="D2396" s="27">
        <v>7927.22</v>
      </c>
      <c r="E2396" s="27">
        <v>139785.9</v>
      </c>
      <c r="F2396" s="27">
        <v>6636.81</v>
      </c>
      <c r="G2396" s="27">
        <v>66052.600000000006</v>
      </c>
      <c r="H2396" s="27">
        <v>2198.5100000000002</v>
      </c>
      <c r="I2396" s="27">
        <v>27781.41</v>
      </c>
      <c r="J2396" s="6">
        <v>7151</v>
      </c>
      <c r="K2396" s="6">
        <v>1622</v>
      </c>
      <c r="L2396" s="27">
        <v>9.2368340092294794</v>
      </c>
      <c r="M2396" s="27">
        <v>17.127872996300862</v>
      </c>
      <c r="N2396" s="34">
        <v>18.317071697252935</v>
      </c>
    </row>
    <row r="2397" spans="1:14" x14ac:dyDescent="0.35">
      <c r="A2397" s="82">
        <v>2394</v>
      </c>
      <c r="B2397" s="89" t="str">
        <f>_xlfn.XLOOKUP(A2397,'Model Modeshare by TAZ'!A:A,'Model Modeshare by TAZ'!B:B)</f>
        <v>Richmond</v>
      </c>
      <c r="C2397" s="90" t="str">
        <f>_xlfn.XLOOKUP(A2397,'Model Modeshare by TAZ'!A:A,'Model Modeshare by TAZ'!D:D)</f>
        <v>NO</v>
      </c>
      <c r="D2397" s="27">
        <v>10685.51</v>
      </c>
      <c r="E2397" s="27">
        <v>266837.12</v>
      </c>
      <c r="F2397" s="27">
        <v>5216.12</v>
      </c>
      <c r="G2397" s="27">
        <v>59400.58</v>
      </c>
      <c r="H2397" s="27">
        <v>7258.43</v>
      </c>
      <c r="I2397" s="27">
        <v>108846.36</v>
      </c>
      <c r="J2397" s="6">
        <v>3579</v>
      </c>
      <c r="K2397" s="6">
        <v>5576</v>
      </c>
      <c r="L2397" s="27">
        <v>16.596976809164573</v>
      </c>
      <c r="M2397" s="27">
        <v>19.520509325681491</v>
      </c>
      <c r="N2397" s="34">
        <v>34.256937192790822</v>
      </c>
    </row>
    <row r="2398" spans="1:14" x14ac:dyDescent="0.35">
      <c r="A2398" s="82">
        <v>2395</v>
      </c>
      <c r="B2398" s="89" t="str">
        <f>_xlfn.XLOOKUP(A2398,'Model Modeshare by TAZ'!A:A,'Model Modeshare by TAZ'!B:B)</f>
        <v>Richmond</v>
      </c>
      <c r="C2398" s="90" t="str">
        <f>_xlfn.XLOOKUP(A2398,'Model Modeshare by TAZ'!A:A,'Model Modeshare by TAZ'!D:D)</f>
        <v>NO</v>
      </c>
      <c r="D2398" s="27">
        <v>6849.48</v>
      </c>
      <c r="E2398" s="27">
        <v>123064.76</v>
      </c>
      <c r="F2398" s="27">
        <v>5077.26</v>
      </c>
      <c r="G2398" s="27">
        <v>48614.95</v>
      </c>
      <c r="H2398" s="27">
        <v>2562.65</v>
      </c>
      <c r="I2398" s="27">
        <v>33979.18</v>
      </c>
      <c r="J2398" s="6">
        <v>6224</v>
      </c>
      <c r="K2398" s="6">
        <v>2405</v>
      </c>
      <c r="L2398" s="27">
        <v>7.8108852827763489</v>
      </c>
      <c r="M2398" s="27">
        <v>14.128557172557173</v>
      </c>
      <c r="N2398" s="34">
        <v>18.291993278479545</v>
      </c>
    </row>
    <row r="2399" spans="1:14" x14ac:dyDescent="0.35">
      <c r="A2399" s="82">
        <v>2396</v>
      </c>
      <c r="B2399" s="89" t="str">
        <f>_xlfn.XLOOKUP(A2399,'Model Modeshare by TAZ'!A:A,'Model Modeshare by TAZ'!B:B)</f>
        <v>Richmond</v>
      </c>
      <c r="C2399" s="90" t="str">
        <f>_xlfn.XLOOKUP(A2399,'Model Modeshare by TAZ'!A:A,'Model Modeshare by TAZ'!D:D)</f>
        <v>NO</v>
      </c>
      <c r="D2399" s="27">
        <v>4358.99</v>
      </c>
      <c r="E2399" s="27">
        <v>67589.22</v>
      </c>
      <c r="F2399" s="27">
        <v>4439.55</v>
      </c>
      <c r="G2399" s="27">
        <v>39156.089999999997</v>
      </c>
      <c r="H2399" s="27">
        <v>356.62</v>
      </c>
      <c r="I2399" s="27">
        <v>3908.8</v>
      </c>
      <c r="J2399" s="6">
        <v>4673</v>
      </c>
      <c r="K2399" s="6">
        <v>212</v>
      </c>
      <c r="L2399" s="27">
        <v>8.3792189171838221</v>
      </c>
      <c r="M2399" s="27">
        <v>18.437735849056605</v>
      </c>
      <c r="N2399" s="34">
        <v>13.335013306038896</v>
      </c>
    </row>
    <row r="2400" spans="1:14" x14ac:dyDescent="0.35">
      <c r="A2400" s="82">
        <v>2397</v>
      </c>
      <c r="B2400" s="89" t="str">
        <f>_xlfn.XLOOKUP(A2400,'Model Modeshare by TAZ'!A:A,'Model Modeshare by TAZ'!B:B)</f>
        <v>Richmond</v>
      </c>
      <c r="C2400" s="90" t="str">
        <f>_xlfn.XLOOKUP(A2400,'Model Modeshare by TAZ'!A:A,'Model Modeshare by TAZ'!D:D)</f>
        <v>NO</v>
      </c>
      <c r="D2400" s="27">
        <v>8800.2999999999993</v>
      </c>
      <c r="E2400" s="27">
        <v>104361.51</v>
      </c>
      <c r="F2400" s="27">
        <v>7968.59</v>
      </c>
      <c r="G2400" s="27">
        <v>56123.59</v>
      </c>
      <c r="H2400" s="27">
        <v>1942.87</v>
      </c>
      <c r="I2400" s="27">
        <v>21842.54</v>
      </c>
      <c r="J2400" s="6">
        <v>7828</v>
      </c>
      <c r="K2400" s="6">
        <v>1188</v>
      </c>
      <c r="L2400" s="27">
        <v>7.1695950434338265</v>
      </c>
      <c r="M2400" s="27">
        <v>18.385976430976431</v>
      </c>
      <c r="N2400" s="34">
        <v>12.046942102928128</v>
      </c>
    </row>
    <row r="2401" spans="1:14" x14ac:dyDescent="0.35">
      <c r="A2401" s="82">
        <v>2398</v>
      </c>
      <c r="B2401" s="89" t="str">
        <f>_xlfn.XLOOKUP(A2401,'Model Modeshare by TAZ'!A:A,'Model Modeshare by TAZ'!B:B)</f>
        <v>San Pablo</v>
      </c>
      <c r="C2401" s="90" t="str">
        <f>_xlfn.XLOOKUP(A2401,'Model Modeshare by TAZ'!A:A,'Model Modeshare by TAZ'!D:D)</f>
        <v>NO</v>
      </c>
      <c r="D2401" s="27">
        <v>15663.54</v>
      </c>
      <c r="E2401" s="27">
        <v>265233.89</v>
      </c>
      <c r="F2401" s="27">
        <v>6294.79</v>
      </c>
      <c r="G2401" s="27">
        <v>57702.239999999998</v>
      </c>
      <c r="H2401" s="27">
        <v>5346.63</v>
      </c>
      <c r="I2401" s="27">
        <v>58364.1</v>
      </c>
      <c r="J2401" s="6">
        <v>6336</v>
      </c>
      <c r="K2401" s="6">
        <v>4990</v>
      </c>
      <c r="L2401" s="27">
        <v>9.1070454545454549</v>
      </c>
      <c r="M2401" s="27">
        <v>11.696212424849699</v>
      </c>
      <c r="N2401" s="34">
        <v>25.105997704396966</v>
      </c>
    </row>
    <row r="2402" spans="1:14" x14ac:dyDescent="0.35">
      <c r="A2402" s="82">
        <v>2399</v>
      </c>
      <c r="B2402" s="89" t="str">
        <f>_xlfn.XLOOKUP(A2402,'Model Modeshare by TAZ'!A:A,'Model Modeshare by TAZ'!B:B)</f>
        <v>San Pablo</v>
      </c>
      <c r="C2402" s="90" t="str">
        <f>_xlfn.XLOOKUP(A2402,'Model Modeshare by TAZ'!A:A,'Model Modeshare by TAZ'!D:D)</f>
        <v>NO</v>
      </c>
      <c r="D2402" s="27">
        <v>9405.4</v>
      </c>
      <c r="E2402" s="27">
        <v>139047.71</v>
      </c>
      <c r="F2402" s="27">
        <v>8827.26</v>
      </c>
      <c r="G2402" s="27">
        <v>77592.81</v>
      </c>
      <c r="H2402" s="27">
        <v>1114.6199999999999</v>
      </c>
      <c r="I2402" s="27">
        <v>11750.04</v>
      </c>
      <c r="J2402" s="6">
        <v>9029</v>
      </c>
      <c r="K2402" s="6">
        <v>672</v>
      </c>
      <c r="L2402" s="27">
        <v>8.5937324177649792</v>
      </c>
      <c r="M2402" s="27">
        <v>17.485178571428573</v>
      </c>
      <c r="N2402" s="34">
        <v>13.849819606226163</v>
      </c>
    </row>
    <row r="2403" spans="1:14" x14ac:dyDescent="0.35">
      <c r="A2403" s="82">
        <v>2400</v>
      </c>
      <c r="B2403" s="89" t="str">
        <f>_xlfn.XLOOKUP(A2403,'Model Modeshare by TAZ'!A:A,'Model Modeshare by TAZ'!B:B)</f>
        <v>Unincorporated</v>
      </c>
      <c r="C2403" s="90" t="str">
        <f>_xlfn.XLOOKUP(A2403,'Model Modeshare by TAZ'!A:A,'Model Modeshare by TAZ'!D:D)</f>
        <v>NO</v>
      </c>
      <c r="D2403" s="27">
        <v>8258.35</v>
      </c>
      <c r="E2403" s="27">
        <v>163190.72</v>
      </c>
      <c r="F2403" s="27">
        <v>6012.92</v>
      </c>
      <c r="G2403" s="27">
        <v>65221.09</v>
      </c>
      <c r="H2403" s="27">
        <v>1964.32</v>
      </c>
      <c r="I2403" s="27">
        <v>24173.53</v>
      </c>
      <c r="J2403" s="6">
        <v>5723</v>
      </c>
      <c r="K2403" s="6">
        <v>1443</v>
      </c>
      <c r="L2403" s="27">
        <v>11.396311375152891</v>
      </c>
      <c r="M2403" s="27">
        <v>16.752273042273043</v>
      </c>
      <c r="N2403" s="34">
        <v>21.201878314261791</v>
      </c>
    </row>
    <row r="2404" spans="1:14" x14ac:dyDescent="0.35">
      <c r="A2404" s="82">
        <v>2401</v>
      </c>
      <c r="B2404" s="89" t="str">
        <f>_xlfn.XLOOKUP(A2404,'Model Modeshare by TAZ'!A:A,'Model Modeshare by TAZ'!B:B)</f>
        <v>Richmond</v>
      </c>
      <c r="C2404" s="90" t="str">
        <f>_xlfn.XLOOKUP(A2404,'Model Modeshare by TAZ'!A:A,'Model Modeshare by TAZ'!D:D)</f>
        <v>NO</v>
      </c>
      <c r="D2404" s="27">
        <v>25653.62</v>
      </c>
      <c r="E2404" s="27">
        <v>393557.27</v>
      </c>
      <c r="F2404" s="27">
        <v>14718.4</v>
      </c>
      <c r="G2404" s="27">
        <v>129443.9</v>
      </c>
      <c r="H2404" s="27">
        <v>7696.39</v>
      </c>
      <c r="I2404" s="27">
        <v>80412.929999999993</v>
      </c>
      <c r="J2404" s="6">
        <v>10697</v>
      </c>
      <c r="K2404" s="6">
        <v>6005</v>
      </c>
      <c r="L2404" s="27">
        <v>12.100953538375245</v>
      </c>
      <c r="M2404" s="27">
        <v>13.390995836802663</v>
      </c>
      <c r="N2404" s="34">
        <v>21.949337205125136</v>
      </c>
    </row>
    <row r="2405" spans="1:14" x14ac:dyDescent="0.35">
      <c r="A2405" s="82">
        <v>2402</v>
      </c>
      <c r="B2405" s="89" t="str">
        <f>_xlfn.XLOOKUP(A2405,'Model Modeshare by TAZ'!A:A,'Model Modeshare by TAZ'!B:B)</f>
        <v>San Pablo</v>
      </c>
      <c r="C2405" s="90" t="str">
        <f>_xlfn.XLOOKUP(A2405,'Model Modeshare by TAZ'!A:A,'Model Modeshare by TAZ'!D:D)</f>
        <v>NO</v>
      </c>
      <c r="D2405" s="27">
        <v>5381.19</v>
      </c>
      <c r="E2405" s="27">
        <v>97242.1</v>
      </c>
      <c r="F2405" s="27">
        <v>5386.74</v>
      </c>
      <c r="G2405" s="27">
        <v>57004.32</v>
      </c>
      <c r="H2405" s="27">
        <v>734.27</v>
      </c>
      <c r="I2405" s="27">
        <v>9321.23</v>
      </c>
      <c r="J2405" s="6">
        <v>4429</v>
      </c>
      <c r="K2405" s="6">
        <v>421</v>
      </c>
      <c r="L2405" s="27">
        <v>12.870697674418604</v>
      </c>
      <c r="M2405" s="27">
        <v>22.140688836104513</v>
      </c>
      <c r="N2405" s="34">
        <v>20.782049484536081</v>
      </c>
    </row>
    <row r="2406" spans="1:14" x14ac:dyDescent="0.35">
      <c r="A2406" s="82">
        <v>2403</v>
      </c>
      <c r="B2406" s="89" t="str">
        <f>_xlfn.XLOOKUP(A2406,'Model Modeshare by TAZ'!A:A,'Model Modeshare by TAZ'!B:B)</f>
        <v>San Pablo</v>
      </c>
      <c r="C2406" s="90" t="str">
        <f>_xlfn.XLOOKUP(A2406,'Model Modeshare by TAZ'!A:A,'Model Modeshare by TAZ'!D:D)</f>
        <v>NO</v>
      </c>
      <c r="D2406" s="27">
        <v>6567.13</v>
      </c>
      <c r="E2406" s="27">
        <v>95960.58</v>
      </c>
      <c r="F2406" s="27">
        <v>6634.65</v>
      </c>
      <c r="G2406" s="27">
        <v>55863.199999999997</v>
      </c>
      <c r="H2406" s="27">
        <v>735.87</v>
      </c>
      <c r="I2406" s="27">
        <v>7630.41</v>
      </c>
      <c r="J2406" s="6">
        <v>6264</v>
      </c>
      <c r="K2406" s="6">
        <v>434</v>
      </c>
      <c r="L2406" s="27">
        <v>8.9181353767560658</v>
      </c>
      <c r="M2406" s="27">
        <v>17.581589861751151</v>
      </c>
      <c r="N2406" s="34">
        <v>14.338738429381904</v>
      </c>
    </row>
    <row r="2407" spans="1:14" x14ac:dyDescent="0.35">
      <c r="A2407" s="82">
        <v>2404</v>
      </c>
      <c r="B2407" s="89" t="str">
        <f>_xlfn.XLOOKUP(A2407,'Model Modeshare by TAZ'!A:A,'Model Modeshare by TAZ'!B:B)</f>
        <v>San Pablo</v>
      </c>
      <c r="C2407" s="90" t="str">
        <f>_xlfn.XLOOKUP(A2407,'Model Modeshare by TAZ'!A:A,'Model Modeshare by TAZ'!D:D)</f>
        <v>NO</v>
      </c>
      <c r="D2407" s="27">
        <v>9414.44</v>
      </c>
      <c r="E2407" s="27">
        <v>151929.82</v>
      </c>
      <c r="F2407" s="27">
        <v>5448.29</v>
      </c>
      <c r="G2407" s="27">
        <v>45815.56</v>
      </c>
      <c r="H2407" s="27">
        <v>1820.34</v>
      </c>
      <c r="I2407" s="27">
        <v>19415.509999999998</v>
      </c>
      <c r="J2407" s="6">
        <v>5361</v>
      </c>
      <c r="K2407" s="6">
        <v>1285</v>
      </c>
      <c r="L2407" s="27">
        <v>8.5460846856929678</v>
      </c>
      <c r="M2407" s="27">
        <v>15.109346303501944</v>
      </c>
      <c r="N2407" s="34">
        <v>19.777228408065</v>
      </c>
    </row>
    <row r="2408" spans="1:14" x14ac:dyDescent="0.35">
      <c r="A2408" s="82">
        <v>2405</v>
      </c>
      <c r="B2408" s="89" t="str">
        <f>_xlfn.XLOOKUP(A2408,'Model Modeshare by TAZ'!A:A,'Model Modeshare by TAZ'!B:B)</f>
        <v>Richmond</v>
      </c>
      <c r="C2408" s="90" t="str">
        <f>_xlfn.XLOOKUP(A2408,'Model Modeshare by TAZ'!A:A,'Model Modeshare by TAZ'!D:D)</f>
        <v>NO</v>
      </c>
      <c r="D2408" s="27">
        <v>5987.96</v>
      </c>
      <c r="E2408" s="27">
        <v>62940.160000000003</v>
      </c>
      <c r="F2408" s="27">
        <v>6025.79</v>
      </c>
      <c r="G2408" s="27">
        <v>35699.53</v>
      </c>
      <c r="H2408" s="27">
        <v>466.85</v>
      </c>
      <c r="I2408" s="27">
        <v>4926.1000000000004</v>
      </c>
      <c r="J2408" s="6">
        <v>5329</v>
      </c>
      <c r="K2408" s="6">
        <v>274</v>
      </c>
      <c r="L2408" s="27">
        <v>6.6991048977294048</v>
      </c>
      <c r="M2408" s="27">
        <v>17.978467153284672</v>
      </c>
      <c r="N2408" s="34">
        <v>9.8366839193289319</v>
      </c>
    </row>
    <row r="2409" spans="1:14" x14ac:dyDescent="0.35">
      <c r="A2409" s="82">
        <v>2406</v>
      </c>
      <c r="B2409" s="89" t="str">
        <f>_xlfn.XLOOKUP(A2409,'Model Modeshare by TAZ'!A:A,'Model Modeshare by TAZ'!B:B)</f>
        <v>Unincorporated</v>
      </c>
      <c r="C2409" s="90" t="str">
        <f>_xlfn.XLOOKUP(A2409,'Model Modeshare by TAZ'!A:A,'Model Modeshare by TAZ'!D:D)</f>
        <v>NO</v>
      </c>
      <c r="D2409" s="27">
        <v>16103.24</v>
      </c>
      <c r="E2409" s="27">
        <v>307324.96000000002</v>
      </c>
      <c r="F2409" s="27">
        <v>10204.290000000001</v>
      </c>
      <c r="G2409" s="27">
        <v>105429.8</v>
      </c>
      <c r="H2409" s="27">
        <v>4275.97</v>
      </c>
      <c r="I2409" s="27">
        <v>46865.04</v>
      </c>
      <c r="J2409" s="6">
        <v>7306</v>
      </c>
      <c r="K2409" s="6">
        <v>3305</v>
      </c>
      <c r="L2409" s="27">
        <v>14.430577607445935</v>
      </c>
      <c r="M2409" s="27">
        <v>14.180042360060515</v>
      </c>
      <c r="N2409" s="34">
        <v>27.7528574121195</v>
      </c>
    </row>
    <row r="2410" spans="1:14" x14ac:dyDescent="0.35">
      <c r="A2410" s="82">
        <v>2407</v>
      </c>
      <c r="B2410" s="89" t="str">
        <f>_xlfn.XLOOKUP(A2410,'Model Modeshare by TAZ'!A:A,'Model Modeshare by TAZ'!B:B)</f>
        <v>San Pablo</v>
      </c>
      <c r="C2410" s="90" t="str">
        <f>_xlfn.XLOOKUP(A2410,'Model Modeshare by TAZ'!A:A,'Model Modeshare by TAZ'!D:D)</f>
        <v>NO</v>
      </c>
      <c r="D2410" s="27">
        <v>4728.1499999999996</v>
      </c>
      <c r="E2410" s="27">
        <v>86711.75</v>
      </c>
      <c r="F2410" s="27">
        <v>3189.49</v>
      </c>
      <c r="G2410" s="27">
        <v>30371.5</v>
      </c>
      <c r="H2410" s="27">
        <v>601.02</v>
      </c>
      <c r="I2410" s="27">
        <v>6703.5</v>
      </c>
      <c r="J2410" s="6">
        <v>2607</v>
      </c>
      <c r="K2410" s="6">
        <v>399</v>
      </c>
      <c r="L2410" s="27">
        <v>11.649980820866897</v>
      </c>
      <c r="M2410" s="27">
        <v>16.800751879699249</v>
      </c>
      <c r="N2410" s="34">
        <v>22.004214903526279</v>
      </c>
    </row>
    <row r="2411" spans="1:14" x14ac:dyDescent="0.35">
      <c r="A2411" s="82">
        <v>2408</v>
      </c>
      <c r="B2411" s="89" t="str">
        <f>_xlfn.XLOOKUP(A2411,'Model Modeshare by TAZ'!A:A,'Model Modeshare by TAZ'!B:B)</f>
        <v>Unincorporated</v>
      </c>
      <c r="C2411" s="90" t="str">
        <f>_xlfn.XLOOKUP(A2411,'Model Modeshare by TAZ'!A:A,'Model Modeshare by TAZ'!D:D)</f>
        <v>NO</v>
      </c>
      <c r="D2411" s="27">
        <v>4077.34</v>
      </c>
      <c r="E2411" s="27">
        <v>70921.87</v>
      </c>
      <c r="F2411" s="27">
        <v>3727.44</v>
      </c>
      <c r="G2411" s="27">
        <v>35515.269999999997</v>
      </c>
      <c r="H2411" s="27">
        <v>548</v>
      </c>
      <c r="I2411" s="27">
        <v>6656.41</v>
      </c>
      <c r="J2411" s="6">
        <v>2812</v>
      </c>
      <c r="K2411" s="6">
        <v>328</v>
      </c>
      <c r="L2411" s="27">
        <v>12.629896870554765</v>
      </c>
      <c r="M2411" s="27">
        <v>20.293932926829267</v>
      </c>
      <c r="N2411" s="34">
        <v>21.576894904458598</v>
      </c>
    </row>
    <row r="2412" spans="1:14" x14ac:dyDescent="0.35">
      <c r="A2412" s="82">
        <v>2409</v>
      </c>
      <c r="B2412" s="89" t="str">
        <f>_xlfn.XLOOKUP(A2412,'Model Modeshare by TAZ'!A:A,'Model Modeshare by TAZ'!B:B)</f>
        <v>Richmond</v>
      </c>
      <c r="C2412" s="90" t="str">
        <f>_xlfn.XLOOKUP(A2412,'Model Modeshare by TAZ'!A:A,'Model Modeshare by TAZ'!D:D)</f>
        <v>NO</v>
      </c>
      <c r="D2412" s="27">
        <v>8736.36</v>
      </c>
      <c r="E2412" s="27">
        <v>146206.18</v>
      </c>
      <c r="F2412" s="27">
        <v>6408</v>
      </c>
      <c r="G2412" s="27">
        <v>64174.15</v>
      </c>
      <c r="H2412" s="27">
        <v>1147.8599999999999</v>
      </c>
      <c r="I2412" s="27">
        <v>12748.03</v>
      </c>
      <c r="J2412" s="6">
        <v>4551</v>
      </c>
      <c r="K2412" s="6">
        <v>623</v>
      </c>
      <c r="L2412" s="27">
        <v>14.101109646231597</v>
      </c>
      <c r="M2412" s="27">
        <v>20.462327447833069</v>
      </c>
      <c r="N2412" s="34">
        <v>25.618160030923846</v>
      </c>
    </row>
    <row r="2413" spans="1:14" x14ac:dyDescent="0.35">
      <c r="A2413" s="82">
        <v>2410</v>
      </c>
      <c r="B2413" s="89" t="str">
        <f>_xlfn.XLOOKUP(A2413,'Model Modeshare by TAZ'!A:A,'Model Modeshare by TAZ'!B:B)</f>
        <v>Unincorporated</v>
      </c>
      <c r="C2413" s="90" t="str">
        <f>_xlfn.XLOOKUP(A2413,'Model Modeshare by TAZ'!A:A,'Model Modeshare by TAZ'!D:D)</f>
        <v>NO</v>
      </c>
      <c r="D2413" s="27">
        <v>7270.66</v>
      </c>
      <c r="E2413" s="27">
        <v>134772.92000000001</v>
      </c>
      <c r="F2413" s="27">
        <v>6178.62</v>
      </c>
      <c r="G2413" s="27">
        <v>62305.8</v>
      </c>
      <c r="H2413" s="27">
        <v>1321.05</v>
      </c>
      <c r="I2413" s="27">
        <v>14887.34</v>
      </c>
      <c r="J2413" s="6">
        <v>4794</v>
      </c>
      <c r="K2413" s="6">
        <v>829</v>
      </c>
      <c r="L2413" s="27">
        <v>12.996620775969964</v>
      </c>
      <c r="M2413" s="27">
        <v>17.958190591073581</v>
      </c>
      <c r="N2413" s="34">
        <v>22.649238840476613</v>
      </c>
    </row>
    <row r="2414" spans="1:14" x14ac:dyDescent="0.35">
      <c r="A2414" s="82">
        <v>2411</v>
      </c>
      <c r="B2414" s="89" t="str">
        <f>_xlfn.XLOOKUP(A2414,'Model Modeshare by TAZ'!A:A,'Model Modeshare by TAZ'!B:B)</f>
        <v>Richmond</v>
      </c>
      <c r="C2414" s="90" t="str">
        <f>_xlfn.XLOOKUP(A2414,'Model Modeshare by TAZ'!A:A,'Model Modeshare by TAZ'!D:D)</f>
        <v>NO</v>
      </c>
      <c r="D2414" s="27">
        <v>14641.78</v>
      </c>
      <c r="E2414" s="27">
        <v>305004.19</v>
      </c>
      <c r="F2414" s="27">
        <v>13088.48</v>
      </c>
      <c r="G2414" s="27">
        <v>152358.63</v>
      </c>
      <c r="H2414" s="27">
        <v>2907.72</v>
      </c>
      <c r="I2414" s="27">
        <v>36386.870000000003</v>
      </c>
      <c r="J2414" s="6">
        <v>9203</v>
      </c>
      <c r="K2414" s="6">
        <v>1587</v>
      </c>
      <c r="L2414" s="27">
        <v>16.555322177550799</v>
      </c>
      <c r="M2414" s="27">
        <v>22.928084436042848</v>
      </c>
      <c r="N2414" s="34">
        <v>29.865455977757183</v>
      </c>
    </row>
    <row r="2415" spans="1:14" x14ac:dyDescent="0.35">
      <c r="A2415" s="82">
        <v>2412</v>
      </c>
      <c r="B2415" s="89" t="str">
        <f>_xlfn.XLOOKUP(A2415,'Model Modeshare by TAZ'!A:A,'Model Modeshare by TAZ'!B:B)</f>
        <v>Unincorporated</v>
      </c>
      <c r="C2415" s="90" t="str">
        <f>_xlfn.XLOOKUP(A2415,'Model Modeshare by TAZ'!A:A,'Model Modeshare by TAZ'!D:D)</f>
        <v>NO</v>
      </c>
      <c r="D2415" s="27">
        <v>7730.93</v>
      </c>
      <c r="E2415" s="27">
        <v>131672.1</v>
      </c>
      <c r="F2415" s="27">
        <v>6845.15</v>
      </c>
      <c r="G2415" s="27">
        <v>68140.38</v>
      </c>
      <c r="H2415" s="27">
        <v>1187.17</v>
      </c>
      <c r="I2415" s="27">
        <v>12667.93</v>
      </c>
      <c r="J2415" s="6">
        <v>5627</v>
      </c>
      <c r="K2415" s="6">
        <v>660</v>
      </c>
      <c r="L2415" s="27">
        <v>12.109539719210948</v>
      </c>
      <c r="M2415" s="27">
        <v>19.193833333333334</v>
      </c>
      <c r="N2415" s="34">
        <v>20.450831875298235</v>
      </c>
    </row>
    <row r="2416" spans="1:14" x14ac:dyDescent="0.35">
      <c r="A2416" s="82">
        <v>2413</v>
      </c>
      <c r="B2416" s="89" t="str">
        <f>_xlfn.XLOOKUP(A2416,'Model Modeshare by TAZ'!A:A,'Model Modeshare by TAZ'!B:B)</f>
        <v>Unincorporated</v>
      </c>
      <c r="C2416" s="90" t="str">
        <f>_xlfn.XLOOKUP(A2416,'Model Modeshare by TAZ'!A:A,'Model Modeshare by TAZ'!D:D)</f>
        <v>NO</v>
      </c>
      <c r="D2416" s="27">
        <v>5192.37</v>
      </c>
      <c r="E2416" s="27">
        <v>88665.77</v>
      </c>
      <c r="F2416" s="27">
        <v>6102.98</v>
      </c>
      <c r="G2416" s="27">
        <v>62370.12</v>
      </c>
      <c r="H2416" s="27">
        <v>327.62</v>
      </c>
      <c r="I2416" s="27">
        <v>3528.67</v>
      </c>
      <c r="J2416" s="6">
        <v>4843</v>
      </c>
      <c r="K2416" s="6">
        <v>196</v>
      </c>
      <c r="L2416" s="27">
        <v>12.878405946727236</v>
      </c>
      <c r="M2416" s="27">
        <v>18.003418367346939</v>
      </c>
      <c r="N2416" s="34">
        <v>18.763002579876961</v>
      </c>
    </row>
    <row r="2417" spans="1:14" x14ac:dyDescent="0.35">
      <c r="A2417" s="82">
        <v>2414</v>
      </c>
      <c r="B2417" s="89" t="str">
        <f>_xlfn.XLOOKUP(A2417,'Model Modeshare by TAZ'!A:A,'Model Modeshare by TAZ'!B:B)</f>
        <v>Pinole</v>
      </c>
      <c r="C2417" s="90" t="str">
        <f>_xlfn.XLOOKUP(A2417,'Model Modeshare by TAZ'!A:A,'Model Modeshare by TAZ'!D:D)</f>
        <v>NO</v>
      </c>
      <c r="D2417" s="27">
        <v>9215.84</v>
      </c>
      <c r="E2417" s="27">
        <v>189656.39</v>
      </c>
      <c r="F2417" s="27">
        <v>6705.55</v>
      </c>
      <c r="G2417" s="27">
        <v>70973.13</v>
      </c>
      <c r="H2417" s="27">
        <v>1807.76</v>
      </c>
      <c r="I2417" s="27">
        <v>19616.8</v>
      </c>
      <c r="J2417" s="6">
        <v>5311</v>
      </c>
      <c r="K2417" s="6">
        <v>1227</v>
      </c>
      <c r="L2417" s="27">
        <v>13.363421201280362</v>
      </c>
      <c r="M2417" s="27">
        <v>15.987612061939689</v>
      </c>
      <c r="N2417" s="34">
        <v>23.755117773019272</v>
      </c>
    </row>
    <row r="2418" spans="1:14" x14ac:dyDescent="0.35">
      <c r="A2418" s="82">
        <v>2415</v>
      </c>
      <c r="B2418" s="89" t="str">
        <f>_xlfn.XLOOKUP(A2418,'Model Modeshare by TAZ'!A:A,'Model Modeshare by TAZ'!B:B)</f>
        <v>Hercules</v>
      </c>
      <c r="C2418" s="90" t="str">
        <f>_xlfn.XLOOKUP(A2418,'Model Modeshare by TAZ'!A:A,'Model Modeshare by TAZ'!D:D)</f>
        <v>NO</v>
      </c>
      <c r="D2418" s="27">
        <v>26479.439999999999</v>
      </c>
      <c r="E2418" s="27">
        <v>518256.9</v>
      </c>
      <c r="F2418" s="27">
        <v>23638.720000000001</v>
      </c>
      <c r="G2418" s="27">
        <v>263029.39</v>
      </c>
      <c r="H2418" s="27">
        <v>6934.01</v>
      </c>
      <c r="I2418" s="27">
        <v>77621.7</v>
      </c>
      <c r="J2418" s="6">
        <v>16416</v>
      </c>
      <c r="K2418" s="6">
        <v>4418</v>
      </c>
      <c r="L2418" s="27">
        <v>16.022745492202731</v>
      </c>
      <c r="M2418" s="27">
        <v>17.5694205522861</v>
      </c>
      <c r="N2418" s="34">
        <v>25.493928194297784</v>
      </c>
    </row>
    <row r="2419" spans="1:14" x14ac:dyDescent="0.35">
      <c r="A2419" s="82">
        <v>2416</v>
      </c>
      <c r="B2419" s="89" t="str">
        <f>_xlfn.XLOOKUP(A2419,'Model Modeshare by TAZ'!A:A,'Model Modeshare by TAZ'!B:B)</f>
        <v>Pinole</v>
      </c>
      <c r="C2419" s="90" t="str">
        <f>_xlfn.XLOOKUP(A2419,'Model Modeshare by TAZ'!A:A,'Model Modeshare by TAZ'!D:D)</f>
        <v>NO</v>
      </c>
      <c r="D2419" s="27">
        <v>9251.7199999999993</v>
      </c>
      <c r="E2419" s="27">
        <v>224728.16</v>
      </c>
      <c r="F2419" s="27">
        <v>9466</v>
      </c>
      <c r="G2419" s="27">
        <v>126586.97</v>
      </c>
      <c r="H2419" s="27">
        <v>756.78</v>
      </c>
      <c r="I2419" s="27">
        <v>10065.67</v>
      </c>
      <c r="J2419" s="6">
        <v>6263</v>
      </c>
      <c r="K2419" s="6">
        <v>418</v>
      </c>
      <c r="L2419" s="27">
        <v>20.21187450103784</v>
      </c>
      <c r="M2419" s="27">
        <v>24.080550239234451</v>
      </c>
      <c r="N2419" s="34">
        <v>32.653016015566529</v>
      </c>
    </row>
    <row r="2420" spans="1:14" x14ac:dyDescent="0.35">
      <c r="A2420" s="82">
        <v>2417</v>
      </c>
      <c r="B2420" s="89" t="str">
        <f>_xlfn.XLOOKUP(A2420,'Model Modeshare by TAZ'!A:A,'Model Modeshare by TAZ'!B:B)</f>
        <v>Hercules</v>
      </c>
      <c r="C2420" s="90" t="str">
        <f>_xlfn.XLOOKUP(A2420,'Model Modeshare by TAZ'!A:A,'Model Modeshare by TAZ'!D:D)</f>
        <v>NO</v>
      </c>
      <c r="D2420" s="27">
        <v>6319.82</v>
      </c>
      <c r="E2420" s="27">
        <v>148713.35999999999</v>
      </c>
      <c r="F2420" s="27">
        <v>6887.26</v>
      </c>
      <c r="G2420" s="27">
        <v>93588.55</v>
      </c>
      <c r="H2420" s="27">
        <v>1145.06</v>
      </c>
      <c r="I2420" s="27">
        <v>14551.21</v>
      </c>
      <c r="J2420" s="6">
        <v>4499</v>
      </c>
      <c r="K2420" s="6">
        <v>621</v>
      </c>
      <c r="L2420" s="27">
        <v>20.802078239608804</v>
      </c>
      <c r="M2420" s="27">
        <v>23.431900161030594</v>
      </c>
      <c r="N2420" s="34">
        <v>30.703097656249998</v>
      </c>
    </row>
    <row r="2421" spans="1:14" x14ac:dyDescent="0.35">
      <c r="A2421" s="82">
        <v>2418</v>
      </c>
      <c r="B2421" s="89" t="str">
        <f>_xlfn.XLOOKUP(A2421,'Model Modeshare by TAZ'!A:A,'Model Modeshare by TAZ'!B:B)</f>
        <v>Hercules</v>
      </c>
      <c r="C2421" s="90" t="str">
        <f>_xlfn.XLOOKUP(A2421,'Model Modeshare by TAZ'!A:A,'Model Modeshare by TAZ'!D:D)</f>
        <v>NO</v>
      </c>
      <c r="D2421" s="27">
        <v>10037.64</v>
      </c>
      <c r="E2421" s="27">
        <v>228880.49</v>
      </c>
      <c r="F2421" s="27">
        <v>9638.3799999999992</v>
      </c>
      <c r="G2421" s="27">
        <v>123023.26</v>
      </c>
      <c r="H2421" s="27">
        <v>1978.6</v>
      </c>
      <c r="I2421" s="27">
        <v>25459.29</v>
      </c>
      <c r="J2421" s="6">
        <v>6800</v>
      </c>
      <c r="K2421" s="6">
        <v>1243</v>
      </c>
      <c r="L2421" s="27">
        <v>18.091655882352942</v>
      </c>
      <c r="M2421" s="27">
        <v>20.482131938857602</v>
      </c>
      <c r="N2421" s="34">
        <v>28.024028347631482</v>
      </c>
    </row>
    <row r="2422" spans="1:14" x14ac:dyDescent="0.35">
      <c r="A2422" s="82">
        <v>2419</v>
      </c>
      <c r="B2422" s="89" t="str">
        <f>_xlfn.XLOOKUP(A2422,'Model Modeshare by TAZ'!A:A,'Model Modeshare by TAZ'!B:B)</f>
        <v>Unincorporated</v>
      </c>
      <c r="C2422" s="90" t="str">
        <f>_xlfn.XLOOKUP(A2422,'Model Modeshare by TAZ'!A:A,'Model Modeshare by TAZ'!D:D)</f>
        <v>NO</v>
      </c>
      <c r="D2422" s="27">
        <v>8847.99</v>
      </c>
      <c r="E2422" s="27">
        <v>275992.88</v>
      </c>
      <c r="F2422" s="27">
        <v>10248.89</v>
      </c>
      <c r="G2422" s="27">
        <v>160341.87</v>
      </c>
      <c r="H2422" s="27">
        <v>1184.19</v>
      </c>
      <c r="I2422" s="27">
        <v>19228.990000000002</v>
      </c>
      <c r="J2422" s="6">
        <v>6448</v>
      </c>
      <c r="K2422" s="6">
        <v>613</v>
      </c>
      <c r="L2422" s="27">
        <v>24.866915322580645</v>
      </c>
      <c r="M2422" s="27">
        <v>31.36866231647635</v>
      </c>
      <c r="N2422" s="34">
        <v>38.53217249681348</v>
      </c>
    </row>
    <row r="2423" spans="1:14" x14ac:dyDescent="0.35">
      <c r="A2423" s="82">
        <v>2420</v>
      </c>
      <c r="B2423" s="89" t="str">
        <f>_xlfn.XLOOKUP(A2423,'Model Modeshare by TAZ'!A:A,'Model Modeshare by TAZ'!B:B)</f>
        <v>Unincorporated</v>
      </c>
      <c r="C2423" s="90" t="str">
        <f>_xlfn.XLOOKUP(A2423,'Model Modeshare by TAZ'!A:A,'Model Modeshare by TAZ'!D:D)</f>
        <v>NO</v>
      </c>
      <c r="D2423" s="27">
        <v>5545.41</v>
      </c>
      <c r="E2423" s="27">
        <v>135842.56</v>
      </c>
      <c r="F2423" s="27">
        <v>6016.31</v>
      </c>
      <c r="G2423" s="27">
        <v>85850.47</v>
      </c>
      <c r="H2423" s="27">
        <v>889.04</v>
      </c>
      <c r="I2423" s="27">
        <v>11796.28</v>
      </c>
      <c r="J2423" s="6">
        <v>3804</v>
      </c>
      <c r="K2423" s="6">
        <v>487</v>
      </c>
      <c r="L2423" s="27">
        <v>22.568472660357518</v>
      </c>
      <c r="M2423" s="27">
        <v>24.222340862423</v>
      </c>
      <c r="N2423" s="34">
        <v>32.128965276159406</v>
      </c>
    </row>
    <row r="2424" spans="1:14" x14ac:dyDescent="0.35">
      <c r="A2424" s="82">
        <v>2421</v>
      </c>
      <c r="B2424" s="89" t="str">
        <f>_xlfn.XLOOKUP(A2424,'Model Modeshare by TAZ'!A:A,'Model Modeshare by TAZ'!B:B)</f>
        <v>Unincorporated</v>
      </c>
      <c r="C2424" s="90" t="str">
        <f>_xlfn.XLOOKUP(A2424,'Model Modeshare by TAZ'!A:A,'Model Modeshare by TAZ'!D:D)</f>
        <v>NO</v>
      </c>
      <c r="D2424" s="27">
        <v>9137.44</v>
      </c>
      <c r="E2424" s="27">
        <v>220348.71</v>
      </c>
      <c r="F2424" s="27">
        <v>6879.24</v>
      </c>
      <c r="G2424" s="27">
        <v>91670.65</v>
      </c>
      <c r="H2424" s="27">
        <v>1699.36</v>
      </c>
      <c r="I2424" s="27">
        <v>22080.9</v>
      </c>
      <c r="J2424" s="6">
        <v>5388</v>
      </c>
      <c r="K2424" s="6">
        <v>1046</v>
      </c>
      <c r="L2424" s="27">
        <v>17.013854862657755</v>
      </c>
      <c r="M2424" s="27">
        <v>21.109847036328873</v>
      </c>
      <c r="N2424" s="34">
        <v>27.962017407522534</v>
      </c>
    </row>
    <row r="2425" spans="1:14" x14ac:dyDescent="0.35">
      <c r="A2425" s="82">
        <v>2422</v>
      </c>
      <c r="B2425" s="89" t="str">
        <f>_xlfn.XLOOKUP(A2425,'Model Modeshare by TAZ'!A:A,'Model Modeshare by TAZ'!B:B)</f>
        <v>Unincorporated</v>
      </c>
      <c r="C2425" s="90" t="str">
        <f>_xlfn.XLOOKUP(A2425,'Model Modeshare by TAZ'!A:A,'Model Modeshare by TAZ'!D:D)</f>
        <v>NO</v>
      </c>
      <c r="D2425" s="27">
        <v>6353.71</v>
      </c>
      <c r="E2425" s="27">
        <v>180797.16</v>
      </c>
      <c r="F2425" s="27">
        <v>4938.38</v>
      </c>
      <c r="G2425" s="27">
        <v>76108.47</v>
      </c>
      <c r="H2425" s="27">
        <v>1866.34</v>
      </c>
      <c r="I2425" s="27">
        <v>26594.19</v>
      </c>
      <c r="J2425" s="6">
        <v>3087</v>
      </c>
      <c r="K2425" s="6">
        <v>1106</v>
      </c>
      <c r="L2425" s="27">
        <v>24.654509232264335</v>
      </c>
      <c r="M2425" s="27">
        <v>24.04537974683544</v>
      </c>
      <c r="N2425" s="34">
        <v>38.482995468638208</v>
      </c>
    </row>
    <row r="2426" spans="1:14" x14ac:dyDescent="0.35">
      <c r="A2426" s="82">
        <v>2423</v>
      </c>
      <c r="B2426" s="89" t="str">
        <f>_xlfn.XLOOKUP(A2426,'Model Modeshare by TAZ'!A:A,'Model Modeshare by TAZ'!B:B)</f>
        <v>Unincorporated</v>
      </c>
      <c r="C2426" s="90" t="str">
        <f>_xlfn.XLOOKUP(A2426,'Model Modeshare by TAZ'!A:A,'Model Modeshare by TAZ'!D:D)</f>
        <v>NO</v>
      </c>
      <c r="D2426" s="27">
        <v>13601.9</v>
      </c>
      <c r="E2426" s="27">
        <v>277730.58</v>
      </c>
      <c r="F2426" s="27">
        <v>4744.78</v>
      </c>
      <c r="G2426" s="27">
        <v>49538.04</v>
      </c>
      <c r="H2426" s="27">
        <v>2272.14</v>
      </c>
      <c r="I2426" s="27">
        <v>30881.51</v>
      </c>
      <c r="J2426" s="6">
        <v>3320</v>
      </c>
      <c r="K2426" s="6">
        <v>1784</v>
      </c>
      <c r="L2426" s="27">
        <v>14.921096385542169</v>
      </c>
      <c r="M2426" s="27">
        <v>17.310263452914796</v>
      </c>
      <c r="N2426" s="34">
        <v>32.977927115987463</v>
      </c>
    </row>
    <row r="2427" spans="1:14" x14ac:dyDescent="0.35">
      <c r="A2427" s="82">
        <v>2424</v>
      </c>
      <c r="B2427" s="89" t="str">
        <f>_xlfn.XLOOKUP(A2427,'Model Modeshare by TAZ'!A:A,'Model Modeshare by TAZ'!B:B)</f>
        <v>Martinez</v>
      </c>
      <c r="C2427" s="90" t="str">
        <f>_xlfn.XLOOKUP(A2427,'Model Modeshare by TAZ'!A:A,'Model Modeshare by TAZ'!D:D)</f>
        <v>NO</v>
      </c>
      <c r="D2427" s="27">
        <v>6419.35</v>
      </c>
      <c r="E2427" s="27">
        <v>146272</v>
      </c>
      <c r="F2427" s="27">
        <v>1047.93</v>
      </c>
      <c r="G2427" s="27">
        <v>11104.2</v>
      </c>
      <c r="H2427" s="27">
        <v>3162.35</v>
      </c>
      <c r="I2427" s="27">
        <v>45937.97</v>
      </c>
      <c r="J2427" s="6">
        <v>1000</v>
      </c>
      <c r="K2427" s="6">
        <v>2417</v>
      </c>
      <c r="L2427" s="27">
        <v>11.104200000000001</v>
      </c>
      <c r="M2427" s="27">
        <v>19.006193628465041</v>
      </c>
      <c r="N2427" s="34">
        <v>37.264372256365235</v>
      </c>
    </row>
    <row r="2428" spans="1:14" x14ac:dyDescent="0.35">
      <c r="A2428" s="82">
        <v>2425</v>
      </c>
      <c r="B2428" s="89" t="str">
        <f>_xlfn.XLOOKUP(A2428,'Model Modeshare by TAZ'!A:A,'Model Modeshare by TAZ'!B:B)</f>
        <v>Martinez</v>
      </c>
      <c r="C2428" s="90" t="str">
        <f>_xlfn.XLOOKUP(A2428,'Model Modeshare by TAZ'!A:A,'Model Modeshare by TAZ'!D:D)</f>
        <v>NO</v>
      </c>
      <c r="D2428" s="27">
        <v>6849.29</v>
      </c>
      <c r="E2428" s="27">
        <v>133053.98000000001</v>
      </c>
      <c r="F2428" s="27">
        <v>2838.87</v>
      </c>
      <c r="G2428" s="27">
        <v>28590.35</v>
      </c>
      <c r="H2428" s="27">
        <v>2774</v>
      </c>
      <c r="I2428" s="27">
        <v>37843.800000000003</v>
      </c>
      <c r="J2428" s="6">
        <v>2208</v>
      </c>
      <c r="K2428" s="6">
        <v>2391</v>
      </c>
      <c r="L2428" s="27">
        <v>12.948528079710144</v>
      </c>
      <c r="M2428" s="27">
        <v>15.827603513174406</v>
      </c>
      <c r="N2428" s="34">
        <v>31.08190041313329</v>
      </c>
    </row>
    <row r="2429" spans="1:14" x14ac:dyDescent="0.35">
      <c r="A2429" s="82">
        <v>2426</v>
      </c>
      <c r="B2429" s="89" t="str">
        <f>_xlfn.XLOOKUP(A2429,'Model Modeshare by TAZ'!A:A,'Model Modeshare by TAZ'!B:B)</f>
        <v>Martinez</v>
      </c>
      <c r="C2429" s="90" t="str">
        <f>_xlfn.XLOOKUP(A2429,'Model Modeshare by TAZ'!A:A,'Model Modeshare by TAZ'!D:D)</f>
        <v>NO</v>
      </c>
      <c r="D2429" s="27">
        <v>12617.19</v>
      </c>
      <c r="E2429" s="27">
        <v>241692.11</v>
      </c>
      <c r="F2429" s="27">
        <v>10416.51</v>
      </c>
      <c r="G2429" s="27">
        <v>102888.21</v>
      </c>
      <c r="H2429" s="27">
        <v>3038.84</v>
      </c>
      <c r="I2429" s="27">
        <v>40862.15</v>
      </c>
      <c r="J2429" s="6">
        <v>7481</v>
      </c>
      <c r="K2429" s="6">
        <v>2437</v>
      </c>
      <c r="L2429" s="27">
        <v>13.75326961636145</v>
      </c>
      <c r="M2429" s="27">
        <v>16.767398440705787</v>
      </c>
      <c r="N2429" s="34">
        <v>23.02692276668683</v>
      </c>
    </row>
    <row r="2430" spans="1:14" x14ac:dyDescent="0.35">
      <c r="A2430" s="82">
        <v>2427</v>
      </c>
      <c r="B2430" s="89" t="str">
        <f>_xlfn.XLOOKUP(A2430,'Model Modeshare by TAZ'!A:A,'Model Modeshare by TAZ'!B:B)</f>
        <v>Unincorporated</v>
      </c>
      <c r="C2430" s="90" t="str">
        <f>_xlfn.XLOOKUP(A2430,'Model Modeshare by TAZ'!A:A,'Model Modeshare by TAZ'!D:D)</f>
        <v>NO</v>
      </c>
      <c r="D2430" s="27">
        <v>10884.46</v>
      </c>
      <c r="E2430" s="27">
        <v>239837.56</v>
      </c>
      <c r="F2430" s="27">
        <v>4811.4799999999996</v>
      </c>
      <c r="G2430" s="27">
        <v>50825.46</v>
      </c>
      <c r="H2430" s="27">
        <v>5336.91</v>
      </c>
      <c r="I2430" s="27">
        <v>70879.240000000005</v>
      </c>
      <c r="J2430" s="6">
        <v>3696</v>
      </c>
      <c r="K2430" s="6">
        <v>3985</v>
      </c>
      <c r="L2430" s="27">
        <v>13.751477272727273</v>
      </c>
      <c r="M2430" s="27">
        <v>17.786509410288584</v>
      </c>
      <c r="N2430" s="34">
        <v>29.30653821117042</v>
      </c>
    </row>
    <row r="2431" spans="1:14" x14ac:dyDescent="0.35">
      <c r="A2431" s="82">
        <v>2428</v>
      </c>
      <c r="B2431" s="89" t="str">
        <f>_xlfn.XLOOKUP(A2431,'Model Modeshare by TAZ'!A:A,'Model Modeshare by TAZ'!B:B)</f>
        <v>Martinez</v>
      </c>
      <c r="C2431" s="90" t="str">
        <f>_xlfn.XLOOKUP(A2431,'Model Modeshare by TAZ'!A:A,'Model Modeshare by TAZ'!D:D)</f>
        <v>NO</v>
      </c>
      <c r="D2431" s="27">
        <v>22734.54</v>
      </c>
      <c r="E2431" s="27">
        <v>452631.27</v>
      </c>
      <c r="F2431" s="27">
        <v>13568.74</v>
      </c>
      <c r="G2431" s="27">
        <v>132325.37</v>
      </c>
      <c r="H2431" s="27">
        <v>5605.79</v>
      </c>
      <c r="I2431" s="27">
        <v>68001.350000000006</v>
      </c>
      <c r="J2431" s="6">
        <v>9096</v>
      </c>
      <c r="K2431" s="6">
        <v>4279</v>
      </c>
      <c r="L2431" s="27">
        <v>14.547644019349164</v>
      </c>
      <c r="M2431" s="27">
        <v>15.891878943678432</v>
      </c>
      <c r="N2431" s="34">
        <v>26.303706168224299</v>
      </c>
    </row>
    <row r="2432" spans="1:14" x14ac:dyDescent="0.35">
      <c r="A2432" s="82">
        <v>2429</v>
      </c>
      <c r="B2432" s="89" t="str">
        <f>_xlfn.XLOOKUP(A2432,'Model Modeshare by TAZ'!A:A,'Model Modeshare by TAZ'!B:B)</f>
        <v>Unincorporated</v>
      </c>
      <c r="C2432" s="90" t="str">
        <f>_xlfn.XLOOKUP(A2432,'Model Modeshare by TAZ'!A:A,'Model Modeshare by TAZ'!D:D)</f>
        <v>NO</v>
      </c>
      <c r="D2432" s="27">
        <v>22649.95</v>
      </c>
      <c r="E2432" s="27">
        <v>566875</v>
      </c>
      <c r="F2432" s="27">
        <v>4766.42</v>
      </c>
      <c r="G2432" s="27">
        <v>55315.18</v>
      </c>
      <c r="H2432" s="27">
        <v>11927.46</v>
      </c>
      <c r="I2432" s="27">
        <v>158567.13</v>
      </c>
      <c r="J2432" s="6">
        <v>3301</v>
      </c>
      <c r="K2432" s="6">
        <v>8399</v>
      </c>
      <c r="L2432" s="27">
        <v>16.757097849136624</v>
      </c>
      <c r="M2432" s="27">
        <v>18.879286819859509</v>
      </c>
      <c r="N2432" s="34">
        <v>38.129336752136751</v>
      </c>
    </row>
    <row r="2433" spans="1:14" x14ac:dyDescent="0.35">
      <c r="A2433" s="82">
        <v>2430</v>
      </c>
      <c r="B2433" s="89" t="str">
        <f>_xlfn.XLOOKUP(A2433,'Model Modeshare by TAZ'!A:A,'Model Modeshare by TAZ'!B:B)</f>
        <v>Concord</v>
      </c>
      <c r="C2433" s="90" t="str">
        <f>_xlfn.XLOOKUP(A2433,'Model Modeshare by TAZ'!A:A,'Model Modeshare by TAZ'!D:D)</f>
        <v>NO</v>
      </c>
      <c r="D2433" s="27">
        <v>13385.59</v>
      </c>
      <c r="E2433" s="27">
        <v>253880.01</v>
      </c>
      <c r="F2433" s="27">
        <v>11882.16</v>
      </c>
      <c r="G2433" s="27">
        <v>128846.11</v>
      </c>
      <c r="H2433" s="27">
        <v>2591.33</v>
      </c>
      <c r="I2433" s="27">
        <v>25316.7</v>
      </c>
      <c r="J2433" s="6">
        <v>7934</v>
      </c>
      <c r="K2433" s="6">
        <v>1374</v>
      </c>
      <c r="L2433" s="27">
        <v>16.239741618351399</v>
      </c>
      <c r="M2433" s="27">
        <v>18.425545851528383</v>
      </c>
      <c r="N2433" s="34">
        <v>25.183789213579715</v>
      </c>
    </row>
    <row r="2434" spans="1:14" x14ac:dyDescent="0.35">
      <c r="A2434" s="82">
        <v>2431</v>
      </c>
      <c r="B2434" s="89" t="str">
        <f>_xlfn.XLOOKUP(A2434,'Model Modeshare by TAZ'!A:A,'Model Modeshare by TAZ'!B:B)</f>
        <v>Concord</v>
      </c>
      <c r="C2434" s="90" t="str">
        <f>_xlfn.XLOOKUP(A2434,'Model Modeshare by TAZ'!A:A,'Model Modeshare by TAZ'!D:D)</f>
        <v>NO</v>
      </c>
      <c r="D2434" s="27">
        <v>12230.95</v>
      </c>
      <c r="E2434" s="27">
        <v>220146.89</v>
      </c>
      <c r="F2434" s="27">
        <v>12028.89</v>
      </c>
      <c r="G2434" s="27">
        <v>123276.53</v>
      </c>
      <c r="H2434" s="27">
        <v>1203.68</v>
      </c>
      <c r="I2434" s="27">
        <v>10529.68</v>
      </c>
      <c r="J2434" s="6">
        <v>8041</v>
      </c>
      <c r="K2434" s="6">
        <v>659</v>
      </c>
      <c r="L2434" s="27">
        <v>15.330994901131699</v>
      </c>
      <c r="M2434" s="27">
        <v>15.978270106221549</v>
      </c>
      <c r="N2434" s="34">
        <v>22.033641379310343</v>
      </c>
    </row>
    <row r="2435" spans="1:14" x14ac:dyDescent="0.35">
      <c r="A2435" s="82">
        <v>2432</v>
      </c>
      <c r="B2435" s="89" t="str">
        <f>_xlfn.XLOOKUP(A2435,'Model Modeshare by TAZ'!A:A,'Model Modeshare by TAZ'!B:B)</f>
        <v>Clayton</v>
      </c>
      <c r="C2435" s="90" t="str">
        <f>_xlfn.XLOOKUP(A2435,'Model Modeshare by TAZ'!A:A,'Model Modeshare by TAZ'!D:D)</f>
        <v>NO</v>
      </c>
      <c r="D2435" s="27">
        <v>14901.65</v>
      </c>
      <c r="E2435" s="27">
        <v>303825.88</v>
      </c>
      <c r="F2435" s="27">
        <v>12286.37</v>
      </c>
      <c r="G2435" s="27">
        <v>140108.16</v>
      </c>
      <c r="H2435" s="27">
        <v>2366.0300000000002</v>
      </c>
      <c r="I2435" s="27">
        <v>22281.85</v>
      </c>
      <c r="J2435" s="6">
        <v>7908</v>
      </c>
      <c r="K2435" s="6">
        <v>1296</v>
      </c>
      <c r="L2435" s="27">
        <v>17.717268588770864</v>
      </c>
      <c r="M2435" s="27">
        <v>17.192785493827159</v>
      </c>
      <c r="N2435" s="34">
        <v>27.35291177748805</v>
      </c>
    </row>
    <row r="2436" spans="1:14" x14ac:dyDescent="0.35">
      <c r="A2436" s="82">
        <v>2433</v>
      </c>
      <c r="B2436" s="89" t="str">
        <f>_xlfn.XLOOKUP(A2436,'Model Modeshare by TAZ'!A:A,'Model Modeshare by TAZ'!B:B)</f>
        <v>Clayton</v>
      </c>
      <c r="C2436" s="90" t="str">
        <f>_xlfn.XLOOKUP(A2436,'Model Modeshare by TAZ'!A:A,'Model Modeshare by TAZ'!D:D)</f>
        <v>NO</v>
      </c>
      <c r="D2436" s="27">
        <v>5874.44</v>
      </c>
      <c r="E2436" s="27">
        <v>128084.64</v>
      </c>
      <c r="F2436" s="27">
        <v>5740.26</v>
      </c>
      <c r="G2436" s="27">
        <v>68254.17</v>
      </c>
      <c r="H2436" s="27">
        <v>1122.43</v>
      </c>
      <c r="I2436" s="27">
        <v>11655.36</v>
      </c>
      <c r="J2436" s="6">
        <v>3877</v>
      </c>
      <c r="K2436" s="6">
        <v>628</v>
      </c>
      <c r="L2436" s="27">
        <v>17.604892958473044</v>
      </c>
      <c r="M2436" s="27">
        <v>18.559490445859872</v>
      </c>
      <c r="N2436" s="34">
        <v>27.818712541620421</v>
      </c>
    </row>
    <row r="2437" spans="1:14" x14ac:dyDescent="0.35">
      <c r="A2437" s="82">
        <v>2434</v>
      </c>
      <c r="B2437" s="89" t="str">
        <f>_xlfn.XLOOKUP(A2437,'Model Modeshare by TAZ'!A:A,'Model Modeshare by TAZ'!B:B)</f>
        <v>Unincorporated</v>
      </c>
      <c r="C2437" s="90" t="str">
        <f>_xlfn.XLOOKUP(A2437,'Model Modeshare by TAZ'!A:A,'Model Modeshare by TAZ'!D:D)</f>
        <v>NO</v>
      </c>
      <c r="D2437" s="27">
        <v>1629.6</v>
      </c>
      <c r="E2437" s="27">
        <v>43824.73</v>
      </c>
      <c r="F2437" s="27">
        <v>1710.49</v>
      </c>
      <c r="G2437" s="27">
        <v>25503.48</v>
      </c>
      <c r="H2437" s="27">
        <v>217.36</v>
      </c>
      <c r="I2437" s="27">
        <v>2874.76</v>
      </c>
      <c r="J2437" s="6">
        <v>1085</v>
      </c>
      <c r="K2437" s="6">
        <v>118</v>
      </c>
      <c r="L2437" s="27">
        <v>23.505511520737326</v>
      </c>
      <c r="M2437" s="27">
        <v>24.362372881355935</v>
      </c>
      <c r="N2437" s="34">
        <v>35.826084788029924</v>
      </c>
    </row>
    <row r="2438" spans="1:14" x14ac:dyDescent="0.35">
      <c r="A2438" s="82">
        <v>2435</v>
      </c>
      <c r="B2438" s="89" t="str">
        <f>_xlfn.XLOOKUP(A2438,'Model Modeshare by TAZ'!A:A,'Model Modeshare by TAZ'!B:B)</f>
        <v>Concord</v>
      </c>
      <c r="C2438" s="90" t="str">
        <f>_xlfn.XLOOKUP(A2438,'Model Modeshare by TAZ'!A:A,'Model Modeshare by TAZ'!D:D)</f>
        <v>NO</v>
      </c>
      <c r="D2438" s="27">
        <v>11727.06</v>
      </c>
      <c r="E2438" s="27">
        <v>232762.88</v>
      </c>
      <c r="F2438" s="27">
        <v>11183.4</v>
      </c>
      <c r="G2438" s="27">
        <v>123631.59</v>
      </c>
      <c r="H2438" s="27">
        <v>2330.67</v>
      </c>
      <c r="I2438" s="27">
        <v>22224.91</v>
      </c>
      <c r="J2438" s="6">
        <v>7954</v>
      </c>
      <c r="K2438" s="6">
        <v>1269</v>
      </c>
      <c r="L2438" s="27">
        <v>15.543322856424441</v>
      </c>
      <c r="M2438" s="27">
        <v>17.513719464144994</v>
      </c>
      <c r="N2438" s="34">
        <v>24.607147349018756</v>
      </c>
    </row>
    <row r="2439" spans="1:14" x14ac:dyDescent="0.35">
      <c r="A2439" s="82">
        <v>2436</v>
      </c>
      <c r="B2439" s="89" t="str">
        <f>_xlfn.XLOOKUP(A2439,'Model Modeshare by TAZ'!A:A,'Model Modeshare by TAZ'!B:B)</f>
        <v>Concord</v>
      </c>
      <c r="C2439" s="90" t="str">
        <f>_xlfn.XLOOKUP(A2439,'Model Modeshare by TAZ'!A:A,'Model Modeshare by TAZ'!D:D)</f>
        <v>NO</v>
      </c>
      <c r="D2439" s="27">
        <v>5391.51</v>
      </c>
      <c r="E2439" s="27">
        <v>105875.25</v>
      </c>
      <c r="F2439" s="27">
        <v>5461.83</v>
      </c>
      <c r="G2439" s="27">
        <v>60448.58</v>
      </c>
      <c r="H2439" s="27">
        <v>315.10000000000002</v>
      </c>
      <c r="I2439" s="27">
        <v>3151.35</v>
      </c>
      <c r="J2439" s="6">
        <v>3722</v>
      </c>
      <c r="K2439" s="6">
        <v>180</v>
      </c>
      <c r="L2439" s="27">
        <v>16.240886620096724</v>
      </c>
      <c r="M2439" s="27">
        <v>17.5075</v>
      </c>
      <c r="N2439" s="34">
        <v>23.008864684777038</v>
      </c>
    </row>
    <row r="2440" spans="1:14" x14ac:dyDescent="0.35">
      <c r="A2440" s="82">
        <v>2437</v>
      </c>
      <c r="B2440" s="89" t="str">
        <f>_xlfn.XLOOKUP(A2440,'Model Modeshare by TAZ'!A:A,'Model Modeshare by TAZ'!B:B)</f>
        <v>Concord</v>
      </c>
      <c r="C2440" s="90" t="str">
        <f>_xlfn.XLOOKUP(A2440,'Model Modeshare by TAZ'!A:A,'Model Modeshare by TAZ'!D:D)</f>
        <v>NO</v>
      </c>
      <c r="D2440" s="27">
        <v>1370.53</v>
      </c>
      <c r="E2440" s="27">
        <v>24480.23</v>
      </c>
      <c r="F2440" s="27">
        <v>1716.46</v>
      </c>
      <c r="G2440" s="27">
        <v>17418.77</v>
      </c>
      <c r="H2440" s="27">
        <v>121.39</v>
      </c>
      <c r="I2440" s="27">
        <v>1087.81</v>
      </c>
      <c r="J2440" s="6">
        <v>1130</v>
      </c>
      <c r="K2440" s="6">
        <v>65</v>
      </c>
      <c r="L2440" s="27">
        <v>15.414840707964602</v>
      </c>
      <c r="M2440" s="27">
        <v>16.735538461538461</v>
      </c>
      <c r="N2440" s="34">
        <v>21.943163179916318</v>
      </c>
    </row>
    <row r="2441" spans="1:14" x14ac:dyDescent="0.35">
      <c r="A2441" s="82">
        <v>2438</v>
      </c>
      <c r="B2441" s="89" t="str">
        <f>_xlfn.XLOOKUP(A2441,'Model Modeshare by TAZ'!A:A,'Model Modeshare by TAZ'!B:B)</f>
        <v>Concord</v>
      </c>
      <c r="C2441" s="90" t="str">
        <f>_xlfn.XLOOKUP(A2441,'Model Modeshare by TAZ'!A:A,'Model Modeshare by TAZ'!D:D)</f>
        <v>NO</v>
      </c>
      <c r="D2441" s="27">
        <v>13861.74</v>
      </c>
      <c r="E2441" s="27">
        <v>239273.15</v>
      </c>
      <c r="F2441" s="27">
        <v>10069.23</v>
      </c>
      <c r="G2441" s="27">
        <v>96698.45</v>
      </c>
      <c r="H2441" s="27">
        <v>2056.65</v>
      </c>
      <c r="I2441" s="27">
        <v>17438.5</v>
      </c>
      <c r="J2441" s="6">
        <v>7499</v>
      </c>
      <c r="K2441" s="6">
        <v>1170</v>
      </c>
      <c r="L2441" s="27">
        <v>12.894845979463929</v>
      </c>
      <c r="M2441" s="27">
        <v>14.904700854700854</v>
      </c>
      <c r="N2441" s="34">
        <v>22.515317799054102</v>
      </c>
    </row>
    <row r="2442" spans="1:14" x14ac:dyDescent="0.35">
      <c r="A2442" s="82">
        <v>2439</v>
      </c>
      <c r="B2442" s="89" t="str">
        <f>_xlfn.XLOOKUP(A2442,'Model Modeshare by TAZ'!A:A,'Model Modeshare by TAZ'!B:B)</f>
        <v>Concord</v>
      </c>
      <c r="C2442" s="90" t="str">
        <f>_xlfn.XLOOKUP(A2442,'Model Modeshare by TAZ'!A:A,'Model Modeshare by TAZ'!D:D)</f>
        <v>NO</v>
      </c>
      <c r="D2442" s="27">
        <v>6540.47</v>
      </c>
      <c r="E2442" s="27">
        <v>106783.12</v>
      </c>
      <c r="F2442" s="27">
        <v>5353.62</v>
      </c>
      <c r="G2442" s="27">
        <v>49577.2</v>
      </c>
      <c r="H2442" s="27">
        <v>965.98</v>
      </c>
      <c r="I2442" s="27">
        <v>8916.85</v>
      </c>
      <c r="J2442" s="6">
        <v>3809</v>
      </c>
      <c r="K2442" s="6">
        <v>519</v>
      </c>
      <c r="L2442" s="27">
        <v>13.015804673142556</v>
      </c>
      <c r="M2442" s="27">
        <v>17.180828516377652</v>
      </c>
      <c r="N2442" s="34">
        <v>22.408036044362291</v>
      </c>
    </row>
    <row r="2443" spans="1:14" x14ac:dyDescent="0.35">
      <c r="A2443" s="82">
        <v>2440</v>
      </c>
      <c r="B2443" s="89" t="str">
        <f>_xlfn.XLOOKUP(A2443,'Model Modeshare by TAZ'!A:A,'Model Modeshare by TAZ'!B:B)</f>
        <v>Concord</v>
      </c>
      <c r="C2443" s="90" t="str">
        <f>_xlfn.XLOOKUP(A2443,'Model Modeshare by TAZ'!A:A,'Model Modeshare by TAZ'!D:D)</f>
        <v>NO</v>
      </c>
      <c r="D2443" s="27">
        <v>10285.200000000001</v>
      </c>
      <c r="E2443" s="27">
        <v>166367.14000000001</v>
      </c>
      <c r="F2443" s="27">
        <v>8601.6299999999992</v>
      </c>
      <c r="G2443" s="27">
        <v>82471.17</v>
      </c>
      <c r="H2443" s="27">
        <v>1782.22</v>
      </c>
      <c r="I2443" s="27">
        <v>15444.74</v>
      </c>
      <c r="J2443" s="6">
        <v>5995</v>
      </c>
      <c r="K2443" s="6">
        <v>977</v>
      </c>
      <c r="L2443" s="27">
        <v>13.756658882402002</v>
      </c>
      <c r="M2443" s="27">
        <v>15.808331627430912</v>
      </c>
      <c r="N2443" s="34">
        <v>23.0492785427424</v>
      </c>
    </row>
    <row r="2444" spans="1:14" x14ac:dyDescent="0.35">
      <c r="A2444" s="82">
        <v>2441</v>
      </c>
      <c r="B2444" s="89" t="str">
        <f>_xlfn.XLOOKUP(A2444,'Model Modeshare by TAZ'!A:A,'Model Modeshare by TAZ'!B:B)</f>
        <v>Concord</v>
      </c>
      <c r="C2444" s="90" t="str">
        <f>_xlfn.XLOOKUP(A2444,'Model Modeshare by TAZ'!A:A,'Model Modeshare by TAZ'!D:D)</f>
        <v>NO</v>
      </c>
      <c r="D2444" s="27">
        <v>13675.29</v>
      </c>
      <c r="E2444" s="27">
        <v>268160.32</v>
      </c>
      <c r="F2444" s="27">
        <v>10442.459999999999</v>
      </c>
      <c r="G2444" s="27">
        <v>110107.66</v>
      </c>
      <c r="H2444" s="27">
        <v>2396.39</v>
      </c>
      <c r="I2444" s="27">
        <v>25009.79</v>
      </c>
      <c r="J2444" s="6">
        <v>7593</v>
      </c>
      <c r="K2444" s="6">
        <v>1576</v>
      </c>
      <c r="L2444" s="27">
        <v>14.501206374292112</v>
      </c>
      <c r="M2444" s="27">
        <v>15.869156091370559</v>
      </c>
      <c r="N2444" s="34">
        <v>26.394847856909148</v>
      </c>
    </row>
    <row r="2445" spans="1:14" x14ac:dyDescent="0.35">
      <c r="A2445" s="82">
        <v>2442</v>
      </c>
      <c r="B2445" s="89" t="str">
        <f>_xlfn.XLOOKUP(A2445,'Model Modeshare by TAZ'!A:A,'Model Modeshare by TAZ'!B:B)</f>
        <v>Concord</v>
      </c>
      <c r="C2445" s="90" t="str">
        <f>_xlfn.XLOOKUP(A2445,'Model Modeshare by TAZ'!A:A,'Model Modeshare by TAZ'!D:D)</f>
        <v>NO</v>
      </c>
      <c r="D2445" s="27">
        <v>12343.49</v>
      </c>
      <c r="E2445" s="27">
        <v>199339.58</v>
      </c>
      <c r="F2445" s="27">
        <v>9611.89</v>
      </c>
      <c r="G2445" s="27">
        <v>84074.22</v>
      </c>
      <c r="H2445" s="27">
        <v>2430.23</v>
      </c>
      <c r="I2445" s="27">
        <v>23071.34</v>
      </c>
      <c r="J2445" s="6">
        <v>7098</v>
      </c>
      <c r="K2445" s="6">
        <v>1637</v>
      </c>
      <c r="L2445" s="27">
        <v>11.844775993237532</v>
      </c>
      <c r="M2445" s="27">
        <v>14.093671350030544</v>
      </c>
      <c r="N2445" s="34">
        <v>19.618907842014885</v>
      </c>
    </row>
    <row r="2446" spans="1:14" x14ac:dyDescent="0.35">
      <c r="A2446" s="82">
        <v>2443</v>
      </c>
      <c r="B2446" s="89" t="str">
        <f>_xlfn.XLOOKUP(A2446,'Model Modeshare by TAZ'!A:A,'Model Modeshare by TAZ'!B:B)</f>
        <v>Concord</v>
      </c>
      <c r="C2446" s="90" t="str">
        <f>_xlfn.XLOOKUP(A2446,'Model Modeshare by TAZ'!A:A,'Model Modeshare by TAZ'!D:D)</f>
        <v>NO</v>
      </c>
      <c r="D2446" s="27">
        <v>10530.65</v>
      </c>
      <c r="E2446" s="27">
        <v>180661.23</v>
      </c>
      <c r="F2446" s="27">
        <v>7988.94</v>
      </c>
      <c r="G2446" s="27">
        <v>72607.73</v>
      </c>
      <c r="H2446" s="27">
        <v>1641.84</v>
      </c>
      <c r="I2446" s="27">
        <v>17831.580000000002</v>
      </c>
      <c r="J2446" s="6">
        <v>5441</v>
      </c>
      <c r="K2446" s="6">
        <v>913</v>
      </c>
      <c r="L2446" s="27">
        <v>13.344556147766953</v>
      </c>
      <c r="M2446" s="27">
        <v>19.530755750273823</v>
      </c>
      <c r="N2446" s="34">
        <v>26.461606861819323</v>
      </c>
    </row>
    <row r="2447" spans="1:14" x14ac:dyDescent="0.35">
      <c r="A2447" s="82">
        <v>2444</v>
      </c>
      <c r="B2447" s="89" t="str">
        <f>_xlfn.XLOOKUP(A2447,'Model Modeshare by TAZ'!A:A,'Model Modeshare by TAZ'!B:B)</f>
        <v>Concord</v>
      </c>
      <c r="C2447" s="90" t="str">
        <f>_xlfn.XLOOKUP(A2447,'Model Modeshare by TAZ'!A:A,'Model Modeshare by TAZ'!D:D)</f>
        <v>NO</v>
      </c>
      <c r="D2447" s="27">
        <v>12881.52</v>
      </c>
      <c r="E2447" s="27">
        <v>239745.88</v>
      </c>
      <c r="F2447" s="27">
        <v>8767.89</v>
      </c>
      <c r="G2447" s="27">
        <v>82982.81</v>
      </c>
      <c r="H2447" s="27">
        <v>3477.88</v>
      </c>
      <c r="I2447" s="27">
        <v>40291.29</v>
      </c>
      <c r="J2447" s="6">
        <v>6431</v>
      </c>
      <c r="K2447" s="6">
        <v>2854</v>
      </c>
      <c r="L2447" s="27">
        <v>12.903562431970144</v>
      </c>
      <c r="M2447" s="27">
        <v>14.117480728801683</v>
      </c>
      <c r="N2447" s="34">
        <v>24.836297253634893</v>
      </c>
    </row>
    <row r="2448" spans="1:14" x14ac:dyDescent="0.35">
      <c r="A2448" s="82">
        <v>2445</v>
      </c>
      <c r="B2448" s="89" t="str">
        <f>_xlfn.XLOOKUP(A2448,'Model Modeshare by TAZ'!A:A,'Model Modeshare by TAZ'!B:B)</f>
        <v>Concord</v>
      </c>
      <c r="C2448" s="90" t="str">
        <f>_xlfn.XLOOKUP(A2448,'Model Modeshare by TAZ'!A:A,'Model Modeshare by TAZ'!D:D)</f>
        <v>NO</v>
      </c>
      <c r="D2448" s="27">
        <v>16883.849999999999</v>
      </c>
      <c r="E2448" s="27">
        <v>340690.72</v>
      </c>
      <c r="F2448" s="27">
        <v>2912.44</v>
      </c>
      <c r="G2448" s="27">
        <v>29386.02</v>
      </c>
      <c r="H2448" s="27">
        <v>8055.11</v>
      </c>
      <c r="I2448" s="27">
        <v>94589.43</v>
      </c>
      <c r="J2448" s="6">
        <v>2511</v>
      </c>
      <c r="K2448" s="6">
        <v>7505</v>
      </c>
      <c r="L2448" s="27">
        <v>11.702915173237754</v>
      </c>
      <c r="M2448" s="27">
        <v>12.603521652231844</v>
      </c>
      <c r="N2448" s="34">
        <v>32.66887180511182</v>
      </c>
    </row>
    <row r="2449" spans="1:14" x14ac:dyDescent="0.35">
      <c r="A2449" s="82">
        <v>2446</v>
      </c>
      <c r="B2449" s="89" t="str">
        <f>_xlfn.XLOOKUP(A2449,'Model Modeshare by TAZ'!A:A,'Model Modeshare by TAZ'!B:B)</f>
        <v>Concord</v>
      </c>
      <c r="C2449" s="90" t="str">
        <f>_xlfn.XLOOKUP(A2449,'Model Modeshare by TAZ'!A:A,'Model Modeshare by TAZ'!D:D)</f>
        <v>NO</v>
      </c>
      <c r="D2449" s="27">
        <v>8059.66</v>
      </c>
      <c r="E2449" s="27">
        <v>133318.72</v>
      </c>
      <c r="F2449" s="27">
        <v>9011.5400000000009</v>
      </c>
      <c r="G2449" s="27">
        <v>82349.61</v>
      </c>
      <c r="H2449" s="27">
        <v>755.09</v>
      </c>
      <c r="I2449" s="27">
        <v>8172.54</v>
      </c>
      <c r="J2449" s="6">
        <v>8393</v>
      </c>
      <c r="K2449" s="6">
        <v>438</v>
      </c>
      <c r="L2449" s="27">
        <v>9.8117014178482069</v>
      </c>
      <c r="M2449" s="27">
        <v>18.658767123287671</v>
      </c>
      <c r="N2449" s="34">
        <v>16.533916883705128</v>
      </c>
    </row>
    <row r="2450" spans="1:14" x14ac:dyDescent="0.35">
      <c r="A2450" s="82">
        <v>2447</v>
      </c>
      <c r="B2450" s="89" t="str">
        <f>_xlfn.XLOOKUP(A2450,'Model Modeshare by TAZ'!A:A,'Model Modeshare by TAZ'!B:B)</f>
        <v>Concord</v>
      </c>
      <c r="C2450" s="90" t="str">
        <f>_xlfn.XLOOKUP(A2450,'Model Modeshare by TAZ'!A:A,'Model Modeshare by TAZ'!D:D)</f>
        <v>NO</v>
      </c>
      <c r="D2450" s="27">
        <v>5872.86</v>
      </c>
      <c r="E2450" s="27">
        <v>98897.64</v>
      </c>
      <c r="F2450" s="27">
        <v>5466.02</v>
      </c>
      <c r="G2450" s="27">
        <v>50030.33</v>
      </c>
      <c r="H2450" s="27">
        <v>1077.3</v>
      </c>
      <c r="I2450" s="27">
        <v>11998.14</v>
      </c>
      <c r="J2450" s="6">
        <v>5072</v>
      </c>
      <c r="K2450" s="6">
        <v>639</v>
      </c>
      <c r="L2450" s="27">
        <v>9.8640240536277606</v>
      </c>
      <c r="M2450" s="27">
        <v>18.77643192488263</v>
      </c>
      <c r="N2450" s="34">
        <v>17.873330414988619</v>
      </c>
    </row>
    <row r="2451" spans="1:14" x14ac:dyDescent="0.35">
      <c r="A2451" s="82">
        <v>2448</v>
      </c>
      <c r="B2451" s="89" t="str">
        <f>_xlfn.XLOOKUP(A2451,'Model Modeshare by TAZ'!A:A,'Model Modeshare by TAZ'!B:B)</f>
        <v>Concord</v>
      </c>
      <c r="C2451" s="90" t="str">
        <f>_xlfn.XLOOKUP(A2451,'Model Modeshare by TAZ'!A:A,'Model Modeshare by TAZ'!D:D)</f>
        <v>NO</v>
      </c>
      <c r="D2451" s="27">
        <v>7098.84</v>
      </c>
      <c r="E2451" s="27">
        <v>95206.49</v>
      </c>
      <c r="F2451" s="27">
        <v>4641.04</v>
      </c>
      <c r="G2451" s="27">
        <v>37706.550000000003</v>
      </c>
      <c r="H2451" s="27">
        <v>2038.74</v>
      </c>
      <c r="I2451" s="27">
        <v>19994.71</v>
      </c>
      <c r="J2451" s="6">
        <v>3439</v>
      </c>
      <c r="K2451" s="6">
        <v>1688</v>
      </c>
      <c r="L2451" s="27">
        <v>10.964393719104391</v>
      </c>
      <c r="M2451" s="27">
        <v>11.845207345971563</v>
      </c>
      <c r="N2451" s="34">
        <v>21.501168324556271</v>
      </c>
    </row>
    <row r="2452" spans="1:14" x14ac:dyDescent="0.35">
      <c r="A2452" s="82">
        <v>2449</v>
      </c>
      <c r="B2452" s="89" t="str">
        <f>_xlfn.XLOOKUP(A2452,'Model Modeshare by TAZ'!A:A,'Model Modeshare by TAZ'!B:B)</f>
        <v>Concord</v>
      </c>
      <c r="C2452" s="90" t="str">
        <f>_xlfn.XLOOKUP(A2452,'Model Modeshare by TAZ'!A:A,'Model Modeshare by TAZ'!D:D)</f>
        <v>NO</v>
      </c>
      <c r="D2452" s="27">
        <v>5715</v>
      </c>
      <c r="E2452" s="27">
        <v>107008.42</v>
      </c>
      <c r="F2452" s="27">
        <v>4751.18</v>
      </c>
      <c r="G2452" s="27">
        <v>48061.57</v>
      </c>
      <c r="H2452" s="27">
        <v>483.85</v>
      </c>
      <c r="I2452" s="27">
        <v>4975.72</v>
      </c>
      <c r="J2452" s="6">
        <v>3238</v>
      </c>
      <c r="K2452" s="6">
        <v>260</v>
      </c>
      <c r="L2452" s="27">
        <v>14.842980234712785</v>
      </c>
      <c r="M2452" s="27">
        <v>19.137384615384615</v>
      </c>
      <c r="N2452" s="34">
        <v>23.188399085191538</v>
      </c>
    </row>
    <row r="2453" spans="1:14" x14ac:dyDescent="0.35">
      <c r="A2453" s="82">
        <v>2450</v>
      </c>
      <c r="B2453" s="89" t="str">
        <f>_xlfn.XLOOKUP(A2453,'Model Modeshare by TAZ'!A:A,'Model Modeshare by TAZ'!B:B)</f>
        <v>Concord</v>
      </c>
      <c r="C2453" s="90" t="str">
        <f>_xlfn.XLOOKUP(A2453,'Model Modeshare by TAZ'!A:A,'Model Modeshare by TAZ'!D:D)</f>
        <v>NO</v>
      </c>
      <c r="D2453" s="27">
        <v>14653.83</v>
      </c>
      <c r="E2453" s="27">
        <v>264144.11</v>
      </c>
      <c r="F2453" s="27">
        <v>9392.59</v>
      </c>
      <c r="G2453" s="27">
        <v>84247.89</v>
      </c>
      <c r="H2453" s="27">
        <v>4680.42</v>
      </c>
      <c r="I2453" s="27">
        <v>48280.05</v>
      </c>
      <c r="J2453" s="6">
        <v>7062</v>
      </c>
      <c r="K2453" s="6">
        <v>4118</v>
      </c>
      <c r="L2453" s="27">
        <v>11.929749362786746</v>
      </c>
      <c r="M2453" s="27">
        <v>11.724150072850898</v>
      </c>
      <c r="N2453" s="34">
        <v>22.805694096601073</v>
      </c>
    </row>
    <row r="2454" spans="1:14" x14ac:dyDescent="0.35">
      <c r="A2454" s="82">
        <v>2451</v>
      </c>
      <c r="B2454" s="89" t="str">
        <f>_xlfn.XLOOKUP(A2454,'Model Modeshare by TAZ'!A:A,'Model Modeshare by TAZ'!B:B)</f>
        <v>Concord</v>
      </c>
      <c r="C2454" s="90" t="str">
        <f>_xlfn.XLOOKUP(A2454,'Model Modeshare by TAZ'!A:A,'Model Modeshare by TAZ'!D:D)</f>
        <v>NO</v>
      </c>
      <c r="D2454" s="27">
        <v>12700.15</v>
      </c>
      <c r="E2454" s="27">
        <v>210385.6</v>
      </c>
      <c r="F2454" s="27">
        <v>11385.19</v>
      </c>
      <c r="G2454" s="27">
        <v>95880.26</v>
      </c>
      <c r="H2454" s="27">
        <v>1647.48</v>
      </c>
      <c r="I2454" s="27">
        <v>16897.919999999998</v>
      </c>
      <c r="J2454" s="6">
        <v>8722</v>
      </c>
      <c r="K2454" s="6">
        <v>938</v>
      </c>
      <c r="L2454" s="27">
        <v>10.992921348314606</v>
      </c>
      <c r="M2454" s="27">
        <v>18.014840085287844</v>
      </c>
      <c r="N2454" s="34">
        <v>19.167462732919255</v>
      </c>
    </row>
    <row r="2455" spans="1:14" x14ac:dyDescent="0.35">
      <c r="A2455" s="82">
        <v>2452</v>
      </c>
      <c r="B2455" s="89" t="str">
        <f>_xlfn.XLOOKUP(A2455,'Model Modeshare by TAZ'!A:A,'Model Modeshare by TAZ'!B:B)</f>
        <v>Concord</v>
      </c>
      <c r="C2455" s="90" t="str">
        <f>_xlfn.XLOOKUP(A2455,'Model Modeshare by TAZ'!A:A,'Model Modeshare by TAZ'!D:D)</f>
        <v>NO</v>
      </c>
      <c r="D2455" s="27">
        <v>13018.61</v>
      </c>
      <c r="E2455" s="27">
        <v>205451.45</v>
      </c>
      <c r="F2455" s="27">
        <v>12053.46</v>
      </c>
      <c r="G2455" s="27">
        <v>98705.600000000006</v>
      </c>
      <c r="H2455" s="27">
        <v>1737.79</v>
      </c>
      <c r="I2455" s="27">
        <v>17607.66</v>
      </c>
      <c r="J2455" s="6">
        <v>9924</v>
      </c>
      <c r="K2455" s="6">
        <v>991</v>
      </c>
      <c r="L2455" s="27">
        <v>9.9461507456670706</v>
      </c>
      <c r="M2455" s="27">
        <v>17.767568113017155</v>
      </c>
      <c r="N2455" s="34">
        <v>16.867132386623911</v>
      </c>
    </row>
    <row r="2456" spans="1:14" x14ac:dyDescent="0.35">
      <c r="A2456" s="82">
        <v>2453</v>
      </c>
      <c r="B2456" s="89" t="str">
        <f>_xlfn.XLOOKUP(A2456,'Model Modeshare by TAZ'!A:A,'Model Modeshare by TAZ'!B:B)</f>
        <v>Pleasant Hill</v>
      </c>
      <c r="C2456" s="90" t="str">
        <f>_xlfn.XLOOKUP(A2456,'Model Modeshare by TAZ'!A:A,'Model Modeshare by TAZ'!D:D)</f>
        <v>NO</v>
      </c>
      <c r="D2456" s="27">
        <v>42132.03</v>
      </c>
      <c r="E2456" s="27">
        <v>728219.57</v>
      </c>
      <c r="F2456" s="27">
        <v>13093.62</v>
      </c>
      <c r="G2456" s="27">
        <v>105174.94</v>
      </c>
      <c r="H2456" s="27">
        <v>9788.52</v>
      </c>
      <c r="I2456" s="27">
        <v>110686.18</v>
      </c>
      <c r="J2456" s="6">
        <v>9837</v>
      </c>
      <c r="K2456" s="6">
        <v>8649</v>
      </c>
      <c r="L2456" s="27">
        <v>10.691769848531056</v>
      </c>
      <c r="M2456" s="27">
        <v>12.797569661232512</v>
      </c>
      <c r="N2456" s="34">
        <v>26.43758357676079</v>
      </c>
    </row>
    <row r="2457" spans="1:14" x14ac:dyDescent="0.35">
      <c r="A2457" s="82">
        <v>2454</v>
      </c>
      <c r="B2457" s="89" t="str">
        <f>_xlfn.XLOOKUP(A2457,'Model Modeshare by TAZ'!A:A,'Model Modeshare by TAZ'!B:B)</f>
        <v>Concord</v>
      </c>
      <c r="C2457" s="90" t="str">
        <f>_xlfn.XLOOKUP(A2457,'Model Modeshare by TAZ'!A:A,'Model Modeshare by TAZ'!D:D)</f>
        <v>NO</v>
      </c>
      <c r="D2457" s="27">
        <v>46002.89</v>
      </c>
      <c r="E2457" s="27">
        <v>821485.61</v>
      </c>
      <c r="F2457" s="27">
        <v>8388.5499999999993</v>
      </c>
      <c r="G2457" s="27">
        <v>67531.22</v>
      </c>
      <c r="H2457" s="27">
        <v>19713.150000000001</v>
      </c>
      <c r="I2457" s="27">
        <v>218360.49</v>
      </c>
      <c r="J2457" s="6">
        <v>6779</v>
      </c>
      <c r="K2457" s="6">
        <v>16915</v>
      </c>
      <c r="L2457" s="27">
        <v>9.9618262280572356</v>
      </c>
      <c r="M2457" s="27">
        <v>12.909281111439551</v>
      </c>
      <c r="N2457" s="34">
        <v>32.963524098927998</v>
      </c>
    </row>
    <row r="2458" spans="1:14" x14ac:dyDescent="0.35">
      <c r="A2458" s="82">
        <v>2455</v>
      </c>
      <c r="B2458" s="89" t="str">
        <f>_xlfn.XLOOKUP(A2458,'Model Modeshare by TAZ'!A:A,'Model Modeshare by TAZ'!B:B)</f>
        <v>Unincorporated</v>
      </c>
      <c r="C2458" s="90" t="str">
        <f>_xlfn.XLOOKUP(A2458,'Model Modeshare by TAZ'!A:A,'Model Modeshare by TAZ'!D:D)</f>
        <v>NO</v>
      </c>
      <c r="D2458" s="27">
        <v>13468.7</v>
      </c>
      <c r="E2458" s="27">
        <v>238753.41</v>
      </c>
      <c r="F2458" s="27">
        <v>7718.63</v>
      </c>
      <c r="G2458" s="27">
        <v>65307.41</v>
      </c>
      <c r="H2458" s="27">
        <v>5857.92</v>
      </c>
      <c r="I2458" s="27">
        <v>66697.06</v>
      </c>
      <c r="J2458" s="6">
        <v>5722</v>
      </c>
      <c r="K2458" s="6">
        <v>5004</v>
      </c>
      <c r="L2458" s="27">
        <v>11.413388675288362</v>
      </c>
      <c r="M2458" s="27">
        <v>13.328749000799361</v>
      </c>
      <c r="N2458" s="34">
        <v>30.013257505127729</v>
      </c>
    </row>
    <row r="2459" spans="1:14" x14ac:dyDescent="0.35">
      <c r="A2459" s="82">
        <v>2456</v>
      </c>
      <c r="B2459" s="89" t="str">
        <f>_xlfn.XLOOKUP(A2459,'Model Modeshare by TAZ'!A:A,'Model Modeshare by TAZ'!B:B)</f>
        <v>Martinez</v>
      </c>
      <c r="C2459" s="90" t="str">
        <f>_xlfn.XLOOKUP(A2459,'Model Modeshare by TAZ'!A:A,'Model Modeshare by TAZ'!D:D)</f>
        <v>NO</v>
      </c>
      <c r="D2459" s="27">
        <v>18015.13</v>
      </c>
      <c r="E2459" s="27">
        <v>356996.48</v>
      </c>
      <c r="F2459" s="27">
        <v>8967.7800000000007</v>
      </c>
      <c r="G2459" s="27">
        <v>84167.01</v>
      </c>
      <c r="H2459" s="27">
        <v>5716.67</v>
      </c>
      <c r="I2459" s="27">
        <v>72925.83</v>
      </c>
      <c r="J2459" s="6">
        <v>6214</v>
      </c>
      <c r="K2459" s="6">
        <v>4858</v>
      </c>
      <c r="L2459" s="27">
        <v>13.544739298358545</v>
      </c>
      <c r="M2459" s="27">
        <v>15.011492383696995</v>
      </c>
      <c r="N2459" s="34">
        <v>26.707552384393065</v>
      </c>
    </row>
    <row r="2460" spans="1:14" x14ac:dyDescent="0.35">
      <c r="A2460" s="82">
        <v>2457</v>
      </c>
      <c r="B2460" s="89" t="str">
        <f>_xlfn.XLOOKUP(A2460,'Model Modeshare by TAZ'!A:A,'Model Modeshare by TAZ'!B:B)</f>
        <v>Martinez</v>
      </c>
      <c r="C2460" s="90" t="str">
        <f>_xlfn.XLOOKUP(A2460,'Model Modeshare by TAZ'!A:A,'Model Modeshare by TAZ'!D:D)</f>
        <v>NO</v>
      </c>
      <c r="D2460" s="27">
        <v>7105.3</v>
      </c>
      <c r="E2460" s="27">
        <v>137466.84</v>
      </c>
      <c r="F2460" s="27">
        <v>7267.84</v>
      </c>
      <c r="G2460" s="27">
        <v>73250.8</v>
      </c>
      <c r="H2460" s="27">
        <v>924.87</v>
      </c>
      <c r="I2460" s="27">
        <v>11598.84</v>
      </c>
      <c r="J2460" s="6">
        <v>4668</v>
      </c>
      <c r="K2460" s="6">
        <v>500</v>
      </c>
      <c r="L2460" s="27">
        <v>15.692116538131962</v>
      </c>
      <c r="M2460" s="27">
        <v>23.197680000000002</v>
      </c>
      <c r="N2460" s="34">
        <v>27.06059017027864</v>
      </c>
    </row>
    <row r="2461" spans="1:14" x14ac:dyDescent="0.35">
      <c r="A2461" s="82">
        <v>2458</v>
      </c>
      <c r="B2461" s="89" t="str">
        <f>_xlfn.XLOOKUP(A2461,'Model Modeshare by TAZ'!A:A,'Model Modeshare by TAZ'!B:B)</f>
        <v>Martinez</v>
      </c>
      <c r="C2461" s="90" t="str">
        <f>_xlfn.XLOOKUP(A2461,'Model Modeshare by TAZ'!A:A,'Model Modeshare by TAZ'!D:D)</f>
        <v>NO</v>
      </c>
      <c r="D2461" s="27">
        <v>10259.56</v>
      </c>
      <c r="E2461" s="27">
        <v>174695.71</v>
      </c>
      <c r="F2461" s="27">
        <v>9845.16</v>
      </c>
      <c r="G2461" s="27">
        <v>84231.49</v>
      </c>
      <c r="H2461" s="27">
        <v>1021.24</v>
      </c>
      <c r="I2461" s="27">
        <v>12226.98</v>
      </c>
      <c r="J2461" s="6">
        <v>6792</v>
      </c>
      <c r="K2461" s="6">
        <v>555</v>
      </c>
      <c r="L2461" s="27">
        <v>12.401573910482922</v>
      </c>
      <c r="M2461" s="27">
        <v>22.030594594594593</v>
      </c>
      <c r="N2461" s="34">
        <v>21.338691983122363</v>
      </c>
    </row>
    <row r="2462" spans="1:14" x14ac:dyDescent="0.35">
      <c r="A2462" s="82">
        <v>2459</v>
      </c>
      <c r="B2462" s="89" t="str">
        <f>_xlfn.XLOOKUP(A2462,'Model Modeshare by TAZ'!A:A,'Model Modeshare by TAZ'!B:B)</f>
        <v>Pleasant Hill</v>
      </c>
      <c r="C2462" s="90" t="str">
        <f>_xlfn.XLOOKUP(A2462,'Model Modeshare by TAZ'!A:A,'Model Modeshare by TAZ'!D:D)</f>
        <v>NO</v>
      </c>
      <c r="D2462" s="27">
        <v>20068.310000000001</v>
      </c>
      <c r="E2462" s="27">
        <v>430286.84</v>
      </c>
      <c r="F2462" s="27">
        <v>8893.8799999999992</v>
      </c>
      <c r="G2462" s="27">
        <v>73101.039999999994</v>
      </c>
      <c r="H2462" s="27">
        <v>4935.96</v>
      </c>
      <c r="I2462" s="27">
        <v>56726.74</v>
      </c>
      <c r="J2462" s="6">
        <v>6191</v>
      </c>
      <c r="K2462" s="6">
        <v>4224</v>
      </c>
      <c r="L2462" s="27">
        <v>11.8076304312712</v>
      </c>
      <c r="M2462" s="27">
        <v>13.429625946969697</v>
      </c>
      <c r="N2462" s="34">
        <v>41.456339894383106</v>
      </c>
    </row>
    <row r="2463" spans="1:14" x14ac:dyDescent="0.35">
      <c r="A2463" s="82">
        <v>2460</v>
      </c>
      <c r="B2463" s="89" t="str">
        <f>_xlfn.XLOOKUP(A2463,'Model Modeshare by TAZ'!A:A,'Model Modeshare by TAZ'!B:B)</f>
        <v>Pleasant Hill</v>
      </c>
      <c r="C2463" s="90" t="str">
        <f>_xlfn.XLOOKUP(A2463,'Model Modeshare by TAZ'!A:A,'Model Modeshare by TAZ'!D:D)</f>
        <v>NO</v>
      </c>
      <c r="D2463" s="27">
        <v>9338.0499999999993</v>
      </c>
      <c r="E2463" s="27">
        <v>155863.28</v>
      </c>
      <c r="F2463" s="27">
        <v>6209.77</v>
      </c>
      <c r="G2463" s="27">
        <v>51966.12</v>
      </c>
      <c r="H2463" s="27">
        <v>1965.35</v>
      </c>
      <c r="I2463" s="27">
        <v>22241.03</v>
      </c>
      <c r="J2463" s="6">
        <v>4414</v>
      </c>
      <c r="K2463" s="6">
        <v>1279</v>
      </c>
      <c r="L2463" s="27">
        <v>11.773022202084277</v>
      </c>
      <c r="M2463" s="27">
        <v>17.389390148553556</v>
      </c>
      <c r="N2463" s="34">
        <v>25.9366133848586</v>
      </c>
    </row>
    <row r="2464" spans="1:14" x14ac:dyDescent="0.35">
      <c r="A2464" s="82">
        <v>2461</v>
      </c>
      <c r="B2464" s="89" t="str">
        <f>_xlfn.XLOOKUP(A2464,'Model Modeshare by TAZ'!A:A,'Model Modeshare by TAZ'!B:B)</f>
        <v>Pleasant Hill</v>
      </c>
      <c r="C2464" s="90" t="str">
        <f>_xlfn.XLOOKUP(A2464,'Model Modeshare by TAZ'!A:A,'Model Modeshare by TAZ'!D:D)</f>
        <v>NO</v>
      </c>
      <c r="D2464" s="27">
        <v>12493.96</v>
      </c>
      <c r="E2464" s="27">
        <v>210169.33</v>
      </c>
      <c r="F2464" s="27">
        <v>7614.07</v>
      </c>
      <c r="G2464" s="27">
        <v>63575.14</v>
      </c>
      <c r="H2464" s="27">
        <v>3255.47</v>
      </c>
      <c r="I2464" s="27">
        <v>37409.480000000003</v>
      </c>
      <c r="J2464" s="6">
        <v>5436</v>
      </c>
      <c r="K2464" s="6">
        <v>2783</v>
      </c>
      <c r="L2464" s="27">
        <v>11.695206033848418</v>
      </c>
      <c r="M2464" s="27">
        <v>13.44214157384118</v>
      </c>
      <c r="N2464" s="34">
        <v>24.755883927485094</v>
      </c>
    </row>
    <row r="2465" spans="1:14" x14ac:dyDescent="0.35">
      <c r="A2465" s="82">
        <v>2462</v>
      </c>
      <c r="B2465" s="89" t="str">
        <f>_xlfn.XLOOKUP(A2465,'Model Modeshare by TAZ'!A:A,'Model Modeshare by TAZ'!B:B)</f>
        <v>Pleasant Hill</v>
      </c>
      <c r="C2465" s="90" t="str">
        <f>_xlfn.XLOOKUP(A2465,'Model Modeshare by TAZ'!A:A,'Model Modeshare by TAZ'!D:D)</f>
        <v>NO</v>
      </c>
      <c r="D2465" s="27">
        <v>5044.9799999999996</v>
      </c>
      <c r="E2465" s="27">
        <v>82996.47</v>
      </c>
      <c r="F2465" s="27">
        <v>5113.42</v>
      </c>
      <c r="G2465" s="27">
        <v>43389.36</v>
      </c>
      <c r="H2465" s="27">
        <v>855.03</v>
      </c>
      <c r="I2465" s="27">
        <v>9881.7000000000007</v>
      </c>
      <c r="J2465" s="6">
        <v>3464</v>
      </c>
      <c r="K2465" s="6">
        <v>482</v>
      </c>
      <c r="L2465" s="27">
        <v>12.52579676674365</v>
      </c>
      <c r="M2465" s="27">
        <v>20.501452282157679</v>
      </c>
      <c r="N2465" s="34">
        <v>21.58432843385707</v>
      </c>
    </row>
    <row r="2466" spans="1:14" x14ac:dyDescent="0.35">
      <c r="A2466" s="82">
        <v>2463</v>
      </c>
      <c r="B2466" s="89" t="str">
        <f>_xlfn.XLOOKUP(A2466,'Model Modeshare by TAZ'!A:A,'Model Modeshare by TAZ'!B:B)</f>
        <v>Unincorporated</v>
      </c>
      <c r="C2466" s="90" t="str">
        <f>_xlfn.XLOOKUP(A2466,'Model Modeshare by TAZ'!A:A,'Model Modeshare by TAZ'!D:D)</f>
        <v>NO</v>
      </c>
      <c r="D2466" s="27">
        <v>9516.92</v>
      </c>
      <c r="E2466" s="27">
        <v>199520.7</v>
      </c>
      <c r="F2466" s="27">
        <v>9125.5</v>
      </c>
      <c r="G2466" s="27">
        <v>97213.32</v>
      </c>
      <c r="H2466" s="27">
        <v>1839.19</v>
      </c>
      <c r="I2466" s="27">
        <v>24265.32</v>
      </c>
      <c r="J2466" s="6">
        <v>6166</v>
      </c>
      <c r="K2466" s="6">
        <v>1116</v>
      </c>
      <c r="L2466" s="27">
        <v>15.766026597469997</v>
      </c>
      <c r="M2466" s="27">
        <v>21.743118279569892</v>
      </c>
      <c r="N2466" s="34">
        <v>29.088894534468551</v>
      </c>
    </row>
    <row r="2467" spans="1:14" x14ac:dyDescent="0.35">
      <c r="A2467" s="82">
        <v>2464</v>
      </c>
      <c r="B2467" s="89" t="str">
        <f>_xlfn.XLOOKUP(A2467,'Model Modeshare by TAZ'!A:A,'Model Modeshare by TAZ'!B:B)</f>
        <v>Lafayette</v>
      </c>
      <c r="C2467" s="90" t="str">
        <f>_xlfn.XLOOKUP(A2467,'Model Modeshare by TAZ'!A:A,'Model Modeshare by TAZ'!D:D)</f>
        <v>NO</v>
      </c>
      <c r="D2467" s="27">
        <v>8130.12</v>
      </c>
      <c r="E2467" s="27">
        <v>172401.55</v>
      </c>
      <c r="F2467" s="27">
        <v>6485.27</v>
      </c>
      <c r="G2467" s="27">
        <v>70305.429999999993</v>
      </c>
      <c r="H2467" s="27">
        <v>1660.69</v>
      </c>
      <c r="I2467" s="27">
        <v>23788.36</v>
      </c>
      <c r="J2467" s="6">
        <v>4642</v>
      </c>
      <c r="K2467" s="6">
        <v>1031</v>
      </c>
      <c r="L2467" s="27">
        <v>15.145504093063334</v>
      </c>
      <c r="M2467" s="27">
        <v>23.073094083414162</v>
      </c>
      <c r="N2467" s="34">
        <v>29.951343204653622</v>
      </c>
    </row>
    <row r="2468" spans="1:14" x14ac:dyDescent="0.35">
      <c r="A2468" s="82">
        <v>2465</v>
      </c>
      <c r="B2468" s="89" t="str">
        <f>_xlfn.XLOOKUP(A2468,'Model Modeshare by TAZ'!A:A,'Model Modeshare by TAZ'!B:B)</f>
        <v>Walnut Creek</v>
      </c>
      <c r="C2468" s="90" t="str">
        <f>_xlfn.XLOOKUP(A2468,'Model Modeshare by TAZ'!A:A,'Model Modeshare by TAZ'!D:D)</f>
        <v>NO</v>
      </c>
      <c r="D2468" s="27">
        <v>13128.15</v>
      </c>
      <c r="E2468" s="27">
        <v>236419.18</v>
      </c>
      <c r="F2468" s="27">
        <v>10892.35</v>
      </c>
      <c r="G2468" s="27">
        <v>97166.33</v>
      </c>
      <c r="H2468" s="27">
        <v>3111.04</v>
      </c>
      <c r="I2468" s="27">
        <v>37561.57</v>
      </c>
      <c r="J2468" s="6">
        <v>7155</v>
      </c>
      <c r="K2468" s="6">
        <v>1981</v>
      </c>
      <c r="L2468" s="27">
        <v>13.580199860237597</v>
      </c>
      <c r="M2468" s="27">
        <v>18.960913679959617</v>
      </c>
      <c r="N2468" s="34">
        <v>25.507576619964976</v>
      </c>
    </row>
    <row r="2469" spans="1:14" x14ac:dyDescent="0.35">
      <c r="A2469" s="82">
        <v>2466</v>
      </c>
      <c r="B2469" s="89" t="str">
        <f>_xlfn.XLOOKUP(A2469,'Model Modeshare by TAZ'!A:A,'Model Modeshare by TAZ'!B:B)</f>
        <v>Walnut Creek</v>
      </c>
      <c r="C2469" s="90" t="str">
        <f>_xlfn.XLOOKUP(A2469,'Model Modeshare by TAZ'!A:A,'Model Modeshare by TAZ'!D:D)</f>
        <v>NO</v>
      </c>
      <c r="D2469" s="27">
        <v>12323.3</v>
      </c>
      <c r="E2469" s="27">
        <v>219644.58</v>
      </c>
      <c r="F2469" s="27">
        <v>8661.48</v>
      </c>
      <c r="G2469" s="27">
        <v>76400.11</v>
      </c>
      <c r="H2469" s="27">
        <v>3043.91</v>
      </c>
      <c r="I2469" s="27">
        <v>35872.36</v>
      </c>
      <c r="J2469" s="6">
        <v>5819</v>
      </c>
      <c r="K2469" s="6">
        <v>1978</v>
      </c>
      <c r="L2469" s="27">
        <v>13.129422581199519</v>
      </c>
      <c r="M2469" s="27">
        <v>18.135672396359961</v>
      </c>
      <c r="N2469" s="34">
        <v>25.770117994100293</v>
      </c>
    </row>
    <row r="2470" spans="1:14" x14ac:dyDescent="0.35">
      <c r="A2470" s="82">
        <v>2467</v>
      </c>
      <c r="B2470" s="89" t="str">
        <f>_xlfn.XLOOKUP(A2470,'Model Modeshare by TAZ'!A:A,'Model Modeshare by TAZ'!B:B)</f>
        <v>Walnut Creek</v>
      </c>
      <c r="C2470" s="90" t="str">
        <f>_xlfn.XLOOKUP(A2470,'Model Modeshare by TAZ'!A:A,'Model Modeshare by TAZ'!D:D)</f>
        <v>NO</v>
      </c>
      <c r="D2470" s="27">
        <v>8687.07</v>
      </c>
      <c r="E2470" s="27">
        <v>126041</v>
      </c>
      <c r="F2470" s="27">
        <v>8212.74</v>
      </c>
      <c r="G2470" s="27">
        <v>57669.02</v>
      </c>
      <c r="H2470" s="27">
        <v>2666.3</v>
      </c>
      <c r="I2470" s="27">
        <v>29804.82</v>
      </c>
      <c r="J2470" s="6">
        <v>5861</v>
      </c>
      <c r="K2470" s="6">
        <v>1816</v>
      </c>
      <c r="L2470" s="27">
        <v>9.8394506056986852</v>
      </c>
      <c r="M2470" s="27">
        <v>16.412345814977975</v>
      </c>
      <c r="N2470" s="34">
        <v>18.358851113716295</v>
      </c>
    </row>
    <row r="2471" spans="1:14" x14ac:dyDescent="0.35">
      <c r="A2471" s="82">
        <v>2468</v>
      </c>
      <c r="B2471" s="89" t="str">
        <f>_xlfn.XLOOKUP(A2471,'Model Modeshare by TAZ'!A:A,'Model Modeshare by TAZ'!B:B)</f>
        <v>Walnut Creek</v>
      </c>
      <c r="C2471" s="90" t="str">
        <f>_xlfn.XLOOKUP(A2471,'Model Modeshare by TAZ'!A:A,'Model Modeshare by TAZ'!D:D)</f>
        <v>NO</v>
      </c>
      <c r="D2471" s="27">
        <v>11476.06</v>
      </c>
      <c r="E2471" s="27">
        <v>175525.85</v>
      </c>
      <c r="F2471" s="27">
        <v>7028.05</v>
      </c>
      <c r="G2471" s="27">
        <v>53877.46</v>
      </c>
      <c r="H2471" s="27">
        <v>3846.21</v>
      </c>
      <c r="I2471" s="27">
        <v>42470.11</v>
      </c>
      <c r="J2471" s="6">
        <v>4691</v>
      </c>
      <c r="K2471" s="6">
        <v>3526</v>
      </c>
      <c r="L2471" s="27">
        <v>11.485282455766361</v>
      </c>
      <c r="M2471" s="27">
        <v>12.044841179807147</v>
      </c>
      <c r="N2471" s="34">
        <v>23.046945357186321</v>
      </c>
    </row>
    <row r="2472" spans="1:14" x14ac:dyDescent="0.35">
      <c r="A2472" s="82">
        <v>2469</v>
      </c>
      <c r="B2472" s="89" t="str">
        <f>_xlfn.XLOOKUP(A2472,'Model Modeshare by TAZ'!A:A,'Model Modeshare by TAZ'!B:B)</f>
        <v>Walnut Creek</v>
      </c>
      <c r="C2472" s="90" t="str">
        <f>_xlfn.XLOOKUP(A2472,'Model Modeshare by TAZ'!A:A,'Model Modeshare by TAZ'!D:D)</f>
        <v>NO</v>
      </c>
      <c r="D2472" s="27">
        <v>16100.82</v>
      </c>
      <c r="E2472" s="27">
        <v>328255.96999999997</v>
      </c>
      <c r="F2472" s="27">
        <v>5153.1000000000004</v>
      </c>
      <c r="G2472" s="27">
        <v>49260.34</v>
      </c>
      <c r="H2472" s="27">
        <v>10414.700000000001</v>
      </c>
      <c r="I2472" s="27">
        <v>120052.83</v>
      </c>
      <c r="J2472" s="6">
        <v>3814</v>
      </c>
      <c r="K2472" s="6">
        <v>9074</v>
      </c>
      <c r="L2472" s="27">
        <v>12.915663345568955</v>
      </c>
      <c r="M2472" s="27">
        <v>13.230419880978621</v>
      </c>
      <c r="N2472" s="34">
        <v>28.599736188702671</v>
      </c>
    </row>
    <row r="2473" spans="1:14" x14ac:dyDescent="0.35">
      <c r="A2473" s="82">
        <v>2470</v>
      </c>
      <c r="B2473" s="89" t="str">
        <f>_xlfn.XLOOKUP(A2473,'Model Modeshare by TAZ'!A:A,'Model Modeshare by TAZ'!B:B)</f>
        <v>Walnut Creek</v>
      </c>
      <c r="C2473" s="90" t="str">
        <f>_xlfn.XLOOKUP(A2473,'Model Modeshare by TAZ'!A:A,'Model Modeshare by TAZ'!D:D)</f>
        <v>NO</v>
      </c>
      <c r="D2473" s="27">
        <v>10082.799999999999</v>
      </c>
      <c r="E2473" s="27">
        <v>179974.59</v>
      </c>
      <c r="F2473" s="27">
        <v>8780.11</v>
      </c>
      <c r="G2473" s="27">
        <v>79796.399999999994</v>
      </c>
      <c r="H2473" s="27">
        <v>1658.67</v>
      </c>
      <c r="I2473" s="27">
        <v>17442.759999999998</v>
      </c>
      <c r="J2473" s="6">
        <v>6210</v>
      </c>
      <c r="K2473" s="6">
        <v>1094</v>
      </c>
      <c r="L2473" s="27">
        <v>12.849661835748792</v>
      </c>
      <c r="M2473" s="27">
        <v>15.944021937842777</v>
      </c>
      <c r="N2473" s="34">
        <v>21.84105421686747</v>
      </c>
    </row>
    <row r="2474" spans="1:14" x14ac:dyDescent="0.35">
      <c r="A2474" s="82">
        <v>2471</v>
      </c>
      <c r="B2474" s="89" t="str">
        <f>_xlfn.XLOOKUP(A2474,'Model Modeshare by TAZ'!A:A,'Model Modeshare by TAZ'!B:B)</f>
        <v>Walnut Creek</v>
      </c>
      <c r="C2474" s="90" t="str">
        <f>_xlfn.XLOOKUP(A2474,'Model Modeshare by TAZ'!A:A,'Model Modeshare by TAZ'!D:D)</f>
        <v>NO</v>
      </c>
      <c r="D2474" s="27">
        <v>4986.33</v>
      </c>
      <c r="E2474" s="27">
        <v>95507.12</v>
      </c>
      <c r="F2474" s="27">
        <v>5299.13</v>
      </c>
      <c r="G2474" s="27">
        <v>54814.05</v>
      </c>
      <c r="H2474" s="27">
        <v>893.47</v>
      </c>
      <c r="I2474" s="27">
        <v>10725.63</v>
      </c>
      <c r="J2474" s="6">
        <v>3593</v>
      </c>
      <c r="K2474" s="6">
        <v>512</v>
      </c>
      <c r="L2474" s="27">
        <v>15.255789034233231</v>
      </c>
      <c r="M2474" s="27">
        <v>20.948496093749998</v>
      </c>
      <c r="N2474" s="34">
        <v>25.339193666260659</v>
      </c>
    </row>
    <row r="2475" spans="1:14" x14ac:dyDescent="0.35">
      <c r="A2475" s="82">
        <v>2472</v>
      </c>
      <c r="B2475" s="89" t="str">
        <f>_xlfn.XLOOKUP(A2475,'Model Modeshare by TAZ'!A:A,'Model Modeshare by TAZ'!B:B)</f>
        <v>Walnut Creek</v>
      </c>
      <c r="C2475" s="90" t="str">
        <f>_xlfn.XLOOKUP(A2475,'Model Modeshare by TAZ'!A:A,'Model Modeshare by TAZ'!D:D)</f>
        <v>NO</v>
      </c>
      <c r="D2475" s="27">
        <v>6177.89</v>
      </c>
      <c r="E2475" s="27">
        <v>116813.64</v>
      </c>
      <c r="F2475" s="27">
        <v>4389.95</v>
      </c>
      <c r="G2475" s="27">
        <v>43231.73</v>
      </c>
      <c r="H2475" s="27">
        <v>1737.63</v>
      </c>
      <c r="I2475" s="27">
        <v>20666.36</v>
      </c>
      <c r="J2475" s="6">
        <v>2987</v>
      </c>
      <c r="K2475" s="6">
        <v>1339</v>
      </c>
      <c r="L2475" s="27">
        <v>14.473294275192503</v>
      </c>
      <c r="M2475" s="27">
        <v>15.434174757281554</v>
      </c>
      <c r="N2475" s="34">
        <v>28.688162274618588</v>
      </c>
    </row>
    <row r="2476" spans="1:14" x14ac:dyDescent="0.35">
      <c r="A2476" s="82">
        <v>2473</v>
      </c>
      <c r="B2476" s="89" t="str">
        <f>_xlfn.XLOOKUP(A2476,'Model Modeshare by TAZ'!A:A,'Model Modeshare by TAZ'!B:B)</f>
        <v>Walnut Creek</v>
      </c>
      <c r="C2476" s="90" t="str">
        <f>_xlfn.XLOOKUP(A2476,'Model Modeshare by TAZ'!A:A,'Model Modeshare by TAZ'!D:D)</f>
        <v>NO</v>
      </c>
      <c r="D2476" s="27">
        <v>16060.4</v>
      </c>
      <c r="E2476" s="27">
        <v>322859.17</v>
      </c>
      <c r="F2476" s="27">
        <v>8266.5</v>
      </c>
      <c r="G2476" s="27">
        <v>82553.37</v>
      </c>
      <c r="H2476" s="27">
        <v>2885.27</v>
      </c>
      <c r="I2476" s="27">
        <v>35030.1</v>
      </c>
      <c r="J2476" s="6">
        <v>5952</v>
      </c>
      <c r="K2476" s="6">
        <v>2179</v>
      </c>
      <c r="L2476" s="27">
        <v>13.869853830645161</v>
      </c>
      <c r="M2476" s="27">
        <v>16.076227627351997</v>
      </c>
      <c r="N2476" s="34">
        <v>26.716149305128521</v>
      </c>
    </row>
    <row r="2477" spans="1:14" x14ac:dyDescent="0.35">
      <c r="A2477" s="82">
        <v>2474</v>
      </c>
      <c r="B2477" s="89" t="str">
        <f>_xlfn.XLOOKUP(A2477,'Model Modeshare by TAZ'!A:A,'Model Modeshare by TAZ'!B:B)</f>
        <v>Walnut Creek</v>
      </c>
      <c r="C2477" s="90" t="str">
        <f>_xlfn.XLOOKUP(A2477,'Model Modeshare by TAZ'!A:A,'Model Modeshare by TAZ'!D:D)</f>
        <v>NO</v>
      </c>
      <c r="D2477" s="27">
        <v>5810.91</v>
      </c>
      <c r="E2477" s="27">
        <v>128380.2</v>
      </c>
      <c r="F2477" s="27">
        <v>5762.33</v>
      </c>
      <c r="G2477" s="27">
        <v>65065.87</v>
      </c>
      <c r="H2477" s="27">
        <v>1217.17</v>
      </c>
      <c r="I2477" s="27">
        <v>17737.88</v>
      </c>
      <c r="J2477" s="6">
        <v>3924</v>
      </c>
      <c r="K2477" s="6">
        <v>666</v>
      </c>
      <c r="L2477" s="27">
        <v>16.581516309887871</v>
      </c>
      <c r="M2477" s="27">
        <v>26.633453453453455</v>
      </c>
      <c r="N2477" s="34">
        <v>28.873374727668846</v>
      </c>
    </row>
    <row r="2478" spans="1:14" x14ac:dyDescent="0.35">
      <c r="A2478" s="82">
        <v>2475</v>
      </c>
      <c r="B2478" s="89" t="str">
        <f>_xlfn.XLOOKUP(A2478,'Model Modeshare by TAZ'!A:A,'Model Modeshare by TAZ'!B:B)</f>
        <v>Walnut Creek</v>
      </c>
      <c r="C2478" s="90" t="str">
        <f>_xlfn.XLOOKUP(A2478,'Model Modeshare by TAZ'!A:A,'Model Modeshare by TAZ'!D:D)</f>
        <v>NO</v>
      </c>
      <c r="D2478" s="27">
        <v>8701.89</v>
      </c>
      <c r="E2478" s="27">
        <v>186799.24</v>
      </c>
      <c r="F2478" s="27">
        <v>6275.37</v>
      </c>
      <c r="G2478" s="27">
        <v>66250.460000000006</v>
      </c>
      <c r="H2478" s="27">
        <v>2646.89</v>
      </c>
      <c r="I2478" s="27">
        <v>33576.5</v>
      </c>
      <c r="J2478" s="6">
        <v>4383</v>
      </c>
      <c r="K2478" s="6">
        <v>2202</v>
      </c>
      <c r="L2478" s="27">
        <v>15.115322838238651</v>
      </c>
      <c r="M2478" s="27">
        <v>15.248183469573116</v>
      </c>
      <c r="N2478" s="34">
        <v>31.083140470766896</v>
      </c>
    </row>
    <row r="2479" spans="1:14" x14ac:dyDescent="0.35">
      <c r="A2479" s="82">
        <v>2476</v>
      </c>
      <c r="B2479" s="89" t="str">
        <f>_xlfn.XLOOKUP(A2479,'Model Modeshare by TAZ'!A:A,'Model Modeshare by TAZ'!B:B)</f>
        <v>Walnut Creek</v>
      </c>
      <c r="C2479" s="90" t="str">
        <f>_xlfn.XLOOKUP(A2479,'Model Modeshare by TAZ'!A:A,'Model Modeshare by TAZ'!D:D)</f>
        <v>NO</v>
      </c>
      <c r="D2479" s="27">
        <v>11025.18</v>
      </c>
      <c r="E2479" s="27">
        <v>249354.27</v>
      </c>
      <c r="F2479" s="27">
        <v>7489.65</v>
      </c>
      <c r="G2479" s="27">
        <v>82881.64</v>
      </c>
      <c r="H2479" s="27">
        <v>1901.49</v>
      </c>
      <c r="I2479" s="27">
        <v>25964.97</v>
      </c>
      <c r="J2479" s="6">
        <v>4933</v>
      </c>
      <c r="K2479" s="6">
        <v>1262</v>
      </c>
      <c r="L2479" s="27">
        <v>16.80146766673424</v>
      </c>
      <c r="M2479" s="27">
        <v>20.574461172741682</v>
      </c>
      <c r="N2479" s="34">
        <v>28.372550443906377</v>
      </c>
    </row>
    <row r="2480" spans="1:14" x14ac:dyDescent="0.35">
      <c r="A2480" s="82">
        <v>2477</v>
      </c>
      <c r="B2480" s="89" t="str">
        <f>_xlfn.XLOOKUP(A2480,'Model Modeshare by TAZ'!A:A,'Model Modeshare by TAZ'!B:B)</f>
        <v>Walnut Creek</v>
      </c>
      <c r="C2480" s="90" t="str">
        <f>_xlfn.XLOOKUP(A2480,'Model Modeshare by TAZ'!A:A,'Model Modeshare by TAZ'!D:D)</f>
        <v>NO</v>
      </c>
      <c r="D2480" s="27">
        <v>45275.519999999997</v>
      </c>
      <c r="E2480" s="27">
        <v>931294.77</v>
      </c>
      <c r="F2480" s="27">
        <v>8860.17</v>
      </c>
      <c r="G2480" s="27">
        <v>88017.01</v>
      </c>
      <c r="H2480" s="27">
        <v>16852.47</v>
      </c>
      <c r="I2480" s="27">
        <v>216496.57</v>
      </c>
      <c r="J2480" s="6">
        <v>6377</v>
      </c>
      <c r="K2480" s="6">
        <v>16082</v>
      </c>
      <c r="L2480" s="27">
        <v>13.802259683236631</v>
      </c>
      <c r="M2480" s="27">
        <v>13.462042656386021</v>
      </c>
      <c r="N2480" s="34">
        <v>36.221677278596552</v>
      </c>
    </row>
    <row r="2481" spans="1:14" x14ac:dyDescent="0.35">
      <c r="A2481" s="82">
        <v>2478</v>
      </c>
      <c r="B2481" s="89" t="str">
        <f>_xlfn.XLOOKUP(A2481,'Model Modeshare by TAZ'!A:A,'Model Modeshare by TAZ'!B:B)</f>
        <v>Walnut Creek</v>
      </c>
      <c r="C2481" s="90" t="str">
        <f>_xlfn.XLOOKUP(A2481,'Model Modeshare by TAZ'!A:A,'Model Modeshare by TAZ'!D:D)</f>
        <v>NO</v>
      </c>
      <c r="D2481" s="27">
        <v>24368.87</v>
      </c>
      <c r="E2481" s="27">
        <v>532270.96</v>
      </c>
      <c r="F2481" s="27">
        <v>5562.29</v>
      </c>
      <c r="G2481" s="27">
        <v>59021.4</v>
      </c>
      <c r="H2481" s="27">
        <v>8446.91</v>
      </c>
      <c r="I2481" s="27">
        <v>112897.35</v>
      </c>
      <c r="J2481" s="6">
        <v>3662</v>
      </c>
      <c r="K2481" s="6">
        <v>7496</v>
      </c>
      <c r="L2481" s="27">
        <v>16.117258328782086</v>
      </c>
      <c r="M2481" s="27">
        <v>15.061012540021345</v>
      </c>
      <c r="N2481" s="34">
        <v>39.194205054669297</v>
      </c>
    </row>
    <row r="2482" spans="1:14" x14ac:dyDescent="0.35">
      <c r="A2482" s="82">
        <v>2479</v>
      </c>
      <c r="B2482" s="89" t="str">
        <f>_xlfn.XLOOKUP(A2482,'Model Modeshare by TAZ'!A:A,'Model Modeshare by TAZ'!B:B)</f>
        <v>Unincorporated</v>
      </c>
      <c r="C2482" s="90" t="str">
        <f>_xlfn.XLOOKUP(A2482,'Model Modeshare by TAZ'!A:A,'Model Modeshare by TAZ'!D:D)</f>
        <v>NO</v>
      </c>
      <c r="D2482" s="27">
        <v>10495.71</v>
      </c>
      <c r="E2482" s="27">
        <v>215253.65</v>
      </c>
      <c r="F2482" s="27">
        <v>7677.71</v>
      </c>
      <c r="G2482" s="27">
        <v>75947.02</v>
      </c>
      <c r="H2482" s="27">
        <v>4233.53</v>
      </c>
      <c r="I2482" s="27">
        <v>56602.53</v>
      </c>
      <c r="J2482" s="6">
        <v>5401</v>
      </c>
      <c r="K2482" s="6">
        <v>3560</v>
      </c>
      <c r="L2482" s="27">
        <v>14.061658952045919</v>
      </c>
      <c r="M2482" s="27">
        <v>15.899587078651685</v>
      </c>
      <c r="N2482" s="34">
        <v>30.722842316705727</v>
      </c>
    </row>
    <row r="2483" spans="1:14" x14ac:dyDescent="0.35">
      <c r="A2483" s="82">
        <v>2480</v>
      </c>
      <c r="B2483" s="89" t="str">
        <f>_xlfn.XLOOKUP(A2483,'Model Modeshare by TAZ'!A:A,'Model Modeshare by TAZ'!B:B)</f>
        <v>Walnut Creek</v>
      </c>
      <c r="C2483" s="90" t="str">
        <f>_xlfn.XLOOKUP(A2483,'Model Modeshare by TAZ'!A:A,'Model Modeshare by TAZ'!D:D)</f>
        <v>NO</v>
      </c>
      <c r="D2483" s="27">
        <v>13276.78</v>
      </c>
      <c r="E2483" s="27">
        <v>289785.96999999997</v>
      </c>
      <c r="F2483" s="27">
        <v>10778.05</v>
      </c>
      <c r="G2483" s="27">
        <v>114133.13</v>
      </c>
      <c r="H2483" s="27">
        <v>1227.58</v>
      </c>
      <c r="I2483" s="27">
        <v>18928.57</v>
      </c>
      <c r="J2483" s="6">
        <v>8203</v>
      </c>
      <c r="K2483" s="6">
        <v>729</v>
      </c>
      <c r="L2483" s="27">
        <v>13.913584054614166</v>
      </c>
      <c r="M2483" s="27">
        <v>25.965116598079561</v>
      </c>
      <c r="N2483" s="34">
        <v>30.014623824451409</v>
      </c>
    </row>
    <row r="2484" spans="1:14" x14ac:dyDescent="0.35">
      <c r="A2484" s="82">
        <v>2481</v>
      </c>
      <c r="B2484" s="89" t="str">
        <f>_xlfn.XLOOKUP(A2484,'Model Modeshare by TAZ'!A:A,'Model Modeshare by TAZ'!B:B)</f>
        <v>Unincorporated</v>
      </c>
      <c r="C2484" s="90" t="str">
        <f>_xlfn.XLOOKUP(A2484,'Model Modeshare by TAZ'!A:A,'Model Modeshare by TAZ'!D:D)</f>
        <v>NO</v>
      </c>
      <c r="D2484" s="27">
        <v>9345.24</v>
      </c>
      <c r="E2484" s="27">
        <v>172037.02</v>
      </c>
      <c r="F2484" s="27">
        <v>7509.6</v>
      </c>
      <c r="G2484" s="27">
        <v>69076</v>
      </c>
      <c r="H2484" s="27">
        <v>2415.29</v>
      </c>
      <c r="I2484" s="27">
        <v>31590.58</v>
      </c>
      <c r="J2484" s="6">
        <v>4905</v>
      </c>
      <c r="K2484" s="6">
        <v>1862</v>
      </c>
      <c r="L2484" s="27">
        <v>14.082772680937818</v>
      </c>
      <c r="M2484" s="27">
        <v>16.965939849624061</v>
      </c>
      <c r="N2484" s="34">
        <v>24.916803605733708</v>
      </c>
    </row>
    <row r="2485" spans="1:14" x14ac:dyDescent="0.35">
      <c r="A2485" s="82">
        <v>2482</v>
      </c>
      <c r="B2485" s="89" t="str">
        <f>_xlfn.XLOOKUP(A2485,'Model Modeshare by TAZ'!A:A,'Model Modeshare by TAZ'!B:B)</f>
        <v>Lafayette</v>
      </c>
      <c r="C2485" s="90" t="str">
        <f>_xlfn.XLOOKUP(A2485,'Model Modeshare by TAZ'!A:A,'Model Modeshare by TAZ'!D:D)</f>
        <v>NO</v>
      </c>
      <c r="D2485" s="27">
        <v>18952.87</v>
      </c>
      <c r="E2485" s="27">
        <v>378115.2</v>
      </c>
      <c r="F2485" s="27">
        <v>6783.7</v>
      </c>
      <c r="G2485" s="27">
        <v>63245.38</v>
      </c>
      <c r="H2485" s="27">
        <v>4621.87</v>
      </c>
      <c r="I2485" s="27">
        <v>63082.69</v>
      </c>
      <c r="J2485" s="6">
        <v>4862</v>
      </c>
      <c r="K2485" s="6">
        <v>3857</v>
      </c>
      <c r="L2485" s="27">
        <v>13.008099547511312</v>
      </c>
      <c r="M2485" s="27">
        <v>16.355377236193934</v>
      </c>
      <c r="N2485" s="34">
        <v>36.875899759146691</v>
      </c>
    </row>
    <row r="2486" spans="1:14" x14ac:dyDescent="0.35">
      <c r="A2486" s="82">
        <v>2483</v>
      </c>
      <c r="B2486" s="89" t="str">
        <f>_xlfn.XLOOKUP(A2486,'Model Modeshare by TAZ'!A:A,'Model Modeshare by TAZ'!B:B)</f>
        <v>Lafayette</v>
      </c>
      <c r="C2486" s="90" t="str">
        <f>_xlfn.XLOOKUP(A2486,'Model Modeshare by TAZ'!A:A,'Model Modeshare by TAZ'!D:D)</f>
        <v>NO</v>
      </c>
      <c r="D2486" s="27">
        <v>9118.3799999999992</v>
      </c>
      <c r="E2486" s="27">
        <v>189547.12</v>
      </c>
      <c r="F2486" s="27">
        <v>8238.75</v>
      </c>
      <c r="G2486" s="27">
        <v>81935.850000000006</v>
      </c>
      <c r="H2486" s="27">
        <v>1128.93</v>
      </c>
      <c r="I2486" s="27">
        <v>16536.400000000001</v>
      </c>
      <c r="J2486" s="6">
        <v>5875</v>
      </c>
      <c r="K2486" s="6">
        <v>625</v>
      </c>
      <c r="L2486" s="27">
        <v>13.946527659574469</v>
      </c>
      <c r="M2486" s="27">
        <v>26.458240000000004</v>
      </c>
      <c r="N2486" s="34">
        <v>26.680133846153847</v>
      </c>
    </row>
    <row r="2487" spans="1:14" x14ac:dyDescent="0.35">
      <c r="A2487" s="82">
        <v>2484</v>
      </c>
      <c r="B2487" s="89" t="str">
        <f>_xlfn.XLOOKUP(A2487,'Model Modeshare by TAZ'!A:A,'Model Modeshare by TAZ'!B:B)</f>
        <v>Lafayette</v>
      </c>
      <c r="C2487" s="90" t="str">
        <f>_xlfn.XLOOKUP(A2487,'Model Modeshare by TAZ'!A:A,'Model Modeshare by TAZ'!D:D)</f>
        <v>NO</v>
      </c>
      <c r="D2487" s="27">
        <v>17802.79</v>
      </c>
      <c r="E2487" s="27">
        <v>358294.58</v>
      </c>
      <c r="F2487" s="27">
        <v>8166.69</v>
      </c>
      <c r="G2487" s="27">
        <v>78951.820000000007</v>
      </c>
      <c r="H2487" s="27">
        <v>5486.61</v>
      </c>
      <c r="I2487" s="27">
        <v>79227.45</v>
      </c>
      <c r="J2487" s="6">
        <v>5726</v>
      </c>
      <c r="K2487" s="6">
        <v>4799</v>
      </c>
      <c r="L2487" s="27">
        <v>13.788302479916172</v>
      </c>
      <c r="M2487" s="27">
        <v>16.509158157949571</v>
      </c>
      <c r="N2487" s="34">
        <v>34.37283705463183</v>
      </c>
    </row>
    <row r="2488" spans="1:14" x14ac:dyDescent="0.35">
      <c r="A2488" s="82">
        <v>2485</v>
      </c>
      <c r="B2488" s="89" t="str">
        <f>_xlfn.XLOOKUP(A2488,'Model Modeshare by TAZ'!A:A,'Model Modeshare by TAZ'!B:B)</f>
        <v>Orinda</v>
      </c>
      <c r="C2488" s="90" t="str">
        <f>_xlfn.XLOOKUP(A2488,'Model Modeshare by TAZ'!A:A,'Model Modeshare by TAZ'!D:D)</f>
        <v>NO</v>
      </c>
      <c r="D2488" s="27">
        <v>9318.73</v>
      </c>
      <c r="E2488" s="27">
        <v>205705.64</v>
      </c>
      <c r="F2488" s="27">
        <v>5687.15</v>
      </c>
      <c r="G2488" s="27">
        <v>63169.65</v>
      </c>
      <c r="H2488" s="27">
        <v>1615.73</v>
      </c>
      <c r="I2488" s="27">
        <v>23800.62</v>
      </c>
      <c r="J2488" s="6">
        <v>4154</v>
      </c>
      <c r="K2488" s="6">
        <v>1024</v>
      </c>
      <c r="L2488" s="27">
        <v>15.206945113143957</v>
      </c>
      <c r="M2488" s="27">
        <v>23.242792968749999</v>
      </c>
      <c r="N2488" s="34">
        <v>33.23300502124372</v>
      </c>
    </row>
    <row r="2489" spans="1:14" x14ac:dyDescent="0.35">
      <c r="A2489" s="82">
        <v>2486</v>
      </c>
      <c r="B2489" s="89" t="str">
        <f>_xlfn.XLOOKUP(A2489,'Model Modeshare by TAZ'!A:A,'Model Modeshare by TAZ'!B:B)</f>
        <v>Orinda</v>
      </c>
      <c r="C2489" s="90" t="str">
        <f>_xlfn.XLOOKUP(A2489,'Model Modeshare by TAZ'!A:A,'Model Modeshare by TAZ'!D:D)</f>
        <v>NO</v>
      </c>
      <c r="D2489" s="27">
        <v>14438.36</v>
      </c>
      <c r="E2489" s="27">
        <v>366532.19</v>
      </c>
      <c r="F2489" s="27">
        <v>9421.31</v>
      </c>
      <c r="G2489" s="27">
        <v>108126.32</v>
      </c>
      <c r="H2489" s="27">
        <v>4407.2700000000004</v>
      </c>
      <c r="I2489" s="27">
        <v>68045</v>
      </c>
      <c r="J2489" s="6">
        <v>6722</v>
      </c>
      <c r="K2489" s="6">
        <v>3497</v>
      </c>
      <c r="L2489" s="27">
        <v>16.085438857482892</v>
      </c>
      <c r="M2489" s="27">
        <v>19.458106948813267</v>
      </c>
      <c r="N2489" s="34">
        <v>40.518265975144338</v>
      </c>
    </row>
    <row r="2490" spans="1:14" x14ac:dyDescent="0.35">
      <c r="A2490" s="82">
        <v>2487</v>
      </c>
      <c r="B2490" s="89" t="str">
        <f>_xlfn.XLOOKUP(A2490,'Model Modeshare by TAZ'!A:A,'Model Modeshare by TAZ'!B:B)</f>
        <v>Unincorporated</v>
      </c>
      <c r="C2490" s="90" t="str">
        <f>_xlfn.XLOOKUP(A2490,'Model Modeshare by TAZ'!A:A,'Model Modeshare by TAZ'!D:D)</f>
        <v>NO</v>
      </c>
      <c r="D2490" s="27">
        <v>3144.45</v>
      </c>
      <c r="E2490" s="27">
        <v>79538.91</v>
      </c>
      <c r="F2490" s="27">
        <v>2657.02</v>
      </c>
      <c r="G2490" s="27">
        <v>32393.81</v>
      </c>
      <c r="H2490" s="27">
        <v>404.9</v>
      </c>
      <c r="I2490" s="27">
        <v>6245.15</v>
      </c>
      <c r="J2490" s="6">
        <v>1896</v>
      </c>
      <c r="K2490" s="6">
        <v>203</v>
      </c>
      <c r="L2490" s="27">
        <v>17.085342827004219</v>
      </c>
      <c r="M2490" s="27">
        <v>30.764285714285712</v>
      </c>
      <c r="N2490" s="34">
        <v>33.164168651738919</v>
      </c>
    </row>
    <row r="2491" spans="1:14" x14ac:dyDescent="0.35">
      <c r="A2491" s="82">
        <v>2488</v>
      </c>
      <c r="B2491" s="89" t="str">
        <f>_xlfn.XLOOKUP(A2491,'Model Modeshare by TAZ'!A:A,'Model Modeshare by TAZ'!B:B)</f>
        <v>Orinda</v>
      </c>
      <c r="C2491" s="90" t="str">
        <f>_xlfn.XLOOKUP(A2491,'Model Modeshare by TAZ'!A:A,'Model Modeshare by TAZ'!D:D)</f>
        <v>NO</v>
      </c>
      <c r="D2491" s="27">
        <v>6586.72</v>
      </c>
      <c r="E2491" s="27">
        <v>153781.51999999999</v>
      </c>
      <c r="F2491" s="27">
        <v>4941.05</v>
      </c>
      <c r="G2491" s="27">
        <v>55879.6</v>
      </c>
      <c r="H2491" s="27">
        <v>1438.43</v>
      </c>
      <c r="I2491" s="27">
        <v>21528.68</v>
      </c>
      <c r="J2491" s="6">
        <v>3603</v>
      </c>
      <c r="K2491" s="6">
        <v>909</v>
      </c>
      <c r="L2491" s="27">
        <v>15.509186788787121</v>
      </c>
      <c r="M2491" s="27">
        <v>23.683916391639166</v>
      </c>
      <c r="N2491" s="34">
        <v>32.119053634751779</v>
      </c>
    </row>
    <row r="2492" spans="1:14" x14ac:dyDescent="0.35">
      <c r="A2492" s="82">
        <v>2489</v>
      </c>
      <c r="B2492" s="89" t="str">
        <f>_xlfn.XLOOKUP(A2492,'Model Modeshare by TAZ'!A:A,'Model Modeshare by TAZ'!B:B)</f>
        <v>Unincorporated</v>
      </c>
      <c r="C2492" s="90" t="str">
        <f>_xlfn.XLOOKUP(A2492,'Model Modeshare by TAZ'!A:A,'Model Modeshare by TAZ'!D:D)</f>
        <v>NO</v>
      </c>
      <c r="D2492" s="27">
        <v>5771.51</v>
      </c>
      <c r="E2492" s="27">
        <v>144366.06</v>
      </c>
      <c r="F2492" s="27">
        <v>3573.99</v>
      </c>
      <c r="G2492" s="27">
        <v>43538.29</v>
      </c>
      <c r="H2492" s="27">
        <v>1533.47</v>
      </c>
      <c r="I2492" s="27">
        <v>23966.9</v>
      </c>
      <c r="J2492" s="6">
        <v>2879</v>
      </c>
      <c r="K2492" s="6">
        <v>1187</v>
      </c>
      <c r="L2492" s="27">
        <v>15.122712747481765</v>
      </c>
      <c r="M2492" s="27">
        <v>20.191154170176919</v>
      </c>
      <c r="N2492" s="34">
        <v>31.97510575504181</v>
      </c>
    </row>
    <row r="2493" spans="1:14" x14ac:dyDescent="0.35">
      <c r="A2493" s="82">
        <v>2490</v>
      </c>
      <c r="B2493" s="89" t="str">
        <f>_xlfn.XLOOKUP(A2493,'Model Modeshare by TAZ'!A:A,'Model Modeshare by TAZ'!B:B)</f>
        <v>Moraga</v>
      </c>
      <c r="C2493" s="90" t="str">
        <f>_xlfn.XLOOKUP(A2493,'Model Modeshare by TAZ'!A:A,'Model Modeshare by TAZ'!D:D)</f>
        <v>NO</v>
      </c>
      <c r="D2493" s="27">
        <v>13644.84</v>
      </c>
      <c r="E2493" s="27">
        <v>307680.52</v>
      </c>
      <c r="F2493" s="27">
        <v>8001.09</v>
      </c>
      <c r="G2493" s="27">
        <v>85964.9</v>
      </c>
      <c r="H2493" s="27">
        <v>2608.2600000000002</v>
      </c>
      <c r="I2493" s="27">
        <v>40469.1</v>
      </c>
      <c r="J2493" s="6">
        <v>6127</v>
      </c>
      <c r="K2493" s="6">
        <v>1614</v>
      </c>
      <c r="L2493" s="27">
        <v>14.030504325118327</v>
      </c>
      <c r="M2493" s="27">
        <v>25.073791821561336</v>
      </c>
      <c r="N2493" s="34">
        <v>35.716005684020146</v>
      </c>
    </row>
    <row r="2494" spans="1:14" x14ac:dyDescent="0.35">
      <c r="A2494" s="82">
        <v>2491</v>
      </c>
      <c r="B2494" s="89" t="str">
        <f>_xlfn.XLOOKUP(A2494,'Model Modeshare by TAZ'!A:A,'Model Modeshare by TAZ'!B:B)</f>
        <v>Unincorporated</v>
      </c>
      <c r="C2494" s="90" t="str">
        <f>_xlfn.XLOOKUP(A2494,'Model Modeshare by TAZ'!A:A,'Model Modeshare by TAZ'!D:D)</f>
        <v>NO</v>
      </c>
      <c r="D2494" s="27">
        <v>6369.14</v>
      </c>
      <c r="E2494" s="27">
        <v>161494.09</v>
      </c>
      <c r="F2494" s="27">
        <v>4026.86</v>
      </c>
      <c r="G2494" s="27">
        <v>45555.94</v>
      </c>
      <c r="H2494" s="27">
        <v>2376.35</v>
      </c>
      <c r="I2494" s="27">
        <v>36911.440000000002</v>
      </c>
      <c r="J2494" s="6">
        <v>2773</v>
      </c>
      <c r="K2494" s="6">
        <v>1854</v>
      </c>
      <c r="L2494" s="27">
        <v>16.428395239812478</v>
      </c>
      <c r="M2494" s="27">
        <v>19.909083063646172</v>
      </c>
      <c r="N2494" s="34">
        <v>36.071865139399179</v>
      </c>
    </row>
    <row r="2495" spans="1:14" x14ac:dyDescent="0.35">
      <c r="A2495" s="82">
        <v>2492</v>
      </c>
      <c r="B2495" s="89" t="str">
        <f>_xlfn.XLOOKUP(A2495,'Model Modeshare by TAZ'!A:A,'Model Modeshare by TAZ'!B:B)</f>
        <v>Unincorporated</v>
      </c>
      <c r="C2495" s="90" t="str">
        <f>_xlfn.XLOOKUP(A2495,'Model Modeshare by TAZ'!A:A,'Model Modeshare by TAZ'!D:D)</f>
        <v>NO</v>
      </c>
      <c r="D2495" s="27">
        <v>10247.23</v>
      </c>
      <c r="E2495" s="27">
        <v>259350.1</v>
      </c>
      <c r="F2495" s="27">
        <v>7275.43</v>
      </c>
      <c r="G2495" s="27">
        <v>85890.76</v>
      </c>
      <c r="H2495" s="27">
        <v>1372.54</v>
      </c>
      <c r="I2495" s="27">
        <v>21469.41</v>
      </c>
      <c r="J2495" s="6">
        <v>5484</v>
      </c>
      <c r="K2495" s="6">
        <v>870</v>
      </c>
      <c r="L2495" s="27">
        <v>15.662064186725017</v>
      </c>
      <c r="M2495" s="27">
        <v>24.677482758620691</v>
      </c>
      <c r="N2495" s="34">
        <v>41.589113943972301</v>
      </c>
    </row>
    <row r="2496" spans="1:14" x14ac:dyDescent="0.35">
      <c r="A2496" s="82">
        <v>2493</v>
      </c>
      <c r="B2496" s="89" t="str">
        <f>_xlfn.XLOOKUP(A2496,'Model Modeshare by TAZ'!A:A,'Model Modeshare by TAZ'!B:B)</f>
        <v>Unincorporated</v>
      </c>
      <c r="C2496" s="90" t="str">
        <f>_xlfn.XLOOKUP(A2496,'Model Modeshare by TAZ'!A:A,'Model Modeshare by TAZ'!D:D)</f>
        <v>NO</v>
      </c>
      <c r="D2496" s="27">
        <v>35266.879999999997</v>
      </c>
      <c r="E2496" s="27">
        <v>824251.16</v>
      </c>
      <c r="F2496" s="27">
        <v>15471.82</v>
      </c>
      <c r="G2496" s="27">
        <v>171535.66</v>
      </c>
      <c r="H2496" s="27">
        <v>10518.21</v>
      </c>
      <c r="I2496" s="27">
        <v>164093.96</v>
      </c>
      <c r="J2496" s="6">
        <v>10496</v>
      </c>
      <c r="K2496" s="6">
        <v>8324</v>
      </c>
      <c r="L2496" s="27">
        <v>16.342955411585365</v>
      </c>
      <c r="M2496" s="27">
        <v>19.713354156655452</v>
      </c>
      <c r="N2496" s="34">
        <v>38.189215727948991</v>
      </c>
    </row>
    <row r="2497" spans="1:14" x14ac:dyDescent="0.35">
      <c r="A2497" s="82">
        <v>2494</v>
      </c>
      <c r="B2497" s="89" t="str">
        <f>_xlfn.XLOOKUP(A2497,'Model Modeshare by TAZ'!A:A,'Model Modeshare by TAZ'!B:B)</f>
        <v>Unincorporated</v>
      </c>
      <c r="C2497" s="90" t="str">
        <f>_xlfn.XLOOKUP(A2497,'Model Modeshare by TAZ'!A:A,'Model Modeshare by TAZ'!D:D)</f>
        <v>NO</v>
      </c>
      <c r="D2497" s="27">
        <v>4473.57</v>
      </c>
      <c r="E2497" s="27">
        <v>84391.64</v>
      </c>
      <c r="F2497" s="27">
        <v>1631.27</v>
      </c>
      <c r="G2497" s="27">
        <v>15453.05</v>
      </c>
      <c r="H2497" s="27">
        <v>1463.18</v>
      </c>
      <c r="I2497" s="27">
        <v>20445.82</v>
      </c>
      <c r="J2497" s="6">
        <v>1176</v>
      </c>
      <c r="K2497" s="6">
        <v>1217</v>
      </c>
      <c r="L2497" s="27">
        <v>13.140348639455782</v>
      </c>
      <c r="M2497" s="27">
        <v>16.800180772391126</v>
      </c>
      <c r="N2497" s="34">
        <v>38.990768909318845</v>
      </c>
    </row>
    <row r="2498" spans="1:14" x14ac:dyDescent="0.35">
      <c r="A2498" s="82">
        <v>2495</v>
      </c>
      <c r="B2498" s="89" t="str">
        <f>_xlfn.XLOOKUP(A2498,'Model Modeshare by TAZ'!A:A,'Model Modeshare by TAZ'!B:B)</f>
        <v>Walnut Creek</v>
      </c>
      <c r="C2498" s="90" t="str">
        <f>_xlfn.XLOOKUP(A2498,'Model Modeshare by TAZ'!A:A,'Model Modeshare by TAZ'!D:D)</f>
        <v>NO</v>
      </c>
      <c r="D2498" s="27">
        <v>4724.08</v>
      </c>
      <c r="E2498" s="27">
        <v>116014.98</v>
      </c>
      <c r="F2498" s="27">
        <v>5266.71</v>
      </c>
      <c r="G2498" s="27">
        <v>65924.5</v>
      </c>
      <c r="H2498" s="27">
        <v>679.35</v>
      </c>
      <c r="I2498" s="27">
        <v>10325.870000000001</v>
      </c>
      <c r="J2498" s="6">
        <v>3520</v>
      </c>
      <c r="K2498" s="6">
        <v>367</v>
      </c>
      <c r="L2498" s="27">
        <v>18.728551136363638</v>
      </c>
      <c r="M2498" s="27">
        <v>28.135885558583109</v>
      </c>
      <c r="N2498" s="34">
        <v>31.319434010805249</v>
      </c>
    </row>
    <row r="2499" spans="1:14" x14ac:dyDescent="0.35">
      <c r="A2499" s="82">
        <v>2496</v>
      </c>
      <c r="B2499" s="89" t="str">
        <f>_xlfn.XLOOKUP(A2499,'Model Modeshare by TAZ'!A:A,'Model Modeshare by TAZ'!B:B)</f>
        <v>Unincorporated</v>
      </c>
      <c r="C2499" s="90" t="str">
        <f>_xlfn.XLOOKUP(A2499,'Model Modeshare by TAZ'!A:A,'Model Modeshare by TAZ'!D:D)</f>
        <v>NO</v>
      </c>
      <c r="D2499" s="27">
        <v>9700.61</v>
      </c>
      <c r="E2499" s="27">
        <v>262720.18</v>
      </c>
      <c r="F2499" s="27">
        <v>8896.76</v>
      </c>
      <c r="G2499" s="27">
        <v>121083.71</v>
      </c>
      <c r="H2499" s="27">
        <v>2291.5700000000002</v>
      </c>
      <c r="I2499" s="27">
        <v>36356.44</v>
      </c>
      <c r="J2499" s="6">
        <v>5694</v>
      </c>
      <c r="K2499" s="6">
        <v>1447</v>
      </c>
      <c r="L2499" s="27">
        <v>21.265140498770638</v>
      </c>
      <c r="M2499" s="27">
        <v>25.125390463026953</v>
      </c>
      <c r="N2499" s="34">
        <v>36.932937963870607</v>
      </c>
    </row>
    <row r="2500" spans="1:14" x14ac:dyDescent="0.35">
      <c r="A2500" s="82">
        <v>2497</v>
      </c>
      <c r="B2500" s="89" t="str">
        <f>_xlfn.XLOOKUP(A2500,'Model Modeshare by TAZ'!A:A,'Model Modeshare by TAZ'!B:B)</f>
        <v>Unincorporated</v>
      </c>
      <c r="C2500" s="90" t="str">
        <f>_xlfn.XLOOKUP(A2500,'Model Modeshare by TAZ'!A:A,'Model Modeshare by TAZ'!D:D)</f>
        <v>NO</v>
      </c>
      <c r="D2500" s="27">
        <v>12366.23</v>
      </c>
      <c r="E2500" s="27">
        <v>284632.36</v>
      </c>
      <c r="F2500" s="27">
        <v>10726.08</v>
      </c>
      <c r="G2500" s="27">
        <v>130908.56</v>
      </c>
      <c r="H2500" s="27">
        <v>2657.18</v>
      </c>
      <c r="I2500" s="27">
        <v>41505.300000000003</v>
      </c>
      <c r="J2500" s="6">
        <v>7259</v>
      </c>
      <c r="K2500" s="6">
        <v>1975</v>
      </c>
      <c r="L2500" s="27">
        <v>18.033966111034577</v>
      </c>
      <c r="M2500" s="27">
        <v>21.015341772151899</v>
      </c>
      <c r="N2500" s="34">
        <v>32.422195148364736</v>
      </c>
    </row>
    <row r="2501" spans="1:14" x14ac:dyDescent="0.35">
      <c r="A2501" s="82">
        <v>2498</v>
      </c>
      <c r="B2501" s="89" t="str">
        <f>_xlfn.XLOOKUP(A2501,'Model Modeshare by TAZ'!A:A,'Model Modeshare by TAZ'!B:B)</f>
        <v>Danville</v>
      </c>
      <c r="C2501" s="90" t="str">
        <f>_xlfn.XLOOKUP(A2501,'Model Modeshare by TAZ'!A:A,'Model Modeshare by TAZ'!D:D)</f>
        <v>NO</v>
      </c>
      <c r="D2501" s="27">
        <v>21054.639999999999</v>
      </c>
      <c r="E2501" s="27">
        <v>468479.41</v>
      </c>
      <c r="F2501" s="27">
        <v>17165.43</v>
      </c>
      <c r="G2501" s="27">
        <v>198736.47</v>
      </c>
      <c r="H2501" s="27">
        <v>3973.33</v>
      </c>
      <c r="I2501" s="27">
        <v>60976.66</v>
      </c>
      <c r="J2501" s="6">
        <v>11239</v>
      </c>
      <c r="K2501" s="6">
        <v>2511</v>
      </c>
      <c r="L2501" s="27">
        <v>17.682753803719191</v>
      </c>
      <c r="M2501" s="27">
        <v>24.283815213062525</v>
      </c>
      <c r="N2501" s="34">
        <v>31.737221090909088</v>
      </c>
    </row>
    <row r="2502" spans="1:14" x14ac:dyDescent="0.35">
      <c r="A2502" s="82">
        <v>2499</v>
      </c>
      <c r="B2502" s="89" t="str">
        <f>_xlfn.XLOOKUP(A2502,'Model Modeshare by TAZ'!A:A,'Model Modeshare by TAZ'!B:B)</f>
        <v>Danville</v>
      </c>
      <c r="C2502" s="90" t="str">
        <f>_xlfn.XLOOKUP(A2502,'Model Modeshare by TAZ'!A:A,'Model Modeshare by TAZ'!D:D)</f>
        <v>NO</v>
      </c>
      <c r="D2502" s="27">
        <v>16550.55</v>
      </c>
      <c r="E2502" s="27">
        <v>353602.13</v>
      </c>
      <c r="F2502" s="27">
        <v>16799.439999999999</v>
      </c>
      <c r="G2502" s="27">
        <v>181983.62</v>
      </c>
      <c r="H2502" s="27">
        <v>2997.69</v>
      </c>
      <c r="I2502" s="27">
        <v>46649.73</v>
      </c>
      <c r="J2502" s="6">
        <v>10835</v>
      </c>
      <c r="K2502" s="6">
        <v>1651</v>
      </c>
      <c r="L2502" s="27">
        <v>16.795904014766958</v>
      </c>
      <c r="M2502" s="27">
        <v>28.255439127801335</v>
      </c>
      <c r="N2502" s="34">
        <v>27.79018740989909</v>
      </c>
    </row>
    <row r="2503" spans="1:14" x14ac:dyDescent="0.35">
      <c r="A2503" s="82">
        <v>2500</v>
      </c>
      <c r="B2503" s="89" t="str">
        <f>_xlfn.XLOOKUP(A2503,'Model Modeshare by TAZ'!A:A,'Model Modeshare by TAZ'!B:B)</f>
        <v>San Ramon</v>
      </c>
      <c r="C2503" s="90" t="str">
        <f>_xlfn.XLOOKUP(A2503,'Model Modeshare by TAZ'!A:A,'Model Modeshare by TAZ'!D:D)</f>
        <v>NO</v>
      </c>
      <c r="D2503" s="27">
        <v>35919.980000000003</v>
      </c>
      <c r="E2503" s="27">
        <v>928142.98</v>
      </c>
      <c r="F2503" s="27">
        <v>12383.47</v>
      </c>
      <c r="G2503" s="27">
        <v>156189.13</v>
      </c>
      <c r="H2503" s="27">
        <v>29164.63</v>
      </c>
      <c r="I2503" s="27">
        <v>473617.41</v>
      </c>
      <c r="J2503" s="6">
        <v>7755</v>
      </c>
      <c r="K2503" s="6">
        <v>25488</v>
      </c>
      <c r="L2503" s="27">
        <v>20.140442295293361</v>
      </c>
      <c r="M2503" s="27">
        <v>18.58197622410546</v>
      </c>
      <c r="N2503" s="34">
        <v>38.632648076286742</v>
      </c>
    </row>
    <row r="2504" spans="1:14" x14ac:dyDescent="0.35">
      <c r="A2504" s="82">
        <v>2501</v>
      </c>
      <c r="B2504" s="89" t="str">
        <f>_xlfn.XLOOKUP(A2504,'Model Modeshare by TAZ'!A:A,'Model Modeshare by TAZ'!B:B)</f>
        <v>Danville</v>
      </c>
      <c r="C2504" s="90" t="str">
        <f>_xlfn.XLOOKUP(A2504,'Model Modeshare by TAZ'!A:A,'Model Modeshare by TAZ'!D:D)</f>
        <v>NO</v>
      </c>
      <c r="D2504" s="27">
        <v>14353.78</v>
      </c>
      <c r="E2504" s="27">
        <v>317580.23</v>
      </c>
      <c r="F2504" s="27">
        <v>9600.44</v>
      </c>
      <c r="G2504" s="27">
        <v>106951.2</v>
      </c>
      <c r="H2504" s="27">
        <v>3489.71</v>
      </c>
      <c r="I2504" s="27">
        <v>55306.66</v>
      </c>
      <c r="J2504" s="6">
        <v>6610</v>
      </c>
      <c r="K2504" s="6">
        <v>2933</v>
      </c>
      <c r="L2504" s="27">
        <v>16.180211800302573</v>
      </c>
      <c r="M2504" s="27">
        <v>18.856685987043985</v>
      </c>
      <c r="N2504" s="34">
        <v>30.508251074085717</v>
      </c>
    </row>
    <row r="2505" spans="1:14" x14ac:dyDescent="0.35">
      <c r="A2505" s="82">
        <v>2502</v>
      </c>
      <c r="B2505" s="89" t="str">
        <f>_xlfn.XLOOKUP(A2505,'Model Modeshare by TAZ'!A:A,'Model Modeshare by TAZ'!B:B)</f>
        <v>San Ramon</v>
      </c>
      <c r="C2505" s="90" t="str">
        <f>_xlfn.XLOOKUP(A2505,'Model Modeshare by TAZ'!A:A,'Model Modeshare by TAZ'!D:D)</f>
        <v>NO</v>
      </c>
      <c r="D2505" s="27">
        <v>22667.06</v>
      </c>
      <c r="E2505" s="27">
        <v>539979.62</v>
      </c>
      <c r="F2505" s="27">
        <v>12386.09</v>
      </c>
      <c r="G2505" s="27">
        <v>144498.07999999999</v>
      </c>
      <c r="H2505" s="27">
        <v>10318.93</v>
      </c>
      <c r="I2505" s="27">
        <v>164579.79</v>
      </c>
      <c r="J2505" s="6">
        <v>7821</v>
      </c>
      <c r="K2505" s="6">
        <v>8727</v>
      </c>
      <c r="L2505" s="27">
        <v>18.475652729829942</v>
      </c>
      <c r="M2505" s="27">
        <v>18.858690271570989</v>
      </c>
      <c r="N2505" s="34">
        <v>36.659549190234465</v>
      </c>
    </row>
    <row r="2506" spans="1:14" x14ac:dyDescent="0.35">
      <c r="A2506" s="82">
        <v>2503</v>
      </c>
      <c r="B2506" s="89" t="str">
        <f>_xlfn.XLOOKUP(A2506,'Model Modeshare by TAZ'!A:A,'Model Modeshare by TAZ'!B:B)</f>
        <v>Unincorporated</v>
      </c>
      <c r="C2506" s="90" t="str">
        <f>_xlfn.XLOOKUP(A2506,'Model Modeshare by TAZ'!A:A,'Model Modeshare by TAZ'!D:D)</f>
        <v>NO</v>
      </c>
      <c r="D2506" s="27">
        <v>14031.72</v>
      </c>
      <c r="E2506" s="27">
        <v>348133.88</v>
      </c>
      <c r="F2506" s="27">
        <v>13404.45</v>
      </c>
      <c r="G2506" s="27">
        <v>171135.46</v>
      </c>
      <c r="H2506" s="27">
        <v>2638.82</v>
      </c>
      <c r="I2506" s="27">
        <v>44135.63</v>
      </c>
      <c r="J2506" s="6">
        <v>8750</v>
      </c>
      <c r="K2506" s="6">
        <v>1626</v>
      </c>
      <c r="L2506" s="27">
        <v>19.558338285714285</v>
      </c>
      <c r="M2506" s="27">
        <v>27.143683886838868</v>
      </c>
      <c r="N2506" s="34">
        <v>31.766325173477256</v>
      </c>
    </row>
    <row r="2507" spans="1:14" x14ac:dyDescent="0.35">
      <c r="A2507" s="82">
        <v>2504</v>
      </c>
      <c r="B2507" s="89" t="str">
        <f>_xlfn.XLOOKUP(A2507,'Model Modeshare by TAZ'!A:A,'Model Modeshare by TAZ'!B:B)</f>
        <v>San Ramon</v>
      </c>
      <c r="C2507" s="90" t="str">
        <f>_xlfn.XLOOKUP(A2507,'Model Modeshare by TAZ'!A:A,'Model Modeshare by TAZ'!D:D)</f>
        <v>NO</v>
      </c>
      <c r="D2507" s="27">
        <v>8017.47</v>
      </c>
      <c r="E2507" s="27">
        <v>190660.56</v>
      </c>
      <c r="F2507" s="27">
        <v>8361</v>
      </c>
      <c r="G2507" s="27">
        <v>105483.35</v>
      </c>
      <c r="H2507" s="27">
        <v>2644.93</v>
      </c>
      <c r="I2507" s="27">
        <v>41394.86</v>
      </c>
      <c r="J2507" s="6">
        <v>5836</v>
      </c>
      <c r="K2507" s="6">
        <v>2120</v>
      </c>
      <c r="L2507" s="27">
        <v>18.07459732693626</v>
      </c>
      <c r="M2507" s="27">
        <v>19.525877358490565</v>
      </c>
      <c r="N2507" s="34">
        <v>33.257740070387129</v>
      </c>
    </row>
    <row r="2508" spans="1:14" x14ac:dyDescent="0.35">
      <c r="A2508" s="82">
        <v>2505</v>
      </c>
      <c r="B2508" s="89" t="str">
        <f>_xlfn.XLOOKUP(A2508,'Model Modeshare by TAZ'!A:A,'Model Modeshare by TAZ'!B:B)</f>
        <v>San Ramon</v>
      </c>
      <c r="C2508" s="90" t="str">
        <f>_xlfn.XLOOKUP(A2508,'Model Modeshare by TAZ'!A:A,'Model Modeshare by TAZ'!D:D)</f>
        <v>NO</v>
      </c>
      <c r="D2508" s="27">
        <v>6701.45</v>
      </c>
      <c r="E2508" s="27">
        <v>130364.77</v>
      </c>
      <c r="F2508" s="27">
        <v>6180.54</v>
      </c>
      <c r="G2508" s="27">
        <v>76579.47</v>
      </c>
      <c r="H2508" s="27">
        <v>1823.01</v>
      </c>
      <c r="I2508" s="27">
        <v>28336.240000000002</v>
      </c>
      <c r="J2508" s="6">
        <v>3974</v>
      </c>
      <c r="K2508" s="6">
        <v>1251</v>
      </c>
      <c r="L2508" s="27">
        <v>19.270123301459488</v>
      </c>
      <c r="M2508" s="27">
        <v>22.650871302957636</v>
      </c>
      <c r="N2508" s="34">
        <v>32.062191387559814</v>
      </c>
    </row>
    <row r="2509" spans="1:14" x14ac:dyDescent="0.35">
      <c r="A2509" s="82">
        <v>2506</v>
      </c>
      <c r="B2509" s="89" t="str">
        <f>_xlfn.XLOOKUP(A2509,'Model Modeshare by TAZ'!A:A,'Model Modeshare by TAZ'!B:B)</f>
        <v>San Ramon</v>
      </c>
      <c r="C2509" s="90" t="str">
        <f>_xlfn.XLOOKUP(A2509,'Model Modeshare by TAZ'!A:A,'Model Modeshare by TAZ'!D:D)</f>
        <v>NO</v>
      </c>
      <c r="D2509" s="27">
        <v>6771.11</v>
      </c>
      <c r="E2509" s="27">
        <v>158929.06</v>
      </c>
      <c r="F2509" s="27">
        <v>7644</v>
      </c>
      <c r="G2509" s="27">
        <v>96208.19</v>
      </c>
      <c r="H2509" s="27">
        <v>1857.73</v>
      </c>
      <c r="I2509" s="27">
        <v>27804.94</v>
      </c>
      <c r="J2509" s="6">
        <v>5213</v>
      </c>
      <c r="K2509" s="6">
        <v>1242</v>
      </c>
      <c r="L2509" s="27">
        <v>18.455436408977558</v>
      </c>
      <c r="M2509" s="27">
        <v>22.38723027375201</v>
      </c>
      <c r="N2509" s="34">
        <v>28.658757552285049</v>
      </c>
    </row>
    <row r="2510" spans="1:14" x14ac:dyDescent="0.35">
      <c r="A2510" s="82">
        <v>2507</v>
      </c>
      <c r="B2510" s="89" t="str">
        <f>_xlfn.XLOOKUP(A2510,'Model Modeshare by TAZ'!A:A,'Model Modeshare by TAZ'!B:B)</f>
        <v>San Ramon</v>
      </c>
      <c r="C2510" s="90" t="str">
        <f>_xlfn.XLOOKUP(A2510,'Model Modeshare by TAZ'!A:A,'Model Modeshare by TAZ'!D:D)</f>
        <v>NO</v>
      </c>
      <c r="D2510" s="27">
        <v>42208.94</v>
      </c>
      <c r="E2510" s="27">
        <v>1054643.93</v>
      </c>
      <c r="F2510" s="27">
        <v>18369.810000000001</v>
      </c>
      <c r="G2510" s="27">
        <v>216021</v>
      </c>
      <c r="H2510" s="27">
        <v>6120.63</v>
      </c>
      <c r="I2510" s="27">
        <v>93186.89</v>
      </c>
      <c r="J2510" s="6">
        <v>12165</v>
      </c>
      <c r="K2510" s="6">
        <v>4822</v>
      </c>
      <c r="L2510" s="27">
        <v>17.757583230579531</v>
      </c>
      <c r="M2510" s="27">
        <v>19.325360846121942</v>
      </c>
      <c r="N2510" s="34">
        <v>27.878447047742391</v>
      </c>
    </row>
    <row r="2511" spans="1:14" x14ac:dyDescent="0.35">
      <c r="A2511" s="82">
        <v>2508</v>
      </c>
      <c r="B2511" s="89" t="str">
        <f>_xlfn.XLOOKUP(A2511,'Model Modeshare by TAZ'!A:A,'Model Modeshare by TAZ'!B:B)</f>
        <v>Unincorporated</v>
      </c>
      <c r="C2511" s="90" t="str">
        <f>_xlfn.XLOOKUP(A2511,'Model Modeshare by TAZ'!A:A,'Model Modeshare by TAZ'!D:D)</f>
        <v>NO</v>
      </c>
      <c r="D2511" s="27">
        <v>59022.02</v>
      </c>
      <c r="E2511" s="27">
        <v>1863918</v>
      </c>
      <c r="F2511" s="27">
        <v>53065.61</v>
      </c>
      <c r="G2511" s="27">
        <v>888023.44</v>
      </c>
      <c r="H2511" s="27">
        <v>8407.23</v>
      </c>
      <c r="I2511" s="27">
        <v>145298.41</v>
      </c>
      <c r="J2511" s="6">
        <v>40397</v>
      </c>
      <c r="K2511" s="6">
        <v>4648</v>
      </c>
      <c r="L2511" s="27">
        <v>21.982410575042699</v>
      </c>
      <c r="M2511" s="27">
        <v>31.260415232358003</v>
      </c>
      <c r="N2511" s="34">
        <v>32.908112110112107</v>
      </c>
    </row>
    <row r="2512" spans="1:14" x14ac:dyDescent="0.35">
      <c r="A2512" s="82">
        <v>2509</v>
      </c>
      <c r="B2512" s="89" t="str">
        <f>_xlfn.XLOOKUP(A2512,'Model Modeshare by TAZ'!A:A,'Model Modeshare by TAZ'!B:B)</f>
        <v>Unincorporated</v>
      </c>
      <c r="C2512" s="90" t="str">
        <f>_xlfn.XLOOKUP(A2512,'Model Modeshare by TAZ'!A:A,'Model Modeshare by TAZ'!D:D)</f>
        <v>NO</v>
      </c>
      <c r="D2512" s="27">
        <v>31284.77</v>
      </c>
      <c r="E2512" s="27">
        <v>1141645.3600000001</v>
      </c>
      <c r="F2512" s="27">
        <v>24562.82</v>
      </c>
      <c r="G2512" s="27">
        <v>636589.16</v>
      </c>
      <c r="H2512" s="27">
        <v>4583.07</v>
      </c>
      <c r="I2512" s="27">
        <v>58497.34</v>
      </c>
      <c r="J2512" s="6">
        <v>19212</v>
      </c>
      <c r="K2512" s="6">
        <v>2840</v>
      </c>
      <c r="L2512" s="27">
        <v>33.134976056631274</v>
      </c>
      <c r="M2512" s="27">
        <v>20.597654929577462</v>
      </c>
      <c r="N2512" s="34">
        <v>40.355583620533281</v>
      </c>
    </row>
    <row r="2513" spans="1:14" x14ac:dyDescent="0.35">
      <c r="A2513" s="82">
        <v>2510</v>
      </c>
      <c r="B2513" s="89" t="str">
        <f>_xlfn.XLOOKUP(A2513,'Model Modeshare by TAZ'!A:A,'Model Modeshare by TAZ'!B:B)</f>
        <v>Brentwood</v>
      </c>
      <c r="C2513" s="90" t="str">
        <f>_xlfn.XLOOKUP(A2513,'Model Modeshare by TAZ'!A:A,'Model Modeshare by TAZ'!D:D)</f>
        <v>NO</v>
      </c>
      <c r="D2513" s="27">
        <v>68130.75</v>
      </c>
      <c r="E2513" s="27">
        <v>1580632.87</v>
      </c>
      <c r="F2513" s="27">
        <v>58982.12</v>
      </c>
      <c r="G2513" s="27">
        <v>1042966.92</v>
      </c>
      <c r="H2513" s="27">
        <v>6963.76</v>
      </c>
      <c r="I2513" s="27">
        <v>43257.93</v>
      </c>
      <c r="J2513" s="6">
        <v>38551</v>
      </c>
      <c r="K2513" s="6">
        <v>3848</v>
      </c>
      <c r="L2513" s="27">
        <v>27.054211823299006</v>
      </c>
      <c r="M2513" s="27">
        <v>11.241665800415801</v>
      </c>
      <c r="N2513" s="34">
        <v>33.087572112549822</v>
      </c>
    </row>
    <row r="2514" spans="1:14" x14ac:dyDescent="0.35">
      <c r="A2514" s="82">
        <v>2511</v>
      </c>
      <c r="B2514" s="89" t="str">
        <f>_xlfn.XLOOKUP(A2514,'Model Modeshare by TAZ'!A:A,'Model Modeshare by TAZ'!B:B)</f>
        <v>Unincorporated</v>
      </c>
      <c r="C2514" s="90" t="str">
        <f>_xlfn.XLOOKUP(A2514,'Model Modeshare by TAZ'!A:A,'Model Modeshare by TAZ'!D:D)</f>
        <v>NO</v>
      </c>
      <c r="D2514" s="27">
        <v>41972.98</v>
      </c>
      <c r="E2514" s="27">
        <v>937760.13</v>
      </c>
      <c r="F2514" s="27">
        <v>23679.93</v>
      </c>
      <c r="G2514" s="27">
        <v>435903.03</v>
      </c>
      <c r="H2514" s="27">
        <v>8692.5300000000007</v>
      </c>
      <c r="I2514" s="27">
        <v>60099.38</v>
      </c>
      <c r="J2514" s="6">
        <v>18681</v>
      </c>
      <c r="K2514" s="6">
        <v>6309</v>
      </c>
      <c r="L2514" s="27">
        <v>23.33403083346716</v>
      </c>
      <c r="M2514" s="27">
        <v>9.5259755904263752</v>
      </c>
      <c r="N2514" s="34">
        <v>31.106197278911566</v>
      </c>
    </row>
    <row r="2515" spans="1:14" x14ac:dyDescent="0.35">
      <c r="A2515" s="82">
        <v>2512</v>
      </c>
      <c r="B2515" s="89" t="str">
        <f>_xlfn.XLOOKUP(A2515,'Model Modeshare by TAZ'!A:A,'Model Modeshare by TAZ'!B:B)</f>
        <v>Oakley</v>
      </c>
      <c r="C2515" s="90" t="str">
        <f>_xlfn.XLOOKUP(A2515,'Model Modeshare by TAZ'!A:A,'Model Modeshare by TAZ'!D:D)</f>
        <v>NO</v>
      </c>
      <c r="D2515" s="27">
        <v>19657.97</v>
      </c>
      <c r="E2515" s="27">
        <v>453190.37</v>
      </c>
      <c r="F2515" s="27">
        <v>20436.23</v>
      </c>
      <c r="G2515" s="27">
        <v>325341.49</v>
      </c>
      <c r="H2515" s="27">
        <v>3097.28</v>
      </c>
      <c r="I2515" s="27">
        <v>19017.12</v>
      </c>
      <c r="J2515" s="6">
        <v>15587</v>
      </c>
      <c r="K2515" s="6">
        <v>1641</v>
      </c>
      <c r="L2515" s="27">
        <v>20.872617565920319</v>
      </c>
      <c r="M2515" s="27">
        <v>11.588738574040219</v>
      </c>
      <c r="N2515" s="34">
        <v>26.267859879266311</v>
      </c>
    </row>
    <row r="2516" spans="1:14" x14ac:dyDescent="0.35">
      <c r="A2516" s="82">
        <v>2513</v>
      </c>
      <c r="B2516" s="89" t="str">
        <f>_xlfn.XLOOKUP(A2516,'Model Modeshare by TAZ'!A:A,'Model Modeshare by TAZ'!B:B)</f>
        <v>Unincorporated</v>
      </c>
      <c r="C2516" s="90" t="str">
        <f>_xlfn.XLOOKUP(A2516,'Model Modeshare by TAZ'!A:A,'Model Modeshare by TAZ'!D:D)</f>
        <v>NO</v>
      </c>
      <c r="D2516" s="27">
        <v>6800.98</v>
      </c>
      <c r="E2516" s="27">
        <v>209199.22</v>
      </c>
      <c r="F2516" s="27">
        <v>5044.25</v>
      </c>
      <c r="G2516" s="27">
        <v>104293.79</v>
      </c>
      <c r="H2516" s="27">
        <v>963.67</v>
      </c>
      <c r="I2516" s="27">
        <v>9109.9699999999993</v>
      </c>
      <c r="J2516" s="6">
        <v>3745</v>
      </c>
      <c r="K2516" s="6">
        <v>515</v>
      </c>
      <c r="L2516" s="27">
        <v>27.848809078771694</v>
      </c>
      <c r="M2516" s="27">
        <v>17.689262135922331</v>
      </c>
      <c r="N2516" s="34">
        <v>38.682244131455398</v>
      </c>
    </row>
    <row r="2517" spans="1:14" x14ac:dyDescent="0.35">
      <c r="A2517" s="82">
        <v>2514</v>
      </c>
      <c r="B2517" s="89" t="str">
        <f>_xlfn.XLOOKUP(A2517,'Model Modeshare by TAZ'!A:A,'Model Modeshare by TAZ'!B:B)</f>
        <v>Oakley</v>
      </c>
      <c r="C2517" s="90" t="str">
        <f>_xlfn.XLOOKUP(A2517,'Model Modeshare by TAZ'!A:A,'Model Modeshare by TAZ'!D:D)</f>
        <v>NO</v>
      </c>
      <c r="D2517" s="27">
        <v>15525.78</v>
      </c>
      <c r="E2517" s="27">
        <v>361473.56</v>
      </c>
      <c r="F2517" s="27">
        <v>16879.490000000002</v>
      </c>
      <c r="G2517" s="27">
        <v>290459.65000000002</v>
      </c>
      <c r="H2517" s="27">
        <v>3664.33</v>
      </c>
      <c r="I2517" s="27">
        <v>22469.5</v>
      </c>
      <c r="J2517" s="6">
        <v>11304</v>
      </c>
      <c r="K2517" s="6">
        <v>1940</v>
      </c>
      <c r="L2517" s="27">
        <v>25.695298124557681</v>
      </c>
      <c r="M2517" s="27">
        <v>11.58221649484536</v>
      </c>
      <c r="N2517" s="34">
        <v>30.861426306251886</v>
      </c>
    </row>
    <row r="2518" spans="1:14" x14ac:dyDescent="0.35">
      <c r="A2518" s="82">
        <v>2515</v>
      </c>
      <c r="B2518" s="89" t="str">
        <f>_xlfn.XLOOKUP(A2518,'Model Modeshare by TAZ'!A:A,'Model Modeshare by TAZ'!B:B)</f>
        <v>Antioch</v>
      </c>
      <c r="C2518" s="90" t="str">
        <f>_xlfn.XLOOKUP(A2518,'Model Modeshare by TAZ'!A:A,'Model Modeshare by TAZ'!D:D)</f>
        <v>NO</v>
      </c>
      <c r="D2518" s="27">
        <v>5662.31</v>
      </c>
      <c r="E2518" s="27">
        <v>87736.04</v>
      </c>
      <c r="F2518" s="27">
        <v>5601.85</v>
      </c>
      <c r="G2518" s="27">
        <v>65098.19</v>
      </c>
      <c r="H2518" s="27">
        <v>2732.31</v>
      </c>
      <c r="I2518" s="27">
        <v>17718.759999999998</v>
      </c>
      <c r="J2518" s="6">
        <v>3999</v>
      </c>
      <c r="K2518" s="6">
        <v>2127</v>
      </c>
      <c r="L2518" s="27">
        <v>16.278617154288572</v>
      </c>
      <c r="M2518" s="27">
        <v>8.3303996238834035</v>
      </c>
      <c r="N2518" s="34">
        <v>20.188178256611167</v>
      </c>
    </row>
    <row r="2519" spans="1:14" x14ac:dyDescent="0.35">
      <c r="A2519" s="82">
        <v>2516</v>
      </c>
      <c r="B2519" s="89" t="str">
        <f>_xlfn.XLOOKUP(A2519,'Model Modeshare by TAZ'!A:A,'Model Modeshare by TAZ'!B:B)</f>
        <v>Antioch</v>
      </c>
      <c r="C2519" s="90" t="str">
        <f>_xlfn.XLOOKUP(A2519,'Model Modeshare by TAZ'!A:A,'Model Modeshare by TAZ'!D:D)</f>
        <v>NO</v>
      </c>
      <c r="D2519" s="27">
        <v>6510.95</v>
      </c>
      <c r="E2519" s="27">
        <v>122928.44</v>
      </c>
      <c r="F2519" s="27">
        <v>6234.33</v>
      </c>
      <c r="G2519" s="27">
        <v>88222.99</v>
      </c>
      <c r="H2519" s="27">
        <v>796.55</v>
      </c>
      <c r="I2519" s="27">
        <v>4469.88</v>
      </c>
      <c r="J2519" s="6">
        <v>4261</v>
      </c>
      <c r="K2519" s="6">
        <v>426</v>
      </c>
      <c r="L2519" s="27">
        <v>20.704761793006337</v>
      </c>
      <c r="M2519" s="27">
        <v>10.492676056338029</v>
      </c>
      <c r="N2519" s="34">
        <v>25.807333048858546</v>
      </c>
    </row>
    <row r="2520" spans="1:14" x14ac:dyDescent="0.35">
      <c r="A2520" s="82">
        <v>2517</v>
      </c>
      <c r="B2520" s="89" t="str">
        <f>_xlfn.XLOOKUP(A2520,'Model Modeshare by TAZ'!A:A,'Model Modeshare by TAZ'!B:B)</f>
        <v>Oakley</v>
      </c>
      <c r="C2520" s="90" t="str">
        <f>_xlfn.XLOOKUP(A2520,'Model Modeshare by TAZ'!A:A,'Model Modeshare by TAZ'!D:D)</f>
        <v>NO</v>
      </c>
      <c r="D2520" s="27">
        <v>27488.65</v>
      </c>
      <c r="E2520" s="27">
        <v>614139.48</v>
      </c>
      <c r="F2520" s="27">
        <v>23655.49</v>
      </c>
      <c r="G2520" s="27">
        <v>371845.13</v>
      </c>
      <c r="H2520" s="27">
        <v>1566.87</v>
      </c>
      <c r="I2520" s="27">
        <v>8810.31</v>
      </c>
      <c r="J2520" s="6">
        <v>16224</v>
      </c>
      <c r="K2520" s="6">
        <v>829</v>
      </c>
      <c r="L2520" s="27">
        <v>22.919448348126235</v>
      </c>
      <c r="M2520" s="27">
        <v>10.62763570566948</v>
      </c>
      <c r="N2520" s="34">
        <v>28.088544537618017</v>
      </c>
    </row>
    <row r="2521" spans="1:14" x14ac:dyDescent="0.35">
      <c r="A2521" s="82">
        <v>2518</v>
      </c>
      <c r="B2521" s="89" t="str">
        <f>_xlfn.XLOOKUP(A2521,'Model Modeshare by TAZ'!A:A,'Model Modeshare by TAZ'!B:B)</f>
        <v>Antioch</v>
      </c>
      <c r="C2521" s="90" t="str">
        <f>_xlfn.XLOOKUP(A2521,'Model Modeshare by TAZ'!A:A,'Model Modeshare by TAZ'!D:D)</f>
        <v>NO</v>
      </c>
      <c r="D2521" s="27">
        <v>28192.33</v>
      </c>
      <c r="E2521" s="27">
        <v>526871.92000000004</v>
      </c>
      <c r="F2521" s="27">
        <v>24101.03</v>
      </c>
      <c r="G2521" s="27">
        <v>334870.06</v>
      </c>
      <c r="H2521" s="27">
        <v>4779.1099999999997</v>
      </c>
      <c r="I2521" s="27">
        <v>27651.87</v>
      </c>
      <c r="J2521" s="6">
        <v>17139</v>
      </c>
      <c r="K2521" s="6">
        <v>2633</v>
      </c>
      <c r="L2521" s="27">
        <v>19.538482992006536</v>
      </c>
      <c r="M2521" s="27">
        <v>10.502039498670717</v>
      </c>
      <c r="N2521" s="34">
        <v>24.717460550273113</v>
      </c>
    </row>
    <row r="2522" spans="1:14" x14ac:dyDescent="0.35">
      <c r="A2522" s="82">
        <v>2519</v>
      </c>
      <c r="B2522" s="89" t="str">
        <f>_xlfn.XLOOKUP(A2522,'Model Modeshare by TAZ'!A:A,'Model Modeshare by TAZ'!B:B)</f>
        <v>Antioch</v>
      </c>
      <c r="C2522" s="90" t="str">
        <f>_xlfn.XLOOKUP(A2522,'Model Modeshare by TAZ'!A:A,'Model Modeshare by TAZ'!D:D)</f>
        <v>NO</v>
      </c>
      <c r="D2522" s="27">
        <v>12364.55</v>
      </c>
      <c r="E2522" s="27">
        <v>207497.97</v>
      </c>
      <c r="F2522" s="27">
        <v>10145.44</v>
      </c>
      <c r="G2522" s="27">
        <v>133048.51</v>
      </c>
      <c r="H2522" s="27">
        <v>2213.2600000000002</v>
      </c>
      <c r="I2522" s="27">
        <v>12831.98</v>
      </c>
      <c r="J2522" s="6">
        <v>7402</v>
      </c>
      <c r="K2522" s="6">
        <v>1428</v>
      </c>
      <c r="L2522" s="27">
        <v>17.974670359362335</v>
      </c>
      <c r="M2522" s="27">
        <v>8.9859803921568631</v>
      </c>
      <c r="N2522" s="34">
        <v>23.384502831257077</v>
      </c>
    </row>
    <row r="2523" spans="1:14" x14ac:dyDescent="0.35">
      <c r="A2523" s="82">
        <v>2520</v>
      </c>
      <c r="B2523" s="89" t="str">
        <f>_xlfn.XLOOKUP(A2523,'Model Modeshare by TAZ'!A:A,'Model Modeshare by TAZ'!B:B)</f>
        <v>Antioch</v>
      </c>
      <c r="C2523" s="90" t="str">
        <f>_xlfn.XLOOKUP(A2523,'Model Modeshare by TAZ'!A:A,'Model Modeshare by TAZ'!D:D)</f>
        <v>NO</v>
      </c>
      <c r="D2523" s="27">
        <v>12903.82</v>
      </c>
      <c r="E2523" s="27">
        <v>202953.02</v>
      </c>
      <c r="F2523" s="27">
        <v>10219.14</v>
      </c>
      <c r="G2523" s="27">
        <v>105355.97</v>
      </c>
      <c r="H2523" s="27">
        <v>2145.27</v>
      </c>
      <c r="I2523" s="27">
        <v>13160.26</v>
      </c>
      <c r="J2523" s="6">
        <v>8205</v>
      </c>
      <c r="K2523" s="6">
        <v>1419</v>
      </c>
      <c r="L2523" s="27">
        <v>12.840459475929311</v>
      </c>
      <c r="M2523" s="27">
        <v>9.2743199436222685</v>
      </c>
      <c r="N2523" s="34">
        <v>17.240046758104736</v>
      </c>
    </row>
    <row r="2524" spans="1:14" x14ac:dyDescent="0.35">
      <c r="A2524" s="82">
        <v>2521</v>
      </c>
      <c r="B2524" s="89" t="str">
        <f>_xlfn.XLOOKUP(A2524,'Model Modeshare by TAZ'!A:A,'Model Modeshare by TAZ'!B:B)</f>
        <v>Antioch</v>
      </c>
      <c r="C2524" s="90" t="str">
        <f>_xlfn.XLOOKUP(A2524,'Model Modeshare by TAZ'!A:A,'Model Modeshare by TAZ'!D:D)</f>
        <v>NO</v>
      </c>
      <c r="D2524" s="27">
        <v>22644.57</v>
      </c>
      <c r="E2524" s="27">
        <v>366619.62</v>
      </c>
      <c r="F2524" s="27">
        <v>8193.43</v>
      </c>
      <c r="G2524" s="27">
        <v>101987.26</v>
      </c>
      <c r="H2524" s="27">
        <v>9828.56</v>
      </c>
      <c r="I2524" s="27">
        <v>70755</v>
      </c>
      <c r="J2524" s="6">
        <v>7457</v>
      </c>
      <c r="K2524" s="6">
        <v>8093</v>
      </c>
      <c r="L2524" s="27">
        <v>13.676714496446291</v>
      </c>
      <c r="M2524" s="27">
        <v>8.74274064005931</v>
      </c>
      <c r="N2524" s="34">
        <v>25.974079742765273</v>
      </c>
    </row>
    <row r="2525" spans="1:14" x14ac:dyDescent="0.35">
      <c r="A2525" s="82">
        <v>2522</v>
      </c>
      <c r="B2525" s="89" t="str">
        <f>_xlfn.XLOOKUP(A2525,'Model Modeshare by TAZ'!A:A,'Model Modeshare by TAZ'!B:B)</f>
        <v>Antioch</v>
      </c>
      <c r="C2525" s="90" t="str">
        <f>_xlfn.XLOOKUP(A2525,'Model Modeshare by TAZ'!A:A,'Model Modeshare by TAZ'!D:D)</f>
        <v>NO</v>
      </c>
      <c r="D2525" s="27">
        <v>5360.06</v>
      </c>
      <c r="E2525" s="27">
        <v>98220.6</v>
      </c>
      <c r="F2525" s="27">
        <v>4443.43</v>
      </c>
      <c r="G2525" s="27">
        <v>57433.42</v>
      </c>
      <c r="H2525" s="27">
        <v>586.66999999999996</v>
      </c>
      <c r="I2525" s="27">
        <v>3790.67</v>
      </c>
      <c r="J2525" s="6">
        <v>3994</v>
      </c>
      <c r="K2525" s="6">
        <v>309</v>
      </c>
      <c r="L2525" s="27">
        <v>14.379924887330995</v>
      </c>
      <c r="M2525" s="27">
        <v>12.267540453074433</v>
      </c>
      <c r="N2525" s="34">
        <v>21.864980246339762</v>
      </c>
    </row>
    <row r="2526" spans="1:14" x14ac:dyDescent="0.35">
      <c r="A2526" s="82">
        <v>2523</v>
      </c>
      <c r="B2526" s="89" t="str">
        <f>_xlfn.XLOOKUP(A2526,'Model Modeshare by TAZ'!A:A,'Model Modeshare by TAZ'!B:B)</f>
        <v>Antioch</v>
      </c>
      <c r="C2526" s="90" t="str">
        <f>_xlfn.XLOOKUP(A2526,'Model Modeshare by TAZ'!A:A,'Model Modeshare by TAZ'!D:D)</f>
        <v>NO</v>
      </c>
      <c r="D2526" s="27">
        <v>7862.38</v>
      </c>
      <c r="E2526" s="27">
        <v>150810.29999999999</v>
      </c>
      <c r="F2526" s="27">
        <v>6377.46</v>
      </c>
      <c r="G2526" s="27">
        <v>84512.98</v>
      </c>
      <c r="H2526" s="27">
        <v>1025.95</v>
      </c>
      <c r="I2526" s="27">
        <v>6757.94</v>
      </c>
      <c r="J2526" s="6">
        <v>5118</v>
      </c>
      <c r="K2526" s="6">
        <v>557</v>
      </c>
      <c r="L2526" s="27">
        <v>16.512891754591635</v>
      </c>
      <c r="M2526" s="27">
        <v>12.13274685816876</v>
      </c>
      <c r="N2526" s="34">
        <v>22.460988546255507</v>
      </c>
    </row>
    <row r="2527" spans="1:14" x14ac:dyDescent="0.35">
      <c r="A2527" s="82">
        <v>2524</v>
      </c>
      <c r="B2527" s="89" t="str">
        <f>_xlfn.XLOOKUP(A2527,'Model Modeshare by TAZ'!A:A,'Model Modeshare by TAZ'!B:B)</f>
        <v>Antioch</v>
      </c>
      <c r="C2527" s="90" t="str">
        <f>_xlfn.XLOOKUP(A2527,'Model Modeshare by TAZ'!A:A,'Model Modeshare by TAZ'!D:D)</f>
        <v>NO</v>
      </c>
      <c r="D2527" s="27">
        <v>4375.17</v>
      </c>
      <c r="E2527" s="27">
        <v>58473.87</v>
      </c>
      <c r="F2527" s="27">
        <v>5160.54</v>
      </c>
      <c r="G2527" s="27">
        <v>44659.77</v>
      </c>
      <c r="H2527" s="27">
        <v>734.56</v>
      </c>
      <c r="I2527" s="27">
        <v>4727.7700000000004</v>
      </c>
      <c r="J2527" s="6">
        <v>4359</v>
      </c>
      <c r="K2527" s="6">
        <v>425</v>
      </c>
      <c r="L2527" s="27">
        <v>10.245416379903647</v>
      </c>
      <c r="M2527" s="27">
        <v>11.124164705882354</v>
      </c>
      <c r="N2527" s="34">
        <v>13.071227006688963</v>
      </c>
    </row>
    <row r="2528" spans="1:14" x14ac:dyDescent="0.35">
      <c r="A2528" s="82">
        <v>2525</v>
      </c>
      <c r="B2528" s="89" t="str">
        <f>_xlfn.XLOOKUP(A2528,'Model Modeshare by TAZ'!A:A,'Model Modeshare by TAZ'!B:B)</f>
        <v>Antioch</v>
      </c>
      <c r="C2528" s="90" t="str">
        <f>_xlfn.XLOOKUP(A2528,'Model Modeshare by TAZ'!A:A,'Model Modeshare by TAZ'!D:D)</f>
        <v>NO</v>
      </c>
      <c r="D2528" s="27">
        <v>9983.5</v>
      </c>
      <c r="E2528" s="27">
        <v>160854.82</v>
      </c>
      <c r="F2528" s="27">
        <v>8777.5300000000007</v>
      </c>
      <c r="G2528" s="27">
        <v>93237.09</v>
      </c>
      <c r="H2528" s="27">
        <v>2015.81</v>
      </c>
      <c r="I2528" s="27">
        <v>13265.32</v>
      </c>
      <c r="J2528" s="6">
        <v>6710</v>
      </c>
      <c r="K2528" s="6">
        <v>1340</v>
      </c>
      <c r="L2528" s="27">
        <v>13.895244411326377</v>
      </c>
      <c r="M2528" s="27">
        <v>9.8994925373134333</v>
      </c>
      <c r="N2528" s="34">
        <v>20.433444720496897</v>
      </c>
    </row>
    <row r="2529" spans="1:14" x14ac:dyDescent="0.35">
      <c r="A2529" s="82">
        <v>2526</v>
      </c>
      <c r="B2529" s="89" t="str">
        <f>_xlfn.XLOOKUP(A2529,'Model Modeshare by TAZ'!A:A,'Model Modeshare by TAZ'!B:B)</f>
        <v>Antioch</v>
      </c>
      <c r="C2529" s="90" t="str">
        <f>_xlfn.XLOOKUP(A2529,'Model Modeshare by TAZ'!A:A,'Model Modeshare by TAZ'!D:D)</f>
        <v>NO</v>
      </c>
      <c r="D2529" s="27">
        <v>6096.72</v>
      </c>
      <c r="E2529" s="27">
        <v>96645.36</v>
      </c>
      <c r="F2529" s="27">
        <v>5580.09</v>
      </c>
      <c r="G2529" s="27">
        <v>65044.160000000003</v>
      </c>
      <c r="H2529" s="27">
        <v>617.21</v>
      </c>
      <c r="I2529" s="27">
        <v>3600.8</v>
      </c>
      <c r="J2529" s="6">
        <v>4235</v>
      </c>
      <c r="K2529" s="6">
        <v>357</v>
      </c>
      <c r="L2529" s="27">
        <v>15.35871546635183</v>
      </c>
      <c r="M2529" s="27">
        <v>10.086274509803921</v>
      </c>
      <c r="N2529" s="34">
        <v>18.87758275261324</v>
      </c>
    </row>
    <row r="2530" spans="1:14" x14ac:dyDescent="0.35">
      <c r="A2530" s="82">
        <v>2527</v>
      </c>
      <c r="B2530" s="89" t="str">
        <f>_xlfn.XLOOKUP(A2530,'Model Modeshare by TAZ'!A:A,'Model Modeshare by TAZ'!B:B)</f>
        <v>Unincorporated</v>
      </c>
      <c r="C2530" s="90" t="str">
        <f>_xlfn.XLOOKUP(A2530,'Model Modeshare by TAZ'!A:A,'Model Modeshare by TAZ'!D:D)</f>
        <v>NO</v>
      </c>
      <c r="D2530" s="27">
        <v>24551.43</v>
      </c>
      <c r="E2530" s="27">
        <v>596176.93999999994</v>
      </c>
      <c r="F2530" s="27">
        <v>26215.05</v>
      </c>
      <c r="G2530" s="27">
        <v>422660.86</v>
      </c>
      <c r="H2530" s="27">
        <v>2056.88</v>
      </c>
      <c r="I2530" s="27">
        <v>14355.56</v>
      </c>
      <c r="J2530" s="6">
        <v>18126</v>
      </c>
      <c r="K2530" s="6">
        <v>1111</v>
      </c>
      <c r="L2530" s="27">
        <v>23.317933355401081</v>
      </c>
      <c r="M2530" s="27">
        <v>12.92129612961296</v>
      </c>
      <c r="N2530" s="34">
        <v>29.763192285699436</v>
      </c>
    </row>
    <row r="2531" spans="1:14" x14ac:dyDescent="0.35">
      <c r="A2531" s="82">
        <v>2528</v>
      </c>
      <c r="B2531" s="89" t="str">
        <f>_xlfn.XLOOKUP(A2531,'Model Modeshare by TAZ'!A:A,'Model Modeshare by TAZ'!B:B)</f>
        <v>Unincorporated</v>
      </c>
      <c r="C2531" s="90" t="str">
        <f>_xlfn.XLOOKUP(A2531,'Model Modeshare by TAZ'!A:A,'Model Modeshare by TAZ'!D:D)</f>
        <v>NO</v>
      </c>
      <c r="D2531" s="27">
        <v>10332.64</v>
      </c>
      <c r="E2531" s="27">
        <v>203814</v>
      </c>
      <c r="F2531" s="27">
        <v>10978.93</v>
      </c>
      <c r="G2531" s="27">
        <v>125454.57</v>
      </c>
      <c r="H2531" s="27">
        <v>659.29</v>
      </c>
      <c r="I2531" s="27">
        <v>4743.84</v>
      </c>
      <c r="J2531" s="6">
        <v>7842</v>
      </c>
      <c r="K2531" s="6">
        <v>366</v>
      </c>
      <c r="L2531" s="27">
        <v>15.997777352716145</v>
      </c>
      <c r="M2531" s="27">
        <v>12.961311475409836</v>
      </c>
      <c r="N2531" s="34">
        <v>21.667643762183236</v>
      </c>
    </row>
    <row r="2532" spans="1:14" x14ac:dyDescent="0.35">
      <c r="A2532" s="82">
        <v>2529</v>
      </c>
      <c r="B2532" s="89" t="str">
        <f>_xlfn.XLOOKUP(A2532,'Model Modeshare by TAZ'!A:A,'Model Modeshare by TAZ'!B:B)</f>
        <v>Antioch</v>
      </c>
      <c r="C2532" s="90" t="str">
        <f>_xlfn.XLOOKUP(A2532,'Model Modeshare by TAZ'!A:A,'Model Modeshare by TAZ'!D:D)</f>
        <v>NO</v>
      </c>
      <c r="D2532" s="27">
        <v>9277.26</v>
      </c>
      <c r="E2532" s="27">
        <v>158729.28</v>
      </c>
      <c r="F2532" s="27">
        <v>3951.04</v>
      </c>
      <c r="G2532" s="27">
        <v>46043.95</v>
      </c>
      <c r="H2532" s="27">
        <v>2315.8200000000002</v>
      </c>
      <c r="I2532" s="27">
        <v>16900.02</v>
      </c>
      <c r="J2532" s="6">
        <v>3497</v>
      </c>
      <c r="K2532" s="6">
        <v>2019</v>
      </c>
      <c r="L2532" s="27">
        <v>13.166700028595939</v>
      </c>
      <c r="M2532" s="27">
        <v>8.3704903417533441</v>
      </c>
      <c r="N2532" s="34">
        <v>24.771149383611313</v>
      </c>
    </row>
    <row r="2533" spans="1:14" x14ac:dyDescent="0.35">
      <c r="A2533" s="82">
        <v>2530</v>
      </c>
      <c r="B2533" s="89" t="str">
        <f>_xlfn.XLOOKUP(A2533,'Model Modeshare by TAZ'!A:A,'Model Modeshare by TAZ'!B:B)</f>
        <v>Pittsburg</v>
      </c>
      <c r="C2533" s="90" t="str">
        <f>_xlfn.XLOOKUP(A2533,'Model Modeshare by TAZ'!A:A,'Model Modeshare by TAZ'!D:D)</f>
        <v>NO</v>
      </c>
      <c r="D2533" s="27">
        <v>11656.31</v>
      </c>
      <c r="E2533" s="27">
        <v>203720.42</v>
      </c>
      <c r="F2533" s="27">
        <v>5336.67</v>
      </c>
      <c r="G2533" s="27">
        <v>64449.24</v>
      </c>
      <c r="H2533" s="27">
        <v>1699.76</v>
      </c>
      <c r="I2533" s="27">
        <v>13236.72</v>
      </c>
      <c r="J2533" s="6">
        <v>3983</v>
      </c>
      <c r="K2533" s="6">
        <v>1337</v>
      </c>
      <c r="L2533" s="27">
        <v>16.181079588250061</v>
      </c>
      <c r="M2533" s="27">
        <v>9.9003141361256546</v>
      </c>
      <c r="N2533" s="34">
        <v>29.655101503759401</v>
      </c>
    </row>
    <row r="2534" spans="1:14" x14ac:dyDescent="0.35">
      <c r="A2534" s="82">
        <v>2531</v>
      </c>
      <c r="B2534" s="89" t="str">
        <f>_xlfn.XLOOKUP(A2534,'Model Modeshare by TAZ'!A:A,'Model Modeshare by TAZ'!B:B)</f>
        <v>Pittsburg</v>
      </c>
      <c r="C2534" s="90" t="str">
        <f>_xlfn.XLOOKUP(A2534,'Model Modeshare by TAZ'!A:A,'Model Modeshare by TAZ'!D:D)</f>
        <v>NO</v>
      </c>
      <c r="D2534" s="27">
        <v>13009.96</v>
      </c>
      <c r="E2534" s="27">
        <v>232896.02</v>
      </c>
      <c r="F2534" s="27">
        <v>8828.1200000000008</v>
      </c>
      <c r="G2534" s="27">
        <v>102814.67</v>
      </c>
      <c r="H2534" s="27">
        <v>4224.63</v>
      </c>
      <c r="I2534" s="27">
        <v>33240.26</v>
      </c>
      <c r="J2534" s="6">
        <v>7875</v>
      </c>
      <c r="K2534" s="6">
        <v>3670</v>
      </c>
      <c r="L2534" s="27">
        <v>13.055831111111111</v>
      </c>
      <c r="M2534" s="27">
        <v>9.0572915531335152</v>
      </c>
      <c r="N2534" s="34">
        <v>22.10675270679948</v>
      </c>
    </row>
    <row r="2535" spans="1:14" x14ac:dyDescent="0.35">
      <c r="A2535" s="82">
        <v>2532</v>
      </c>
      <c r="B2535" s="89" t="str">
        <f>_xlfn.XLOOKUP(A2535,'Model Modeshare by TAZ'!A:A,'Model Modeshare by TAZ'!B:B)</f>
        <v>Unincorporated</v>
      </c>
      <c r="C2535" s="90" t="str">
        <f>_xlfn.XLOOKUP(A2535,'Model Modeshare by TAZ'!A:A,'Model Modeshare by TAZ'!D:D)</f>
        <v>NO</v>
      </c>
      <c r="D2535" s="27">
        <v>11672.8</v>
      </c>
      <c r="E2535" s="27">
        <v>241877.28</v>
      </c>
      <c r="F2535" s="27">
        <v>12449.27</v>
      </c>
      <c r="G2535" s="27">
        <v>160341.4</v>
      </c>
      <c r="H2535" s="27">
        <v>1276.95</v>
      </c>
      <c r="I2535" s="27">
        <v>12031.08</v>
      </c>
      <c r="J2535" s="6">
        <v>9039</v>
      </c>
      <c r="K2535" s="6">
        <v>710</v>
      </c>
      <c r="L2535" s="27">
        <v>17.738842792344286</v>
      </c>
      <c r="M2535" s="27">
        <v>16.945183098591549</v>
      </c>
      <c r="N2535" s="34">
        <v>24.515777002769514</v>
      </c>
    </row>
    <row r="2536" spans="1:14" x14ac:dyDescent="0.35">
      <c r="A2536" s="82">
        <v>2533</v>
      </c>
      <c r="B2536" s="89" t="str">
        <f>_xlfn.XLOOKUP(A2536,'Model Modeshare by TAZ'!A:A,'Model Modeshare by TAZ'!B:B)</f>
        <v>Pittsburg</v>
      </c>
      <c r="C2536" s="90" t="str">
        <f>_xlfn.XLOOKUP(A2536,'Model Modeshare by TAZ'!A:A,'Model Modeshare by TAZ'!D:D)</f>
        <v>NO</v>
      </c>
      <c r="D2536" s="27">
        <v>6101.74</v>
      </c>
      <c r="E2536" s="27">
        <v>133475.91</v>
      </c>
      <c r="F2536" s="27">
        <v>5480.5</v>
      </c>
      <c r="G2536" s="27">
        <v>69738.350000000006</v>
      </c>
      <c r="H2536" s="27">
        <v>535.66999999999996</v>
      </c>
      <c r="I2536" s="27">
        <v>4509.3900000000003</v>
      </c>
      <c r="J2536" s="6">
        <v>4774</v>
      </c>
      <c r="K2536" s="6">
        <v>284</v>
      </c>
      <c r="L2536" s="27">
        <v>14.607949308755762</v>
      </c>
      <c r="M2536" s="27">
        <v>15.878133802816903</v>
      </c>
      <c r="N2536" s="34">
        <v>20.352752075919337</v>
      </c>
    </row>
    <row r="2537" spans="1:14" x14ac:dyDescent="0.35">
      <c r="A2537" s="82">
        <v>2534</v>
      </c>
      <c r="B2537" s="89" t="str">
        <f>_xlfn.XLOOKUP(A2537,'Model Modeshare by TAZ'!A:A,'Model Modeshare by TAZ'!B:B)</f>
        <v>Pittsburg</v>
      </c>
      <c r="C2537" s="90" t="str">
        <f>_xlfn.XLOOKUP(A2537,'Model Modeshare by TAZ'!A:A,'Model Modeshare by TAZ'!D:D)</f>
        <v>NO</v>
      </c>
      <c r="D2537" s="27">
        <v>3844.3</v>
      </c>
      <c r="E2537" s="27">
        <v>64470.29</v>
      </c>
      <c r="F2537" s="27">
        <v>4279.83</v>
      </c>
      <c r="G2537" s="27">
        <v>47378.43</v>
      </c>
      <c r="H2537" s="27">
        <v>108.47</v>
      </c>
      <c r="I2537" s="27">
        <v>779.77</v>
      </c>
      <c r="J2537" s="6">
        <v>3441</v>
      </c>
      <c r="K2537" s="6">
        <v>70</v>
      </c>
      <c r="L2537" s="27">
        <v>13.768796861377506</v>
      </c>
      <c r="M2537" s="27">
        <v>11.139571428571429</v>
      </c>
      <c r="N2537" s="34">
        <v>17.66155226431216</v>
      </c>
    </row>
    <row r="2538" spans="1:14" x14ac:dyDescent="0.35">
      <c r="A2538" s="82">
        <v>2535</v>
      </c>
      <c r="B2538" s="89" t="str">
        <f>_xlfn.XLOOKUP(A2538,'Model Modeshare by TAZ'!A:A,'Model Modeshare by TAZ'!B:B)</f>
        <v>Pittsburg</v>
      </c>
      <c r="C2538" s="90" t="str">
        <f>_xlfn.XLOOKUP(A2538,'Model Modeshare by TAZ'!A:A,'Model Modeshare by TAZ'!D:D)</f>
        <v>NO</v>
      </c>
      <c r="D2538" s="27">
        <v>10273.799999999999</v>
      </c>
      <c r="E2538" s="27">
        <v>209932.24</v>
      </c>
      <c r="F2538" s="27">
        <v>6262.24</v>
      </c>
      <c r="G2538" s="27">
        <v>85495.94</v>
      </c>
      <c r="H2538" s="27">
        <v>2424.06</v>
      </c>
      <c r="I2538" s="27">
        <v>22637.97</v>
      </c>
      <c r="J2538" s="6">
        <v>5606</v>
      </c>
      <c r="K2538" s="6">
        <v>1976</v>
      </c>
      <c r="L2538" s="27">
        <v>15.250792008562255</v>
      </c>
      <c r="M2538" s="27">
        <v>11.456462550607288</v>
      </c>
      <c r="N2538" s="34">
        <v>25.510237404378792</v>
      </c>
    </row>
    <row r="2539" spans="1:14" x14ac:dyDescent="0.35">
      <c r="A2539" s="82">
        <v>2536</v>
      </c>
      <c r="B2539" s="89" t="str">
        <f>_xlfn.XLOOKUP(A2539,'Model Modeshare by TAZ'!A:A,'Model Modeshare by TAZ'!B:B)</f>
        <v>Pittsburg</v>
      </c>
      <c r="C2539" s="90" t="str">
        <f>_xlfn.XLOOKUP(A2539,'Model Modeshare by TAZ'!A:A,'Model Modeshare by TAZ'!D:D)</f>
        <v>NO</v>
      </c>
      <c r="D2539" s="27">
        <v>4576.63</v>
      </c>
      <c r="E2539" s="27">
        <v>85950.8</v>
      </c>
      <c r="F2539" s="27">
        <v>2925.91</v>
      </c>
      <c r="G2539" s="27">
        <v>36585.21</v>
      </c>
      <c r="H2539" s="27">
        <v>1401.24</v>
      </c>
      <c r="I2539" s="27">
        <v>11558.36</v>
      </c>
      <c r="J2539" s="6">
        <v>2511</v>
      </c>
      <c r="K2539" s="6">
        <v>1174</v>
      </c>
      <c r="L2539" s="27">
        <v>14.569976105137394</v>
      </c>
      <c r="M2539" s="27">
        <v>9.8452810902896086</v>
      </c>
      <c r="N2539" s="34">
        <v>21.536610583446404</v>
      </c>
    </row>
    <row r="2540" spans="1:14" x14ac:dyDescent="0.35">
      <c r="A2540" s="82">
        <v>2537</v>
      </c>
      <c r="B2540" s="89" t="str">
        <f>_xlfn.XLOOKUP(A2540,'Model Modeshare by TAZ'!A:A,'Model Modeshare by TAZ'!B:B)</f>
        <v>Pittsburg</v>
      </c>
      <c r="C2540" s="90" t="str">
        <f>_xlfn.XLOOKUP(A2540,'Model Modeshare by TAZ'!A:A,'Model Modeshare by TAZ'!D:D)</f>
        <v>NO</v>
      </c>
      <c r="D2540" s="27">
        <v>8353.15</v>
      </c>
      <c r="E2540" s="27">
        <v>187293.19</v>
      </c>
      <c r="F2540" s="27">
        <v>4542.3100000000004</v>
      </c>
      <c r="G2540" s="27">
        <v>65188.79</v>
      </c>
      <c r="H2540" s="27">
        <v>2964.53</v>
      </c>
      <c r="I2540" s="27">
        <v>28898.99</v>
      </c>
      <c r="J2540" s="6">
        <v>3296</v>
      </c>
      <c r="K2540" s="6">
        <v>2262</v>
      </c>
      <c r="L2540" s="27">
        <v>19.778152305825245</v>
      </c>
      <c r="M2540" s="27">
        <v>12.775857648099029</v>
      </c>
      <c r="N2540" s="34">
        <v>30.831558114429647</v>
      </c>
    </row>
    <row r="2541" spans="1:14" x14ac:dyDescent="0.35">
      <c r="A2541" s="82">
        <v>2538</v>
      </c>
      <c r="B2541" s="89" t="str">
        <f>_xlfn.XLOOKUP(A2541,'Model Modeshare by TAZ'!A:A,'Model Modeshare by TAZ'!B:B)</f>
        <v>Pittsburg</v>
      </c>
      <c r="C2541" s="90" t="str">
        <f>_xlfn.XLOOKUP(A2541,'Model Modeshare by TAZ'!A:A,'Model Modeshare by TAZ'!D:D)</f>
        <v>NO</v>
      </c>
      <c r="D2541" s="27">
        <v>8678.27</v>
      </c>
      <c r="E2541" s="27">
        <v>173449.86</v>
      </c>
      <c r="F2541" s="27">
        <v>6881.84</v>
      </c>
      <c r="G2541" s="27">
        <v>86374</v>
      </c>
      <c r="H2541" s="27">
        <v>1551.65</v>
      </c>
      <c r="I2541" s="27">
        <v>13756.83</v>
      </c>
      <c r="J2541" s="6">
        <v>6194</v>
      </c>
      <c r="K2541" s="6">
        <v>870</v>
      </c>
      <c r="L2541" s="27">
        <v>13.94478527607362</v>
      </c>
      <c r="M2541" s="27">
        <v>15.812448275862069</v>
      </c>
      <c r="N2541" s="34">
        <v>20.576136749716873</v>
      </c>
    </row>
    <row r="2542" spans="1:14" x14ac:dyDescent="0.35">
      <c r="A2542" s="82">
        <v>2539</v>
      </c>
      <c r="B2542" s="89" t="str">
        <f>_xlfn.XLOOKUP(A2542,'Model Modeshare by TAZ'!A:A,'Model Modeshare by TAZ'!B:B)</f>
        <v>Pittsburg</v>
      </c>
      <c r="C2542" s="90" t="str">
        <f>_xlfn.XLOOKUP(A2542,'Model Modeshare by TAZ'!A:A,'Model Modeshare by TAZ'!D:D)</f>
        <v>NO</v>
      </c>
      <c r="D2542" s="27">
        <v>6618.81</v>
      </c>
      <c r="E2542" s="27">
        <v>150624.26</v>
      </c>
      <c r="F2542" s="27">
        <v>7593.45</v>
      </c>
      <c r="G2542" s="27">
        <v>105787.9</v>
      </c>
      <c r="H2542" s="27">
        <v>440.74</v>
      </c>
      <c r="I2542" s="27">
        <v>4437.6099999999997</v>
      </c>
      <c r="J2542" s="6">
        <v>6024</v>
      </c>
      <c r="K2542" s="6">
        <v>243</v>
      </c>
      <c r="L2542" s="27">
        <v>17.561072377158034</v>
      </c>
      <c r="M2542" s="27">
        <v>18.261769547325102</v>
      </c>
      <c r="N2542" s="34">
        <v>23.75815063028562</v>
      </c>
    </row>
    <row r="2543" spans="1:14" x14ac:dyDescent="0.35">
      <c r="A2543" s="82">
        <v>2540</v>
      </c>
      <c r="B2543" s="89" t="str">
        <f>_xlfn.XLOOKUP(A2543,'Model Modeshare by TAZ'!A:A,'Model Modeshare by TAZ'!B:B)</f>
        <v>Unincorporated</v>
      </c>
      <c r="C2543" s="90" t="str">
        <f>_xlfn.XLOOKUP(A2543,'Model Modeshare by TAZ'!A:A,'Model Modeshare by TAZ'!D:D)</f>
        <v>NO</v>
      </c>
      <c r="D2543" s="27">
        <v>12142.62</v>
      </c>
      <c r="E2543" s="27">
        <v>233780.84</v>
      </c>
      <c r="F2543" s="27">
        <v>8293.6299999999992</v>
      </c>
      <c r="G2543" s="27">
        <v>104358.58</v>
      </c>
      <c r="H2543" s="27">
        <v>829.78</v>
      </c>
      <c r="I2543" s="27">
        <v>7285.31</v>
      </c>
      <c r="J2543" s="6">
        <v>7363</v>
      </c>
      <c r="K2543" s="6">
        <v>449</v>
      </c>
      <c r="L2543" s="27">
        <v>14.173377699307348</v>
      </c>
      <c r="M2543" s="27">
        <v>16.225634743875279</v>
      </c>
      <c r="N2543" s="34">
        <v>25.482365591397848</v>
      </c>
    </row>
    <row r="2544" spans="1:14" x14ac:dyDescent="0.35">
      <c r="A2544" s="82">
        <v>2541</v>
      </c>
      <c r="B2544" s="89" t="str">
        <f>_xlfn.XLOOKUP(A2544,'Model Modeshare by TAZ'!A:A,'Model Modeshare by TAZ'!B:B)</f>
        <v>Unincorporated</v>
      </c>
      <c r="C2544" s="90" t="str">
        <f>_xlfn.XLOOKUP(A2544,'Model Modeshare by TAZ'!A:A,'Model Modeshare by TAZ'!D:D)</f>
        <v>NO</v>
      </c>
      <c r="D2544" s="27">
        <v>7416.95</v>
      </c>
      <c r="E2544" s="27">
        <v>156225.04</v>
      </c>
      <c r="F2544" s="27">
        <v>6950.51</v>
      </c>
      <c r="G2544" s="27">
        <v>90610.86</v>
      </c>
      <c r="H2544" s="27">
        <v>927.93</v>
      </c>
      <c r="I2544" s="27">
        <v>10199.969999999999</v>
      </c>
      <c r="J2544" s="6">
        <v>5824</v>
      </c>
      <c r="K2544" s="6">
        <v>512</v>
      </c>
      <c r="L2544" s="27">
        <v>15.558183379120878</v>
      </c>
      <c r="M2544" s="27">
        <v>19.921816406249999</v>
      </c>
      <c r="N2544" s="34">
        <v>23.133049242424242</v>
      </c>
    </row>
    <row r="2545" spans="1:14" x14ac:dyDescent="0.35">
      <c r="A2545" s="82">
        <v>2542</v>
      </c>
      <c r="B2545" s="89" t="str">
        <f>_xlfn.XLOOKUP(A2545,'Model Modeshare by TAZ'!A:A,'Model Modeshare by TAZ'!B:B)</f>
        <v>Unincorporated</v>
      </c>
      <c r="C2545" s="90" t="str">
        <f>_xlfn.XLOOKUP(A2545,'Model Modeshare by TAZ'!A:A,'Model Modeshare by TAZ'!D:D)</f>
        <v>NO</v>
      </c>
      <c r="D2545" s="27">
        <v>8009</v>
      </c>
      <c r="E2545" s="27">
        <v>204922.65</v>
      </c>
      <c r="F2545" s="27">
        <v>7805.51</v>
      </c>
      <c r="G2545" s="27">
        <v>119205</v>
      </c>
      <c r="H2545" s="27">
        <v>567.12</v>
      </c>
      <c r="I2545" s="27">
        <v>6184.35</v>
      </c>
      <c r="J2545" s="6">
        <v>6620</v>
      </c>
      <c r="K2545" s="6">
        <v>301</v>
      </c>
      <c r="L2545" s="27">
        <v>18.006797583081571</v>
      </c>
      <c r="M2545" s="27">
        <v>20.546013289036544</v>
      </c>
      <c r="N2545" s="34">
        <v>25.106230313538507</v>
      </c>
    </row>
    <row r="2546" spans="1:14" x14ac:dyDescent="0.35">
      <c r="A2546" s="82">
        <v>2543</v>
      </c>
      <c r="B2546" s="89" t="str">
        <f>_xlfn.XLOOKUP(A2546,'Model Modeshare by TAZ'!A:A,'Model Modeshare by TAZ'!B:B)</f>
        <v>Unincorporated</v>
      </c>
      <c r="C2546" s="90" t="str">
        <f>_xlfn.XLOOKUP(A2546,'Model Modeshare by TAZ'!A:A,'Model Modeshare by TAZ'!D:D)</f>
        <v>NO</v>
      </c>
      <c r="D2546" s="27">
        <v>17493.060000000001</v>
      </c>
      <c r="E2546" s="27">
        <v>515022.97</v>
      </c>
      <c r="F2546" s="27">
        <v>5452.11</v>
      </c>
      <c r="G2546" s="27">
        <v>75851.89</v>
      </c>
      <c r="H2546" s="27">
        <v>13044.26</v>
      </c>
      <c r="I2546" s="27">
        <v>204535.44</v>
      </c>
      <c r="J2546" s="6">
        <v>3933</v>
      </c>
      <c r="K2546" s="6">
        <v>9800</v>
      </c>
      <c r="L2546" s="27">
        <v>19.286013221459445</v>
      </c>
      <c r="M2546" s="27">
        <v>20.870963265306123</v>
      </c>
      <c r="N2546" s="34">
        <v>39.451481832083303</v>
      </c>
    </row>
    <row r="2547" spans="1:14" x14ac:dyDescent="0.35">
      <c r="A2547" s="82">
        <v>2544</v>
      </c>
      <c r="B2547" s="89" t="str">
        <f>_xlfn.XLOOKUP(A2547,'Model Modeshare by TAZ'!A:A,'Model Modeshare by TAZ'!B:B)</f>
        <v>Benicia</v>
      </c>
      <c r="C2547" s="90" t="str">
        <f>_xlfn.XLOOKUP(A2547,'Model Modeshare by TAZ'!A:A,'Model Modeshare by TAZ'!D:D)</f>
        <v>NO</v>
      </c>
      <c r="D2547" s="27">
        <v>8811.76</v>
      </c>
      <c r="E2547" s="27">
        <v>194731.76</v>
      </c>
      <c r="F2547" s="27">
        <v>6409.65</v>
      </c>
      <c r="G2547" s="27">
        <v>75103.33</v>
      </c>
      <c r="H2547" s="27">
        <v>3249.83</v>
      </c>
      <c r="I2547" s="27">
        <v>44860.46</v>
      </c>
      <c r="J2547" s="6">
        <v>4482</v>
      </c>
      <c r="K2547" s="6">
        <v>2955</v>
      </c>
      <c r="L2547" s="27">
        <v>16.756655510932621</v>
      </c>
      <c r="M2547" s="27">
        <v>15.181204737732656</v>
      </c>
      <c r="N2547" s="34">
        <v>32.668277531262611</v>
      </c>
    </row>
    <row r="2548" spans="1:14" x14ac:dyDescent="0.35">
      <c r="A2548" s="82">
        <v>2545</v>
      </c>
      <c r="B2548" s="89" t="str">
        <f>_xlfn.XLOOKUP(A2548,'Model Modeshare by TAZ'!A:A,'Model Modeshare by TAZ'!B:B)</f>
        <v>Benicia</v>
      </c>
      <c r="C2548" s="90" t="str">
        <f>_xlfn.XLOOKUP(A2548,'Model Modeshare by TAZ'!A:A,'Model Modeshare by TAZ'!D:D)</f>
        <v>NO</v>
      </c>
      <c r="D2548" s="27">
        <v>5833.61</v>
      </c>
      <c r="E2548" s="27">
        <v>134909.82999999999</v>
      </c>
      <c r="F2548" s="27">
        <v>4886.6400000000003</v>
      </c>
      <c r="G2548" s="27">
        <v>61180.28</v>
      </c>
      <c r="H2548" s="27">
        <v>991.79</v>
      </c>
      <c r="I2548" s="27">
        <v>13092.06</v>
      </c>
      <c r="J2548" s="6">
        <v>3214</v>
      </c>
      <c r="K2548" s="6">
        <v>658</v>
      </c>
      <c r="L2548" s="27">
        <v>19.035556938394524</v>
      </c>
      <c r="M2548" s="27">
        <v>19.89674772036474</v>
      </c>
      <c r="N2548" s="34">
        <v>30.277027376033057</v>
      </c>
    </row>
    <row r="2549" spans="1:14" x14ac:dyDescent="0.35">
      <c r="A2549" s="82">
        <v>2546</v>
      </c>
      <c r="B2549" s="89" t="str">
        <f>_xlfn.XLOOKUP(A2549,'Model Modeshare by TAZ'!A:A,'Model Modeshare by TAZ'!B:B)</f>
        <v>Benicia</v>
      </c>
      <c r="C2549" s="90" t="str">
        <f>_xlfn.XLOOKUP(A2549,'Model Modeshare by TAZ'!A:A,'Model Modeshare by TAZ'!D:D)</f>
        <v>NO</v>
      </c>
      <c r="D2549" s="27">
        <v>6255.46</v>
      </c>
      <c r="E2549" s="27">
        <v>156120.92000000001</v>
      </c>
      <c r="F2549" s="27">
        <v>5676.04</v>
      </c>
      <c r="G2549" s="27">
        <v>79437.210000000006</v>
      </c>
      <c r="H2549" s="27">
        <v>377.42</v>
      </c>
      <c r="I2549" s="27">
        <v>5056.0200000000004</v>
      </c>
      <c r="J2549" s="6">
        <v>3636</v>
      </c>
      <c r="K2549" s="6">
        <v>221</v>
      </c>
      <c r="L2549" s="27">
        <v>21.847417491749177</v>
      </c>
      <c r="M2549" s="27">
        <v>22.877918552036203</v>
      </c>
      <c r="N2549" s="34">
        <v>32.502748249935188</v>
      </c>
    </row>
    <row r="2550" spans="1:14" x14ac:dyDescent="0.35">
      <c r="A2550" s="82">
        <v>2547</v>
      </c>
      <c r="B2550" s="89" t="str">
        <f>_xlfn.XLOOKUP(A2550,'Model Modeshare by TAZ'!A:A,'Model Modeshare by TAZ'!B:B)</f>
        <v>Benicia</v>
      </c>
      <c r="C2550" s="90" t="str">
        <f>_xlfn.XLOOKUP(A2550,'Model Modeshare by TAZ'!A:A,'Model Modeshare by TAZ'!D:D)</f>
        <v>NO</v>
      </c>
      <c r="D2550" s="27">
        <v>8783.06</v>
      </c>
      <c r="E2550" s="27">
        <v>201082.23999999999</v>
      </c>
      <c r="F2550" s="27">
        <v>6472.37</v>
      </c>
      <c r="G2550" s="27">
        <v>86677.11</v>
      </c>
      <c r="H2550" s="27">
        <v>1315.81</v>
      </c>
      <c r="I2550" s="27">
        <v>16004.1</v>
      </c>
      <c r="J2550" s="6">
        <v>4184</v>
      </c>
      <c r="K2550" s="6">
        <v>914</v>
      </c>
      <c r="L2550" s="27">
        <v>20.716326481835566</v>
      </c>
      <c r="M2550" s="27">
        <v>17.509956236323852</v>
      </c>
      <c r="N2550" s="34">
        <v>33.436557473519031</v>
      </c>
    </row>
    <row r="2551" spans="1:14" x14ac:dyDescent="0.35">
      <c r="A2551" s="82">
        <v>2548</v>
      </c>
      <c r="B2551" s="89" t="str">
        <f>_xlfn.XLOOKUP(A2551,'Model Modeshare by TAZ'!A:A,'Model Modeshare by TAZ'!B:B)</f>
        <v>Benicia</v>
      </c>
      <c r="C2551" s="90" t="str">
        <f>_xlfn.XLOOKUP(A2551,'Model Modeshare by TAZ'!A:A,'Model Modeshare by TAZ'!D:D)</f>
        <v>NO</v>
      </c>
      <c r="D2551" s="27">
        <v>4659.8500000000004</v>
      </c>
      <c r="E2551" s="27">
        <v>106382.67</v>
      </c>
      <c r="F2551" s="27">
        <v>5439.44</v>
      </c>
      <c r="G2551" s="27">
        <v>74978.09</v>
      </c>
      <c r="H2551" s="27">
        <v>496.62</v>
      </c>
      <c r="I2551" s="27">
        <v>6170.97</v>
      </c>
      <c r="J2551" s="6">
        <v>3305</v>
      </c>
      <c r="K2551" s="6">
        <v>294</v>
      </c>
      <c r="L2551" s="27">
        <v>22.686260211800302</v>
      </c>
      <c r="M2551" s="27">
        <v>20.989693877551023</v>
      </c>
      <c r="N2551" s="34">
        <v>31.696549041400392</v>
      </c>
    </row>
    <row r="2552" spans="1:14" x14ac:dyDescent="0.35">
      <c r="A2552" s="82">
        <v>2549</v>
      </c>
      <c r="B2552" s="89" t="str">
        <f>_xlfn.XLOOKUP(A2552,'Model Modeshare by TAZ'!A:A,'Model Modeshare by TAZ'!B:B)</f>
        <v>Benicia</v>
      </c>
      <c r="C2552" s="90" t="str">
        <f>_xlfn.XLOOKUP(A2552,'Model Modeshare by TAZ'!A:A,'Model Modeshare by TAZ'!D:D)</f>
        <v>NO</v>
      </c>
      <c r="D2552" s="27">
        <v>9280.5499999999993</v>
      </c>
      <c r="E2552" s="27">
        <v>210710.57</v>
      </c>
      <c r="F2552" s="27">
        <v>8523.09</v>
      </c>
      <c r="G2552" s="27">
        <v>114736.75</v>
      </c>
      <c r="H2552" s="27">
        <v>1553.71</v>
      </c>
      <c r="I2552" s="27">
        <v>18371.259999999998</v>
      </c>
      <c r="J2552" s="6">
        <v>5618</v>
      </c>
      <c r="K2552" s="6">
        <v>891</v>
      </c>
      <c r="L2552" s="27">
        <v>20.423059807760769</v>
      </c>
      <c r="M2552" s="27">
        <v>20.618698092031423</v>
      </c>
      <c r="N2552" s="34">
        <v>29.541192195421722</v>
      </c>
    </row>
    <row r="2553" spans="1:14" x14ac:dyDescent="0.35">
      <c r="A2553" s="82">
        <v>2550</v>
      </c>
      <c r="B2553" s="89" t="str">
        <f>_xlfn.XLOOKUP(A2553,'Model Modeshare by TAZ'!A:A,'Model Modeshare by TAZ'!B:B)</f>
        <v>Vallejo</v>
      </c>
      <c r="C2553" s="90" t="str">
        <f>_xlfn.XLOOKUP(A2553,'Model Modeshare by TAZ'!A:A,'Model Modeshare by TAZ'!D:D)</f>
        <v>NO</v>
      </c>
      <c r="D2553" s="27">
        <v>6562.97</v>
      </c>
      <c r="E2553" s="27">
        <v>156069.23000000001</v>
      </c>
      <c r="F2553" s="27">
        <v>8215.27</v>
      </c>
      <c r="G2553" s="27">
        <v>116974.2</v>
      </c>
      <c r="H2553" s="27">
        <v>363.47</v>
      </c>
      <c r="I2553" s="27">
        <v>4016.47</v>
      </c>
      <c r="J2553" s="6">
        <v>5263</v>
      </c>
      <c r="K2553" s="6">
        <v>215</v>
      </c>
      <c r="L2553" s="27">
        <v>22.225764772943187</v>
      </c>
      <c r="M2553" s="27">
        <v>18.681255813953488</v>
      </c>
      <c r="N2553" s="34">
        <v>30.816018619934283</v>
      </c>
    </row>
    <row r="2554" spans="1:14" x14ac:dyDescent="0.35">
      <c r="A2554" s="82">
        <v>2551</v>
      </c>
      <c r="B2554" s="89" t="str">
        <f>_xlfn.XLOOKUP(A2554,'Model Modeshare by TAZ'!A:A,'Model Modeshare by TAZ'!B:B)</f>
        <v>Vallejo</v>
      </c>
      <c r="C2554" s="90" t="str">
        <f>_xlfn.XLOOKUP(A2554,'Model Modeshare by TAZ'!A:A,'Model Modeshare by TAZ'!D:D)</f>
        <v>NO</v>
      </c>
      <c r="D2554" s="27">
        <v>5453.45</v>
      </c>
      <c r="E2554" s="27">
        <v>106808.37</v>
      </c>
      <c r="F2554" s="27">
        <v>4716.59</v>
      </c>
      <c r="G2554" s="27">
        <v>56137.36</v>
      </c>
      <c r="H2554" s="27">
        <v>945.31</v>
      </c>
      <c r="I2554" s="27">
        <v>9760.16</v>
      </c>
      <c r="J2554" s="6">
        <v>3176</v>
      </c>
      <c r="K2554" s="6">
        <v>656</v>
      </c>
      <c r="L2554" s="27">
        <v>17.675491183879092</v>
      </c>
      <c r="M2554" s="27">
        <v>14.87829268292683</v>
      </c>
      <c r="N2554" s="34">
        <v>27.242437369519834</v>
      </c>
    </row>
    <row r="2555" spans="1:14" x14ac:dyDescent="0.35">
      <c r="A2555" s="82">
        <v>2552</v>
      </c>
      <c r="B2555" s="89" t="str">
        <f>_xlfn.XLOOKUP(A2555,'Model Modeshare by TAZ'!A:A,'Model Modeshare by TAZ'!B:B)</f>
        <v>Vallejo</v>
      </c>
      <c r="C2555" s="90" t="str">
        <f>_xlfn.XLOOKUP(A2555,'Model Modeshare by TAZ'!A:A,'Model Modeshare by TAZ'!D:D)</f>
        <v>NO</v>
      </c>
      <c r="D2555" s="27">
        <v>11329.26</v>
      </c>
      <c r="E2555" s="27">
        <v>292554.84000000003</v>
      </c>
      <c r="F2555" s="27">
        <v>11884.11</v>
      </c>
      <c r="G2555" s="27">
        <v>186806.81</v>
      </c>
      <c r="H2555" s="27">
        <v>1260.33</v>
      </c>
      <c r="I2555" s="27">
        <v>14190.23</v>
      </c>
      <c r="J2555" s="6">
        <v>8385</v>
      </c>
      <c r="K2555" s="6">
        <v>723</v>
      </c>
      <c r="L2555" s="27">
        <v>22.278689326177698</v>
      </c>
      <c r="M2555" s="27">
        <v>19.626874135546334</v>
      </c>
      <c r="N2555" s="34">
        <v>32.619850680720241</v>
      </c>
    </row>
    <row r="2556" spans="1:14" x14ac:dyDescent="0.35">
      <c r="A2556" s="82">
        <v>2553</v>
      </c>
      <c r="B2556" s="89" t="str">
        <f>_xlfn.XLOOKUP(A2556,'Model Modeshare by TAZ'!A:A,'Model Modeshare by TAZ'!B:B)</f>
        <v>Vallejo</v>
      </c>
      <c r="C2556" s="90" t="str">
        <f>_xlfn.XLOOKUP(A2556,'Model Modeshare by TAZ'!A:A,'Model Modeshare by TAZ'!D:D)</f>
        <v>NO</v>
      </c>
      <c r="D2556" s="27">
        <v>6353.4</v>
      </c>
      <c r="E2556" s="27">
        <v>122961.57</v>
      </c>
      <c r="F2556" s="27">
        <v>6482.64</v>
      </c>
      <c r="G2556" s="27">
        <v>73972.22</v>
      </c>
      <c r="H2556" s="27">
        <v>465.8</v>
      </c>
      <c r="I2556" s="27">
        <v>4972.79</v>
      </c>
      <c r="J2556" s="6">
        <v>4771</v>
      </c>
      <c r="K2556" s="6">
        <v>276</v>
      </c>
      <c r="L2556" s="27">
        <v>15.504552504715992</v>
      </c>
      <c r="M2556" s="27">
        <v>18.017355072463769</v>
      </c>
      <c r="N2556" s="34">
        <v>21.713166237368736</v>
      </c>
    </row>
    <row r="2557" spans="1:14" x14ac:dyDescent="0.35">
      <c r="A2557" s="82">
        <v>2554</v>
      </c>
      <c r="B2557" s="89" t="str">
        <f>_xlfn.XLOOKUP(A2557,'Model Modeshare by TAZ'!A:A,'Model Modeshare by TAZ'!B:B)</f>
        <v>Vallejo</v>
      </c>
      <c r="C2557" s="90" t="str">
        <f>_xlfn.XLOOKUP(A2557,'Model Modeshare by TAZ'!A:A,'Model Modeshare by TAZ'!D:D)</f>
        <v>NO</v>
      </c>
      <c r="D2557" s="27">
        <v>3852.37</v>
      </c>
      <c r="E2557" s="27">
        <v>85320.05</v>
      </c>
      <c r="F2557" s="27">
        <v>3638.07</v>
      </c>
      <c r="G2557" s="27">
        <v>45620.17</v>
      </c>
      <c r="H2557" s="27">
        <v>896.33</v>
      </c>
      <c r="I2557" s="27">
        <v>10305.26</v>
      </c>
      <c r="J2557" s="6">
        <v>3091</v>
      </c>
      <c r="K2557" s="6">
        <v>616</v>
      </c>
      <c r="L2557" s="27">
        <v>14.759032675509543</v>
      </c>
      <c r="M2557" s="27">
        <v>16.729318181818183</v>
      </c>
      <c r="N2557" s="34">
        <v>25.311413541947669</v>
      </c>
    </row>
    <row r="2558" spans="1:14" x14ac:dyDescent="0.35">
      <c r="A2558" s="82">
        <v>2555</v>
      </c>
      <c r="B2558" s="89" t="str">
        <f>_xlfn.XLOOKUP(A2558,'Model Modeshare by TAZ'!A:A,'Model Modeshare by TAZ'!B:B)</f>
        <v>Vallejo</v>
      </c>
      <c r="C2558" s="90" t="str">
        <f>_xlfn.XLOOKUP(A2558,'Model Modeshare by TAZ'!A:A,'Model Modeshare by TAZ'!D:D)</f>
        <v>NO</v>
      </c>
      <c r="D2558" s="27">
        <v>5277.7</v>
      </c>
      <c r="E2558" s="27">
        <v>102566.04</v>
      </c>
      <c r="F2558" s="27">
        <v>3263.94</v>
      </c>
      <c r="G2558" s="27">
        <v>33936.35</v>
      </c>
      <c r="H2558" s="27">
        <v>2219.58</v>
      </c>
      <c r="I2558" s="27">
        <v>22979.43</v>
      </c>
      <c r="J2558" s="6">
        <v>3011</v>
      </c>
      <c r="K2558" s="6">
        <v>2027</v>
      </c>
      <c r="L2558" s="27">
        <v>11.270790435071405</v>
      </c>
      <c r="M2558" s="27">
        <v>11.336669955599408</v>
      </c>
      <c r="N2558" s="34">
        <v>21.115131004366813</v>
      </c>
    </row>
    <row r="2559" spans="1:14" x14ac:dyDescent="0.35">
      <c r="A2559" s="82">
        <v>2556</v>
      </c>
      <c r="B2559" s="89" t="str">
        <f>_xlfn.XLOOKUP(A2559,'Model Modeshare by TAZ'!A:A,'Model Modeshare by TAZ'!B:B)</f>
        <v>Vallejo</v>
      </c>
      <c r="C2559" s="90" t="str">
        <f>_xlfn.XLOOKUP(A2559,'Model Modeshare by TAZ'!A:A,'Model Modeshare by TAZ'!D:D)</f>
        <v>NO</v>
      </c>
      <c r="D2559" s="27">
        <v>5847.45</v>
      </c>
      <c r="E2559" s="27">
        <v>105717.16</v>
      </c>
      <c r="F2559" s="27">
        <v>2436.92</v>
      </c>
      <c r="G2559" s="27">
        <v>24701.759999999998</v>
      </c>
      <c r="H2559" s="27">
        <v>3966.19</v>
      </c>
      <c r="I2559" s="27">
        <v>43064.85</v>
      </c>
      <c r="J2559" s="6">
        <v>2965</v>
      </c>
      <c r="K2559" s="6">
        <v>3946</v>
      </c>
      <c r="L2559" s="27">
        <v>8.3311163575042162</v>
      </c>
      <c r="M2559" s="27">
        <v>10.913545362392295</v>
      </c>
      <c r="N2559" s="34">
        <v>26.113394588337435</v>
      </c>
    </row>
    <row r="2560" spans="1:14" x14ac:dyDescent="0.35">
      <c r="A2560" s="82">
        <v>2557</v>
      </c>
      <c r="B2560" s="89" t="str">
        <f>_xlfn.XLOOKUP(A2560,'Model Modeshare by TAZ'!A:A,'Model Modeshare by TAZ'!B:B)</f>
        <v>Vallejo</v>
      </c>
      <c r="C2560" s="90" t="str">
        <f>_xlfn.XLOOKUP(A2560,'Model Modeshare by TAZ'!A:A,'Model Modeshare by TAZ'!D:D)</f>
        <v>NO</v>
      </c>
      <c r="D2560" s="27">
        <v>5632.54</v>
      </c>
      <c r="E2560" s="27">
        <v>107887.52</v>
      </c>
      <c r="F2560" s="27">
        <v>3084.1</v>
      </c>
      <c r="G2560" s="27">
        <v>33389.339999999997</v>
      </c>
      <c r="H2560" s="27">
        <v>963.03</v>
      </c>
      <c r="I2560" s="27">
        <v>10473.709999999999</v>
      </c>
      <c r="J2560" s="6">
        <v>2515</v>
      </c>
      <c r="K2560" s="6">
        <v>882</v>
      </c>
      <c r="L2560" s="27">
        <v>13.276079522862823</v>
      </c>
      <c r="M2560" s="27">
        <v>11.874954648526076</v>
      </c>
      <c r="N2560" s="34">
        <v>21.555540182513983</v>
      </c>
    </row>
    <row r="2561" spans="1:14" x14ac:dyDescent="0.35">
      <c r="A2561" s="82">
        <v>2558</v>
      </c>
      <c r="B2561" s="89" t="str">
        <f>_xlfn.XLOOKUP(A2561,'Model Modeshare by TAZ'!A:A,'Model Modeshare by TAZ'!B:B)</f>
        <v>Vallejo</v>
      </c>
      <c r="C2561" s="90" t="str">
        <f>_xlfn.XLOOKUP(A2561,'Model Modeshare by TAZ'!A:A,'Model Modeshare by TAZ'!D:D)</f>
        <v>NO</v>
      </c>
      <c r="D2561" s="27">
        <v>4277.18</v>
      </c>
      <c r="E2561" s="27">
        <v>80606.81</v>
      </c>
      <c r="F2561" s="27">
        <v>3925.81</v>
      </c>
      <c r="G2561" s="27">
        <v>42420.21</v>
      </c>
      <c r="H2561" s="27">
        <v>800.2</v>
      </c>
      <c r="I2561" s="27">
        <v>8037.56</v>
      </c>
      <c r="J2561" s="6">
        <v>3344</v>
      </c>
      <c r="K2561" s="6">
        <v>562</v>
      </c>
      <c r="L2561" s="27">
        <v>12.685469497607656</v>
      </c>
      <c r="M2561" s="27">
        <v>14.301708185053382</v>
      </c>
      <c r="N2561" s="34">
        <v>20.314336917562724</v>
      </c>
    </row>
    <row r="2562" spans="1:14" x14ac:dyDescent="0.35">
      <c r="A2562" s="82">
        <v>2559</v>
      </c>
      <c r="B2562" s="89" t="str">
        <f>_xlfn.XLOOKUP(A2562,'Model Modeshare by TAZ'!A:A,'Model Modeshare by TAZ'!B:B)</f>
        <v>Vallejo</v>
      </c>
      <c r="C2562" s="90" t="str">
        <f>_xlfn.XLOOKUP(A2562,'Model Modeshare by TAZ'!A:A,'Model Modeshare by TAZ'!D:D)</f>
        <v>NO</v>
      </c>
      <c r="D2562" s="27">
        <v>3654.55</v>
      </c>
      <c r="E2562" s="27">
        <v>64775.09</v>
      </c>
      <c r="F2562" s="27">
        <v>4097.95</v>
      </c>
      <c r="G2562" s="27">
        <v>42452.35</v>
      </c>
      <c r="H2562" s="27">
        <v>427.43</v>
      </c>
      <c r="I2562" s="27">
        <v>4254.25</v>
      </c>
      <c r="J2562" s="6">
        <v>3139</v>
      </c>
      <c r="K2562" s="6">
        <v>267</v>
      </c>
      <c r="L2562" s="27">
        <v>13.524163746416056</v>
      </c>
      <c r="M2562" s="27">
        <v>15.933520599250937</v>
      </c>
      <c r="N2562" s="34">
        <v>21.529315913094539</v>
      </c>
    </row>
    <row r="2563" spans="1:14" x14ac:dyDescent="0.35">
      <c r="A2563" s="82">
        <v>2560</v>
      </c>
      <c r="B2563" s="89" t="str">
        <f>_xlfn.XLOOKUP(A2563,'Model Modeshare by TAZ'!A:A,'Model Modeshare by TAZ'!B:B)</f>
        <v>Vallejo</v>
      </c>
      <c r="C2563" s="90" t="str">
        <f>_xlfn.XLOOKUP(A2563,'Model Modeshare by TAZ'!A:A,'Model Modeshare by TAZ'!D:D)</f>
        <v>NO</v>
      </c>
      <c r="D2563" s="27">
        <v>2999.79</v>
      </c>
      <c r="E2563" s="27">
        <v>55956.75</v>
      </c>
      <c r="F2563" s="27">
        <v>2710.79</v>
      </c>
      <c r="G2563" s="27">
        <v>29772.53</v>
      </c>
      <c r="H2563" s="27">
        <v>649.38</v>
      </c>
      <c r="I2563" s="27">
        <v>6329.78</v>
      </c>
      <c r="J2563" s="6">
        <v>2107</v>
      </c>
      <c r="K2563" s="6">
        <v>448</v>
      </c>
      <c r="L2563" s="27">
        <v>14.130294257237779</v>
      </c>
      <c r="M2563" s="27">
        <v>14.128973214285713</v>
      </c>
      <c r="N2563" s="34">
        <v>21.386759295499022</v>
      </c>
    </row>
    <row r="2564" spans="1:14" x14ac:dyDescent="0.35">
      <c r="A2564" s="82">
        <v>2561</v>
      </c>
      <c r="B2564" s="89" t="str">
        <f>_xlfn.XLOOKUP(A2564,'Model Modeshare by TAZ'!A:A,'Model Modeshare by TAZ'!B:B)</f>
        <v>Vallejo</v>
      </c>
      <c r="C2564" s="90" t="str">
        <f>_xlfn.XLOOKUP(A2564,'Model Modeshare by TAZ'!A:A,'Model Modeshare by TAZ'!D:D)</f>
        <v>NO</v>
      </c>
      <c r="D2564" s="27">
        <v>7876.99</v>
      </c>
      <c r="E2564" s="27">
        <v>133787.66</v>
      </c>
      <c r="F2564" s="27">
        <v>4655.3900000000003</v>
      </c>
      <c r="G2564" s="27">
        <v>47020.41</v>
      </c>
      <c r="H2564" s="27">
        <v>1216.5999999999999</v>
      </c>
      <c r="I2564" s="27">
        <v>11953.53</v>
      </c>
      <c r="J2564" s="6">
        <v>4021</v>
      </c>
      <c r="K2564" s="6">
        <v>1049</v>
      </c>
      <c r="L2564" s="27">
        <v>11.693710519771201</v>
      </c>
      <c r="M2564" s="27">
        <v>11.395166825548142</v>
      </c>
      <c r="N2564" s="34">
        <v>22.210589743589743</v>
      </c>
    </row>
    <row r="2565" spans="1:14" x14ac:dyDescent="0.35">
      <c r="A2565" s="82">
        <v>2562</v>
      </c>
      <c r="B2565" s="89" t="str">
        <f>_xlfn.XLOOKUP(A2565,'Model Modeshare by TAZ'!A:A,'Model Modeshare by TAZ'!B:B)</f>
        <v>Vallejo</v>
      </c>
      <c r="C2565" s="90" t="str">
        <f>_xlfn.XLOOKUP(A2565,'Model Modeshare by TAZ'!A:A,'Model Modeshare by TAZ'!D:D)</f>
        <v>NO</v>
      </c>
      <c r="D2565" s="27">
        <v>8908.06</v>
      </c>
      <c r="E2565" s="27">
        <v>168853.66</v>
      </c>
      <c r="F2565" s="27">
        <v>8969.42</v>
      </c>
      <c r="G2565" s="27">
        <v>98800.45</v>
      </c>
      <c r="H2565" s="27">
        <v>1744.69</v>
      </c>
      <c r="I2565" s="27">
        <v>16998.09</v>
      </c>
      <c r="J2565" s="6">
        <v>6652</v>
      </c>
      <c r="K2565" s="6">
        <v>1049</v>
      </c>
      <c r="L2565" s="27">
        <v>14.852743535778712</v>
      </c>
      <c r="M2565" s="27">
        <v>16.204089609151573</v>
      </c>
      <c r="N2565" s="34">
        <v>23.503156732891831</v>
      </c>
    </row>
    <row r="2566" spans="1:14" x14ac:dyDescent="0.35">
      <c r="A2566" s="82">
        <v>2563</v>
      </c>
      <c r="B2566" s="89" t="str">
        <f>_xlfn.XLOOKUP(A2566,'Model Modeshare by TAZ'!A:A,'Model Modeshare by TAZ'!B:B)</f>
        <v>Vallejo</v>
      </c>
      <c r="C2566" s="90" t="str">
        <f>_xlfn.XLOOKUP(A2566,'Model Modeshare by TAZ'!A:A,'Model Modeshare by TAZ'!D:D)</f>
        <v>NO</v>
      </c>
      <c r="D2566" s="27">
        <v>5124.59</v>
      </c>
      <c r="E2566" s="27">
        <v>89961.14</v>
      </c>
      <c r="F2566" s="27">
        <v>3957.15</v>
      </c>
      <c r="G2566" s="27">
        <v>41199.980000000003</v>
      </c>
      <c r="H2566" s="27">
        <v>1053.22</v>
      </c>
      <c r="I2566" s="27">
        <v>10452.76</v>
      </c>
      <c r="J2566" s="6">
        <v>3195</v>
      </c>
      <c r="K2566" s="6">
        <v>764</v>
      </c>
      <c r="L2566" s="27">
        <v>12.89514241001565</v>
      </c>
      <c r="M2566" s="27">
        <v>13.681623036649215</v>
      </c>
      <c r="N2566" s="34">
        <v>21.240992674917909</v>
      </c>
    </row>
    <row r="2567" spans="1:14" x14ac:dyDescent="0.35">
      <c r="A2567" s="82">
        <v>2564</v>
      </c>
      <c r="B2567" s="89" t="str">
        <f>_xlfn.XLOOKUP(A2567,'Model Modeshare by TAZ'!A:A,'Model Modeshare by TAZ'!B:B)</f>
        <v>Vallejo</v>
      </c>
      <c r="C2567" s="90" t="str">
        <f>_xlfn.XLOOKUP(A2567,'Model Modeshare by TAZ'!A:A,'Model Modeshare by TAZ'!D:D)</f>
        <v>NO</v>
      </c>
      <c r="D2567" s="27">
        <v>5562.43</v>
      </c>
      <c r="E2567" s="27">
        <v>102707.9</v>
      </c>
      <c r="F2567" s="27">
        <v>3549.97</v>
      </c>
      <c r="G2567" s="27">
        <v>37486.800000000003</v>
      </c>
      <c r="H2567" s="27">
        <v>1721.06</v>
      </c>
      <c r="I2567" s="27">
        <v>18278.75</v>
      </c>
      <c r="J2567" s="6">
        <v>3107</v>
      </c>
      <c r="K2567" s="6">
        <v>1631</v>
      </c>
      <c r="L2567" s="27">
        <v>12.065271966527197</v>
      </c>
      <c r="M2567" s="27">
        <v>11.207081545064378</v>
      </c>
      <c r="N2567" s="34">
        <v>23.07754537779654</v>
      </c>
    </row>
    <row r="2568" spans="1:14" x14ac:dyDescent="0.35">
      <c r="A2568" s="82">
        <v>2565</v>
      </c>
      <c r="B2568" s="89" t="str">
        <f>_xlfn.XLOOKUP(A2568,'Model Modeshare by TAZ'!A:A,'Model Modeshare by TAZ'!B:B)</f>
        <v>Vallejo</v>
      </c>
      <c r="C2568" s="90" t="str">
        <f>_xlfn.XLOOKUP(A2568,'Model Modeshare by TAZ'!A:A,'Model Modeshare by TAZ'!D:D)</f>
        <v>NO</v>
      </c>
      <c r="D2568" s="27">
        <v>4092.34</v>
      </c>
      <c r="E2568" s="27">
        <v>66918.559999999998</v>
      </c>
      <c r="F2568" s="27">
        <v>3993.53</v>
      </c>
      <c r="G2568" s="27">
        <v>36841.07</v>
      </c>
      <c r="H2568" s="27">
        <v>700.07</v>
      </c>
      <c r="I2568" s="27">
        <v>6728.49</v>
      </c>
      <c r="J2568" s="6">
        <v>2990</v>
      </c>
      <c r="K2568" s="6">
        <v>434</v>
      </c>
      <c r="L2568" s="27">
        <v>12.321428093645485</v>
      </c>
      <c r="M2568" s="27">
        <v>15.503433179723501</v>
      </c>
      <c r="N2568" s="34">
        <v>19.396515771028035</v>
      </c>
    </row>
    <row r="2569" spans="1:14" x14ac:dyDescent="0.35">
      <c r="A2569" s="82">
        <v>2566</v>
      </c>
      <c r="B2569" s="89" t="str">
        <f>_xlfn.XLOOKUP(A2569,'Model Modeshare by TAZ'!A:A,'Model Modeshare by TAZ'!B:B)</f>
        <v>Vallejo</v>
      </c>
      <c r="C2569" s="90" t="str">
        <f>_xlfn.XLOOKUP(A2569,'Model Modeshare by TAZ'!A:A,'Model Modeshare by TAZ'!D:D)</f>
        <v>NO</v>
      </c>
      <c r="D2569" s="27">
        <v>6937.72</v>
      </c>
      <c r="E2569" s="27">
        <v>121245.91</v>
      </c>
      <c r="F2569" s="27">
        <v>4090.43</v>
      </c>
      <c r="G2569" s="27">
        <v>40187.53</v>
      </c>
      <c r="H2569" s="27">
        <v>2466.69</v>
      </c>
      <c r="I2569" s="27">
        <v>25872.28</v>
      </c>
      <c r="J2569" s="6">
        <v>3633</v>
      </c>
      <c r="K2569" s="6">
        <v>2375</v>
      </c>
      <c r="L2569" s="27">
        <v>11.061802917698872</v>
      </c>
      <c r="M2569" s="27">
        <v>10.893591578947367</v>
      </c>
      <c r="N2569" s="34">
        <v>21.445833888149135</v>
      </c>
    </row>
    <row r="2570" spans="1:14" x14ac:dyDescent="0.35">
      <c r="A2570" s="82">
        <v>2567</v>
      </c>
      <c r="B2570" s="89" t="str">
        <f>_xlfn.XLOOKUP(A2570,'Model Modeshare by TAZ'!A:A,'Model Modeshare by TAZ'!B:B)</f>
        <v>Vallejo</v>
      </c>
      <c r="C2570" s="90" t="str">
        <f>_xlfn.XLOOKUP(A2570,'Model Modeshare by TAZ'!A:A,'Model Modeshare by TAZ'!D:D)</f>
        <v>NO</v>
      </c>
      <c r="D2570" s="27">
        <v>4003.6</v>
      </c>
      <c r="E2570" s="27">
        <v>73444.58</v>
      </c>
      <c r="F2570" s="27">
        <v>3034.55</v>
      </c>
      <c r="G2570" s="27">
        <v>30801.87</v>
      </c>
      <c r="H2570" s="27">
        <v>990.16</v>
      </c>
      <c r="I2570" s="27">
        <v>10648.16</v>
      </c>
      <c r="J2570" s="6">
        <v>2399</v>
      </c>
      <c r="K2570" s="6">
        <v>870</v>
      </c>
      <c r="L2570" s="27">
        <v>12.839462275948311</v>
      </c>
      <c r="M2570" s="27">
        <v>12.239264367816093</v>
      </c>
      <c r="N2570" s="34">
        <v>21.824784337717958</v>
      </c>
    </row>
    <row r="2571" spans="1:14" x14ac:dyDescent="0.35">
      <c r="A2571" s="82">
        <v>2568</v>
      </c>
      <c r="B2571" s="89" t="str">
        <f>_xlfn.XLOOKUP(A2571,'Model Modeshare by TAZ'!A:A,'Model Modeshare by TAZ'!B:B)</f>
        <v>Vallejo</v>
      </c>
      <c r="C2571" s="90" t="str">
        <f>_xlfn.XLOOKUP(A2571,'Model Modeshare by TAZ'!A:A,'Model Modeshare by TAZ'!D:D)</f>
        <v>NO</v>
      </c>
      <c r="D2571" s="27">
        <v>4783.49</v>
      </c>
      <c r="E2571" s="27">
        <v>82867.88</v>
      </c>
      <c r="F2571" s="27">
        <v>4317.7700000000004</v>
      </c>
      <c r="G2571" s="27">
        <v>41863.910000000003</v>
      </c>
      <c r="H2571" s="27">
        <v>680.04</v>
      </c>
      <c r="I2571" s="27">
        <v>7290.11</v>
      </c>
      <c r="J2571" s="6">
        <v>3408</v>
      </c>
      <c r="K2571" s="6">
        <v>416</v>
      </c>
      <c r="L2571" s="27">
        <v>12.284011150234743</v>
      </c>
      <c r="M2571" s="27">
        <v>17.524302884615384</v>
      </c>
      <c r="N2571" s="34">
        <v>21.150896966527196</v>
      </c>
    </row>
    <row r="2572" spans="1:14" x14ac:dyDescent="0.35">
      <c r="A2572" s="82">
        <v>2569</v>
      </c>
      <c r="B2572" s="89" t="str">
        <f>_xlfn.XLOOKUP(A2572,'Model Modeshare by TAZ'!A:A,'Model Modeshare by TAZ'!B:B)</f>
        <v>Vallejo</v>
      </c>
      <c r="C2572" s="90" t="str">
        <f>_xlfn.XLOOKUP(A2572,'Model Modeshare by TAZ'!A:A,'Model Modeshare by TAZ'!D:D)</f>
        <v>NO</v>
      </c>
      <c r="D2572" s="27">
        <v>3387.35</v>
      </c>
      <c r="E2572" s="27">
        <v>66261.98</v>
      </c>
      <c r="F2572" s="27">
        <v>3587.85</v>
      </c>
      <c r="G2572" s="27">
        <v>38885.620000000003</v>
      </c>
      <c r="H2572" s="27">
        <v>133.84</v>
      </c>
      <c r="I2572" s="27">
        <v>1558.43</v>
      </c>
      <c r="J2572" s="6">
        <v>2641</v>
      </c>
      <c r="K2572" s="6">
        <v>83</v>
      </c>
      <c r="L2572" s="27">
        <v>14.723824308973875</v>
      </c>
      <c r="M2572" s="27">
        <v>18.776265060240963</v>
      </c>
      <c r="N2572" s="34">
        <v>22.647973568281937</v>
      </c>
    </row>
    <row r="2573" spans="1:14" x14ac:dyDescent="0.35">
      <c r="A2573" s="82">
        <v>2570</v>
      </c>
      <c r="B2573" s="89" t="str">
        <f>_xlfn.XLOOKUP(A2573,'Model Modeshare by TAZ'!A:A,'Model Modeshare by TAZ'!B:B)</f>
        <v>Unincorporated</v>
      </c>
      <c r="C2573" s="90" t="str">
        <f>_xlfn.XLOOKUP(A2573,'Model Modeshare by TAZ'!A:A,'Model Modeshare by TAZ'!D:D)</f>
        <v>NO</v>
      </c>
      <c r="D2573" s="27">
        <v>4301.3</v>
      </c>
      <c r="E2573" s="27">
        <v>119844.76</v>
      </c>
      <c r="F2573" s="27">
        <v>866.15</v>
      </c>
      <c r="G2573" s="27">
        <v>11958.87</v>
      </c>
      <c r="H2573" s="27">
        <v>1964.31</v>
      </c>
      <c r="I2573" s="27">
        <v>25187.23</v>
      </c>
      <c r="J2573" s="6">
        <v>774</v>
      </c>
      <c r="K2573" s="6">
        <v>1507</v>
      </c>
      <c r="L2573" s="27">
        <v>15.450736434108528</v>
      </c>
      <c r="M2573" s="27">
        <v>16.713490378234905</v>
      </c>
      <c r="N2573" s="34">
        <v>31.146975010960105</v>
      </c>
    </row>
    <row r="2574" spans="1:14" x14ac:dyDescent="0.35">
      <c r="A2574" s="82">
        <v>2571</v>
      </c>
      <c r="B2574" s="89" t="str">
        <f>_xlfn.XLOOKUP(A2574,'Model Modeshare by TAZ'!A:A,'Model Modeshare by TAZ'!B:B)</f>
        <v>Vallejo</v>
      </c>
      <c r="C2574" s="90" t="str">
        <f>_xlfn.XLOOKUP(A2574,'Model Modeshare by TAZ'!A:A,'Model Modeshare by TAZ'!D:D)</f>
        <v>NO</v>
      </c>
      <c r="D2574" s="27">
        <v>3972.82</v>
      </c>
      <c r="E2574" s="27">
        <v>107043.84</v>
      </c>
      <c r="F2574" s="27">
        <v>4991.1499999999996</v>
      </c>
      <c r="G2574" s="27">
        <v>76642.73</v>
      </c>
      <c r="H2574" s="27">
        <v>87.16</v>
      </c>
      <c r="I2574" s="27">
        <v>1097</v>
      </c>
      <c r="J2574" s="6">
        <v>3713</v>
      </c>
      <c r="K2574" s="6">
        <v>50</v>
      </c>
      <c r="L2574" s="27">
        <v>20.641726366819281</v>
      </c>
      <c r="M2574" s="27">
        <v>21.94</v>
      </c>
      <c r="N2574" s="34">
        <v>29.060215253786872</v>
      </c>
    </row>
    <row r="2575" spans="1:14" x14ac:dyDescent="0.35">
      <c r="A2575" s="82">
        <v>2572</v>
      </c>
      <c r="B2575" s="89" t="str">
        <f>_xlfn.XLOOKUP(A2575,'Model Modeshare by TAZ'!A:A,'Model Modeshare by TAZ'!B:B)</f>
        <v>Vallejo</v>
      </c>
      <c r="C2575" s="90" t="str">
        <f>_xlfn.XLOOKUP(A2575,'Model Modeshare by TAZ'!A:A,'Model Modeshare by TAZ'!D:D)</f>
        <v>NO</v>
      </c>
      <c r="D2575" s="27">
        <v>7481.4</v>
      </c>
      <c r="E2575" s="27">
        <v>171713.83</v>
      </c>
      <c r="F2575" s="27">
        <v>6180.59</v>
      </c>
      <c r="G2575" s="27">
        <v>78248.94</v>
      </c>
      <c r="H2575" s="27">
        <v>1295.93</v>
      </c>
      <c r="I2575" s="27">
        <v>14763.27</v>
      </c>
      <c r="J2575" s="6">
        <v>5041</v>
      </c>
      <c r="K2575" s="6">
        <v>850</v>
      </c>
      <c r="L2575" s="27">
        <v>15.522503471533426</v>
      </c>
      <c r="M2575" s="27">
        <v>17.368552941176471</v>
      </c>
      <c r="N2575" s="34">
        <v>26.679108810049229</v>
      </c>
    </row>
    <row r="2576" spans="1:14" x14ac:dyDescent="0.35">
      <c r="A2576" s="82">
        <v>2573</v>
      </c>
      <c r="B2576" s="89" t="str">
        <f>_xlfn.XLOOKUP(A2576,'Model Modeshare by TAZ'!A:A,'Model Modeshare by TAZ'!B:B)</f>
        <v>Vallejo</v>
      </c>
      <c r="C2576" s="90" t="str">
        <f>_xlfn.XLOOKUP(A2576,'Model Modeshare by TAZ'!A:A,'Model Modeshare by TAZ'!D:D)</f>
        <v>NO</v>
      </c>
      <c r="D2576" s="27">
        <v>10159.52</v>
      </c>
      <c r="E2576" s="27">
        <v>158472.82</v>
      </c>
      <c r="F2576" s="27">
        <v>2916.54</v>
      </c>
      <c r="G2576" s="27">
        <v>25311.7</v>
      </c>
      <c r="H2576" s="27">
        <v>4245.2299999999996</v>
      </c>
      <c r="I2576" s="27">
        <v>42393.52</v>
      </c>
      <c r="J2576" s="6">
        <v>2617</v>
      </c>
      <c r="K2576" s="6">
        <v>3935</v>
      </c>
      <c r="L2576" s="27">
        <v>9.6720290408865122</v>
      </c>
      <c r="M2576" s="27">
        <v>10.773448538754764</v>
      </c>
      <c r="N2576" s="34">
        <v>28.901923076923076</v>
      </c>
    </row>
    <row r="2577" spans="1:14" x14ac:dyDescent="0.35">
      <c r="A2577" s="82">
        <v>2574</v>
      </c>
      <c r="B2577" s="89" t="str">
        <f>_xlfn.XLOOKUP(A2577,'Model Modeshare by TAZ'!A:A,'Model Modeshare by TAZ'!B:B)</f>
        <v>Vallejo</v>
      </c>
      <c r="C2577" s="90" t="str">
        <f>_xlfn.XLOOKUP(A2577,'Model Modeshare by TAZ'!A:A,'Model Modeshare by TAZ'!D:D)</f>
        <v>NO</v>
      </c>
      <c r="D2577" s="27">
        <v>12715.86</v>
      </c>
      <c r="E2577" s="27">
        <v>203914.55</v>
      </c>
      <c r="F2577" s="27">
        <v>6709.65</v>
      </c>
      <c r="G2577" s="27">
        <v>58257.98</v>
      </c>
      <c r="H2577" s="27">
        <v>3230.77</v>
      </c>
      <c r="I2577" s="27">
        <v>32525.77</v>
      </c>
      <c r="J2577" s="6">
        <v>5448</v>
      </c>
      <c r="K2577" s="6">
        <v>3114</v>
      </c>
      <c r="L2577" s="27">
        <v>10.69346182085169</v>
      </c>
      <c r="M2577" s="27">
        <v>10.445012845215157</v>
      </c>
      <c r="N2577" s="34">
        <v>20.245421630460172</v>
      </c>
    </row>
    <row r="2578" spans="1:14" x14ac:dyDescent="0.35">
      <c r="A2578" s="82">
        <v>2575</v>
      </c>
      <c r="B2578" s="89" t="str">
        <f>_xlfn.XLOOKUP(A2578,'Model Modeshare by TAZ'!A:A,'Model Modeshare by TAZ'!B:B)</f>
        <v>Vallejo</v>
      </c>
      <c r="C2578" s="90" t="str">
        <f>_xlfn.XLOOKUP(A2578,'Model Modeshare by TAZ'!A:A,'Model Modeshare by TAZ'!D:D)</f>
        <v>NO</v>
      </c>
      <c r="D2578" s="27">
        <v>12164.76</v>
      </c>
      <c r="E2578" s="27">
        <v>215042.94</v>
      </c>
      <c r="F2578" s="27">
        <v>5905.32</v>
      </c>
      <c r="G2578" s="27">
        <v>59000.68</v>
      </c>
      <c r="H2578" s="27">
        <v>2304.4</v>
      </c>
      <c r="I2578" s="27">
        <v>23135.56</v>
      </c>
      <c r="J2578" s="6">
        <v>4855</v>
      </c>
      <c r="K2578" s="6">
        <v>1954</v>
      </c>
      <c r="L2578" s="27">
        <v>12.152560247167868</v>
      </c>
      <c r="M2578" s="27">
        <v>11.840102354145344</v>
      </c>
      <c r="N2578" s="34">
        <v>23.43615655749743</v>
      </c>
    </row>
    <row r="2579" spans="1:14" x14ac:dyDescent="0.35">
      <c r="A2579" s="82">
        <v>2576</v>
      </c>
      <c r="B2579" s="89" t="str">
        <f>_xlfn.XLOOKUP(A2579,'Model Modeshare by TAZ'!A:A,'Model Modeshare by TAZ'!B:B)</f>
        <v>Vallejo</v>
      </c>
      <c r="C2579" s="90" t="str">
        <f>_xlfn.XLOOKUP(A2579,'Model Modeshare by TAZ'!A:A,'Model Modeshare by TAZ'!D:D)</f>
        <v>NO</v>
      </c>
      <c r="D2579" s="27">
        <v>6819</v>
      </c>
      <c r="E2579" s="27">
        <v>133341.39000000001</v>
      </c>
      <c r="F2579" s="27">
        <v>7621.4</v>
      </c>
      <c r="G2579" s="27">
        <v>88745.72</v>
      </c>
      <c r="H2579" s="27">
        <v>1563.33</v>
      </c>
      <c r="I2579" s="27">
        <v>16382.65</v>
      </c>
      <c r="J2579" s="6">
        <v>5918</v>
      </c>
      <c r="K2579" s="6">
        <v>1100</v>
      </c>
      <c r="L2579" s="27">
        <v>14.995897262588713</v>
      </c>
      <c r="M2579" s="27">
        <v>14.893318181818181</v>
      </c>
      <c r="N2579" s="34">
        <v>21.7677329723568</v>
      </c>
    </row>
    <row r="2580" spans="1:14" x14ac:dyDescent="0.35">
      <c r="A2580" s="82">
        <v>2577</v>
      </c>
      <c r="B2580" s="89" t="str">
        <f>_xlfn.XLOOKUP(A2580,'Model Modeshare by TAZ'!A:A,'Model Modeshare by TAZ'!B:B)</f>
        <v>Vallejo</v>
      </c>
      <c r="C2580" s="90" t="str">
        <f>_xlfn.XLOOKUP(A2580,'Model Modeshare by TAZ'!A:A,'Model Modeshare by TAZ'!D:D)</f>
        <v>NO</v>
      </c>
      <c r="D2580" s="27">
        <v>6760.59</v>
      </c>
      <c r="E2580" s="27">
        <v>134983.70000000001</v>
      </c>
      <c r="F2580" s="27">
        <v>7278.71</v>
      </c>
      <c r="G2580" s="27">
        <v>81890.820000000007</v>
      </c>
      <c r="H2580" s="27">
        <v>270.61</v>
      </c>
      <c r="I2580" s="27">
        <v>2828.62</v>
      </c>
      <c r="J2580" s="6">
        <v>5389</v>
      </c>
      <c r="K2580" s="6">
        <v>154</v>
      </c>
      <c r="L2580" s="27">
        <v>15.195921321209873</v>
      </c>
      <c r="M2580" s="27">
        <v>18.367662337662338</v>
      </c>
      <c r="N2580" s="34">
        <v>21.332065668410607</v>
      </c>
    </row>
    <row r="2581" spans="1:14" x14ac:dyDescent="0.35">
      <c r="A2581" s="82">
        <v>2578</v>
      </c>
      <c r="B2581" s="89" t="str">
        <f>_xlfn.XLOOKUP(A2581,'Model Modeshare by TAZ'!A:A,'Model Modeshare by TAZ'!B:B)</f>
        <v>Vallejo</v>
      </c>
      <c r="C2581" s="90" t="str">
        <f>_xlfn.XLOOKUP(A2581,'Model Modeshare by TAZ'!A:A,'Model Modeshare by TAZ'!D:D)</f>
        <v>NO</v>
      </c>
      <c r="D2581" s="27">
        <v>21373.94</v>
      </c>
      <c r="E2581" s="27">
        <v>492906.9</v>
      </c>
      <c r="F2581" s="27">
        <v>17687.86</v>
      </c>
      <c r="G2581" s="27">
        <v>231047.56</v>
      </c>
      <c r="H2581" s="27">
        <v>3803.58</v>
      </c>
      <c r="I2581" s="27">
        <v>40032.660000000003</v>
      </c>
      <c r="J2581" s="6">
        <v>11252</v>
      </c>
      <c r="K2581" s="6">
        <v>2208</v>
      </c>
      <c r="L2581" s="27">
        <v>20.533910415926059</v>
      </c>
      <c r="M2581" s="27">
        <v>18.130733695652175</v>
      </c>
      <c r="N2581" s="34">
        <v>29.887260772659733</v>
      </c>
    </row>
    <row r="2582" spans="1:14" x14ac:dyDescent="0.35">
      <c r="A2582" s="82">
        <v>2579</v>
      </c>
      <c r="B2582" s="89" t="str">
        <f>_xlfn.XLOOKUP(A2582,'Model Modeshare by TAZ'!A:A,'Model Modeshare by TAZ'!B:B)</f>
        <v>Unincorporated</v>
      </c>
      <c r="C2582" s="90" t="str">
        <f>_xlfn.XLOOKUP(A2582,'Model Modeshare by TAZ'!A:A,'Model Modeshare by TAZ'!D:D)</f>
        <v>NO</v>
      </c>
      <c r="D2582" s="27">
        <v>18840.349999999999</v>
      </c>
      <c r="E2582" s="27">
        <v>628119.52</v>
      </c>
      <c r="F2582" s="27">
        <v>15594.31</v>
      </c>
      <c r="G2582" s="27">
        <v>286398.59000000003</v>
      </c>
      <c r="H2582" s="27">
        <v>3412.64</v>
      </c>
      <c r="I2582" s="27">
        <v>47677.01</v>
      </c>
      <c r="J2582" s="6">
        <v>9992</v>
      </c>
      <c r="K2582" s="6">
        <v>2169</v>
      </c>
      <c r="L2582" s="27">
        <v>28.662789231385112</v>
      </c>
      <c r="M2582" s="27">
        <v>21.981101890272015</v>
      </c>
      <c r="N2582" s="34">
        <v>43.525852314776749</v>
      </c>
    </row>
    <row r="2583" spans="1:14" x14ac:dyDescent="0.35">
      <c r="A2583" s="82">
        <v>2580</v>
      </c>
      <c r="B2583" s="89" t="str">
        <f>_xlfn.XLOOKUP(A2583,'Model Modeshare by TAZ'!A:A,'Model Modeshare by TAZ'!B:B)</f>
        <v>Unincorporated</v>
      </c>
      <c r="C2583" s="90" t="str">
        <f>_xlfn.XLOOKUP(A2583,'Model Modeshare by TAZ'!A:A,'Model Modeshare by TAZ'!D:D)</f>
        <v>NO</v>
      </c>
      <c r="D2583" s="27">
        <v>19934.16</v>
      </c>
      <c r="E2583" s="27">
        <v>668780.25</v>
      </c>
      <c r="F2583" s="27">
        <v>13010.79</v>
      </c>
      <c r="G2583" s="27">
        <v>239886.82</v>
      </c>
      <c r="H2583" s="27">
        <v>3269.65</v>
      </c>
      <c r="I2583" s="27">
        <v>40734.199999999997</v>
      </c>
      <c r="J2583" s="6">
        <v>8890</v>
      </c>
      <c r="K2583" s="6">
        <v>2103</v>
      </c>
      <c r="L2583" s="27">
        <v>26.983894263217099</v>
      </c>
      <c r="M2583" s="27">
        <v>19.369567284831192</v>
      </c>
      <c r="N2583" s="34">
        <v>42.812590739561536</v>
      </c>
    </row>
    <row r="2584" spans="1:14" x14ac:dyDescent="0.35">
      <c r="A2584" s="82">
        <v>2581</v>
      </c>
      <c r="B2584" s="89" t="str">
        <f>_xlfn.XLOOKUP(A2584,'Model Modeshare by TAZ'!A:A,'Model Modeshare by TAZ'!B:B)</f>
        <v>Unincorporated</v>
      </c>
      <c r="C2584" s="90" t="str">
        <f>_xlfn.XLOOKUP(A2584,'Model Modeshare by TAZ'!A:A,'Model Modeshare by TAZ'!D:D)</f>
        <v>NO</v>
      </c>
      <c r="D2584" s="27">
        <v>24743.3</v>
      </c>
      <c r="E2584" s="27">
        <v>575216.12</v>
      </c>
      <c r="F2584" s="27">
        <v>7130.8</v>
      </c>
      <c r="G2584" s="27">
        <v>91949.440000000002</v>
      </c>
      <c r="H2584" s="27">
        <v>6830.55</v>
      </c>
      <c r="I2584" s="27">
        <v>71800.509999999995</v>
      </c>
      <c r="J2584" s="6">
        <v>4786</v>
      </c>
      <c r="K2584" s="6">
        <v>5513</v>
      </c>
      <c r="L2584" s="27">
        <v>19.212168825741749</v>
      </c>
      <c r="M2584" s="27">
        <v>13.023854525666605</v>
      </c>
      <c r="N2584" s="34">
        <v>54.180999126128746</v>
      </c>
    </row>
    <row r="2585" spans="1:14" x14ac:dyDescent="0.35">
      <c r="A2585" s="82">
        <v>2582</v>
      </c>
      <c r="B2585" s="89" t="str">
        <f>_xlfn.XLOOKUP(A2585,'Model Modeshare by TAZ'!A:A,'Model Modeshare by TAZ'!B:B)</f>
        <v>Unincorporated</v>
      </c>
      <c r="C2585" s="90" t="str">
        <f>_xlfn.XLOOKUP(A2585,'Model Modeshare by TAZ'!A:A,'Model Modeshare by TAZ'!D:D)</f>
        <v>NO</v>
      </c>
      <c r="D2585" s="27">
        <v>18795.150000000001</v>
      </c>
      <c r="E2585" s="27">
        <v>379885.94</v>
      </c>
      <c r="F2585" s="27">
        <v>8055.13</v>
      </c>
      <c r="G2585" s="27">
        <v>86334.37</v>
      </c>
      <c r="H2585" s="27">
        <v>4898.9799999999996</v>
      </c>
      <c r="I2585" s="27">
        <v>45769.74</v>
      </c>
      <c r="J2585" s="6">
        <v>6530</v>
      </c>
      <c r="K2585" s="6">
        <v>4176</v>
      </c>
      <c r="L2585" s="27">
        <v>13.22118989280245</v>
      </c>
      <c r="M2585" s="27">
        <v>10.960186781609195</v>
      </c>
      <c r="N2585" s="34">
        <v>24.314980384830935</v>
      </c>
    </row>
    <row r="2586" spans="1:14" x14ac:dyDescent="0.35">
      <c r="A2586" s="82">
        <v>2583</v>
      </c>
      <c r="B2586" s="89" t="str">
        <f>_xlfn.XLOOKUP(A2586,'Model Modeshare by TAZ'!A:A,'Model Modeshare by TAZ'!B:B)</f>
        <v>Unincorporated</v>
      </c>
      <c r="C2586" s="90" t="str">
        <f>_xlfn.XLOOKUP(A2586,'Model Modeshare by TAZ'!A:A,'Model Modeshare by TAZ'!D:D)</f>
        <v>NO</v>
      </c>
      <c r="D2586" s="27">
        <v>11249.65</v>
      </c>
      <c r="E2586" s="27">
        <v>221196.92</v>
      </c>
      <c r="F2586" s="27">
        <v>10694.27</v>
      </c>
      <c r="G2586" s="27">
        <v>130907.16</v>
      </c>
      <c r="H2586" s="27">
        <v>2897.96</v>
      </c>
      <c r="I2586" s="27">
        <v>26941.81</v>
      </c>
      <c r="J2586" s="6">
        <v>7322</v>
      </c>
      <c r="K2586" s="6">
        <v>1856</v>
      </c>
      <c r="L2586" s="27">
        <v>17.878606937995084</v>
      </c>
      <c r="M2586" s="27">
        <v>14.516061422413793</v>
      </c>
      <c r="N2586" s="34">
        <v>26.005934844192634</v>
      </c>
    </row>
    <row r="2587" spans="1:14" x14ac:dyDescent="0.35">
      <c r="A2587" s="82">
        <v>2584</v>
      </c>
      <c r="B2587" s="89" t="str">
        <f>_xlfn.XLOOKUP(A2587,'Model Modeshare by TAZ'!A:A,'Model Modeshare by TAZ'!B:B)</f>
        <v>Fairfield</v>
      </c>
      <c r="C2587" s="90" t="str">
        <f>_xlfn.XLOOKUP(A2587,'Model Modeshare by TAZ'!A:A,'Model Modeshare by TAZ'!D:D)</f>
        <v>NO</v>
      </c>
      <c r="D2587" s="27">
        <v>12057.95</v>
      </c>
      <c r="E2587" s="27">
        <v>257519.52</v>
      </c>
      <c r="F2587" s="27">
        <v>3423.9</v>
      </c>
      <c r="G2587" s="27">
        <v>40061.46</v>
      </c>
      <c r="H2587" s="27">
        <v>14161.41</v>
      </c>
      <c r="I2587" s="27">
        <v>129335.92</v>
      </c>
      <c r="J2587" s="6">
        <v>5255</v>
      </c>
      <c r="K2587" s="6">
        <v>12029</v>
      </c>
      <c r="L2587" s="27">
        <v>7.6234938154138909</v>
      </c>
      <c r="M2587" s="27">
        <v>10.752009310832156</v>
      </c>
      <c r="N2587" s="34">
        <v>22.008561096968293</v>
      </c>
    </row>
    <row r="2588" spans="1:14" x14ac:dyDescent="0.35">
      <c r="A2588" s="82">
        <v>2585</v>
      </c>
      <c r="B2588" s="89" t="str">
        <f>_xlfn.XLOOKUP(A2588,'Model Modeshare by TAZ'!A:A,'Model Modeshare by TAZ'!B:B)</f>
        <v>Unincorporated</v>
      </c>
      <c r="C2588" s="90" t="str">
        <f>_xlfn.XLOOKUP(A2588,'Model Modeshare by TAZ'!A:A,'Model Modeshare by TAZ'!D:D)</f>
        <v>NO</v>
      </c>
      <c r="D2588" s="27">
        <v>4822.43</v>
      </c>
      <c r="E2588" s="27">
        <v>97508.91</v>
      </c>
      <c r="F2588" s="27">
        <v>5474</v>
      </c>
      <c r="G2588" s="27">
        <v>67860.240000000005</v>
      </c>
      <c r="H2588" s="27">
        <v>104.34</v>
      </c>
      <c r="I2588" s="27">
        <v>849.53</v>
      </c>
      <c r="J2588" s="6">
        <v>3899</v>
      </c>
      <c r="K2588" s="6">
        <v>59</v>
      </c>
      <c r="L2588" s="27">
        <v>17.404524236983843</v>
      </c>
      <c r="M2588" s="27">
        <v>14.398813559322033</v>
      </c>
      <c r="N2588" s="34">
        <v>22.500889338049522</v>
      </c>
    </row>
    <row r="2589" spans="1:14" x14ac:dyDescent="0.35">
      <c r="A2589" s="82">
        <v>2586</v>
      </c>
      <c r="B2589" s="89" t="str">
        <f>_xlfn.XLOOKUP(A2589,'Model Modeshare by TAZ'!A:A,'Model Modeshare by TAZ'!B:B)</f>
        <v>Suisun City</v>
      </c>
      <c r="C2589" s="90" t="str">
        <f>_xlfn.XLOOKUP(A2589,'Model Modeshare by TAZ'!A:A,'Model Modeshare by TAZ'!D:D)</f>
        <v>NO</v>
      </c>
      <c r="D2589" s="27">
        <v>7678.44</v>
      </c>
      <c r="E2589" s="27">
        <v>160942.70000000001</v>
      </c>
      <c r="F2589" s="27">
        <v>8830.15</v>
      </c>
      <c r="G2589" s="27">
        <v>114233.61</v>
      </c>
      <c r="H2589" s="27">
        <v>249.08</v>
      </c>
      <c r="I2589" s="27">
        <v>2006.56</v>
      </c>
      <c r="J2589" s="6">
        <v>6040</v>
      </c>
      <c r="K2589" s="6">
        <v>149</v>
      </c>
      <c r="L2589" s="27">
        <v>18.912849337748344</v>
      </c>
      <c r="M2589" s="27">
        <v>13.466845637583893</v>
      </c>
      <c r="N2589" s="34">
        <v>24.167419615446761</v>
      </c>
    </row>
    <row r="2590" spans="1:14" x14ac:dyDescent="0.35">
      <c r="A2590" s="82">
        <v>2587</v>
      </c>
      <c r="B2590" s="89" t="str">
        <f>_xlfn.XLOOKUP(A2590,'Model Modeshare by TAZ'!A:A,'Model Modeshare by TAZ'!B:B)</f>
        <v>Suisun City</v>
      </c>
      <c r="C2590" s="90" t="str">
        <f>_xlfn.XLOOKUP(A2590,'Model Modeshare by TAZ'!A:A,'Model Modeshare by TAZ'!D:D)</f>
        <v>NO</v>
      </c>
      <c r="D2590" s="27">
        <v>7109.93</v>
      </c>
      <c r="E2590" s="27">
        <v>129557.44</v>
      </c>
      <c r="F2590" s="27">
        <v>6999.18</v>
      </c>
      <c r="G2590" s="27">
        <v>82247.34</v>
      </c>
      <c r="H2590" s="27">
        <v>1297.8399999999999</v>
      </c>
      <c r="I2590" s="27">
        <v>9458.4699999999993</v>
      </c>
      <c r="J2590" s="6">
        <v>5228</v>
      </c>
      <c r="K2590" s="6">
        <v>807</v>
      </c>
      <c r="L2590" s="27">
        <v>15.73208492731446</v>
      </c>
      <c r="M2590" s="27">
        <v>11.720532837670383</v>
      </c>
      <c r="N2590" s="34">
        <v>21.602579950289975</v>
      </c>
    </row>
    <row r="2591" spans="1:14" x14ac:dyDescent="0.35">
      <c r="A2591" s="82">
        <v>2588</v>
      </c>
      <c r="B2591" s="89" t="str">
        <f>_xlfn.XLOOKUP(A2591,'Model Modeshare by TAZ'!A:A,'Model Modeshare by TAZ'!B:B)</f>
        <v>Unincorporated</v>
      </c>
      <c r="C2591" s="90" t="str">
        <f>_xlfn.XLOOKUP(A2591,'Model Modeshare by TAZ'!A:A,'Model Modeshare by TAZ'!D:D)</f>
        <v>NO</v>
      </c>
      <c r="D2591" s="27">
        <v>7366.33</v>
      </c>
      <c r="E2591" s="27">
        <v>122884.88</v>
      </c>
      <c r="F2591" s="27">
        <v>6783</v>
      </c>
      <c r="G2591" s="27">
        <v>71804.69</v>
      </c>
      <c r="H2591" s="27">
        <v>878.11</v>
      </c>
      <c r="I2591" s="27">
        <v>6236.39</v>
      </c>
      <c r="J2591" s="6">
        <v>4821</v>
      </c>
      <c r="K2591" s="6">
        <v>509</v>
      </c>
      <c r="L2591" s="27">
        <v>14.894148516905206</v>
      </c>
      <c r="M2591" s="27">
        <v>12.252239685658154</v>
      </c>
      <c r="N2591" s="34">
        <v>20.091405253283302</v>
      </c>
    </row>
    <row r="2592" spans="1:14" x14ac:dyDescent="0.35">
      <c r="A2592" s="82">
        <v>2589</v>
      </c>
      <c r="B2592" s="89" t="str">
        <f>_xlfn.XLOOKUP(A2592,'Model Modeshare by TAZ'!A:A,'Model Modeshare by TAZ'!B:B)</f>
        <v>Fairfield</v>
      </c>
      <c r="C2592" s="90" t="str">
        <f>_xlfn.XLOOKUP(A2592,'Model Modeshare by TAZ'!A:A,'Model Modeshare by TAZ'!D:D)</f>
        <v>NO</v>
      </c>
      <c r="D2592" s="27">
        <v>7718.89</v>
      </c>
      <c r="E2592" s="27">
        <v>123371.03</v>
      </c>
      <c r="F2592" s="27">
        <v>8539.82</v>
      </c>
      <c r="G2592" s="27">
        <v>82054.350000000006</v>
      </c>
      <c r="H2592" s="27">
        <v>284.33</v>
      </c>
      <c r="I2592" s="27">
        <v>1929.43</v>
      </c>
      <c r="J2592" s="6">
        <v>6500</v>
      </c>
      <c r="K2592" s="6">
        <v>170</v>
      </c>
      <c r="L2592" s="27">
        <v>12.623746153846154</v>
      </c>
      <c r="M2592" s="27">
        <v>11.349588235294117</v>
      </c>
      <c r="N2592" s="34">
        <v>17.235434782608696</v>
      </c>
    </row>
    <row r="2593" spans="1:14" x14ac:dyDescent="0.35">
      <c r="A2593" s="82">
        <v>2590</v>
      </c>
      <c r="B2593" s="89" t="str">
        <f>_xlfn.XLOOKUP(A2593,'Model Modeshare by TAZ'!A:A,'Model Modeshare by TAZ'!B:B)</f>
        <v>Fairfield</v>
      </c>
      <c r="C2593" s="90" t="str">
        <f>_xlfn.XLOOKUP(A2593,'Model Modeshare by TAZ'!A:A,'Model Modeshare by TAZ'!D:D)</f>
        <v>NO</v>
      </c>
      <c r="D2593" s="27">
        <v>4984.7299999999996</v>
      </c>
      <c r="E2593" s="27">
        <v>72701.990000000005</v>
      </c>
      <c r="F2593" s="27">
        <v>4354.09</v>
      </c>
      <c r="G2593" s="27">
        <v>40657.589999999997</v>
      </c>
      <c r="H2593" s="27">
        <v>189.46</v>
      </c>
      <c r="I2593" s="27">
        <v>1170.55</v>
      </c>
      <c r="J2593" s="6">
        <v>3865</v>
      </c>
      <c r="K2593" s="6">
        <v>114</v>
      </c>
      <c r="L2593" s="27">
        <v>10.519428201811124</v>
      </c>
      <c r="M2593" s="27">
        <v>10.26798245614035</v>
      </c>
      <c r="N2593" s="34">
        <v>14.33061321940186</v>
      </c>
    </row>
    <row r="2594" spans="1:14" x14ac:dyDescent="0.35">
      <c r="A2594" s="82">
        <v>2591</v>
      </c>
      <c r="B2594" s="89" t="str">
        <f>_xlfn.XLOOKUP(A2594,'Model Modeshare by TAZ'!A:A,'Model Modeshare by TAZ'!B:B)</f>
        <v>Fairfield</v>
      </c>
      <c r="C2594" s="90" t="str">
        <f>_xlfn.XLOOKUP(A2594,'Model Modeshare by TAZ'!A:A,'Model Modeshare by TAZ'!D:D)</f>
        <v>NO</v>
      </c>
      <c r="D2594" s="27">
        <v>12541.34</v>
      </c>
      <c r="E2594" s="27">
        <v>167614.07</v>
      </c>
      <c r="F2594" s="27">
        <v>5918.49</v>
      </c>
      <c r="G2594" s="27">
        <v>51163.14</v>
      </c>
      <c r="H2594" s="27">
        <v>1327.94</v>
      </c>
      <c r="I2594" s="27">
        <v>9138.2199999999993</v>
      </c>
      <c r="J2594" s="6">
        <v>5689</v>
      </c>
      <c r="K2594" s="6">
        <v>1028</v>
      </c>
      <c r="L2594" s="27">
        <v>8.9933450518544564</v>
      </c>
      <c r="M2594" s="27">
        <v>8.8893190661478592</v>
      </c>
      <c r="N2594" s="34">
        <v>15.650013398838768</v>
      </c>
    </row>
    <row r="2595" spans="1:14" x14ac:dyDescent="0.35">
      <c r="A2595" s="82">
        <v>2592</v>
      </c>
      <c r="B2595" s="89" t="str">
        <f>_xlfn.XLOOKUP(A2595,'Model Modeshare by TAZ'!A:A,'Model Modeshare by TAZ'!B:B)</f>
        <v>Fairfield</v>
      </c>
      <c r="C2595" s="90" t="str">
        <f>_xlfn.XLOOKUP(A2595,'Model Modeshare by TAZ'!A:A,'Model Modeshare by TAZ'!D:D)</f>
        <v>NO</v>
      </c>
      <c r="D2595" s="27">
        <v>5000.68</v>
      </c>
      <c r="E2595" s="27">
        <v>69307.19</v>
      </c>
      <c r="F2595" s="27">
        <v>4306.88</v>
      </c>
      <c r="G2595" s="27">
        <v>38597.89</v>
      </c>
      <c r="H2595" s="27">
        <v>778.2</v>
      </c>
      <c r="I2595" s="27">
        <v>5357.14</v>
      </c>
      <c r="J2595" s="6">
        <v>3877</v>
      </c>
      <c r="K2595" s="6">
        <v>497</v>
      </c>
      <c r="L2595" s="27">
        <v>9.9556074284240399</v>
      </c>
      <c r="M2595" s="27">
        <v>10.778953722334006</v>
      </c>
      <c r="N2595" s="34">
        <v>15.442510288065842</v>
      </c>
    </row>
    <row r="2596" spans="1:14" x14ac:dyDescent="0.35">
      <c r="A2596" s="82">
        <v>2593</v>
      </c>
      <c r="B2596" s="89" t="str">
        <f>_xlfn.XLOOKUP(A2596,'Model Modeshare by TAZ'!A:A,'Model Modeshare by TAZ'!B:B)</f>
        <v>Suisun City</v>
      </c>
      <c r="C2596" s="90" t="str">
        <f>_xlfn.XLOOKUP(A2596,'Model Modeshare by TAZ'!A:A,'Model Modeshare by TAZ'!D:D)</f>
        <v>NO</v>
      </c>
      <c r="D2596" s="27">
        <v>6417.75</v>
      </c>
      <c r="E2596" s="27">
        <v>112723.65</v>
      </c>
      <c r="F2596" s="27">
        <v>5589.8</v>
      </c>
      <c r="G2596" s="27">
        <v>62010.39</v>
      </c>
      <c r="H2596" s="27">
        <v>1050.24</v>
      </c>
      <c r="I2596" s="27">
        <v>7681.46</v>
      </c>
      <c r="J2596" s="6">
        <v>3910</v>
      </c>
      <c r="K2596" s="6">
        <v>629</v>
      </c>
      <c r="L2596" s="27">
        <v>15.859434782608696</v>
      </c>
      <c r="M2596" s="27">
        <v>12.212178060413354</v>
      </c>
      <c r="N2596" s="34">
        <v>21.990724829257545</v>
      </c>
    </row>
    <row r="2597" spans="1:14" x14ac:dyDescent="0.35">
      <c r="A2597" s="82">
        <v>2594</v>
      </c>
      <c r="B2597" s="89" t="str">
        <f>_xlfn.XLOOKUP(A2597,'Model Modeshare by TAZ'!A:A,'Model Modeshare by TAZ'!B:B)</f>
        <v>Fairfield</v>
      </c>
      <c r="C2597" s="90" t="str">
        <f>_xlfn.XLOOKUP(A2597,'Model Modeshare by TAZ'!A:A,'Model Modeshare by TAZ'!D:D)</f>
        <v>NO</v>
      </c>
      <c r="D2597" s="27">
        <v>8314.7199999999993</v>
      </c>
      <c r="E2597" s="27">
        <v>157118</v>
      </c>
      <c r="F2597" s="27">
        <v>1883.7</v>
      </c>
      <c r="G2597" s="27">
        <v>19495.400000000001</v>
      </c>
      <c r="H2597" s="27">
        <v>3045.87</v>
      </c>
      <c r="I2597" s="27">
        <v>25841.16</v>
      </c>
      <c r="J2597" s="6">
        <v>1789</v>
      </c>
      <c r="K2597" s="6">
        <v>2889</v>
      </c>
      <c r="L2597" s="27">
        <v>10.897372833985468</v>
      </c>
      <c r="M2597" s="27">
        <v>8.944672897196261</v>
      </c>
      <c r="N2597" s="34">
        <v>24.038683197947844</v>
      </c>
    </row>
    <row r="2598" spans="1:14" x14ac:dyDescent="0.35">
      <c r="A2598" s="82">
        <v>2595</v>
      </c>
      <c r="B2598" s="89" t="str">
        <f>_xlfn.XLOOKUP(A2598,'Model Modeshare by TAZ'!A:A,'Model Modeshare by TAZ'!B:B)</f>
        <v>Fairfield</v>
      </c>
      <c r="C2598" s="90" t="str">
        <f>_xlfn.XLOOKUP(A2598,'Model Modeshare by TAZ'!A:A,'Model Modeshare by TAZ'!D:D)</f>
        <v>NO</v>
      </c>
      <c r="D2598" s="27">
        <v>9788.2199999999993</v>
      </c>
      <c r="E2598" s="27">
        <v>169699.6</v>
      </c>
      <c r="F2598" s="27">
        <v>2933.95</v>
      </c>
      <c r="G2598" s="27">
        <v>28856.91</v>
      </c>
      <c r="H2598" s="27">
        <v>1984.06</v>
      </c>
      <c r="I2598" s="27">
        <v>15808.41</v>
      </c>
      <c r="J2598" s="6">
        <v>2623</v>
      </c>
      <c r="K2598" s="6">
        <v>1882</v>
      </c>
      <c r="L2598" s="27">
        <v>11.001490659550134</v>
      </c>
      <c r="M2598" s="27">
        <v>8.3997927736450588</v>
      </c>
      <c r="N2598" s="34">
        <v>30.926634850166479</v>
      </c>
    </row>
    <row r="2599" spans="1:14" x14ac:dyDescent="0.35">
      <c r="A2599" s="82">
        <v>2596</v>
      </c>
      <c r="B2599" s="89" t="str">
        <f>_xlfn.XLOOKUP(A2599,'Model Modeshare by TAZ'!A:A,'Model Modeshare by TAZ'!B:B)</f>
        <v>Fairfield</v>
      </c>
      <c r="C2599" s="90" t="str">
        <f>_xlfn.XLOOKUP(A2599,'Model Modeshare by TAZ'!A:A,'Model Modeshare by TAZ'!D:D)</f>
        <v>NO</v>
      </c>
      <c r="D2599" s="27">
        <v>8757.49</v>
      </c>
      <c r="E2599" s="27">
        <v>123721.7</v>
      </c>
      <c r="F2599" s="27">
        <v>7006.45</v>
      </c>
      <c r="G2599" s="27">
        <v>64115.78</v>
      </c>
      <c r="H2599" s="27">
        <v>1397.07</v>
      </c>
      <c r="I2599" s="27">
        <v>9857.2099999999991</v>
      </c>
      <c r="J2599" s="6">
        <v>5855</v>
      </c>
      <c r="K2599" s="6">
        <v>1094</v>
      </c>
      <c r="L2599" s="27">
        <v>10.950602903501281</v>
      </c>
      <c r="M2599" s="27">
        <v>9.0102468007312613</v>
      </c>
      <c r="N2599" s="34">
        <v>17.37154986328968</v>
      </c>
    </row>
    <row r="2600" spans="1:14" x14ac:dyDescent="0.35">
      <c r="A2600" s="82">
        <v>2597</v>
      </c>
      <c r="B2600" s="89" t="str">
        <f>_xlfn.XLOOKUP(A2600,'Model Modeshare by TAZ'!A:A,'Model Modeshare by TAZ'!B:B)</f>
        <v>Fairfield</v>
      </c>
      <c r="C2600" s="90" t="str">
        <f>_xlfn.XLOOKUP(A2600,'Model Modeshare by TAZ'!A:A,'Model Modeshare by TAZ'!D:D)</f>
        <v>NO</v>
      </c>
      <c r="D2600" s="27">
        <v>13595.5</v>
      </c>
      <c r="E2600" s="27">
        <v>264585.75</v>
      </c>
      <c r="F2600" s="27">
        <v>4325.42</v>
      </c>
      <c r="G2600" s="27">
        <v>48792.27</v>
      </c>
      <c r="H2600" s="27">
        <v>4521.3</v>
      </c>
      <c r="I2600" s="27">
        <v>38406.26</v>
      </c>
      <c r="J2600" s="6">
        <v>3555</v>
      </c>
      <c r="K2600" s="6">
        <v>4416</v>
      </c>
      <c r="L2600" s="27">
        <v>13.724970464135021</v>
      </c>
      <c r="M2600" s="27">
        <v>8.6970697463768118</v>
      </c>
      <c r="N2600" s="34">
        <v>24.700038890979801</v>
      </c>
    </row>
    <row r="2601" spans="1:14" x14ac:dyDescent="0.35">
      <c r="A2601" s="82">
        <v>2598</v>
      </c>
      <c r="B2601" s="89" t="str">
        <f>_xlfn.XLOOKUP(A2601,'Model Modeshare by TAZ'!A:A,'Model Modeshare by TAZ'!B:B)</f>
        <v>Fairfield</v>
      </c>
      <c r="C2601" s="90" t="str">
        <f>_xlfn.XLOOKUP(A2601,'Model Modeshare by TAZ'!A:A,'Model Modeshare by TAZ'!D:D)</f>
        <v>NO</v>
      </c>
      <c r="D2601" s="27">
        <v>6474.86</v>
      </c>
      <c r="E2601" s="27">
        <v>105881.85</v>
      </c>
      <c r="F2601" s="27">
        <v>5896.72</v>
      </c>
      <c r="G2601" s="27">
        <v>55786.36</v>
      </c>
      <c r="H2601" s="27">
        <v>1811.04</v>
      </c>
      <c r="I2601" s="27">
        <v>14941.62</v>
      </c>
      <c r="J2601" s="6">
        <v>4813</v>
      </c>
      <c r="K2601" s="6">
        <v>1644</v>
      </c>
      <c r="L2601" s="27">
        <v>11.590766673592354</v>
      </c>
      <c r="M2601" s="27">
        <v>9.0885766423357666</v>
      </c>
      <c r="N2601" s="34">
        <v>19.422563109803313</v>
      </c>
    </row>
    <row r="2602" spans="1:14" x14ac:dyDescent="0.35">
      <c r="A2602" s="82">
        <v>2599</v>
      </c>
      <c r="B2602" s="89" t="str">
        <f>_xlfn.XLOOKUP(A2602,'Model Modeshare by TAZ'!A:A,'Model Modeshare by TAZ'!B:B)</f>
        <v>Fairfield</v>
      </c>
      <c r="C2602" s="90" t="str">
        <f>_xlfn.XLOOKUP(A2602,'Model Modeshare by TAZ'!A:A,'Model Modeshare by TAZ'!D:D)</f>
        <v>NO</v>
      </c>
      <c r="D2602" s="27">
        <v>7169.28</v>
      </c>
      <c r="E2602" s="27">
        <v>128582.24</v>
      </c>
      <c r="F2602" s="27">
        <v>5291.63</v>
      </c>
      <c r="G2602" s="27">
        <v>59947.68</v>
      </c>
      <c r="H2602" s="27">
        <v>1321.61</v>
      </c>
      <c r="I2602" s="27">
        <v>10739.3</v>
      </c>
      <c r="J2602" s="6">
        <v>3370</v>
      </c>
      <c r="K2602" s="6">
        <v>886</v>
      </c>
      <c r="L2602" s="27">
        <v>17.788629080118696</v>
      </c>
      <c r="M2602" s="27">
        <v>12.121106094808125</v>
      </c>
      <c r="N2602" s="34">
        <v>27.786038533834589</v>
      </c>
    </row>
    <row r="2603" spans="1:14" x14ac:dyDescent="0.35">
      <c r="A2603" s="82">
        <v>2600</v>
      </c>
      <c r="B2603" s="89" t="str">
        <f>_xlfn.XLOOKUP(A2603,'Model Modeshare by TAZ'!A:A,'Model Modeshare by TAZ'!B:B)</f>
        <v>Unincorporated</v>
      </c>
      <c r="C2603" s="90" t="str">
        <f>_xlfn.XLOOKUP(A2603,'Model Modeshare by TAZ'!A:A,'Model Modeshare by TAZ'!D:D)</f>
        <v>NO</v>
      </c>
      <c r="D2603" s="27">
        <v>17390.41</v>
      </c>
      <c r="E2603" s="27">
        <v>434886.6</v>
      </c>
      <c r="F2603" s="27">
        <v>18524.73</v>
      </c>
      <c r="G2603" s="27">
        <v>269744.03000000003</v>
      </c>
      <c r="H2603" s="27">
        <v>1572.97</v>
      </c>
      <c r="I2603" s="27">
        <v>14777.4</v>
      </c>
      <c r="J2603" s="6">
        <v>11229</v>
      </c>
      <c r="K2603" s="6">
        <v>920</v>
      </c>
      <c r="L2603" s="27">
        <v>24.022088342684125</v>
      </c>
      <c r="M2603" s="27">
        <v>16.062391304347827</v>
      </c>
      <c r="N2603" s="34">
        <v>33.233852168902793</v>
      </c>
    </row>
    <row r="2604" spans="1:14" x14ac:dyDescent="0.35">
      <c r="A2604" s="82">
        <v>2601</v>
      </c>
      <c r="B2604" s="89" t="str">
        <f>_xlfn.XLOOKUP(A2604,'Model Modeshare by TAZ'!A:A,'Model Modeshare by TAZ'!B:B)</f>
        <v>Fairfield</v>
      </c>
      <c r="C2604" s="90" t="str">
        <f>_xlfn.XLOOKUP(A2604,'Model Modeshare by TAZ'!A:A,'Model Modeshare by TAZ'!D:D)</f>
        <v>NO</v>
      </c>
      <c r="D2604" s="27">
        <v>19241.87</v>
      </c>
      <c r="E2604" s="27">
        <v>347607.74</v>
      </c>
      <c r="F2604" s="27">
        <v>12681.95</v>
      </c>
      <c r="G2604" s="27">
        <v>133725.48000000001</v>
      </c>
      <c r="H2604" s="27">
        <v>3260.46</v>
      </c>
      <c r="I2604" s="27">
        <v>25512.5</v>
      </c>
      <c r="J2604" s="6">
        <v>9216</v>
      </c>
      <c r="K2604" s="6">
        <v>2156</v>
      </c>
      <c r="L2604" s="27">
        <v>14.510143229166667</v>
      </c>
      <c r="M2604" s="27">
        <v>11.833256029684602</v>
      </c>
      <c r="N2604" s="34">
        <v>26.151611853675696</v>
      </c>
    </row>
    <row r="2605" spans="1:14" x14ac:dyDescent="0.35">
      <c r="A2605" s="82">
        <v>2602</v>
      </c>
      <c r="B2605" s="89" t="str">
        <f>_xlfn.XLOOKUP(A2605,'Model Modeshare by TAZ'!A:A,'Model Modeshare by TAZ'!B:B)</f>
        <v>Fairfield</v>
      </c>
      <c r="C2605" s="90" t="str">
        <f>_xlfn.XLOOKUP(A2605,'Model Modeshare by TAZ'!A:A,'Model Modeshare by TAZ'!D:D)</f>
        <v>NO</v>
      </c>
      <c r="D2605" s="27">
        <v>23739.27</v>
      </c>
      <c r="E2605" s="27">
        <v>560579.86</v>
      </c>
      <c r="F2605" s="27">
        <v>24101.040000000001</v>
      </c>
      <c r="G2605" s="27">
        <v>327870.78000000003</v>
      </c>
      <c r="H2605" s="27">
        <v>4488.8999999999996</v>
      </c>
      <c r="I2605" s="27">
        <v>39377.06</v>
      </c>
      <c r="J2605" s="6">
        <v>16004</v>
      </c>
      <c r="K2605" s="6">
        <v>2633</v>
      </c>
      <c r="L2605" s="27">
        <v>20.486802049487629</v>
      </c>
      <c r="M2605" s="27">
        <v>14.955206988226356</v>
      </c>
      <c r="N2605" s="34">
        <v>28.214972903364274</v>
      </c>
    </row>
    <row r="2606" spans="1:14" x14ac:dyDescent="0.35">
      <c r="A2606" s="82">
        <v>2603</v>
      </c>
      <c r="B2606" s="89" t="str">
        <f>_xlfn.XLOOKUP(A2606,'Model Modeshare by TAZ'!A:A,'Model Modeshare by TAZ'!B:B)</f>
        <v>Unincorporated</v>
      </c>
      <c r="C2606" s="90" t="str">
        <f>_xlfn.XLOOKUP(A2606,'Model Modeshare by TAZ'!A:A,'Model Modeshare by TAZ'!D:D)</f>
        <v>NO</v>
      </c>
      <c r="D2606" s="27">
        <v>19920.28</v>
      </c>
      <c r="E2606" s="27">
        <v>388668.79</v>
      </c>
      <c r="F2606" s="27">
        <v>23527.79</v>
      </c>
      <c r="G2606" s="27">
        <v>307702.11</v>
      </c>
      <c r="H2606" s="27">
        <v>1316.28</v>
      </c>
      <c r="I2606" s="27">
        <v>8513.32</v>
      </c>
      <c r="J2606" s="6">
        <v>14031</v>
      </c>
      <c r="K2606" s="6">
        <v>786</v>
      </c>
      <c r="L2606" s="27">
        <v>21.930162497327345</v>
      </c>
      <c r="M2606" s="27">
        <v>10.83119592875318</v>
      </c>
      <c r="N2606" s="34">
        <v>27.465015860160626</v>
      </c>
    </row>
    <row r="2607" spans="1:14" x14ac:dyDescent="0.35">
      <c r="A2607" s="82">
        <v>2604</v>
      </c>
      <c r="B2607" s="89" t="str">
        <f>_xlfn.XLOOKUP(A2607,'Model Modeshare by TAZ'!A:A,'Model Modeshare by TAZ'!B:B)</f>
        <v>Vacaville</v>
      </c>
      <c r="C2607" s="90" t="str">
        <f>_xlfn.XLOOKUP(A2607,'Model Modeshare by TAZ'!A:A,'Model Modeshare by TAZ'!D:D)</f>
        <v>NO</v>
      </c>
      <c r="D2607" s="27">
        <v>2286.67</v>
      </c>
      <c r="E2607" s="27">
        <v>44765.31</v>
      </c>
      <c r="F2607" s="27">
        <v>261.44</v>
      </c>
      <c r="G2607" s="27">
        <v>15903.32</v>
      </c>
      <c r="H2607" s="27">
        <v>4188.41</v>
      </c>
      <c r="I2607" s="27">
        <v>29559.119999999999</v>
      </c>
      <c r="J2607" s="6">
        <v>0</v>
      </c>
      <c r="K2607" s="6">
        <v>3709</v>
      </c>
      <c r="L2607" s="27">
        <v>0</v>
      </c>
      <c r="M2607" s="27">
        <v>7.9695659207333511</v>
      </c>
      <c r="N2607" s="34">
        <v>27.396813157185225</v>
      </c>
    </row>
    <row r="2608" spans="1:14" x14ac:dyDescent="0.35">
      <c r="A2608" s="82">
        <v>2605</v>
      </c>
      <c r="B2608" s="89" t="str">
        <f>_xlfn.XLOOKUP(A2608,'Model Modeshare by TAZ'!A:A,'Model Modeshare by TAZ'!B:B)</f>
        <v>Vacaville</v>
      </c>
      <c r="C2608" s="90" t="str">
        <f>_xlfn.XLOOKUP(A2608,'Model Modeshare by TAZ'!A:A,'Model Modeshare by TAZ'!D:D)</f>
        <v>NO</v>
      </c>
      <c r="D2608" s="27">
        <v>7685.76</v>
      </c>
      <c r="E2608" s="27">
        <v>124527.12</v>
      </c>
      <c r="F2608" s="27">
        <v>5945.19</v>
      </c>
      <c r="G2608" s="27">
        <v>62509.43</v>
      </c>
      <c r="H2608" s="27">
        <v>1340.07</v>
      </c>
      <c r="I2608" s="27">
        <v>9008.75</v>
      </c>
      <c r="J2608" s="6">
        <v>4186</v>
      </c>
      <c r="K2608" s="6">
        <v>899</v>
      </c>
      <c r="L2608" s="27">
        <v>14.93297419971333</v>
      </c>
      <c r="M2608" s="27">
        <v>10.020856507230256</v>
      </c>
      <c r="N2608" s="34">
        <v>21.999555555555556</v>
      </c>
    </row>
    <row r="2609" spans="1:14" x14ac:dyDescent="0.35">
      <c r="A2609" s="82">
        <v>2606</v>
      </c>
      <c r="B2609" s="89" t="str">
        <f>_xlfn.XLOOKUP(A2609,'Model Modeshare by TAZ'!A:A,'Model Modeshare by TAZ'!B:B)</f>
        <v>Vacaville</v>
      </c>
      <c r="C2609" s="90" t="str">
        <f>_xlfn.XLOOKUP(A2609,'Model Modeshare by TAZ'!A:A,'Model Modeshare by TAZ'!D:D)</f>
        <v>NO</v>
      </c>
      <c r="D2609" s="27">
        <v>13012.19</v>
      </c>
      <c r="E2609" s="27">
        <v>183517.26</v>
      </c>
      <c r="F2609" s="27">
        <v>8786.77</v>
      </c>
      <c r="G2609" s="27">
        <v>89832.53</v>
      </c>
      <c r="H2609" s="27">
        <v>2605.52</v>
      </c>
      <c r="I2609" s="27">
        <v>15925.29</v>
      </c>
      <c r="J2609" s="6">
        <v>6160</v>
      </c>
      <c r="K2609" s="6">
        <v>1865</v>
      </c>
      <c r="L2609" s="27">
        <v>14.583202922077922</v>
      </c>
      <c r="M2609" s="27">
        <v>8.5390294906166222</v>
      </c>
      <c r="N2609" s="34">
        <v>22.297743302180688</v>
      </c>
    </row>
    <row r="2610" spans="1:14" x14ac:dyDescent="0.35">
      <c r="A2610" s="82">
        <v>2607</v>
      </c>
      <c r="B2610" s="89" t="str">
        <f>_xlfn.XLOOKUP(A2610,'Model Modeshare by TAZ'!A:A,'Model Modeshare by TAZ'!B:B)</f>
        <v>Vacaville</v>
      </c>
      <c r="C2610" s="90" t="str">
        <f>_xlfn.XLOOKUP(A2610,'Model Modeshare by TAZ'!A:A,'Model Modeshare by TAZ'!D:D)</f>
        <v>NO</v>
      </c>
      <c r="D2610" s="27">
        <v>5934.19</v>
      </c>
      <c r="E2610" s="27">
        <v>90583.85</v>
      </c>
      <c r="F2610" s="27">
        <v>5098.67</v>
      </c>
      <c r="G2610" s="27">
        <v>53137.53</v>
      </c>
      <c r="H2610" s="27">
        <v>857.67</v>
      </c>
      <c r="I2610" s="27">
        <v>5220.1499999999996</v>
      </c>
      <c r="J2610" s="6">
        <v>3378</v>
      </c>
      <c r="K2610" s="6">
        <v>530</v>
      </c>
      <c r="L2610" s="27">
        <v>15.730470692717583</v>
      </c>
      <c r="M2610" s="27">
        <v>9.8493396226415086</v>
      </c>
      <c r="N2610" s="34">
        <v>21.194708290685771</v>
      </c>
    </row>
    <row r="2611" spans="1:14" x14ac:dyDescent="0.35">
      <c r="A2611" s="82">
        <v>2608</v>
      </c>
      <c r="B2611" s="89" t="str">
        <f>_xlfn.XLOOKUP(A2611,'Model Modeshare by TAZ'!A:A,'Model Modeshare by TAZ'!B:B)</f>
        <v>Vacaville</v>
      </c>
      <c r="C2611" s="90" t="str">
        <f>_xlfn.XLOOKUP(A2611,'Model Modeshare by TAZ'!A:A,'Model Modeshare by TAZ'!D:D)</f>
        <v>NO</v>
      </c>
      <c r="D2611" s="27">
        <v>5067.2299999999996</v>
      </c>
      <c r="E2611" s="27">
        <v>77735.22</v>
      </c>
      <c r="F2611" s="27">
        <v>5638.9</v>
      </c>
      <c r="G2611" s="27">
        <v>62118.36</v>
      </c>
      <c r="H2611" s="27">
        <v>1209.69</v>
      </c>
      <c r="I2611" s="27">
        <v>6937.3</v>
      </c>
      <c r="J2611" s="6">
        <v>3713</v>
      </c>
      <c r="K2611" s="6">
        <v>745</v>
      </c>
      <c r="L2611" s="27">
        <v>16.729964987880422</v>
      </c>
      <c r="M2611" s="27">
        <v>9.3118120805369138</v>
      </c>
      <c r="N2611" s="34">
        <v>20.943340062808435</v>
      </c>
    </row>
    <row r="2612" spans="1:14" x14ac:dyDescent="0.35">
      <c r="A2612" s="82">
        <v>2609</v>
      </c>
      <c r="B2612" s="89" t="str">
        <f>_xlfn.XLOOKUP(A2612,'Model Modeshare by TAZ'!A:A,'Model Modeshare by TAZ'!B:B)</f>
        <v>Vacaville</v>
      </c>
      <c r="C2612" s="90" t="str">
        <f>_xlfn.XLOOKUP(A2612,'Model Modeshare by TAZ'!A:A,'Model Modeshare by TAZ'!D:D)</f>
        <v>NO</v>
      </c>
      <c r="D2612" s="27">
        <v>8262.66</v>
      </c>
      <c r="E2612" s="27">
        <v>146682.65</v>
      </c>
      <c r="F2612" s="27">
        <v>8772.9</v>
      </c>
      <c r="G2612" s="27">
        <v>109580.44</v>
      </c>
      <c r="H2612" s="27">
        <v>521.82000000000005</v>
      </c>
      <c r="I2612" s="27">
        <v>3105.68</v>
      </c>
      <c r="J2612" s="6">
        <v>5752</v>
      </c>
      <c r="K2612" s="6">
        <v>312</v>
      </c>
      <c r="L2612" s="27">
        <v>19.050841446453408</v>
      </c>
      <c r="M2612" s="27">
        <v>9.9541025641025644</v>
      </c>
      <c r="N2612" s="34">
        <v>23.485435356200526</v>
      </c>
    </row>
    <row r="2613" spans="1:14" x14ac:dyDescent="0.35">
      <c r="A2613" s="82">
        <v>2610</v>
      </c>
      <c r="B2613" s="89" t="str">
        <f>_xlfn.XLOOKUP(A2613,'Model Modeshare by TAZ'!A:A,'Model Modeshare by TAZ'!B:B)</f>
        <v>Vacaville</v>
      </c>
      <c r="C2613" s="90" t="str">
        <f>_xlfn.XLOOKUP(A2613,'Model Modeshare by TAZ'!A:A,'Model Modeshare by TAZ'!D:D)</f>
        <v>NO</v>
      </c>
      <c r="D2613" s="27">
        <v>4325.6400000000003</v>
      </c>
      <c r="E2613" s="27">
        <v>75551.429999999993</v>
      </c>
      <c r="F2613" s="27">
        <v>5078.62</v>
      </c>
      <c r="G2613" s="27">
        <v>62620.7</v>
      </c>
      <c r="H2613" s="27">
        <v>704.6</v>
      </c>
      <c r="I2613" s="27">
        <v>4743.68</v>
      </c>
      <c r="J2613" s="6">
        <v>3313</v>
      </c>
      <c r="K2613" s="6">
        <v>402</v>
      </c>
      <c r="L2613" s="27">
        <v>18.901509206157559</v>
      </c>
      <c r="M2613" s="27">
        <v>11.800199004975125</v>
      </c>
      <c r="N2613" s="34">
        <v>24.161179004037685</v>
      </c>
    </row>
    <row r="2614" spans="1:14" x14ac:dyDescent="0.35">
      <c r="A2614" s="82">
        <v>2611</v>
      </c>
      <c r="B2614" s="89" t="str">
        <f>_xlfn.XLOOKUP(A2614,'Model Modeshare by TAZ'!A:A,'Model Modeshare by TAZ'!B:B)</f>
        <v>Unincorporated</v>
      </c>
      <c r="C2614" s="90" t="str">
        <f>_xlfn.XLOOKUP(A2614,'Model Modeshare by TAZ'!A:A,'Model Modeshare by TAZ'!D:D)</f>
        <v>NO</v>
      </c>
      <c r="D2614" s="27">
        <v>43484.02</v>
      </c>
      <c r="E2614" s="27">
        <v>910025.75</v>
      </c>
      <c r="F2614" s="27">
        <v>7166.38</v>
      </c>
      <c r="G2614" s="27">
        <v>100427.62</v>
      </c>
      <c r="H2614" s="27">
        <v>6152.95</v>
      </c>
      <c r="I2614" s="27">
        <v>54822.14</v>
      </c>
      <c r="J2614" s="6">
        <v>4804</v>
      </c>
      <c r="K2614" s="6">
        <v>5027</v>
      </c>
      <c r="L2614" s="27">
        <v>20.904999999999998</v>
      </c>
      <c r="M2614" s="27">
        <v>10.905538094290829</v>
      </c>
      <c r="N2614" s="34">
        <v>32.658846505950564</v>
      </c>
    </row>
    <row r="2615" spans="1:14" x14ac:dyDescent="0.35">
      <c r="A2615" s="82">
        <v>2612</v>
      </c>
      <c r="B2615" s="89" t="str">
        <f>_xlfn.XLOOKUP(A2615,'Model Modeshare by TAZ'!A:A,'Model Modeshare by TAZ'!B:B)</f>
        <v>Vacaville</v>
      </c>
      <c r="C2615" s="90" t="str">
        <f>_xlfn.XLOOKUP(A2615,'Model Modeshare by TAZ'!A:A,'Model Modeshare by TAZ'!D:D)</f>
        <v>NO</v>
      </c>
      <c r="D2615" s="27">
        <v>26385.47</v>
      </c>
      <c r="E2615" s="27">
        <v>430052.23</v>
      </c>
      <c r="F2615" s="27">
        <v>12931.77</v>
      </c>
      <c r="G2615" s="27">
        <v>132497.98000000001</v>
      </c>
      <c r="H2615" s="27">
        <v>6855.51</v>
      </c>
      <c r="I2615" s="27">
        <v>46282.51</v>
      </c>
      <c r="J2615" s="6">
        <v>10682</v>
      </c>
      <c r="K2615" s="6">
        <v>6194</v>
      </c>
      <c r="L2615" s="27">
        <v>12.403855083317731</v>
      </c>
      <c r="M2615" s="27">
        <v>7.4721520826606396</v>
      </c>
      <c r="N2615" s="34">
        <v>21.726937662953304</v>
      </c>
    </row>
    <row r="2616" spans="1:14" x14ac:dyDescent="0.35">
      <c r="A2616" s="82">
        <v>2613</v>
      </c>
      <c r="B2616" s="89" t="str">
        <f>_xlfn.XLOOKUP(A2616,'Model Modeshare by TAZ'!A:A,'Model Modeshare by TAZ'!B:B)</f>
        <v>Vacaville</v>
      </c>
      <c r="C2616" s="90" t="str">
        <f>_xlfn.XLOOKUP(A2616,'Model Modeshare by TAZ'!A:A,'Model Modeshare by TAZ'!D:D)</f>
        <v>NO</v>
      </c>
      <c r="D2616" s="27">
        <v>12375.87</v>
      </c>
      <c r="E2616" s="27">
        <v>181793.43</v>
      </c>
      <c r="F2616" s="27">
        <v>8546.82</v>
      </c>
      <c r="G2616" s="27">
        <v>85976.54</v>
      </c>
      <c r="H2616" s="27">
        <v>2629.68</v>
      </c>
      <c r="I2616" s="27">
        <v>16111.13</v>
      </c>
      <c r="J2616" s="6">
        <v>6122</v>
      </c>
      <c r="K2616" s="6">
        <v>1878</v>
      </c>
      <c r="L2616" s="27">
        <v>14.043864750081672</v>
      </c>
      <c r="M2616" s="27">
        <v>8.5788764643237485</v>
      </c>
      <c r="N2616" s="34">
        <v>20.633038750000001</v>
      </c>
    </row>
    <row r="2617" spans="1:14" x14ac:dyDescent="0.35">
      <c r="A2617" s="82">
        <v>2614</v>
      </c>
      <c r="B2617" s="89" t="str">
        <f>_xlfn.XLOOKUP(A2617,'Model Modeshare by TAZ'!A:A,'Model Modeshare by TAZ'!B:B)</f>
        <v>Vacaville</v>
      </c>
      <c r="C2617" s="90" t="str">
        <f>_xlfn.XLOOKUP(A2617,'Model Modeshare by TAZ'!A:A,'Model Modeshare by TAZ'!D:D)</f>
        <v>NO</v>
      </c>
      <c r="D2617" s="27">
        <v>21506.18</v>
      </c>
      <c r="E2617" s="27">
        <v>364053.39</v>
      </c>
      <c r="F2617" s="27">
        <v>18944.400000000001</v>
      </c>
      <c r="G2617" s="27">
        <v>224561.31</v>
      </c>
      <c r="H2617" s="27">
        <v>3931.04</v>
      </c>
      <c r="I2617" s="27">
        <v>27722.59</v>
      </c>
      <c r="J2617" s="6">
        <v>13555</v>
      </c>
      <c r="K2617" s="6">
        <v>2266</v>
      </c>
      <c r="L2617" s="27">
        <v>16.566677240870526</v>
      </c>
      <c r="M2617" s="27">
        <v>12.234152691968227</v>
      </c>
      <c r="N2617" s="34">
        <v>23.067928702357626</v>
      </c>
    </row>
    <row r="2618" spans="1:14" x14ac:dyDescent="0.35">
      <c r="A2618" s="82">
        <v>2615</v>
      </c>
      <c r="B2618" s="89" t="str">
        <f>_xlfn.XLOOKUP(A2618,'Model Modeshare by TAZ'!A:A,'Model Modeshare by TAZ'!B:B)</f>
        <v>Vacaville</v>
      </c>
      <c r="C2618" s="90" t="str">
        <f>_xlfn.XLOOKUP(A2618,'Model Modeshare by TAZ'!A:A,'Model Modeshare by TAZ'!D:D)</f>
        <v>NO</v>
      </c>
      <c r="D2618" s="27">
        <v>9452.92</v>
      </c>
      <c r="E2618" s="27">
        <v>146016.98000000001</v>
      </c>
      <c r="F2618" s="27">
        <v>5465.44</v>
      </c>
      <c r="G2618" s="27">
        <v>56289</v>
      </c>
      <c r="H2618" s="27">
        <v>2167.44</v>
      </c>
      <c r="I2618" s="27">
        <v>14603.22</v>
      </c>
      <c r="J2618" s="6">
        <v>4222</v>
      </c>
      <c r="K2618" s="6">
        <v>1984</v>
      </c>
      <c r="L2618" s="27">
        <v>13.332306963524395</v>
      </c>
      <c r="M2618" s="27">
        <v>7.3604939516129031</v>
      </c>
      <c r="N2618" s="34">
        <v>22.498524009023527</v>
      </c>
    </row>
    <row r="2619" spans="1:14" x14ac:dyDescent="0.35">
      <c r="A2619" s="82">
        <v>2616</v>
      </c>
      <c r="B2619" s="89" t="str">
        <f>_xlfn.XLOOKUP(A2619,'Model Modeshare by TAZ'!A:A,'Model Modeshare by TAZ'!B:B)</f>
        <v>Vacaville</v>
      </c>
      <c r="C2619" s="90" t="str">
        <f>_xlfn.XLOOKUP(A2619,'Model Modeshare by TAZ'!A:A,'Model Modeshare by TAZ'!D:D)</f>
        <v>NO</v>
      </c>
      <c r="D2619" s="27">
        <v>17472.150000000001</v>
      </c>
      <c r="E2619" s="27">
        <v>252903.71</v>
      </c>
      <c r="F2619" s="27">
        <v>7263.75</v>
      </c>
      <c r="G2619" s="27">
        <v>71030.19</v>
      </c>
      <c r="H2619" s="27">
        <v>5727.56</v>
      </c>
      <c r="I2619" s="27">
        <v>36601.58</v>
      </c>
      <c r="J2619" s="6">
        <v>5293</v>
      </c>
      <c r="K2619" s="6">
        <v>5255</v>
      </c>
      <c r="L2619" s="27">
        <v>13.419646703192896</v>
      </c>
      <c r="M2619" s="27">
        <v>6.9650960989533779</v>
      </c>
      <c r="N2619" s="34">
        <v>21.224642586272278</v>
      </c>
    </row>
    <row r="2620" spans="1:14" x14ac:dyDescent="0.35">
      <c r="A2620" s="82">
        <v>2617</v>
      </c>
      <c r="B2620" s="89" t="str">
        <f>_xlfn.XLOOKUP(A2620,'Model Modeshare by TAZ'!A:A,'Model Modeshare by TAZ'!B:B)</f>
        <v>Vacaville</v>
      </c>
      <c r="C2620" s="90" t="str">
        <f>_xlfn.XLOOKUP(A2620,'Model Modeshare by TAZ'!A:A,'Model Modeshare by TAZ'!D:D)</f>
        <v>NO</v>
      </c>
      <c r="D2620" s="27">
        <v>7425.33</v>
      </c>
      <c r="E2620" s="27">
        <v>143273.14000000001</v>
      </c>
      <c r="F2620" s="27">
        <v>7697.64</v>
      </c>
      <c r="G2620" s="27">
        <v>101565.27</v>
      </c>
      <c r="H2620" s="27">
        <v>1143.43</v>
      </c>
      <c r="I2620" s="27">
        <v>8638.7900000000009</v>
      </c>
      <c r="J2620" s="6">
        <v>4828</v>
      </c>
      <c r="K2620" s="6">
        <v>659</v>
      </c>
      <c r="L2620" s="27">
        <v>21.036717067108533</v>
      </c>
      <c r="M2620" s="27">
        <v>13.108937784522004</v>
      </c>
      <c r="N2620" s="34">
        <v>27.678600328048116</v>
      </c>
    </row>
    <row r="2621" spans="1:14" x14ac:dyDescent="0.35">
      <c r="A2621" s="82">
        <v>2618</v>
      </c>
      <c r="B2621" s="89" t="str">
        <f>_xlfn.XLOOKUP(A2621,'Model Modeshare by TAZ'!A:A,'Model Modeshare by TAZ'!B:B)</f>
        <v>Unincorporated</v>
      </c>
      <c r="C2621" s="90" t="str">
        <f>_xlfn.XLOOKUP(A2621,'Model Modeshare by TAZ'!A:A,'Model Modeshare by TAZ'!D:D)</f>
        <v>NO</v>
      </c>
      <c r="D2621" s="27">
        <v>6286.12</v>
      </c>
      <c r="E2621" s="27">
        <v>132357.29</v>
      </c>
      <c r="F2621" s="27">
        <v>6797.47</v>
      </c>
      <c r="G2621" s="27">
        <v>95693.82</v>
      </c>
      <c r="H2621" s="27">
        <v>2009.57</v>
      </c>
      <c r="I2621" s="27">
        <v>17981.11</v>
      </c>
      <c r="J2621" s="6">
        <v>4427</v>
      </c>
      <c r="K2621" s="6">
        <v>1256</v>
      </c>
      <c r="L2621" s="27">
        <v>21.615952112039757</v>
      </c>
      <c r="M2621" s="27">
        <v>14.316170382165605</v>
      </c>
      <c r="N2621" s="34">
        <v>26.855007918352985</v>
      </c>
    </row>
    <row r="2622" spans="1:14" x14ac:dyDescent="0.35">
      <c r="A2622" s="82">
        <v>2619</v>
      </c>
      <c r="B2622" s="89" t="str">
        <f>_xlfn.XLOOKUP(A2622,'Model Modeshare by TAZ'!A:A,'Model Modeshare by TAZ'!B:B)</f>
        <v>Unincorporated</v>
      </c>
      <c r="C2622" s="90" t="str">
        <f>_xlfn.XLOOKUP(A2622,'Model Modeshare by TAZ'!A:A,'Model Modeshare by TAZ'!D:D)</f>
        <v>NO</v>
      </c>
      <c r="D2622" s="27">
        <v>6249.15</v>
      </c>
      <c r="E2622" s="27">
        <v>191953.64</v>
      </c>
      <c r="F2622" s="27">
        <v>3839.13</v>
      </c>
      <c r="G2622" s="27">
        <v>78793.429999999993</v>
      </c>
      <c r="H2622" s="27">
        <v>2408.9699999999998</v>
      </c>
      <c r="I2622" s="27">
        <v>28208.46</v>
      </c>
      <c r="J2622" s="6">
        <v>2776</v>
      </c>
      <c r="K2622" s="6">
        <v>1889</v>
      </c>
      <c r="L2622" s="27">
        <v>28.383800432276654</v>
      </c>
      <c r="M2622" s="27">
        <v>14.933012175754367</v>
      </c>
      <c r="N2622" s="34">
        <v>36.653003215434083</v>
      </c>
    </row>
    <row r="2623" spans="1:14" x14ac:dyDescent="0.35">
      <c r="A2623" s="82">
        <v>2620</v>
      </c>
      <c r="B2623" s="89" t="str">
        <f>_xlfn.XLOOKUP(A2623,'Model Modeshare by TAZ'!A:A,'Model Modeshare by TAZ'!B:B)</f>
        <v>Dixon</v>
      </c>
      <c r="C2623" s="90" t="str">
        <f>_xlfn.XLOOKUP(A2623,'Model Modeshare by TAZ'!A:A,'Model Modeshare by TAZ'!D:D)</f>
        <v>NO</v>
      </c>
      <c r="D2623" s="27">
        <v>17162.36</v>
      </c>
      <c r="E2623" s="27">
        <v>363481.78</v>
      </c>
      <c r="F2623" s="27">
        <v>16115.48</v>
      </c>
      <c r="G2623" s="27">
        <v>253841.87</v>
      </c>
      <c r="H2623" s="27">
        <v>3258.69</v>
      </c>
      <c r="I2623" s="27">
        <v>29318.44</v>
      </c>
      <c r="J2623" s="6">
        <v>11716</v>
      </c>
      <c r="K2623" s="6">
        <v>2192</v>
      </c>
      <c r="L2623" s="27">
        <v>21.666257255035848</v>
      </c>
      <c r="M2623" s="27">
        <v>13.375200729927007</v>
      </c>
      <c r="N2623" s="34">
        <v>27.35654227782571</v>
      </c>
    </row>
    <row r="2624" spans="1:14" x14ac:dyDescent="0.35">
      <c r="A2624" s="82">
        <v>2621</v>
      </c>
      <c r="B2624" s="89" t="str">
        <f>_xlfn.XLOOKUP(A2624,'Model Modeshare by TAZ'!A:A,'Model Modeshare by TAZ'!B:B)</f>
        <v>Dixon</v>
      </c>
      <c r="C2624" s="90" t="str">
        <f>_xlfn.XLOOKUP(A2624,'Model Modeshare by TAZ'!A:A,'Model Modeshare by TAZ'!D:D)</f>
        <v>NO</v>
      </c>
      <c r="D2624" s="27">
        <v>14515.18</v>
      </c>
      <c r="E2624" s="27">
        <v>303432.34999999998</v>
      </c>
      <c r="F2624" s="27">
        <v>9363.1</v>
      </c>
      <c r="G2624" s="27">
        <v>139927.35</v>
      </c>
      <c r="H2624" s="27">
        <v>3668.59</v>
      </c>
      <c r="I2624" s="27">
        <v>32006.35</v>
      </c>
      <c r="J2624" s="6">
        <v>7140</v>
      </c>
      <c r="K2624" s="6">
        <v>2880</v>
      </c>
      <c r="L2624" s="27">
        <v>19.597668067226891</v>
      </c>
      <c r="M2624" s="27">
        <v>11.113315972222221</v>
      </c>
      <c r="N2624" s="34">
        <v>24.723685628742512</v>
      </c>
    </row>
    <row r="2625" spans="1:14" x14ac:dyDescent="0.35">
      <c r="A2625" s="82">
        <v>2622</v>
      </c>
      <c r="B2625" s="89" t="str">
        <f>_xlfn.XLOOKUP(A2625,'Model Modeshare by TAZ'!A:A,'Model Modeshare by TAZ'!B:B)</f>
        <v>Unincorporated</v>
      </c>
      <c r="C2625" s="90" t="str">
        <f>_xlfn.XLOOKUP(A2625,'Model Modeshare by TAZ'!A:A,'Model Modeshare by TAZ'!D:D)</f>
        <v>NO</v>
      </c>
      <c r="D2625" s="27">
        <v>14447.89</v>
      </c>
      <c r="E2625" s="27">
        <v>781822.08</v>
      </c>
      <c r="F2625" s="27">
        <v>9708.7199999999993</v>
      </c>
      <c r="G2625" s="27">
        <v>261105.49</v>
      </c>
      <c r="H2625" s="27">
        <v>3134.51</v>
      </c>
      <c r="I2625" s="27">
        <v>68733.64</v>
      </c>
      <c r="J2625" s="6">
        <v>8556</v>
      </c>
      <c r="K2625" s="6">
        <v>2572</v>
      </c>
      <c r="L2625" s="27">
        <v>30.517238195418418</v>
      </c>
      <c r="M2625" s="27">
        <v>26.723810264385691</v>
      </c>
      <c r="N2625" s="34">
        <v>49.692876527677925</v>
      </c>
    </row>
    <row r="2626" spans="1:14" x14ac:dyDescent="0.35">
      <c r="A2626" s="82">
        <v>2623</v>
      </c>
      <c r="B2626" s="89" t="str">
        <f>_xlfn.XLOOKUP(A2626,'Model Modeshare by TAZ'!A:A,'Model Modeshare by TAZ'!B:B)</f>
        <v>Unincorporated</v>
      </c>
      <c r="C2626" s="90" t="str">
        <f>_xlfn.XLOOKUP(A2626,'Model Modeshare by TAZ'!A:A,'Model Modeshare by TAZ'!D:D)</f>
        <v>NO</v>
      </c>
      <c r="D2626" s="27">
        <v>17921.66</v>
      </c>
      <c r="E2626" s="27">
        <v>549260.31999999995</v>
      </c>
      <c r="F2626" s="27">
        <v>15424.12</v>
      </c>
      <c r="G2626" s="27">
        <v>259753.5</v>
      </c>
      <c r="H2626" s="27">
        <v>1701.69</v>
      </c>
      <c r="I2626" s="27">
        <v>20078.580000000002</v>
      </c>
      <c r="J2626" s="6">
        <v>11217</v>
      </c>
      <c r="K2626" s="6">
        <v>974</v>
      </c>
      <c r="L2626" s="27">
        <v>23.157127574217704</v>
      </c>
      <c r="M2626" s="27">
        <v>20.614558521560578</v>
      </c>
      <c r="N2626" s="34">
        <v>33.016806660651298</v>
      </c>
    </row>
    <row r="2627" spans="1:14" x14ac:dyDescent="0.35">
      <c r="A2627" s="82">
        <v>2624</v>
      </c>
      <c r="B2627" s="89" t="str">
        <f>_xlfn.XLOOKUP(A2627,'Model Modeshare by TAZ'!A:A,'Model Modeshare by TAZ'!B:B)</f>
        <v>Unincorporated</v>
      </c>
      <c r="C2627" s="90" t="str">
        <f>_xlfn.XLOOKUP(A2627,'Model Modeshare by TAZ'!A:A,'Model Modeshare by TAZ'!D:D)</f>
        <v>NO</v>
      </c>
      <c r="D2627" s="27">
        <v>25276.52</v>
      </c>
      <c r="E2627" s="27">
        <v>736716.93</v>
      </c>
      <c r="F2627" s="27">
        <v>14270.04</v>
      </c>
      <c r="G2627" s="27">
        <v>225734.81</v>
      </c>
      <c r="H2627" s="27">
        <v>14631.6</v>
      </c>
      <c r="I2627" s="27">
        <v>180744.03</v>
      </c>
      <c r="J2627" s="6">
        <v>10111</v>
      </c>
      <c r="K2627" s="6">
        <v>12095</v>
      </c>
      <c r="L2627" s="27">
        <v>22.325666106220947</v>
      </c>
      <c r="M2627" s="27">
        <v>14.943698222405953</v>
      </c>
      <c r="N2627" s="34">
        <v>34.734976132576783</v>
      </c>
    </row>
    <row r="2628" spans="1:14" x14ac:dyDescent="0.35">
      <c r="A2628" s="82">
        <v>2625</v>
      </c>
      <c r="B2628" s="89" t="str">
        <f>_xlfn.XLOOKUP(A2628,'Model Modeshare by TAZ'!A:A,'Model Modeshare by TAZ'!B:B)</f>
        <v>Unincorporated</v>
      </c>
      <c r="C2628" s="90" t="str">
        <f>_xlfn.XLOOKUP(A2628,'Model Modeshare by TAZ'!A:A,'Model Modeshare by TAZ'!D:D)</f>
        <v>NO</v>
      </c>
      <c r="D2628" s="27">
        <v>9597.49</v>
      </c>
      <c r="E2628" s="27">
        <v>159447.37</v>
      </c>
      <c r="F2628" s="27">
        <v>8492.44</v>
      </c>
      <c r="G2628" s="27">
        <v>72214.95</v>
      </c>
      <c r="H2628" s="27">
        <v>1387.93</v>
      </c>
      <c r="I2628" s="27">
        <v>12138.95</v>
      </c>
      <c r="J2628" s="6">
        <v>5534</v>
      </c>
      <c r="K2628" s="6">
        <v>814</v>
      </c>
      <c r="L2628" s="27">
        <v>13.049322370798699</v>
      </c>
      <c r="M2628" s="27">
        <v>14.912714987714988</v>
      </c>
      <c r="N2628" s="34">
        <v>22.073240390674226</v>
      </c>
    </row>
    <row r="2629" spans="1:14" x14ac:dyDescent="0.35">
      <c r="A2629" s="82">
        <v>2626</v>
      </c>
      <c r="B2629" s="89" t="str">
        <f>_xlfn.XLOOKUP(A2629,'Model Modeshare by TAZ'!A:A,'Model Modeshare by TAZ'!B:B)</f>
        <v>Napa</v>
      </c>
      <c r="C2629" s="90" t="str">
        <f>_xlfn.XLOOKUP(A2629,'Model Modeshare by TAZ'!A:A,'Model Modeshare by TAZ'!D:D)</f>
        <v>NO</v>
      </c>
      <c r="D2629" s="27">
        <v>5358.98</v>
      </c>
      <c r="E2629" s="27">
        <v>90010.69</v>
      </c>
      <c r="F2629" s="27">
        <v>52.74</v>
      </c>
      <c r="G2629" s="27">
        <v>382.55</v>
      </c>
      <c r="H2629" s="27">
        <v>3614.24</v>
      </c>
      <c r="I2629" s="27">
        <v>32774.050000000003</v>
      </c>
      <c r="J2629" s="6">
        <v>70</v>
      </c>
      <c r="K2629" s="6">
        <v>3284</v>
      </c>
      <c r="L2629" s="27">
        <v>5.4649999999999999</v>
      </c>
      <c r="M2629" s="27">
        <v>9.9799177831912314</v>
      </c>
      <c r="N2629" s="34">
        <v>28.400679785330951</v>
      </c>
    </row>
    <row r="2630" spans="1:14" x14ac:dyDescent="0.35">
      <c r="A2630" s="82">
        <v>2627</v>
      </c>
      <c r="B2630" s="89" t="str">
        <f>_xlfn.XLOOKUP(A2630,'Model Modeshare by TAZ'!A:A,'Model Modeshare by TAZ'!B:B)</f>
        <v>Napa</v>
      </c>
      <c r="C2630" s="90" t="str">
        <f>_xlfn.XLOOKUP(A2630,'Model Modeshare by TAZ'!A:A,'Model Modeshare by TAZ'!D:D)</f>
        <v>NO</v>
      </c>
      <c r="D2630" s="27">
        <v>16247.53</v>
      </c>
      <c r="E2630" s="27">
        <v>247836.2</v>
      </c>
      <c r="F2630" s="27">
        <v>10692.09</v>
      </c>
      <c r="G2630" s="27">
        <v>83788.289999999994</v>
      </c>
      <c r="H2630" s="27">
        <v>2814.21</v>
      </c>
      <c r="I2630" s="27">
        <v>25123.18</v>
      </c>
      <c r="J2630" s="6">
        <v>7896</v>
      </c>
      <c r="K2630" s="6">
        <v>2350</v>
      </c>
      <c r="L2630" s="27">
        <v>10.61148556231003</v>
      </c>
      <c r="M2630" s="27">
        <v>10.690714893617022</v>
      </c>
      <c r="N2630" s="34">
        <v>19.860387468280305</v>
      </c>
    </row>
    <row r="2631" spans="1:14" x14ac:dyDescent="0.35">
      <c r="A2631" s="82">
        <v>2628</v>
      </c>
      <c r="B2631" s="89" t="str">
        <f>_xlfn.XLOOKUP(A2631,'Model Modeshare by TAZ'!A:A,'Model Modeshare by TAZ'!B:B)</f>
        <v>Unincorporated</v>
      </c>
      <c r="C2631" s="90" t="str">
        <f>_xlfn.XLOOKUP(A2631,'Model Modeshare by TAZ'!A:A,'Model Modeshare by TAZ'!D:D)</f>
        <v>NO</v>
      </c>
      <c r="D2631" s="27">
        <v>6981.29</v>
      </c>
      <c r="E2631" s="27">
        <v>85182.46</v>
      </c>
      <c r="F2631" s="27">
        <v>5701.82</v>
      </c>
      <c r="G2631" s="27">
        <v>33142.550000000003</v>
      </c>
      <c r="H2631" s="27">
        <v>1233.46</v>
      </c>
      <c r="I2631" s="27">
        <v>9005.8700000000008</v>
      </c>
      <c r="J2631" s="6">
        <v>3747</v>
      </c>
      <c r="K2631" s="6">
        <v>859</v>
      </c>
      <c r="L2631" s="27">
        <v>8.8450894048572195</v>
      </c>
      <c r="M2631" s="27">
        <v>10.484132712456345</v>
      </c>
      <c r="N2631" s="34">
        <v>15.87334780720799</v>
      </c>
    </row>
    <row r="2632" spans="1:14" x14ac:dyDescent="0.35">
      <c r="A2632" s="82">
        <v>2629</v>
      </c>
      <c r="B2632" s="89" t="str">
        <f>_xlfn.XLOOKUP(A2632,'Model Modeshare by TAZ'!A:A,'Model Modeshare by TAZ'!B:B)</f>
        <v>Napa</v>
      </c>
      <c r="C2632" s="90" t="str">
        <f>_xlfn.XLOOKUP(A2632,'Model Modeshare by TAZ'!A:A,'Model Modeshare by TAZ'!D:D)</f>
        <v>NO</v>
      </c>
      <c r="D2632" s="27">
        <v>18108.080000000002</v>
      </c>
      <c r="E2632" s="27">
        <v>220030.41</v>
      </c>
      <c r="F2632" s="27">
        <v>12498.68</v>
      </c>
      <c r="G2632" s="27">
        <v>75043.22</v>
      </c>
      <c r="H2632" s="27">
        <v>2923.46</v>
      </c>
      <c r="I2632" s="27">
        <v>22263.18</v>
      </c>
      <c r="J2632" s="6">
        <v>8914</v>
      </c>
      <c r="K2632" s="6">
        <v>2275</v>
      </c>
      <c r="L2632" s="27">
        <v>8.4185797621718645</v>
      </c>
      <c r="M2632" s="27">
        <v>9.7860131868131877</v>
      </c>
      <c r="N2632" s="34">
        <v>16.419535257842522</v>
      </c>
    </row>
    <row r="2633" spans="1:14" x14ac:dyDescent="0.35">
      <c r="A2633" s="82">
        <v>2630</v>
      </c>
      <c r="B2633" s="89" t="str">
        <f>_xlfn.XLOOKUP(A2633,'Model Modeshare by TAZ'!A:A,'Model Modeshare by TAZ'!B:B)</f>
        <v>Napa</v>
      </c>
      <c r="C2633" s="90" t="str">
        <f>_xlfn.XLOOKUP(A2633,'Model Modeshare by TAZ'!A:A,'Model Modeshare by TAZ'!D:D)</f>
        <v>NO</v>
      </c>
      <c r="D2633" s="27">
        <v>12331.68</v>
      </c>
      <c r="E2633" s="27">
        <v>161494.63</v>
      </c>
      <c r="F2633" s="27">
        <v>2746.39</v>
      </c>
      <c r="G2633" s="27">
        <v>17496.29</v>
      </c>
      <c r="H2633" s="27">
        <v>3352.4</v>
      </c>
      <c r="I2633" s="27">
        <v>23986.61</v>
      </c>
      <c r="J2633" s="6">
        <v>1890</v>
      </c>
      <c r="K2633" s="6">
        <v>3235</v>
      </c>
      <c r="L2633" s="27">
        <v>9.2572962962962961</v>
      </c>
      <c r="M2633" s="27">
        <v>7.4147171561051008</v>
      </c>
      <c r="N2633" s="34">
        <v>21.392659512195124</v>
      </c>
    </row>
    <row r="2634" spans="1:14" x14ac:dyDescent="0.35">
      <c r="A2634" s="82">
        <v>2631</v>
      </c>
      <c r="B2634" s="89" t="str">
        <f>_xlfn.XLOOKUP(A2634,'Model Modeshare by TAZ'!A:A,'Model Modeshare by TAZ'!B:B)</f>
        <v>Napa</v>
      </c>
      <c r="C2634" s="90" t="str">
        <f>_xlfn.XLOOKUP(A2634,'Model Modeshare by TAZ'!A:A,'Model Modeshare by TAZ'!D:D)</f>
        <v>NO</v>
      </c>
      <c r="D2634" s="27">
        <v>13955.37</v>
      </c>
      <c r="E2634" s="27">
        <v>205752.54</v>
      </c>
      <c r="F2634" s="27">
        <v>3258.33</v>
      </c>
      <c r="G2634" s="27">
        <v>22926.720000000001</v>
      </c>
      <c r="H2634" s="27">
        <v>9537.82</v>
      </c>
      <c r="I2634" s="27">
        <v>82026.37</v>
      </c>
      <c r="J2634" s="6">
        <v>2639</v>
      </c>
      <c r="K2634" s="6">
        <v>9459</v>
      </c>
      <c r="L2634" s="27">
        <v>8.6876544145509662</v>
      </c>
      <c r="M2634" s="27">
        <v>8.6717803150438737</v>
      </c>
      <c r="N2634" s="34">
        <v>26.450186807736817</v>
      </c>
    </row>
    <row r="2635" spans="1:14" x14ac:dyDescent="0.35">
      <c r="A2635" s="82">
        <v>2632</v>
      </c>
      <c r="B2635" s="89" t="str">
        <f>_xlfn.XLOOKUP(A2635,'Model Modeshare by TAZ'!A:A,'Model Modeshare by TAZ'!B:B)</f>
        <v>Napa</v>
      </c>
      <c r="C2635" s="90" t="str">
        <f>_xlfn.XLOOKUP(A2635,'Model Modeshare by TAZ'!A:A,'Model Modeshare by TAZ'!D:D)</f>
        <v>NO</v>
      </c>
      <c r="D2635" s="27">
        <v>4220.6400000000003</v>
      </c>
      <c r="E2635" s="27">
        <v>64647.23</v>
      </c>
      <c r="F2635" s="27">
        <v>4043.22</v>
      </c>
      <c r="G2635" s="27">
        <v>30975.279999999999</v>
      </c>
      <c r="H2635" s="27">
        <v>644.05999999999995</v>
      </c>
      <c r="I2635" s="27">
        <v>5258.45</v>
      </c>
      <c r="J2635" s="6">
        <v>2555</v>
      </c>
      <c r="K2635" s="6">
        <v>384</v>
      </c>
      <c r="L2635" s="27">
        <v>12.123397260273972</v>
      </c>
      <c r="M2635" s="27">
        <v>13.693880208333333</v>
      </c>
      <c r="N2635" s="34">
        <v>18.565212657366452</v>
      </c>
    </row>
    <row r="2636" spans="1:14" x14ac:dyDescent="0.35">
      <c r="A2636" s="82">
        <v>2633</v>
      </c>
      <c r="B2636" s="89" t="str">
        <f>_xlfn.XLOOKUP(A2636,'Model Modeshare by TAZ'!A:A,'Model Modeshare by TAZ'!B:B)</f>
        <v>Napa</v>
      </c>
      <c r="C2636" s="90" t="str">
        <f>_xlfn.XLOOKUP(A2636,'Model Modeshare by TAZ'!A:A,'Model Modeshare by TAZ'!D:D)</f>
        <v>NO</v>
      </c>
      <c r="D2636" s="27">
        <v>10057.950000000001</v>
      </c>
      <c r="E2636" s="27">
        <v>157028.57999999999</v>
      </c>
      <c r="F2636" s="27">
        <v>4682.1499999999996</v>
      </c>
      <c r="G2636" s="27">
        <v>35602.22</v>
      </c>
      <c r="H2636" s="27">
        <v>2394.3000000000002</v>
      </c>
      <c r="I2636" s="27">
        <v>19204.96</v>
      </c>
      <c r="J2636" s="6">
        <v>3462</v>
      </c>
      <c r="K2636" s="6">
        <v>2246</v>
      </c>
      <c r="L2636" s="27">
        <v>10.283714615829</v>
      </c>
      <c r="M2636" s="27">
        <v>8.5507390917186097</v>
      </c>
      <c r="N2636" s="34">
        <v>18.798195515066574</v>
      </c>
    </row>
    <row r="2637" spans="1:14" x14ac:dyDescent="0.35">
      <c r="A2637" s="82">
        <v>2634</v>
      </c>
      <c r="B2637" s="89" t="str">
        <f>_xlfn.XLOOKUP(A2637,'Model Modeshare by TAZ'!A:A,'Model Modeshare by TAZ'!B:B)</f>
        <v>Unincorporated</v>
      </c>
      <c r="C2637" s="90" t="str">
        <f>_xlfn.XLOOKUP(A2637,'Model Modeshare by TAZ'!A:A,'Model Modeshare by TAZ'!D:D)</f>
        <v>NO</v>
      </c>
      <c r="D2637" s="27">
        <v>13979</v>
      </c>
      <c r="E2637" s="27">
        <v>222444.79999999999</v>
      </c>
      <c r="F2637" s="27">
        <v>9806.4</v>
      </c>
      <c r="G2637" s="27">
        <v>72268.95</v>
      </c>
      <c r="H2637" s="27">
        <v>1582.1</v>
      </c>
      <c r="I2637" s="27">
        <v>12976.62</v>
      </c>
      <c r="J2637" s="6">
        <v>7879</v>
      </c>
      <c r="K2637" s="6">
        <v>1060</v>
      </c>
      <c r="L2637" s="27">
        <v>9.1723505521005197</v>
      </c>
      <c r="M2637" s="27">
        <v>12.242094339622643</v>
      </c>
      <c r="N2637" s="34">
        <v>16.75963083118917</v>
      </c>
    </row>
    <row r="2638" spans="1:14" x14ac:dyDescent="0.35">
      <c r="A2638" s="82">
        <v>2635</v>
      </c>
      <c r="B2638" s="89" t="str">
        <f>_xlfn.XLOOKUP(A2638,'Model Modeshare by TAZ'!A:A,'Model Modeshare by TAZ'!B:B)</f>
        <v>Napa</v>
      </c>
      <c r="C2638" s="90" t="str">
        <f>_xlfn.XLOOKUP(A2638,'Model Modeshare by TAZ'!A:A,'Model Modeshare by TAZ'!D:D)</f>
        <v>NO</v>
      </c>
      <c r="D2638" s="27">
        <v>4119.22</v>
      </c>
      <c r="E2638" s="27">
        <v>65756.62</v>
      </c>
      <c r="F2638" s="27">
        <v>4954</v>
      </c>
      <c r="G2638" s="27">
        <v>43454.52</v>
      </c>
      <c r="H2638" s="27">
        <v>205.76</v>
      </c>
      <c r="I2638" s="27">
        <v>1856.21</v>
      </c>
      <c r="J2638" s="6">
        <v>3107</v>
      </c>
      <c r="K2638" s="6">
        <v>126</v>
      </c>
      <c r="L2638" s="27">
        <v>13.986005793369809</v>
      </c>
      <c r="M2638" s="27">
        <v>14.731825396825396</v>
      </c>
      <c r="N2638" s="34">
        <v>20.645317042994122</v>
      </c>
    </row>
    <row r="2639" spans="1:14" x14ac:dyDescent="0.35">
      <c r="A2639" s="82">
        <v>2636</v>
      </c>
      <c r="B2639" s="89" t="str">
        <f>_xlfn.XLOOKUP(A2639,'Model Modeshare by TAZ'!A:A,'Model Modeshare by TAZ'!B:B)</f>
        <v>Napa</v>
      </c>
      <c r="C2639" s="90" t="str">
        <f>_xlfn.XLOOKUP(A2639,'Model Modeshare by TAZ'!A:A,'Model Modeshare by TAZ'!D:D)</f>
        <v>NO</v>
      </c>
      <c r="D2639" s="27">
        <v>11627.96</v>
      </c>
      <c r="E2639" s="27">
        <v>157111.37</v>
      </c>
      <c r="F2639" s="27">
        <v>11026.56</v>
      </c>
      <c r="G2639" s="27">
        <v>79075.100000000006</v>
      </c>
      <c r="H2639" s="27">
        <v>1818.86</v>
      </c>
      <c r="I2639" s="27">
        <v>13563.85</v>
      </c>
      <c r="J2639" s="6">
        <v>7448</v>
      </c>
      <c r="K2639" s="6">
        <v>1109</v>
      </c>
      <c r="L2639" s="27">
        <v>10.616957572502686</v>
      </c>
      <c r="M2639" s="27">
        <v>12.230703336339044</v>
      </c>
      <c r="N2639" s="34">
        <v>16.831276148182777</v>
      </c>
    </row>
    <row r="2640" spans="1:14" x14ac:dyDescent="0.35">
      <c r="A2640" s="82">
        <v>2637</v>
      </c>
      <c r="B2640" s="89" t="str">
        <f>_xlfn.XLOOKUP(A2640,'Model Modeshare by TAZ'!A:A,'Model Modeshare by TAZ'!B:B)</f>
        <v>Napa</v>
      </c>
      <c r="C2640" s="90" t="str">
        <f>_xlfn.XLOOKUP(A2640,'Model Modeshare by TAZ'!A:A,'Model Modeshare by TAZ'!D:D)</f>
        <v>NO</v>
      </c>
      <c r="D2640" s="27">
        <v>12614.64</v>
      </c>
      <c r="E2640" s="27">
        <v>146549.21</v>
      </c>
      <c r="F2640" s="27">
        <v>6840.67</v>
      </c>
      <c r="G2640" s="27">
        <v>42023.53</v>
      </c>
      <c r="H2640" s="27">
        <v>3402.65</v>
      </c>
      <c r="I2640" s="27">
        <v>24320.93</v>
      </c>
      <c r="J2640" s="6">
        <v>5083</v>
      </c>
      <c r="K2640" s="6">
        <v>3407</v>
      </c>
      <c r="L2640" s="27">
        <v>8.2674660633484169</v>
      </c>
      <c r="M2640" s="27">
        <v>7.1385177575579686</v>
      </c>
      <c r="N2640" s="34">
        <v>17.285076560659597</v>
      </c>
    </row>
    <row r="2641" spans="1:14" x14ac:dyDescent="0.35">
      <c r="A2641" s="82">
        <v>2638</v>
      </c>
      <c r="B2641" s="89" t="str">
        <f>_xlfn.XLOOKUP(A2641,'Model Modeshare by TAZ'!A:A,'Model Modeshare by TAZ'!B:B)</f>
        <v>Napa</v>
      </c>
      <c r="C2641" s="90" t="str">
        <f>_xlfn.XLOOKUP(A2641,'Model Modeshare by TAZ'!A:A,'Model Modeshare by TAZ'!D:D)</f>
        <v>NO</v>
      </c>
      <c r="D2641" s="27">
        <v>24609.03</v>
      </c>
      <c r="E2641" s="27">
        <v>335244.34000000003</v>
      </c>
      <c r="F2641" s="27">
        <v>12539.84</v>
      </c>
      <c r="G2641" s="27">
        <v>79130.350000000006</v>
      </c>
      <c r="H2641" s="27">
        <v>3708.06</v>
      </c>
      <c r="I2641" s="27">
        <v>28549.14</v>
      </c>
      <c r="J2641" s="6">
        <v>9660</v>
      </c>
      <c r="K2641" s="6">
        <v>3474</v>
      </c>
      <c r="L2641" s="27">
        <v>8.1915476190476202</v>
      </c>
      <c r="M2641" s="27">
        <v>8.2179447322970631</v>
      </c>
      <c r="N2641" s="34">
        <v>15.592430333485611</v>
      </c>
    </row>
    <row r="2642" spans="1:14" x14ac:dyDescent="0.35">
      <c r="A2642" s="82">
        <v>2639</v>
      </c>
      <c r="B2642" s="89" t="str">
        <f>_xlfn.XLOOKUP(A2642,'Model Modeshare by TAZ'!A:A,'Model Modeshare by TAZ'!B:B)</f>
        <v>Napa</v>
      </c>
      <c r="C2642" s="90" t="str">
        <f>_xlfn.XLOOKUP(A2642,'Model Modeshare by TAZ'!A:A,'Model Modeshare by TAZ'!D:D)</f>
        <v>NO</v>
      </c>
      <c r="D2642" s="27">
        <v>13215.55</v>
      </c>
      <c r="E2642" s="27">
        <v>214559.12</v>
      </c>
      <c r="F2642" s="27">
        <v>10452.469999999999</v>
      </c>
      <c r="G2642" s="27">
        <v>91622.6</v>
      </c>
      <c r="H2642" s="27">
        <v>1304.24</v>
      </c>
      <c r="I2642" s="27">
        <v>11114.37</v>
      </c>
      <c r="J2642" s="6">
        <v>6542</v>
      </c>
      <c r="K2642" s="6">
        <v>785</v>
      </c>
      <c r="L2642" s="27">
        <v>14.005288902476307</v>
      </c>
      <c r="M2642" s="27">
        <v>14.15843312101911</v>
      </c>
      <c r="N2642" s="34">
        <v>24.035310495427868</v>
      </c>
    </row>
    <row r="2643" spans="1:14" x14ac:dyDescent="0.35">
      <c r="A2643" s="82">
        <v>2640</v>
      </c>
      <c r="B2643" s="89" t="str">
        <f>_xlfn.XLOOKUP(A2643,'Model Modeshare by TAZ'!A:A,'Model Modeshare by TAZ'!B:B)</f>
        <v>Unincorporated</v>
      </c>
      <c r="C2643" s="90" t="str">
        <f>_xlfn.XLOOKUP(A2643,'Model Modeshare by TAZ'!A:A,'Model Modeshare by TAZ'!D:D)</f>
        <v>NO</v>
      </c>
      <c r="D2643" s="27">
        <v>7186.45</v>
      </c>
      <c r="E2643" s="27">
        <v>226905.32</v>
      </c>
      <c r="F2643" s="27">
        <v>6443.53</v>
      </c>
      <c r="G2643" s="27">
        <v>99374.28</v>
      </c>
      <c r="H2643" s="27">
        <v>1848.09</v>
      </c>
      <c r="I2643" s="27">
        <v>25153.27</v>
      </c>
      <c r="J2643" s="6">
        <v>4140</v>
      </c>
      <c r="K2643" s="6">
        <v>1213</v>
      </c>
      <c r="L2643" s="27">
        <v>24.003449275362318</v>
      </c>
      <c r="M2643" s="27">
        <v>20.73641384995878</v>
      </c>
      <c r="N2643" s="34">
        <v>37.718789463852048</v>
      </c>
    </row>
    <row r="2644" spans="1:14" x14ac:dyDescent="0.35">
      <c r="A2644" s="82">
        <v>2641</v>
      </c>
      <c r="B2644" s="89" t="str">
        <f>_xlfn.XLOOKUP(A2644,'Model Modeshare by TAZ'!A:A,'Model Modeshare by TAZ'!B:B)</f>
        <v>Unincorporated</v>
      </c>
      <c r="C2644" s="90" t="str">
        <f>_xlfn.XLOOKUP(A2644,'Model Modeshare by TAZ'!A:A,'Model Modeshare by TAZ'!D:D)</f>
        <v>NO</v>
      </c>
      <c r="D2644" s="27">
        <v>9150.64</v>
      </c>
      <c r="E2644" s="27">
        <v>196749.71</v>
      </c>
      <c r="F2644" s="27">
        <v>8491.14</v>
      </c>
      <c r="G2644" s="27">
        <v>93252.73</v>
      </c>
      <c r="H2644" s="27">
        <v>2669.65</v>
      </c>
      <c r="I2644" s="27">
        <v>31560.6</v>
      </c>
      <c r="J2644" s="6">
        <v>4859</v>
      </c>
      <c r="K2644" s="6">
        <v>1779</v>
      </c>
      <c r="L2644" s="27">
        <v>19.191753447211358</v>
      </c>
      <c r="M2644" s="27">
        <v>17.740640809443505</v>
      </c>
      <c r="N2644" s="34">
        <v>31.483918348900271</v>
      </c>
    </row>
    <row r="2645" spans="1:14" x14ac:dyDescent="0.35">
      <c r="A2645" s="82">
        <v>2642</v>
      </c>
      <c r="B2645" s="89" t="str">
        <f>_xlfn.XLOOKUP(A2645,'Model Modeshare by TAZ'!A:A,'Model Modeshare by TAZ'!B:B)</f>
        <v>Yountville</v>
      </c>
      <c r="C2645" s="90" t="str">
        <f>_xlfn.XLOOKUP(A2645,'Model Modeshare by TAZ'!A:A,'Model Modeshare by TAZ'!D:D)</f>
        <v>NO</v>
      </c>
      <c r="D2645" s="27">
        <v>11674.66</v>
      </c>
      <c r="E2645" s="27">
        <v>269448.40000000002</v>
      </c>
      <c r="F2645" s="27">
        <v>3303.33</v>
      </c>
      <c r="G2645" s="27">
        <v>33689.81</v>
      </c>
      <c r="H2645" s="27">
        <v>2016.98</v>
      </c>
      <c r="I2645" s="27">
        <v>24526.34</v>
      </c>
      <c r="J2645" s="6">
        <v>2007</v>
      </c>
      <c r="K2645" s="6">
        <v>1701</v>
      </c>
      <c r="L2645" s="27">
        <v>16.78615346287992</v>
      </c>
      <c r="M2645" s="27">
        <v>14.418777189888301</v>
      </c>
      <c r="N2645" s="34">
        <v>37.543975188781012</v>
      </c>
    </row>
    <row r="2646" spans="1:14" x14ac:dyDescent="0.35">
      <c r="A2646" s="82">
        <v>2643</v>
      </c>
      <c r="B2646" s="89" t="str">
        <f>_xlfn.XLOOKUP(A2646,'Model Modeshare by TAZ'!A:A,'Model Modeshare by TAZ'!B:B)</f>
        <v>Unincorporated</v>
      </c>
      <c r="C2646" s="90" t="str">
        <f>_xlfn.XLOOKUP(A2646,'Model Modeshare by TAZ'!A:A,'Model Modeshare by TAZ'!D:D)</f>
        <v>NO</v>
      </c>
      <c r="D2646" s="27">
        <v>13687.95</v>
      </c>
      <c r="E2646" s="27">
        <v>255288.56</v>
      </c>
      <c r="F2646" s="27">
        <v>12184.16</v>
      </c>
      <c r="G2646" s="27">
        <v>107115.38</v>
      </c>
      <c r="H2646" s="27">
        <v>5301.68</v>
      </c>
      <c r="I2646" s="27">
        <v>49724.89</v>
      </c>
      <c r="J2646" s="6">
        <v>7341</v>
      </c>
      <c r="K2646" s="6">
        <v>4151</v>
      </c>
      <c r="L2646" s="27">
        <v>14.591388094265087</v>
      </c>
      <c r="M2646" s="27">
        <v>11.979014695254156</v>
      </c>
      <c r="N2646" s="34">
        <v>23.769413505046987</v>
      </c>
    </row>
    <row r="2647" spans="1:14" x14ac:dyDescent="0.35">
      <c r="A2647" s="82">
        <v>2644</v>
      </c>
      <c r="B2647" s="89" t="str">
        <f>_xlfn.XLOOKUP(A2647,'Model Modeshare by TAZ'!A:A,'Model Modeshare by TAZ'!B:B)</f>
        <v>Unincorporated</v>
      </c>
      <c r="C2647" s="90" t="str">
        <f>_xlfn.XLOOKUP(A2647,'Model Modeshare by TAZ'!A:A,'Model Modeshare by TAZ'!D:D)</f>
        <v>NO</v>
      </c>
      <c r="D2647" s="27">
        <v>3066.24</v>
      </c>
      <c r="E2647" s="27">
        <v>112993.13</v>
      </c>
      <c r="F2647" s="27">
        <v>2737.84</v>
      </c>
      <c r="G2647" s="27">
        <v>44669.05</v>
      </c>
      <c r="H2647" s="27">
        <v>984.91</v>
      </c>
      <c r="I2647" s="27">
        <v>21434.93</v>
      </c>
      <c r="J2647" s="6">
        <v>1888</v>
      </c>
      <c r="K2647" s="6">
        <v>759</v>
      </c>
      <c r="L2647" s="27">
        <v>23.659454449152545</v>
      </c>
      <c r="M2647" s="27">
        <v>28.241014492753624</v>
      </c>
      <c r="N2647" s="34">
        <v>41.651069134869665</v>
      </c>
    </row>
    <row r="2648" spans="1:14" x14ac:dyDescent="0.35">
      <c r="A2648" s="82">
        <v>2645</v>
      </c>
      <c r="B2648" s="89" t="str">
        <f>_xlfn.XLOOKUP(A2648,'Model Modeshare by TAZ'!A:A,'Model Modeshare by TAZ'!B:B)</f>
        <v>Unincorporated</v>
      </c>
      <c r="C2648" s="90" t="str">
        <f>_xlfn.XLOOKUP(A2648,'Model Modeshare by TAZ'!A:A,'Model Modeshare by TAZ'!D:D)</f>
        <v>NO</v>
      </c>
      <c r="D2648" s="27">
        <v>13224.31</v>
      </c>
      <c r="E2648" s="27">
        <v>368657.85</v>
      </c>
      <c r="F2648" s="27">
        <v>8256.59</v>
      </c>
      <c r="G2648" s="27">
        <v>108081.15</v>
      </c>
      <c r="H2648" s="27">
        <v>4727.54</v>
      </c>
      <c r="I2648" s="27">
        <v>70586.149999999994</v>
      </c>
      <c r="J2648" s="6">
        <v>5010</v>
      </c>
      <c r="K2648" s="6">
        <v>4068</v>
      </c>
      <c r="L2648" s="27">
        <v>21.573083832335328</v>
      </c>
      <c r="M2648" s="27">
        <v>17.351560963618486</v>
      </c>
      <c r="N2648" s="34">
        <v>33.986425424102229</v>
      </c>
    </row>
    <row r="2649" spans="1:14" x14ac:dyDescent="0.35">
      <c r="A2649" s="82">
        <v>2646</v>
      </c>
      <c r="B2649" s="89" t="str">
        <f>_xlfn.XLOOKUP(A2649,'Model Modeshare by TAZ'!A:A,'Model Modeshare by TAZ'!B:B)</f>
        <v>St. Helena</v>
      </c>
      <c r="C2649" s="90" t="str">
        <f>_xlfn.XLOOKUP(A2649,'Model Modeshare by TAZ'!A:A,'Model Modeshare by TAZ'!D:D)</f>
        <v>NO</v>
      </c>
      <c r="D2649" s="27">
        <v>18011.09</v>
      </c>
      <c r="E2649" s="27">
        <v>407111.86</v>
      </c>
      <c r="F2649" s="27">
        <v>9958.3700000000008</v>
      </c>
      <c r="G2649" s="27">
        <v>81911.210000000006</v>
      </c>
      <c r="H2649" s="27">
        <v>6082.53</v>
      </c>
      <c r="I2649" s="27">
        <v>80309.48</v>
      </c>
      <c r="J2649" s="6">
        <v>5864</v>
      </c>
      <c r="K2649" s="6">
        <v>5602</v>
      </c>
      <c r="L2649" s="27">
        <v>13.968487380627559</v>
      </c>
      <c r="M2649" s="27">
        <v>14.335858621920742</v>
      </c>
      <c r="N2649" s="34">
        <v>28.347423687423689</v>
      </c>
    </row>
    <row r="2650" spans="1:14" x14ac:dyDescent="0.35">
      <c r="A2650" s="82">
        <v>2647</v>
      </c>
      <c r="B2650" s="89" t="str">
        <f>_xlfn.XLOOKUP(A2650,'Model Modeshare by TAZ'!A:A,'Model Modeshare by TAZ'!B:B)</f>
        <v>Unincorporated</v>
      </c>
      <c r="C2650" s="90" t="str">
        <f>_xlfn.XLOOKUP(A2650,'Model Modeshare by TAZ'!A:A,'Model Modeshare by TAZ'!D:D)</f>
        <v>NO</v>
      </c>
      <c r="D2650" s="27">
        <v>8671.49</v>
      </c>
      <c r="E2650" s="27">
        <v>291782.93</v>
      </c>
      <c r="F2650" s="27">
        <v>3045.75</v>
      </c>
      <c r="G2650" s="27">
        <v>36076.01</v>
      </c>
      <c r="H2650" s="27">
        <v>6472.76</v>
      </c>
      <c r="I2650" s="27">
        <v>108199.47</v>
      </c>
      <c r="J2650" s="6">
        <v>1918</v>
      </c>
      <c r="K2650" s="6">
        <v>4907</v>
      </c>
      <c r="L2650" s="27">
        <v>18.809181438998959</v>
      </c>
      <c r="M2650" s="27">
        <v>22.050024454860402</v>
      </c>
      <c r="N2650" s="34">
        <v>36.809876923076921</v>
      </c>
    </row>
    <row r="2651" spans="1:14" x14ac:dyDescent="0.35">
      <c r="A2651" s="82">
        <v>2648</v>
      </c>
      <c r="B2651" s="89" t="str">
        <f>_xlfn.XLOOKUP(A2651,'Model Modeshare by TAZ'!A:A,'Model Modeshare by TAZ'!B:B)</f>
        <v>Unincorporated</v>
      </c>
      <c r="C2651" s="90" t="str">
        <f>_xlfn.XLOOKUP(A2651,'Model Modeshare by TAZ'!A:A,'Model Modeshare by TAZ'!D:D)</f>
        <v>NO</v>
      </c>
      <c r="D2651" s="27">
        <v>3142.31</v>
      </c>
      <c r="E2651" s="27">
        <v>90905.79</v>
      </c>
      <c r="F2651" s="27">
        <v>2134.12</v>
      </c>
      <c r="G2651" s="27">
        <v>29988.89</v>
      </c>
      <c r="H2651" s="27">
        <v>1786</v>
      </c>
      <c r="I2651" s="27">
        <v>30892.639999999999</v>
      </c>
      <c r="J2651" s="6">
        <v>1327</v>
      </c>
      <c r="K2651" s="6">
        <v>1382</v>
      </c>
      <c r="L2651" s="27">
        <v>22.599012810851544</v>
      </c>
      <c r="M2651" s="27">
        <v>22.353574529667149</v>
      </c>
      <c r="N2651" s="34">
        <v>35.209121447028423</v>
      </c>
    </row>
    <row r="2652" spans="1:14" x14ac:dyDescent="0.35">
      <c r="A2652" s="82">
        <v>2649</v>
      </c>
      <c r="B2652" s="89" t="str">
        <f>_xlfn.XLOOKUP(A2652,'Model Modeshare by TAZ'!A:A,'Model Modeshare by TAZ'!B:B)</f>
        <v>Calistoga</v>
      </c>
      <c r="C2652" s="90" t="str">
        <f>_xlfn.XLOOKUP(A2652,'Model Modeshare by TAZ'!A:A,'Model Modeshare by TAZ'!D:D)</f>
        <v>NO</v>
      </c>
      <c r="D2652" s="27">
        <v>9959.35</v>
      </c>
      <c r="E2652" s="27">
        <v>247556.39</v>
      </c>
      <c r="F2652" s="27">
        <v>7036.06</v>
      </c>
      <c r="G2652" s="27">
        <v>87061.48</v>
      </c>
      <c r="H2652" s="27">
        <v>2684.6</v>
      </c>
      <c r="I2652" s="27">
        <v>43613.72</v>
      </c>
      <c r="J2652" s="6">
        <v>5179</v>
      </c>
      <c r="K2652" s="6">
        <v>2334</v>
      </c>
      <c r="L2652" s="27">
        <v>16.81048078779687</v>
      </c>
      <c r="M2652" s="27">
        <v>18.686255355612683</v>
      </c>
      <c r="N2652" s="34">
        <v>31.082075069878876</v>
      </c>
    </row>
    <row r="2653" spans="1:14" x14ac:dyDescent="0.35">
      <c r="A2653" s="82">
        <v>2650</v>
      </c>
      <c r="B2653" s="89" t="str">
        <f>_xlfn.XLOOKUP(A2653,'Model Modeshare by TAZ'!A:A,'Model Modeshare by TAZ'!B:B)</f>
        <v>Unincorporated</v>
      </c>
      <c r="C2653" s="90" t="str">
        <f>_xlfn.XLOOKUP(A2653,'Model Modeshare by TAZ'!A:A,'Model Modeshare by TAZ'!D:D)</f>
        <v>NO</v>
      </c>
      <c r="D2653" s="27">
        <v>11024.35</v>
      </c>
      <c r="E2653" s="27">
        <v>298342.46000000002</v>
      </c>
      <c r="F2653" s="27">
        <v>7068.6</v>
      </c>
      <c r="G2653" s="27">
        <v>99102.45</v>
      </c>
      <c r="H2653" s="27">
        <v>2325.9299999999998</v>
      </c>
      <c r="I2653" s="27">
        <v>31509.32</v>
      </c>
      <c r="J2653" s="6">
        <v>4665</v>
      </c>
      <c r="K2653" s="6">
        <v>1610</v>
      </c>
      <c r="L2653" s="27">
        <v>21.243826366559485</v>
      </c>
      <c r="M2653" s="27">
        <v>19.571006211180123</v>
      </c>
      <c r="N2653" s="34">
        <v>35.924713944223107</v>
      </c>
    </row>
    <row r="2654" spans="1:14" x14ac:dyDescent="0.35">
      <c r="A2654" s="82">
        <v>2651</v>
      </c>
      <c r="B2654" s="89" t="str">
        <f>_xlfn.XLOOKUP(A2654,'Model Modeshare by TAZ'!A:A,'Model Modeshare by TAZ'!B:B)</f>
        <v>Unincorporated</v>
      </c>
      <c r="C2654" s="90" t="str">
        <f>_xlfn.XLOOKUP(A2654,'Model Modeshare by TAZ'!A:A,'Model Modeshare by TAZ'!D:D)</f>
        <v>NO</v>
      </c>
      <c r="D2654" s="27">
        <v>14911.83</v>
      </c>
      <c r="E2654" s="27">
        <v>265331.40000000002</v>
      </c>
      <c r="F2654" s="27">
        <v>13330.12</v>
      </c>
      <c r="G2654" s="27">
        <v>146208.04999999999</v>
      </c>
      <c r="H2654" s="27">
        <v>2838.53</v>
      </c>
      <c r="I2654" s="27">
        <v>26376.720000000001</v>
      </c>
      <c r="J2654" s="6">
        <v>9673</v>
      </c>
      <c r="K2654" s="6">
        <v>1514</v>
      </c>
      <c r="L2654" s="27">
        <v>15.115067714256176</v>
      </c>
      <c r="M2654" s="27">
        <v>17.421875825627477</v>
      </c>
      <c r="N2654" s="34">
        <v>22.494742111379278</v>
      </c>
    </row>
    <row r="2655" spans="1:14" x14ac:dyDescent="0.35">
      <c r="A2655" s="82">
        <v>2652</v>
      </c>
      <c r="B2655" s="89" t="str">
        <f>_xlfn.XLOOKUP(A2655,'Model Modeshare by TAZ'!A:A,'Model Modeshare by TAZ'!B:B)</f>
        <v>Unincorporated</v>
      </c>
      <c r="C2655" s="90" t="str">
        <f>_xlfn.XLOOKUP(A2655,'Model Modeshare by TAZ'!A:A,'Model Modeshare by TAZ'!D:D)</f>
        <v>NO</v>
      </c>
      <c r="D2655" s="27">
        <v>17426.68</v>
      </c>
      <c r="E2655" s="27">
        <v>314738.93</v>
      </c>
      <c r="F2655" s="27">
        <v>7539.18</v>
      </c>
      <c r="G2655" s="27">
        <v>72162.179999999993</v>
      </c>
      <c r="H2655" s="27">
        <v>3660.83</v>
      </c>
      <c r="I2655" s="27">
        <v>39892.339999999997</v>
      </c>
      <c r="J2655" s="6">
        <v>5190</v>
      </c>
      <c r="K2655" s="6">
        <v>2720</v>
      </c>
      <c r="L2655" s="27">
        <v>13.90408092485549</v>
      </c>
      <c r="M2655" s="27">
        <v>14.666301470588234</v>
      </c>
      <c r="N2655" s="34">
        <v>32.631852085967132</v>
      </c>
    </row>
    <row r="2656" spans="1:14" x14ac:dyDescent="0.35">
      <c r="A2656" s="82">
        <v>2653</v>
      </c>
      <c r="B2656" s="89" t="str">
        <f>_xlfn.XLOOKUP(A2656,'Model Modeshare by TAZ'!A:A,'Model Modeshare by TAZ'!B:B)</f>
        <v>Unincorporated</v>
      </c>
      <c r="C2656" s="90" t="str">
        <f>_xlfn.XLOOKUP(A2656,'Model Modeshare by TAZ'!A:A,'Model Modeshare by TAZ'!D:D)</f>
        <v>NO</v>
      </c>
      <c r="D2656" s="27">
        <v>8733.06</v>
      </c>
      <c r="E2656" s="27">
        <v>178345.38</v>
      </c>
      <c r="F2656" s="27">
        <v>9756.59</v>
      </c>
      <c r="G2656" s="27">
        <v>123429.84</v>
      </c>
      <c r="H2656" s="27">
        <v>1644.11</v>
      </c>
      <c r="I2656" s="27">
        <v>17818.37</v>
      </c>
      <c r="J2656" s="6">
        <v>6408</v>
      </c>
      <c r="K2656" s="6">
        <v>820</v>
      </c>
      <c r="L2656" s="27">
        <v>19.261835205992508</v>
      </c>
      <c r="M2656" s="27">
        <v>21.729719512195121</v>
      </c>
      <c r="N2656" s="34">
        <v>28.233067238516877</v>
      </c>
    </row>
    <row r="2657" spans="1:14" x14ac:dyDescent="0.35">
      <c r="A2657" s="82">
        <v>2654</v>
      </c>
      <c r="B2657" s="89" t="str">
        <f>_xlfn.XLOOKUP(A2657,'Model Modeshare by TAZ'!A:A,'Model Modeshare by TAZ'!B:B)</f>
        <v>Unincorporated</v>
      </c>
      <c r="C2657" s="90" t="str">
        <f>_xlfn.XLOOKUP(A2657,'Model Modeshare by TAZ'!A:A,'Model Modeshare by TAZ'!D:D)</f>
        <v>NO</v>
      </c>
      <c r="D2657" s="27">
        <v>9833.56</v>
      </c>
      <c r="E2657" s="27">
        <v>222603.3</v>
      </c>
      <c r="F2657" s="27">
        <v>6150.21</v>
      </c>
      <c r="G2657" s="27">
        <v>74885.19</v>
      </c>
      <c r="H2657" s="27">
        <v>2144.09</v>
      </c>
      <c r="I2657" s="27">
        <v>24862.53</v>
      </c>
      <c r="J2657" s="6">
        <v>4196</v>
      </c>
      <c r="K2657" s="6">
        <v>1549</v>
      </c>
      <c r="L2657" s="27">
        <v>17.846804099142041</v>
      </c>
      <c r="M2657" s="27">
        <v>16.050697224015494</v>
      </c>
      <c r="N2657" s="34">
        <v>29.202424717145341</v>
      </c>
    </row>
    <row r="2658" spans="1:14" x14ac:dyDescent="0.35">
      <c r="A2658" s="82">
        <v>2655</v>
      </c>
      <c r="B2658" s="89" t="str">
        <f>_xlfn.XLOOKUP(A2658,'Model Modeshare by TAZ'!A:A,'Model Modeshare by TAZ'!B:B)</f>
        <v>Sonoma</v>
      </c>
      <c r="C2658" s="90" t="str">
        <f>_xlfn.XLOOKUP(A2658,'Model Modeshare by TAZ'!A:A,'Model Modeshare by TAZ'!D:D)</f>
        <v>NO</v>
      </c>
      <c r="D2658" s="27">
        <v>25508.42</v>
      </c>
      <c r="E2658" s="27">
        <v>505438.45</v>
      </c>
      <c r="F2658" s="27">
        <v>9958.44</v>
      </c>
      <c r="G2658" s="27">
        <v>92876.82</v>
      </c>
      <c r="H2658" s="27">
        <v>5927.08</v>
      </c>
      <c r="I2658" s="27">
        <v>77233.22</v>
      </c>
      <c r="J2658" s="6">
        <v>8089</v>
      </c>
      <c r="K2658" s="6">
        <v>4850</v>
      </c>
      <c r="L2658" s="27">
        <v>11.481866732599828</v>
      </c>
      <c r="M2658" s="27">
        <v>15.92437525773196</v>
      </c>
      <c r="N2658" s="34">
        <v>31.008475152639306</v>
      </c>
    </row>
    <row r="2659" spans="1:14" x14ac:dyDescent="0.35">
      <c r="A2659" s="82">
        <v>2656</v>
      </c>
      <c r="B2659" s="89" t="str">
        <f>_xlfn.XLOOKUP(A2659,'Model Modeshare by TAZ'!A:A,'Model Modeshare by TAZ'!B:B)</f>
        <v>Unincorporated</v>
      </c>
      <c r="C2659" s="90" t="str">
        <f>_xlfn.XLOOKUP(A2659,'Model Modeshare by TAZ'!A:A,'Model Modeshare by TAZ'!D:D)</f>
        <v>NO</v>
      </c>
      <c r="D2659" s="27">
        <v>8175.27</v>
      </c>
      <c r="E2659" s="27">
        <v>274207.28999999998</v>
      </c>
      <c r="F2659" s="27">
        <v>3794.42</v>
      </c>
      <c r="G2659" s="27">
        <v>62614.23</v>
      </c>
      <c r="H2659" s="27">
        <v>3972.14</v>
      </c>
      <c r="I2659" s="27">
        <v>68997.38</v>
      </c>
      <c r="J2659" s="6">
        <v>2339</v>
      </c>
      <c r="K2659" s="6">
        <v>2862</v>
      </c>
      <c r="L2659" s="27">
        <v>26.769657973492947</v>
      </c>
      <c r="M2659" s="27">
        <v>24.108099231306781</v>
      </c>
      <c r="N2659" s="34">
        <v>46.123197462026532</v>
      </c>
    </row>
    <row r="2660" spans="1:14" x14ac:dyDescent="0.35">
      <c r="A2660" s="82">
        <v>2657</v>
      </c>
      <c r="B2660" s="89" t="str">
        <f>_xlfn.XLOOKUP(A2660,'Model Modeshare by TAZ'!A:A,'Model Modeshare by TAZ'!B:B)</f>
        <v>Unincorporated</v>
      </c>
      <c r="C2660" s="90" t="str">
        <f>_xlfn.XLOOKUP(A2660,'Model Modeshare by TAZ'!A:A,'Model Modeshare by TAZ'!D:D)</f>
        <v>NO</v>
      </c>
      <c r="D2660" s="27">
        <v>22645.73</v>
      </c>
      <c r="E2660" s="27">
        <v>740522.31</v>
      </c>
      <c r="F2660" s="27">
        <v>13427.76</v>
      </c>
      <c r="G2660" s="27">
        <v>235594.51</v>
      </c>
      <c r="H2660" s="27">
        <v>6902.41</v>
      </c>
      <c r="I2660" s="27">
        <v>102291.46</v>
      </c>
      <c r="J2660" s="6">
        <v>8480</v>
      </c>
      <c r="K2660" s="6">
        <v>5113</v>
      </c>
      <c r="L2660" s="27">
        <v>27.782371462264152</v>
      </c>
      <c r="M2660" s="27">
        <v>20.00615294347741</v>
      </c>
      <c r="N2660" s="34">
        <v>41.513096446700509</v>
      </c>
    </row>
    <row r="2661" spans="1:14" x14ac:dyDescent="0.35">
      <c r="A2661" s="82">
        <v>2658</v>
      </c>
      <c r="B2661" s="89" t="str">
        <f>_xlfn.XLOOKUP(A2661,'Model Modeshare by TAZ'!A:A,'Model Modeshare by TAZ'!B:B)</f>
        <v>Unincorporated</v>
      </c>
      <c r="C2661" s="90" t="str">
        <f>_xlfn.XLOOKUP(A2661,'Model Modeshare by TAZ'!A:A,'Model Modeshare by TAZ'!D:D)</f>
        <v>NO</v>
      </c>
      <c r="D2661" s="27">
        <v>7310.71</v>
      </c>
      <c r="E2661" s="27">
        <v>135712.44</v>
      </c>
      <c r="F2661" s="27">
        <v>6997.78</v>
      </c>
      <c r="G2661" s="27">
        <v>71861.490000000005</v>
      </c>
      <c r="H2661" s="27">
        <v>920.96</v>
      </c>
      <c r="I2661" s="27">
        <v>10703.39</v>
      </c>
      <c r="J2661" s="6">
        <v>4775</v>
      </c>
      <c r="K2661" s="6">
        <v>482</v>
      </c>
      <c r="L2661" s="27">
        <v>15.049526701570681</v>
      </c>
      <c r="M2661" s="27">
        <v>22.206203319502073</v>
      </c>
      <c r="N2661" s="34">
        <v>23.26593874833555</v>
      </c>
    </row>
    <row r="2662" spans="1:14" x14ac:dyDescent="0.35">
      <c r="A2662" s="82">
        <v>2659</v>
      </c>
      <c r="B2662" s="89" t="str">
        <f>_xlfn.XLOOKUP(A2662,'Model Modeshare by TAZ'!A:A,'Model Modeshare by TAZ'!B:B)</f>
        <v>Unincorporated</v>
      </c>
      <c r="C2662" s="90" t="str">
        <f>_xlfn.XLOOKUP(A2662,'Model Modeshare by TAZ'!A:A,'Model Modeshare by TAZ'!D:D)</f>
        <v>NO</v>
      </c>
      <c r="D2662" s="27">
        <v>10774.4</v>
      </c>
      <c r="E2662" s="27">
        <v>212446.71</v>
      </c>
      <c r="F2662" s="27">
        <v>7006.21</v>
      </c>
      <c r="G2662" s="27">
        <v>73865.789999999994</v>
      </c>
      <c r="H2662" s="27">
        <v>2353.5300000000002</v>
      </c>
      <c r="I2662" s="27">
        <v>27449.52</v>
      </c>
      <c r="J2662" s="6">
        <v>4773</v>
      </c>
      <c r="K2662" s="6">
        <v>1654</v>
      </c>
      <c r="L2662" s="27">
        <v>15.475757385292267</v>
      </c>
      <c r="M2662" s="27">
        <v>16.59584038694075</v>
      </c>
      <c r="N2662" s="34">
        <v>26.594870079352731</v>
      </c>
    </row>
    <row r="2663" spans="1:14" x14ac:dyDescent="0.35">
      <c r="A2663" s="82">
        <v>2660</v>
      </c>
      <c r="B2663" s="89" t="str">
        <f>_xlfn.XLOOKUP(A2663,'Model Modeshare by TAZ'!A:A,'Model Modeshare by TAZ'!B:B)</f>
        <v>Unincorporated</v>
      </c>
      <c r="C2663" s="90" t="str">
        <f>_xlfn.XLOOKUP(A2663,'Model Modeshare by TAZ'!A:A,'Model Modeshare by TAZ'!D:D)</f>
        <v>NO</v>
      </c>
      <c r="D2663" s="27">
        <v>9481.2199999999993</v>
      </c>
      <c r="E2663" s="27">
        <v>353748.15</v>
      </c>
      <c r="F2663" s="27">
        <v>7258.94</v>
      </c>
      <c r="G2663" s="27">
        <v>150812.09</v>
      </c>
      <c r="H2663" s="27">
        <v>2545.83</v>
      </c>
      <c r="I2663" s="27">
        <v>40939.35</v>
      </c>
      <c r="J2663" s="6">
        <v>4991</v>
      </c>
      <c r="K2663" s="6">
        <v>1730</v>
      </c>
      <c r="L2663" s="27">
        <v>30.216808254858744</v>
      </c>
      <c r="M2663" s="27">
        <v>23.664364161849711</v>
      </c>
      <c r="N2663" s="34">
        <v>43.692605267073354</v>
      </c>
    </row>
    <row r="2664" spans="1:14" x14ac:dyDescent="0.35">
      <c r="A2664" s="82">
        <v>2661</v>
      </c>
      <c r="B2664" s="89" t="str">
        <f>_xlfn.XLOOKUP(A2664,'Model Modeshare by TAZ'!A:A,'Model Modeshare by TAZ'!B:B)</f>
        <v>Unincorporated</v>
      </c>
      <c r="C2664" s="90" t="str">
        <f>_xlfn.XLOOKUP(A2664,'Model Modeshare by TAZ'!A:A,'Model Modeshare by TAZ'!D:D)</f>
        <v>NO</v>
      </c>
      <c r="D2664" s="27">
        <v>11064.89</v>
      </c>
      <c r="E2664" s="27">
        <v>311171.13</v>
      </c>
      <c r="F2664" s="27">
        <v>5574.22</v>
      </c>
      <c r="G2664" s="27">
        <v>82410.179999999993</v>
      </c>
      <c r="H2664" s="27">
        <v>2763.32</v>
      </c>
      <c r="I2664" s="27">
        <v>36287.53</v>
      </c>
      <c r="J2664" s="6">
        <v>3482</v>
      </c>
      <c r="K2664" s="6">
        <v>2039</v>
      </c>
      <c r="L2664" s="27">
        <v>23.667484204480182</v>
      </c>
      <c r="M2664" s="27">
        <v>17.796728788621873</v>
      </c>
      <c r="N2664" s="34">
        <v>36.335383082774861</v>
      </c>
    </row>
    <row r="2665" spans="1:14" x14ac:dyDescent="0.35">
      <c r="A2665" s="82">
        <v>2662</v>
      </c>
      <c r="B2665" s="89" t="str">
        <f>_xlfn.XLOOKUP(A2665,'Model Modeshare by TAZ'!A:A,'Model Modeshare by TAZ'!B:B)</f>
        <v>Petaluma</v>
      </c>
      <c r="C2665" s="90" t="str">
        <f>_xlfn.XLOOKUP(A2665,'Model Modeshare by TAZ'!A:A,'Model Modeshare by TAZ'!D:D)</f>
        <v>NO</v>
      </c>
      <c r="D2665" s="27">
        <v>5127.45</v>
      </c>
      <c r="E2665" s="27">
        <v>111800.35</v>
      </c>
      <c r="F2665" s="27">
        <v>5254.41</v>
      </c>
      <c r="G2665" s="27">
        <v>62240.5</v>
      </c>
      <c r="H2665" s="27">
        <v>1186.98</v>
      </c>
      <c r="I2665" s="27">
        <v>14150.54</v>
      </c>
      <c r="J2665" s="6">
        <v>3495</v>
      </c>
      <c r="K2665" s="6">
        <v>728</v>
      </c>
      <c r="L2665" s="27">
        <v>17.808440629470674</v>
      </c>
      <c r="M2665" s="27">
        <v>19.437554945054945</v>
      </c>
      <c r="N2665" s="34">
        <v>25.989083589865025</v>
      </c>
    </row>
    <row r="2666" spans="1:14" x14ac:dyDescent="0.35">
      <c r="A2666" s="82">
        <v>2663</v>
      </c>
      <c r="B2666" s="89" t="str">
        <f>_xlfn.XLOOKUP(A2666,'Model Modeshare by TAZ'!A:A,'Model Modeshare by TAZ'!B:B)</f>
        <v>Petaluma</v>
      </c>
      <c r="C2666" s="90" t="str">
        <f>_xlfn.XLOOKUP(A2666,'Model Modeshare by TAZ'!A:A,'Model Modeshare by TAZ'!D:D)</f>
        <v>NO</v>
      </c>
      <c r="D2666" s="27">
        <v>9968.6299999999992</v>
      </c>
      <c r="E2666" s="27">
        <v>185300.79</v>
      </c>
      <c r="F2666" s="27">
        <v>6959.25</v>
      </c>
      <c r="G2666" s="27">
        <v>65765.05</v>
      </c>
      <c r="H2666" s="27">
        <v>3760.86</v>
      </c>
      <c r="I2666" s="27">
        <v>42134.080000000002</v>
      </c>
      <c r="J2666" s="6">
        <v>5159</v>
      </c>
      <c r="K2666" s="6">
        <v>3150</v>
      </c>
      <c r="L2666" s="27">
        <v>12.747635200620277</v>
      </c>
      <c r="M2666" s="27">
        <v>13.375898412698414</v>
      </c>
      <c r="N2666" s="34">
        <v>21.469210494644361</v>
      </c>
    </row>
    <row r="2667" spans="1:14" x14ac:dyDescent="0.35">
      <c r="A2667" s="82">
        <v>2664</v>
      </c>
      <c r="B2667" s="89" t="str">
        <f>_xlfn.XLOOKUP(A2667,'Model Modeshare by TAZ'!A:A,'Model Modeshare by TAZ'!B:B)</f>
        <v>Petaluma</v>
      </c>
      <c r="C2667" s="90" t="str">
        <f>_xlfn.XLOOKUP(A2667,'Model Modeshare by TAZ'!A:A,'Model Modeshare by TAZ'!D:D)</f>
        <v>NO</v>
      </c>
      <c r="D2667" s="27">
        <v>20418.97</v>
      </c>
      <c r="E2667" s="27">
        <v>355734.81</v>
      </c>
      <c r="F2667" s="27">
        <v>6877.51</v>
      </c>
      <c r="G2667" s="27">
        <v>67088.06</v>
      </c>
      <c r="H2667" s="27">
        <v>8034.3</v>
      </c>
      <c r="I2667" s="27">
        <v>88839.12</v>
      </c>
      <c r="J2667" s="6">
        <v>4990</v>
      </c>
      <c r="K2667" s="6">
        <v>6905</v>
      </c>
      <c r="L2667" s="27">
        <v>13.444501002004008</v>
      </c>
      <c r="M2667" s="27">
        <v>12.865911658218682</v>
      </c>
      <c r="N2667" s="34">
        <v>28.912506935687265</v>
      </c>
    </row>
    <row r="2668" spans="1:14" x14ac:dyDescent="0.35">
      <c r="A2668" s="82">
        <v>2665</v>
      </c>
      <c r="B2668" s="89" t="str">
        <f>_xlfn.XLOOKUP(A2668,'Model Modeshare by TAZ'!A:A,'Model Modeshare by TAZ'!B:B)</f>
        <v>Petaluma</v>
      </c>
      <c r="C2668" s="90" t="str">
        <f>_xlfn.XLOOKUP(A2668,'Model Modeshare by TAZ'!A:A,'Model Modeshare by TAZ'!D:D)</f>
        <v>NO</v>
      </c>
      <c r="D2668" s="27">
        <v>5614.18</v>
      </c>
      <c r="E2668" s="27">
        <v>107271.99</v>
      </c>
      <c r="F2668" s="27">
        <v>5790.98</v>
      </c>
      <c r="G2668" s="27">
        <v>63276.31</v>
      </c>
      <c r="H2668" s="27">
        <v>689.64</v>
      </c>
      <c r="I2668" s="27">
        <v>8085.25</v>
      </c>
      <c r="J2668" s="6">
        <v>4145</v>
      </c>
      <c r="K2668" s="6">
        <v>363</v>
      </c>
      <c r="L2668" s="27">
        <v>15.265696019300361</v>
      </c>
      <c r="M2668" s="27">
        <v>22.273415977961431</v>
      </c>
      <c r="N2668" s="34">
        <v>22.140470275066548</v>
      </c>
    </row>
    <row r="2669" spans="1:14" x14ac:dyDescent="0.35">
      <c r="A2669" s="82">
        <v>2666</v>
      </c>
      <c r="B2669" s="89" t="str">
        <f>_xlfn.XLOOKUP(A2669,'Model Modeshare by TAZ'!A:A,'Model Modeshare by TAZ'!B:B)</f>
        <v>Petaluma</v>
      </c>
      <c r="C2669" s="90" t="str">
        <f>_xlfn.XLOOKUP(A2669,'Model Modeshare by TAZ'!A:A,'Model Modeshare by TAZ'!D:D)</f>
        <v>NO</v>
      </c>
      <c r="D2669" s="27">
        <v>6462.05</v>
      </c>
      <c r="E2669" s="27">
        <v>134375.60999999999</v>
      </c>
      <c r="F2669" s="27">
        <v>6568.34</v>
      </c>
      <c r="G2669" s="27">
        <v>76873.98</v>
      </c>
      <c r="H2669" s="27">
        <v>1157.7</v>
      </c>
      <c r="I2669" s="27">
        <v>14185.92</v>
      </c>
      <c r="J2669" s="6">
        <v>4373</v>
      </c>
      <c r="K2669" s="6">
        <v>646</v>
      </c>
      <c r="L2669" s="27">
        <v>17.579231648753716</v>
      </c>
      <c r="M2669" s="27">
        <v>21.959628482972136</v>
      </c>
      <c r="N2669" s="34">
        <v>27.507320183303445</v>
      </c>
    </row>
    <row r="2670" spans="1:14" x14ac:dyDescent="0.35">
      <c r="A2670" s="82">
        <v>2667</v>
      </c>
      <c r="B2670" s="89" t="str">
        <f>_xlfn.XLOOKUP(A2670,'Model Modeshare by TAZ'!A:A,'Model Modeshare by TAZ'!B:B)</f>
        <v>Petaluma</v>
      </c>
      <c r="C2670" s="90" t="str">
        <f>_xlfn.XLOOKUP(A2670,'Model Modeshare by TAZ'!A:A,'Model Modeshare by TAZ'!D:D)</f>
        <v>NO</v>
      </c>
      <c r="D2670" s="27">
        <v>14429.79</v>
      </c>
      <c r="E2670" s="27">
        <v>299688.96999999997</v>
      </c>
      <c r="F2670" s="27">
        <v>10432.17</v>
      </c>
      <c r="G2670" s="27">
        <v>122393.82</v>
      </c>
      <c r="H2670" s="27">
        <v>2873.59</v>
      </c>
      <c r="I2670" s="27">
        <v>33153</v>
      </c>
      <c r="J2670" s="6">
        <v>7256</v>
      </c>
      <c r="K2670" s="6">
        <v>1788</v>
      </c>
      <c r="L2670" s="27">
        <v>16.86794652701213</v>
      </c>
      <c r="M2670" s="27">
        <v>18.541946308724832</v>
      </c>
      <c r="N2670" s="34">
        <v>29.982474568774879</v>
      </c>
    </row>
    <row r="2671" spans="1:14" x14ac:dyDescent="0.35">
      <c r="A2671" s="82">
        <v>2668</v>
      </c>
      <c r="B2671" s="89" t="str">
        <f>_xlfn.XLOOKUP(A2671,'Model Modeshare by TAZ'!A:A,'Model Modeshare by TAZ'!B:B)</f>
        <v>Unincorporated</v>
      </c>
      <c r="C2671" s="90" t="str">
        <f>_xlfn.XLOOKUP(A2671,'Model Modeshare by TAZ'!A:A,'Model Modeshare by TAZ'!D:D)</f>
        <v>NO</v>
      </c>
      <c r="D2671" s="27">
        <v>27599.86</v>
      </c>
      <c r="E2671" s="27">
        <v>797646.21</v>
      </c>
      <c r="F2671" s="27">
        <v>22007.26</v>
      </c>
      <c r="G2671" s="27">
        <v>330530.01</v>
      </c>
      <c r="H2671" s="27">
        <v>9871.14</v>
      </c>
      <c r="I2671" s="27">
        <v>124183.11</v>
      </c>
      <c r="J2671" s="6">
        <v>14010</v>
      </c>
      <c r="K2671" s="6">
        <v>8010</v>
      </c>
      <c r="L2671" s="27">
        <v>23.592434689507495</v>
      </c>
      <c r="M2671" s="27">
        <v>15.50350936329588</v>
      </c>
      <c r="N2671" s="34">
        <v>34.113059945504084</v>
      </c>
    </row>
    <row r="2672" spans="1:14" x14ac:dyDescent="0.35">
      <c r="A2672" s="82">
        <v>2669</v>
      </c>
      <c r="B2672" s="89" t="str">
        <f>_xlfn.XLOOKUP(A2672,'Model Modeshare by TAZ'!A:A,'Model Modeshare by TAZ'!B:B)</f>
        <v>Unincorporated</v>
      </c>
      <c r="C2672" s="90" t="str">
        <f>_xlfn.XLOOKUP(A2672,'Model Modeshare by TAZ'!A:A,'Model Modeshare by TAZ'!D:D)</f>
        <v>NO</v>
      </c>
      <c r="D2672" s="27">
        <v>21929.63</v>
      </c>
      <c r="E2672" s="27">
        <v>495521.84</v>
      </c>
      <c r="F2672" s="27">
        <v>10487.66</v>
      </c>
      <c r="G2672" s="27">
        <v>128983.47</v>
      </c>
      <c r="H2672" s="27">
        <v>12530.01</v>
      </c>
      <c r="I2672" s="27">
        <v>137089.67000000001</v>
      </c>
      <c r="J2672" s="6">
        <v>7009</v>
      </c>
      <c r="K2672" s="6">
        <v>9123</v>
      </c>
      <c r="L2672" s="27">
        <v>18.40254957911257</v>
      </c>
      <c r="M2672" s="27">
        <v>15.026819028828237</v>
      </c>
      <c r="N2672" s="34">
        <v>30.126656955120257</v>
      </c>
    </row>
    <row r="2673" spans="1:14" x14ac:dyDescent="0.35">
      <c r="A2673" s="82">
        <v>2670</v>
      </c>
      <c r="B2673" s="89" t="str">
        <f>_xlfn.XLOOKUP(A2673,'Model Modeshare by TAZ'!A:A,'Model Modeshare by TAZ'!B:B)</f>
        <v>Cotati</v>
      </c>
      <c r="C2673" s="90" t="str">
        <f>_xlfn.XLOOKUP(A2673,'Model Modeshare by TAZ'!A:A,'Model Modeshare by TAZ'!D:D)</f>
        <v>NO</v>
      </c>
      <c r="D2673" s="27">
        <v>6585.06</v>
      </c>
      <c r="E2673" s="27">
        <v>136514.6</v>
      </c>
      <c r="F2673" s="27">
        <v>5538.13</v>
      </c>
      <c r="G2673" s="27">
        <v>65296.18</v>
      </c>
      <c r="H2673" s="27">
        <v>1629.26</v>
      </c>
      <c r="I2673" s="27">
        <v>15559.72</v>
      </c>
      <c r="J2673" s="6">
        <v>3527</v>
      </c>
      <c r="K2673" s="6">
        <v>974</v>
      </c>
      <c r="L2673" s="27">
        <v>18.513235043946697</v>
      </c>
      <c r="M2673" s="27">
        <v>15.975071868583161</v>
      </c>
      <c r="N2673" s="34">
        <v>29.341435236614082</v>
      </c>
    </row>
    <row r="2674" spans="1:14" x14ac:dyDescent="0.35">
      <c r="A2674" s="82">
        <v>2671</v>
      </c>
      <c r="B2674" s="89" t="str">
        <f>_xlfn.XLOOKUP(A2674,'Model Modeshare by TAZ'!A:A,'Model Modeshare by TAZ'!B:B)</f>
        <v>Cotati</v>
      </c>
      <c r="C2674" s="90" t="str">
        <f>_xlfn.XLOOKUP(A2674,'Model Modeshare by TAZ'!A:A,'Model Modeshare by TAZ'!D:D)</f>
        <v>NO</v>
      </c>
      <c r="D2674" s="27">
        <v>7401.11</v>
      </c>
      <c r="E2674" s="27">
        <v>158673.07999999999</v>
      </c>
      <c r="F2674" s="27">
        <v>7698.39</v>
      </c>
      <c r="G2674" s="27">
        <v>94312.38</v>
      </c>
      <c r="H2674" s="27">
        <v>1312.05</v>
      </c>
      <c r="I2674" s="27">
        <v>12840.75</v>
      </c>
      <c r="J2674" s="6">
        <v>5242</v>
      </c>
      <c r="K2674" s="6">
        <v>693</v>
      </c>
      <c r="L2674" s="27">
        <v>17.99167874856925</v>
      </c>
      <c r="M2674" s="27">
        <v>18.529220779220779</v>
      </c>
      <c r="N2674" s="34">
        <v>26.60614658803707</v>
      </c>
    </row>
    <row r="2675" spans="1:14" x14ac:dyDescent="0.35">
      <c r="A2675" s="82">
        <v>2672</v>
      </c>
      <c r="B2675" s="89" t="str">
        <f>_xlfn.XLOOKUP(A2675,'Model Modeshare by TAZ'!A:A,'Model Modeshare by TAZ'!B:B)</f>
        <v>Unincorporated</v>
      </c>
      <c r="C2675" s="90" t="str">
        <f>_xlfn.XLOOKUP(A2675,'Model Modeshare by TAZ'!A:A,'Model Modeshare by TAZ'!D:D)</f>
        <v>NO</v>
      </c>
      <c r="D2675" s="27">
        <v>8952.7800000000007</v>
      </c>
      <c r="E2675" s="27">
        <v>191452.77</v>
      </c>
      <c r="F2675" s="27">
        <v>11202.67</v>
      </c>
      <c r="G2675" s="27">
        <v>126712.65</v>
      </c>
      <c r="H2675" s="27">
        <v>2420.9299999999998</v>
      </c>
      <c r="I2675" s="27">
        <v>24148.44</v>
      </c>
      <c r="J2675" s="6">
        <v>8249</v>
      </c>
      <c r="K2675" s="6">
        <v>1365</v>
      </c>
      <c r="L2675" s="27">
        <v>15.360971026791125</v>
      </c>
      <c r="M2675" s="27">
        <v>17.691164835164834</v>
      </c>
      <c r="N2675" s="34">
        <v>21.393214062825045</v>
      </c>
    </row>
    <row r="2676" spans="1:14" x14ac:dyDescent="0.35">
      <c r="A2676" s="82">
        <v>2673</v>
      </c>
      <c r="B2676" s="89" t="str">
        <f>_xlfn.XLOOKUP(A2676,'Model Modeshare by TAZ'!A:A,'Model Modeshare by TAZ'!B:B)</f>
        <v>Unincorporated</v>
      </c>
      <c r="C2676" s="90" t="str">
        <f>_xlfn.XLOOKUP(A2676,'Model Modeshare by TAZ'!A:A,'Model Modeshare by TAZ'!D:D)</f>
        <v>NO</v>
      </c>
      <c r="D2676" s="27">
        <v>11161.59</v>
      </c>
      <c r="E2676" s="27">
        <v>269056.02</v>
      </c>
      <c r="F2676" s="27">
        <v>8053.5</v>
      </c>
      <c r="G2676" s="27">
        <v>116343.3</v>
      </c>
      <c r="H2676" s="27">
        <v>2284.4899999999998</v>
      </c>
      <c r="I2676" s="27">
        <v>23857.42</v>
      </c>
      <c r="J2676" s="6">
        <v>4994</v>
      </c>
      <c r="K2676" s="6">
        <v>1325</v>
      </c>
      <c r="L2676" s="27">
        <v>23.296615939126951</v>
      </c>
      <c r="M2676" s="27">
        <v>18.005599999999998</v>
      </c>
      <c r="N2676" s="34">
        <v>42.850064883684126</v>
      </c>
    </row>
    <row r="2677" spans="1:14" x14ac:dyDescent="0.35">
      <c r="A2677" s="82">
        <v>2674</v>
      </c>
      <c r="B2677" s="89" t="str">
        <f>_xlfn.XLOOKUP(A2677,'Model Modeshare by TAZ'!A:A,'Model Modeshare by TAZ'!B:B)</f>
        <v>Rohnert Park</v>
      </c>
      <c r="C2677" s="90" t="str">
        <f>_xlfn.XLOOKUP(A2677,'Model Modeshare by TAZ'!A:A,'Model Modeshare by TAZ'!D:D)</f>
        <v>NO</v>
      </c>
      <c r="D2677" s="27">
        <v>6470.07</v>
      </c>
      <c r="E2677" s="27">
        <v>133183.51</v>
      </c>
      <c r="F2677" s="27">
        <v>6457.89</v>
      </c>
      <c r="G2677" s="27">
        <v>70576.28</v>
      </c>
      <c r="H2677" s="27">
        <v>3378.59</v>
      </c>
      <c r="I2677" s="27">
        <v>33017.1</v>
      </c>
      <c r="J2677" s="6">
        <v>5126</v>
      </c>
      <c r="K2677" s="6">
        <v>2901</v>
      </c>
      <c r="L2677" s="27">
        <v>13.76829496683574</v>
      </c>
      <c r="M2677" s="27">
        <v>11.381282316442606</v>
      </c>
      <c r="N2677" s="34">
        <v>20.745346954030147</v>
      </c>
    </row>
    <row r="2678" spans="1:14" x14ac:dyDescent="0.35">
      <c r="A2678" s="82">
        <v>2675</v>
      </c>
      <c r="B2678" s="89" t="str">
        <f>_xlfn.XLOOKUP(A2678,'Model Modeshare by TAZ'!A:A,'Model Modeshare by TAZ'!B:B)</f>
        <v>Rohnert Park</v>
      </c>
      <c r="C2678" s="90" t="str">
        <f>_xlfn.XLOOKUP(A2678,'Model Modeshare by TAZ'!A:A,'Model Modeshare by TAZ'!D:D)</f>
        <v>NO</v>
      </c>
      <c r="D2678" s="27">
        <v>5897.74</v>
      </c>
      <c r="E2678" s="27">
        <v>119056.08</v>
      </c>
      <c r="F2678" s="27">
        <v>6483.28</v>
      </c>
      <c r="G2678" s="27">
        <v>72771.34</v>
      </c>
      <c r="H2678" s="27">
        <v>1135.45</v>
      </c>
      <c r="I2678" s="27">
        <v>10522.12</v>
      </c>
      <c r="J2678" s="6">
        <v>4583</v>
      </c>
      <c r="K2678" s="6">
        <v>632</v>
      </c>
      <c r="L2678" s="27">
        <v>15.878538075496399</v>
      </c>
      <c r="M2678" s="27">
        <v>16.648924050632914</v>
      </c>
      <c r="N2678" s="34">
        <v>21.635390220517738</v>
      </c>
    </row>
    <row r="2679" spans="1:14" x14ac:dyDescent="0.35">
      <c r="A2679" s="82">
        <v>2676</v>
      </c>
      <c r="B2679" s="89" t="str">
        <f>_xlfn.XLOOKUP(A2679,'Model Modeshare by TAZ'!A:A,'Model Modeshare by TAZ'!B:B)</f>
        <v>Rohnert Park</v>
      </c>
      <c r="C2679" s="90" t="str">
        <f>_xlfn.XLOOKUP(A2679,'Model Modeshare by TAZ'!A:A,'Model Modeshare by TAZ'!D:D)</f>
        <v>NO</v>
      </c>
      <c r="D2679" s="27">
        <v>11169.53</v>
      </c>
      <c r="E2679" s="27">
        <v>244100.31</v>
      </c>
      <c r="F2679" s="27">
        <v>8321.36</v>
      </c>
      <c r="G2679" s="27">
        <v>104803.08</v>
      </c>
      <c r="H2679" s="27">
        <v>2788.11</v>
      </c>
      <c r="I2679" s="27">
        <v>29005.09</v>
      </c>
      <c r="J2679" s="6">
        <v>5743</v>
      </c>
      <c r="K2679" s="6">
        <v>2174</v>
      </c>
      <c r="L2679" s="27">
        <v>18.248838586104824</v>
      </c>
      <c r="M2679" s="27">
        <v>13.341807727690892</v>
      </c>
      <c r="N2679" s="34">
        <v>28.34614753063029</v>
      </c>
    </row>
    <row r="2680" spans="1:14" x14ac:dyDescent="0.35">
      <c r="A2680" s="82">
        <v>2677</v>
      </c>
      <c r="B2680" s="89" t="str">
        <f>_xlfn.XLOOKUP(A2680,'Model Modeshare by TAZ'!A:A,'Model Modeshare by TAZ'!B:B)</f>
        <v>Rohnert Park</v>
      </c>
      <c r="C2680" s="90" t="str">
        <f>_xlfn.XLOOKUP(A2680,'Model Modeshare by TAZ'!A:A,'Model Modeshare by TAZ'!D:D)</f>
        <v>NO</v>
      </c>
      <c r="D2680" s="27">
        <v>5940.67</v>
      </c>
      <c r="E2680" s="27">
        <v>131988.37</v>
      </c>
      <c r="F2680" s="27">
        <v>5544.29</v>
      </c>
      <c r="G2680" s="27">
        <v>71387.990000000005</v>
      </c>
      <c r="H2680" s="27">
        <v>383</v>
      </c>
      <c r="I2680" s="27">
        <v>3853.41</v>
      </c>
      <c r="J2680" s="6">
        <v>3680</v>
      </c>
      <c r="K2680" s="6">
        <v>199</v>
      </c>
      <c r="L2680" s="27">
        <v>19.398910326086959</v>
      </c>
      <c r="M2680" s="27">
        <v>19.363869346733669</v>
      </c>
      <c r="N2680" s="34">
        <v>27.730819798917249</v>
      </c>
    </row>
    <row r="2681" spans="1:14" x14ac:dyDescent="0.35">
      <c r="A2681" s="82">
        <v>2678</v>
      </c>
      <c r="B2681" s="89" t="str">
        <f>_xlfn.XLOOKUP(A2681,'Model Modeshare by TAZ'!A:A,'Model Modeshare by TAZ'!B:B)</f>
        <v>Rohnert Park</v>
      </c>
      <c r="C2681" s="90" t="str">
        <f>_xlfn.XLOOKUP(A2681,'Model Modeshare by TAZ'!A:A,'Model Modeshare by TAZ'!D:D)</f>
        <v>NO</v>
      </c>
      <c r="D2681" s="27">
        <v>8756.8700000000008</v>
      </c>
      <c r="E2681" s="27">
        <v>209692.3</v>
      </c>
      <c r="F2681" s="27">
        <v>7766.94</v>
      </c>
      <c r="G2681" s="27">
        <v>105379.09</v>
      </c>
      <c r="H2681" s="27">
        <v>3254.17</v>
      </c>
      <c r="I2681" s="27">
        <v>35616.21</v>
      </c>
      <c r="J2681" s="6">
        <v>4860</v>
      </c>
      <c r="K2681" s="6">
        <v>2399</v>
      </c>
      <c r="L2681" s="27">
        <v>21.682940329218106</v>
      </c>
      <c r="M2681" s="27">
        <v>14.846273447269695</v>
      </c>
      <c r="N2681" s="34">
        <v>30.182924645267946</v>
      </c>
    </row>
    <row r="2682" spans="1:14" x14ac:dyDescent="0.35">
      <c r="A2682" s="82">
        <v>2679</v>
      </c>
      <c r="B2682" s="89" t="str">
        <f>_xlfn.XLOOKUP(A2682,'Model Modeshare by TAZ'!A:A,'Model Modeshare by TAZ'!B:B)</f>
        <v>Rohnert Park</v>
      </c>
      <c r="C2682" s="90" t="str">
        <f>_xlfn.XLOOKUP(A2682,'Model Modeshare by TAZ'!A:A,'Model Modeshare by TAZ'!D:D)</f>
        <v>NO</v>
      </c>
      <c r="D2682" s="27">
        <v>9471.4699999999993</v>
      </c>
      <c r="E2682" s="27">
        <v>235339.54</v>
      </c>
      <c r="F2682" s="27">
        <v>8353.64</v>
      </c>
      <c r="G2682" s="27">
        <v>115475.9</v>
      </c>
      <c r="H2682" s="27">
        <v>873.11</v>
      </c>
      <c r="I2682" s="27">
        <v>10231.84</v>
      </c>
      <c r="J2682" s="6">
        <v>5247</v>
      </c>
      <c r="K2682" s="6">
        <v>450</v>
      </c>
      <c r="L2682" s="27">
        <v>22.007985515532685</v>
      </c>
      <c r="M2682" s="27">
        <v>22.737422222222222</v>
      </c>
      <c r="N2682" s="34">
        <v>31.073142004563806</v>
      </c>
    </row>
    <row r="2683" spans="1:14" x14ac:dyDescent="0.35">
      <c r="A2683" s="82">
        <v>2680</v>
      </c>
      <c r="B2683" s="89" t="str">
        <f>_xlfn.XLOOKUP(A2683,'Model Modeshare by TAZ'!A:A,'Model Modeshare by TAZ'!B:B)</f>
        <v>Unincorporated</v>
      </c>
      <c r="C2683" s="90" t="str">
        <f>_xlfn.XLOOKUP(A2683,'Model Modeshare by TAZ'!A:A,'Model Modeshare by TAZ'!D:D)</f>
        <v>NO</v>
      </c>
      <c r="D2683" s="27">
        <v>26694.080000000002</v>
      </c>
      <c r="E2683" s="27">
        <v>414716.25</v>
      </c>
      <c r="F2683" s="27">
        <v>12220.92</v>
      </c>
      <c r="G2683" s="27">
        <v>97704.14</v>
      </c>
      <c r="H2683" s="27">
        <v>7212.71</v>
      </c>
      <c r="I2683" s="27">
        <v>62567.02</v>
      </c>
      <c r="J2683" s="6">
        <v>9383</v>
      </c>
      <c r="K2683" s="6">
        <v>5712</v>
      </c>
      <c r="L2683" s="27">
        <v>10.41288926782479</v>
      </c>
      <c r="M2683" s="27">
        <v>10.953609943977591</v>
      </c>
      <c r="N2683" s="34">
        <v>22.58054587611792</v>
      </c>
    </row>
    <row r="2684" spans="1:14" x14ac:dyDescent="0.35">
      <c r="A2684" s="82">
        <v>2681</v>
      </c>
      <c r="B2684" s="89" t="str">
        <f>_xlfn.XLOOKUP(A2684,'Model Modeshare by TAZ'!A:A,'Model Modeshare by TAZ'!B:B)</f>
        <v>Unincorporated</v>
      </c>
      <c r="C2684" s="90" t="str">
        <f>_xlfn.XLOOKUP(A2684,'Model Modeshare by TAZ'!A:A,'Model Modeshare by TAZ'!D:D)</f>
        <v>NO</v>
      </c>
      <c r="D2684" s="27">
        <v>13164.51</v>
      </c>
      <c r="E2684" s="27">
        <v>197385.85</v>
      </c>
      <c r="F2684" s="27">
        <v>10296.9</v>
      </c>
      <c r="G2684" s="27">
        <v>80023.600000000006</v>
      </c>
      <c r="H2684" s="27">
        <v>1648.95</v>
      </c>
      <c r="I2684" s="27">
        <v>13825.65</v>
      </c>
      <c r="J2684" s="6">
        <v>7462</v>
      </c>
      <c r="K2684" s="6">
        <v>841</v>
      </c>
      <c r="L2684" s="27">
        <v>10.724149021709998</v>
      </c>
      <c r="M2684" s="27">
        <v>16.439536266349585</v>
      </c>
      <c r="N2684" s="34">
        <v>17.651648801637965</v>
      </c>
    </row>
    <row r="2685" spans="1:14" x14ac:dyDescent="0.35">
      <c r="A2685" s="82">
        <v>2682</v>
      </c>
      <c r="B2685" s="89" t="str">
        <f>_xlfn.XLOOKUP(A2685,'Model Modeshare by TAZ'!A:A,'Model Modeshare by TAZ'!B:B)</f>
        <v>Unincorporated</v>
      </c>
      <c r="C2685" s="90" t="str">
        <f>_xlfn.XLOOKUP(A2685,'Model Modeshare by TAZ'!A:A,'Model Modeshare by TAZ'!D:D)</f>
        <v>NO</v>
      </c>
      <c r="D2685" s="27">
        <v>13788.05</v>
      </c>
      <c r="E2685" s="27">
        <v>278368.89</v>
      </c>
      <c r="F2685" s="27">
        <v>10738.48</v>
      </c>
      <c r="G2685" s="27">
        <v>119644.28</v>
      </c>
      <c r="H2685" s="27">
        <v>3045.57</v>
      </c>
      <c r="I2685" s="27">
        <v>30617.7</v>
      </c>
      <c r="J2685" s="6">
        <v>6730</v>
      </c>
      <c r="K2685" s="6">
        <v>1747</v>
      </c>
      <c r="L2685" s="27">
        <v>17.777753343239226</v>
      </c>
      <c r="M2685" s="27">
        <v>17.525872925014312</v>
      </c>
      <c r="N2685" s="34">
        <v>29.832377020172231</v>
      </c>
    </row>
    <row r="2686" spans="1:14" x14ac:dyDescent="0.35">
      <c r="A2686" s="82">
        <v>2683</v>
      </c>
      <c r="B2686" s="89" t="str">
        <f>_xlfn.XLOOKUP(A2686,'Model Modeshare by TAZ'!A:A,'Model Modeshare by TAZ'!B:B)</f>
        <v>Santa Rosa</v>
      </c>
      <c r="C2686" s="90" t="str">
        <f>_xlfn.XLOOKUP(A2686,'Model Modeshare by TAZ'!A:A,'Model Modeshare by TAZ'!D:D)</f>
        <v>NO</v>
      </c>
      <c r="D2686" s="27">
        <v>5295.09</v>
      </c>
      <c r="E2686" s="27">
        <v>93881.39</v>
      </c>
      <c r="F2686" s="27">
        <v>5110.3599999999997</v>
      </c>
      <c r="G2686" s="27">
        <v>50156.97</v>
      </c>
      <c r="H2686" s="27">
        <v>1011.83</v>
      </c>
      <c r="I2686" s="27">
        <v>9240.27</v>
      </c>
      <c r="J2686" s="6">
        <v>3532</v>
      </c>
      <c r="K2686" s="6">
        <v>599</v>
      </c>
      <c r="L2686" s="27">
        <v>14.200727633069082</v>
      </c>
      <c r="M2686" s="27">
        <v>15.426160267111854</v>
      </c>
      <c r="N2686" s="34">
        <v>21.683766642459453</v>
      </c>
    </row>
    <row r="2687" spans="1:14" x14ac:dyDescent="0.35">
      <c r="A2687" s="82">
        <v>2684</v>
      </c>
      <c r="B2687" s="89" t="str">
        <f>_xlfn.XLOOKUP(A2687,'Model Modeshare by TAZ'!A:A,'Model Modeshare by TAZ'!B:B)</f>
        <v>Unincorporated</v>
      </c>
      <c r="C2687" s="90" t="str">
        <f>_xlfn.XLOOKUP(A2687,'Model Modeshare by TAZ'!A:A,'Model Modeshare by TAZ'!D:D)</f>
        <v>NO</v>
      </c>
      <c r="D2687" s="27">
        <v>4959.3500000000004</v>
      </c>
      <c r="E2687" s="27">
        <v>94018.45</v>
      </c>
      <c r="F2687" s="27">
        <v>5753.48</v>
      </c>
      <c r="G2687" s="27">
        <v>59683.91</v>
      </c>
      <c r="H2687" s="27">
        <v>566.16</v>
      </c>
      <c r="I2687" s="27">
        <v>6174.92</v>
      </c>
      <c r="J2687" s="6">
        <v>3652</v>
      </c>
      <c r="K2687" s="6">
        <v>309</v>
      </c>
      <c r="L2687" s="27">
        <v>16.342801204819278</v>
      </c>
      <c r="M2687" s="27">
        <v>19.983559870550163</v>
      </c>
      <c r="N2687" s="34">
        <v>24.335218379197173</v>
      </c>
    </row>
    <row r="2688" spans="1:14" x14ac:dyDescent="0.35">
      <c r="A2688" s="82">
        <v>2685</v>
      </c>
      <c r="B2688" s="89" t="str">
        <f>_xlfn.XLOOKUP(A2688,'Model Modeshare by TAZ'!A:A,'Model Modeshare by TAZ'!B:B)</f>
        <v>Unincorporated</v>
      </c>
      <c r="C2688" s="90" t="str">
        <f>_xlfn.XLOOKUP(A2688,'Model Modeshare by TAZ'!A:A,'Model Modeshare by TAZ'!D:D)</f>
        <v>NO</v>
      </c>
      <c r="D2688" s="27">
        <v>9867.73</v>
      </c>
      <c r="E2688" s="27">
        <v>235016.5</v>
      </c>
      <c r="F2688" s="27">
        <v>8568.85</v>
      </c>
      <c r="G2688" s="27">
        <v>103447.19</v>
      </c>
      <c r="H2688" s="27">
        <v>1691.04</v>
      </c>
      <c r="I2688" s="27">
        <v>21712.04</v>
      </c>
      <c r="J2688" s="6">
        <v>6211</v>
      </c>
      <c r="K2688" s="6">
        <v>1119</v>
      </c>
      <c r="L2688" s="27">
        <v>16.65548059893737</v>
      </c>
      <c r="M2688" s="27">
        <v>19.403074173369081</v>
      </c>
      <c r="N2688" s="34">
        <v>29.347297407912688</v>
      </c>
    </row>
    <row r="2689" spans="1:14" x14ac:dyDescent="0.35">
      <c r="A2689" s="82">
        <v>2686</v>
      </c>
      <c r="B2689" s="89" t="str">
        <f>_xlfn.XLOOKUP(A2689,'Model Modeshare by TAZ'!A:A,'Model Modeshare by TAZ'!B:B)</f>
        <v>Unincorporated</v>
      </c>
      <c r="C2689" s="90" t="str">
        <f>_xlfn.XLOOKUP(A2689,'Model Modeshare by TAZ'!A:A,'Model Modeshare by TAZ'!D:D)</f>
        <v>NO</v>
      </c>
      <c r="D2689" s="27">
        <v>13439.45</v>
      </c>
      <c r="E2689" s="27">
        <v>301352.37</v>
      </c>
      <c r="F2689" s="27">
        <v>12360.7</v>
      </c>
      <c r="G2689" s="27">
        <v>143030.29</v>
      </c>
      <c r="H2689" s="27">
        <v>2276.0700000000002</v>
      </c>
      <c r="I2689" s="27">
        <v>26227.49</v>
      </c>
      <c r="J2689" s="6">
        <v>8528</v>
      </c>
      <c r="K2689" s="6">
        <v>1324</v>
      </c>
      <c r="L2689" s="27">
        <v>16.771844512195123</v>
      </c>
      <c r="M2689" s="27">
        <v>19.809282477341391</v>
      </c>
      <c r="N2689" s="34">
        <v>27.309255988631747</v>
      </c>
    </row>
    <row r="2690" spans="1:14" x14ac:dyDescent="0.35">
      <c r="A2690" s="82">
        <v>2687</v>
      </c>
      <c r="B2690" s="89" t="str">
        <f>_xlfn.XLOOKUP(A2690,'Model Modeshare by TAZ'!A:A,'Model Modeshare by TAZ'!B:B)</f>
        <v>Santa Rosa</v>
      </c>
      <c r="C2690" s="90" t="str">
        <f>_xlfn.XLOOKUP(A2690,'Model Modeshare by TAZ'!A:A,'Model Modeshare by TAZ'!D:D)</f>
        <v>NO</v>
      </c>
      <c r="D2690" s="27">
        <v>5528.54</v>
      </c>
      <c r="E2690" s="27">
        <v>93578.37</v>
      </c>
      <c r="F2690" s="27">
        <v>5795.13</v>
      </c>
      <c r="G2690" s="27">
        <v>54416.4</v>
      </c>
      <c r="H2690" s="27">
        <v>1085.75</v>
      </c>
      <c r="I2690" s="27">
        <v>9888.02</v>
      </c>
      <c r="J2690" s="6">
        <v>3653</v>
      </c>
      <c r="K2690" s="6">
        <v>553</v>
      </c>
      <c r="L2690" s="27">
        <v>14.896359156857377</v>
      </c>
      <c r="M2690" s="27">
        <v>17.880687160940326</v>
      </c>
      <c r="N2690" s="34">
        <v>23.400998573466477</v>
      </c>
    </row>
    <row r="2691" spans="1:14" x14ac:dyDescent="0.35">
      <c r="A2691" s="82">
        <v>2688</v>
      </c>
      <c r="B2691" s="89" t="str">
        <f>_xlfn.XLOOKUP(A2691,'Model Modeshare by TAZ'!A:A,'Model Modeshare by TAZ'!B:B)</f>
        <v>Santa Rosa</v>
      </c>
      <c r="C2691" s="90" t="str">
        <f>_xlfn.XLOOKUP(A2691,'Model Modeshare by TAZ'!A:A,'Model Modeshare by TAZ'!D:D)</f>
        <v>NO</v>
      </c>
      <c r="D2691" s="27">
        <v>10932.92</v>
      </c>
      <c r="E2691" s="27">
        <v>171896.76</v>
      </c>
      <c r="F2691" s="27">
        <v>9944.6</v>
      </c>
      <c r="G2691" s="27">
        <v>87391.34</v>
      </c>
      <c r="H2691" s="27">
        <v>1362.89</v>
      </c>
      <c r="I2691" s="27">
        <v>11619.71</v>
      </c>
      <c r="J2691" s="6">
        <v>6909</v>
      </c>
      <c r="K2691" s="6">
        <v>711</v>
      </c>
      <c r="L2691" s="27">
        <v>12.648913012013315</v>
      </c>
      <c r="M2691" s="27">
        <v>16.342770745428972</v>
      </c>
      <c r="N2691" s="34">
        <v>19.831602362204723</v>
      </c>
    </row>
    <row r="2692" spans="1:14" x14ac:dyDescent="0.35">
      <c r="A2692" s="82">
        <v>2689</v>
      </c>
      <c r="B2692" s="89" t="str">
        <f>_xlfn.XLOOKUP(A2692,'Model Modeshare by TAZ'!A:A,'Model Modeshare by TAZ'!B:B)</f>
        <v>Santa Rosa</v>
      </c>
      <c r="C2692" s="90" t="str">
        <f>_xlfn.XLOOKUP(A2692,'Model Modeshare by TAZ'!A:A,'Model Modeshare by TAZ'!D:D)</f>
        <v>NO</v>
      </c>
      <c r="D2692" s="27">
        <v>8134.01</v>
      </c>
      <c r="E2692" s="27">
        <v>138640.04999999999</v>
      </c>
      <c r="F2692" s="27">
        <v>6664.48</v>
      </c>
      <c r="G2692" s="27">
        <v>61419.37</v>
      </c>
      <c r="H2692" s="27">
        <v>937.7</v>
      </c>
      <c r="I2692" s="27">
        <v>8414.08</v>
      </c>
      <c r="J2692" s="6">
        <v>4262</v>
      </c>
      <c r="K2692" s="6">
        <v>452</v>
      </c>
      <c r="L2692" s="27">
        <v>14.410926794931957</v>
      </c>
      <c r="M2692" s="27">
        <v>18.615221238938052</v>
      </c>
      <c r="N2692" s="34">
        <v>22.662384386932541</v>
      </c>
    </row>
    <row r="2693" spans="1:14" x14ac:dyDescent="0.35">
      <c r="A2693" s="82">
        <v>2690</v>
      </c>
      <c r="B2693" s="89" t="str">
        <f>_xlfn.XLOOKUP(A2693,'Model Modeshare by TAZ'!A:A,'Model Modeshare by TAZ'!B:B)</f>
        <v>Santa Rosa</v>
      </c>
      <c r="C2693" s="90" t="str">
        <f>_xlfn.XLOOKUP(A2693,'Model Modeshare by TAZ'!A:A,'Model Modeshare by TAZ'!D:D)</f>
        <v>NO</v>
      </c>
      <c r="D2693" s="27">
        <v>14419.6</v>
      </c>
      <c r="E2693" s="27">
        <v>243586.1</v>
      </c>
      <c r="F2693" s="27">
        <v>10007.15</v>
      </c>
      <c r="G2693" s="27">
        <v>94256.09</v>
      </c>
      <c r="H2693" s="27">
        <v>3364.53</v>
      </c>
      <c r="I2693" s="27">
        <v>29787.61</v>
      </c>
      <c r="J2693" s="6">
        <v>6985</v>
      </c>
      <c r="K2693" s="6">
        <v>2418</v>
      </c>
      <c r="L2693" s="27">
        <v>13.494071581961345</v>
      </c>
      <c r="M2693" s="27">
        <v>12.319110835401158</v>
      </c>
      <c r="N2693" s="34">
        <v>25.393474423056471</v>
      </c>
    </row>
    <row r="2694" spans="1:14" x14ac:dyDescent="0.35">
      <c r="A2694" s="82">
        <v>2691</v>
      </c>
      <c r="B2694" s="89" t="str">
        <f>_xlfn.XLOOKUP(A2694,'Model Modeshare by TAZ'!A:A,'Model Modeshare by TAZ'!B:B)</f>
        <v>Santa Rosa</v>
      </c>
      <c r="C2694" s="90" t="str">
        <f>_xlfn.XLOOKUP(A2694,'Model Modeshare by TAZ'!A:A,'Model Modeshare by TAZ'!D:D)</f>
        <v>NO</v>
      </c>
      <c r="D2694" s="27">
        <v>15957.17</v>
      </c>
      <c r="E2694" s="27">
        <v>252106.37</v>
      </c>
      <c r="F2694" s="27">
        <v>7689.51</v>
      </c>
      <c r="G2694" s="27">
        <v>61881.71</v>
      </c>
      <c r="H2694" s="27">
        <v>4397.3999999999996</v>
      </c>
      <c r="I2694" s="27">
        <v>37355.54</v>
      </c>
      <c r="J2694" s="6">
        <v>5272</v>
      </c>
      <c r="K2694" s="6">
        <v>3629</v>
      </c>
      <c r="L2694" s="27">
        <v>11.737805386949924</v>
      </c>
      <c r="M2694" s="27">
        <v>10.293618076605126</v>
      </c>
      <c r="N2694" s="34">
        <v>21.700144927536233</v>
      </c>
    </row>
    <row r="2695" spans="1:14" x14ac:dyDescent="0.35">
      <c r="A2695" s="82">
        <v>2692</v>
      </c>
      <c r="B2695" s="89" t="str">
        <f>_xlfn.XLOOKUP(A2695,'Model Modeshare by TAZ'!A:A,'Model Modeshare by TAZ'!B:B)</f>
        <v>Santa Rosa</v>
      </c>
      <c r="C2695" s="90" t="str">
        <f>_xlfn.XLOOKUP(A2695,'Model Modeshare by TAZ'!A:A,'Model Modeshare by TAZ'!D:D)</f>
        <v>NO</v>
      </c>
      <c r="D2695" s="27">
        <v>6054.82</v>
      </c>
      <c r="E2695" s="27">
        <v>80623.91</v>
      </c>
      <c r="F2695" s="27">
        <v>3880.05</v>
      </c>
      <c r="G2695" s="27">
        <v>27799.91</v>
      </c>
      <c r="H2695" s="27">
        <v>1259.57</v>
      </c>
      <c r="I2695" s="27">
        <v>9615.35</v>
      </c>
      <c r="J2695" s="6">
        <v>3229</v>
      </c>
      <c r="K2695" s="6">
        <v>1018</v>
      </c>
      <c r="L2695" s="27">
        <v>8.6094487457417159</v>
      </c>
      <c r="M2695" s="27">
        <v>9.4453339882121803</v>
      </c>
      <c r="N2695" s="34">
        <v>17.139557334589121</v>
      </c>
    </row>
    <row r="2696" spans="1:14" x14ac:dyDescent="0.35">
      <c r="A2696" s="82">
        <v>2693</v>
      </c>
      <c r="B2696" s="89" t="str">
        <f>_xlfn.XLOOKUP(A2696,'Model Modeshare by TAZ'!A:A,'Model Modeshare by TAZ'!B:B)</f>
        <v>Santa Rosa</v>
      </c>
      <c r="C2696" s="90" t="str">
        <f>_xlfn.XLOOKUP(A2696,'Model Modeshare by TAZ'!A:A,'Model Modeshare by TAZ'!D:D)</f>
        <v>NO</v>
      </c>
      <c r="D2696" s="27">
        <v>21417.27</v>
      </c>
      <c r="E2696" s="27">
        <v>356202.92</v>
      </c>
      <c r="F2696" s="27">
        <v>2871.61</v>
      </c>
      <c r="G2696" s="27">
        <v>25149.57</v>
      </c>
      <c r="H2696" s="27">
        <v>10870.42</v>
      </c>
      <c r="I2696" s="27">
        <v>95978.32</v>
      </c>
      <c r="J2696" s="6">
        <v>2380</v>
      </c>
      <c r="K2696" s="6">
        <v>9683</v>
      </c>
      <c r="L2696" s="27">
        <v>10.567046218487395</v>
      </c>
      <c r="M2696" s="27">
        <v>9.9120437880822063</v>
      </c>
      <c r="N2696" s="34">
        <v>27.189623642543314</v>
      </c>
    </row>
    <row r="2697" spans="1:14" x14ac:dyDescent="0.35">
      <c r="A2697" s="82">
        <v>2694</v>
      </c>
      <c r="B2697" s="89" t="str">
        <f>_xlfn.XLOOKUP(A2697,'Model Modeshare by TAZ'!A:A,'Model Modeshare by TAZ'!B:B)</f>
        <v>Santa Rosa</v>
      </c>
      <c r="C2697" s="90" t="str">
        <f>_xlfn.XLOOKUP(A2697,'Model Modeshare by TAZ'!A:A,'Model Modeshare by TAZ'!D:D)</f>
        <v>NO</v>
      </c>
      <c r="D2697" s="27">
        <v>8868.31</v>
      </c>
      <c r="E2697" s="27">
        <v>132499.76999999999</v>
      </c>
      <c r="F2697" s="27">
        <v>5326.56</v>
      </c>
      <c r="G2697" s="27">
        <v>42120.66</v>
      </c>
      <c r="H2697" s="27">
        <v>2241.0100000000002</v>
      </c>
      <c r="I2697" s="27">
        <v>18794.23</v>
      </c>
      <c r="J2697" s="6">
        <v>3635</v>
      </c>
      <c r="K2697" s="6">
        <v>1764</v>
      </c>
      <c r="L2697" s="27">
        <v>11.587526822558461</v>
      </c>
      <c r="M2697" s="27">
        <v>10.654325396825396</v>
      </c>
      <c r="N2697" s="34">
        <v>20.958334876829042</v>
      </c>
    </row>
    <row r="2698" spans="1:14" x14ac:dyDescent="0.35">
      <c r="A2698" s="82">
        <v>2695</v>
      </c>
      <c r="B2698" s="89" t="str">
        <f>_xlfn.XLOOKUP(A2698,'Model Modeshare by TAZ'!A:A,'Model Modeshare by TAZ'!B:B)</f>
        <v>Santa Rosa</v>
      </c>
      <c r="C2698" s="90" t="str">
        <f>_xlfn.XLOOKUP(A2698,'Model Modeshare by TAZ'!A:A,'Model Modeshare by TAZ'!D:D)</f>
        <v>NO</v>
      </c>
      <c r="D2698" s="27">
        <v>19474.22</v>
      </c>
      <c r="E2698" s="27">
        <v>349183.57</v>
      </c>
      <c r="F2698" s="27">
        <v>2726.75</v>
      </c>
      <c r="G2698" s="27">
        <v>20639.75</v>
      </c>
      <c r="H2698" s="27">
        <v>17107.04</v>
      </c>
      <c r="I2698" s="27">
        <v>146228.43</v>
      </c>
      <c r="J2698" s="6">
        <v>2401</v>
      </c>
      <c r="K2698" s="6">
        <v>14662</v>
      </c>
      <c r="L2698" s="27">
        <v>8.5963140358184091</v>
      </c>
      <c r="M2698" s="27">
        <v>9.9732935479470743</v>
      </c>
      <c r="N2698" s="34">
        <v>29.979618472718748</v>
      </c>
    </row>
    <row r="2699" spans="1:14" x14ac:dyDescent="0.35">
      <c r="A2699" s="82">
        <v>2696</v>
      </c>
      <c r="B2699" s="89" t="str">
        <f>_xlfn.XLOOKUP(A2699,'Model Modeshare by TAZ'!A:A,'Model Modeshare by TAZ'!B:B)</f>
        <v>Santa Rosa</v>
      </c>
      <c r="C2699" s="90" t="str">
        <f>_xlfn.XLOOKUP(A2699,'Model Modeshare by TAZ'!A:A,'Model Modeshare by TAZ'!D:D)</f>
        <v>NO</v>
      </c>
      <c r="D2699" s="27">
        <v>6213.5</v>
      </c>
      <c r="E2699" s="27">
        <v>94667.36</v>
      </c>
      <c r="F2699" s="27">
        <v>5317.58</v>
      </c>
      <c r="G2699" s="27">
        <v>41605.760000000002</v>
      </c>
      <c r="H2699" s="27">
        <v>1411.36</v>
      </c>
      <c r="I2699" s="27">
        <v>12022.77</v>
      </c>
      <c r="J2699" s="6">
        <v>3945</v>
      </c>
      <c r="K2699" s="6">
        <v>892</v>
      </c>
      <c r="L2699" s="27">
        <v>10.546453738910014</v>
      </c>
      <c r="M2699" s="27">
        <v>13.478441704035875</v>
      </c>
      <c r="N2699" s="34">
        <v>18.541515402108743</v>
      </c>
    </row>
    <row r="2700" spans="1:14" x14ac:dyDescent="0.35">
      <c r="A2700" s="82">
        <v>2697</v>
      </c>
      <c r="B2700" s="89" t="str">
        <f>_xlfn.XLOOKUP(A2700,'Model Modeshare by TAZ'!A:A,'Model Modeshare by TAZ'!B:B)</f>
        <v>Santa Rosa</v>
      </c>
      <c r="C2700" s="90" t="str">
        <f>_xlfn.XLOOKUP(A2700,'Model Modeshare by TAZ'!A:A,'Model Modeshare by TAZ'!D:D)</f>
        <v>NO</v>
      </c>
      <c r="D2700" s="27">
        <v>8890.36</v>
      </c>
      <c r="E2700" s="27">
        <v>141228.6</v>
      </c>
      <c r="F2700" s="27">
        <v>5938.35</v>
      </c>
      <c r="G2700" s="27">
        <v>43160.36</v>
      </c>
      <c r="H2700" s="27">
        <v>2169.66</v>
      </c>
      <c r="I2700" s="27">
        <v>18298.189999999999</v>
      </c>
      <c r="J2700" s="6">
        <v>4301</v>
      </c>
      <c r="K2700" s="6">
        <v>1556</v>
      </c>
      <c r="L2700" s="27">
        <v>10.034959311787956</v>
      </c>
      <c r="M2700" s="27">
        <v>11.759762210796914</v>
      </c>
      <c r="N2700" s="34">
        <v>19.52196516988219</v>
      </c>
    </row>
    <row r="2701" spans="1:14" x14ac:dyDescent="0.35">
      <c r="A2701" s="82">
        <v>2698</v>
      </c>
      <c r="B2701" s="89" t="str">
        <f>_xlfn.XLOOKUP(A2701,'Model Modeshare by TAZ'!A:A,'Model Modeshare by TAZ'!B:B)</f>
        <v>Santa Rosa</v>
      </c>
      <c r="C2701" s="90" t="str">
        <f>_xlfn.XLOOKUP(A2701,'Model Modeshare by TAZ'!A:A,'Model Modeshare by TAZ'!D:D)</f>
        <v>NO</v>
      </c>
      <c r="D2701" s="27">
        <v>23069.040000000001</v>
      </c>
      <c r="E2701" s="27">
        <v>416603.86</v>
      </c>
      <c r="F2701" s="27">
        <v>15429.96</v>
      </c>
      <c r="G2701" s="27">
        <v>112816.87</v>
      </c>
      <c r="H2701" s="27">
        <v>7323.39</v>
      </c>
      <c r="I2701" s="27">
        <v>71045.600000000006</v>
      </c>
      <c r="J2701" s="6">
        <v>10176</v>
      </c>
      <c r="K2701" s="6">
        <v>5644</v>
      </c>
      <c r="L2701" s="27">
        <v>11.086563482704403</v>
      </c>
      <c r="M2701" s="27">
        <v>12.58781006378455</v>
      </c>
      <c r="N2701" s="34">
        <v>20.26821238938053</v>
      </c>
    </row>
    <row r="2702" spans="1:14" x14ac:dyDescent="0.35">
      <c r="A2702" s="82">
        <v>2699</v>
      </c>
      <c r="B2702" s="89" t="str">
        <f>_xlfn.XLOOKUP(A2702,'Model Modeshare by TAZ'!A:A,'Model Modeshare by TAZ'!B:B)</f>
        <v>Unincorporated</v>
      </c>
      <c r="C2702" s="90" t="str">
        <f>_xlfn.XLOOKUP(A2702,'Model Modeshare by TAZ'!A:A,'Model Modeshare by TAZ'!D:D)</f>
        <v>NO</v>
      </c>
      <c r="D2702" s="27">
        <v>9293.4</v>
      </c>
      <c r="E2702" s="27">
        <v>178152.05</v>
      </c>
      <c r="F2702" s="27">
        <v>7696.53</v>
      </c>
      <c r="G2702" s="27">
        <v>76222.39</v>
      </c>
      <c r="H2702" s="27">
        <v>1777.44</v>
      </c>
      <c r="I2702" s="27">
        <v>18573.18</v>
      </c>
      <c r="J2702" s="6">
        <v>5397</v>
      </c>
      <c r="K2702" s="6">
        <v>1033</v>
      </c>
      <c r="L2702" s="27">
        <v>14.123103576060775</v>
      </c>
      <c r="M2702" s="27">
        <v>17.979845111326235</v>
      </c>
      <c r="N2702" s="34">
        <v>24.119230171073095</v>
      </c>
    </row>
    <row r="2703" spans="1:14" x14ac:dyDescent="0.35">
      <c r="A2703" s="82">
        <v>2700</v>
      </c>
      <c r="B2703" s="89" t="str">
        <f>_xlfn.XLOOKUP(A2703,'Model Modeshare by TAZ'!A:A,'Model Modeshare by TAZ'!B:B)</f>
        <v>Unincorporated</v>
      </c>
      <c r="C2703" s="90" t="str">
        <f>_xlfn.XLOOKUP(A2703,'Model Modeshare by TAZ'!A:A,'Model Modeshare by TAZ'!D:D)</f>
        <v>NO</v>
      </c>
      <c r="D2703" s="27">
        <v>25319.61</v>
      </c>
      <c r="E2703" s="27">
        <v>640269.25</v>
      </c>
      <c r="F2703" s="27">
        <v>7297.33</v>
      </c>
      <c r="G2703" s="27">
        <v>83468.05</v>
      </c>
      <c r="H2703" s="27">
        <v>11549.5</v>
      </c>
      <c r="I2703" s="27">
        <v>143348.54999999999</v>
      </c>
      <c r="J2703" s="6">
        <v>5140</v>
      </c>
      <c r="K2703" s="6">
        <v>8369</v>
      </c>
      <c r="L2703" s="27">
        <v>16.238920233463034</v>
      </c>
      <c r="M2703" s="27">
        <v>17.128515951726609</v>
      </c>
      <c r="N2703" s="34">
        <v>31.795733955141017</v>
      </c>
    </row>
    <row r="2704" spans="1:14" x14ac:dyDescent="0.35">
      <c r="A2704" s="82">
        <v>2701</v>
      </c>
      <c r="B2704" s="89" t="str">
        <f>_xlfn.XLOOKUP(A2704,'Model Modeshare by TAZ'!A:A,'Model Modeshare by TAZ'!B:B)</f>
        <v>Santa Rosa</v>
      </c>
      <c r="C2704" s="90" t="str">
        <f>_xlfn.XLOOKUP(A2704,'Model Modeshare by TAZ'!A:A,'Model Modeshare by TAZ'!D:D)</f>
        <v>NO</v>
      </c>
      <c r="D2704" s="27">
        <v>21177.93</v>
      </c>
      <c r="E2704" s="27">
        <v>380409.39</v>
      </c>
      <c r="F2704" s="27">
        <v>8198.89</v>
      </c>
      <c r="G2704" s="27">
        <v>70886.86</v>
      </c>
      <c r="H2704" s="27">
        <v>6787.17</v>
      </c>
      <c r="I2704" s="27">
        <v>60817.58</v>
      </c>
      <c r="J2704" s="6">
        <v>5667</v>
      </c>
      <c r="K2704" s="6">
        <v>5351</v>
      </c>
      <c r="L2704" s="27">
        <v>12.50871007587789</v>
      </c>
      <c r="M2704" s="27">
        <v>11.365647542515418</v>
      </c>
      <c r="N2704" s="34">
        <v>23.310893084044292</v>
      </c>
    </row>
    <row r="2705" spans="1:14" x14ac:dyDescent="0.35">
      <c r="A2705" s="82">
        <v>2702</v>
      </c>
      <c r="B2705" s="89" t="str">
        <f>_xlfn.XLOOKUP(A2705,'Model Modeshare by TAZ'!A:A,'Model Modeshare by TAZ'!B:B)</f>
        <v>Unincorporated</v>
      </c>
      <c r="C2705" s="90" t="str">
        <f>_xlfn.XLOOKUP(A2705,'Model Modeshare by TAZ'!A:A,'Model Modeshare by TAZ'!D:D)</f>
        <v>NO</v>
      </c>
      <c r="D2705" s="27">
        <v>16331.52</v>
      </c>
      <c r="E2705" s="27">
        <v>343101.03</v>
      </c>
      <c r="F2705" s="27">
        <v>15114.27</v>
      </c>
      <c r="G2705" s="27">
        <v>152882.96</v>
      </c>
      <c r="H2705" s="27">
        <v>2420.77</v>
      </c>
      <c r="I2705" s="27">
        <v>23731.25</v>
      </c>
      <c r="J2705" s="6">
        <v>9449</v>
      </c>
      <c r="K2705" s="6">
        <v>1211</v>
      </c>
      <c r="L2705" s="27">
        <v>16.179803153772884</v>
      </c>
      <c r="M2705" s="27">
        <v>19.596407927332784</v>
      </c>
      <c r="N2705" s="34">
        <v>25.19619512195122</v>
      </c>
    </row>
    <row r="2706" spans="1:14" x14ac:dyDescent="0.35">
      <c r="A2706" s="82">
        <v>2703</v>
      </c>
      <c r="B2706" s="89" t="str">
        <f>_xlfn.XLOOKUP(A2706,'Model Modeshare by TAZ'!A:A,'Model Modeshare by TAZ'!B:B)</f>
        <v>Santa Rosa</v>
      </c>
      <c r="C2706" s="90" t="str">
        <f>_xlfn.XLOOKUP(A2706,'Model Modeshare by TAZ'!A:A,'Model Modeshare by TAZ'!D:D)</f>
        <v>NO</v>
      </c>
      <c r="D2706" s="27">
        <v>8689.4599999999991</v>
      </c>
      <c r="E2706" s="27">
        <v>116622.73</v>
      </c>
      <c r="F2706" s="27">
        <v>7722.31</v>
      </c>
      <c r="G2706" s="27">
        <v>56945.73</v>
      </c>
      <c r="H2706" s="27">
        <v>961.79</v>
      </c>
      <c r="I2706" s="27">
        <v>7490.49</v>
      </c>
      <c r="J2706" s="6">
        <v>5251</v>
      </c>
      <c r="K2706" s="6">
        <v>484</v>
      </c>
      <c r="L2706" s="27">
        <v>10.844740049514378</v>
      </c>
      <c r="M2706" s="27">
        <v>15.476219008264462</v>
      </c>
      <c r="N2706" s="34">
        <v>18.16574716652136</v>
      </c>
    </row>
    <row r="2707" spans="1:14" x14ac:dyDescent="0.35">
      <c r="A2707" s="82">
        <v>2704</v>
      </c>
      <c r="B2707" s="89" t="str">
        <f>_xlfn.XLOOKUP(A2707,'Model Modeshare by TAZ'!A:A,'Model Modeshare by TAZ'!B:B)</f>
        <v>Santa Rosa</v>
      </c>
      <c r="C2707" s="90" t="str">
        <f>_xlfn.XLOOKUP(A2707,'Model Modeshare by TAZ'!A:A,'Model Modeshare by TAZ'!D:D)</f>
        <v>NO</v>
      </c>
      <c r="D2707" s="27">
        <v>6453.91</v>
      </c>
      <c r="E2707" s="27">
        <v>86858.15</v>
      </c>
      <c r="F2707" s="27">
        <v>6855.46</v>
      </c>
      <c r="G2707" s="27">
        <v>48897.03</v>
      </c>
      <c r="H2707" s="27">
        <v>680.28</v>
      </c>
      <c r="I2707" s="27">
        <v>5421.14</v>
      </c>
      <c r="J2707" s="6">
        <v>5355</v>
      </c>
      <c r="K2707" s="6">
        <v>354</v>
      </c>
      <c r="L2707" s="27">
        <v>9.1310980392156864</v>
      </c>
      <c r="M2707" s="27">
        <v>15.313954802259888</v>
      </c>
      <c r="N2707" s="34">
        <v>14.056032580136627</v>
      </c>
    </row>
    <row r="2708" spans="1:14" x14ac:dyDescent="0.35">
      <c r="A2708" s="82">
        <v>2705</v>
      </c>
      <c r="B2708" s="89" t="str">
        <f>_xlfn.XLOOKUP(A2708,'Model Modeshare by TAZ'!A:A,'Model Modeshare by TAZ'!B:B)</f>
        <v>Santa Rosa</v>
      </c>
      <c r="C2708" s="90" t="str">
        <f>_xlfn.XLOOKUP(A2708,'Model Modeshare by TAZ'!A:A,'Model Modeshare by TAZ'!D:D)</f>
        <v>NO</v>
      </c>
      <c r="D2708" s="27">
        <v>16259.12</v>
      </c>
      <c r="E2708" s="27">
        <v>283312.48</v>
      </c>
      <c r="F2708" s="27">
        <v>8917.39</v>
      </c>
      <c r="G2708" s="27">
        <v>80542.710000000006</v>
      </c>
      <c r="H2708" s="27">
        <v>3749.53</v>
      </c>
      <c r="I2708" s="27">
        <v>33330.86</v>
      </c>
      <c r="J2708" s="6">
        <v>7156</v>
      </c>
      <c r="K2708" s="6">
        <v>3081</v>
      </c>
      <c r="L2708" s="27">
        <v>11.25526970374511</v>
      </c>
      <c r="M2708" s="27">
        <v>10.818195391106784</v>
      </c>
      <c r="N2708" s="34">
        <v>19.688635342385464</v>
      </c>
    </row>
    <row r="2709" spans="1:14" x14ac:dyDescent="0.35">
      <c r="A2709" s="82">
        <v>2706</v>
      </c>
      <c r="B2709" s="89" t="str">
        <f>_xlfn.XLOOKUP(A2709,'Model Modeshare by TAZ'!A:A,'Model Modeshare by TAZ'!B:B)</f>
        <v>Santa Rosa</v>
      </c>
      <c r="C2709" s="90" t="str">
        <f>_xlfn.XLOOKUP(A2709,'Model Modeshare by TAZ'!A:A,'Model Modeshare by TAZ'!D:D)</f>
        <v>NO</v>
      </c>
      <c r="D2709" s="27">
        <v>19654.54</v>
      </c>
      <c r="E2709" s="27">
        <v>282283.96000000002</v>
      </c>
      <c r="F2709" s="27">
        <v>8904.51</v>
      </c>
      <c r="G2709" s="27">
        <v>63659.94</v>
      </c>
      <c r="H2709" s="27">
        <v>7815.02</v>
      </c>
      <c r="I2709" s="27">
        <v>61395</v>
      </c>
      <c r="J2709" s="6">
        <v>7192</v>
      </c>
      <c r="K2709" s="6">
        <v>6533</v>
      </c>
      <c r="L2709" s="27">
        <v>8.8514933259176871</v>
      </c>
      <c r="M2709" s="27">
        <v>9.3976733506811581</v>
      </c>
      <c r="N2709" s="34">
        <v>19.717307103825135</v>
      </c>
    </row>
    <row r="2710" spans="1:14" x14ac:dyDescent="0.35">
      <c r="A2710" s="82">
        <v>2707</v>
      </c>
      <c r="B2710" s="89" t="str">
        <f>_xlfn.XLOOKUP(A2710,'Model Modeshare by TAZ'!A:A,'Model Modeshare by TAZ'!B:B)</f>
        <v>Santa Rosa</v>
      </c>
      <c r="C2710" s="90" t="str">
        <f>_xlfn.XLOOKUP(A2710,'Model Modeshare by TAZ'!A:A,'Model Modeshare by TAZ'!D:D)</f>
        <v>NO</v>
      </c>
      <c r="D2710" s="27">
        <v>13898.66</v>
      </c>
      <c r="E2710" s="27">
        <v>235972.99</v>
      </c>
      <c r="F2710" s="27">
        <v>10996.46</v>
      </c>
      <c r="G2710" s="27">
        <v>94307.41</v>
      </c>
      <c r="H2710" s="27">
        <v>3202.3</v>
      </c>
      <c r="I2710" s="27">
        <v>26610.400000000001</v>
      </c>
      <c r="J2710" s="6">
        <v>7449</v>
      </c>
      <c r="K2710" s="6">
        <v>1982</v>
      </c>
      <c r="L2710" s="27">
        <v>12.660412135857163</v>
      </c>
      <c r="M2710" s="27">
        <v>13.426034308779013</v>
      </c>
      <c r="N2710" s="34">
        <v>20.386335489343654</v>
      </c>
    </row>
    <row r="2711" spans="1:14" x14ac:dyDescent="0.35">
      <c r="A2711" s="82">
        <v>2708</v>
      </c>
      <c r="B2711" s="89" t="str">
        <f>_xlfn.XLOOKUP(A2711,'Model Modeshare by TAZ'!A:A,'Model Modeshare by TAZ'!B:B)</f>
        <v>Santa Rosa</v>
      </c>
      <c r="C2711" s="90" t="str">
        <f>_xlfn.XLOOKUP(A2711,'Model Modeshare by TAZ'!A:A,'Model Modeshare by TAZ'!D:D)</f>
        <v>NO</v>
      </c>
      <c r="D2711" s="27">
        <v>13586.63</v>
      </c>
      <c r="E2711" s="27">
        <v>192968.99</v>
      </c>
      <c r="F2711" s="27">
        <v>9202.18</v>
      </c>
      <c r="G2711" s="27">
        <v>67699.09</v>
      </c>
      <c r="H2711" s="27">
        <v>3055.1</v>
      </c>
      <c r="I2711" s="27">
        <v>23415.279999999999</v>
      </c>
      <c r="J2711" s="6">
        <v>7231</v>
      </c>
      <c r="K2711" s="6">
        <v>2369</v>
      </c>
      <c r="L2711" s="27">
        <v>9.3623413082561182</v>
      </c>
      <c r="M2711" s="27">
        <v>9.8840354579991558</v>
      </c>
      <c r="N2711" s="34">
        <v>15.921225000000002</v>
      </c>
    </row>
    <row r="2712" spans="1:14" x14ac:dyDescent="0.35">
      <c r="A2712" s="82">
        <v>2709</v>
      </c>
      <c r="B2712" s="89" t="str">
        <f>_xlfn.XLOOKUP(A2712,'Model Modeshare by TAZ'!A:A,'Model Modeshare by TAZ'!B:B)</f>
        <v>Santa Rosa</v>
      </c>
      <c r="C2712" s="90" t="str">
        <f>_xlfn.XLOOKUP(A2712,'Model Modeshare by TAZ'!A:A,'Model Modeshare by TAZ'!D:D)</f>
        <v>NO</v>
      </c>
      <c r="D2712" s="27">
        <v>8340.73</v>
      </c>
      <c r="E2712" s="27">
        <v>123626.78</v>
      </c>
      <c r="F2712" s="27">
        <v>8726.86</v>
      </c>
      <c r="G2712" s="27">
        <v>69838.320000000007</v>
      </c>
      <c r="H2712" s="27">
        <v>2058.3200000000002</v>
      </c>
      <c r="I2712" s="27">
        <v>16690.419999999998</v>
      </c>
      <c r="J2712" s="6">
        <v>6151</v>
      </c>
      <c r="K2712" s="6">
        <v>1082</v>
      </c>
      <c r="L2712" s="27">
        <v>11.353978214924403</v>
      </c>
      <c r="M2712" s="27">
        <v>15.425526802218114</v>
      </c>
      <c r="N2712" s="34">
        <v>18.075315913175722</v>
      </c>
    </row>
    <row r="2713" spans="1:14" x14ac:dyDescent="0.35">
      <c r="A2713" s="82">
        <v>2710</v>
      </c>
      <c r="B2713" s="89" t="str">
        <f>_xlfn.XLOOKUP(A2713,'Model Modeshare by TAZ'!A:A,'Model Modeshare by TAZ'!B:B)</f>
        <v>Santa Rosa</v>
      </c>
      <c r="C2713" s="90" t="str">
        <f>_xlfn.XLOOKUP(A2713,'Model Modeshare by TAZ'!A:A,'Model Modeshare by TAZ'!D:D)</f>
        <v>NO</v>
      </c>
      <c r="D2713" s="27">
        <v>13338.39</v>
      </c>
      <c r="E2713" s="27">
        <v>210245.56</v>
      </c>
      <c r="F2713" s="27">
        <v>13974.93</v>
      </c>
      <c r="G2713" s="27">
        <v>115644.07</v>
      </c>
      <c r="H2713" s="27">
        <v>3467.42</v>
      </c>
      <c r="I2713" s="27">
        <v>26754.48</v>
      </c>
      <c r="J2713" s="6">
        <v>10275</v>
      </c>
      <c r="K2713" s="6">
        <v>2113</v>
      </c>
      <c r="L2713" s="27">
        <v>11.254897323600973</v>
      </c>
      <c r="M2713" s="27">
        <v>12.661845716990062</v>
      </c>
      <c r="N2713" s="34">
        <v>17.971674200839523</v>
      </c>
    </row>
    <row r="2714" spans="1:14" x14ac:dyDescent="0.35">
      <c r="A2714" s="82">
        <v>2711</v>
      </c>
      <c r="B2714" s="89" t="str">
        <f>_xlfn.XLOOKUP(A2714,'Model Modeshare by TAZ'!A:A,'Model Modeshare by TAZ'!B:B)</f>
        <v>Santa Rosa</v>
      </c>
      <c r="C2714" s="90" t="str">
        <f>_xlfn.XLOOKUP(A2714,'Model Modeshare by TAZ'!A:A,'Model Modeshare by TAZ'!D:D)</f>
        <v>NO</v>
      </c>
      <c r="D2714" s="27">
        <v>6632.99</v>
      </c>
      <c r="E2714" s="27">
        <v>117744.72</v>
      </c>
      <c r="F2714" s="27">
        <v>8207.65</v>
      </c>
      <c r="G2714" s="27">
        <v>81953.3</v>
      </c>
      <c r="H2714" s="27">
        <v>560.01</v>
      </c>
      <c r="I2714" s="27">
        <v>4797.37</v>
      </c>
      <c r="J2714" s="6">
        <v>6459</v>
      </c>
      <c r="K2714" s="6">
        <v>279</v>
      </c>
      <c r="L2714" s="27">
        <v>12.688233472673788</v>
      </c>
      <c r="M2714" s="27">
        <v>17.194874551971324</v>
      </c>
      <c r="N2714" s="34">
        <v>18.095215197387947</v>
      </c>
    </row>
    <row r="2715" spans="1:14" x14ac:dyDescent="0.35">
      <c r="A2715" s="82">
        <v>2712</v>
      </c>
      <c r="B2715" s="89" t="str">
        <f>_xlfn.XLOOKUP(A2715,'Model Modeshare by TAZ'!A:A,'Model Modeshare by TAZ'!B:B)</f>
        <v>Unincorporated</v>
      </c>
      <c r="C2715" s="90" t="str">
        <f>_xlfn.XLOOKUP(A2715,'Model Modeshare by TAZ'!A:A,'Model Modeshare by TAZ'!D:D)</f>
        <v>NO</v>
      </c>
      <c r="D2715" s="27">
        <v>25056.83</v>
      </c>
      <c r="E2715" s="27">
        <v>497875.08</v>
      </c>
      <c r="F2715" s="27">
        <v>11456.6</v>
      </c>
      <c r="G2715" s="27">
        <v>116455.41</v>
      </c>
      <c r="H2715" s="27">
        <v>8891.2800000000007</v>
      </c>
      <c r="I2715" s="27">
        <v>83369.69</v>
      </c>
      <c r="J2715" s="6">
        <v>8091</v>
      </c>
      <c r="K2715" s="6">
        <v>6821</v>
      </c>
      <c r="L2715" s="27">
        <v>14.393203559510567</v>
      </c>
      <c r="M2715" s="27">
        <v>12.222502565606217</v>
      </c>
      <c r="N2715" s="34">
        <v>25.985222639484981</v>
      </c>
    </row>
    <row r="2716" spans="1:14" x14ac:dyDescent="0.35">
      <c r="A2716" s="82">
        <v>2713</v>
      </c>
      <c r="B2716" s="89" t="str">
        <f>_xlfn.XLOOKUP(A2716,'Model Modeshare by TAZ'!A:A,'Model Modeshare by TAZ'!B:B)</f>
        <v>Unincorporated</v>
      </c>
      <c r="C2716" s="90" t="str">
        <f>_xlfn.XLOOKUP(A2716,'Model Modeshare by TAZ'!A:A,'Model Modeshare by TAZ'!D:D)</f>
        <v>NO</v>
      </c>
      <c r="D2716" s="27">
        <v>24818.639999999999</v>
      </c>
      <c r="E2716" s="27">
        <v>449311.64</v>
      </c>
      <c r="F2716" s="27">
        <v>16799.89</v>
      </c>
      <c r="G2716" s="27">
        <v>153557.07999999999</v>
      </c>
      <c r="H2716" s="27">
        <v>7374.09</v>
      </c>
      <c r="I2716" s="27">
        <v>63500.09</v>
      </c>
      <c r="J2716" s="6">
        <v>11567</v>
      </c>
      <c r="K2716" s="6">
        <v>4999</v>
      </c>
      <c r="L2716" s="27">
        <v>13.275445664390075</v>
      </c>
      <c r="M2716" s="27">
        <v>12.702558511702339</v>
      </c>
      <c r="N2716" s="34">
        <v>22.113817457442956</v>
      </c>
    </row>
    <row r="2717" spans="1:14" x14ac:dyDescent="0.35">
      <c r="A2717" s="82">
        <v>2714</v>
      </c>
      <c r="B2717" s="89" t="str">
        <f>_xlfn.XLOOKUP(A2717,'Model Modeshare by TAZ'!A:A,'Model Modeshare by TAZ'!B:B)</f>
        <v>Unincorporated</v>
      </c>
      <c r="C2717" s="90" t="str">
        <f>_xlfn.XLOOKUP(A2717,'Model Modeshare by TAZ'!A:A,'Model Modeshare by TAZ'!D:D)</f>
        <v>NO</v>
      </c>
      <c r="D2717" s="27">
        <v>12062.28</v>
      </c>
      <c r="E2717" s="27">
        <v>227181.75</v>
      </c>
      <c r="F2717" s="27">
        <v>10622.15</v>
      </c>
      <c r="G2717" s="27">
        <v>103519.03999999999</v>
      </c>
      <c r="H2717" s="27">
        <v>2479.02</v>
      </c>
      <c r="I2717" s="27">
        <v>21933.759999999998</v>
      </c>
      <c r="J2717" s="6">
        <v>6763</v>
      </c>
      <c r="K2717" s="6">
        <v>1401</v>
      </c>
      <c r="L2717" s="27">
        <v>15.306674552713291</v>
      </c>
      <c r="M2717" s="27">
        <v>15.655788722341184</v>
      </c>
      <c r="N2717" s="34">
        <v>23.515153111219988</v>
      </c>
    </row>
    <row r="2718" spans="1:14" x14ac:dyDescent="0.35">
      <c r="A2718" s="82">
        <v>2715</v>
      </c>
      <c r="B2718" s="89" t="str">
        <f>_xlfn.XLOOKUP(A2718,'Model Modeshare by TAZ'!A:A,'Model Modeshare by TAZ'!B:B)</f>
        <v>Unincorporated</v>
      </c>
      <c r="C2718" s="90" t="str">
        <f>_xlfn.XLOOKUP(A2718,'Model Modeshare by TAZ'!A:A,'Model Modeshare by TAZ'!D:D)</f>
        <v>NO</v>
      </c>
      <c r="D2718" s="27">
        <v>9718.07</v>
      </c>
      <c r="E2718" s="27">
        <v>244867.59</v>
      </c>
      <c r="F2718" s="27">
        <v>8401.2800000000007</v>
      </c>
      <c r="G2718" s="27">
        <v>96632.68</v>
      </c>
      <c r="H2718" s="27">
        <v>2644.2</v>
      </c>
      <c r="I2718" s="27">
        <v>33961.24</v>
      </c>
      <c r="J2718" s="6">
        <v>5458</v>
      </c>
      <c r="K2718" s="6">
        <v>1497</v>
      </c>
      <c r="L2718" s="27">
        <v>17.704778307072186</v>
      </c>
      <c r="M2718" s="27">
        <v>22.686199064796259</v>
      </c>
      <c r="N2718" s="34">
        <v>30.259708123652047</v>
      </c>
    </row>
    <row r="2719" spans="1:14" x14ac:dyDescent="0.35">
      <c r="A2719" s="82">
        <v>2716</v>
      </c>
      <c r="B2719" s="89" t="str">
        <f>_xlfn.XLOOKUP(A2719,'Model Modeshare by TAZ'!A:A,'Model Modeshare by TAZ'!B:B)</f>
        <v>Unincorporated</v>
      </c>
      <c r="C2719" s="90" t="str">
        <f>_xlfn.XLOOKUP(A2719,'Model Modeshare by TAZ'!A:A,'Model Modeshare by TAZ'!D:D)</f>
        <v>NO</v>
      </c>
      <c r="D2719" s="27">
        <v>18791.5</v>
      </c>
      <c r="E2719" s="27">
        <v>419899.05</v>
      </c>
      <c r="F2719" s="27">
        <v>9205.77</v>
      </c>
      <c r="G2719" s="27">
        <v>94644.1</v>
      </c>
      <c r="H2719" s="27">
        <v>6171.69</v>
      </c>
      <c r="I2719" s="27">
        <v>68482.289999999994</v>
      </c>
      <c r="J2719" s="6">
        <v>6236</v>
      </c>
      <c r="K2719" s="6">
        <v>4645</v>
      </c>
      <c r="L2719" s="27">
        <v>15.177052597819115</v>
      </c>
      <c r="M2719" s="27">
        <v>14.743227125941871</v>
      </c>
      <c r="N2719" s="34">
        <v>32.715666758569981</v>
      </c>
    </row>
    <row r="2720" spans="1:14" x14ac:dyDescent="0.35">
      <c r="A2720" s="82">
        <v>2717</v>
      </c>
      <c r="B2720" s="89" t="str">
        <f>_xlfn.XLOOKUP(A2720,'Model Modeshare by TAZ'!A:A,'Model Modeshare by TAZ'!B:B)</f>
        <v>Unincorporated</v>
      </c>
      <c r="C2720" s="90" t="str">
        <f>_xlfn.XLOOKUP(A2720,'Model Modeshare by TAZ'!A:A,'Model Modeshare by TAZ'!D:D)</f>
        <v>NO</v>
      </c>
      <c r="D2720" s="27">
        <v>7362.77</v>
      </c>
      <c r="E2720" s="27">
        <v>189852.16</v>
      </c>
      <c r="F2720" s="27">
        <v>6078.89</v>
      </c>
      <c r="G2720" s="27">
        <v>82852.87</v>
      </c>
      <c r="H2720" s="27">
        <v>1217.75</v>
      </c>
      <c r="I2720" s="27">
        <v>14674.98</v>
      </c>
      <c r="J2720" s="6">
        <v>4048</v>
      </c>
      <c r="K2720" s="6">
        <v>612</v>
      </c>
      <c r="L2720" s="27">
        <v>20.467606225296443</v>
      </c>
      <c r="M2720" s="27">
        <v>23.978725490196076</v>
      </c>
      <c r="N2720" s="34">
        <v>33.36230042918455</v>
      </c>
    </row>
    <row r="2721" spans="1:14" x14ac:dyDescent="0.35">
      <c r="A2721" s="82">
        <v>2718</v>
      </c>
      <c r="B2721" s="89" t="str">
        <f>_xlfn.XLOOKUP(A2721,'Model Modeshare by TAZ'!A:A,'Model Modeshare by TAZ'!B:B)</f>
        <v>Unincorporated</v>
      </c>
      <c r="C2721" s="90" t="str">
        <f>_xlfn.XLOOKUP(A2721,'Model Modeshare by TAZ'!A:A,'Model Modeshare by TAZ'!D:D)</f>
        <v>NO</v>
      </c>
      <c r="D2721" s="27">
        <v>8857.24</v>
      </c>
      <c r="E2721" s="27">
        <v>243859.36</v>
      </c>
      <c r="F2721" s="27">
        <v>5911.46</v>
      </c>
      <c r="G2721" s="27">
        <v>90308.800000000003</v>
      </c>
      <c r="H2721" s="27">
        <v>2832.42</v>
      </c>
      <c r="I2721" s="27">
        <v>37470.47</v>
      </c>
      <c r="J2721" s="6">
        <v>3750</v>
      </c>
      <c r="K2721" s="6">
        <v>2056</v>
      </c>
      <c r="L2721" s="27">
        <v>24.082346666666666</v>
      </c>
      <c r="M2721" s="27">
        <v>18.224936770428016</v>
      </c>
      <c r="N2721" s="34">
        <v>36.565819841543231</v>
      </c>
    </row>
    <row r="2722" spans="1:14" x14ac:dyDescent="0.35">
      <c r="A2722" s="82">
        <v>2719</v>
      </c>
      <c r="B2722" s="89" t="str">
        <f>_xlfn.XLOOKUP(A2722,'Model Modeshare by TAZ'!A:A,'Model Modeshare by TAZ'!B:B)</f>
        <v>Unincorporated</v>
      </c>
      <c r="C2722" s="90" t="str">
        <f>_xlfn.XLOOKUP(A2722,'Model Modeshare by TAZ'!A:A,'Model Modeshare by TAZ'!D:D)</f>
        <v>NO</v>
      </c>
      <c r="D2722" s="27">
        <v>7513.22</v>
      </c>
      <c r="E2722" s="27">
        <v>216519.66</v>
      </c>
      <c r="F2722" s="27">
        <v>6830.56</v>
      </c>
      <c r="G2722" s="27">
        <v>108198.3</v>
      </c>
      <c r="H2722" s="27">
        <v>1443.7</v>
      </c>
      <c r="I2722" s="27">
        <v>18841.23</v>
      </c>
      <c r="J2722" s="6">
        <v>4330</v>
      </c>
      <c r="K2722" s="6">
        <v>829</v>
      </c>
      <c r="L2722" s="27">
        <v>24.988060046189378</v>
      </c>
      <c r="M2722" s="27">
        <v>22.727659831121834</v>
      </c>
      <c r="N2722" s="34">
        <v>37.606305485559218</v>
      </c>
    </row>
    <row r="2723" spans="1:14" x14ac:dyDescent="0.35">
      <c r="A2723" s="82">
        <v>2720</v>
      </c>
      <c r="B2723" s="89" t="str">
        <f>_xlfn.XLOOKUP(A2723,'Model Modeshare by TAZ'!A:A,'Model Modeshare by TAZ'!B:B)</f>
        <v>Unincorporated</v>
      </c>
      <c r="C2723" s="90" t="str">
        <f>_xlfn.XLOOKUP(A2723,'Model Modeshare by TAZ'!A:A,'Model Modeshare by TAZ'!D:D)</f>
        <v>NO</v>
      </c>
      <c r="D2723" s="27">
        <v>6561.9</v>
      </c>
      <c r="E2723" s="27">
        <v>197216.02</v>
      </c>
      <c r="F2723" s="27">
        <v>5902.86</v>
      </c>
      <c r="G2723" s="27">
        <v>89239.16</v>
      </c>
      <c r="H2723" s="27">
        <v>1213.24</v>
      </c>
      <c r="I2723" s="27">
        <v>17343.45</v>
      </c>
      <c r="J2723" s="6">
        <v>3734</v>
      </c>
      <c r="K2723" s="6">
        <v>621</v>
      </c>
      <c r="L2723" s="27">
        <v>23.899078735940012</v>
      </c>
      <c r="M2723" s="27">
        <v>27.928260869565218</v>
      </c>
      <c r="N2723" s="34">
        <v>38.097134328358209</v>
      </c>
    </row>
    <row r="2724" spans="1:14" x14ac:dyDescent="0.35">
      <c r="A2724" s="82">
        <v>2721</v>
      </c>
      <c r="B2724" s="89" t="str">
        <f>_xlfn.XLOOKUP(A2724,'Model Modeshare by TAZ'!A:A,'Model Modeshare by TAZ'!B:B)</f>
        <v>Unincorporated</v>
      </c>
      <c r="C2724" s="90" t="str">
        <f>_xlfn.XLOOKUP(A2724,'Model Modeshare by TAZ'!A:A,'Model Modeshare by TAZ'!D:D)</f>
        <v>NO</v>
      </c>
      <c r="D2724" s="27">
        <v>8222.4699999999993</v>
      </c>
      <c r="E2724" s="27">
        <v>289487.25</v>
      </c>
      <c r="F2724" s="27">
        <v>5605.25</v>
      </c>
      <c r="G2724" s="27">
        <v>92327.31</v>
      </c>
      <c r="H2724" s="27">
        <v>2106.7800000000002</v>
      </c>
      <c r="I2724" s="27">
        <v>32526.33</v>
      </c>
      <c r="J2724" s="6">
        <v>3797</v>
      </c>
      <c r="K2724" s="6">
        <v>1379</v>
      </c>
      <c r="L2724" s="27">
        <v>24.315857255728204</v>
      </c>
      <c r="M2724" s="27">
        <v>23.586896301667878</v>
      </c>
      <c r="N2724" s="34">
        <v>41.662420788253478</v>
      </c>
    </row>
    <row r="2725" spans="1:14" x14ac:dyDescent="0.35">
      <c r="A2725" s="82">
        <v>2722</v>
      </c>
      <c r="B2725" s="89" t="str">
        <f>_xlfn.XLOOKUP(A2725,'Model Modeshare by TAZ'!A:A,'Model Modeshare by TAZ'!B:B)</f>
        <v>Unincorporated</v>
      </c>
      <c r="C2725" s="90" t="str">
        <f>_xlfn.XLOOKUP(A2725,'Model Modeshare by TAZ'!A:A,'Model Modeshare by TAZ'!D:D)</f>
        <v>NO</v>
      </c>
      <c r="D2725" s="27">
        <v>5031.3</v>
      </c>
      <c r="E2725" s="27">
        <v>173665.42</v>
      </c>
      <c r="F2725" s="27">
        <v>5501.26</v>
      </c>
      <c r="G2725" s="27">
        <v>102129.12</v>
      </c>
      <c r="H2725" s="27">
        <v>1039.57</v>
      </c>
      <c r="I2725" s="27">
        <v>13349.23</v>
      </c>
      <c r="J2725" s="6">
        <v>3489</v>
      </c>
      <c r="K2725" s="6">
        <v>511</v>
      </c>
      <c r="L2725" s="27">
        <v>29.271745485812552</v>
      </c>
      <c r="M2725" s="27">
        <v>26.123737769080233</v>
      </c>
      <c r="N2725" s="34">
        <v>42.666607499999998</v>
      </c>
    </row>
    <row r="2726" spans="1:14" x14ac:dyDescent="0.35">
      <c r="A2726" s="82">
        <v>2723</v>
      </c>
      <c r="B2726" s="89" t="str">
        <f>_xlfn.XLOOKUP(A2726,'Model Modeshare by TAZ'!A:A,'Model Modeshare by TAZ'!B:B)</f>
        <v>Unincorporated</v>
      </c>
      <c r="C2726" s="90" t="str">
        <f>_xlfn.XLOOKUP(A2726,'Model Modeshare by TAZ'!A:A,'Model Modeshare by TAZ'!D:D)</f>
        <v>NO</v>
      </c>
      <c r="D2726" s="27">
        <v>7330.74</v>
      </c>
      <c r="E2726" s="27">
        <v>242974.65</v>
      </c>
      <c r="F2726" s="27">
        <v>5648.24</v>
      </c>
      <c r="G2726" s="27">
        <v>97977.3</v>
      </c>
      <c r="H2726" s="27">
        <v>1634.83</v>
      </c>
      <c r="I2726" s="27">
        <v>21022.97</v>
      </c>
      <c r="J2726" s="6">
        <v>3892</v>
      </c>
      <c r="K2726" s="6">
        <v>1067</v>
      </c>
      <c r="L2726" s="27">
        <v>25.174023638232271</v>
      </c>
      <c r="M2726" s="27">
        <v>19.702877225866917</v>
      </c>
      <c r="N2726" s="34">
        <v>37.054702561000198</v>
      </c>
    </row>
    <row r="2727" spans="1:14" x14ac:dyDescent="0.35">
      <c r="A2727" s="82">
        <v>2724</v>
      </c>
      <c r="B2727" s="89" t="str">
        <f>_xlfn.XLOOKUP(A2727,'Model Modeshare by TAZ'!A:A,'Model Modeshare by TAZ'!B:B)</f>
        <v>Unincorporated</v>
      </c>
      <c r="C2727" s="90" t="str">
        <f>_xlfn.XLOOKUP(A2727,'Model Modeshare by TAZ'!A:A,'Model Modeshare by TAZ'!D:D)</f>
        <v>NO</v>
      </c>
      <c r="D2727" s="27">
        <v>9102.6200000000008</v>
      </c>
      <c r="E2727" s="27">
        <v>277437.51</v>
      </c>
      <c r="F2727" s="27">
        <v>6754.33</v>
      </c>
      <c r="G2727" s="27">
        <v>108077.98</v>
      </c>
      <c r="H2727" s="27">
        <v>1788.53</v>
      </c>
      <c r="I2727" s="27">
        <v>23589.14</v>
      </c>
      <c r="J2727" s="6">
        <v>4190</v>
      </c>
      <c r="K2727" s="6">
        <v>1045</v>
      </c>
      <c r="L2727" s="27">
        <v>25.794267303102625</v>
      </c>
      <c r="M2727" s="27">
        <v>22.57333971291866</v>
      </c>
      <c r="N2727" s="34">
        <v>40.818406876790831</v>
      </c>
    </row>
    <row r="2728" spans="1:14" x14ac:dyDescent="0.35">
      <c r="A2728" s="82">
        <v>2725</v>
      </c>
      <c r="B2728" s="89" t="str">
        <f>_xlfn.XLOOKUP(A2728,'Model Modeshare by TAZ'!A:A,'Model Modeshare by TAZ'!B:B)</f>
        <v>Unincorporated</v>
      </c>
      <c r="C2728" s="90" t="str">
        <f>_xlfn.XLOOKUP(A2728,'Model Modeshare by TAZ'!A:A,'Model Modeshare by TAZ'!D:D)</f>
        <v>NO</v>
      </c>
      <c r="D2728" s="27">
        <v>6673.92</v>
      </c>
      <c r="E2728" s="27">
        <v>188407.79</v>
      </c>
      <c r="F2728" s="27">
        <v>5408.2</v>
      </c>
      <c r="G2728" s="27">
        <v>78259.81</v>
      </c>
      <c r="H2728" s="27">
        <v>1466.15</v>
      </c>
      <c r="I2728" s="27">
        <v>17906.78</v>
      </c>
      <c r="J2728" s="6">
        <v>3676</v>
      </c>
      <c r="K2728" s="6">
        <v>821</v>
      </c>
      <c r="L2728" s="27">
        <v>21.289393362350381</v>
      </c>
      <c r="M2728" s="27">
        <v>21.810937880633372</v>
      </c>
      <c r="N2728" s="34">
        <v>33.823084278407826</v>
      </c>
    </row>
    <row r="2729" spans="1:14" x14ac:dyDescent="0.35">
      <c r="A2729" s="82">
        <v>2726</v>
      </c>
      <c r="B2729" s="89" t="str">
        <f>_xlfn.XLOOKUP(A2729,'Model Modeshare by TAZ'!A:A,'Model Modeshare by TAZ'!B:B)</f>
        <v>Unincorporated</v>
      </c>
      <c r="C2729" s="90" t="str">
        <f>_xlfn.XLOOKUP(A2729,'Model Modeshare by TAZ'!A:A,'Model Modeshare by TAZ'!D:D)</f>
        <v>NO</v>
      </c>
      <c r="D2729" s="27">
        <v>15373.99</v>
      </c>
      <c r="E2729" s="27">
        <v>368861.55</v>
      </c>
      <c r="F2729" s="27">
        <v>15149.06</v>
      </c>
      <c r="G2729" s="27">
        <v>201400.56</v>
      </c>
      <c r="H2729" s="27">
        <v>2325.0300000000002</v>
      </c>
      <c r="I2729" s="27">
        <v>26884.52</v>
      </c>
      <c r="J2729" s="6">
        <v>10057</v>
      </c>
      <c r="K2729" s="6">
        <v>1182</v>
      </c>
      <c r="L2729" s="27">
        <v>20.025908322561399</v>
      </c>
      <c r="M2729" s="27">
        <v>22.744940778341793</v>
      </c>
      <c r="N2729" s="34">
        <v>28.951105080523174</v>
      </c>
    </row>
    <row r="2730" spans="1:14" x14ac:dyDescent="0.35">
      <c r="A2730" s="82">
        <v>2727</v>
      </c>
      <c r="B2730" s="89" t="str">
        <f>_xlfn.XLOOKUP(A2730,'Model Modeshare by TAZ'!A:A,'Model Modeshare by TAZ'!B:B)</f>
        <v>Windsor</v>
      </c>
      <c r="C2730" s="90" t="str">
        <f>_xlfn.XLOOKUP(A2730,'Model Modeshare by TAZ'!A:A,'Model Modeshare by TAZ'!D:D)</f>
        <v>NO</v>
      </c>
      <c r="D2730" s="27">
        <v>18299.12</v>
      </c>
      <c r="E2730" s="27">
        <v>335456.2</v>
      </c>
      <c r="F2730" s="27">
        <v>12743.37</v>
      </c>
      <c r="G2730" s="27">
        <v>127436.22</v>
      </c>
      <c r="H2730" s="27">
        <v>4062.07</v>
      </c>
      <c r="I2730" s="27">
        <v>38720.120000000003</v>
      </c>
      <c r="J2730" s="6">
        <v>9030</v>
      </c>
      <c r="K2730" s="6">
        <v>2906</v>
      </c>
      <c r="L2730" s="27">
        <v>14.112538205980066</v>
      </c>
      <c r="M2730" s="27">
        <v>13.324198210598762</v>
      </c>
      <c r="N2730" s="34">
        <v>21.551181300268095</v>
      </c>
    </row>
    <row r="2731" spans="1:14" x14ac:dyDescent="0.35">
      <c r="A2731" s="82">
        <v>2728</v>
      </c>
      <c r="B2731" s="89" t="str">
        <f>_xlfn.XLOOKUP(A2731,'Model Modeshare by TAZ'!A:A,'Model Modeshare by TAZ'!B:B)</f>
        <v>Unincorporated</v>
      </c>
      <c r="C2731" s="90" t="str">
        <f>_xlfn.XLOOKUP(A2731,'Model Modeshare by TAZ'!A:A,'Model Modeshare by TAZ'!D:D)</f>
        <v>NO</v>
      </c>
      <c r="D2731" s="27">
        <v>16386.93</v>
      </c>
      <c r="E2731" s="27">
        <v>314690.75</v>
      </c>
      <c r="F2731" s="27">
        <v>17152.419999999998</v>
      </c>
      <c r="G2731" s="27">
        <v>191809.17</v>
      </c>
      <c r="H2731" s="27">
        <v>3812.67</v>
      </c>
      <c r="I2731" s="27">
        <v>39726.160000000003</v>
      </c>
      <c r="J2731" s="6">
        <v>10594</v>
      </c>
      <c r="K2731" s="6">
        <v>1962</v>
      </c>
      <c r="L2731" s="27">
        <v>18.105453086652822</v>
      </c>
      <c r="M2731" s="27">
        <v>20.247787971457697</v>
      </c>
      <c r="N2731" s="34">
        <v>26.159805670595734</v>
      </c>
    </row>
    <row r="2732" spans="1:14" x14ac:dyDescent="0.35">
      <c r="A2732" s="82">
        <v>2729</v>
      </c>
      <c r="B2732" s="89" t="str">
        <f>_xlfn.XLOOKUP(A2732,'Model Modeshare by TAZ'!A:A,'Model Modeshare by TAZ'!B:B)</f>
        <v>Unincorporated</v>
      </c>
      <c r="C2732" s="90" t="str">
        <f>_xlfn.XLOOKUP(A2732,'Model Modeshare by TAZ'!A:A,'Model Modeshare by TAZ'!D:D)</f>
        <v>NO</v>
      </c>
      <c r="D2732" s="27">
        <v>8759.34</v>
      </c>
      <c r="E2732" s="27">
        <v>174278.92</v>
      </c>
      <c r="F2732" s="27">
        <v>7556.17</v>
      </c>
      <c r="G2732" s="27">
        <v>80392.639999999999</v>
      </c>
      <c r="H2732" s="27">
        <v>3189.81</v>
      </c>
      <c r="I2732" s="27">
        <v>38859.660000000003</v>
      </c>
      <c r="J2732" s="6">
        <v>5417</v>
      </c>
      <c r="K2732" s="6">
        <v>2178</v>
      </c>
      <c r="L2732" s="27">
        <v>14.840804873546244</v>
      </c>
      <c r="M2732" s="27">
        <v>17.841900826446281</v>
      </c>
      <c r="N2732" s="34">
        <v>25.269919684002634</v>
      </c>
    </row>
    <row r="2733" spans="1:14" x14ac:dyDescent="0.35">
      <c r="A2733" s="82">
        <v>2730</v>
      </c>
      <c r="B2733" s="89" t="str">
        <f>_xlfn.XLOOKUP(A2733,'Model Modeshare by TAZ'!A:A,'Model Modeshare by TAZ'!B:B)</f>
        <v>Healdsburg</v>
      </c>
      <c r="C2733" s="90" t="str">
        <f>_xlfn.XLOOKUP(A2733,'Model Modeshare by TAZ'!A:A,'Model Modeshare by TAZ'!D:D)</f>
        <v>NO</v>
      </c>
      <c r="D2733" s="27">
        <v>8094.85</v>
      </c>
      <c r="E2733" s="27">
        <v>194753.67</v>
      </c>
      <c r="F2733" s="27">
        <v>5857.68</v>
      </c>
      <c r="G2733" s="27">
        <v>78218.460000000006</v>
      </c>
      <c r="H2733" s="27">
        <v>1334.64</v>
      </c>
      <c r="I2733" s="27">
        <v>18662.05</v>
      </c>
      <c r="J2733" s="6">
        <v>3844</v>
      </c>
      <c r="K2733" s="6">
        <v>779</v>
      </c>
      <c r="L2733" s="27">
        <v>20.348194588969825</v>
      </c>
      <c r="M2733" s="27">
        <v>23.956418485237482</v>
      </c>
      <c r="N2733" s="34">
        <v>35.722349123945492</v>
      </c>
    </row>
    <row r="2734" spans="1:14" x14ac:dyDescent="0.35">
      <c r="A2734" s="82">
        <v>2731</v>
      </c>
      <c r="B2734" s="89" t="str">
        <f>_xlfn.XLOOKUP(A2734,'Model Modeshare by TAZ'!A:A,'Model Modeshare by TAZ'!B:B)</f>
        <v>Healdsburg</v>
      </c>
      <c r="C2734" s="90" t="str">
        <f>_xlfn.XLOOKUP(A2734,'Model Modeshare by TAZ'!A:A,'Model Modeshare by TAZ'!D:D)</f>
        <v>NO</v>
      </c>
      <c r="D2734" s="27">
        <v>15886.46</v>
      </c>
      <c r="E2734" s="27">
        <v>350374.44</v>
      </c>
      <c r="F2734" s="27">
        <v>5520.6</v>
      </c>
      <c r="G2734" s="27">
        <v>65229.75</v>
      </c>
      <c r="H2734" s="27">
        <v>5725.66</v>
      </c>
      <c r="I2734" s="27">
        <v>71808.2</v>
      </c>
      <c r="J2734" s="6">
        <v>4190</v>
      </c>
      <c r="K2734" s="6">
        <v>4518</v>
      </c>
      <c r="L2734" s="27">
        <v>15.567959427207636</v>
      </c>
      <c r="M2734" s="27">
        <v>15.893802567507747</v>
      </c>
      <c r="N2734" s="34">
        <v>29.144533762057879</v>
      </c>
    </row>
    <row r="2735" spans="1:14" x14ac:dyDescent="0.35">
      <c r="A2735" s="82">
        <v>2732</v>
      </c>
      <c r="B2735" s="89" t="str">
        <f>_xlfn.XLOOKUP(A2735,'Model Modeshare by TAZ'!A:A,'Model Modeshare by TAZ'!B:B)</f>
        <v>Unincorporated</v>
      </c>
      <c r="C2735" s="90" t="str">
        <f>_xlfn.XLOOKUP(A2735,'Model Modeshare by TAZ'!A:A,'Model Modeshare by TAZ'!D:D)</f>
        <v>NO</v>
      </c>
      <c r="D2735" s="27">
        <v>4784.53</v>
      </c>
      <c r="E2735" s="27">
        <v>138790.84</v>
      </c>
      <c r="F2735" s="27">
        <v>4211.7299999999996</v>
      </c>
      <c r="G2735" s="27">
        <v>67309.009999999995</v>
      </c>
      <c r="H2735" s="27">
        <v>2007.15</v>
      </c>
      <c r="I2735" s="27">
        <v>31539.18</v>
      </c>
      <c r="J2735" s="6">
        <v>2597</v>
      </c>
      <c r="K2735" s="6">
        <v>1456</v>
      </c>
      <c r="L2735" s="27">
        <v>25.917986137851365</v>
      </c>
      <c r="M2735" s="27">
        <v>21.661524725274724</v>
      </c>
      <c r="N2735" s="34">
        <v>36.248985936343452</v>
      </c>
    </row>
    <row r="2736" spans="1:14" x14ac:dyDescent="0.35">
      <c r="A2736" s="82">
        <v>2733</v>
      </c>
      <c r="B2736" s="89" t="str">
        <f>_xlfn.XLOOKUP(A2736,'Model Modeshare by TAZ'!A:A,'Model Modeshare by TAZ'!B:B)</f>
        <v>Unincorporated</v>
      </c>
      <c r="C2736" s="90" t="str">
        <f>_xlfn.XLOOKUP(A2736,'Model Modeshare by TAZ'!A:A,'Model Modeshare by TAZ'!D:D)</f>
        <v>NO</v>
      </c>
      <c r="D2736" s="27">
        <v>7882.05</v>
      </c>
      <c r="E2736" s="27">
        <v>278057.37</v>
      </c>
      <c r="F2736" s="27">
        <v>6559.49</v>
      </c>
      <c r="G2736" s="27">
        <v>131180.72</v>
      </c>
      <c r="H2736" s="27">
        <v>3430.54</v>
      </c>
      <c r="I2736" s="27">
        <v>49039.11</v>
      </c>
      <c r="J2736" s="6">
        <v>3765</v>
      </c>
      <c r="K2736" s="6">
        <v>2407</v>
      </c>
      <c r="L2736" s="27">
        <v>34.842156706507303</v>
      </c>
      <c r="M2736" s="27">
        <v>20.37353967594516</v>
      </c>
      <c r="N2736" s="34">
        <v>39.31804763447829</v>
      </c>
    </row>
    <row r="2737" spans="1:14" x14ac:dyDescent="0.35">
      <c r="A2737" s="82">
        <v>2734</v>
      </c>
      <c r="B2737" s="89" t="str">
        <f>_xlfn.XLOOKUP(A2737,'Model Modeshare by TAZ'!A:A,'Model Modeshare by TAZ'!B:B)</f>
        <v>Unincorporated</v>
      </c>
      <c r="C2737" s="90" t="str">
        <f>_xlfn.XLOOKUP(A2737,'Model Modeshare by TAZ'!A:A,'Model Modeshare by TAZ'!D:D)</f>
        <v>NO</v>
      </c>
      <c r="D2737" s="27">
        <v>18396.47</v>
      </c>
      <c r="E2737" s="27">
        <v>602479.43000000005</v>
      </c>
      <c r="F2737" s="27">
        <v>15239.25</v>
      </c>
      <c r="G2737" s="27">
        <v>289430.39</v>
      </c>
      <c r="H2737" s="27">
        <v>4151.5</v>
      </c>
      <c r="I2737" s="27">
        <v>51316.81</v>
      </c>
      <c r="J2737" s="6">
        <v>10293</v>
      </c>
      <c r="K2737" s="6">
        <v>2294</v>
      </c>
      <c r="L2737" s="27">
        <v>28.119147964636163</v>
      </c>
      <c r="M2737" s="27">
        <v>22.370013077593722</v>
      </c>
      <c r="N2737" s="34">
        <v>36.111429252403276</v>
      </c>
    </row>
    <row r="2738" spans="1:14" x14ac:dyDescent="0.35">
      <c r="A2738" s="82">
        <v>2735</v>
      </c>
      <c r="B2738" s="89" t="str">
        <f>_xlfn.XLOOKUP(A2738,'Model Modeshare by TAZ'!A:A,'Model Modeshare by TAZ'!B:B)</f>
        <v>Unincorporated</v>
      </c>
      <c r="C2738" s="90" t="str">
        <f>_xlfn.XLOOKUP(A2738,'Model Modeshare by TAZ'!A:A,'Model Modeshare by TAZ'!D:D)</f>
        <v>NO</v>
      </c>
      <c r="D2738" s="27">
        <v>6476.36</v>
      </c>
      <c r="E2738" s="27">
        <v>314893.43</v>
      </c>
      <c r="F2738" s="27">
        <v>5812.85</v>
      </c>
      <c r="G2738" s="27">
        <v>134589.46</v>
      </c>
      <c r="H2738" s="27">
        <v>1927.69</v>
      </c>
      <c r="I2738" s="27">
        <v>34956.94</v>
      </c>
      <c r="J2738" s="6">
        <v>4125</v>
      </c>
      <c r="K2738" s="6">
        <v>1159</v>
      </c>
      <c r="L2738" s="27">
        <v>32.627747878787879</v>
      </c>
      <c r="M2738" s="27">
        <v>30.161294219154446</v>
      </c>
      <c r="N2738" s="34">
        <v>47.947655185465557</v>
      </c>
    </row>
    <row r="2739" spans="1:14" x14ac:dyDescent="0.35">
      <c r="A2739" s="82">
        <v>2736</v>
      </c>
      <c r="B2739" s="89" t="str">
        <f>_xlfn.XLOOKUP(A2739,'Model Modeshare by TAZ'!A:A,'Model Modeshare by TAZ'!B:B)</f>
        <v>Unincorporated</v>
      </c>
      <c r="C2739" s="90" t="str">
        <f>_xlfn.XLOOKUP(A2739,'Model Modeshare by TAZ'!A:A,'Model Modeshare by TAZ'!D:D)</f>
        <v>NO</v>
      </c>
      <c r="D2739" s="27">
        <v>4411.71</v>
      </c>
      <c r="E2739" s="27">
        <v>125915.28</v>
      </c>
      <c r="F2739" s="27">
        <v>4234.42</v>
      </c>
      <c r="G2739" s="27">
        <v>62545.22</v>
      </c>
      <c r="H2739" s="27">
        <v>1592</v>
      </c>
      <c r="I2739" s="27">
        <v>26499</v>
      </c>
      <c r="J2739" s="6">
        <v>2594</v>
      </c>
      <c r="K2739" s="6">
        <v>963</v>
      </c>
      <c r="L2739" s="27">
        <v>24.111495759444875</v>
      </c>
      <c r="M2739" s="27">
        <v>27.517133956386292</v>
      </c>
      <c r="N2739" s="34">
        <v>40.433410177115547</v>
      </c>
    </row>
    <row r="2740" spans="1:14" x14ac:dyDescent="0.35">
      <c r="A2740" s="82">
        <v>2737</v>
      </c>
      <c r="B2740" s="89" t="str">
        <f>_xlfn.XLOOKUP(A2740,'Model Modeshare by TAZ'!A:A,'Model Modeshare by TAZ'!B:B)</f>
        <v>Novato</v>
      </c>
      <c r="C2740" s="90" t="str">
        <f>_xlfn.XLOOKUP(A2740,'Model Modeshare by TAZ'!A:A,'Model Modeshare by TAZ'!D:D)</f>
        <v>NO</v>
      </c>
      <c r="D2740" s="27">
        <v>11363.31</v>
      </c>
      <c r="E2740" s="27">
        <v>301897.53999999998</v>
      </c>
      <c r="F2740" s="27">
        <v>4203.1899999999996</v>
      </c>
      <c r="G2740" s="27">
        <v>56755.68</v>
      </c>
      <c r="H2740" s="27">
        <v>2857.01</v>
      </c>
      <c r="I2740" s="27">
        <v>43761.7</v>
      </c>
      <c r="J2740" s="6">
        <v>2757</v>
      </c>
      <c r="K2740" s="6">
        <v>1915</v>
      </c>
      <c r="L2740" s="27">
        <v>20.586028291621329</v>
      </c>
      <c r="M2740" s="27">
        <v>22.852062663185379</v>
      </c>
      <c r="N2740" s="34">
        <v>38.959693921232876</v>
      </c>
    </row>
    <row r="2741" spans="1:14" x14ac:dyDescent="0.35">
      <c r="A2741" s="82">
        <v>2738</v>
      </c>
      <c r="B2741" s="89" t="str">
        <f>_xlfn.XLOOKUP(A2741,'Model Modeshare by TAZ'!A:A,'Model Modeshare by TAZ'!B:B)</f>
        <v>Unincorporated</v>
      </c>
      <c r="C2741" s="90" t="str">
        <f>_xlfn.XLOOKUP(A2741,'Model Modeshare by TAZ'!A:A,'Model Modeshare by TAZ'!D:D)</f>
        <v>NO</v>
      </c>
      <c r="D2741" s="27">
        <v>6215.03</v>
      </c>
      <c r="E2741" s="27">
        <v>167449.21</v>
      </c>
      <c r="F2741" s="27">
        <v>2478.91</v>
      </c>
      <c r="G2741" s="27">
        <v>31640.38</v>
      </c>
      <c r="H2741" s="27">
        <v>3020.83</v>
      </c>
      <c r="I2741" s="27">
        <v>45974</v>
      </c>
      <c r="J2741" s="6">
        <v>1540</v>
      </c>
      <c r="K2741" s="6">
        <v>1954</v>
      </c>
      <c r="L2741" s="27">
        <v>20.545701298701299</v>
      </c>
      <c r="M2741" s="27">
        <v>23.528147389969295</v>
      </c>
      <c r="N2741" s="34">
        <v>41.834384659416138</v>
      </c>
    </row>
    <row r="2742" spans="1:14" x14ac:dyDescent="0.35">
      <c r="A2742" s="82">
        <v>2739</v>
      </c>
      <c r="B2742" s="89" t="str">
        <f>_xlfn.XLOOKUP(A2742,'Model Modeshare by TAZ'!A:A,'Model Modeshare by TAZ'!B:B)</f>
        <v>Novato</v>
      </c>
      <c r="C2742" s="90" t="str">
        <f>_xlfn.XLOOKUP(A2742,'Model Modeshare by TAZ'!A:A,'Model Modeshare by TAZ'!D:D)</f>
        <v>NO</v>
      </c>
      <c r="D2742" s="27">
        <v>16027.46</v>
      </c>
      <c r="E2742" s="27">
        <v>386689.47</v>
      </c>
      <c r="F2742" s="27">
        <v>9192.66</v>
      </c>
      <c r="G2742" s="27">
        <v>109734.77</v>
      </c>
      <c r="H2742" s="27">
        <v>5607.99</v>
      </c>
      <c r="I2742" s="27">
        <v>78882.22</v>
      </c>
      <c r="J2742" s="6">
        <v>6640</v>
      </c>
      <c r="K2742" s="6">
        <v>3933</v>
      </c>
      <c r="L2742" s="27">
        <v>16.52632078313253</v>
      </c>
      <c r="M2742" s="27">
        <v>20.056501398423595</v>
      </c>
      <c r="N2742" s="34">
        <v>31.11096850468174</v>
      </c>
    </row>
    <row r="2743" spans="1:14" x14ac:dyDescent="0.35">
      <c r="A2743" s="82">
        <v>2740</v>
      </c>
      <c r="B2743" s="89" t="str">
        <f>_xlfn.XLOOKUP(A2743,'Model Modeshare by TAZ'!A:A,'Model Modeshare by TAZ'!B:B)</f>
        <v>Novato</v>
      </c>
      <c r="C2743" s="90" t="str">
        <f>_xlfn.XLOOKUP(A2743,'Model Modeshare by TAZ'!A:A,'Model Modeshare by TAZ'!D:D)</f>
        <v>NO</v>
      </c>
      <c r="D2743" s="27">
        <v>9573.43</v>
      </c>
      <c r="E2743" s="27">
        <v>198361.68</v>
      </c>
      <c r="F2743" s="27">
        <v>8758.7800000000007</v>
      </c>
      <c r="G2743" s="27">
        <v>91697.26</v>
      </c>
      <c r="H2743" s="27">
        <v>2692.14</v>
      </c>
      <c r="I2743" s="27">
        <v>36075.980000000003</v>
      </c>
      <c r="J2743" s="6">
        <v>5798</v>
      </c>
      <c r="K2743" s="6">
        <v>1433</v>
      </c>
      <c r="L2743" s="27">
        <v>15.815325974473955</v>
      </c>
      <c r="M2743" s="27">
        <v>25.175143056524774</v>
      </c>
      <c r="N2743" s="34">
        <v>27.046849675010371</v>
      </c>
    </row>
    <row r="2744" spans="1:14" x14ac:dyDescent="0.35">
      <c r="A2744" s="82">
        <v>2741</v>
      </c>
      <c r="B2744" s="89" t="str">
        <f>_xlfn.XLOOKUP(A2744,'Model Modeshare by TAZ'!A:A,'Model Modeshare by TAZ'!B:B)</f>
        <v>Novato</v>
      </c>
      <c r="C2744" s="90" t="str">
        <f>_xlfn.XLOOKUP(A2744,'Model Modeshare by TAZ'!A:A,'Model Modeshare by TAZ'!D:D)</f>
        <v>NO</v>
      </c>
      <c r="D2744" s="27">
        <v>15784.99</v>
      </c>
      <c r="E2744" s="27">
        <v>304684.62</v>
      </c>
      <c r="F2744" s="27">
        <v>11503.57</v>
      </c>
      <c r="G2744" s="27">
        <v>114215.9</v>
      </c>
      <c r="H2744" s="27">
        <v>3407.4</v>
      </c>
      <c r="I2744" s="27">
        <v>43425.7</v>
      </c>
      <c r="J2744" s="6">
        <v>7978</v>
      </c>
      <c r="K2744" s="6">
        <v>1911</v>
      </c>
      <c r="L2744" s="27">
        <v>14.316357483078464</v>
      </c>
      <c r="M2744" s="27">
        <v>22.724071166928308</v>
      </c>
      <c r="N2744" s="34">
        <v>25.516020831226616</v>
      </c>
    </row>
    <row r="2745" spans="1:14" x14ac:dyDescent="0.35">
      <c r="A2745" s="82">
        <v>2742</v>
      </c>
      <c r="B2745" s="89" t="str">
        <f>_xlfn.XLOOKUP(A2745,'Model Modeshare by TAZ'!A:A,'Model Modeshare by TAZ'!B:B)</f>
        <v>Novato</v>
      </c>
      <c r="C2745" s="90" t="str">
        <f>_xlfn.XLOOKUP(A2745,'Model Modeshare by TAZ'!A:A,'Model Modeshare by TAZ'!D:D)</f>
        <v>NO</v>
      </c>
      <c r="D2745" s="27">
        <v>9483.1299999999992</v>
      </c>
      <c r="E2745" s="27">
        <v>188283.1</v>
      </c>
      <c r="F2745" s="27">
        <v>7939.64</v>
      </c>
      <c r="G2745" s="27">
        <v>82478.44</v>
      </c>
      <c r="H2745" s="27">
        <v>1941.27</v>
      </c>
      <c r="I2745" s="27">
        <v>25524.32</v>
      </c>
      <c r="J2745" s="6">
        <v>5234</v>
      </c>
      <c r="K2745" s="6">
        <v>1122</v>
      </c>
      <c r="L2745" s="27">
        <v>15.758204050439435</v>
      </c>
      <c r="M2745" s="27">
        <v>22.748948306595366</v>
      </c>
      <c r="N2745" s="34">
        <v>24.790377595972313</v>
      </c>
    </row>
    <row r="2746" spans="1:14" x14ac:dyDescent="0.35">
      <c r="A2746" s="82">
        <v>2743</v>
      </c>
      <c r="B2746" s="89" t="str">
        <f>_xlfn.XLOOKUP(A2746,'Model Modeshare by TAZ'!A:A,'Model Modeshare by TAZ'!B:B)</f>
        <v>Novato</v>
      </c>
      <c r="C2746" s="90" t="str">
        <f>_xlfn.XLOOKUP(A2746,'Model Modeshare by TAZ'!A:A,'Model Modeshare by TAZ'!D:D)</f>
        <v>NO</v>
      </c>
      <c r="D2746" s="27">
        <v>12142.48</v>
      </c>
      <c r="E2746" s="27">
        <v>207212.12</v>
      </c>
      <c r="F2746" s="27">
        <v>9172.9699999999993</v>
      </c>
      <c r="G2746" s="27">
        <v>81350.509999999995</v>
      </c>
      <c r="H2746" s="27">
        <v>3124.56</v>
      </c>
      <c r="I2746" s="27">
        <v>36449.25</v>
      </c>
      <c r="J2746" s="6">
        <v>6326</v>
      </c>
      <c r="K2746" s="6">
        <v>1788</v>
      </c>
      <c r="L2746" s="27">
        <v>12.859707556117609</v>
      </c>
      <c r="M2746" s="27">
        <v>20.385486577181208</v>
      </c>
      <c r="N2746" s="34">
        <v>21.098996795661819</v>
      </c>
    </row>
    <row r="2747" spans="1:14" x14ac:dyDescent="0.35">
      <c r="A2747" s="82">
        <v>2744</v>
      </c>
      <c r="B2747" s="89" t="str">
        <f>_xlfn.XLOOKUP(A2747,'Model Modeshare by TAZ'!A:A,'Model Modeshare by TAZ'!B:B)</f>
        <v>Novato</v>
      </c>
      <c r="C2747" s="90" t="str">
        <f>_xlfn.XLOOKUP(A2747,'Model Modeshare by TAZ'!A:A,'Model Modeshare by TAZ'!D:D)</f>
        <v>NO</v>
      </c>
      <c r="D2747" s="27">
        <v>23480.97</v>
      </c>
      <c r="E2747" s="27">
        <v>432897.22</v>
      </c>
      <c r="F2747" s="27">
        <v>14229.55</v>
      </c>
      <c r="G2747" s="27">
        <v>139193.99</v>
      </c>
      <c r="H2747" s="27">
        <v>6004.13</v>
      </c>
      <c r="I2747" s="27">
        <v>76954.66</v>
      </c>
      <c r="J2747" s="6">
        <v>10736</v>
      </c>
      <c r="K2747" s="6">
        <v>4250</v>
      </c>
      <c r="L2747" s="27">
        <v>12.965163002980624</v>
      </c>
      <c r="M2747" s="27">
        <v>18.106978823529413</v>
      </c>
      <c r="N2747" s="34">
        <v>23.401046977178702</v>
      </c>
    </row>
    <row r="2748" spans="1:14" x14ac:dyDescent="0.35">
      <c r="A2748" s="82">
        <v>2745</v>
      </c>
      <c r="B2748" s="89" t="str">
        <f>_xlfn.XLOOKUP(A2748,'Model Modeshare by TAZ'!A:A,'Model Modeshare by TAZ'!B:B)</f>
        <v>Novato</v>
      </c>
      <c r="C2748" s="90" t="str">
        <f>_xlfn.XLOOKUP(A2748,'Model Modeshare by TAZ'!A:A,'Model Modeshare by TAZ'!D:D)</f>
        <v>NO</v>
      </c>
      <c r="D2748" s="27">
        <v>8817.92</v>
      </c>
      <c r="E2748" s="27">
        <v>169281.88</v>
      </c>
      <c r="F2748" s="27">
        <v>3537.2</v>
      </c>
      <c r="G2748" s="27">
        <v>34738.28</v>
      </c>
      <c r="H2748" s="27">
        <v>4731.43</v>
      </c>
      <c r="I2748" s="27">
        <v>60272.79</v>
      </c>
      <c r="J2748" s="6">
        <v>2335</v>
      </c>
      <c r="K2748" s="6">
        <v>3297</v>
      </c>
      <c r="L2748" s="27">
        <v>14.877207708779443</v>
      </c>
      <c r="M2748" s="27">
        <v>18.281101000909917</v>
      </c>
      <c r="N2748" s="34">
        <v>28.584122869318183</v>
      </c>
    </row>
    <row r="2749" spans="1:14" x14ac:dyDescent="0.35">
      <c r="A2749" s="82">
        <v>2746</v>
      </c>
      <c r="B2749" s="89" t="str">
        <f>_xlfn.XLOOKUP(A2749,'Model Modeshare by TAZ'!A:A,'Model Modeshare by TAZ'!B:B)</f>
        <v>Unincorporated</v>
      </c>
      <c r="C2749" s="90" t="str">
        <f>_xlfn.XLOOKUP(A2749,'Model Modeshare by TAZ'!A:A,'Model Modeshare by TAZ'!D:D)</f>
        <v>NO</v>
      </c>
      <c r="D2749" s="27">
        <v>11190.93</v>
      </c>
      <c r="E2749" s="27">
        <v>199901.16</v>
      </c>
      <c r="F2749" s="27">
        <v>11270.11</v>
      </c>
      <c r="G2749" s="27">
        <v>114248.05</v>
      </c>
      <c r="H2749" s="27">
        <v>1238.3900000000001</v>
      </c>
      <c r="I2749" s="27">
        <v>16024.82</v>
      </c>
      <c r="J2749" s="6">
        <v>7244</v>
      </c>
      <c r="K2749" s="6">
        <v>571</v>
      </c>
      <c r="L2749" s="27">
        <v>15.77140392048592</v>
      </c>
      <c r="M2749" s="27">
        <v>28.064483362521891</v>
      </c>
      <c r="N2749" s="34">
        <v>22.646429942418425</v>
      </c>
    </row>
    <row r="2750" spans="1:14" x14ac:dyDescent="0.35">
      <c r="A2750" s="82">
        <v>2747</v>
      </c>
      <c r="B2750" s="89" t="str">
        <f>_xlfn.XLOOKUP(A2750,'Model Modeshare by TAZ'!A:A,'Model Modeshare by TAZ'!B:B)</f>
        <v>Unincorporated</v>
      </c>
      <c r="C2750" s="90" t="str">
        <f>_xlfn.XLOOKUP(A2750,'Model Modeshare by TAZ'!A:A,'Model Modeshare by TAZ'!D:D)</f>
        <v>NO</v>
      </c>
      <c r="D2750" s="27">
        <v>9113.65</v>
      </c>
      <c r="E2750" s="27">
        <v>302401.18</v>
      </c>
      <c r="F2750" s="27">
        <v>5773.63</v>
      </c>
      <c r="G2750" s="27">
        <v>79893.539999999994</v>
      </c>
      <c r="H2750" s="27">
        <v>3333.07</v>
      </c>
      <c r="I2750" s="27">
        <v>61859.03</v>
      </c>
      <c r="J2750" s="6">
        <v>3230</v>
      </c>
      <c r="K2750" s="6">
        <v>2138</v>
      </c>
      <c r="L2750" s="27">
        <v>24.734842105263155</v>
      </c>
      <c r="M2750" s="27">
        <v>28.933129092609914</v>
      </c>
      <c r="N2750" s="34">
        <v>46.972960134128165</v>
      </c>
    </row>
    <row r="2751" spans="1:14" x14ac:dyDescent="0.35">
      <c r="A2751" s="82">
        <v>2748</v>
      </c>
      <c r="B2751" s="89" t="str">
        <f>_xlfn.XLOOKUP(A2751,'Model Modeshare by TAZ'!A:A,'Model Modeshare by TAZ'!B:B)</f>
        <v>Unincorporated</v>
      </c>
      <c r="C2751" s="90" t="str">
        <f>_xlfn.XLOOKUP(A2751,'Model Modeshare by TAZ'!A:A,'Model Modeshare by TAZ'!D:D)</f>
        <v>NO</v>
      </c>
      <c r="D2751" s="27">
        <v>3793.27</v>
      </c>
      <c r="E2751" s="27">
        <v>93718.62</v>
      </c>
      <c r="F2751" s="27">
        <v>2821.87</v>
      </c>
      <c r="G2751" s="27">
        <v>31536.17</v>
      </c>
      <c r="H2751" s="27">
        <v>1526.62</v>
      </c>
      <c r="I2751" s="27">
        <v>25109.919999999998</v>
      </c>
      <c r="J2751" s="6">
        <v>1788</v>
      </c>
      <c r="K2751" s="6">
        <v>990</v>
      </c>
      <c r="L2751" s="27">
        <v>17.637678970917225</v>
      </c>
      <c r="M2751" s="27">
        <v>25.363555555555553</v>
      </c>
      <c r="N2751" s="34">
        <v>36.115521958243342</v>
      </c>
    </row>
    <row r="2752" spans="1:14" x14ac:dyDescent="0.35">
      <c r="A2752" s="82">
        <v>2749</v>
      </c>
      <c r="B2752" s="89" t="str">
        <f>_xlfn.XLOOKUP(A2752,'Model Modeshare by TAZ'!A:A,'Model Modeshare by TAZ'!B:B)</f>
        <v>Unincorporated</v>
      </c>
      <c r="C2752" s="90" t="str">
        <f>_xlfn.XLOOKUP(A2752,'Model Modeshare by TAZ'!A:A,'Model Modeshare by TAZ'!D:D)</f>
        <v>NO</v>
      </c>
      <c r="D2752" s="27">
        <v>1110.4000000000001</v>
      </c>
      <c r="E2752" s="27">
        <v>29332.31</v>
      </c>
      <c r="F2752" s="27">
        <v>608.34</v>
      </c>
      <c r="G2752" s="27">
        <v>7367.31</v>
      </c>
      <c r="H2752" s="27">
        <v>272.44</v>
      </c>
      <c r="I2752" s="27">
        <v>4455.41</v>
      </c>
      <c r="J2752" s="6">
        <v>355</v>
      </c>
      <c r="K2752" s="6">
        <v>186</v>
      </c>
      <c r="L2752" s="27">
        <v>20.75298591549296</v>
      </c>
      <c r="M2752" s="27">
        <v>23.953817204301075</v>
      </c>
      <c r="N2752" s="34">
        <v>44.235730129390014</v>
      </c>
    </row>
    <row r="2753" spans="1:14" x14ac:dyDescent="0.35">
      <c r="A2753" s="82">
        <v>2750</v>
      </c>
      <c r="B2753" s="89" t="str">
        <f>_xlfn.XLOOKUP(A2753,'Model Modeshare by TAZ'!A:A,'Model Modeshare by TAZ'!B:B)</f>
        <v>Unincorporated</v>
      </c>
      <c r="C2753" s="90" t="str">
        <f>_xlfn.XLOOKUP(A2753,'Model Modeshare by TAZ'!A:A,'Model Modeshare by TAZ'!D:D)</f>
        <v>NO</v>
      </c>
      <c r="D2753" s="27">
        <v>6448.83</v>
      </c>
      <c r="E2753" s="27">
        <v>173818.35</v>
      </c>
      <c r="F2753" s="27">
        <v>6056.83</v>
      </c>
      <c r="G2753" s="27">
        <v>74385.66</v>
      </c>
      <c r="H2753" s="27">
        <v>1471.34</v>
      </c>
      <c r="I2753" s="27">
        <v>24111.01</v>
      </c>
      <c r="J2753" s="6">
        <v>3694</v>
      </c>
      <c r="K2753" s="6">
        <v>687</v>
      </c>
      <c r="L2753" s="27">
        <v>20.13688684353005</v>
      </c>
      <c r="M2753" s="27">
        <v>35.096084425036388</v>
      </c>
      <c r="N2753" s="34">
        <v>35.517247203834742</v>
      </c>
    </row>
    <row r="2754" spans="1:14" x14ac:dyDescent="0.35">
      <c r="A2754" s="82">
        <v>2751</v>
      </c>
      <c r="B2754" s="89" t="str">
        <f>_xlfn.XLOOKUP(A2754,'Model Modeshare by TAZ'!A:A,'Model Modeshare by TAZ'!B:B)</f>
        <v>Unincorporated</v>
      </c>
      <c r="C2754" s="90" t="str">
        <f>_xlfn.XLOOKUP(A2754,'Model Modeshare by TAZ'!A:A,'Model Modeshare by TAZ'!D:D)</f>
        <v>NO</v>
      </c>
      <c r="D2754" s="27">
        <v>5136.6499999999996</v>
      </c>
      <c r="E2754" s="27">
        <v>94998.7</v>
      </c>
      <c r="F2754" s="27">
        <v>4582.87</v>
      </c>
      <c r="G2754" s="27">
        <v>38763.699999999997</v>
      </c>
      <c r="H2754" s="27">
        <v>940.63</v>
      </c>
      <c r="I2754" s="27">
        <v>11227.29</v>
      </c>
      <c r="J2754" s="6">
        <v>3157</v>
      </c>
      <c r="K2754" s="6">
        <v>487</v>
      </c>
      <c r="L2754" s="27">
        <v>12.278650617675007</v>
      </c>
      <c r="M2754" s="27">
        <v>23.05398357289528</v>
      </c>
      <c r="N2754" s="34">
        <v>22.491322722283208</v>
      </c>
    </row>
    <row r="2755" spans="1:14" x14ac:dyDescent="0.35">
      <c r="A2755" s="82">
        <v>2752</v>
      </c>
      <c r="B2755" s="89" t="str">
        <f>_xlfn.XLOOKUP(A2755,'Model Modeshare by TAZ'!A:A,'Model Modeshare by TAZ'!B:B)</f>
        <v>Unincorporated</v>
      </c>
      <c r="C2755" s="90" t="str">
        <f>_xlfn.XLOOKUP(A2755,'Model Modeshare by TAZ'!A:A,'Model Modeshare by TAZ'!D:D)</f>
        <v>NO</v>
      </c>
      <c r="D2755" s="27">
        <v>12194.55</v>
      </c>
      <c r="E2755" s="27">
        <v>231789.91</v>
      </c>
      <c r="F2755" s="27">
        <v>10586.6</v>
      </c>
      <c r="G2755" s="27">
        <v>96184.6</v>
      </c>
      <c r="H2755" s="27">
        <v>2830.94</v>
      </c>
      <c r="I2755" s="27">
        <v>35155.919999999998</v>
      </c>
      <c r="J2755" s="6">
        <v>7303</v>
      </c>
      <c r="K2755" s="6">
        <v>1560</v>
      </c>
      <c r="L2755" s="27">
        <v>13.170560043817609</v>
      </c>
      <c r="M2755" s="27">
        <v>22.535846153846151</v>
      </c>
      <c r="N2755" s="34">
        <v>22.409977434277334</v>
      </c>
    </row>
    <row r="2756" spans="1:14" x14ac:dyDescent="0.35">
      <c r="A2756" s="82">
        <v>2753</v>
      </c>
      <c r="B2756" s="89" t="str">
        <f>_xlfn.XLOOKUP(A2756,'Model Modeshare by TAZ'!A:A,'Model Modeshare by TAZ'!B:B)</f>
        <v>San Rafael</v>
      </c>
      <c r="C2756" s="90" t="str">
        <f>_xlfn.XLOOKUP(A2756,'Model Modeshare by TAZ'!A:A,'Model Modeshare by TAZ'!D:D)</f>
        <v>NO</v>
      </c>
      <c r="D2756" s="27">
        <v>18214.88</v>
      </c>
      <c r="E2756" s="27">
        <v>330240.09999999998</v>
      </c>
      <c r="F2756" s="27">
        <v>9255.69</v>
      </c>
      <c r="G2756" s="27">
        <v>71274.47</v>
      </c>
      <c r="H2756" s="27">
        <v>6775.02</v>
      </c>
      <c r="I2756" s="27">
        <v>92006.43</v>
      </c>
      <c r="J2756" s="6">
        <v>6889</v>
      </c>
      <c r="K2756" s="6">
        <v>4965</v>
      </c>
      <c r="L2756" s="27">
        <v>10.346127159239368</v>
      </c>
      <c r="M2756" s="27">
        <v>18.531003021148035</v>
      </c>
      <c r="N2756" s="34">
        <v>27.34482537540071</v>
      </c>
    </row>
    <row r="2757" spans="1:14" x14ac:dyDescent="0.35">
      <c r="A2757" s="82">
        <v>2754</v>
      </c>
      <c r="B2757" s="89" t="str">
        <f>_xlfn.XLOOKUP(A2757,'Model Modeshare by TAZ'!A:A,'Model Modeshare by TAZ'!B:B)</f>
        <v>San Rafael</v>
      </c>
      <c r="C2757" s="90" t="str">
        <f>_xlfn.XLOOKUP(A2757,'Model Modeshare by TAZ'!A:A,'Model Modeshare by TAZ'!D:D)</f>
        <v>NO</v>
      </c>
      <c r="D2757" s="27">
        <v>12359.51</v>
      </c>
      <c r="E2757" s="27">
        <v>245234.4</v>
      </c>
      <c r="F2757" s="27">
        <v>9552.64</v>
      </c>
      <c r="G2757" s="27">
        <v>80508.56</v>
      </c>
      <c r="H2757" s="27">
        <v>4507.84</v>
      </c>
      <c r="I2757" s="27">
        <v>62927.44</v>
      </c>
      <c r="J2757" s="6">
        <v>6480</v>
      </c>
      <c r="K2757" s="6">
        <v>3215</v>
      </c>
      <c r="L2757" s="27">
        <v>12.424160493827159</v>
      </c>
      <c r="M2757" s="27">
        <v>19.573076205287716</v>
      </c>
      <c r="N2757" s="34">
        <v>26.296106240330069</v>
      </c>
    </row>
    <row r="2758" spans="1:14" x14ac:dyDescent="0.35">
      <c r="A2758" s="82">
        <v>2755</v>
      </c>
      <c r="B2758" s="89" t="str">
        <f>_xlfn.XLOOKUP(A2758,'Model Modeshare by TAZ'!A:A,'Model Modeshare by TAZ'!B:B)</f>
        <v>Unincorporated</v>
      </c>
      <c r="C2758" s="90" t="str">
        <f>_xlfn.XLOOKUP(A2758,'Model Modeshare by TAZ'!A:A,'Model Modeshare by TAZ'!D:D)</f>
        <v>NO</v>
      </c>
      <c r="D2758" s="27">
        <v>10091.549999999999</v>
      </c>
      <c r="E2758" s="27">
        <v>198648.18</v>
      </c>
      <c r="F2758" s="27">
        <v>8865.98</v>
      </c>
      <c r="G2758" s="27">
        <v>82068.58</v>
      </c>
      <c r="H2758" s="27">
        <v>1721.65</v>
      </c>
      <c r="I2758" s="27">
        <v>24452.080000000002</v>
      </c>
      <c r="J2758" s="6">
        <v>6203</v>
      </c>
      <c r="K2758" s="6">
        <v>935</v>
      </c>
      <c r="L2758" s="27">
        <v>13.230465903595036</v>
      </c>
      <c r="M2758" s="27">
        <v>26.15195721925134</v>
      </c>
      <c r="N2758" s="34">
        <v>23.334774446623705</v>
      </c>
    </row>
    <row r="2759" spans="1:14" x14ac:dyDescent="0.35">
      <c r="A2759" s="82">
        <v>2756</v>
      </c>
      <c r="B2759" s="89" t="str">
        <f>_xlfn.XLOOKUP(A2759,'Model Modeshare by TAZ'!A:A,'Model Modeshare by TAZ'!B:B)</f>
        <v>Unincorporated</v>
      </c>
      <c r="C2759" s="90" t="str">
        <f>_xlfn.XLOOKUP(A2759,'Model Modeshare by TAZ'!A:A,'Model Modeshare by TAZ'!D:D)</f>
        <v>NO</v>
      </c>
      <c r="D2759" s="27">
        <v>16146.77</v>
      </c>
      <c r="E2759" s="27">
        <v>397195.36</v>
      </c>
      <c r="F2759" s="27">
        <v>6110.12</v>
      </c>
      <c r="G2759" s="27">
        <v>61223.33</v>
      </c>
      <c r="H2759" s="27">
        <v>7116.03</v>
      </c>
      <c r="I2759" s="27">
        <v>107379.56</v>
      </c>
      <c r="J2759" s="6">
        <v>3902</v>
      </c>
      <c r="K2759" s="6">
        <v>4838</v>
      </c>
      <c r="L2759" s="27">
        <v>15.6902434648898</v>
      </c>
      <c r="M2759" s="27">
        <v>22.195031004547332</v>
      </c>
      <c r="N2759" s="34">
        <v>38.155036613272316</v>
      </c>
    </row>
    <row r="2760" spans="1:14" x14ac:dyDescent="0.35">
      <c r="A2760" s="82">
        <v>2757</v>
      </c>
      <c r="B2760" s="89" t="str">
        <f>_xlfn.XLOOKUP(A2760,'Model Modeshare by TAZ'!A:A,'Model Modeshare by TAZ'!B:B)</f>
        <v>Unincorporated</v>
      </c>
      <c r="C2760" s="90" t="str">
        <f>_xlfn.XLOOKUP(A2760,'Model Modeshare by TAZ'!A:A,'Model Modeshare by TAZ'!D:D)</f>
        <v>NO</v>
      </c>
      <c r="D2760" s="27">
        <v>16738.349999999999</v>
      </c>
      <c r="E2760" s="27">
        <v>393971.56</v>
      </c>
      <c r="F2760" s="27">
        <v>7862.3</v>
      </c>
      <c r="G2760" s="27">
        <v>77739.28</v>
      </c>
      <c r="H2760" s="27">
        <v>4493.8999999999996</v>
      </c>
      <c r="I2760" s="27">
        <v>66782.17</v>
      </c>
      <c r="J2760" s="6">
        <v>5569</v>
      </c>
      <c r="K2760" s="6">
        <v>3154</v>
      </c>
      <c r="L2760" s="27">
        <v>13.959288920811636</v>
      </c>
      <c r="M2760" s="27">
        <v>21.173801521876982</v>
      </c>
      <c r="N2760" s="34">
        <v>30.988795139286943</v>
      </c>
    </row>
    <row r="2761" spans="1:14" x14ac:dyDescent="0.35">
      <c r="A2761" s="82">
        <v>2758</v>
      </c>
      <c r="B2761" s="89" t="str">
        <f>_xlfn.XLOOKUP(A2761,'Model Modeshare by TAZ'!A:A,'Model Modeshare by TAZ'!B:B)</f>
        <v>San Rafael</v>
      </c>
      <c r="C2761" s="90" t="str">
        <f>_xlfn.XLOOKUP(A2761,'Model Modeshare by TAZ'!A:A,'Model Modeshare by TAZ'!D:D)</f>
        <v>NO</v>
      </c>
      <c r="D2761" s="27">
        <v>8484</v>
      </c>
      <c r="E2761" s="27">
        <v>176077.54</v>
      </c>
      <c r="F2761" s="27">
        <v>8642.2800000000007</v>
      </c>
      <c r="G2761" s="27">
        <v>84339.58</v>
      </c>
      <c r="H2761" s="27">
        <v>1804.94</v>
      </c>
      <c r="I2761" s="27">
        <v>27070.34</v>
      </c>
      <c r="J2761" s="6">
        <v>5444</v>
      </c>
      <c r="K2761" s="6">
        <v>999</v>
      </c>
      <c r="L2761" s="27">
        <v>15.492207935341661</v>
      </c>
      <c r="M2761" s="27">
        <v>27.097437437437438</v>
      </c>
      <c r="N2761" s="34">
        <v>27.384867297842622</v>
      </c>
    </row>
    <row r="2762" spans="1:14" x14ac:dyDescent="0.35">
      <c r="A2762" s="82">
        <v>2759</v>
      </c>
      <c r="B2762" s="89" t="str">
        <f>_xlfn.XLOOKUP(A2762,'Model Modeshare by TAZ'!A:A,'Model Modeshare by TAZ'!B:B)</f>
        <v>San Rafael</v>
      </c>
      <c r="C2762" s="90" t="str">
        <f>_xlfn.XLOOKUP(A2762,'Model Modeshare by TAZ'!A:A,'Model Modeshare by TAZ'!D:D)</f>
        <v>NO</v>
      </c>
      <c r="D2762" s="27">
        <v>18418.95</v>
      </c>
      <c r="E2762" s="27">
        <v>322119.23</v>
      </c>
      <c r="F2762" s="27">
        <v>8610.9</v>
      </c>
      <c r="G2762" s="27">
        <v>56522.28</v>
      </c>
      <c r="H2762" s="27">
        <v>4669.26</v>
      </c>
      <c r="I2762" s="27">
        <v>55638.35</v>
      </c>
      <c r="J2762" s="6">
        <v>5732</v>
      </c>
      <c r="K2762" s="6">
        <v>3168</v>
      </c>
      <c r="L2762" s="27">
        <v>9.8608304256803905</v>
      </c>
      <c r="M2762" s="27">
        <v>17.562610479797979</v>
      </c>
      <c r="N2762" s="34">
        <v>24.851483146067416</v>
      </c>
    </row>
    <row r="2763" spans="1:14" x14ac:dyDescent="0.35">
      <c r="A2763" s="82">
        <v>2760</v>
      </c>
      <c r="B2763" s="89" t="str">
        <f>_xlfn.XLOOKUP(A2763,'Model Modeshare by TAZ'!A:A,'Model Modeshare by TAZ'!B:B)</f>
        <v>San Rafael</v>
      </c>
      <c r="C2763" s="90" t="str">
        <f>_xlfn.XLOOKUP(A2763,'Model Modeshare by TAZ'!A:A,'Model Modeshare by TAZ'!D:D)</f>
        <v>NO</v>
      </c>
      <c r="D2763" s="27">
        <v>26080.68</v>
      </c>
      <c r="E2763" s="27">
        <v>571381.63</v>
      </c>
      <c r="F2763" s="27">
        <v>12437.67</v>
      </c>
      <c r="G2763" s="27">
        <v>103145.07</v>
      </c>
      <c r="H2763" s="27">
        <v>11100.07</v>
      </c>
      <c r="I2763" s="27">
        <v>164099.20000000001</v>
      </c>
      <c r="J2763" s="6">
        <v>12294</v>
      </c>
      <c r="K2763" s="6">
        <v>8648</v>
      </c>
      <c r="L2763" s="27">
        <v>8.3898706686188387</v>
      </c>
      <c r="M2763" s="27">
        <v>18.975393154486589</v>
      </c>
      <c r="N2763" s="34">
        <v>23.615903447617228</v>
      </c>
    </row>
    <row r="2764" spans="1:14" x14ac:dyDescent="0.35">
      <c r="A2764" s="82">
        <v>2761</v>
      </c>
      <c r="B2764" s="89" t="str">
        <f>_xlfn.XLOOKUP(A2764,'Model Modeshare by TAZ'!A:A,'Model Modeshare by TAZ'!B:B)</f>
        <v>San Rafael</v>
      </c>
      <c r="C2764" s="90" t="str">
        <f>_xlfn.XLOOKUP(A2764,'Model Modeshare by TAZ'!A:A,'Model Modeshare by TAZ'!D:D)</f>
        <v>NO</v>
      </c>
      <c r="D2764" s="27">
        <v>14198.64</v>
      </c>
      <c r="E2764" s="27">
        <v>329719.03999999998</v>
      </c>
      <c r="F2764" s="27">
        <v>6568.79</v>
      </c>
      <c r="G2764" s="27">
        <v>60003.839999999997</v>
      </c>
      <c r="H2764" s="27">
        <v>3943.71</v>
      </c>
      <c r="I2764" s="27">
        <v>56830.97</v>
      </c>
      <c r="J2764" s="6">
        <v>4408</v>
      </c>
      <c r="K2764" s="6">
        <v>2892</v>
      </c>
      <c r="L2764" s="27">
        <v>13.612486388384754</v>
      </c>
      <c r="M2764" s="27">
        <v>19.65109612724758</v>
      </c>
      <c r="N2764" s="34">
        <v>31.564795890410959</v>
      </c>
    </row>
    <row r="2765" spans="1:14" x14ac:dyDescent="0.35">
      <c r="A2765" s="82">
        <v>2762</v>
      </c>
      <c r="B2765" s="89" t="str">
        <f>_xlfn.XLOOKUP(A2765,'Model Modeshare by TAZ'!A:A,'Model Modeshare by TAZ'!B:B)</f>
        <v>San Rafael</v>
      </c>
      <c r="C2765" s="90" t="str">
        <f>_xlfn.XLOOKUP(A2765,'Model Modeshare by TAZ'!A:A,'Model Modeshare by TAZ'!D:D)</f>
        <v>NO</v>
      </c>
      <c r="D2765" s="27">
        <v>22537.3</v>
      </c>
      <c r="E2765" s="27">
        <v>391136.75</v>
      </c>
      <c r="F2765" s="27">
        <v>8449.7000000000007</v>
      </c>
      <c r="G2765" s="27">
        <v>57216.13</v>
      </c>
      <c r="H2765" s="27">
        <v>9020.2099999999991</v>
      </c>
      <c r="I2765" s="27">
        <v>104647.74</v>
      </c>
      <c r="J2765" s="6">
        <v>5855</v>
      </c>
      <c r="K2765" s="6">
        <v>6816</v>
      </c>
      <c r="L2765" s="27">
        <v>9.7721827497865075</v>
      </c>
      <c r="M2765" s="27">
        <v>15.353248239436621</v>
      </c>
      <c r="N2765" s="34">
        <v>26.404856759529636</v>
      </c>
    </row>
    <row r="2766" spans="1:14" x14ac:dyDescent="0.35">
      <c r="A2766" s="82">
        <v>2763</v>
      </c>
      <c r="B2766" s="89" t="str">
        <f>_xlfn.XLOOKUP(A2766,'Model Modeshare by TAZ'!A:A,'Model Modeshare by TAZ'!B:B)</f>
        <v>San Rafael</v>
      </c>
      <c r="C2766" s="90" t="str">
        <f>_xlfn.XLOOKUP(A2766,'Model Modeshare by TAZ'!A:A,'Model Modeshare by TAZ'!D:D)</f>
        <v>NO</v>
      </c>
      <c r="D2766" s="27">
        <v>14252.73</v>
      </c>
      <c r="E2766" s="27">
        <v>245820.99</v>
      </c>
      <c r="F2766" s="27">
        <v>12291.64</v>
      </c>
      <c r="G2766" s="27">
        <v>102037.66</v>
      </c>
      <c r="H2766" s="27">
        <v>2994.81</v>
      </c>
      <c r="I2766" s="27">
        <v>36201.800000000003</v>
      </c>
      <c r="J2766" s="6">
        <v>8039</v>
      </c>
      <c r="K2766" s="6">
        <v>1450</v>
      </c>
      <c r="L2766" s="27">
        <v>12.692829953974375</v>
      </c>
      <c r="M2766" s="27">
        <v>24.966758620689657</v>
      </c>
      <c r="N2766" s="34">
        <v>24.178338075666563</v>
      </c>
    </row>
    <row r="2767" spans="1:14" x14ac:dyDescent="0.35">
      <c r="A2767" s="82">
        <v>2764</v>
      </c>
      <c r="B2767" s="89" t="str">
        <f>_xlfn.XLOOKUP(A2767,'Model Modeshare by TAZ'!A:A,'Model Modeshare by TAZ'!B:B)</f>
        <v>San Anselmo</v>
      </c>
      <c r="C2767" s="90" t="str">
        <f>_xlfn.XLOOKUP(A2767,'Model Modeshare by TAZ'!A:A,'Model Modeshare by TAZ'!D:D)</f>
        <v>NO</v>
      </c>
      <c r="D2767" s="27">
        <v>12956.7</v>
      </c>
      <c r="E2767" s="27">
        <v>214401.74</v>
      </c>
      <c r="F2767" s="27">
        <v>7167.39</v>
      </c>
      <c r="G2767" s="27">
        <v>52094.25</v>
      </c>
      <c r="H2767" s="27">
        <v>3340.36</v>
      </c>
      <c r="I2767" s="27">
        <v>37606.15</v>
      </c>
      <c r="J2767" s="6">
        <v>4571</v>
      </c>
      <c r="K2767" s="6">
        <v>2327</v>
      </c>
      <c r="L2767" s="27">
        <v>11.39668562677751</v>
      </c>
      <c r="M2767" s="27">
        <v>16.160786420283628</v>
      </c>
      <c r="N2767" s="34">
        <v>27.495713250217452</v>
      </c>
    </row>
    <row r="2768" spans="1:14" x14ac:dyDescent="0.35">
      <c r="A2768" s="82">
        <v>2765</v>
      </c>
      <c r="B2768" s="89" t="str">
        <f>_xlfn.XLOOKUP(A2768,'Model Modeshare by TAZ'!A:A,'Model Modeshare by TAZ'!B:B)</f>
        <v>San Anselmo</v>
      </c>
      <c r="C2768" s="90" t="str">
        <f>_xlfn.XLOOKUP(A2768,'Model Modeshare by TAZ'!A:A,'Model Modeshare by TAZ'!D:D)</f>
        <v>NO</v>
      </c>
      <c r="D2768" s="27">
        <v>5528.08</v>
      </c>
      <c r="E2768" s="27">
        <v>88570.69</v>
      </c>
      <c r="F2768" s="27">
        <v>4613.72</v>
      </c>
      <c r="G2768" s="27">
        <v>35664.449999999997</v>
      </c>
      <c r="H2768" s="27">
        <v>957.9</v>
      </c>
      <c r="I2768" s="27">
        <v>11167.1</v>
      </c>
      <c r="J2768" s="6">
        <v>3123</v>
      </c>
      <c r="K2768" s="6">
        <v>465</v>
      </c>
      <c r="L2768" s="27">
        <v>11.419932756964457</v>
      </c>
      <c r="M2768" s="27">
        <v>24.015268817204301</v>
      </c>
      <c r="N2768" s="34">
        <v>22.328152173913043</v>
      </c>
    </row>
    <row r="2769" spans="1:14" x14ac:dyDescent="0.35">
      <c r="A2769" s="82">
        <v>2766</v>
      </c>
      <c r="B2769" s="89" t="str">
        <f>_xlfn.XLOOKUP(A2769,'Model Modeshare by TAZ'!A:A,'Model Modeshare by TAZ'!B:B)</f>
        <v>Unincorporated</v>
      </c>
      <c r="C2769" s="90" t="str">
        <f>_xlfn.XLOOKUP(A2769,'Model Modeshare by TAZ'!A:A,'Model Modeshare by TAZ'!D:D)</f>
        <v>NO</v>
      </c>
      <c r="D2769" s="27">
        <v>10345.799999999999</v>
      </c>
      <c r="E2769" s="27">
        <v>221865.02</v>
      </c>
      <c r="F2769" s="27">
        <v>8517.82</v>
      </c>
      <c r="G2769" s="27">
        <v>79228</v>
      </c>
      <c r="H2769" s="27">
        <v>2072.77</v>
      </c>
      <c r="I2769" s="27">
        <v>27856.31</v>
      </c>
      <c r="J2769" s="6">
        <v>5210</v>
      </c>
      <c r="K2769" s="6">
        <v>1145</v>
      </c>
      <c r="L2769" s="27">
        <v>15.206909788867563</v>
      </c>
      <c r="M2769" s="27">
        <v>24.328655021834063</v>
      </c>
      <c r="N2769" s="34">
        <v>28.083082612116442</v>
      </c>
    </row>
    <row r="2770" spans="1:14" x14ac:dyDescent="0.35">
      <c r="A2770" s="82">
        <v>2767</v>
      </c>
      <c r="B2770" s="89" t="str">
        <f>_xlfn.XLOOKUP(A2770,'Model Modeshare by TAZ'!A:A,'Model Modeshare by TAZ'!B:B)</f>
        <v>Ross</v>
      </c>
      <c r="C2770" s="90" t="str">
        <f>_xlfn.XLOOKUP(A2770,'Model Modeshare by TAZ'!A:A,'Model Modeshare by TAZ'!D:D)</f>
        <v>NO</v>
      </c>
      <c r="D2770" s="27">
        <v>4445.4799999999996</v>
      </c>
      <c r="E2770" s="27">
        <v>79144.789999999994</v>
      </c>
      <c r="F2770" s="27">
        <v>3182.64</v>
      </c>
      <c r="G2770" s="27">
        <v>26872.639999999999</v>
      </c>
      <c r="H2770" s="27">
        <v>827.23</v>
      </c>
      <c r="I2770" s="27">
        <v>10118.219999999999</v>
      </c>
      <c r="J2770" s="6">
        <v>2434</v>
      </c>
      <c r="K2770" s="6">
        <v>526</v>
      </c>
      <c r="L2770" s="27">
        <v>11.040525883319638</v>
      </c>
      <c r="M2770" s="27">
        <v>19.236159695817488</v>
      </c>
      <c r="N2770" s="34">
        <v>21.986976351351352</v>
      </c>
    </row>
    <row r="2771" spans="1:14" x14ac:dyDescent="0.35">
      <c r="A2771" s="82">
        <v>2768</v>
      </c>
      <c r="B2771" s="89" t="str">
        <f>_xlfn.XLOOKUP(A2771,'Model Modeshare by TAZ'!A:A,'Model Modeshare by TAZ'!B:B)</f>
        <v>Unincorporated</v>
      </c>
      <c r="C2771" s="90" t="str">
        <f>_xlfn.XLOOKUP(A2771,'Model Modeshare by TAZ'!A:A,'Model Modeshare by TAZ'!D:D)</f>
        <v>NO</v>
      </c>
      <c r="D2771" s="27">
        <v>14863.63</v>
      </c>
      <c r="E2771" s="27">
        <v>266111.34000000003</v>
      </c>
      <c r="F2771" s="27">
        <v>7754.32</v>
      </c>
      <c r="G2771" s="27">
        <v>62706.33</v>
      </c>
      <c r="H2771" s="27">
        <v>2125</v>
      </c>
      <c r="I2771" s="27">
        <v>24292.9</v>
      </c>
      <c r="J2771" s="6">
        <v>4677</v>
      </c>
      <c r="K2771" s="6">
        <v>1157</v>
      </c>
      <c r="L2771" s="27">
        <v>13.407382937780628</v>
      </c>
      <c r="M2771" s="27">
        <v>20.99645635263613</v>
      </c>
      <c r="N2771" s="34">
        <v>28.737684264655467</v>
      </c>
    </row>
    <row r="2772" spans="1:14" x14ac:dyDescent="0.35">
      <c r="A2772" s="82">
        <v>2769</v>
      </c>
      <c r="B2772" s="89" t="str">
        <f>_xlfn.XLOOKUP(A2772,'Model Modeshare by TAZ'!A:A,'Model Modeshare by TAZ'!B:B)</f>
        <v>Larkspur</v>
      </c>
      <c r="C2772" s="90" t="str">
        <f>_xlfn.XLOOKUP(A2772,'Model Modeshare by TAZ'!A:A,'Model Modeshare by TAZ'!D:D)</f>
        <v>NO</v>
      </c>
      <c r="D2772" s="27">
        <v>17192.259999999998</v>
      </c>
      <c r="E2772" s="27">
        <v>278301.46999999997</v>
      </c>
      <c r="F2772" s="27">
        <v>13385.26</v>
      </c>
      <c r="G2772" s="27">
        <v>104043.68</v>
      </c>
      <c r="H2772" s="27">
        <v>3770.41</v>
      </c>
      <c r="I2772" s="27">
        <v>43425.03</v>
      </c>
      <c r="J2772" s="6">
        <v>6634</v>
      </c>
      <c r="K2772" s="6">
        <v>1871</v>
      </c>
      <c r="L2772" s="27">
        <v>15.683400663249923</v>
      </c>
      <c r="M2772" s="27">
        <v>23.209529663281668</v>
      </c>
      <c r="N2772" s="34">
        <v>26.362185773074664</v>
      </c>
    </row>
    <row r="2773" spans="1:14" x14ac:dyDescent="0.35">
      <c r="A2773" s="82">
        <v>2770</v>
      </c>
      <c r="B2773" s="89" t="str">
        <f>_xlfn.XLOOKUP(A2773,'Model Modeshare by TAZ'!A:A,'Model Modeshare by TAZ'!B:B)</f>
        <v>Corte Madera</v>
      </c>
      <c r="C2773" s="90" t="str">
        <f>_xlfn.XLOOKUP(A2773,'Model Modeshare by TAZ'!A:A,'Model Modeshare by TAZ'!D:D)</f>
        <v>NO</v>
      </c>
      <c r="D2773" s="27">
        <v>21251.86</v>
      </c>
      <c r="E2773" s="27">
        <v>356529.02</v>
      </c>
      <c r="F2773" s="27">
        <v>8744.5400000000009</v>
      </c>
      <c r="G2773" s="27">
        <v>53409.5</v>
      </c>
      <c r="H2773" s="27">
        <v>13427.77</v>
      </c>
      <c r="I2773" s="27">
        <v>165318.68</v>
      </c>
      <c r="J2773" s="6">
        <v>5692</v>
      </c>
      <c r="K2773" s="6">
        <v>9657</v>
      </c>
      <c r="L2773" s="27">
        <v>9.3832572030920591</v>
      </c>
      <c r="M2773" s="27">
        <v>17.119051465258362</v>
      </c>
      <c r="N2773" s="34">
        <v>31.018326275327382</v>
      </c>
    </row>
    <row r="2774" spans="1:14" x14ac:dyDescent="0.35">
      <c r="A2774" s="82">
        <v>2771</v>
      </c>
      <c r="B2774" s="89" t="str">
        <f>_xlfn.XLOOKUP(A2774,'Model Modeshare by TAZ'!A:A,'Model Modeshare by TAZ'!B:B)</f>
        <v>Unincorporated</v>
      </c>
      <c r="C2774" s="90" t="str">
        <f>_xlfn.XLOOKUP(A2774,'Model Modeshare by TAZ'!A:A,'Model Modeshare by TAZ'!D:D)</f>
        <v>NO</v>
      </c>
      <c r="D2774" s="27">
        <v>163.71</v>
      </c>
      <c r="E2774" s="27">
        <v>4375.04</v>
      </c>
      <c r="F2774" s="27">
        <v>116.59</v>
      </c>
      <c r="G2774" s="27">
        <v>960.11</v>
      </c>
      <c r="H2774" s="27">
        <v>465.92</v>
      </c>
      <c r="I2774" s="27">
        <v>6686.93</v>
      </c>
      <c r="J2774" s="6">
        <v>0</v>
      </c>
      <c r="K2774" s="6">
        <v>85</v>
      </c>
      <c r="L2774" s="27">
        <v>0</v>
      </c>
      <c r="M2774" s="27">
        <v>78.669764705882358</v>
      </c>
      <c r="N2774" s="34">
        <v>117.02611764705881</v>
      </c>
    </row>
    <row r="2775" spans="1:14" x14ac:dyDescent="0.35">
      <c r="A2775" s="82">
        <v>2772</v>
      </c>
      <c r="B2775" s="89" t="str">
        <f>_xlfn.XLOOKUP(A2775,'Model Modeshare by TAZ'!A:A,'Model Modeshare by TAZ'!B:B)</f>
        <v>Larkspur</v>
      </c>
      <c r="C2775" s="90" t="str">
        <f>_xlfn.XLOOKUP(A2775,'Model Modeshare by TAZ'!A:A,'Model Modeshare by TAZ'!D:D)</f>
        <v>NO</v>
      </c>
      <c r="D2775" s="27">
        <v>15271.59</v>
      </c>
      <c r="E2775" s="27">
        <v>244992.34</v>
      </c>
      <c r="F2775" s="27">
        <v>9555.17</v>
      </c>
      <c r="G2775" s="27">
        <v>67121.88</v>
      </c>
      <c r="H2775" s="27">
        <v>2409.5500000000002</v>
      </c>
      <c r="I2775" s="27">
        <v>29450.6</v>
      </c>
      <c r="J2775" s="6">
        <v>6130</v>
      </c>
      <c r="K2775" s="6">
        <v>1368</v>
      </c>
      <c r="L2775" s="27">
        <v>10.949735725938011</v>
      </c>
      <c r="M2775" s="27">
        <v>21.528216374269004</v>
      </c>
      <c r="N2775" s="34">
        <v>25.422433982395304</v>
      </c>
    </row>
    <row r="2776" spans="1:14" x14ac:dyDescent="0.35">
      <c r="A2776" s="82">
        <v>2773</v>
      </c>
      <c r="B2776" s="89" t="str">
        <f>_xlfn.XLOOKUP(A2776,'Model Modeshare by TAZ'!A:A,'Model Modeshare by TAZ'!B:B)</f>
        <v>Corte Madera</v>
      </c>
      <c r="C2776" s="90" t="str">
        <f>_xlfn.XLOOKUP(A2776,'Model Modeshare by TAZ'!A:A,'Model Modeshare by TAZ'!D:D)</f>
        <v>NO</v>
      </c>
      <c r="D2776" s="27">
        <v>20649.330000000002</v>
      </c>
      <c r="E2776" s="27">
        <v>351007.7</v>
      </c>
      <c r="F2776" s="27">
        <v>7948.92</v>
      </c>
      <c r="G2776" s="27">
        <v>49074.9</v>
      </c>
      <c r="H2776" s="27">
        <v>5731.29</v>
      </c>
      <c r="I2776" s="27">
        <v>71535.27</v>
      </c>
      <c r="J2776" s="6">
        <v>5252</v>
      </c>
      <c r="K2776" s="6">
        <v>4212</v>
      </c>
      <c r="L2776" s="27">
        <v>9.3440403655750188</v>
      </c>
      <c r="M2776" s="27">
        <v>16.983682336182337</v>
      </c>
      <c r="N2776" s="34">
        <v>30.867687024513945</v>
      </c>
    </row>
    <row r="2777" spans="1:14" x14ac:dyDescent="0.35">
      <c r="A2777" s="82">
        <v>2774</v>
      </c>
      <c r="B2777" s="89" t="str">
        <f>_xlfn.XLOOKUP(A2777,'Model Modeshare by TAZ'!A:A,'Model Modeshare by TAZ'!B:B)</f>
        <v>Mill Valley</v>
      </c>
      <c r="C2777" s="90" t="str">
        <f>_xlfn.XLOOKUP(A2777,'Model Modeshare by TAZ'!A:A,'Model Modeshare by TAZ'!D:D)</f>
        <v>NO</v>
      </c>
      <c r="D2777" s="27">
        <v>12839</v>
      </c>
      <c r="E2777" s="27">
        <v>257679.33</v>
      </c>
      <c r="F2777" s="27">
        <v>8794.41</v>
      </c>
      <c r="G2777" s="27">
        <v>74387.929999999993</v>
      </c>
      <c r="H2777" s="27">
        <v>2857.63</v>
      </c>
      <c r="I2777" s="27">
        <v>40156.93</v>
      </c>
      <c r="J2777" s="6">
        <v>5998</v>
      </c>
      <c r="K2777" s="6">
        <v>1924</v>
      </c>
      <c r="L2777" s="27">
        <v>12.402122374124707</v>
      </c>
      <c r="M2777" s="27">
        <v>20.871585239085238</v>
      </c>
      <c r="N2777" s="34">
        <v>26.275829336026256</v>
      </c>
    </row>
    <row r="2778" spans="1:14" x14ac:dyDescent="0.35">
      <c r="A2778" s="82">
        <v>2775</v>
      </c>
      <c r="B2778" s="89" t="str">
        <f>_xlfn.XLOOKUP(A2778,'Model Modeshare by TAZ'!A:A,'Model Modeshare by TAZ'!B:B)</f>
        <v>Mill Valley</v>
      </c>
      <c r="C2778" s="90" t="str">
        <f>_xlfn.XLOOKUP(A2778,'Model Modeshare by TAZ'!A:A,'Model Modeshare by TAZ'!D:D)</f>
        <v>NO</v>
      </c>
      <c r="D2778" s="27">
        <v>12762.83</v>
      </c>
      <c r="E2778" s="27">
        <v>203437.6</v>
      </c>
      <c r="F2778" s="27">
        <v>6078.69</v>
      </c>
      <c r="G2778" s="27">
        <v>39511.74</v>
      </c>
      <c r="H2778" s="27">
        <v>3063.88</v>
      </c>
      <c r="I2778" s="27">
        <v>38326.589999999997</v>
      </c>
      <c r="J2778" s="6">
        <v>4240</v>
      </c>
      <c r="K2778" s="6">
        <v>2263</v>
      </c>
      <c r="L2778" s="27">
        <v>9.3188066037735844</v>
      </c>
      <c r="M2778" s="27">
        <v>16.93618647812638</v>
      </c>
      <c r="N2778" s="34">
        <v>26.587133630632017</v>
      </c>
    </row>
    <row r="2779" spans="1:14" x14ac:dyDescent="0.35">
      <c r="A2779" s="82">
        <v>2776</v>
      </c>
      <c r="B2779" s="89" t="str">
        <f>_xlfn.XLOOKUP(A2779,'Model Modeshare by TAZ'!A:A,'Model Modeshare by TAZ'!B:B)</f>
        <v>Unincorporated</v>
      </c>
      <c r="C2779" s="90" t="str">
        <f>_xlfn.XLOOKUP(A2779,'Model Modeshare by TAZ'!A:A,'Model Modeshare by TAZ'!D:D)</f>
        <v>NO</v>
      </c>
      <c r="D2779" s="27">
        <v>10443.290000000001</v>
      </c>
      <c r="E2779" s="27">
        <v>196174.2</v>
      </c>
      <c r="F2779" s="27">
        <v>6204.3</v>
      </c>
      <c r="G2779" s="27">
        <v>51094.94</v>
      </c>
      <c r="H2779" s="27">
        <v>1986.34</v>
      </c>
      <c r="I2779" s="27">
        <v>26744.48</v>
      </c>
      <c r="J2779" s="6">
        <v>4229</v>
      </c>
      <c r="K2779" s="6">
        <v>1370</v>
      </c>
      <c r="L2779" s="27">
        <v>12.082038306928352</v>
      </c>
      <c r="M2779" s="27">
        <v>19.521518248175184</v>
      </c>
      <c r="N2779" s="34">
        <v>27.324870512591538</v>
      </c>
    </row>
    <row r="2780" spans="1:14" x14ac:dyDescent="0.35">
      <c r="A2780" s="82">
        <v>2777</v>
      </c>
      <c r="B2780" s="89" t="str">
        <f>_xlfn.XLOOKUP(A2780,'Model Modeshare by TAZ'!A:A,'Model Modeshare by TAZ'!B:B)</f>
        <v>Tiburon</v>
      </c>
      <c r="C2780" s="90" t="str">
        <f>_xlfn.XLOOKUP(A2780,'Model Modeshare by TAZ'!A:A,'Model Modeshare by TAZ'!D:D)</f>
        <v>NO</v>
      </c>
      <c r="D2780" s="27">
        <v>10296.99</v>
      </c>
      <c r="E2780" s="27">
        <v>214307.18</v>
      </c>
      <c r="F2780" s="27">
        <v>8638.34</v>
      </c>
      <c r="G2780" s="27">
        <v>82150.240000000005</v>
      </c>
      <c r="H2780" s="27">
        <v>1713.52</v>
      </c>
      <c r="I2780" s="27">
        <v>24606.06</v>
      </c>
      <c r="J2780" s="6">
        <v>5524</v>
      </c>
      <c r="K2780" s="6">
        <v>838</v>
      </c>
      <c r="L2780" s="27">
        <v>14.871513396089791</v>
      </c>
      <c r="M2780" s="27">
        <v>29.362840095465394</v>
      </c>
      <c r="N2780" s="34">
        <v>28.31952059100912</v>
      </c>
    </row>
    <row r="2781" spans="1:14" x14ac:dyDescent="0.35">
      <c r="A2781" s="82">
        <v>2778</v>
      </c>
      <c r="B2781" s="89" t="str">
        <f>_xlfn.XLOOKUP(A2781,'Model Modeshare by TAZ'!A:A,'Model Modeshare by TAZ'!B:B)</f>
        <v>Tiburon</v>
      </c>
      <c r="C2781" s="90" t="str">
        <f>_xlfn.XLOOKUP(A2781,'Model Modeshare by TAZ'!A:A,'Model Modeshare by TAZ'!D:D)</f>
        <v>NO</v>
      </c>
      <c r="D2781" s="27">
        <v>13635.41</v>
      </c>
      <c r="E2781" s="27">
        <v>295273.55</v>
      </c>
      <c r="F2781" s="27">
        <v>8498.5400000000009</v>
      </c>
      <c r="G2781" s="27">
        <v>89282.32</v>
      </c>
      <c r="H2781" s="27">
        <v>2973.88</v>
      </c>
      <c r="I2781" s="27">
        <v>43893.9</v>
      </c>
      <c r="J2781" s="6">
        <v>5681</v>
      </c>
      <c r="K2781" s="6">
        <v>1964</v>
      </c>
      <c r="L2781" s="27">
        <v>15.71595141700405</v>
      </c>
      <c r="M2781" s="27">
        <v>22.349236252545825</v>
      </c>
      <c r="N2781" s="34">
        <v>30.342329627207324</v>
      </c>
    </row>
    <row r="2782" spans="1:14" x14ac:dyDescent="0.35">
      <c r="A2782" s="82">
        <v>2779</v>
      </c>
      <c r="B2782" s="89" t="str">
        <f>_xlfn.XLOOKUP(A2782,'Model Modeshare by TAZ'!A:A,'Model Modeshare by TAZ'!B:B)</f>
        <v>Belvedere</v>
      </c>
      <c r="C2782" s="90" t="str">
        <f>_xlfn.XLOOKUP(A2782,'Model Modeshare by TAZ'!A:A,'Model Modeshare by TAZ'!D:D)</f>
        <v>NO</v>
      </c>
      <c r="D2782" s="27">
        <v>3585.91</v>
      </c>
      <c r="E2782" s="27">
        <v>77785.55</v>
      </c>
      <c r="F2782" s="27">
        <v>3273.3</v>
      </c>
      <c r="G2782" s="27">
        <v>34195.589999999997</v>
      </c>
      <c r="H2782" s="27">
        <v>686.55</v>
      </c>
      <c r="I2782" s="27">
        <v>10901.29</v>
      </c>
      <c r="J2782" s="6">
        <v>2096</v>
      </c>
      <c r="K2782" s="6">
        <v>450</v>
      </c>
      <c r="L2782" s="27">
        <v>16.314689885496183</v>
      </c>
      <c r="M2782" s="27">
        <v>24.225088888888891</v>
      </c>
      <c r="N2782" s="34">
        <v>27.236834249803611</v>
      </c>
    </row>
    <row r="2783" spans="1:14" x14ac:dyDescent="0.35">
      <c r="A2783" s="82">
        <v>2780</v>
      </c>
      <c r="B2783" s="89" t="str">
        <f>_xlfn.XLOOKUP(A2783,'Model Modeshare by TAZ'!A:A,'Model Modeshare by TAZ'!B:B)</f>
        <v>Sausalito</v>
      </c>
      <c r="C2783" s="90" t="str">
        <f>_xlfn.XLOOKUP(A2783,'Model Modeshare by TAZ'!A:A,'Model Modeshare by TAZ'!D:D)</f>
        <v>NO</v>
      </c>
      <c r="D2783" s="27">
        <v>30074.52</v>
      </c>
      <c r="E2783" s="27">
        <v>588834.6</v>
      </c>
      <c r="F2783" s="27">
        <v>14191.82</v>
      </c>
      <c r="G2783" s="27">
        <v>95083.55</v>
      </c>
      <c r="H2783" s="27">
        <v>9060.7099999999991</v>
      </c>
      <c r="I2783" s="27">
        <v>133783.12</v>
      </c>
      <c r="J2783" s="6">
        <v>7773</v>
      </c>
      <c r="K2783" s="6">
        <v>6632</v>
      </c>
      <c r="L2783" s="27">
        <v>12.232542133024573</v>
      </c>
      <c r="M2783" s="27">
        <v>20.172364294330517</v>
      </c>
      <c r="N2783" s="34">
        <v>36.415661922943421</v>
      </c>
    </row>
    <row r="2784" spans="1:14" x14ac:dyDescent="0.35">
      <c r="A2784" s="82">
        <v>2781</v>
      </c>
      <c r="B2784" s="89" t="str">
        <f>_xlfn.XLOOKUP(A2784,'Model Modeshare by TAZ'!A:A,'Model Modeshare by TAZ'!B:B)</f>
        <v>Unincorporated</v>
      </c>
      <c r="C2784" s="90" t="str">
        <f>_xlfn.XLOOKUP(A2784,'Model Modeshare by TAZ'!A:A,'Model Modeshare by TAZ'!D:D)</f>
        <v>NO</v>
      </c>
      <c r="D2784" s="27">
        <v>5026.83</v>
      </c>
      <c r="E2784" s="27">
        <v>94323.34</v>
      </c>
      <c r="F2784" s="27">
        <v>3346.88</v>
      </c>
      <c r="G2784" s="27">
        <v>27896.99</v>
      </c>
      <c r="H2784" s="27">
        <v>657.76</v>
      </c>
      <c r="I2784" s="27">
        <v>10126.69</v>
      </c>
      <c r="J2784" s="6">
        <v>2412</v>
      </c>
      <c r="K2784" s="6">
        <v>308</v>
      </c>
      <c r="L2784" s="27">
        <v>11.565916252072968</v>
      </c>
      <c r="M2784" s="27">
        <v>32.87886363636364</v>
      </c>
      <c r="N2784" s="34">
        <v>26.681404411764706</v>
      </c>
    </row>
    <row r="2785" spans="1:14" x14ac:dyDescent="0.35">
      <c r="A2785" s="82">
        <v>2782</v>
      </c>
      <c r="B2785" s="89" t="str">
        <f>_xlfn.XLOOKUP(A2785,'Model Modeshare by TAZ'!A:A,'Model Modeshare by TAZ'!B:B)</f>
        <v>Unincorporated</v>
      </c>
      <c r="C2785" s="90" t="str">
        <f>_xlfn.XLOOKUP(A2785,'Model Modeshare by TAZ'!A:A,'Model Modeshare by TAZ'!D:D)</f>
        <v>NO</v>
      </c>
      <c r="D2785" s="27">
        <v>11351.76</v>
      </c>
      <c r="E2785" s="27">
        <v>213730.47</v>
      </c>
      <c r="F2785" s="27">
        <v>9906.41</v>
      </c>
      <c r="G2785" s="27">
        <v>89594.29</v>
      </c>
      <c r="H2785" s="27">
        <v>2672.53</v>
      </c>
      <c r="I2785" s="27">
        <v>38039.160000000003</v>
      </c>
      <c r="J2785" s="6">
        <v>6553</v>
      </c>
      <c r="K2785" s="6">
        <v>1485</v>
      </c>
      <c r="L2785" s="27">
        <v>13.672255455516556</v>
      </c>
      <c r="M2785" s="27">
        <v>25.615595959595961</v>
      </c>
      <c r="N2785" s="34">
        <v>27.295949241104751</v>
      </c>
    </row>
    <row r="2786" spans="1:14" x14ac:dyDescent="0.35">
      <c r="A2786" s="82">
        <v>2783</v>
      </c>
      <c r="B2786" s="89" t="str">
        <f>_xlfn.XLOOKUP(A2786,'Model Modeshare by TAZ'!A:A,'Model Modeshare by TAZ'!B:B)</f>
        <v>Unincorporated</v>
      </c>
      <c r="C2786" s="90" t="str">
        <f>_xlfn.XLOOKUP(A2786,'Model Modeshare by TAZ'!A:A,'Model Modeshare by TAZ'!D:D)</f>
        <v>NO</v>
      </c>
      <c r="D2786" s="27">
        <v>9189.1</v>
      </c>
      <c r="E2786" s="27">
        <v>166541.44</v>
      </c>
      <c r="F2786" s="27">
        <v>7078.71</v>
      </c>
      <c r="G2786" s="27">
        <v>58358.99</v>
      </c>
      <c r="H2786" s="27">
        <v>1457.22</v>
      </c>
      <c r="I2786" s="27">
        <v>19299.97</v>
      </c>
      <c r="J2786" s="6">
        <v>4687</v>
      </c>
      <c r="K2786" s="6">
        <v>850</v>
      </c>
      <c r="L2786" s="27">
        <v>12.451245999573288</v>
      </c>
      <c r="M2786" s="27">
        <v>22.705847058823529</v>
      </c>
      <c r="N2786" s="34">
        <v>23.8270453314069</v>
      </c>
    </row>
    <row r="2787" spans="1:14" x14ac:dyDescent="0.35">
      <c r="A2787" s="82">
        <v>2784</v>
      </c>
      <c r="B2787" s="89" t="str">
        <f>_xlfn.XLOOKUP(A2787,'Model Modeshare by TAZ'!A:A,'Model Modeshare by TAZ'!B:B)</f>
        <v>Mill Valley</v>
      </c>
      <c r="C2787" s="90" t="str">
        <f>_xlfn.XLOOKUP(A2787,'Model Modeshare by TAZ'!A:A,'Model Modeshare by TAZ'!D:D)</f>
        <v>NO</v>
      </c>
      <c r="D2787" s="27">
        <v>11416.82</v>
      </c>
      <c r="E2787" s="27">
        <v>257003.77</v>
      </c>
      <c r="F2787" s="27">
        <v>7227.04</v>
      </c>
      <c r="G2787" s="27">
        <v>69762.27</v>
      </c>
      <c r="H2787" s="27">
        <v>2900.09</v>
      </c>
      <c r="I2787" s="27">
        <v>45499.47</v>
      </c>
      <c r="J2787" s="6">
        <v>4729</v>
      </c>
      <c r="K2787" s="6">
        <v>2075</v>
      </c>
      <c r="L2787" s="27">
        <v>14.752013110594207</v>
      </c>
      <c r="M2787" s="27">
        <v>21.927455421686748</v>
      </c>
      <c r="N2787" s="34">
        <v>32.476815108759553</v>
      </c>
    </row>
    <row r="2788" spans="1:14" x14ac:dyDescent="0.35">
      <c r="A2788" s="82">
        <v>2785</v>
      </c>
      <c r="B2788" s="89" t="str">
        <f>_xlfn.XLOOKUP(A2788,'Model Modeshare by TAZ'!A:A,'Model Modeshare by TAZ'!B:B)</f>
        <v>Unincorporated</v>
      </c>
      <c r="C2788" s="90" t="str">
        <f>_xlfn.XLOOKUP(A2788,'Model Modeshare by TAZ'!A:A,'Model Modeshare by TAZ'!D:D)</f>
        <v>NO</v>
      </c>
      <c r="D2788" s="27">
        <v>1878.49</v>
      </c>
      <c r="E2788" s="27">
        <v>68648.259999999995</v>
      </c>
      <c r="F2788" s="27">
        <v>1110.48</v>
      </c>
      <c r="G2788" s="27">
        <v>16903.16</v>
      </c>
      <c r="H2788" s="27">
        <v>1122.3699999999999</v>
      </c>
      <c r="I2788" s="27">
        <v>24237.71</v>
      </c>
      <c r="J2788" s="6">
        <v>643</v>
      </c>
      <c r="K2788" s="6">
        <v>761</v>
      </c>
      <c r="L2788" s="27">
        <v>26.287962674961118</v>
      </c>
      <c r="M2788" s="27">
        <v>31.849816031537451</v>
      </c>
      <c r="N2788" s="34">
        <v>53.069472934472927</v>
      </c>
    </row>
    <row r="2789" spans="1:14" x14ac:dyDescent="0.35">
      <c r="A2789" s="82">
        <v>2786</v>
      </c>
      <c r="B2789" s="89" t="str">
        <f>_xlfn.XLOOKUP(A2789,'Model Modeshare by TAZ'!A:A,'Model Modeshare by TAZ'!B:B)</f>
        <v>Unincorporated</v>
      </c>
      <c r="C2789" s="90" t="str">
        <f>_xlfn.XLOOKUP(A2789,'Model Modeshare by TAZ'!A:A,'Model Modeshare by TAZ'!D:D)</f>
        <v>NO</v>
      </c>
      <c r="D2789" s="27">
        <v>4187.37</v>
      </c>
      <c r="E2789" s="27">
        <v>145605.95000000001</v>
      </c>
      <c r="F2789" s="27">
        <v>3305.84</v>
      </c>
      <c r="G2789" s="27">
        <v>44528.63</v>
      </c>
      <c r="H2789" s="27">
        <v>1824.73</v>
      </c>
      <c r="I2789" s="27">
        <v>37532.769999999997</v>
      </c>
      <c r="J2789" s="6">
        <v>2240</v>
      </c>
      <c r="K2789" s="6">
        <v>1244</v>
      </c>
      <c r="L2789" s="27">
        <v>19.878852678571427</v>
      </c>
      <c r="M2789" s="27">
        <v>30.171036977491958</v>
      </c>
      <c r="N2789" s="34">
        <v>47.405530998851894</v>
      </c>
    </row>
    <row r="2790" spans="1:14" x14ac:dyDescent="0.35">
      <c r="A2790" s="82">
        <v>2787</v>
      </c>
      <c r="B2790" s="89" t="str">
        <f>_xlfn.XLOOKUP(A2790,'Model Modeshare by TAZ'!A:A,'Model Modeshare by TAZ'!B:B)</f>
        <v>Unknown</v>
      </c>
      <c r="C2790" s="90" t="str">
        <f>_xlfn.XLOOKUP(A2790,'Model Modeshare by TAZ'!A:A,'Model Modeshare by TAZ'!D:D)</f>
        <v>NO</v>
      </c>
      <c r="D2790" s="27">
        <v>0</v>
      </c>
      <c r="E2790" s="27">
        <v>0</v>
      </c>
      <c r="F2790" s="27">
        <v>0</v>
      </c>
      <c r="G2790" s="27">
        <v>0</v>
      </c>
      <c r="H2790" s="27">
        <v>0</v>
      </c>
      <c r="I2790" s="27">
        <v>0</v>
      </c>
      <c r="J2790" s="6" t="b">
        <v>0</v>
      </c>
      <c r="K2790" s="6" t="b">
        <v>0</v>
      </c>
      <c r="L2790" s="27">
        <v>0</v>
      </c>
      <c r="M2790" s="27">
        <v>0</v>
      </c>
      <c r="N2790" s="34">
        <v>0</v>
      </c>
    </row>
    <row r="2791" spans="1:14" x14ac:dyDescent="0.35">
      <c r="A2791" s="82">
        <v>2788</v>
      </c>
      <c r="B2791" s="89" t="str">
        <f>_xlfn.XLOOKUP(A2791,'Model Modeshare by TAZ'!A:A,'Model Modeshare by TAZ'!B:B)</f>
        <v>Unknown</v>
      </c>
      <c r="C2791" s="90" t="str">
        <f>_xlfn.XLOOKUP(A2791,'Model Modeshare by TAZ'!A:A,'Model Modeshare by TAZ'!D:D)</f>
        <v>NO</v>
      </c>
      <c r="D2791" s="27">
        <v>0</v>
      </c>
      <c r="E2791" s="27">
        <v>0</v>
      </c>
      <c r="F2791" s="27">
        <v>0</v>
      </c>
      <c r="G2791" s="27">
        <v>0</v>
      </c>
      <c r="H2791" s="27">
        <v>0</v>
      </c>
      <c r="I2791" s="27">
        <v>0</v>
      </c>
      <c r="J2791" s="6" t="b">
        <v>0</v>
      </c>
      <c r="K2791" s="6" t="b">
        <v>0</v>
      </c>
      <c r="L2791" s="27">
        <v>0</v>
      </c>
      <c r="M2791" s="27">
        <v>0</v>
      </c>
      <c r="N2791" s="34">
        <v>0</v>
      </c>
    </row>
    <row r="2792" spans="1:14" x14ac:dyDescent="0.35">
      <c r="A2792" s="82">
        <v>2789</v>
      </c>
      <c r="B2792" s="89" t="str">
        <f>_xlfn.XLOOKUP(A2792,'Model Modeshare by TAZ'!A:A,'Model Modeshare by TAZ'!B:B)</f>
        <v>Unknown</v>
      </c>
      <c r="C2792" s="90" t="str">
        <f>_xlfn.XLOOKUP(A2792,'Model Modeshare by TAZ'!A:A,'Model Modeshare by TAZ'!D:D)</f>
        <v>NO</v>
      </c>
      <c r="D2792" s="27">
        <v>0</v>
      </c>
      <c r="E2792" s="27">
        <v>0</v>
      </c>
      <c r="F2792" s="27">
        <v>0</v>
      </c>
      <c r="G2792" s="27">
        <v>0</v>
      </c>
      <c r="H2792" s="27">
        <v>0</v>
      </c>
      <c r="I2792" s="27">
        <v>0</v>
      </c>
      <c r="J2792" s="6" t="b">
        <v>0</v>
      </c>
      <c r="K2792" s="6" t="b">
        <v>0</v>
      </c>
      <c r="L2792" s="27">
        <v>0</v>
      </c>
      <c r="M2792" s="27">
        <v>0</v>
      </c>
      <c r="N2792" s="34">
        <v>0</v>
      </c>
    </row>
    <row r="2793" spans="1:14" x14ac:dyDescent="0.35">
      <c r="A2793" s="82">
        <v>2790</v>
      </c>
      <c r="B2793" s="89" t="str">
        <f>_xlfn.XLOOKUP(A2793,'Model Modeshare by TAZ'!A:A,'Model Modeshare by TAZ'!B:B)</f>
        <v>Unknown</v>
      </c>
      <c r="C2793" s="90" t="str">
        <f>_xlfn.XLOOKUP(A2793,'Model Modeshare by TAZ'!A:A,'Model Modeshare by TAZ'!D:D)</f>
        <v>NO</v>
      </c>
      <c r="D2793" s="27">
        <v>0</v>
      </c>
      <c r="E2793" s="27">
        <v>0</v>
      </c>
      <c r="F2793" s="27">
        <v>0</v>
      </c>
      <c r="G2793" s="27">
        <v>0</v>
      </c>
      <c r="H2793" s="27">
        <v>0</v>
      </c>
      <c r="I2793" s="27">
        <v>0</v>
      </c>
      <c r="J2793" s="6" t="b">
        <v>0</v>
      </c>
      <c r="K2793" s="6" t="b">
        <v>0</v>
      </c>
      <c r="L2793" s="27">
        <v>0</v>
      </c>
      <c r="M2793" s="27">
        <v>0</v>
      </c>
      <c r="N2793" s="34">
        <v>0</v>
      </c>
    </row>
    <row r="2794" spans="1:14" x14ac:dyDescent="0.35">
      <c r="A2794" s="82">
        <v>2791</v>
      </c>
      <c r="B2794" s="89" t="str">
        <f>_xlfn.XLOOKUP(A2794,'Model Modeshare by TAZ'!A:A,'Model Modeshare by TAZ'!B:B)</f>
        <v>Unknown</v>
      </c>
      <c r="C2794" s="90" t="str">
        <f>_xlfn.XLOOKUP(A2794,'Model Modeshare by TAZ'!A:A,'Model Modeshare by TAZ'!D:D)</f>
        <v>NO</v>
      </c>
      <c r="D2794" s="27">
        <v>0</v>
      </c>
      <c r="E2794" s="27">
        <v>0</v>
      </c>
      <c r="F2794" s="27">
        <v>0</v>
      </c>
      <c r="G2794" s="27">
        <v>0</v>
      </c>
      <c r="H2794" s="27">
        <v>0</v>
      </c>
      <c r="I2794" s="27">
        <v>0</v>
      </c>
      <c r="J2794" s="6" t="b">
        <v>0</v>
      </c>
      <c r="K2794" s="6" t="b">
        <v>0</v>
      </c>
      <c r="L2794" s="27">
        <v>0</v>
      </c>
      <c r="M2794" s="27">
        <v>0</v>
      </c>
      <c r="N2794" s="34">
        <v>0</v>
      </c>
    </row>
    <row r="2795" spans="1:14" x14ac:dyDescent="0.35">
      <c r="A2795" s="82">
        <v>2792</v>
      </c>
      <c r="B2795" s="89" t="str">
        <f>_xlfn.XLOOKUP(A2795,'Model Modeshare by TAZ'!A:A,'Model Modeshare by TAZ'!B:B)</f>
        <v>Unknown</v>
      </c>
      <c r="C2795" s="90" t="str">
        <f>_xlfn.XLOOKUP(A2795,'Model Modeshare by TAZ'!A:A,'Model Modeshare by TAZ'!D:D)</f>
        <v>NO</v>
      </c>
      <c r="D2795" s="27">
        <v>0</v>
      </c>
      <c r="E2795" s="27">
        <v>0</v>
      </c>
      <c r="F2795" s="27">
        <v>0</v>
      </c>
      <c r="G2795" s="27">
        <v>0</v>
      </c>
      <c r="H2795" s="27">
        <v>0</v>
      </c>
      <c r="I2795" s="27">
        <v>0</v>
      </c>
      <c r="J2795" s="6" t="b">
        <v>0</v>
      </c>
      <c r="K2795" s="6" t="b">
        <v>0</v>
      </c>
      <c r="L2795" s="27">
        <v>0</v>
      </c>
      <c r="M2795" s="27">
        <v>0</v>
      </c>
      <c r="N2795" s="34">
        <v>0</v>
      </c>
    </row>
    <row r="2796" spans="1:14" x14ac:dyDescent="0.35">
      <c r="A2796" s="82">
        <v>2793</v>
      </c>
      <c r="B2796" s="89" t="str">
        <f>_xlfn.XLOOKUP(A2796,'Model Modeshare by TAZ'!A:A,'Model Modeshare by TAZ'!B:B)</f>
        <v>Unknown</v>
      </c>
      <c r="C2796" s="90" t="str">
        <f>_xlfn.XLOOKUP(A2796,'Model Modeshare by TAZ'!A:A,'Model Modeshare by TAZ'!D:D)</f>
        <v>NO</v>
      </c>
      <c r="D2796" s="27">
        <v>0</v>
      </c>
      <c r="E2796" s="27">
        <v>0</v>
      </c>
      <c r="F2796" s="27">
        <v>0</v>
      </c>
      <c r="G2796" s="27">
        <v>0</v>
      </c>
      <c r="H2796" s="27">
        <v>0</v>
      </c>
      <c r="I2796" s="27">
        <v>0</v>
      </c>
      <c r="J2796" s="6" t="b">
        <v>0</v>
      </c>
      <c r="K2796" s="6" t="b">
        <v>0</v>
      </c>
      <c r="L2796" s="27">
        <v>0</v>
      </c>
      <c r="M2796" s="27">
        <v>0</v>
      </c>
      <c r="N2796" s="34">
        <v>0</v>
      </c>
    </row>
    <row r="2797" spans="1:14" x14ac:dyDescent="0.35">
      <c r="A2797" s="82">
        <v>2794</v>
      </c>
      <c r="B2797" s="89" t="str">
        <f>_xlfn.XLOOKUP(A2797,'Model Modeshare by TAZ'!A:A,'Model Modeshare by TAZ'!B:B)</f>
        <v>Unknown</v>
      </c>
      <c r="C2797" s="90" t="str">
        <f>_xlfn.XLOOKUP(A2797,'Model Modeshare by TAZ'!A:A,'Model Modeshare by TAZ'!D:D)</f>
        <v>NO</v>
      </c>
      <c r="D2797" s="27">
        <v>0</v>
      </c>
      <c r="E2797" s="27">
        <v>0</v>
      </c>
      <c r="F2797" s="27">
        <v>0</v>
      </c>
      <c r="G2797" s="27">
        <v>0</v>
      </c>
      <c r="H2797" s="27">
        <v>0</v>
      </c>
      <c r="I2797" s="27">
        <v>0</v>
      </c>
      <c r="J2797" s="6" t="b">
        <v>0</v>
      </c>
      <c r="K2797" s="6" t="b">
        <v>0</v>
      </c>
      <c r="L2797" s="27">
        <v>0</v>
      </c>
      <c r="M2797" s="27">
        <v>0</v>
      </c>
      <c r="N2797" s="34">
        <v>0</v>
      </c>
    </row>
    <row r="2798" spans="1:14" x14ac:dyDescent="0.35">
      <c r="A2798" s="82">
        <v>2795</v>
      </c>
      <c r="B2798" s="89" t="str">
        <f>_xlfn.XLOOKUP(A2798,'Model Modeshare by TAZ'!A:A,'Model Modeshare by TAZ'!B:B)</f>
        <v>Unknown</v>
      </c>
      <c r="C2798" s="90" t="str">
        <f>_xlfn.XLOOKUP(A2798,'Model Modeshare by TAZ'!A:A,'Model Modeshare by TAZ'!D:D)</f>
        <v>NO</v>
      </c>
      <c r="D2798" s="27">
        <v>0</v>
      </c>
      <c r="E2798" s="27">
        <v>0</v>
      </c>
      <c r="F2798" s="27">
        <v>0</v>
      </c>
      <c r="G2798" s="27">
        <v>0</v>
      </c>
      <c r="H2798" s="27">
        <v>0</v>
      </c>
      <c r="I2798" s="27">
        <v>0</v>
      </c>
      <c r="J2798" s="6" t="b">
        <v>0</v>
      </c>
      <c r="K2798" s="6" t="b">
        <v>0</v>
      </c>
      <c r="L2798" s="27">
        <v>0</v>
      </c>
      <c r="M2798" s="27">
        <v>0</v>
      </c>
      <c r="N2798" s="34">
        <v>0</v>
      </c>
    </row>
    <row r="2799" spans="1:14" x14ac:dyDescent="0.35">
      <c r="A2799" s="82">
        <v>2796</v>
      </c>
      <c r="B2799" s="89" t="str">
        <f>_xlfn.XLOOKUP(A2799,'Model Modeshare by TAZ'!A:A,'Model Modeshare by TAZ'!B:B)</f>
        <v>Unknown</v>
      </c>
      <c r="C2799" s="90" t="str">
        <f>_xlfn.XLOOKUP(A2799,'Model Modeshare by TAZ'!A:A,'Model Modeshare by TAZ'!D:D)</f>
        <v>NO</v>
      </c>
      <c r="D2799" s="27">
        <v>0</v>
      </c>
      <c r="E2799" s="27">
        <v>0</v>
      </c>
      <c r="F2799" s="27">
        <v>0</v>
      </c>
      <c r="G2799" s="27">
        <v>0</v>
      </c>
      <c r="H2799" s="27">
        <v>0</v>
      </c>
      <c r="I2799" s="27">
        <v>0</v>
      </c>
      <c r="J2799" s="6" t="b">
        <v>0</v>
      </c>
      <c r="K2799" s="6" t="b">
        <v>0</v>
      </c>
      <c r="L2799" s="27">
        <v>0</v>
      </c>
      <c r="M2799" s="27">
        <v>0</v>
      </c>
      <c r="N2799" s="34">
        <v>0</v>
      </c>
    </row>
    <row r="2800" spans="1:14" x14ac:dyDescent="0.35">
      <c r="A2800" s="82">
        <v>2797</v>
      </c>
      <c r="B2800" s="89" t="str">
        <f>_xlfn.XLOOKUP(A2800,'Model Modeshare by TAZ'!A:A,'Model Modeshare by TAZ'!B:B)</f>
        <v>Unknown</v>
      </c>
      <c r="C2800" s="90" t="str">
        <f>_xlfn.XLOOKUP(A2800,'Model Modeshare by TAZ'!A:A,'Model Modeshare by TAZ'!D:D)</f>
        <v>NO</v>
      </c>
      <c r="D2800" s="27">
        <v>0</v>
      </c>
      <c r="E2800" s="27">
        <v>0</v>
      </c>
      <c r="F2800" s="27">
        <v>0</v>
      </c>
      <c r="G2800" s="27">
        <v>0</v>
      </c>
      <c r="H2800" s="27">
        <v>0</v>
      </c>
      <c r="I2800" s="27">
        <v>0</v>
      </c>
      <c r="J2800" s="6" t="b">
        <v>0</v>
      </c>
      <c r="K2800" s="6" t="b">
        <v>0</v>
      </c>
      <c r="L2800" s="27">
        <v>0</v>
      </c>
      <c r="M2800" s="27">
        <v>0</v>
      </c>
      <c r="N2800" s="34">
        <v>0</v>
      </c>
    </row>
    <row r="2801" spans="1:14" x14ac:dyDescent="0.35">
      <c r="A2801" s="82">
        <v>2798</v>
      </c>
      <c r="B2801" s="89" t="str">
        <f>_xlfn.XLOOKUP(A2801,'Model Modeshare by TAZ'!A:A,'Model Modeshare by TAZ'!B:B)</f>
        <v>Unknown</v>
      </c>
      <c r="C2801" s="90" t="str">
        <f>_xlfn.XLOOKUP(A2801,'Model Modeshare by TAZ'!A:A,'Model Modeshare by TAZ'!D:D)</f>
        <v>NO</v>
      </c>
      <c r="D2801" s="27">
        <v>0</v>
      </c>
      <c r="E2801" s="27">
        <v>0</v>
      </c>
      <c r="F2801" s="27">
        <v>0</v>
      </c>
      <c r="G2801" s="27">
        <v>0</v>
      </c>
      <c r="H2801" s="27">
        <v>0</v>
      </c>
      <c r="I2801" s="27">
        <v>0</v>
      </c>
      <c r="J2801" s="6" t="b">
        <v>0</v>
      </c>
      <c r="K2801" s="6" t="b">
        <v>0</v>
      </c>
      <c r="L2801" s="27">
        <v>0</v>
      </c>
      <c r="M2801" s="27">
        <v>0</v>
      </c>
      <c r="N2801" s="34">
        <v>0</v>
      </c>
    </row>
    <row r="2802" spans="1:14" x14ac:dyDescent="0.35">
      <c r="A2802" s="82">
        <v>2799</v>
      </c>
      <c r="B2802" s="89" t="str">
        <f>_xlfn.XLOOKUP(A2802,'Model Modeshare by TAZ'!A:A,'Model Modeshare by TAZ'!B:B)</f>
        <v>Unknown</v>
      </c>
      <c r="C2802" s="90" t="str">
        <f>_xlfn.XLOOKUP(A2802,'Model Modeshare by TAZ'!A:A,'Model Modeshare by TAZ'!D:D)</f>
        <v>NO</v>
      </c>
      <c r="D2802" s="27">
        <v>0</v>
      </c>
      <c r="E2802" s="27">
        <v>0</v>
      </c>
      <c r="F2802" s="27">
        <v>0</v>
      </c>
      <c r="G2802" s="27">
        <v>0</v>
      </c>
      <c r="H2802" s="27">
        <v>0</v>
      </c>
      <c r="I2802" s="27">
        <v>0</v>
      </c>
      <c r="J2802" s="6" t="b">
        <v>0</v>
      </c>
      <c r="K2802" s="6" t="b">
        <v>0</v>
      </c>
      <c r="L2802" s="27">
        <v>0</v>
      </c>
      <c r="M2802" s="27">
        <v>0</v>
      </c>
      <c r="N2802" s="34">
        <v>0</v>
      </c>
    </row>
    <row r="2803" spans="1:14" x14ac:dyDescent="0.35">
      <c r="A2803" s="82">
        <v>2800</v>
      </c>
      <c r="B2803" s="89" t="str">
        <f>_xlfn.XLOOKUP(A2803,'Model Modeshare by TAZ'!A:A,'Model Modeshare by TAZ'!B:B)</f>
        <v>Unknown</v>
      </c>
      <c r="C2803" s="90" t="str">
        <f>_xlfn.XLOOKUP(A2803,'Model Modeshare by TAZ'!A:A,'Model Modeshare by TAZ'!D:D)</f>
        <v>NO</v>
      </c>
      <c r="D2803" s="27">
        <v>0</v>
      </c>
      <c r="E2803" s="27">
        <v>0</v>
      </c>
      <c r="F2803" s="27">
        <v>0</v>
      </c>
      <c r="G2803" s="27">
        <v>0</v>
      </c>
      <c r="H2803" s="27">
        <v>0</v>
      </c>
      <c r="I2803" s="27">
        <v>0</v>
      </c>
      <c r="J2803" s="6" t="b">
        <v>0</v>
      </c>
      <c r="K2803" s="6" t="b">
        <v>0</v>
      </c>
      <c r="L2803" s="27">
        <v>0</v>
      </c>
      <c r="M2803" s="27">
        <v>0</v>
      </c>
      <c r="N2803" s="34">
        <v>0</v>
      </c>
    </row>
    <row r="2804" spans="1:14" x14ac:dyDescent="0.35">
      <c r="A2804" s="82">
        <v>2801</v>
      </c>
      <c r="B2804" s="89" t="str">
        <f>_xlfn.XLOOKUP(A2804,'Model Modeshare by TAZ'!A:A,'Model Modeshare by TAZ'!B:B)</f>
        <v>Unknown</v>
      </c>
      <c r="C2804" s="90" t="str">
        <f>_xlfn.XLOOKUP(A2804,'Model Modeshare by TAZ'!A:A,'Model Modeshare by TAZ'!D:D)</f>
        <v>NO</v>
      </c>
      <c r="D2804" s="27">
        <v>0</v>
      </c>
      <c r="E2804" s="27">
        <v>0</v>
      </c>
      <c r="F2804" s="27">
        <v>0</v>
      </c>
      <c r="G2804" s="27">
        <v>0</v>
      </c>
      <c r="H2804" s="27">
        <v>0</v>
      </c>
      <c r="I2804" s="27">
        <v>0</v>
      </c>
      <c r="J2804" s="6" t="b">
        <v>0</v>
      </c>
      <c r="K2804" s="6" t="b">
        <v>0</v>
      </c>
      <c r="L2804" s="27">
        <v>0</v>
      </c>
      <c r="M2804" s="27">
        <v>0</v>
      </c>
      <c r="N2804" s="34">
        <v>0</v>
      </c>
    </row>
    <row r="2805" spans="1:14" x14ac:dyDescent="0.35">
      <c r="A2805" s="82">
        <v>2802</v>
      </c>
      <c r="B2805" s="89" t="str">
        <f>_xlfn.XLOOKUP(A2805,'Model Modeshare by TAZ'!A:A,'Model Modeshare by TAZ'!B:B)</f>
        <v>Unknown</v>
      </c>
      <c r="C2805" s="90" t="str">
        <f>_xlfn.XLOOKUP(A2805,'Model Modeshare by TAZ'!A:A,'Model Modeshare by TAZ'!D:D)</f>
        <v>NO</v>
      </c>
      <c r="D2805" s="27">
        <v>0</v>
      </c>
      <c r="E2805" s="27">
        <v>0</v>
      </c>
      <c r="F2805" s="27">
        <v>0</v>
      </c>
      <c r="G2805" s="27">
        <v>0</v>
      </c>
      <c r="H2805" s="27">
        <v>0</v>
      </c>
      <c r="I2805" s="27">
        <v>0</v>
      </c>
      <c r="J2805" s="6" t="b">
        <v>0</v>
      </c>
      <c r="K2805" s="6" t="b">
        <v>0</v>
      </c>
      <c r="L2805" s="27">
        <v>0</v>
      </c>
      <c r="M2805" s="27">
        <v>0</v>
      </c>
      <c r="N2805" s="34">
        <v>0</v>
      </c>
    </row>
    <row r="2806" spans="1:14" x14ac:dyDescent="0.35">
      <c r="A2806" s="82">
        <v>2803</v>
      </c>
      <c r="B2806" s="89" t="str">
        <f>_xlfn.XLOOKUP(A2806,'Model Modeshare by TAZ'!A:A,'Model Modeshare by TAZ'!B:B)</f>
        <v>Unknown</v>
      </c>
      <c r="C2806" s="90" t="str">
        <f>_xlfn.XLOOKUP(A2806,'Model Modeshare by TAZ'!A:A,'Model Modeshare by TAZ'!D:D)</f>
        <v>NO</v>
      </c>
      <c r="D2806" s="27">
        <v>0</v>
      </c>
      <c r="E2806" s="27">
        <v>0</v>
      </c>
      <c r="F2806" s="27">
        <v>0</v>
      </c>
      <c r="G2806" s="27">
        <v>0</v>
      </c>
      <c r="H2806" s="27">
        <v>0</v>
      </c>
      <c r="I2806" s="27">
        <v>0</v>
      </c>
      <c r="J2806" s="6" t="b">
        <v>0</v>
      </c>
      <c r="K2806" s="6" t="b">
        <v>0</v>
      </c>
      <c r="L2806" s="27">
        <v>0</v>
      </c>
      <c r="M2806" s="27">
        <v>0</v>
      </c>
      <c r="N2806" s="34">
        <v>0</v>
      </c>
    </row>
    <row r="2807" spans="1:14" x14ac:dyDescent="0.35">
      <c r="A2807" s="82">
        <v>2804</v>
      </c>
      <c r="B2807" s="89" t="str">
        <f>_xlfn.XLOOKUP(A2807,'Model Modeshare by TAZ'!A:A,'Model Modeshare by TAZ'!B:B)</f>
        <v>Unknown</v>
      </c>
      <c r="C2807" s="90" t="str">
        <f>_xlfn.XLOOKUP(A2807,'Model Modeshare by TAZ'!A:A,'Model Modeshare by TAZ'!D:D)</f>
        <v>NO</v>
      </c>
      <c r="D2807" s="27">
        <v>0</v>
      </c>
      <c r="E2807" s="27">
        <v>0</v>
      </c>
      <c r="F2807" s="27">
        <v>0</v>
      </c>
      <c r="G2807" s="27">
        <v>0</v>
      </c>
      <c r="H2807" s="27">
        <v>0</v>
      </c>
      <c r="I2807" s="27">
        <v>0</v>
      </c>
      <c r="J2807" s="6" t="b">
        <v>0</v>
      </c>
      <c r="K2807" s="6" t="b">
        <v>0</v>
      </c>
      <c r="L2807" s="27">
        <v>0</v>
      </c>
      <c r="M2807" s="27">
        <v>0</v>
      </c>
      <c r="N2807" s="34">
        <v>0</v>
      </c>
    </row>
    <row r="2808" spans="1:14" x14ac:dyDescent="0.35">
      <c r="A2808" s="82">
        <v>2805</v>
      </c>
      <c r="B2808" s="89" t="str">
        <f>_xlfn.XLOOKUP(A2808,'Model Modeshare by TAZ'!A:A,'Model Modeshare by TAZ'!B:B)</f>
        <v>Unknown</v>
      </c>
      <c r="C2808" s="90" t="str">
        <f>_xlfn.XLOOKUP(A2808,'Model Modeshare by TAZ'!A:A,'Model Modeshare by TAZ'!D:D)</f>
        <v>NO</v>
      </c>
      <c r="D2808" s="27">
        <v>0</v>
      </c>
      <c r="E2808" s="27">
        <v>0</v>
      </c>
      <c r="F2808" s="27">
        <v>0</v>
      </c>
      <c r="G2808" s="27">
        <v>0</v>
      </c>
      <c r="H2808" s="27">
        <v>0</v>
      </c>
      <c r="I2808" s="27">
        <v>0</v>
      </c>
      <c r="J2808" s="6" t="b">
        <v>0</v>
      </c>
      <c r="K2808" s="6" t="b">
        <v>0</v>
      </c>
      <c r="L2808" s="27">
        <v>0</v>
      </c>
      <c r="M2808" s="27">
        <v>0</v>
      </c>
      <c r="N2808" s="34">
        <v>0</v>
      </c>
    </row>
    <row r="2809" spans="1:14" x14ac:dyDescent="0.35">
      <c r="A2809" s="82">
        <v>2806</v>
      </c>
      <c r="B2809" s="89" t="str">
        <f>_xlfn.XLOOKUP(A2809,'Model Modeshare by TAZ'!A:A,'Model Modeshare by TAZ'!B:B)</f>
        <v>Unknown</v>
      </c>
      <c r="C2809" s="90" t="str">
        <f>_xlfn.XLOOKUP(A2809,'Model Modeshare by TAZ'!A:A,'Model Modeshare by TAZ'!D:D)</f>
        <v>NO</v>
      </c>
      <c r="D2809" s="27">
        <v>0</v>
      </c>
      <c r="E2809" s="27">
        <v>0</v>
      </c>
      <c r="F2809" s="27">
        <v>0</v>
      </c>
      <c r="G2809" s="27">
        <v>0</v>
      </c>
      <c r="H2809" s="27">
        <v>0</v>
      </c>
      <c r="I2809" s="27">
        <v>0</v>
      </c>
      <c r="J2809" s="6" t="b">
        <v>0</v>
      </c>
      <c r="K2809" s="6" t="b">
        <v>0</v>
      </c>
      <c r="L2809" s="27">
        <v>0</v>
      </c>
      <c r="M2809" s="27">
        <v>0</v>
      </c>
      <c r="N2809" s="34">
        <v>0</v>
      </c>
    </row>
    <row r="2810" spans="1:14" x14ac:dyDescent="0.35">
      <c r="A2810" s="82">
        <v>2807</v>
      </c>
      <c r="B2810" s="89" t="str">
        <f>_xlfn.XLOOKUP(A2810,'Model Modeshare by TAZ'!A:A,'Model Modeshare by TAZ'!B:B)</f>
        <v>Unknown</v>
      </c>
      <c r="C2810" s="90" t="str">
        <f>_xlfn.XLOOKUP(A2810,'Model Modeshare by TAZ'!A:A,'Model Modeshare by TAZ'!D:D)</f>
        <v>NO</v>
      </c>
      <c r="D2810" s="27">
        <v>0</v>
      </c>
      <c r="E2810" s="27">
        <v>0</v>
      </c>
      <c r="F2810" s="27">
        <v>0</v>
      </c>
      <c r="G2810" s="27">
        <v>0</v>
      </c>
      <c r="H2810" s="27">
        <v>0</v>
      </c>
      <c r="I2810" s="27">
        <v>0</v>
      </c>
      <c r="J2810" s="6" t="b">
        <v>0</v>
      </c>
      <c r="K2810" s="6" t="b">
        <v>0</v>
      </c>
      <c r="L2810" s="27">
        <v>0</v>
      </c>
      <c r="M2810" s="27">
        <v>0</v>
      </c>
      <c r="N2810" s="34">
        <v>0</v>
      </c>
    </row>
    <row r="2811" spans="1:14" x14ac:dyDescent="0.35">
      <c r="A2811" s="82">
        <v>2808</v>
      </c>
      <c r="B2811" s="89" t="str">
        <f>_xlfn.XLOOKUP(A2811,'Model Modeshare by TAZ'!A:A,'Model Modeshare by TAZ'!B:B)</f>
        <v>Unknown</v>
      </c>
      <c r="C2811" s="90" t="str">
        <f>_xlfn.XLOOKUP(A2811,'Model Modeshare by TAZ'!A:A,'Model Modeshare by TAZ'!D:D)</f>
        <v>NO</v>
      </c>
      <c r="D2811" s="27">
        <v>0</v>
      </c>
      <c r="E2811" s="27">
        <v>0</v>
      </c>
      <c r="F2811" s="27">
        <v>0</v>
      </c>
      <c r="G2811" s="27">
        <v>0</v>
      </c>
      <c r="H2811" s="27">
        <v>0</v>
      </c>
      <c r="I2811" s="27">
        <v>0</v>
      </c>
      <c r="J2811" s="6" t="b">
        <v>0</v>
      </c>
      <c r="K2811" s="6" t="b">
        <v>0</v>
      </c>
      <c r="L2811" s="27">
        <v>0</v>
      </c>
      <c r="M2811" s="27">
        <v>0</v>
      </c>
      <c r="N2811" s="34">
        <v>0</v>
      </c>
    </row>
    <row r="2812" spans="1:14" x14ac:dyDescent="0.35">
      <c r="A2812" s="82">
        <v>2809</v>
      </c>
      <c r="B2812" s="89" t="str">
        <f>_xlfn.XLOOKUP(A2812,'Model Modeshare by TAZ'!A:A,'Model Modeshare by TAZ'!B:B)</f>
        <v>Unknown</v>
      </c>
      <c r="C2812" s="90" t="str">
        <f>_xlfn.XLOOKUP(A2812,'Model Modeshare by TAZ'!A:A,'Model Modeshare by TAZ'!D:D)</f>
        <v>NO</v>
      </c>
      <c r="D2812" s="27">
        <v>0</v>
      </c>
      <c r="E2812" s="27">
        <v>0</v>
      </c>
      <c r="F2812" s="27">
        <v>0</v>
      </c>
      <c r="G2812" s="27">
        <v>0</v>
      </c>
      <c r="H2812" s="27">
        <v>0</v>
      </c>
      <c r="I2812" s="27">
        <v>0</v>
      </c>
      <c r="J2812" s="6" t="b">
        <v>0</v>
      </c>
      <c r="K2812" s="6" t="b">
        <v>0</v>
      </c>
      <c r="L2812" s="27">
        <v>0</v>
      </c>
      <c r="M2812" s="27">
        <v>0</v>
      </c>
      <c r="N2812" s="34">
        <v>0</v>
      </c>
    </row>
    <row r="2813" spans="1:14" x14ac:dyDescent="0.35">
      <c r="A2813" s="82">
        <v>2810</v>
      </c>
      <c r="B2813" s="89" t="str">
        <f>_xlfn.XLOOKUP(A2813,'Model Modeshare by TAZ'!A:A,'Model Modeshare by TAZ'!B:B)</f>
        <v>Unknown</v>
      </c>
      <c r="C2813" s="90" t="str">
        <f>_xlfn.XLOOKUP(A2813,'Model Modeshare by TAZ'!A:A,'Model Modeshare by TAZ'!D:D)</f>
        <v>NO</v>
      </c>
      <c r="D2813" s="27">
        <v>0</v>
      </c>
      <c r="E2813" s="27">
        <v>0</v>
      </c>
      <c r="F2813" s="27">
        <v>0</v>
      </c>
      <c r="G2813" s="27">
        <v>0</v>
      </c>
      <c r="H2813" s="27">
        <v>0</v>
      </c>
      <c r="I2813" s="27">
        <v>0</v>
      </c>
      <c r="J2813" s="6" t="b">
        <v>0</v>
      </c>
      <c r="K2813" s="6" t="b">
        <v>0</v>
      </c>
      <c r="L2813" s="27">
        <v>0</v>
      </c>
      <c r="M2813" s="27">
        <v>0</v>
      </c>
      <c r="N2813" s="34">
        <v>0</v>
      </c>
    </row>
    <row r="2814" spans="1:14" x14ac:dyDescent="0.35">
      <c r="A2814" s="82">
        <v>2811</v>
      </c>
      <c r="B2814" s="89" t="str">
        <f>_xlfn.XLOOKUP(A2814,'Model Modeshare by TAZ'!A:A,'Model Modeshare by TAZ'!B:B)</f>
        <v>Unknown</v>
      </c>
      <c r="C2814" s="90" t="str">
        <f>_xlfn.XLOOKUP(A2814,'Model Modeshare by TAZ'!A:A,'Model Modeshare by TAZ'!D:D)</f>
        <v>NO</v>
      </c>
      <c r="D2814" s="27">
        <v>0</v>
      </c>
      <c r="E2814" s="27">
        <v>0</v>
      </c>
      <c r="F2814" s="27">
        <v>0</v>
      </c>
      <c r="G2814" s="27">
        <v>0</v>
      </c>
      <c r="H2814" s="27">
        <v>0</v>
      </c>
      <c r="I2814" s="27">
        <v>0</v>
      </c>
      <c r="J2814" s="6" t="b">
        <v>0</v>
      </c>
      <c r="K2814" s="6" t="b">
        <v>0</v>
      </c>
      <c r="L2814" s="27">
        <v>0</v>
      </c>
      <c r="M2814" s="27">
        <v>0</v>
      </c>
      <c r="N2814" s="34">
        <v>0</v>
      </c>
    </row>
    <row r="2815" spans="1:14" x14ac:dyDescent="0.35">
      <c r="A2815" s="82">
        <v>2812</v>
      </c>
      <c r="B2815" s="89" t="str">
        <f>_xlfn.XLOOKUP(A2815,'Model Modeshare by TAZ'!A:A,'Model Modeshare by TAZ'!B:B)</f>
        <v>Unknown</v>
      </c>
      <c r="C2815" s="90" t="str">
        <f>_xlfn.XLOOKUP(A2815,'Model Modeshare by TAZ'!A:A,'Model Modeshare by TAZ'!D:D)</f>
        <v>NO</v>
      </c>
      <c r="D2815" s="27">
        <v>0</v>
      </c>
      <c r="E2815" s="27">
        <v>0</v>
      </c>
      <c r="F2815" s="27">
        <v>0</v>
      </c>
      <c r="G2815" s="27">
        <v>0</v>
      </c>
      <c r="H2815" s="27">
        <v>0</v>
      </c>
      <c r="I2815" s="27">
        <v>0</v>
      </c>
      <c r="J2815" s="6" t="b">
        <v>0</v>
      </c>
      <c r="K2815" s="6" t="b">
        <v>0</v>
      </c>
      <c r="L2815" s="27">
        <v>0</v>
      </c>
      <c r="M2815" s="27">
        <v>0</v>
      </c>
      <c r="N2815" s="34">
        <v>0</v>
      </c>
    </row>
    <row r="2816" spans="1:14" x14ac:dyDescent="0.35">
      <c r="A2816" s="82">
        <v>2813</v>
      </c>
      <c r="B2816" s="89" t="str">
        <f>_xlfn.XLOOKUP(A2816,'Model Modeshare by TAZ'!A:A,'Model Modeshare by TAZ'!B:B)</f>
        <v>Unknown</v>
      </c>
      <c r="C2816" s="90" t="str">
        <f>_xlfn.XLOOKUP(A2816,'Model Modeshare by TAZ'!A:A,'Model Modeshare by TAZ'!D:D)</f>
        <v>NO</v>
      </c>
      <c r="D2816" s="27">
        <v>0</v>
      </c>
      <c r="E2816" s="27">
        <v>0</v>
      </c>
      <c r="F2816" s="27">
        <v>0</v>
      </c>
      <c r="G2816" s="27">
        <v>0</v>
      </c>
      <c r="H2816" s="27">
        <v>0</v>
      </c>
      <c r="I2816" s="27">
        <v>0</v>
      </c>
      <c r="J2816" s="6" t="b">
        <v>0</v>
      </c>
      <c r="K2816" s="6" t="b">
        <v>0</v>
      </c>
      <c r="L2816" s="27">
        <v>0</v>
      </c>
      <c r="M2816" s="27">
        <v>0</v>
      </c>
      <c r="N2816" s="34">
        <v>0</v>
      </c>
    </row>
    <row r="2817" spans="1:14" x14ac:dyDescent="0.35">
      <c r="A2817" s="82">
        <v>2814</v>
      </c>
      <c r="B2817" s="89" t="str">
        <f>_xlfn.XLOOKUP(A2817,'Model Modeshare by TAZ'!A:A,'Model Modeshare by TAZ'!B:B)</f>
        <v>Unknown</v>
      </c>
      <c r="C2817" s="90" t="str">
        <f>_xlfn.XLOOKUP(A2817,'Model Modeshare by TAZ'!A:A,'Model Modeshare by TAZ'!D:D)</f>
        <v>NO</v>
      </c>
      <c r="D2817" s="27">
        <v>0</v>
      </c>
      <c r="E2817" s="27">
        <v>0</v>
      </c>
      <c r="F2817" s="27">
        <v>0</v>
      </c>
      <c r="G2817" s="27">
        <v>0</v>
      </c>
      <c r="H2817" s="27">
        <v>0</v>
      </c>
      <c r="I2817" s="27">
        <v>0</v>
      </c>
      <c r="J2817" s="6" t="b">
        <v>0</v>
      </c>
      <c r="K2817" s="6" t="b">
        <v>0</v>
      </c>
      <c r="L2817" s="27">
        <v>0</v>
      </c>
      <c r="M2817" s="27">
        <v>0</v>
      </c>
      <c r="N2817" s="34">
        <v>0</v>
      </c>
    </row>
    <row r="2818" spans="1:14" x14ac:dyDescent="0.35">
      <c r="A2818" s="82">
        <v>2815</v>
      </c>
      <c r="B2818" s="89" t="str">
        <f>_xlfn.XLOOKUP(A2818,'Model Modeshare by TAZ'!A:A,'Model Modeshare by TAZ'!B:B)</f>
        <v>Unknown</v>
      </c>
      <c r="C2818" s="90" t="str">
        <f>_xlfn.XLOOKUP(A2818,'Model Modeshare by TAZ'!A:A,'Model Modeshare by TAZ'!D:D)</f>
        <v>NO</v>
      </c>
      <c r="D2818" s="27">
        <v>0</v>
      </c>
      <c r="E2818" s="27">
        <v>0</v>
      </c>
      <c r="F2818" s="27">
        <v>0</v>
      </c>
      <c r="G2818" s="27">
        <v>0</v>
      </c>
      <c r="H2818" s="27">
        <v>0</v>
      </c>
      <c r="I2818" s="27">
        <v>0</v>
      </c>
      <c r="J2818" s="6" t="b">
        <v>0</v>
      </c>
      <c r="K2818" s="6" t="b">
        <v>0</v>
      </c>
      <c r="L2818" s="27">
        <v>0</v>
      </c>
      <c r="M2818" s="27">
        <v>0</v>
      </c>
      <c r="N2818" s="34">
        <v>0</v>
      </c>
    </row>
    <row r="2819" spans="1:14" x14ac:dyDescent="0.35">
      <c r="A2819" s="82">
        <v>2816</v>
      </c>
      <c r="B2819" s="89" t="str">
        <f>_xlfn.XLOOKUP(A2819,'Model Modeshare by TAZ'!A:A,'Model Modeshare by TAZ'!B:B)</f>
        <v>Unknown</v>
      </c>
      <c r="C2819" s="90" t="str">
        <f>_xlfn.XLOOKUP(A2819,'Model Modeshare by TAZ'!A:A,'Model Modeshare by TAZ'!D:D)</f>
        <v>NO</v>
      </c>
      <c r="D2819" s="27">
        <v>0</v>
      </c>
      <c r="E2819" s="27">
        <v>0</v>
      </c>
      <c r="F2819" s="27">
        <v>0</v>
      </c>
      <c r="G2819" s="27">
        <v>0</v>
      </c>
      <c r="H2819" s="27">
        <v>0</v>
      </c>
      <c r="I2819" s="27">
        <v>0</v>
      </c>
      <c r="J2819" s="6" t="b">
        <v>0</v>
      </c>
      <c r="K2819" s="6" t="b">
        <v>0</v>
      </c>
      <c r="L2819" s="27">
        <v>0</v>
      </c>
      <c r="M2819" s="27">
        <v>0</v>
      </c>
      <c r="N2819" s="34">
        <v>0</v>
      </c>
    </row>
    <row r="2820" spans="1:14" x14ac:dyDescent="0.35">
      <c r="A2820" s="82">
        <v>2817</v>
      </c>
      <c r="B2820" s="89" t="str">
        <f>_xlfn.XLOOKUP(A2820,'Model Modeshare by TAZ'!A:A,'Model Modeshare by TAZ'!B:B)</f>
        <v>Unknown</v>
      </c>
      <c r="C2820" s="90" t="str">
        <f>_xlfn.XLOOKUP(A2820,'Model Modeshare by TAZ'!A:A,'Model Modeshare by TAZ'!D:D)</f>
        <v>NO</v>
      </c>
      <c r="D2820" s="27">
        <v>0</v>
      </c>
      <c r="E2820" s="27">
        <v>0</v>
      </c>
      <c r="F2820" s="27">
        <v>0</v>
      </c>
      <c r="G2820" s="27">
        <v>0</v>
      </c>
      <c r="H2820" s="27">
        <v>0</v>
      </c>
      <c r="I2820" s="27">
        <v>0</v>
      </c>
      <c r="J2820" s="6" t="b">
        <v>0</v>
      </c>
      <c r="K2820" s="6" t="b">
        <v>0</v>
      </c>
      <c r="L2820" s="27">
        <v>0</v>
      </c>
      <c r="M2820" s="27">
        <v>0</v>
      </c>
      <c r="N2820" s="34">
        <v>0</v>
      </c>
    </row>
    <row r="2821" spans="1:14" x14ac:dyDescent="0.35">
      <c r="A2821" s="82">
        <v>2818</v>
      </c>
      <c r="B2821" s="89" t="str">
        <f>_xlfn.XLOOKUP(A2821,'Model Modeshare by TAZ'!A:A,'Model Modeshare by TAZ'!B:B)</f>
        <v>Unknown</v>
      </c>
      <c r="C2821" s="90" t="str">
        <f>_xlfn.XLOOKUP(A2821,'Model Modeshare by TAZ'!A:A,'Model Modeshare by TAZ'!D:D)</f>
        <v>NO</v>
      </c>
      <c r="D2821" s="27">
        <v>0</v>
      </c>
      <c r="E2821" s="27">
        <v>0</v>
      </c>
      <c r="F2821" s="27">
        <v>0</v>
      </c>
      <c r="G2821" s="27">
        <v>0</v>
      </c>
      <c r="H2821" s="27">
        <v>0</v>
      </c>
      <c r="I2821" s="27">
        <v>0</v>
      </c>
      <c r="J2821" s="6" t="b">
        <v>0</v>
      </c>
      <c r="K2821" s="6" t="b">
        <v>0</v>
      </c>
      <c r="L2821" s="27">
        <v>0</v>
      </c>
      <c r="M2821" s="27">
        <v>0</v>
      </c>
      <c r="N2821" s="34">
        <v>0</v>
      </c>
    </row>
    <row r="2822" spans="1:14" x14ac:dyDescent="0.35">
      <c r="A2822" s="82">
        <v>2819</v>
      </c>
      <c r="B2822" s="89" t="str">
        <f>_xlfn.XLOOKUP(A2822,'Model Modeshare by TAZ'!A:A,'Model Modeshare by TAZ'!B:B)</f>
        <v>Unknown</v>
      </c>
      <c r="C2822" s="90" t="str">
        <f>_xlfn.XLOOKUP(A2822,'Model Modeshare by TAZ'!A:A,'Model Modeshare by TAZ'!D:D)</f>
        <v>NO</v>
      </c>
      <c r="D2822" s="27">
        <v>0</v>
      </c>
      <c r="E2822" s="27">
        <v>0</v>
      </c>
      <c r="F2822" s="27">
        <v>0</v>
      </c>
      <c r="G2822" s="27">
        <v>0</v>
      </c>
      <c r="H2822" s="27">
        <v>0</v>
      </c>
      <c r="I2822" s="27">
        <v>0</v>
      </c>
      <c r="J2822" s="6" t="b">
        <v>0</v>
      </c>
      <c r="K2822" s="6" t="b">
        <v>0</v>
      </c>
      <c r="L2822" s="27">
        <v>0</v>
      </c>
      <c r="M2822" s="27">
        <v>0</v>
      </c>
      <c r="N2822" s="34">
        <v>0</v>
      </c>
    </row>
    <row r="2823" spans="1:14" x14ac:dyDescent="0.35">
      <c r="A2823" s="82">
        <v>2820</v>
      </c>
      <c r="B2823" s="89" t="str">
        <f>_xlfn.XLOOKUP(A2823,'Model Modeshare by TAZ'!A:A,'Model Modeshare by TAZ'!B:B)</f>
        <v>Unknown</v>
      </c>
      <c r="C2823" s="90" t="str">
        <f>_xlfn.XLOOKUP(A2823,'Model Modeshare by TAZ'!A:A,'Model Modeshare by TAZ'!D:D)</f>
        <v>NO</v>
      </c>
      <c r="D2823" s="27">
        <v>0</v>
      </c>
      <c r="E2823" s="27">
        <v>0</v>
      </c>
      <c r="F2823" s="27">
        <v>0</v>
      </c>
      <c r="G2823" s="27">
        <v>0</v>
      </c>
      <c r="H2823" s="27">
        <v>0</v>
      </c>
      <c r="I2823" s="27">
        <v>0</v>
      </c>
      <c r="J2823" s="6" t="b">
        <v>0</v>
      </c>
      <c r="K2823" s="6" t="b">
        <v>0</v>
      </c>
      <c r="L2823" s="27">
        <v>0</v>
      </c>
      <c r="M2823" s="27">
        <v>0</v>
      </c>
      <c r="N2823" s="34">
        <v>0</v>
      </c>
    </row>
    <row r="2824" spans="1:14" x14ac:dyDescent="0.35">
      <c r="A2824" s="82">
        <v>2821</v>
      </c>
      <c r="B2824" s="89" t="str">
        <f>_xlfn.XLOOKUP(A2824,'Model Modeshare by TAZ'!A:A,'Model Modeshare by TAZ'!B:B)</f>
        <v>Unknown</v>
      </c>
      <c r="C2824" s="90" t="str">
        <f>_xlfn.XLOOKUP(A2824,'Model Modeshare by TAZ'!A:A,'Model Modeshare by TAZ'!D:D)</f>
        <v>NO</v>
      </c>
      <c r="D2824" s="27">
        <v>0</v>
      </c>
      <c r="E2824" s="27">
        <v>0</v>
      </c>
      <c r="F2824" s="27">
        <v>0</v>
      </c>
      <c r="G2824" s="27">
        <v>0</v>
      </c>
      <c r="H2824" s="27">
        <v>0</v>
      </c>
      <c r="I2824" s="27">
        <v>0</v>
      </c>
      <c r="J2824" s="6" t="b">
        <v>0</v>
      </c>
      <c r="K2824" s="6" t="b">
        <v>0</v>
      </c>
      <c r="L2824" s="27">
        <v>0</v>
      </c>
      <c r="M2824" s="27">
        <v>0</v>
      </c>
      <c r="N2824" s="34">
        <v>0</v>
      </c>
    </row>
    <row r="2825" spans="1:14" x14ac:dyDescent="0.35">
      <c r="A2825" s="82">
        <v>2822</v>
      </c>
      <c r="B2825" s="89" t="str">
        <f>_xlfn.XLOOKUP(A2825,'Model Modeshare by TAZ'!A:A,'Model Modeshare by TAZ'!B:B)</f>
        <v>Unknown</v>
      </c>
      <c r="C2825" s="90" t="str">
        <f>_xlfn.XLOOKUP(A2825,'Model Modeshare by TAZ'!A:A,'Model Modeshare by TAZ'!D:D)</f>
        <v>NO</v>
      </c>
      <c r="D2825" s="27">
        <v>0</v>
      </c>
      <c r="E2825" s="27">
        <v>0</v>
      </c>
      <c r="F2825" s="27">
        <v>0</v>
      </c>
      <c r="G2825" s="27">
        <v>0</v>
      </c>
      <c r="H2825" s="27">
        <v>0</v>
      </c>
      <c r="I2825" s="27">
        <v>0</v>
      </c>
      <c r="J2825" s="6" t="b">
        <v>0</v>
      </c>
      <c r="K2825" s="6" t="b">
        <v>0</v>
      </c>
      <c r="L2825" s="27">
        <v>0</v>
      </c>
      <c r="M2825" s="27">
        <v>0</v>
      </c>
      <c r="N2825" s="34">
        <v>0</v>
      </c>
    </row>
    <row r="2826" spans="1:14" x14ac:dyDescent="0.35">
      <c r="A2826" s="82">
        <v>2823</v>
      </c>
      <c r="B2826" s="89" t="str">
        <f>_xlfn.XLOOKUP(A2826,'Model Modeshare by TAZ'!A:A,'Model Modeshare by TAZ'!B:B)</f>
        <v>Unknown</v>
      </c>
      <c r="C2826" s="90" t="str">
        <f>_xlfn.XLOOKUP(A2826,'Model Modeshare by TAZ'!A:A,'Model Modeshare by TAZ'!D:D)</f>
        <v>NO</v>
      </c>
      <c r="D2826" s="27">
        <v>0</v>
      </c>
      <c r="E2826" s="27">
        <v>0</v>
      </c>
      <c r="F2826" s="27">
        <v>0</v>
      </c>
      <c r="G2826" s="27">
        <v>0</v>
      </c>
      <c r="H2826" s="27">
        <v>0</v>
      </c>
      <c r="I2826" s="27">
        <v>0</v>
      </c>
      <c r="J2826" s="6" t="b">
        <v>0</v>
      </c>
      <c r="K2826" s="6" t="b">
        <v>0</v>
      </c>
      <c r="L2826" s="27">
        <v>0</v>
      </c>
      <c r="M2826" s="27">
        <v>0</v>
      </c>
      <c r="N2826" s="34">
        <v>0</v>
      </c>
    </row>
    <row r="2827" spans="1:14" x14ac:dyDescent="0.35">
      <c r="A2827" s="82">
        <v>2824</v>
      </c>
      <c r="B2827" s="89" t="str">
        <f>_xlfn.XLOOKUP(A2827,'Model Modeshare by TAZ'!A:A,'Model Modeshare by TAZ'!B:B)</f>
        <v>Unknown</v>
      </c>
      <c r="C2827" s="90" t="str">
        <f>_xlfn.XLOOKUP(A2827,'Model Modeshare by TAZ'!A:A,'Model Modeshare by TAZ'!D:D)</f>
        <v>NO</v>
      </c>
      <c r="D2827" s="27">
        <v>0</v>
      </c>
      <c r="E2827" s="27">
        <v>0</v>
      </c>
      <c r="F2827" s="27">
        <v>0</v>
      </c>
      <c r="G2827" s="27">
        <v>0</v>
      </c>
      <c r="H2827" s="27">
        <v>0</v>
      </c>
      <c r="I2827" s="27">
        <v>0</v>
      </c>
      <c r="J2827" s="6" t="b">
        <v>0</v>
      </c>
      <c r="K2827" s="6" t="b">
        <v>0</v>
      </c>
      <c r="L2827" s="27">
        <v>0</v>
      </c>
      <c r="M2827" s="27">
        <v>0</v>
      </c>
      <c r="N2827" s="34">
        <v>0</v>
      </c>
    </row>
    <row r="2828" spans="1:14" x14ac:dyDescent="0.35">
      <c r="A2828" s="82">
        <v>2825</v>
      </c>
      <c r="B2828" s="89" t="str">
        <f>_xlfn.XLOOKUP(A2828,'Model Modeshare by TAZ'!A:A,'Model Modeshare by TAZ'!B:B)</f>
        <v>Unknown</v>
      </c>
      <c r="C2828" s="90" t="str">
        <f>_xlfn.XLOOKUP(A2828,'Model Modeshare by TAZ'!A:A,'Model Modeshare by TAZ'!D:D)</f>
        <v>NO</v>
      </c>
      <c r="D2828" s="27">
        <v>0</v>
      </c>
      <c r="E2828" s="27">
        <v>0</v>
      </c>
      <c r="F2828" s="27">
        <v>0</v>
      </c>
      <c r="G2828" s="27">
        <v>0</v>
      </c>
      <c r="H2828" s="27">
        <v>0</v>
      </c>
      <c r="I2828" s="27">
        <v>0</v>
      </c>
      <c r="J2828" s="6" t="b">
        <v>0</v>
      </c>
      <c r="K2828" s="6" t="b">
        <v>0</v>
      </c>
      <c r="L2828" s="27">
        <v>0</v>
      </c>
      <c r="M2828" s="27">
        <v>0</v>
      </c>
      <c r="N2828" s="34">
        <v>0</v>
      </c>
    </row>
    <row r="2829" spans="1:14" x14ac:dyDescent="0.35">
      <c r="A2829" s="82">
        <v>2826</v>
      </c>
      <c r="B2829" s="89" t="str">
        <f>_xlfn.XLOOKUP(A2829,'Model Modeshare by TAZ'!A:A,'Model Modeshare by TAZ'!B:B)</f>
        <v>Unknown</v>
      </c>
      <c r="C2829" s="90" t="str">
        <f>_xlfn.XLOOKUP(A2829,'Model Modeshare by TAZ'!A:A,'Model Modeshare by TAZ'!D:D)</f>
        <v>NO</v>
      </c>
      <c r="D2829" s="27">
        <v>0</v>
      </c>
      <c r="E2829" s="27">
        <v>0</v>
      </c>
      <c r="F2829" s="27">
        <v>0</v>
      </c>
      <c r="G2829" s="27">
        <v>0</v>
      </c>
      <c r="H2829" s="27">
        <v>0</v>
      </c>
      <c r="I2829" s="27">
        <v>0</v>
      </c>
      <c r="J2829" s="6" t="b">
        <v>0</v>
      </c>
      <c r="K2829" s="6" t="b">
        <v>0</v>
      </c>
      <c r="L2829" s="27">
        <v>0</v>
      </c>
      <c r="M2829" s="27">
        <v>0</v>
      </c>
      <c r="N2829" s="34">
        <v>0</v>
      </c>
    </row>
    <row r="2830" spans="1:14" x14ac:dyDescent="0.35">
      <c r="A2830" s="82">
        <v>2827</v>
      </c>
      <c r="B2830" s="89" t="str">
        <f>_xlfn.XLOOKUP(A2830,'Model Modeshare by TAZ'!A:A,'Model Modeshare by TAZ'!B:B)</f>
        <v>Unknown</v>
      </c>
      <c r="C2830" s="90" t="str">
        <f>_xlfn.XLOOKUP(A2830,'Model Modeshare by TAZ'!A:A,'Model Modeshare by TAZ'!D:D)</f>
        <v>NO</v>
      </c>
      <c r="D2830" s="27">
        <v>0</v>
      </c>
      <c r="E2830" s="27">
        <v>0</v>
      </c>
      <c r="F2830" s="27">
        <v>0</v>
      </c>
      <c r="G2830" s="27">
        <v>0</v>
      </c>
      <c r="H2830" s="27">
        <v>0</v>
      </c>
      <c r="I2830" s="27">
        <v>0</v>
      </c>
      <c r="J2830" s="6" t="b">
        <v>0</v>
      </c>
      <c r="K2830" s="6" t="b">
        <v>0</v>
      </c>
      <c r="L2830" s="27">
        <v>0</v>
      </c>
      <c r="M2830" s="27">
        <v>0</v>
      </c>
      <c r="N2830" s="34">
        <v>0</v>
      </c>
    </row>
    <row r="2831" spans="1:14" x14ac:dyDescent="0.35">
      <c r="A2831" s="82">
        <v>2828</v>
      </c>
      <c r="B2831" s="89" t="str">
        <f>_xlfn.XLOOKUP(A2831,'Model Modeshare by TAZ'!A:A,'Model Modeshare by TAZ'!B:B)</f>
        <v>Unknown</v>
      </c>
      <c r="C2831" s="90" t="str">
        <f>_xlfn.XLOOKUP(A2831,'Model Modeshare by TAZ'!A:A,'Model Modeshare by TAZ'!D:D)</f>
        <v>NO</v>
      </c>
      <c r="D2831" s="27">
        <v>0</v>
      </c>
      <c r="E2831" s="27">
        <v>0</v>
      </c>
      <c r="F2831" s="27">
        <v>0</v>
      </c>
      <c r="G2831" s="27">
        <v>0</v>
      </c>
      <c r="H2831" s="27">
        <v>0</v>
      </c>
      <c r="I2831" s="27">
        <v>0</v>
      </c>
      <c r="J2831" s="6" t="b">
        <v>0</v>
      </c>
      <c r="K2831" s="6" t="b">
        <v>0</v>
      </c>
      <c r="L2831" s="27">
        <v>0</v>
      </c>
      <c r="M2831" s="27">
        <v>0</v>
      </c>
      <c r="N2831" s="34">
        <v>0</v>
      </c>
    </row>
    <row r="2832" spans="1:14" x14ac:dyDescent="0.35">
      <c r="A2832" s="82">
        <v>2829</v>
      </c>
      <c r="B2832" s="89" t="str">
        <f>_xlfn.XLOOKUP(A2832,'Model Modeshare by TAZ'!A:A,'Model Modeshare by TAZ'!B:B)</f>
        <v>Unknown</v>
      </c>
      <c r="C2832" s="90" t="str">
        <f>_xlfn.XLOOKUP(A2832,'Model Modeshare by TAZ'!A:A,'Model Modeshare by TAZ'!D:D)</f>
        <v>NO</v>
      </c>
      <c r="D2832" s="27">
        <v>0</v>
      </c>
      <c r="E2832" s="27">
        <v>0</v>
      </c>
      <c r="F2832" s="27">
        <v>0</v>
      </c>
      <c r="G2832" s="27">
        <v>0</v>
      </c>
      <c r="H2832" s="27">
        <v>0</v>
      </c>
      <c r="I2832" s="27">
        <v>0</v>
      </c>
      <c r="J2832" s="6" t="b">
        <v>0</v>
      </c>
      <c r="K2832" s="6" t="b">
        <v>0</v>
      </c>
      <c r="L2832" s="27">
        <v>0</v>
      </c>
      <c r="M2832" s="27">
        <v>0</v>
      </c>
      <c r="N2832" s="34">
        <v>0</v>
      </c>
    </row>
    <row r="2833" spans="1:14" x14ac:dyDescent="0.35">
      <c r="A2833" s="82">
        <v>2830</v>
      </c>
      <c r="B2833" s="89" t="str">
        <f>_xlfn.XLOOKUP(A2833,'Model Modeshare by TAZ'!A:A,'Model Modeshare by TAZ'!B:B)</f>
        <v>Unknown</v>
      </c>
      <c r="C2833" s="90" t="str">
        <f>_xlfn.XLOOKUP(A2833,'Model Modeshare by TAZ'!A:A,'Model Modeshare by TAZ'!D:D)</f>
        <v>NO</v>
      </c>
      <c r="D2833" s="27">
        <v>0</v>
      </c>
      <c r="E2833" s="27">
        <v>0</v>
      </c>
      <c r="F2833" s="27">
        <v>0</v>
      </c>
      <c r="G2833" s="27">
        <v>0</v>
      </c>
      <c r="H2833" s="27">
        <v>0</v>
      </c>
      <c r="I2833" s="27">
        <v>0</v>
      </c>
      <c r="J2833" s="6" t="b">
        <v>0</v>
      </c>
      <c r="K2833" s="6" t="b">
        <v>0</v>
      </c>
      <c r="L2833" s="27">
        <v>0</v>
      </c>
      <c r="M2833" s="27">
        <v>0</v>
      </c>
      <c r="N2833" s="34">
        <v>0</v>
      </c>
    </row>
    <row r="2834" spans="1:14" x14ac:dyDescent="0.35">
      <c r="A2834" s="82">
        <v>2831</v>
      </c>
      <c r="B2834" s="89" t="str">
        <f>_xlfn.XLOOKUP(A2834,'Model Modeshare by TAZ'!A:A,'Model Modeshare by TAZ'!B:B)</f>
        <v>Unknown</v>
      </c>
      <c r="C2834" s="90" t="str">
        <f>_xlfn.XLOOKUP(A2834,'Model Modeshare by TAZ'!A:A,'Model Modeshare by TAZ'!D:D)</f>
        <v>NO</v>
      </c>
      <c r="D2834" s="27">
        <v>0</v>
      </c>
      <c r="E2834" s="27">
        <v>0</v>
      </c>
      <c r="F2834" s="27">
        <v>0</v>
      </c>
      <c r="G2834" s="27">
        <v>0</v>
      </c>
      <c r="H2834" s="27">
        <v>0</v>
      </c>
      <c r="I2834" s="27">
        <v>0</v>
      </c>
      <c r="J2834" s="6" t="b">
        <v>0</v>
      </c>
      <c r="K2834" s="6" t="b">
        <v>0</v>
      </c>
      <c r="L2834" s="27">
        <v>0</v>
      </c>
      <c r="M2834" s="27">
        <v>0</v>
      </c>
      <c r="N2834" s="34">
        <v>0</v>
      </c>
    </row>
    <row r="2835" spans="1:14" x14ac:dyDescent="0.35">
      <c r="A2835" s="82">
        <v>2832</v>
      </c>
      <c r="B2835" s="89" t="str">
        <f>_xlfn.XLOOKUP(A2835,'Model Modeshare by TAZ'!A:A,'Model Modeshare by TAZ'!B:B)</f>
        <v>Unknown</v>
      </c>
      <c r="C2835" s="90" t="str">
        <f>_xlfn.XLOOKUP(A2835,'Model Modeshare by TAZ'!A:A,'Model Modeshare by TAZ'!D:D)</f>
        <v>NO</v>
      </c>
      <c r="D2835" s="27">
        <v>0</v>
      </c>
      <c r="E2835" s="27">
        <v>0</v>
      </c>
      <c r="F2835" s="27">
        <v>0</v>
      </c>
      <c r="G2835" s="27">
        <v>0</v>
      </c>
      <c r="H2835" s="27">
        <v>0</v>
      </c>
      <c r="I2835" s="27">
        <v>0</v>
      </c>
      <c r="J2835" s="6" t="b">
        <v>0</v>
      </c>
      <c r="K2835" s="6" t="b">
        <v>0</v>
      </c>
      <c r="L2835" s="27">
        <v>0</v>
      </c>
      <c r="M2835" s="27">
        <v>0</v>
      </c>
      <c r="N2835" s="34">
        <v>0</v>
      </c>
    </row>
    <row r="2836" spans="1:14" x14ac:dyDescent="0.35">
      <c r="A2836" s="82">
        <v>2833</v>
      </c>
      <c r="B2836" s="89" t="str">
        <f>_xlfn.XLOOKUP(A2836,'Model Modeshare by TAZ'!A:A,'Model Modeshare by TAZ'!B:B)</f>
        <v>Unknown</v>
      </c>
      <c r="C2836" s="90" t="str">
        <f>_xlfn.XLOOKUP(A2836,'Model Modeshare by TAZ'!A:A,'Model Modeshare by TAZ'!D:D)</f>
        <v>NO</v>
      </c>
      <c r="D2836" s="27">
        <v>0</v>
      </c>
      <c r="E2836" s="27">
        <v>0</v>
      </c>
      <c r="F2836" s="27">
        <v>0</v>
      </c>
      <c r="G2836" s="27">
        <v>0</v>
      </c>
      <c r="H2836" s="27">
        <v>0</v>
      </c>
      <c r="I2836" s="27">
        <v>0</v>
      </c>
      <c r="J2836" s="6" t="b">
        <v>0</v>
      </c>
      <c r="K2836" s="6" t="b">
        <v>0</v>
      </c>
      <c r="L2836" s="27">
        <v>0</v>
      </c>
      <c r="M2836" s="27">
        <v>0</v>
      </c>
      <c r="N2836" s="34">
        <v>0</v>
      </c>
    </row>
    <row r="2837" spans="1:14" x14ac:dyDescent="0.35">
      <c r="A2837" s="82">
        <v>2834</v>
      </c>
      <c r="B2837" s="89" t="str">
        <f>_xlfn.XLOOKUP(A2837,'Model Modeshare by TAZ'!A:A,'Model Modeshare by TAZ'!B:B)</f>
        <v>Unknown</v>
      </c>
      <c r="C2837" s="90" t="str">
        <f>_xlfn.XLOOKUP(A2837,'Model Modeshare by TAZ'!A:A,'Model Modeshare by TAZ'!D:D)</f>
        <v>NO</v>
      </c>
      <c r="D2837" s="27">
        <v>0</v>
      </c>
      <c r="E2837" s="27">
        <v>0</v>
      </c>
      <c r="F2837" s="27">
        <v>0</v>
      </c>
      <c r="G2837" s="27">
        <v>0</v>
      </c>
      <c r="H2837" s="27">
        <v>0</v>
      </c>
      <c r="I2837" s="27">
        <v>0</v>
      </c>
      <c r="J2837" s="6" t="b">
        <v>0</v>
      </c>
      <c r="K2837" s="6" t="b">
        <v>0</v>
      </c>
      <c r="L2837" s="27">
        <v>0</v>
      </c>
      <c r="M2837" s="27">
        <v>0</v>
      </c>
      <c r="N2837" s="34">
        <v>0</v>
      </c>
    </row>
    <row r="2838" spans="1:14" x14ac:dyDescent="0.35">
      <c r="A2838" s="82">
        <v>2835</v>
      </c>
      <c r="B2838" s="89" t="str">
        <f>_xlfn.XLOOKUP(A2838,'Model Modeshare by TAZ'!A:A,'Model Modeshare by TAZ'!B:B)</f>
        <v>Unknown</v>
      </c>
      <c r="C2838" s="90" t="str">
        <f>_xlfn.XLOOKUP(A2838,'Model Modeshare by TAZ'!A:A,'Model Modeshare by TAZ'!D:D)</f>
        <v>NO</v>
      </c>
      <c r="D2838" s="27">
        <v>0</v>
      </c>
      <c r="E2838" s="27">
        <v>0</v>
      </c>
      <c r="F2838" s="27">
        <v>0</v>
      </c>
      <c r="G2838" s="27">
        <v>0</v>
      </c>
      <c r="H2838" s="27">
        <v>0</v>
      </c>
      <c r="I2838" s="27">
        <v>0</v>
      </c>
      <c r="J2838" s="6" t="b">
        <v>0</v>
      </c>
      <c r="K2838" s="6" t="b">
        <v>0</v>
      </c>
      <c r="L2838" s="27">
        <v>0</v>
      </c>
      <c r="M2838" s="27">
        <v>0</v>
      </c>
      <c r="N2838" s="34">
        <v>0</v>
      </c>
    </row>
    <row r="2839" spans="1:14" x14ac:dyDescent="0.35">
      <c r="A2839" s="82">
        <v>2836</v>
      </c>
      <c r="B2839" s="89" t="str">
        <f>_xlfn.XLOOKUP(A2839,'Model Modeshare by TAZ'!A:A,'Model Modeshare by TAZ'!B:B)</f>
        <v>Unknown</v>
      </c>
      <c r="C2839" s="90" t="str">
        <f>_xlfn.XLOOKUP(A2839,'Model Modeshare by TAZ'!A:A,'Model Modeshare by TAZ'!D:D)</f>
        <v>NO</v>
      </c>
      <c r="D2839" s="27">
        <v>0</v>
      </c>
      <c r="E2839" s="27">
        <v>0</v>
      </c>
      <c r="F2839" s="27">
        <v>0</v>
      </c>
      <c r="G2839" s="27">
        <v>0</v>
      </c>
      <c r="H2839" s="27">
        <v>0</v>
      </c>
      <c r="I2839" s="27">
        <v>0</v>
      </c>
      <c r="J2839" s="6" t="b">
        <v>0</v>
      </c>
      <c r="K2839" s="6" t="b">
        <v>0</v>
      </c>
      <c r="L2839" s="27">
        <v>0</v>
      </c>
      <c r="M2839" s="27">
        <v>0</v>
      </c>
      <c r="N2839" s="34">
        <v>0</v>
      </c>
    </row>
    <row r="2840" spans="1:14" x14ac:dyDescent="0.35">
      <c r="A2840" s="82">
        <v>2837</v>
      </c>
      <c r="B2840" s="89" t="str">
        <f>_xlfn.XLOOKUP(A2840,'Model Modeshare by TAZ'!A:A,'Model Modeshare by TAZ'!B:B)</f>
        <v>Unknown</v>
      </c>
      <c r="C2840" s="90" t="str">
        <f>_xlfn.XLOOKUP(A2840,'Model Modeshare by TAZ'!A:A,'Model Modeshare by TAZ'!D:D)</f>
        <v>NO</v>
      </c>
      <c r="D2840" s="27">
        <v>0</v>
      </c>
      <c r="E2840" s="27">
        <v>0</v>
      </c>
      <c r="F2840" s="27">
        <v>0</v>
      </c>
      <c r="G2840" s="27">
        <v>0</v>
      </c>
      <c r="H2840" s="27">
        <v>0</v>
      </c>
      <c r="I2840" s="27">
        <v>0</v>
      </c>
      <c r="J2840" s="6" t="b">
        <v>0</v>
      </c>
      <c r="K2840" s="6" t="b">
        <v>0</v>
      </c>
      <c r="L2840" s="27">
        <v>0</v>
      </c>
      <c r="M2840" s="27">
        <v>0</v>
      </c>
      <c r="N2840" s="34">
        <v>0</v>
      </c>
    </row>
    <row r="2841" spans="1:14" x14ac:dyDescent="0.35">
      <c r="A2841" s="82">
        <v>2838</v>
      </c>
      <c r="B2841" s="89" t="str">
        <f>_xlfn.XLOOKUP(A2841,'Model Modeshare by TAZ'!A:A,'Model Modeshare by TAZ'!B:B)</f>
        <v>Unknown</v>
      </c>
      <c r="C2841" s="90" t="str">
        <f>_xlfn.XLOOKUP(A2841,'Model Modeshare by TAZ'!A:A,'Model Modeshare by TAZ'!D:D)</f>
        <v>NO</v>
      </c>
      <c r="D2841" s="27">
        <v>0</v>
      </c>
      <c r="E2841" s="27">
        <v>0</v>
      </c>
      <c r="F2841" s="27">
        <v>0</v>
      </c>
      <c r="G2841" s="27">
        <v>0</v>
      </c>
      <c r="H2841" s="27">
        <v>0</v>
      </c>
      <c r="I2841" s="27">
        <v>0</v>
      </c>
      <c r="J2841" s="6" t="b">
        <v>0</v>
      </c>
      <c r="K2841" s="6" t="b">
        <v>0</v>
      </c>
      <c r="L2841" s="27">
        <v>0</v>
      </c>
      <c r="M2841" s="27">
        <v>0</v>
      </c>
      <c r="N2841" s="34">
        <v>0</v>
      </c>
    </row>
    <row r="2842" spans="1:14" x14ac:dyDescent="0.35">
      <c r="A2842" s="82">
        <v>2839</v>
      </c>
      <c r="B2842" s="89" t="str">
        <f>_xlfn.XLOOKUP(A2842,'Model Modeshare by TAZ'!A:A,'Model Modeshare by TAZ'!B:B)</f>
        <v>Unknown</v>
      </c>
      <c r="C2842" s="90" t="str">
        <f>_xlfn.XLOOKUP(A2842,'Model Modeshare by TAZ'!A:A,'Model Modeshare by TAZ'!D:D)</f>
        <v>NO</v>
      </c>
      <c r="D2842" s="27">
        <v>0</v>
      </c>
      <c r="E2842" s="27">
        <v>0</v>
      </c>
      <c r="F2842" s="27">
        <v>0</v>
      </c>
      <c r="G2842" s="27">
        <v>0</v>
      </c>
      <c r="H2842" s="27">
        <v>0</v>
      </c>
      <c r="I2842" s="27">
        <v>0</v>
      </c>
      <c r="J2842" s="6" t="b">
        <v>0</v>
      </c>
      <c r="K2842" s="6" t="b">
        <v>0</v>
      </c>
      <c r="L2842" s="27">
        <v>0</v>
      </c>
      <c r="M2842" s="27">
        <v>0</v>
      </c>
      <c r="N2842" s="34">
        <v>0</v>
      </c>
    </row>
    <row r="2843" spans="1:14" x14ac:dyDescent="0.35">
      <c r="A2843" s="82">
        <v>2840</v>
      </c>
      <c r="B2843" s="89" t="str">
        <f>_xlfn.XLOOKUP(A2843,'Model Modeshare by TAZ'!A:A,'Model Modeshare by TAZ'!B:B)</f>
        <v>Unknown</v>
      </c>
      <c r="C2843" s="90" t="str">
        <f>_xlfn.XLOOKUP(A2843,'Model Modeshare by TAZ'!A:A,'Model Modeshare by TAZ'!D:D)</f>
        <v>NO</v>
      </c>
      <c r="D2843" s="27">
        <v>0</v>
      </c>
      <c r="E2843" s="27">
        <v>0</v>
      </c>
      <c r="F2843" s="27">
        <v>0</v>
      </c>
      <c r="G2843" s="27">
        <v>0</v>
      </c>
      <c r="H2843" s="27">
        <v>0</v>
      </c>
      <c r="I2843" s="27">
        <v>0</v>
      </c>
      <c r="J2843" s="6" t="b">
        <v>0</v>
      </c>
      <c r="K2843" s="6" t="b">
        <v>0</v>
      </c>
      <c r="L2843" s="27">
        <v>0</v>
      </c>
      <c r="M2843" s="27">
        <v>0</v>
      </c>
      <c r="N2843" s="34">
        <v>0</v>
      </c>
    </row>
    <row r="2844" spans="1:14" x14ac:dyDescent="0.35">
      <c r="A2844" s="82">
        <v>2841</v>
      </c>
      <c r="B2844" s="89" t="str">
        <f>_xlfn.XLOOKUP(A2844,'Model Modeshare by TAZ'!A:A,'Model Modeshare by TAZ'!B:B)</f>
        <v>Unknown</v>
      </c>
      <c r="C2844" s="90" t="str">
        <f>_xlfn.XLOOKUP(A2844,'Model Modeshare by TAZ'!A:A,'Model Modeshare by TAZ'!D:D)</f>
        <v>NO</v>
      </c>
      <c r="D2844" s="27">
        <v>0</v>
      </c>
      <c r="E2844" s="27">
        <v>0</v>
      </c>
      <c r="F2844" s="27">
        <v>0</v>
      </c>
      <c r="G2844" s="27">
        <v>0</v>
      </c>
      <c r="H2844" s="27">
        <v>0</v>
      </c>
      <c r="I2844" s="27">
        <v>0</v>
      </c>
      <c r="J2844" s="6" t="b">
        <v>0</v>
      </c>
      <c r="K2844" s="6" t="b">
        <v>0</v>
      </c>
      <c r="L2844" s="27">
        <v>0</v>
      </c>
      <c r="M2844" s="27">
        <v>0</v>
      </c>
      <c r="N2844" s="34">
        <v>0</v>
      </c>
    </row>
    <row r="2845" spans="1:14" x14ac:dyDescent="0.35">
      <c r="A2845" s="82">
        <v>2842</v>
      </c>
      <c r="B2845" s="89" t="str">
        <f>_xlfn.XLOOKUP(A2845,'Model Modeshare by TAZ'!A:A,'Model Modeshare by TAZ'!B:B)</f>
        <v>Unknown</v>
      </c>
      <c r="C2845" s="90" t="str">
        <f>_xlfn.XLOOKUP(A2845,'Model Modeshare by TAZ'!A:A,'Model Modeshare by TAZ'!D:D)</f>
        <v>NO</v>
      </c>
      <c r="D2845" s="27">
        <v>0</v>
      </c>
      <c r="E2845" s="27">
        <v>0</v>
      </c>
      <c r="F2845" s="27">
        <v>0</v>
      </c>
      <c r="G2845" s="27">
        <v>0</v>
      </c>
      <c r="H2845" s="27">
        <v>0</v>
      </c>
      <c r="I2845" s="27">
        <v>0</v>
      </c>
      <c r="J2845" s="6" t="b">
        <v>0</v>
      </c>
      <c r="K2845" s="6" t="b">
        <v>0</v>
      </c>
      <c r="L2845" s="27">
        <v>0</v>
      </c>
      <c r="M2845" s="27">
        <v>0</v>
      </c>
      <c r="N2845" s="34">
        <v>0</v>
      </c>
    </row>
    <row r="2846" spans="1:14" x14ac:dyDescent="0.35">
      <c r="A2846" s="82">
        <v>2843</v>
      </c>
      <c r="B2846" s="89" t="str">
        <f>_xlfn.XLOOKUP(A2846,'Model Modeshare by TAZ'!A:A,'Model Modeshare by TAZ'!B:B)</f>
        <v>Unknown</v>
      </c>
      <c r="C2846" s="90" t="str">
        <f>_xlfn.XLOOKUP(A2846,'Model Modeshare by TAZ'!A:A,'Model Modeshare by TAZ'!D:D)</f>
        <v>NO</v>
      </c>
      <c r="D2846" s="27">
        <v>0</v>
      </c>
      <c r="E2846" s="27">
        <v>0</v>
      </c>
      <c r="F2846" s="27">
        <v>0</v>
      </c>
      <c r="G2846" s="27">
        <v>0</v>
      </c>
      <c r="H2846" s="27">
        <v>0</v>
      </c>
      <c r="I2846" s="27">
        <v>0</v>
      </c>
      <c r="J2846" s="6" t="b">
        <v>0</v>
      </c>
      <c r="K2846" s="6" t="b">
        <v>0</v>
      </c>
      <c r="L2846" s="27">
        <v>0</v>
      </c>
      <c r="M2846" s="27">
        <v>0</v>
      </c>
      <c r="N2846" s="34">
        <v>0</v>
      </c>
    </row>
    <row r="2847" spans="1:14" x14ac:dyDescent="0.35">
      <c r="A2847" s="82">
        <v>2844</v>
      </c>
      <c r="B2847" s="89" t="str">
        <f>_xlfn.XLOOKUP(A2847,'Model Modeshare by TAZ'!A:A,'Model Modeshare by TAZ'!B:B)</f>
        <v>Unknown</v>
      </c>
      <c r="C2847" s="90" t="str">
        <f>_xlfn.XLOOKUP(A2847,'Model Modeshare by TAZ'!A:A,'Model Modeshare by TAZ'!D:D)</f>
        <v>NO</v>
      </c>
      <c r="D2847" s="27">
        <v>0</v>
      </c>
      <c r="E2847" s="27">
        <v>0</v>
      </c>
      <c r="F2847" s="27">
        <v>0</v>
      </c>
      <c r="G2847" s="27">
        <v>0</v>
      </c>
      <c r="H2847" s="27">
        <v>0</v>
      </c>
      <c r="I2847" s="27">
        <v>0</v>
      </c>
      <c r="J2847" s="6" t="b">
        <v>0</v>
      </c>
      <c r="K2847" s="6" t="b">
        <v>0</v>
      </c>
      <c r="L2847" s="27">
        <v>0</v>
      </c>
      <c r="M2847" s="27">
        <v>0</v>
      </c>
      <c r="N2847" s="34">
        <v>0</v>
      </c>
    </row>
    <row r="2848" spans="1:14" x14ac:dyDescent="0.35">
      <c r="A2848" s="82">
        <v>2845</v>
      </c>
      <c r="B2848" s="89" t="str">
        <f>_xlfn.XLOOKUP(A2848,'Model Modeshare by TAZ'!A:A,'Model Modeshare by TAZ'!B:B)</f>
        <v>Unknown</v>
      </c>
      <c r="C2848" s="90" t="str">
        <f>_xlfn.XLOOKUP(A2848,'Model Modeshare by TAZ'!A:A,'Model Modeshare by TAZ'!D:D)</f>
        <v>NO</v>
      </c>
      <c r="D2848" s="27">
        <v>0</v>
      </c>
      <c r="E2848" s="27">
        <v>0</v>
      </c>
      <c r="F2848" s="27">
        <v>0</v>
      </c>
      <c r="G2848" s="27">
        <v>0</v>
      </c>
      <c r="H2848" s="27">
        <v>0</v>
      </c>
      <c r="I2848" s="27">
        <v>0</v>
      </c>
      <c r="J2848" s="6" t="b">
        <v>0</v>
      </c>
      <c r="K2848" s="6" t="b">
        <v>0</v>
      </c>
      <c r="L2848" s="27">
        <v>0</v>
      </c>
      <c r="M2848" s="27">
        <v>0</v>
      </c>
      <c r="N2848" s="34">
        <v>0</v>
      </c>
    </row>
    <row r="2849" spans="1:14" x14ac:dyDescent="0.35">
      <c r="A2849" s="82">
        <v>2846</v>
      </c>
      <c r="B2849" s="89" t="str">
        <f>_xlfn.XLOOKUP(A2849,'Model Modeshare by TAZ'!A:A,'Model Modeshare by TAZ'!B:B)</f>
        <v>Unknown</v>
      </c>
      <c r="C2849" s="90" t="str">
        <f>_xlfn.XLOOKUP(A2849,'Model Modeshare by TAZ'!A:A,'Model Modeshare by TAZ'!D:D)</f>
        <v>NO</v>
      </c>
      <c r="D2849" s="27">
        <v>0</v>
      </c>
      <c r="E2849" s="27">
        <v>0</v>
      </c>
      <c r="F2849" s="27">
        <v>0</v>
      </c>
      <c r="G2849" s="27">
        <v>0</v>
      </c>
      <c r="H2849" s="27">
        <v>0</v>
      </c>
      <c r="I2849" s="27">
        <v>0</v>
      </c>
      <c r="J2849" s="6" t="b">
        <v>0</v>
      </c>
      <c r="K2849" s="6" t="b">
        <v>0</v>
      </c>
      <c r="L2849" s="27">
        <v>0</v>
      </c>
      <c r="M2849" s="27">
        <v>0</v>
      </c>
      <c r="N2849" s="34">
        <v>0</v>
      </c>
    </row>
    <row r="2850" spans="1:14" x14ac:dyDescent="0.35">
      <c r="A2850" s="82">
        <v>2847</v>
      </c>
      <c r="B2850" s="89" t="str">
        <f>_xlfn.XLOOKUP(A2850,'Model Modeshare by TAZ'!A:A,'Model Modeshare by TAZ'!B:B)</f>
        <v>Unknown</v>
      </c>
      <c r="C2850" s="90" t="str">
        <f>_xlfn.XLOOKUP(A2850,'Model Modeshare by TAZ'!A:A,'Model Modeshare by TAZ'!D:D)</f>
        <v>NO</v>
      </c>
      <c r="D2850" s="27">
        <v>0</v>
      </c>
      <c r="E2850" s="27">
        <v>0</v>
      </c>
      <c r="F2850" s="27">
        <v>0</v>
      </c>
      <c r="G2850" s="27">
        <v>0</v>
      </c>
      <c r="H2850" s="27">
        <v>0</v>
      </c>
      <c r="I2850" s="27">
        <v>0</v>
      </c>
      <c r="J2850" s="6" t="b">
        <v>0</v>
      </c>
      <c r="K2850" s="6" t="b">
        <v>0</v>
      </c>
      <c r="L2850" s="27">
        <v>0</v>
      </c>
      <c r="M2850" s="27">
        <v>0</v>
      </c>
      <c r="N2850" s="34">
        <v>0</v>
      </c>
    </row>
    <row r="2851" spans="1:14" x14ac:dyDescent="0.35">
      <c r="A2851" s="82">
        <v>2848</v>
      </c>
      <c r="B2851" s="89" t="str">
        <f>_xlfn.XLOOKUP(A2851,'Model Modeshare by TAZ'!A:A,'Model Modeshare by TAZ'!B:B)</f>
        <v>Unknown</v>
      </c>
      <c r="C2851" s="90" t="str">
        <f>_xlfn.XLOOKUP(A2851,'Model Modeshare by TAZ'!A:A,'Model Modeshare by TAZ'!D:D)</f>
        <v>NO</v>
      </c>
      <c r="D2851" s="27">
        <v>0</v>
      </c>
      <c r="E2851" s="27">
        <v>0</v>
      </c>
      <c r="F2851" s="27">
        <v>0</v>
      </c>
      <c r="G2851" s="27">
        <v>0</v>
      </c>
      <c r="H2851" s="27">
        <v>0</v>
      </c>
      <c r="I2851" s="27">
        <v>0</v>
      </c>
      <c r="J2851" s="6" t="b">
        <v>0</v>
      </c>
      <c r="K2851" s="6" t="b">
        <v>0</v>
      </c>
      <c r="L2851" s="27">
        <v>0</v>
      </c>
      <c r="M2851" s="27">
        <v>0</v>
      </c>
      <c r="N2851" s="34">
        <v>0</v>
      </c>
    </row>
    <row r="2852" spans="1:14" x14ac:dyDescent="0.35">
      <c r="A2852" s="82">
        <v>2849</v>
      </c>
      <c r="B2852" s="89" t="str">
        <f>_xlfn.XLOOKUP(A2852,'Model Modeshare by TAZ'!A:A,'Model Modeshare by TAZ'!B:B)</f>
        <v>Unknown</v>
      </c>
      <c r="C2852" s="90" t="str">
        <f>_xlfn.XLOOKUP(A2852,'Model Modeshare by TAZ'!A:A,'Model Modeshare by TAZ'!D:D)</f>
        <v>NO</v>
      </c>
      <c r="D2852" s="27">
        <v>0</v>
      </c>
      <c r="E2852" s="27">
        <v>0</v>
      </c>
      <c r="F2852" s="27">
        <v>0</v>
      </c>
      <c r="G2852" s="27">
        <v>0</v>
      </c>
      <c r="H2852" s="27">
        <v>0</v>
      </c>
      <c r="I2852" s="27">
        <v>0</v>
      </c>
      <c r="J2852" s="6" t="b">
        <v>0</v>
      </c>
      <c r="K2852" s="6" t="b">
        <v>0</v>
      </c>
      <c r="L2852" s="27">
        <v>0</v>
      </c>
      <c r="M2852" s="27">
        <v>0</v>
      </c>
      <c r="N2852" s="34">
        <v>0</v>
      </c>
    </row>
    <row r="2853" spans="1:14" x14ac:dyDescent="0.35">
      <c r="A2853" s="82">
        <v>2850</v>
      </c>
      <c r="B2853" s="89" t="str">
        <f>_xlfn.XLOOKUP(A2853,'Model Modeshare by TAZ'!A:A,'Model Modeshare by TAZ'!B:B)</f>
        <v>Unknown</v>
      </c>
      <c r="C2853" s="90" t="str">
        <f>_xlfn.XLOOKUP(A2853,'Model Modeshare by TAZ'!A:A,'Model Modeshare by TAZ'!D:D)</f>
        <v>NO</v>
      </c>
      <c r="D2853" s="27">
        <v>0</v>
      </c>
      <c r="E2853" s="27">
        <v>0</v>
      </c>
      <c r="F2853" s="27">
        <v>0</v>
      </c>
      <c r="G2853" s="27">
        <v>0</v>
      </c>
      <c r="H2853" s="27">
        <v>0</v>
      </c>
      <c r="I2853" s="27">
        <v>0</v>
      </c>
      <c r="J2853" s="6" t="b">
        <v>0</v>
      </c>
      <c r="K2853" s="6" t="b">
        <v>0</v>
      </c>
      <c r="L2853" s="27">
        <v>0</v>
      </c>
      <c r="M2853" s="27">
        <v>0</v>
      </c>
      <c r="N2853" s="34">
        <v>0</v>
      </c>
    </row>
    <row r="2854" spans="1:14" x14ac:dyDescent="0.35">
      <c r="A2854" s="82">
        <v>2851</v>
      </c>
      <c r="B2854" s="89" t="str">
        <f>_xlfn.XLOOKUP(A2854,'Model Modeshare by TAZ'!A:A,'Model Modeshare by TAZ'!B:B)</f>
        <v>Unknown</v>
      </c>
      <c r="C2854" s="90" t="str">
        <f>_xlfn.XLOOKUP(A2854,'Model Modeshare by TAZ'!A:A,'Model Modeshare by TAZ'!D:D)</f>
        <v>NO</v>
      </c>
      <c r="D2854" s="27">
        <v>0</v>
      </c>
      <c r="E2854" s="27">
        <v>0</v>
      </c>
      <c r="F2854" s="27">
        <v>0</v>
      </c>
      <c r="G2854" s="27">
        <v>0</v>
      </c>
      <c r="H2854" s="27">
        <v>0</v>
      </c>
      <c r="I2854" s="27">
        <v>0</v>
      </c>
      <c r="J2854" s="6" t="b">
        <v>0</v>
      </c>
      <c r="K2854" s="6" t="b">
        <v>0</v>
      </c>
      <c r="L2854" s="27">
        <v>0</v>
      </c>
      <c r="M2854" s="27">
        <v>0</v>
      </c>
      <c r="N2854" s="34">
        <v>0</v>
      </c>
    </row>
    <row r="2855" spans="1:14" x14ac:dyDescent="0.35">
      <c r="A2855" s="82">
        <v>2852</v>
      </c>
      <c r="B2855" s="89" t="str">
        <f>_xlfn.XLOOKUP(A2855,'Model Modeshare by TAZ'!A:A,'Model Modeshare by TAZ'!B:B)</f>
        <v>Unknown</v>
      </c>
      <c r="C2855" s="90" t="str">
        <f>_xlfn.XLOOKUP(A2855,'Model Modeshare by TAZ'!A:A,'Model Modeshare by TAZ'!D:D)</f>
        <v>NO</v>
      </c>
      <c r="D2855" s="27">
        <v>0</v>
      </c>
      <c r="E2855" s="27">
        <v>0</v>
      </c>
      <c r="F2855" s="27">
        <v>0</v>
      </c>
      <c r="G2855" s="27">
        <v>0</v>
      </c>
      <c r="H2855" s="27">
        <v>0</v>
      </c>
      <c r="I2855" s="27">
        <v>0</v>
      </c>
      <c r="J2855" s="6" t="b">
        <v>0</v>
      </c>
      <c r="K2855" s="6" t="b">
        <v>0</v>
      </c>
      <c r="L2855" s="27">
        <v>0</v>
      </c>
      <c r="M2855" s="27">
        <v>0</v>
      </c>
      <c r="N2855" s="34">
        <v>0</v>
      </c>
    </row>
    <row r="2856" spans="1:14" x14ac:dyDescent="0.35">
      <c r="A2856" s="82">
        <v>2853</v>
      </c>
      <c r="B2856" s="89" t="str">
        <f>_xlfn.XLOOKUP(A2856,'Model Modeshare by TAZ'!A:A,'Model Modeshare by TAZ'!B:B)</f>
        <v>Unknown</v>
      </c>
      <c r="C2856" s="90" t="str">
        <f>_xlfn.XLOOKUP(A2856,'Model Modeshare by TAZ'!A:A,'Model Modeshare by TAZ'!D:D)</f>
        <v>NO</v>
      </c>
      <c r="D2856" s="27">
        <v>0</v>
      </c>
      <c r="E2856" s="27">
        <v>0</v>
      </c>
      <c r="F2856" s="27">
        <v>0</v>
      </c>
      <c r="G2856" s="27">
        <v>0</v>
      </c>
      <c r="H2856" s="27">
        <v>0</v>
      </c>
      <c r="I2856" s="27">
        <v>0</v>
      </c>
      <c r="J2856" s="6" t="b">
        <v>0</v>
      </c>
      <c r="K2856" s="6" t="b">
        <v>0</v>
      </c>
      <c r="L2856" s="27">
        <v>0</v>
      </c>
      <c r="M2856" s="27">
        <v>0</v>
      </c>
      <c r="N2856" s="34">
        <v>0</v>
      </c>
    </row>
    <row r="2857" spans="1:14" x14ac:dyDescent="0.35">
      <c r="A2857" s="82">
        <v>2854</v>
      </c>
      <c r="B2857" s="89" t="str">
        <f>_xlfn.XLOOKUP(A2857,'Model Modeshare by TAZ'!A:A,'Model Modeshare by TAZ'!B:B)</f>
        <v>Unknown</v>
      </c>
      <c r="C2857" s="90" t="str">
        <f>_xlfn.XLOOKUP(A2857,'Model Modeshare by TAZ'!A:A,'Model Modeshare by TAZ'!D:D)</f>
        <v>NO</v>
      </c>
      <c r="D2857" s="27">
        <v>0</v>
      </c>
      <c r="E2857" s="27">
        <v>0</v>
      </c>
      <c r="F2857" s="27">
        <v>0</v>
      </c>
      <c r="G2857" s="27">
        <v>0</v>
      </c>
      <c r="H2857" s="27">
        <v>0</v>
      </c>
      <c r="I2857" s="27">
        <v>0</v>
      </c>
      <c r="J2857" s="6" t="b">
        <v>0</v>
      </c>
      <c r="K2857" s="6" t="b">
        <v>0</v>
      </c>
      <c r="L2857" s="27">
        <v>0</v>
      </c>
      <c r="M2857" s="27">
        <v>0</v>
      </c>
      <c r="N2857" s="34">
        <v>0</v>
      </c>
    </row>
    <row r="2858" spans="1:14" x14ac:dyDescent="0.35">
      <c r="A2858" s="82">
        <v>2855</v>
      </c>
      <c r="B2858" s="89" t="str">
        <f>_xlfn.XLOOKUP(A2858,'Model Modeshare by TAZ'!A:A,'Model Modeshare by TAZ'!B:B)</f>
        <v>Unknown</v>
      </c>
      <c r="C2858" s="90" t="str">
        <f>_xlfn.XLOOKUP(A2858,'Model Modeshare by TAZ'!A:A,'Model Modeshare by TAZ'!D:D)</f>
        <v>NO</v>
      </c>
      <c r="D2858" s="27">
        <v>0</v>
      </c>
      <c r="E2858" s="27">
        <v>0</v>
      </c>
      <c r="F2858" s="27">
        <v>0</v>
      </c>
      <c r="G2858" s="27">
        <v>0</v>
      </c>
      <c r="H2858" s="27">
        <v>0</v>
      </c>
      <c r="I2858" s="27">
        <v>0</v>
      </c>
      <c r="J2858" s="6" t="b">
        <v>0</v>
      </c>
      <c r="K2858" s="6" t="b">
        <v>0</v>
      </c>
      <c r="L2858" s="27">
        <v>0</v>
      </c>
      <c r="M2858" s="27">
        <v>0</v>
      </c>
      <c r="N2858" s="34">
        <v>0</v>
      </c>
    </row>
    <row r="2859" spans="1:14" x14ac:dyDescent="0.35">
      <c r="A2859" s="82">
        <v>2856</v>
      </c>
      <c r="B2859" s="89" t="str">
        <f>_xlfn.XLOOKUP(A2859,'Model Modeshare by TAZ'!A:A,'Model Modeshare by TAZ'!B:B)</f>
        <v>Unknown</v>
      </c>
      <c r="C2859" s="90" t="str">
        <f>_xlfn.XLOOKUP(A2859,'Model Modeshare by TAZ'!A:A,'Model Modeshare by TAZ'!D:D)</f>
        <v>NO</v>
      </c>
      <c r="D2859" s="27">
        <v>0</v>
      </c>
      <c r="E2859" s="27">
        <v>0</v>
      </c>
      <c r="F2859" s="27">
        <v>0</v>
      </c>
      <c r="G2859" s="27">
        <v>0</v>
      </c>
      <c r="H2859" s="27">
        <v>0</v>
      </c>
      <c r="I2859" s="27">
        <v>0</v>
      </c>
      <c r="J2859" s="6" t="b">
        <v>0</v>
      </c>
      <c r="K2859" s="6" t="b">
        <v>0</v>
      </c>
      <c r="L2859" s="27">
        <v>0</v>
      </c>
      <c r="M2859" s="27">
        <v>0</v>
      </c>
      <c r="N2859" s="34">
        <v>0</v>
      </c>
    </row>
    <row r="2860" spans="1:14" x14ac:dyDescent="0.35">
      <c r="A2860" s="82">
        <v>2857</v>
      </c>
      <c r="B2860" s="89" t="str">
        <f>_xlfn.XLOOKUP(A2860,'Model Modeshare by TAZ'!A:A,'Model Modeshare by TAZ'!B:B)</f>
        <v>Unknown</v>
      </c>
      <c r="C2860" s="90" t="str">
        <f>_xlfn.XLOOKUP(A2860,'Model Modeshare by TAZ'!A:A,'Model Modeshare by TAZ'!D:D)</f>
        <v>NO</v>
      </c>
      <c r="D2860" s="27">
        <v>0</v>
      </c>
      <c r="E2860" s="27">
        <v>0</v>
      </c>
      <c r="F2860" s="27">
        <v>0</v>
      </c>
      <c r="G2860" s="27">
        <v>0</v>
      </c>
      <c r="H2860" s="27">
        <v>0</v>
      </c>
      <c r="I2860" s="27">
        <v>0</v>
      </c>
      <c r="J2860" s="6" t="b">
        <v>0</v>
      </c>
      <c r="K2860" s="6" t="b">
        <v>0</v>
      </c>
      <c r="L2860" s="27">
        <v>0</v>
      </c>
      <c r="M2860" s="27">
        <v>0</v>
      </c>
      <c r="N2860" s="34">
        <v>0</v>
      </c>
    </row>
    <row r="2861" spans="1:14" x14ac:dyDescent="0.35">
      <c r="A2861" s="82">
        <v>2858</v>
      </c>
      <c r="B2861" s="89" t="str">
        <f>_xlfn.XLOOKUP(A2861,'Model Modeshare by TAZ'!A:A,'Model Modeshare by TAZ'!B:B)</f>
        <v>Unknown</v>
      </c>
      <c r="C2861" s="90" t="str">
        <f>_xlfn.XLOOKUP(A2861,'Model Modeshare by TAZ'!A:A,'Model Modeshare by TAZ'!D:D)</f>
        <v>NO</v>
      </c>
      <c r="D2861" s="27">
        <v>0</v>
      </c>
      <c r="E2861" s="27">
        <v>0</v>
      </c>
      <c r="F2861" s="27">
        <v>0</v>
      </c>
      <c r="G2861" s="27">
        <v>0</v>
      </c>
      <c r="H2861" s="27">
        <v>0</v>
      </c>
      <c r="I2861" s="27">
        <v>0</v>
      </c>
      <c r="J2861" s="6" t="b">
        <v>0</v>
      </c>
      <c r="K2861" s="6" t="b">
        <v>0</v>
      </c>
      <c r="L2861" s="27">
        <v>0</v>
      </c>
      <c r="M2861" s="27">
        <v>0</v>
      </c>
      <c r="N2861" s="34">
        <v>0</v>
      </c>
    </row>
    <row r="2862" spans="1:14" x14ac:dyDescent="0.35">
      <c r="A2862" s="82">
        <v>2859</v>
      </c>
      <c r="B2862" s="89" t="str">
        <f>_xlfn.XLOOKUP(A2862,'Model Modeshare by TAZ'!A:A,'Model Modeshare by TAZ'!B:B)</f>
        <v>Unknown</v>
      </c>
      <c r="C2862" s="90" t="str">
        <f>_xlfn.XLOOKUP(A2862,'Model Modeshare by TAZ'!A:A,'Model Modeshare by TAZ'!D:D)</f>
        <v>NO</v>
      </c>
      <c r="D2862" s="27">
        <v>0</v>
      </c>
      <c r="E2862" s="27">
        <v>0</v>
      </c>
      <c r="F2862" s="27">
        <v>0</v>
      </c>
      <c r="G2862" s="27">
        <v>0</v>
      </c>
      <c r="H2862" s="27">
        <v>0</v>
      </c>
      <c r="I2862" s="27">
        <v>0</v>
      </c>
      <c r="J2862" s="6" t="b">
        <v>0</v>
      </c>
      <c r="K2862" s="6" t="b">
        <v>0</v>
      </c>
      <c r="L2862" s="27">
        <v>0</v>
      </c>
      <c r="M2862" s="27">
        <v>0</v>
      </c>
      <c r="N2862" s="34">
        <v>0</v>
      </c>
    </row>
    <row r="2863" spans="1:14" x14ac:dyDescent="0.35">
      <c r="A2863" s="82">
        <v>2860</v>
      </c>
      <c r="B2863" s="89" t="str">
        <f>_xlfn.XLOOKUP(A2863,'Model Modeshare by TAZ'!A:A,'Model Modeshare by TAZ'!B:B)</f>
        <v>Unknown</v>
      </c>
      <c r="C2863" s="90" t="str">
        <f>_xlfn.XLOOKUP(A2863,'Model Modeshare by TAZ'!A:A,'Model Modeshare by TAZ'!D:D)</f>
        <v>NO</v>
      </c>
      <c r="D2863" s="27">
        <v>0</v>
      </c>
      <c r="E2863" s="27">
        <v>0</v>
      </c>
      <c r="F2863" s="27">
        <v>0</v>
      </c>
      <c r="G2863" s="27">
        <v>0</v>
      </c>
      <c r="H2863" s="27">
        <v>0</v>
      </c>
      <c r="I2863" s="27">
        <v>0</v>
      </c>
      <c r="J2863" s="6" t="b">
        <v>0</v>
      </c>
      <c r="K2863" s="6" t="b">
        <v>0</v>
      </c>
      <c r="L2863" s="27">
        <v>0</v>
      </c>
      <c r="M2863" s="27">
        <v>0</v>
      </c>
      <c r="N2863" s="34">
        <v>0</v>
      </c>
    </row>
    <row r="2864" spans="1:14" x14ac:dyDescent="0.35">
      <c r="A2864" s="82">
        <v>2861</v>
      </c>
      <c r="B2864" s="89" t="str">
        <f>_xlfn.XLOOKUP(A2864,'Model Modeshare by TAZ'!A:A,'Model Modeshare by TAZ'!B:B)</f>
        <v>Unknown</v>
      </c>
      <c r="C2864" s="90" t="str">
        <f>_xlfn.XLOOKUP(A2864,'Model Modeshare by TAZ'!A:A,'Model Modeshare by TAZ'!D:D)</f>
        <v>NO</v>
      </c>
      <c r="D2864" s="27">
        <v>0</v>
      </c>
      <c r="E2864" s="27">
        <v>0</v>
      </c>
      <c r="F2864" s="27">
        <v>0</v>
      </c>
      <c r="G2864" s="27">
        <v>0</v>
      </c>
      <c r="H2864" s="27">
        <v>0</v>
      </c>
      <c r="I2864" s="27">
        <v>0</v>
      </c>
      <c r="J2864" s="6" t="b">
        <v>0</v>
      </c>
      <c r="K2864" s="6" t="b">
        <v>0</v>
      </c>
      <c r="L2864" s="27">
        <v>0</v>
      </c>
      <c r="M2864" s="27">
        <v>0</v>
      </c>
      <c r="N2864" s="34">
        <v>0</v>
      </c>
    </row>
    <row r="2865" spans="1:14" x14ac:dyDescent="0.35">
      <c r="A2865" s="82">
        <v>2862</v>
      </c>
      <c r="B2865" s="89" t="str">
        <f>_xlfn.XLOOKUP(A2865,'Model Modeshare by TAZ'!A:A,'Model Modeshare by TAZ'!B:B)</f>
        <v>Unknown</v>
      </c>
      <c r="C2865" s="90" t="str">
        <f>_xlfn.XLOOKUP(A2865,'Model Modeshare by TAZ'!A:A,'Model Modeshare by TAZ'!D:D)</f>
        <v>NO</v>
      </c>
      <c r="D2865" s="27">
        <v>0</v>
      </c>
      <c r="E2865" s="27">
        <v>0</v>
      </c>
      <c r="F2865" s="27">
        <v>0</v>
      </c>
      <c r="G2865" s="27">
        <v>0</v>
      </c>
      <c r="H2865" s="27">
        <v>0</v>
      </c>
      <c r="I2865" s="27">
        <v>0</v>
      </c>
      <c r="J2865" s="6" t="b">
        <v>0</v>
      </c>
      <c r="K2865" s="6" t="b">
        <v>0</v>
      </c>
      <c r="L2865" s="27">
        <v>0</v>
      </c>
      <c r="M2865" s="27">
        <v>0</v>
      </c>
      <c r="N2865" s="34">
        <v>0</v>
      </c>
    </row>
    <row r="2866" spans="1:14" x14ac:dyDescent="0.35">
      <c r="A2866" s="82">
        <v>2863</v>
      </c>
      <c r="B2866" s="89" t="str">
        <f>_xlfn.XLOOKUP(A2866,'Model Modeshare by TAZ'!A:A,'Model Modeshare by TAZ'!B:B)</f>
        <v>Unknown</v>
      </c>
      <c r="C2866" s="90" t="str">
        <f>_xlfn.XLOOKUP(A2866,'Model Modeshare by TAZ'!A:A,'Model Modeshare by TAZ'!D:D)</f>
        <v>NO</v>
      </c>
      <c r="D2866" s="27">
        <v>0</v>
      </c>
      <c r="E2866" s="27">
        <v>0</v>
      </c>
      <c r="F2866" s="27">
        <v>0</v>
      </c>
      <c r="G2866" s="27">
        <v>0</v>
      </c>
      <c r="H2866" s="27">
        <v>0</v>
      </c>
      <c r="I2866" s="27">
        <v>0</v>
      </c>
      <c r="J2866" s="6" t="b">
        <v>0</v>
      </c>
      <c r="K2866" s="6" t="b">
        <v>0</v>
      </c>
      <c r="L2866" s="27">
        <v>0</v>
      </c>
      <c r="M2866" s="27">
        <v>0</v>
      </c>
      <c r="N2866" s="34">
        <v>0</v>
      </c>
    </row>
    <row r="2867" spans="1:14" x14ac:dyDescent="0.35">
      <c r="A2867" s="82">
        <v>2864</v>
      </c>
      <c r="B2867" s="89" t="str">
        <f>_xlfn.XLOOKUP(A2867,'Model Modeshare by TAZ'!A:A,'Model Modeshare by TAZ'!B:B)</f>
        <v>Unknown</v>
      </c>
      <c r="C2867" s="90" t="str">
        <f>_xlfn.XLOOKUP(A2867,'Model Modeshare by TAZ'!A:A,'Model Modeshare by TAZ'!D:D)</f>
        <v>NO</v>
      </c>
      <c r="D2867" s="27">
        <v>0</v>
      </c>
      <c r="E2867" s="27">
        <v>0</v>
      </c>
      <c r="F2867" s="27">
        <v>0</v>
      </c>
      <c r="G2867" s="27">
        <v>0</v>
      </c>
      <c r="H2867" s="27">
        <v>0</v>
      </c>
      <c r="I2867" s="27">
        <v>0</v>
      </c>
      <c r="J2867" s="6" t="b">
        <v>0</v>
      </c>
      <c r="K2867" s="6" t="b">
        <v>0</v>
      </c>
      <c r="L2867" s="27">
        <v>0</v>
      </c>
      <c r="M2867" s="27">
        <v>0</v>
      </c>
      <c r="N2867" s="34">
        <v>0</v>
      </c>
    </row>
    <row r="2868" spans="1:14" x14ac:dyDescent="0.35">
      <c r="A2868" s="82">
        <v>2865</v>
      </c>
      <c r="B2868" s="89" t="str">
        <f>_xlfn.XLOOKUP(A2868,'Model Modeshare by TAZ'!A:A,'Model Modeshare by TAZ'!B:B)</f>
        <v>Unknown</v>
      </c>
      <c r="C2868" s="90" t="str">
        <f>_xlfn.XLOOKUP(A2868,'Model Modeshare by TAZ'!A:A,'Model Modeshare by TAZ'!D:D)</f>
        <v>NO</v>
      </c>
      <c r="D2868" s="27">
        <v>0</v>
      </c>
      <c r="E2868" s="27">
        <v>0</v>
      </c>
      <c r="F2868" s="27">
        <v>0</v>
      </c>
      <c r="G2868" s="27">
        <v>0</v>
      </c>
      <c r="H2868" s="27">
        <v>0</v>
      </c>
      <c r="I2868" s="27">
        <v>0</v>
      </c>
      <c r="J2868" s="6" t="b">
        <v>0</v>
      </c>
      <c r="K2868" s="6" t="b">
        <v>0</v>
      </c>
      <c r="L2868" s="27">
        <v>0</v>
      </c>
      <c r="M2868" s="27">
        <v>0</v>
      </c>
      <c r="N2868" s="34">
        <v>0</v>
      </c>
    </row>
    <row r="2869" spans="1:14" x14ac:dyDescent="0.35">
      <c r="A2869" s="82">
        <v>2866</v>
      </c>
      <c r="B2869" s="89" t="str">
        <f>_xlfn.XLOOKUP(A2869,'Model Modeshare by TAZ'!A:A,'Model Modeshare by TAZ'!B:B)</f>
        <v>Unknown</v>
      </c>
      <c r="C2869" s="90" t="str">
        <f>_xlfn.XLOOKUP(A2869,'Model Modeshare by TAZ'!A:A,'Model Modeshare by TAZ'!D:D)</f>
        <v>NO</v>
      </c>
      <c r="D2869" s="27">
        <v>0</v>
      </c>
      <c r="E2869" s="27">
        <v>0</v>
      </c>
      <c r="F2869" s="27">
        <v>0</v>
      </c>
      <c r="G2869" s="27">
        <v>0</v>
      </c>
      <c r="H2869" s="27">
        <v>0</v>
      </c>
      <c r="I2869" s="27">
        <v>0</v>
      </c>
      <c r="J2869" s="6" t="b">
        <v>0</v>
      </c>
      <c r="K2869" s="6" t="b">
        <v>0</v>
      </c>
      <c r="L2869" s="27">
        <v>0</v>
      </c>
      <c r="M2869" s="27">
        <v>0</v>
      </c>
      <c r="N2869" s="34">
        <v>0</v>
      </c>
    </row>
    <row r="2870" spans="1:14" x14ac:dyDescent="0.35">
      <c r="A2870" s="82">
        <v>2867</v>
      </c>
      <c r="B2870" s="89" t="str">
        <f>_xlfn.XLOOKUP(A2870,'Model Modeshare by TAZ'!A:A,'Model Modeshare by TAZ'!B:B)</f>
        <v>Unknown</v>
      </c>
      <c r="C2870" s="90" t="str">
        <f>_xlfn.XLOOKUP(A2870,'Model Modeshare by TAZ'!A:A,'Model Modeshare by TAZ'!D:D)</f>
        <v>NO</v>
      </c>
      <c r="D2870" s="27">
        <v>0</v>
      </c>
      <c r="E2870" s="27">
        <v>0</v>
      </c>
      <c r="F2870" s="27">
        <v>0</v>
      </c>
      <c r="G2870" s="27">
        <v>0</v>
      </c>
      <c r="H2870" s="27">
        <v>0</v>
      </c>
      <c r="I2870" s="27">
        <v>0</v>
      </c>
      <c r="J2870" s="6" t="b">
        <v>0</v>
      </c>
      <c r="K2870" s="6" t="b">
        <v>0</v>
      </c>
      <c r="L2870" s="27">
        <v>0</v>
      </c>
      <c r="M2870" s="27">
        <v>0</v>
      </c>
      <c r="N2870" s="34">
        <v>0</v>
      </c>
    </row>
    <row r="2871" spans="1:14" x14ac:dyDescent="0.35">
      <c r="A2871" s="82">
        <v>2868</v>
      </c>
      <c r="B2871" s="89" t="str">
        <f>_xlfn.XLOOKUP(A2871,'Model Modeshare by TAZ'!A:A,'Model Modeshare by TAZ'!B:B)</f>
        <v>Unknown</v>
      </c>
      <c r="C2871" s="90" t="str">
        <f>_xlfn.XLOOKUP(A2871,'Model Modeshare by TAZ'!A:A,'Model Modeshare by TAZ'!D:D)</f>
        <v>NO</v>
      </c>
      <c r="D2871" s="27">
        <v>0</v>
      </c>
      <c r="E2871" s="27">
        <v>0</v>
      </c>
      <c r="F2871" s="27">
        <v>0</v>
      </c>
      <c r="G2871" s="27">
        <v>0</v>
      </c>
      <c r="H2871" s="27">
        <v>0</v>
      </c>
      <c r="I2871" s="27">
        <v>0</v>
      </c>
      <c r="J2871" s="6" t="b">
        <v>0</v>
      </c>
      <c r="K2871" s="6" t="b">
        <v>0</v>
      </c>
      <c r="L2871" s="27">
        <v>0</v>
      </c>
      <c r="M2871" s="27">
        <v>0</v>
      </c>
      <c r="N2871" s="34">
        <v>0</v>
      </c>
    </row>
    <row r="2872" spans="1:14" x14ac:dyDescent="0.35">
      <c r="A2872" s="82">
        <v>2869</v>
      </c>
      <c r="B2872" s="89" t="str">
        <f>_xlfn.XLOOKUP(A2872,'Model Modeshare by TAZ'!A:A,'Model Modeshare by TAZ'!B:B)</f>
        <v>Unknown</v>
      </c>
      <c r="C2872" s="90" t="str">
        <f>_xlfn.XLOOKUP(A2872,'Model Modeshare by TAZ'!A:A,'Model Modeshare by TAZ'!D:D)</f>
        <v>NO</v>
      </c>
      <c r="D2872" s="27">
        <v>0</v>
      </c>
      <c r="E2872" s="27">
        <v>0</v>
      </c>
      <c r="F2872" s="27">
        <v>0</v>
      </c>
      <c r="G2872" s="27">
        <v>0</v>
      </c>
      <c r="H2872" s="27">
        <v>0</v>
      </c>
      <c r="I2872" s="27">
        <v>0</v>
      </c>
      <c r="J2872" s="6" t="b">
        <v>0</v>
      </c>
      <c r="K2872" s="6" t="b">
        <v>0</v>
      </c>
      <c r="L2872" s="27">
        <v>0</v>
      </c>
      <c r="M2872" s="27">
        <v>0</v>
      </c>
      <c r="N2872" s="34">
        <v>0</v>
      </c>
    </row>
    <row r="2873" spans="1:14" x14ac:dyDescent="0.35">
      <c r="A2873" s="82">
        <v>2870</v>
      </c>
      <c r="B2873" s="89" t="str">
        <f>_xlfn.XLOOKUP(A2873,'Model Modeshare by TAZ'!A:A,'Model Modeshare by TAZ'!B:B)</f>
        <v>Unknown</v>
      </c>
      <c r="C2873" s="90" t="str">
        <f>_xlfn.XLOOKUP(A2873,'Model Modeshare by TAZ'!A:A,'Model Modeshare by TAZ'!D:D)</f>
        <v>NO</v>
      </c>
      <c r="D2873" s="27">
        <v>0</v>
      </c>
      <c r="E2873" s="27">
        <v>0</v>
      </c>
      <c r="F2873" s="27">
        <v>0</v>
      </c>
      <c r="G2873" s="27">
        <v>0</v>
      </c>
      <c r="H2873" s="27">
        <v>0</v>
      </c>
      <c r="I2873" s="27">
        <v>0</v>
      </c>
      <c r="J2873" s="6" t="b">
        <v>0</v>
      </c>
      <c r="K2873" s="6" t="b">
        <v>0</v>
      </c>
      <c r="L2873" s="27">
        <v>0</v>
      </c>
      <c r="M2873" s="27">
        <v>0</v>
      </c>
      <c r="N2873" s="34">
        <v>0</v>
      </c>
    </row>
    <row r="2874" spans="1:14" x14ac:dyDescent="0.35">
      <c r="A2874" s="82">
        <v>2871</v>
      </c>
      <c r="B2874" s="89" t="str">
        <f>_xlfn.XLOOKUP(A2874,'Model Modeshare by TAZ'!A:A,'Model Modeshare by TAZ'!B:B)</f>
        <v>Unknown</v>
      </c>
      <c r="C2874" s="90" t="str">
        <f>_xlfn.XLOOKUP(A2874,'Model Modeshare by TAZ'!A:A,'Model Modeshare by TAZ'!D:D)</f>
        <v>NO</v>
      </c>
      <c r="D2874" s="27">
        <v>0</v>
      </c>
      <c r="E2874" s="27">
        <v>0</v>
      </c>
      <c r="F2874" s="27">
        <v>0</v>
      </c>
      <c r="G2874" s="27">
        <v>0</v>
      </c>
      <c r="H2874" s="27">
        <v>0</v>
      </c>
      <c r="I2874" s="27">
        <v>0</v>
      </c>
      <c r="J2874" s="6" t="b">
        <v>0</v>
      </c>
      <c r="K2874" s="6" t="b">
        <v>0</v>
      </c>
      <c r="L2874" s="27">
        <v>0</v>
      </c>
      <c r="M2874" s="27">
        <v>0</v>
      </c>
      <c r="N2874" s="34">
        <v>0</v>
      </c>
    </row>
    <row r="2875" spans="1:14" x14ac:dyDescent="0.35">
      <c r="A2875" s="82">
        <v>2872</v>
      </c>
      <c r="B2875" s="89" t="str">
        <f>_xlfn.XLOOKUP(A2875,'Model Modeshare by TAZ'!A:A,'Model Modeshare by TAZ'!B:B)</f>
        <v>Unknown</v>
      </c>
      <c r="C2875" s="90" t="str">
        <f>_xlfn.XLOOKUP(A2875,'Model Modeshare by TAZ'!A:A,'Model Modeshare by TAZ'!D:D)</f>
        <v>NO</v>
      </c>
      <c r="D2875" s="27">
        <v>0</v>
      </c>
      <c r="E2875" s="27">
        <v>0</v>
      </c>
      <c r="F2875" s="27">
        <v>0</v>
      </c>
      <c r="G2875" s="27">
        <v>0</v>
      </c>
      <c r="H2875" s="27">
        <v>0</v>
      </c>
      <c r="I2875" s="27">
        <v>0</v>
      </c>
      <c r="J2875" s="6" t="b">
        <v>0</v>
      </c>
      <c r="K2875" s="6" t="b">
        <v>0</v>
      </c>
      <c r="L2875" s="27">
        <v>0</v>
      </c>
      <c r="M2875" s="27">
        <v>0</v>
      </c>
      <c r="N2875" s="34">
        <v>0</v>
      </c>
    </row>
    <row r="2876" spans="1:14" x14ac:dyDescent="0.35">
      <c r="A2876" s="82">
        <v>2873</v>
      </c>
      <c r="B2876" s="89" t="str">
        <f>_xlfn.XLOOKUP(A2876,'Model Modeshare by TAZ'!A:A,'Model Modeshare by TAZ'!B:B)</f>
        <v>Unknown</v>
      </c>
      <c r="C2876" s="90" t="str">
        <f>_xlfn.XLOOKUP(A2876,'Model Modeshare by TAZ'!A:A,'Model Modeshare by TAZ'!D:D)</f>
        <v>NO</v>
      </c>
      <c r="D2876" s="27">
        <v>0</v>
      </c>
      <c r="E2876" s="27">
        <v>0</v>
      </c>
      <c r="F2876" s="27">
        <v>0</v>
      </c>
      <c r="G2876" s="27">
        <v>0</v>
      </c>
      <c r="H2876" s="27">
        <v>0</v>
      </c>
      <c r="I2876" s="27">
        <v>0</v>
      </c>
      <c r="J2876" s="6" t="b">
        <v>0</v>
      </c>
      <c r="K2876" s="6" t="b">
        <v>0</v>
      </c>
      <c r="L2876" s="27">
        <v>0</v>
      </c>
      <c r="M2876" s="27">
        <v>0</v>
      </c>
      <c r="N2876" s="34">
        <v>0</v>
      </c>
    </row>
    <row r="2877" spans="1:14" x14ac:dyDescent="0.35">
      <c r="A2877" s="82">
        <v>2874</v>
      </c>
      <c r="B2877" s="89" t="str">
        <f>_xlfn.XLOOKUP(A2877,'Model Modeshare by TAZ'!A:A,'Model Modeshare by TAZ'!B:B)</f>
        <v>Unknown</v>
      </c>
      <c r="C2877" s="90" t="str">
        <f>_xlfn.XLOOKUP(A2877,'Model Modeshare by TAZ'!A:A,'Model Modeshare by TAZ'!D:D)</f>
        <v>NO</v>
      </c>
      <c r="D2877" s="27">
        <v>0</v>
      </c>
      <c r="E2877" s="27">
        <v>0</v>
      </c>
      <c r="F2877" s="27">
        <v>0</v>
      </c>
      <c r="G2877" s="27">
        <v>0</v>
      </c>
      <c r="H2877" s="27">
        <v>0</v>
      </c>
      <c r="I2877" s="27">
        <v>0</v>
      </c>
      <c r="J2877" s="6" t="b">
        <v>0</v>
      </c>
      <c r="K2877" s="6" t="b">
        <v>0</v>
      </c>
      <c r="L2877" s="27">
        <v>0</v>
      </c>
      <c r="M2877" s="27">
        <v>0</v>
      </c>
      <c r="N2877" s="34">
        <v>0</v>
      </c>
    </row>
    <row r="2878" spans="1:14" x14ac:dyDescent="0.35">
      <c r="A2878" s="82">
        <v>2875</v>
      </c>
      <c r="B2878" s="89" t="str">
        <f>_xlfn.XLOOKUP(A2878,'Model Modeshare by TAZ'!A:A,'Model Modeshare by TAZ'!B:B)</f>
        <v>Unknown</v>
      </c>
      <c r="C2878" s="90" t="str">
        <f>_xlfn.XLOOKUP(A2878,'Model Modeshare by TAZ'!A:A,'Model Modeshare by TAZ'!D:D)</f>
        <v>NO</v>
      </c>
      <c r="D2878" s="27">
        <v>0</v>
      </c>
      <c r="E2878" s="27">
        <v>0</v>
      </c>
      <c r="F2878" s="27">
        <v>0</v>
      </c>
      <c r="G2878" s="27">
        <v>0</v>
      </c>
      <c r="H2878" s="27">
        <v>0</v>
      </c>
      <c r="I2878" s="27">
        <v>0</v>
      </c>
      <c r="J2878" s="6" t="b">
        <v>0</v>
      </c>
      <c r="K2878" s="6" t="b">
        <v>0</v>
      </c>
      <c r="L2878" s="27">
        <v>0</v>
      </c>
      <c r="M2878" s="27">
        <v>0</v>
      </c>
      <c r="N2878" s="34">
        <v>0</v>
      </c>
    </row>
    <row r="2879" spans="1:14" x14ac:dyDescent="0.35">
      <c r="A2879" s="82">
        <v>2876</v>
      </c>
      <c r="B2879" s="89" t="str">
        <f>_xlfn.XLOOKUP(A2879,'Model Modeshare by TAZ'!A:A,'Model Modeshare by TAZ'!B:B)</f>
        <v>Unknown</v>
      </c>
      <c r="C2879" s="90" t="str">
        <f>_xlfn.XLOOKUP(A2879,'Model Modeshare by TAZ'!A:A,'Model Modeshare by TAZ'!D:D)</f>
        <v>NO</v>
      </c>
      <c r="D2879" s="27">
        <v>0</v>
      </c>
      <c r="E2879" s="27">
        <v>0</v>
      </c>
      <c r="F2879" s="27">
        <v>0</v>
      </c>
      <c r="G2879" s="27">
        <v>0</v>
      </c>
      <c r="H2879" s="27">
        <v>0</v>
      </c>
      <c r="I2879" s="27">
        <v>0</v>
      </c>
      <c r="J2879" s="6" t="b">
        <v>0</v>
      </c>
      <c r="K2879" s="6" t="b">
        <v>0</v>
      </c>
      <c r="L2879" s="27">
        <v>0</v>
      </c>
      <c r="M2879" s="27">
        <v>0</v>
      </c>
      <c r="N2879" s="34">
        <v>0</v>
      </c>
    </row>
    <row r="2880" spans="1:14" x14ac:dyDescent="0.35">
      <c r="A2880" s="82">
        <v>2877</v>
      </c>
      <c r="B2880" s="89" t="str">
        <f>_xlfn.XLOOKUP(A2880,'Model Modeshare by TAZ'!A:A,'Model Modeshare by TAZ'!B:B)</f>
        <v>Unknown</v>
      </c>
      <c r="C2880" s="90" t="str">
        <f>_xlfn.XLOOKUP(A2880,'Model Modeshare by TAZ'!A:A,'Model Modeshare by TAZ'!D:D)</f>
        <v>NO</v>
      </c>
      <c r="D2880" s="27">
        <v>0</v>
      </c>
      <c r="E2880" s="27">
        <v>0</v>
      </c>
      <c r="F2880" s="27">
        <v>0</v>
      </c>
      <c r="G2880" s="27">
        <v>0</v>
      </c>
      <c r="H2880" s="27">
        <v>0</v>
      </c>
      <c r="I2880" s="27">
        <v>0</v>
      </c>
      <c r="J2880" s="6" t="b">
        <v>0</v>
      </c>
      <c r="K2880" s="6" t="b">
        <v>0</v>
      </c>
      <c r="L2880" s="27">
        <v>0</v>
      </c>
      <c r="M2880" s="27">
        <v>0</v>
      </c>
      <c r="N2880" s="34">
        <v>0</v>
      </c>
    </row>
    <row r="2881" spans="1:14" x14ac:dyDescent="0.35">
      <c r="A2881" s="82">
        <v>2878</v>
      </c>
      <c r="B2881" s="89" t="str">
        <f>_xlfn.XLOOKUP(A2881,'Model Modeshare by TAZ'!A:A,'Model Modeshare by TAZ'!B:B)</f>
        <v>Unknown</v>
      </c>
      <c r="C2881" s="90" t="str">
        <f>_xlfn.XLOOKUP(A2881,'Model Modeshare by TAZ'!A:A,'Model Modeshare by TAZ'!D:D)</f>
        <v>NO</v>
      </c>
      <c r="D2881" s="27">
        <v>0</v>
      </c>
      <c r="E2881" s="27">
        <v>0</v>
      </c>
      <c r="F2881" s="27">
        <v>0</v>
      </c>
      <c r="G2881" s="27">
        <v>0</v>
      </c>
      <c r="H2881" s="27">
        <v>0</v>
      </c>
      <c r="I2881" s="27">
        <v>0</v>
      </c>
      <c r="J2881" s="6" t="b">
        <v>0</v>
      </c>
      <c r="K2881" s="6" t="b">
        <v>0</v>
      </c>
      <c r="L2881" s="27">
        <v>0</v>
      </c>
      <c r="M2881" s="27">
        <v>0</v>
      </c>
      <c r="N2881" s="34">
        <v>0</v>
      </c>
    </row>
    <row r="2882" spans="1:14" x14ac:dyDescent="0.35">
      <c r="A2882" s="82">
        <v>2879</v>
      </c>
      <c r="B2882" s="89" t="str">
        <f>_xlfn.XLOOKUP(A2882,'Model Modeshare by TAZ'!A:A,'Model Modeshare by TAZ'!B:B)</f>
        <v>Unknown</v>
      </c>
      <c r="C2882" s="90" t="str">
        <f>_xlfn.XLOOKUP(A2882,'Model Modeshare by TAZ'!A:A,'Model Modeshare by TAZ'!D:D)</f>
        <v>NO</v>
      </c>
      <c r="D2882" s="27">
        <v>0</v>
      </c>
      <c r="E2882" s="27">
        <v>0</v>
      </c>
      <c r="F2882" s="27">
        <v>0</v>
      </c>
      <c r="G2882" s="27">
        <v>0</v>
      </c>
      <c r="H2882" s="27">
        <v>0</v>
      </c>
      <c r="I2882" s="27">
        <v>0</v>
      </c>
      <c r="J2882" s="6" t="b">
        <v>0</v>
      </c>
      <c r="K2882" s="6" t="b">
        <v>0</v>
      </c>
      <c r="L2882" s="27">
        <v>0</v>
      </c>
      <c r="M2882" s="27">
        <v>0</v>
      </c>
      <c r="N2882" s="34">
        <v>0</v>
      </c>
    </row>
    <row r="2883" spans="1:14" x14ac:dyDescent="0.35">
      <c r="A2883" s="82">
        <v>2880</v>
      </c>
      <c r="B2883" s="89" t="str">
        <f>_xlfn.XLOOKUP(A2883,'Model Modeshare by TAZ'!A:A,'Model Modeshare by TAZ'!B:B)</f>
        <v>Unknown</v>
      </c>
      <c r="C2883" s="90" t="str">
        <f>_xlfn.XLOOKUP(A2883,'Model Modeshare by TAZ'!A:A,'Model Modeshare by TAZ'!D:D)</f>
        <v>NO</v>
      </c>
      <c r="D2883" s="27">
        <v>0</v>
      </c>
      <c r="E2883" s="27">
        <v>0</v>
      </c>
      <c r="F2883" s="27">
        <v>0</v>
      </c>
      <c r="G2883" s="27">
        <v>0</v>
      </c>
      <c r="H2883" s="27">
        <v>0</v>
      </c>
      <c r="I2883" s="27">
        <v>0</v>
      </c>
      <c r="J2883" s="6" t="b">
        <v>0</v>
      </c>
      <c r="K2883" s="6" t="b">
        <v>0</v>
      </c>
      <c r="L2883" s="27">
        <v>0</v>
      </c>
      <c r="M2883" s="27">
        <v>0</v>
      </c>
      <c r="N2883" s="34">
        <v>0</v>
      </c>
    </row>
    <row r="2884" spans="1:14" x14ac:dyDescent="0.35">
      <c r="A2884" s="82">
        <v>2881</v>
      </c>
      <c r="B2884" s="89" t="str">
        <f>_xlfn.XLOOKUP(A2884,'Model Modeshare by TAZ'!A:A,'Model Modeshare by TAZ'!B:B)</f>
        <v>Unknown</v>
      </c>
      <c r="C2884" s="90" t="str">
        <f>_xlfn.XLOOKUP(A2884,'Model Modeshare by TAZ'!A:A,'Model Modeshare by TAZ'!D:D)</f>
        <v>NO</v>
      </c>
      <c r="D2884" s="27">
        <v>0</v>
      </c>
      <c r="E2884" s="27">
        <v>0</v>
      </c>
      <c r="F2884" s="27">
        <v>0</v>
      </c>
      <c r="G2884" s="27">
        <v>0</v>
      </c>
      <c r="H2884" s="27">
        <v>0</v>
      </c>
      <c r="I2884" s="27">
        <v>0</v>
      </c>
      <c r="J2884" s="6" t="b">
        <v>0</v>
      </c>
      <c r="K2884" s="6" t="b">
        <v>0</v>
      </c>
      <c r="L2884" s="27">
        <v>0</v>
      </c>
      <c r="M2884" s="27">
        <v>0</v>
      </c>
      <c r="N2884" s="34">
        <v>0</v>
      </c>
    </row>
    <row r="2885" spans="1:14" x14ac:dyDescent="0.35">
      <c r="A2885" s="82">
        <v>2882</v>
      </c>
      <c r="B2885" s="89" t="str">
        <f>_xlfn.XLOOKUP(A2885,'Model Modeshare by TAZ'!A:A,'Model Modeshare by TAZ'!B:B)</f>
        <v>Unknown</v>
      </c>
      <c r="C2885" s="90" t="str">
        <f>_xlfn.XLOOKUP(A2885,'Model Modeshare by TAZ'!A:A,'Model Modeshare by TAZ'!D:D)</f>
        <v>NO</v>
      </c>
      <c r="D2885" s="27">
        <v>0</v>
      </c>
      <c r="E2885" s="27">
        <v>0</v>
      </c>
      <c r="F2885" s="27">
        <v>0</v>
      </c>
      <c r="G2885" s="27">
        <v>0</v>
      </c>
      <c r="H2885" s="27">
        <v>0</v>
      </c>
      <c r="I2885" s="27">
        <v>0</v>
      </c>
      <c r="J2885" s="6" t="b">
        <v>0</v>
      </c>
      <c r="K2885" s="6" t="b">
        <v>0</v>
      </c>
      <c r="L2885" s="27">
        <v>0</v>
      </c>
      <c r="M2885" s="27">
        <v>0</v>
      </c>
      <c r="N2885" s="34">
        <v>0</v>
      </c>
    </row>
    <row r="2886" spans="1:14" x14ac:dyDescent="0.35">
      <c r="A2886" s="82">
        <v>2883</v>
      </c>
      <c r="B2886" s="89" t="str">
        <f>_xlfn.XLOOKUP(A2886,'Model Modeshare by TAZ'!A:A,'Model Modeshare by TAZ'!B:B)</f>
        <v>Unknown</v>
      </c>
      <c r="C2886" s="90" t="str">
        <f>_xlfn.XLOOKUP(A2886,'Model Modeshare by TAZ'!A:A,'Model Modeshare by TAZ'!D:D)</f>
        <v>NO</v>
      </c>
      <c r="D2886" s="27">
        <v>0</v>
      </c>
      <c r="E2886" s="27">
        <v>0</v>
      </c>
      <c r="F2886" s="27">
        <v>0</v>
      </c>
      <c r="G2886" s="27">
        <v>0</v>
      </c>
      <c r="H2886" s="27">
        <v>0</v>
      </c>
      <c r="I2886" s="27">
        <v>0</v>
      </c>
      <c r="J2886" s="6" t="b">
        <v>0</v>
      </c>
      <c r="K2886" s="6" t="b">
        <v>0</v>
      </c>
      <c r="L2886" s="27">
        <v>0</v>
      </c>
      <c r="M2886" s="27">
        <v>0</v>
      </c>
      <c r="N2886" s="34">
        <v>0</v>
      </c>
    </row>
    <row r="2887" spans="1:14" x14ac:dyDescent="0.35">
      <c r="A2887" s="82">
        <v>2884</v>
      </c>
      <c r="B2887" s="89" t="str">
        <f>_xlfn.XLOOKUP(A2887,'Model Modeshare by TAZ'!A:A,'Model Modeshare by TAZ'!B:B)</f>
        <v>Unknown</v>
      </c>
      <c r="C2887" s="90" t="str">
        <f>_xlfn.XLOOKUP(A2887,'Model Modeshare by TAZ'!A:A,'Model Modeshare by TAZ'!D:D)</f>
        <v>NO</v>
      </c>
      <c r="D2887" s="27">
        <v>0</v>
      </c>
      <c r="E2887" s="27">
        <v>0</v>
      </c>
      <c r="F2887" s="27">
        <v>0</v>
      </c>
      <c r="G2887" s="27">
        <v>0</v>
      </c>
      <c r="H2887" s="27">
        <v>0</v>
      </c>
      <c r="I2887" s="27">
        <v>0</v>
      </c>
      <c r="J2887" s="6" t="b">
        <v>0</v>
      </c>
      <c r="K2887" s="6" t="b">
        <v>0</v>
      </c>
      <c r="L2887" s="27">
        <v>0</v>
      </c>
      <c r="M2887" s="27">
        <v>0</v>
      </c>
      <c r="N2887" s="34">
        <v>0</v>
      </c>
    </row>
    <row r="2888" spans="1:14" x14ac:dyDescent="0.35">
      <c r="A2888" s="82">
        <v>2885</v>
      </c>
      <c r="B2888" s="89" t="str">
        <f>_xlfn.XLOOKUP(A2888,'Model Modeshare by TAZ'!A:A,'Model Modeshare by TAZ'!B:B)</f>
        <v>Unknown</v>
      </c>
      <c r="C2888" s="90" t="str">
        <f>_xlfn.XLOOKUP(A2888,'Model Modeshare by TAZ'!A:A,'Model Modeshare by TAZ'!D:D)</f>
        <v>NO</v>
      </c>
      <c r="D2888" s="27">
        <v>0</v>
      </c>
      <c r="E2888" s="27">
        <v>0</v>
      </c>
      <c r="F2888" s="27">
        <v>0</v>
      </c>
      <c r="G2888" s="27">
        <v>0</v>
      </c>
      <c r="H2888" s="27">
        <v>0</v>
      </c>
      <c r="I2888" s="27">
        <v>0</v>
      </c>
      <c r="J2888" s="6" t="b">
        <v>0</v>
      </c>
      <c r="K2888" s="6" t="b">
        <v>0</v>
      </c>
      <c r="L2888" s="27">
        <v>0</v>
      </c>
      <c r="M2888" s="27">
        <v>0</v>
      </c>
      <c r="N2888" s="34">
        <v>0</v>
      </c>
    </row>
    <row r="2889" spans="1:14" x14ac:dyDescent="0.35">
      <c r="A2889" s="82">
        <v>2886</v>
      </c>
      <c r="B2889" s="89" t="str">
        <f>_xlfn.XLOOKUP(A2889,'Model Modeshare by TAZ'!A:A,'Model Modeshare by TAZ'!B:B)</f>
        <v>Unknown</v>
      </c>
      <c r="C2889" s="90" t="str">
        <f>_xlfn.XLOOKUP(A2889,'Model Modeshare by TAZ'!A:A,'Model Modeshare by TAZ'!D:D)</f>
        <v>NO</v>
      </c>
      <c r="D2889" s="27">
        <v>0</v>
      </c>
      <c r="E2889" s="27">
        <v>0</v>
      </c>
      <c r="F2889" s="27">
        <v>0</v>
      </c>
      <c r="G2889" s="27">
        <v>0</v>
      </c>
      <c r="H2889" s="27">
        <v>0</v>
      </c>
      <c r="I2889" s="27">
        <v>0</v>
      </c>
      <c r="J2889" s="6" t="b">
        <v>0</v>
      </c>
      <c r="K2889" s="6" t="b">
        <v>0</v>
      </c>
      <c r="L2889" s="27">
        <v>0</v>
      </c>
      <c r="M2889" s="27">
        <v>0</v>
      </c>
      <c r="N2889" s="34">
        <v>0</v>
      </c>
    </row>
    <row r="2890" spans="1:14" x14ac:dyDescent="0.35">
      <c r="A2890" s="82">
        <v>2887</v>
      </c>
      <c r="B2890" s="89" t="str">
        <f>_xlfn.XLOOKUP(A2890,'Model Modeshare by TAZ'!A:A,'Model Modeshare by TAZ'!B:B)</f>
        <v>Unknown</v>
      </c>
      <c r="C2890" s="90" t="str">
        <f>_xlfn.XLOOKUP(A2890,'Model Modeshare by TAZ'!A:A,'Model Modeshare by TAZ'!D:D)</f>
        <v>NO</v>
      </c>
      <c r="D2890" s="27">
        <v>0</v>
      </c>
      <c r="E2890" s="27">
        <v>0</v>
      </c>
      <c r="F2890" s="27">
        <v>0</v>
      </c>
      <c r="G2890" s="27">
        <v>0</v>
      </c>
      <c r="H2890" s="27">
        <v>0</v>
      </c>
      <c r="I2890" s="27">
        <v>0</v>
      </c>
      <c r="J2890" s="6" t="b">
        <v>0</v>
      </c>
      <c r="K2890" s="6" t="b">
        <v>0</v>
      </c>
      <c r="L2890" s="27">
        <v>0</v>
      </c>
      <c r="M2890" s="27">
        <v>0</v>
      </c>
      <c r="N2890" s="34">
        <v>0</v>
      </c>
    </row>
    <row r="2891" spans="1:14" x14ac:dyDescent="0.35">
      <c r="A2891" s="82">
        <v>2888</v>
      </c>
      <c r="B2891" s="89" t="str">
        <f>_xlfn.XLOOKUP(A2891,'Model Modeshare by TAZ'!A:A,'Model Modeshare by TAZ'!B:B)</f>
        <v>Unknown</v>
      </c>
      <c r="C2891" s="90" t="str">
        <f>_xlfn.XLOOKUP(A2891,'Model Modeshare by TAZ'!A:A,'Model Modeshare by TAZ'!D:D)</f>
        <v>NO</v>
      </c>
      <c r="D2891" s="27">
        <v>0</v>
      </c>
      <c r="E2891" s="27">
        <v>0</v>
      </c>
      <c r="F2891" s="27">
        <v>0</v>
      </c>
      <c r="G2891" s="27">
        <v>0</v>
      </c>
      <c r="H2891" s="27">
        <v>0</v>
      </c>
      <c r="I2891" s="27">
        <v>0</v>
      </c>
      <c r="J2891" s="6" t="b">
        <v>0</v>
      </c>
      <c r="K2891" s="6" t="b">
        <v>0</v>
      </c>
      <c r="L2891" s="27">
        <v>0</v>
      </c>
      <c r="M2891" s="27">
        <v>0</v>
      </c>
      <c r="N2891" s="34">
        <v>0</v>
      </c>
    </row>
    <row r="2892" spans="1:14" x14ac:dyDescent="0.35">
      <c r="A2892" s="82">
        <v>2889</v>
      </c>
      <c r="B2892" s="89" t="str">
        <f>_xlfn.XLOOKUP(A2892,'Model Modeshare by TAZ'!A:A,'Model Modeshare by TAZ'!B:B)</f>
        <v>Unknown</v>
      </c>
      <c r="C2892" s="90" t="str">
        <f>_xlfn.XLOOKUP(A2892,'Model Modeshare by TAZ'!A:A,'Model Modeshare by TAZ'!D:D)</f>
        <v>NO</v>
      </c>
      <c r="D2892" s="27">
        <v>0</v>
      </c>
      <c r="E2892" s="27">
        <v>0</v>
      </c>
      <c r="F2892" s="27">
        <v>0</v>
      </c>
      <c r="G2892" s="27">
        <v>0</v>
      </c>
      <c r="H2892" s="27">
        <v>0</v>
      </c>
      <c r="I2892" s="27">
        <v>0</v>
      </c>
      <c r="J2892" s="6" t="b">
        <v>0</v>
      </c>
      <c r="K2892" s="6" t="b">
        <v>0</v>
      </c>
      <c r="L2892" s="27">
        <v>0</v>
      </c>
      <c r="M2892" s="27">
        <v>0</v>
      </c>
      <c r="N2892" s="34">
        <v>0</v>
      </c>
    </row>
    <row r="2893" spans="1:14" x14ac:dyDescent="0.35">
      <c r="A2893" s="82">
        <v>2890</v>
      </c>
      <c r="B2893" s="89" t="str">
        <f>_xlfn.XLOOKUP(A2893,'Model Modeshare by TAZ'!A:A,'Model Modeshare by TAZ'!B:B)</f>
        <v>Unknown</v>
      </c>
      <c r="C2893" s="90" t="str">
        <f>_xlfn.XLOOKUP(A2893,'Model Modeshare by TAZ'!A:A,'Model Modeshare by TAZ'!D:D)</f>
        <v>NO</v>
      </c>
      <c r="D2893" s="27">
        <v>0</v>
      </c>
      <c r="E2893" s="27">
        <v>0</v>
      </c>
      <c r="F2893" s="27">
        <v>0</v>
      </c>
      <c r="G2893" s="27">
        <v>0</v>
      </c>
      <c r="H2893" s="27">
        <v>0</v>
      </c>
      <c r="I2893" s="27">
        <v>0</v>
      </c>
      <c r="J2893" s="6" t="b">
        <v>0</v>
      </c>
      <c r="K2893" s="6" t="b">
        <v>0</v>
      </c>
      <c r="L2893" s="27">
        <v>0</v>
      </c>
      <c r="M2893" s="27">
        <v>0</v>
      </c>
      <c r="N2893" s="34">
        <v>0</v>
      </c>
    </row>
    <row r="2894" spans="1:14" x14ac:dyDescent="0.35">
      <c r="A2894" s="82">
        <v>2891</v>
      </c>
      <c r="B2894" s="89" t="str">
        <f>_xlfn.XLOOKUP(A2894,'Model Modeshare by TAZ'!A:A,'Model Modeshare by TAZ'!B:B)</f>
        <v>Unknown</v>
      </c>
      <c r="C2894" s="90" t="str">
        <f>_xlfn.XLOOKUP(A2894,'Model Modeshare by TAZ'!A:A,'Model Modeshare by TAZ'!D:D)</f>
        <v>NO</v>
      </c>
      <c r="D2894" s="27">
        <v>0</v>
      </c>
      <c r="E2894" s="27">
        <v>0</v>
      </c>
      <c r="F2894" s="27">
        <v>0</v>
      </c>
      <c r="G2894" s="27">
        <v>0</v>
      </c>
      <c r="H2894" s="27">
        <v>0</v>
      </c>
      <c r="I2894" s="27">
        <v>0</v>
      </c>
      <c r="J2894" s="6" t="b">
        <v>0</v>
      </c>
      <c r="K2894" s="6" t="b">
        <v>0</v>
      </c>
      <c r="L2894" s="27">
        <v>0</v>
      </c>
      <c r="M2894" s="27">
        <v>0</v>
      </c>
      <c r="N2894" s="34">
        <v>0</v>
      </c>
    </row>
    <row r="2895" spans="1:14" x14ac:dyDescent="0.35">
      <c r="A2895" s="82">
        <v>2892</v>
      </c>
      <c r="B2895" s="89" t="str">
        <f>_xlfn.XLOOKUP(A2895,'Model Modeshare by TAZ'!A:A,'Model Modeshare by TAZ'!B:B)</f>
        <v>Unknown</v>
      </c>
      <c r="C2895" s="90" t="str">
        <f>_xlfn.XLOOKUP(A2895,'Model Modeshare by TAZ'!A:A,'Model Modeshare by TAZ'!D:D)</f>
        <v>NO</v>
      </c>
      <c r="D2895" s="27">
        <v>0</v>
      </c>
      <c r="E2895" s="27">
        <v>0</v>
      </c>
      <c r="F2895" s="27">
        <v>0</v>
      </c>
      <c r="G2895" s="27">
        <v>0</v>
      </c>
      <c r="H2895" s="27">
        <v>0</v>
      </c>
      <c r="I2895" s="27">
        <v>0</v>
      </c>
      <c r="J2895" s="6" t="b">
        <v>0</v>
      </c>
      <c r="K2895" s="6" t="b">
        <v>0</v>
      </c>
      <c r="L2895" s="27">
        <v>0</v>
      </c>
      <c r="M2895" s="27">
        <v>0</v>
      </c>
      <c r="N2895" s="34">
        <v>0</v>
      </c>
    </row>
    <row r="2896" spans="1:14" x14ac:dyDescent="0.35">
      <c r="A2896" s="82">
        <v>2893</v>
      </c>
      <c r="B2896" s="89" t="str">
        <f>_xlfn.XLOOKUP(A2896,'Model Modeshare by TAZ'!A:A,'Model Modeshare by TAZ'!B:B)</f>
        <v>Unknown</v>
      </c>
      <c r="C2896" s="90" t="str">
        <f>_xlfn.XLOOKUP(A2896,'Model Modeshare by TAZ'!A:A,'Model Modeshare by TAZ'!D:D)</f>
        <v>NO</v>
      </c>
      <c r="D2896" s="27">
        <v>0</v>
      </c>
      <c r="E2896" s="27">
        <v>0</v>
      </c>
      <c r="F2896" s="27">
        <v>0</v>
      </c>
      <c r="G2896" s="27">
        <v>0</v>
      </c>
      <c r="H2896" s="27">
        <v>0</v>
      </c>
      <c r="I2896" s="27">
        <v>0</v>
      </c>
      <c r="J2896" s="6" t="b">
        <v>0</v>
      </c>
      <c r="K2896" s="6" t="b">
        <v>0</v>
      </c>
      <c r="L2896" s="27">
        <v>0</v>
      </c>
      <c r="M2896" s="27">
        <v>0</v>
      </c>
      <c r="N2896" s="34">
        <v>0</v>
      </c>
    </row>
    <row r="2897" spans="1:14" x14ac:dyDescent="0.35">
      <c r="A2897" s="82">
        <v>2894</v>
      </c>
      <c r="B2897" s="89" t="str">
        <f>_xlfn.XLOOKUP(A2897,'Model Modeshare by TAZ'!A:A,'Model Modeshare by TAZ'!B:B)</f>
        <v>Unknown</v>
      </c>
      <c r="C2897" s="90" t="str">
        <f>_xlfn.XLOOKUP(A2897,'Model Modeshare by TAZ'!A:A,'Model Modeshare by TAZ'!D:D)</f>
        <v>NO</v>
      </c>
      <c r="D2897" s="27">
        <v>0</v>
      </c>
      <c r="E2897" s="27">
        <v>0</v>
      </c>
      <c r="F2897" s="27">
        <v>0</v>
      </c>
      <c r="G2897" s="27">
        <v>0</v>
      </c>
      <c r="H2897" s="27">
        <v>0</v>
      </c>
      <c r="I2897" s="27">
        <v>0</v>
      </c>
      <c r="J2897" s="6" t="b">
        <v>0</v>
      </c>
      <c r="K2897" s="6" t="b">
        <v>0</v>
      </c>
      <c r="L2897" s="27">
        <v>0</v>
      </c>
      <c r="M2897" s="27">
        <v>0</v>
      </c>
      <c r="N2897" s="34">
        <v>0</v>
      </c>
    </row>
    <row r="2898" spans="1:14" x14ac:dyDescent="0.35">
      <c r="A2898" s="82">
        <v>2895</v>
      </c>
      <c r="B2898" s="89" t="str">
        <f>_xlfn.XLOOKUP(A2898,'Model Modeshare by TAZ'!A:A,'Model Modeshare by TAZ'!B:B)</f>
        <v>Unknown</v>
      </c>
      <c r="C2898" s="90" t="str">
        <f>_xlfn.XLOOKUP(A2898,'Model Modeshare by TAZ'!A:A,'Model Modeshare by TAZ'!D:D)</f>
        <v>NO</v>
      </c>
      <c r="D2898" s="27">
        <v>0</v>
      </c>
      <c r="E2898" s="27">
        <v>0</v>
      </c>
      <c r="F2898" s="27">
        <v>0</v>
      </c>
      <c r="G2898" s="27">
        <v>0</v>
      </c>
      <c r="H2898" s="27">
        <v>0</v>
      </c>
      <c r="I2898" s="27">
        <v>0</v>
      </c>
      <c r="J2898" s="6" t="b">
        <v>0</v>
      </c>
      <c r="K2898" s="6" t="b">
        <v>0</v>
      </c>
      <c r="L2898" s="27">
        <v>0</v>
      </c>
      <c r="M2898" s="27">
        <v>0</v>
      </c>
      <c r="N2898" s="34">
        <v>0</v>
      </c>
    </row>
    <row r="2899" spans="1:14" x14ac:dyDescent="0.35">
      <c r="A2899" s="82">
        <v>2896</v>
      </c>
      <c r="B2899" s="89" t="str">
        <f>_xlfn.XLOOKUP(A2899,'Model Modeshare by TAZ'!A:A,'Model Modeshare by TAZ'!B:B)</f>
        <v>Unknown</v>
      </c>
      <c r="C2899" s="90" t="str">
        <f>_xlfn.XLOOKUP(A2899,'Model Modeshare by TAZ'!A:A,'Model Modeshare by TAZ'!D:D)</f>
        <v>NO</v>
      </c>
      <c r="D2899" s="27">
        <v>0</v>
      </c>
      <c r="E2899" s="27">
        <v>0</v>
      </c>
      <c r="F2899" s="27">
        <v>0</v>
      </c>
      <c r="G2899" s="27">
        <v>0</v>
      </c>
      <c r="H2899" s="27">
        <v>0</v>
      </c>
      <c r="I2899" s="27">
        <v>0</v>
      </c>
      <c r="J2899" s="6" t="b">
        <v>0</v>
      </c>
      <c r="K2899" s="6" t="b">
        <v>0</v>
      </c>
      <c r="L2899" s="27">
        <v>0</v>
      </c>
      <c r="M2899" s="27">
        <v>0</v>
      </c>
      <c r="N2899" s="34">
        <v>0</v>
      </c>
    </row>
    <row r="2900" spans="1:14" x14ac:dyDescent="0.35">
      <c r="A2900" s="82">
        <v>2897</v>
      </c>
      <c r="B2900" s="89" t="str">
        <f>_xlfn.XLOOKUP(A2900,'Model Modeshare by TAZ'!A:A,'Model Modeshare by TAZ'!B:B)</f>
        <v>Unknown</v>
      </c>
      <c r="C2900" s="90" t="str">
        <f>_xlfn.XLOOKUP(A2900,'Model Modeshare by TAZ'!A:A,'Model Modeshare by TAZ'!D:D)</f>
        <v>NO</v>
      </c>
      <c r="D2900" s="27">
        <v>0</v>
      </c>
      <c r="E2900" s="27">
        <v>0</v>
      </c>
      <c r="F2900" s="27">
        <v>0</v>
      </c>
      <c r="G2900" s="27">
        <v>0</v>
      </c>
      <c r="H2900" s="27">
        <v>0</v>
      </c>
      <c r="I2900" s="27">
        <v>0</v>
      </c>
      <c r="J2900" s="6" t="b">
        <v>0</v>
      </c>
      <c r="K2900" s="6" t="b">
        <v>0</v>
      </c>
      <c r="L2900" s="27">
        <v>0</v>
      </c>
      <c r="M2900" s="27">
        <v>0</v>
      </c>
      <c r="N2900" s="34">
        <v>0</v>
      </c>
    </row>
    <row r="2901" spans="1:14" x14ac:dyDescent="0.35">
      <c r="A2901" s="82">
        <v>2898</v>
      </c>
      <c r="B2901" s="89" t="str">
        <f>_xlfn.XLOOKUP(A2901,'Model Modeshare by TAZ'!A:A,'Model Modeshare by TAZ'!B:B)</f>
        <v>Unknown</v>
      </c>
      <c r="C2901" s="90" t="str">
        <f>_xlfn.XLOOKUP(A2901,'Model Modeshare by TAZ'!A:A,'Model Modeshare by TAZ'!D:D)</f>
        <v>NO</v>
      </c>
      <c r="D2901" s="27">
        <v>0</v>
      </c>
      <c r="E2901" s="27">
        <v>0</v>
      </c>
      <c r="F2901" s="27">
        <v>0</v>
      </c>
      <c r="G2901" s="27">
        <v>0</v>
      </c>
      <c r="H2901" s="27">
        <v>0</v>
      </c>
      <c r="I2901" s="27">
        <v>0</v>
      </c>
      <c r="J2901" s="6" t="b">
        <v>0</v>
      </c>
      <c r="K2901" s="6" t="b">
        <v>0</v>
      </c>
      <c r="L2901" s="27">
        <v>0</v>
      </c>
      <c r="M2901" s="27">
        <v>0</v>
      </c>
      <c r="N2901" s="34">
        <v>0</v>
      </c>
    </row>
    <row r="2902" spans="1:14" x14ac:dyDescent="0.35">
      <c r="A2902" s="82">
        <v>2899</v>
      </c>
      <c r="B2902" s="89" t="str">
        <f>_xlfn.XLOOKUP(A2902,'Model Modeshare by TAZ'!A:A,'Model Modeshare by TAZ'!B:B)</f>
        <v>Unknown</v>
      </c>
      <c r="C2902" s="90" t="str">
        <f>_xlfn.XLOOKUP(A2902,'Model Modeshare by TAZ'!A:A,'Model Modeshare by TAZ'!D:D)</f>
        <v>NO</v>
      </c>
      <c r="D2902" s="27">
        <v>0</v>
      </c>
      <c r="E2902" s="27">
        <v>0</v>
      </c>
      <c r="F2902" s="27">
        <v>0</v>
      </c>
      <c r="G2902" s="27">
        <v>0</v>
      </c>
      <c r="H2902" s="27">
        <v>0</v>
      </c>
      <c r="I2902" s="27">
        <v>0</v>
      </c>
      <c r="J2902" s="6" t="b">
        <v>0</v>
      </c>
      <c r="K2902" s="6" t="b">
        <v>0</v>
      </c>
      <c r="L2902" s="27">
        <v>0</v>
      </c>
      <c r="M2902" s="27">
        <v>0</v>
      </c>
      <c r="N2902" s="34">
        <v>0</v>
      </c>
    </row>
    <row r="2903" spans="1:14" x14ac:dyDescent="0.35">
      <c r="A2903" s="82">
        <v>2900</v>
      </c>
      <c r="B2903" s="89" t="str">
        <f>_xlfn.XLOOKUP(A2903,'Model Modeshare by TAZ'!A:A,'Model Modeshare by TAZ'!B:B)</f>
        <v>Unknown</v>
      </c>
      <c r="C2903" s="90" t="str">
        <f>_xlfn.XLOOKUP(A2903,'Model Modeshare by TAZ'!A:A,'Model Modeshare by TAZ'!D:D)</f>
        <v>NO</v>
      </c>
      <c r="D2903" s="27">
        <v>0</v>
      </c>
      <c r="E2903" s="27">
        <v>0</v>
      </c>
      <c r="F2903" s="27">
        <v>0</v>
      </c>
      <c r="G2903" s="27">
        <v>0</v>
      </c>
      <c r="H2903" s="27">
        <v>0</v>
      </c>
      <c r="I2903" s="27">
        <v>0</v>
      </c>
      <c r="J2903" s="6" t="b">
        <v>0</v>
      </c>
      <c r="K2903" s="6" t="b">
        <v>0</v>
      </c>
      <c r="L2903" s="27">
        <v>0</v>
      </c>
      <c r="M2903" s="27">
        <v>0</v>
      </c>
      <c r="N2903" s="34">
        <v>0</v>
      </c>
    </row>
    <row r="2904" spans="1:14" x14ac:dyDescent="0.35">
      <c r="A2904" s="82">
        <v>2901</v>
      </c>
      <c r="B2904" s="89" t="str">
        <f>_xlfn.XLOOKUP(A2904,'Model Modeshare by TAZ'!A:A,'Model Modeshare by TAZ'!B:B)</f>
        <v>Unincorporated</v>
      </c>
      <c r="C2904" s="90" t="str">
        <f>_xlfn.XLOOKUP(A2904,'Model Modeshare by TAZ'!A:A,'Model Modeshare by TAZ'!D:D)</f>
        <v>NO</v>
      </c>
      <c r="D2904" s="27">
        <v>7572.32</v>
      </c>
      <c r="E2904" s="27">
        <v>193722.07</v>
      </c>
      <c r="F2904" s="27">
        <v>6912.56</v>
      </c>
      <c r="G2904" s="27">
        <v>89780.7</v>
      </c>
      <c r="H2904" s="27">
        <v>1308.18</v>
      </c>
      <c r="I2904" s="27">
        <v>16507.490000000002</v>
      </c>
      <c r="J2904" s="6">
        <v>4878</v>
      </c>
      <c r="K2904" s="6">
        <v>1104</v>
      </c>
      <c r="L2904" s="27">
        <v>18.405227552275523</v>
      </c>
      <c r="M2904" s="27">
        <v>14.952436594202901</v>
      </c>
      <c r="N2904" s="34">
        <v>27.524801069876293</v>
      </c>
    </row>
    <row r="2905" spans="1:14" x14ac:dyDescent="0.35">
      <c r="A2905" s="82">
        <v>2902</v>
      </c>
      <c r="B2905" s="89" t="str">
        <f>_xlfn.XLOOKUP(A2905,'Model Modeshare by TAZ'!A:A,'Model Modeshare by TAZ'!B:B)</f>
        <v>Unincorporated</v>
      </c>
      <c r="C2905" s="90" t="str">
        <f>_xlfn.XLOOKUP(A2905,'Model Modeshare by TAZ'!A:A,'Model Modeshare by TAZ'!D:D)</f>
        <v>NO</v>
      </c>
      <c r="D2905" s="27">
        <v>24638.82</v>
      </c>
      <c r="E2905" s="27">
        <v>1104276.83</v>
      </c>
      <c r="F2905" s="27">
        <v>21489.200000000001</v>
      </c>
      <c r="G2905" s="27">
        <v>338629.45</v>
      </c>
      <c r="H2905" s="27">
        <v>3861.39</v>
      </c>
      <c r="I2905" s="27">
        <v>55261.91</v>
      </c>
      <c r="J2905" s="6">
        <v>13657</v>
      </c>
      <c r="K2905" s="6">
        <v>3264</v>
      </c>
      <c r="L2905" s="27">
        <v>24.795302775133631</v>
      </c>
      <c r="M2905" s="27">
        <v>16.930732230392159</v>
      </c>
      <c r="N2905" s="34">
        <v>53.870148927368362</v>
      </c>
    </row>
    <row r="2906" spans="1:14" x14ac:dyDescent="0.35">
      <c r="A2906" s="82">
        <v>2903</v>
      </c>
      <c r="B2906" s="89" t="str">
        <f>_xlfn.XLOOKUP(A2906,'Model Modeshare by TAZ'!A:A,'Model Modeshare by TAZ'!B:B)</f>
        <v>Unincorporated</v>
      </c>
      <c r="C2906" s="90" t="str">
        <f>_xlfn.XLOOKUP(A2906,'Model Modeshare by TAZ'!A:A,'Model Modeshare by TAZ'!D:D)</f>
        <v>NO</v>
      </c>
      <c r="D2906" s="27">
        <v>9766.52</v>
      </c>
      <c r="E2906" s="27">
        <v>405098.37</v>
      </c>
      <c r="F2906" s="27">
        <v>12126.72</v>
      </c>
      <c r="G2906" s="27">
        <v>212642.15</v>
      </c>
      <c r="H2906" s="27">
        <v>655.48</v>
      </c>
      <c r="I2906" s="27">
        <v>12367.97</v>
      </c>
      <c r="J2906" s="6">
        <v>7312</v>
      </c>
      <c r="K2906" s="6">
        <v>554</v>
      </c>
      <c r="L2906" s="27">
        <v>29.081256838074399</v>
      </c>
      <c r="M2906" s="27">
        <v>22.32485559566787</v>
      </c>
      <c r="N2906" s="34">
        <v>48.007725654716502</v>
      </c>
    </row>
    <row r="2907" spans="1:14" x14ac:dyDescent="0.35">
      <c r="A2907" s="82">
        <v>2904</v>
      </c>
      <c r="B2907" s="89" t="str">
        <f>_xlfn.XLOOKUP(A2907,'Model Modeshare by TAZ'!A:A,'Model Modeshare by TAZ'!B:B)</f>
        <v>Unincorporated</v>
      </c>
      <c r="C2907" s="90" t="str">
        <f>_xlfn.XLOOKUP(A2907,'Model Modeshare by TAZ'!A:A,'Model Modeshare by TAZ'!D:D)</f>
        <v>NO</v>
      </c>
      <c r="D2907" s="27">
        <v>29713.49</v>
      </c>
      <c r="E2907" s="27">
        <v>615682.67000000004</v>
      </c>
      <c r="F2907" s="27">
        <v>19501.990000000002</v>
      </c>
      <c r="G2907" s="27">
        <v>170916.16</v>
      </c>
      <c r="H2907" s="27">
        <v>10123.26</v>
      </c>
      <c r="I2907" s="27">
        <v>102794.07</v>
      </c>
      <c r="J2907" s="6">
        <v>12454</v>
      </c>
      <c r="K2907" s="6">
        <v>8556</v>
      </c>
      <c r="L2907" s="27">
        <v>13.723796370643971</v>
      </c>
      <c r="M2907" s="27">
        <v>12.014267180925668</v>
      </c>
      <c r="N2907" s="34">
        <v>21.445379819133745</v>
      </c>
    </row>
    <row r="2908" spans="1:14" x14ac:dyDescent="0.35">
      <c r="A2908" s="82">
        <v>2905</v>
      </c>
      <c r="B2908" s="89" t="str">
        <f>_xlfn.XLOOKUP(A2908,'Model Modeshare by TAZ'!A:A,'Model Modeshare by TAZ'!B:B)</f>
        <v>Unincorporated</v>
      </c>
      <c r="C2908" s="90" t="str">
        <f>_xlfn.XLOOKUP(A2908,'Model Modeshare by TAZ'!A:A,'Model Modeshare by TAZ'!D:D)</f>
        <v>NO</v>
      </c>
      <c r="D2908" s="27">
        <v>51223.56</v>
      </c>
      <c r="E2908" s="27">
        <v>1078790.1000000001</v>
      </c>
      <c r="F2908" s="27">
        <v>35346.21</v>
      </c>
      <c r="G2908" s="27">
        <v>182948.55</v>
      </c>
      <c r="H2908" s="27">
        <v>15800.23</v>
      </c>
      <c r="I2908" s="27">
        <v>111846.83</v>
      </c>
      <c r="J2908" s="6">
        <v>29103</v>
      </c>
      <c r="K2908" s="6">
        <v>13355</v>
      </c>
      <c r="L2908" s="27">
        <v>6.2862436862179152</v>
      </c>
      <c r="M2908" s="27">
        <v>8.374903032572071</v>
      </c>
      <c r="N2908" s="34">
        <v>28.405776532102312</v>
      </c>
    </row>
    <row r="2909" spans="1:14" x14ac:dyDescent="0.35">
      <c r="A2909" s="82">
        <v>2906</v>
      </c>
      <c r="B2909" s="89" t="str">
        <f>_xlfn.XLOOKUP(A2909,'Model Modeshare by TAZ'!A:A,'Model Modeshare by TAZ'!B:B)</f>
        <v>Santa Cruz</v>
      </c>
      <c r="C2909" s="90" t="str">
        <f>_xlfn.XLOOKUP(A2909,'Model Modeshare by TAZ'!A:A,'Model Modeshare by TAZ'!D:D)</f>
        <v>NO</v>
      </c>
      <c r="D2909" s="27">
        <v>63065.86</v>
      </c>
      <c r="E2909" s="27">
        <v>1495556.4</v>
      </c>
      <c r="F2909" s="27">
        <v>26751.52</v>
      </c>
      <c r="G2909" s="27">
        <v>122440.67</v>
      </c>
      <c r="H2909" s="27">
        <v>16653.48</v>
      </c>
      <c r="I2909" s="27">
        <v>110718.41</v>
      </c>
      <c r="J2909" s="6">
        <v>18652</v>
      </c>
      <c r="K2909" s="6">
        <v>14076</v>
      </c>
      <c r="L2909" s="27">
        <v>6.5644794123954533</v>
      </c>
      <c r="M2909" s="27">
        <v>7.8657580278488206</v>
      </c>
      <c r="N2909" s="34">
        <v>37.987150146663403</v>
      </c>
    </row>
    <row r="2910" spans="1:14" x14ac:dyDescent="0.35">
      <c r="A2910" s="82">
        <v>2907</v>
      </c>
      <c r="B2910" s="89" t="str">
        <f>_xlfn.XLOOKUP(A2910,'Model Modeshare by TAZ'!A:A,'Model Modeshare by TAZ'!B:B)</f>
        <v>Santa Cruz</v>
      </c>
      <c r="C2910" s="90" t="str">
        <f>_xlfn.XLOOKUP(A2910,'Model Modeshare by TAZ'!A:A,'Model Modeshare by TAZ'!D:D)</f>
        <v>NO</v>
      </c>
      <c r="D2910" s="27">
        <v>83987.68</v>
      </c>
      <c r="E2910" s="27">
        <v>1372397.4</v>
      </c>
      <c r="F2910" s="27">
        <v>52971.06</v>
      </c>
      <c r="G2910" s="27">
        <v>190890.19</v>
      </c>
      <c r="H2910" s="27">
        <v>21847.08</v>
      </c>
      <c r="I2910" s="27">
        <v>116834.93</v>
      </c>
      <c r="J2910" s="6">
        <v>35972</v>
      </c>
      <c r="K2910" s="6">
        <v>18467</v>
      </c>
      <c r="L2910" s="27">
        <v>5.3066326587345714</v>
      </c>
      <c r="M2910" s="27">
        <v>6.3266870634104073</v>
      </c>
      <c r="N2910" s="34">
        <v>16.625365271221</v>
      </c>
    </row>
    <row r="2911" spans="1:14" x14ac:dyDescent="0.35">
      <c r="A2911" s="82">
        <v>2908</v>
      </c>
      <c r="B2911" s="89" t="str">
        <f>_xlfn.XLOOKUP(A2911,'Model Modeshare by TAZ'!A:A,'Model Modeshare by TAZ'!B:B)</f>
        <v>Capitola</v>
      </c>
      <c r="C2911" s="90" t="str">
        <f>_xlfn.XLOOKUP(A2911,'Model Modeshare by TAZ'!A:A,'Model Modeshare by TAZ'!D:D)</f>
        <v>NO</v>
      </c>
      <c r="D2911" s="27">
        <v>65670.97</v>
      </c>
      <c r="E2911" s="27">
        <v>1647014.92</v>
      </c>
      <c r="F2911" s="27">
        <v>37560.080000000002</v>
      </c>
      <c r="G2911" s="27">
        <v>186102.64</v>
      </c>
      <c r="H2911" s="27">
        <v>13999.65</v>
      </c>
      <c r="I2911" s="27">
        <v>91432</v>
      </c>
      <c r="J2911" s="6">
        <v>22440</v>
      </c>
      <c r="K2911" s="6">
        <v>11833</v>
      </c>
      <c r="L2911" s="27">
        <v>8.2933440285204991</v>
      </c>
      <c r="M2911" s="27">
        <v>7.7268655455083239</v>
      </c>
      <c r="N2911" s="34">
        <v>40.482206693315433</v>
      </c>
    </row>
    <row r="2912" spans="1:14" x14ac:dyDescent="0.35">
      <c r="A2912" s="82">
        <v>2909</v>
      </c>
      <c r="B2912" s="89" t="str">
        <f>_xlfn.XLOOKUP(A2912,'Model Modeshare by TAZ'!A:A,'Model Modeshare by TAZ'!B:B)</f>
        <v>Unincorporated</v>
      </c>
      <c r="C2912" s="90" t="str">
        <f>_xlfn.XLOOKUP(A2912,'Model Modeshare by TAZ'!A:A,'Model Modeshare by TAZ'!D:D)</f>
        <v>NO</v>
      </c>
      <c r="D2912" s="27">
        <v>73209.66</v>
      </c>
      <c r="E2912" s="27">
        <v>1267931.24</v>
      </c>
      <c r="F2912" s="27">
        <v>43877.87</v>
      </c>
      <c r="G2912" s="27">
        <v>157331.35</v>
      </c>
      <c r="H2912" s="27">
        <v>20989.68</v>
      </c>
      <c r="I2912" s="27">
        <v>154781.18</v>
      </c>
      <c r="J2912" s="6">
        <v>28974</v>
      </c>
      <c r="K2912" s="6">
        <v>17741</v>
      </c>
      <c r="L2912" s="27">
        <v>5.4300873196659074</v>
      </c>
      <c r="M2912" s="27">
        <v>8.7244901640268306</v>
      </c>
      <c r="N2912" s="34">
        <v>22.714210424917052</v>
      </c>
    </row>
    <row r="2913" spans="1:14" x14ac:dyDescent="0.35">
      <c r="A2913" s="82">
        <v>2910</v>
      </c>
      <c r="B2913" s="89" t="str">
        <f>_xlfn.XLOOKUP(A2913,'Model Modeshare by TAZ'!A:A,'Model Modeshare by TAZ'!B:B)</f>
        <v>Unincorporated</v>
      </c>
      <c r="C2913" s="90" t="str">
        <f>_xlfn.XLOOKUP(A2913,'Model Modeshare by TAZ'!A:A,'Model Modeshare by TAZ'!D:D)</f>
        <v>NO</v>
      </c>
      <c r="D2913" s="27">
        <v>5193.72</v>
      </c>
      <c r="E2913" s="27">
        <v>109226.14</v>
      </c>
      <c r="F2913" s="27">
        <v>6190.3</v>
      </c>
      <c r="G2913" s="27">
        <v>73202.460000000006</v>
      </c>
      <c r="H2913" s="27">
        <v>555.23</v>
      </c>
      <c r="I2913" s="27">
        <v>8278.06</v>
      </c>
      <c r="J2913" s="6">
        <v>4076</v>
      </c>
      <c r="K2913" s="6">
        <v>469</v>
      </c>
      <c r="L2913" s="27">
        <v>17.959386653581944</v>
      </c>
      <c r="M2913" s="27">
        <v>17.65044776119403</v>
      </c>
      <c r="N2913" s="34">
        <v>21.646798679867985</v>
      </c>
    </row>
    <row r="2914" spans="1:14" x14ac:dyDescent="0.35">
      <c r="A2914" s="82">
        <v>2911</v>
      </c>
      <c r="B2914" s="89" t="str">
        <f>_xlfn.XLOOKUP(A2914,'Model Modeshare by TAZ'!A:A,'Model Modeshare by TAZ'!B:B)</f>
        <v>Unincorporated</v>
      </c>
      <c r="C2914" s="90" t="str">
        <f>_xlfn.XLOOKUP(A2914,'Model Modeshare by TAZ'!A:A,'Model Modeshare by TAZ'!D:D)</f>
        <v>NO</v>
      </c>
      <c r="D2914" s="27">
        <v>22396.240000000002</v>
      </c>
      <c r="E2914" s="27">
        <v>489567.23</v>
      </c>
      <c r="F2914" s="27">
        <v>22222.560000000001</v>
      </c>
      <c r="G2914" s="27">
        <v>253108.5</v>
      </c>
      <c r="H2914" s="27">
        <v>5152.34</v>
      </c>
      <c r="I2914" s="27">
        <v>55635.68</v>
      </c>
      <c r="J2914" s="6">
        <v>15706</v>
      </c>
      <c r="K2914" s="6">
        <v>4354</v>
      </c>
      <c r="L2914" s="27">
        <v>16.115401757290208</v>
      </c>
      <c r="M2914" s="27">
        <v>12.778061552595315</v>
      </c>
      <c r="N2914" s="34">
        <v>24.925322532402792</v>
      </c>
    </row>
    <row r="2915" spans="1:14" x14ac:dyDescent="0.35">
      <c r="A2915" s="82">
        <v>2912</v>
      </c>
      <c r="B2915" s="89" t="str">
        <f>_xlfn.XLOOKUP(A2915,'Model Modeshare by TAZ'!A:A,'Model Modeshare by TAZ'!B:B)</f>
        <v>Unincorporated</v>
      </c>
      <c r="C2915" s="90" t="str">
        <f>_xlfn.XLOOKUP(A2915,'Model Modeshare by TAZ'!A:A,'Model Modeshare by TAZ'!D:D)</f>
        <v>NO</v>
      </c>
      <c r="D2915" s="27">
        <v>22971.65</v>
      </c>
      <c r="E2915" s="27">
        <v>278354.12</v>
      </c>
      <c r="F2915" s="27">
        <v>25293.95</v>
      </c>
      <c r="G2915" s="27">
        <v>150609.32</v>
      </c>
      <c r="H2915" s="27">
        <v>6335.35</v>
      </c>
      <c r="I2915" s="27">
        <v>36891.129999999997</v>
      </c>
      <c r="J2915" s="6">
        <v>13775</v>
      </c>
      <c r="K2915" s="6">
        <v>5353</v>
      </c>
      <c r="L2915" s="27">
        <v>10.933525952813067</v>
      </c>
      <c r="M2915" s="27">
        <v>6.8916738277601342</v>
      </c>
      <c r="N2915" s="34">
        <v>15.491768088665829</v>
      </c>
    </row>
    <row r="2916" spans="1:14" x14ac:dyDescent="0.35">
      <c r="A2916" s="82">
        <v>2913</v>
      </c>
      <c r="B2916" s="89" t="str">
        <f>_xlfn.XLOOKUP(A2916,'Model Modeshare by TAZ'!A:A,'Model Modeshare by TAZ'!B:B)</f>
        <v>Watsonville</v>
      </c>
      <c r="C2916" s="90" t="str">
        <f>_xlfn.XLOOKUP(A2916,'Model Modeshare by TAZ'!A:A,'Model Modeshare by TAZ'!D:D)</f>
        <v>NO</v>
      </c>
      <c r="D2916" s="27">
        <v>120695.38</v>
      </c>
      <c r="E2916" s="27">
        <v>2648056.29</v>
      </c>
      <c r="F2916" s="27">
        <v>79728.39</v>
      </c>
      <c r="G2916" s="27">
        <v>816188.84</v>
      </c>
      <c r="H2916" s="27">
        <v>30456.46</v>
      </c>
      <c r="I2916" s="27">
        <v>201100.05</v>
      </c>
      <c r="J2916" s="6">
        <v>63406</v>
      </c>
      <c r="K2916" s="6">
        <v>25742</v>
      </c>
      <c r="L2916" s="27">
        <v>12.872422799104186</v>
      </c>
      <c r="M2916" s="27">
        <v>7.8121377515344568</v>
      </c>
      <c r="N2916" s="34">
        <v>25.251505249697132</v>
      </c>
    </row>
    <row r="2917" spans="1:14" x14ac:dyDescent="0.35">
      <c r="A2917" s="82">
        <v>2914</v>
      </c>
      <c r="B2917" s="89" t="str">
        <f>_xlfn.XLOOKUP(A2917,'Model Modeshare by TAZ'!A:A,'Model Modeshare by TAZ'!B:B)</f>
        <v>Unincorporated</v>
      </c>
      <c r="C2917" s="90" t="str">
        <f>_xlfn.XLOOKUP(A2917,'Model Modeshare by TAZ'!A:A,'Model Modeshare by TAZ'!D:D)</f>
        <v>NO</v>
      </c>
      <c r="D2917" s="27">
        <v>2883.63</v>
      </c>
      <c r="E2917" s="27">
        <v>140717.91</v>
      </c>
      <c r="F2917" s="27">
        <v>2274.2199999999998</v>
      </c>
      <c r="G2917" s="27">
        <v>51227.26</v>
      </c>
      <c r="H2917" s="27">
        <v>2742.83</v>
      </c>
      <c r="I2917" s="27">
        <v>44883.42</v>
      </c>
      <c r="J2917" s="6">
        <v>1543</v>
      </c>
      <c r="K2917" s="6">
        <v>2317</v>
      </c>
      <c r="L2917" s="27">
        <v>33.199779650032404</v>
      </c>
      <c r="M2917" s="27">
        <v>19.37135088476478</v>
      </c>
      <c r="N2917" s="34">
        <v>45.427334196891195</v>
      </c>
    </row>
    <row r="2918" spans="1:14" x14ac:dyDescent="0.35">
      <c r="A2918" s="82">
        <v>2915</v>
      </c>
      <c r="B2918" s="89" t="str">
        <f>_xlfn.XLOOKUP(A2918,'Model Modeshare by TAZ'!A:A,'Model Modeshare by TAZ'!B:B)</f>
        <v>Unincorporated</v>
      </c>
      <c r="C2918" s="90" t="str">
        <f>_xlfn.XLOOKUP(A2918,'Model Modeshare by TAZ'!A:A,'Model Modeshare by TAZ'!D:D)</f>
        <v>NO</v>
      </c>
      <c r="D2918" s="27">
        <v>10328.49</v>
      </c>
      <c r="E2918" s="27">
        <v>510805.05</v>
      </c>
      <c r="F2918" s="27">
        <v>9739.68</v>
      </c>
      <c r="G2918" s="27">
        <v>314470.89</v>
      </c>
      <c r="H2918" s="27">
        <v>1692.6</v>
      </c>
      <c r="I2918" s="27">
        <v>25933.29</v>
      </c>
      <c r="J2918" s="6">
        <v>6805</v>
      </c>
      <c r="K2918" s="6">
        <v>1432</v>
      </c>
      <c r="L2918" s="27">
        <v>46.211739897134464</v>
      </c>
      <c r="M2918" s="27">
        <v>18.10983938547486</v>
      </c>
      <c r="N2918" s="34">
        <v>58.678550443122489</v>
      </c>
    </row>
    <row r="2919" spans="1:14" x14ac:dyDescent="0.35">
      <c r="A2919" s="82">
        <v>2916</v>
      </c>
      <c r="B2919" s="89" t="str">
        <f>_xlfn.XLOOKUP(A2919,'Model Modeshare by TAZ'!A:A,'Model Modeshare by TAZ'!B:B)</f>
        <v>Unincorporated</v>
      </c>
      <c r="C2919" s="90" t="str">
        <f>_xlfn.XLOOKUP(A2919,'Model Modeshare by TAZ'!A:A,'Model Modeshare by TAZ'!D:D)</f>
        <v>NO</v>
      </c>
      <c r="D2919" s="27">
        <v>12361.31</v>
      </c>
      <c r="E2919" s="27">
        <v>418778.17</v>
      </c>
      <c r="F2919" s="27">
        <v>8399.57</v>
      </c>
      <c r="G2919" s="27">
        <v>166807.10999999999</v>
      </c>
      <c r="H2919" s="27">
        <v>6595.29</v>
      </c>
      <c r="I2919" s="27">
        <v>100503.02</v>
      </c>
      <c r="J2919" s="6">
        <v>6910</v>
      </c>
      <c r="K2919" s="6">
        <v>5582</v>
      </c>
      <c r="L2919" s="27">
        <v>24.139958031837914</v>
      </c>
      <c r="M2919" s="27">
        <v>18.004840558939449</v>
      </c>
      <c r="N2919" s="34">
        <v>34.191865193723984</v>
      </c>
    </row>
    <row r="2920" spans="1:14" x14ac:dyDescent="0.35">
      <c r="A2920" s="82">
        <v>2917</v>
      </c>
      <c r="B2920" s="89" t="str">
        <f>_xlfn.XLOOKUP(A2920,'Model Modeshare by TAZ'!A:A,'Model Modeshare by TAZ'!B:B)</f>
        <v>Unincorporated</v>
      </c>
      <c r="C2920" s="90" t="str">
        <f>_xlfn.XLOOKUP(A2920,'Model Modeshare by TAZ'!A:A,'Model Modeshare by TAZ'!D:D)</f>
        <v>NO</v>
      </c>
      <c r="D2920" s="27">
        <v>35930.230000000003</v>
      </c>
      <c r="E2920" s="27">
        <v>511176.55</v>
      </c>
      <c r="F2920" s="27">
        <v>26316.92</v>
      </c>
      <c r="G2920" s="27">
        <v>314030.98</v>
      </c>
      <c r="H2920" s="27">
        <v>7547.51</v>
      </c>
      <c r="I2920" s="27">
        <v>42385.48</v>
      </c>
      <c r="J2920" s="6">
        <v>21806</v>
      </c>
      <c r="K2920" s="6">
        <v>6388</v>
      </c>
      <c r="L2920" s="27">
        <v>14.401127212693753</v>
      </c>
      <c r="M2920" s="27">
        <v>6.6351721978710083</v>
      </c>
      <c r="N2920" s="34">
        <v>18.231903241824504</v>
      </c>
    </row>
    <row r="2921" spans="1:14" x14ac:dyDescent="0.35">
      <c r="A2921" s="82">
        <v>2918</v>
      </c>
      <c r="B2921" s="89" t="str">
        <f>_xlfn.XLOOKUP(A2921,'Model Modeshare by TAZ'!A:A,'Model Modeshare by TAZ'!B:B)</f>
        <v>Hollister</v>
      </c>
      <c r="C2921" s="90" t="str">
        <f>_xlfn.XLOOKUP(A2921,'Model Modeshare by TAZ'!A:A,'Model Modeshare by TAZ'!D:D)</f>
        <v>NO</v>
      </c>
      <c r="D2921" s="27">
        <v>27968.34</v>
      </c>
      <c r="E2921" s="27">
        <v>417119.96</v>
      </c>
      <c r="F2921" s="27">
        <v>29103.67</v>
      </c>
      <c r="G2921" s="27">
        <v>332366.03000000003</v>
      </c>
      <c r="H2921" s="27">
        <v>3361.88</v>
      </c>
      <c r="I2921" s="27">
        <v>20150.63</v>
      </c>
      <c r="J2921" s="6">
        <v>23896</v>
      </c>
      <c r="K2921" s="6">
        <v>2845</v>
      </c>
      <c r="L2921" s="27">
        <v>13.90885629394041</v>
      </c>
      <c r="M2921" s="27">
        <v>7.0828224956063268</v>
      </c>
      <c r="N2921" s="34">
        <v>17.32291462548147</v>
      </c>
    </row>
    <row r="2922" spans="1:14" x14ac:dyDescent="0.35">
      <c r="A2922" s="82">
        <v>2919</v>
      </c>
      <c r="B2922" s="89" t="str">
        <f>_xlfn.XLOOKUP(A2922,'Model Modeshare by TAZ'!A:A,'Model Modeshare by TAZ'!B:B)</f>
        <v>Unincorporated</v>
      </c>
      <c r="C2922" s="90" t="str">
        <f>_xlfn.XLOOKUP(A2922,'Model Modeshare by TAZ'!A:A,'Model Modeshare by TAZ'!D:D)</f>
        <v>NO</v>
      </c>
      <c r="D2922" s="27">
        <v>10773.93</v>
      </c>
      <c r="E2922" s="27">
        <v>1120531.3999999999</v>
      </c>
      <c r="F2922" s="27">
        <v>12061.47</v>
      </c>
      <c r="G2922" s="27">
        <v>680276.65</v>
      </c>
      <c r="H2922" s="27">
        <v>2673.6</v>
      </c>
      <c r="I2922" s="27">
        <v>79799.199999999997</v>
      </c>
      <c r="J2922" s="6">
        <v>10378</v>
      </c>
      <c r="K2922" s="6">
        <v>2262</v>
      </c>
      <c r="L2922" s="27">
        <v>65.549879552900364</v>
      </c>
      <c r="M2922" s="27">
        <v>35.278160919540227</v>
      </c>
      <c r="N2922" s="34">
        <v>78.215091772151894</v>
      </c>
    </row>
    <row r="2923" spans="1:14" x14ac:dyDescent="0.35">
      <c r="A2923" s="82">
        <v>2920</v>
      </c>
      <c r="B2923" s="89" t="str">
        <f>_xlfn.XLOOKUP(A2923,'Model Modeshare by TAZ'!A:A,'Model Modeshare by TAZ'!B:B)</f>
        <v>Unincorporated</v>
      </c>
      <c r="C2923" s="90" t="str">
        <f>_xlfn.XLOOKUP(A2923,'Model Modeshare by TAZ'!A:A,'Model Modeshare by TAZ'!D:D)</f>
        <v>NO</v>
      </c>
      <c r="D2923" s="27">
        <v>52355.040000000001</v>
      </c>
      <c r="E2923" s="27">
        <v>1244538.03</v>
      </c>
      <c r="F2923" s="27">
        <v>50820.66</v>
      </c>
      <c r="G2923" s="27">
        <v>626709.81000000006</v>
      </c>
      <c r="H2923" s="27">
        <v>13757.49</v>
      </c>
      <c r="I2923" s="27">
        <v>141862.22</v>
      </c>
      <c r="J2923" s="6">
        <v>32590</v>
      </c>
      <c r="K2923" s="6">
        <v>11951</v>
      </c>
      <c r="L2923" s="27">
        <v>19.23012611230439</v>
      </c>
      <c r="M2923" s="27">
        <v>11.870322148774161</v>
      </c>
      <c r="N2923" s="34">
        <v>24.42063963539211</v>
      </c>
    </row>
    <row r="2924" spans="1:14" x14ac:dyDescent="0.35">
      <c r="A2924" s="82">
        <v>2921</v>
      </c>
      <c r="B2924" s="89" t="str">
        <f>_xlfn.XLOOKUP(A2924,'Model Modeshare by TAZ'!A:A,'Model Modeshare by TAZ'!B:B)</f>
        <v>Unincorporated</v>
      </c>
      <c r="C2924" s="90" t="str">
        <f>_xlfn.XLOOKUP(A2924,'Model Modeshare by TAZ'!A:A,'Model Modeshare by TAZ'!D:D)</f>
        <v>NO</v>
      </c>
      <c r="D2924" s="27">
        <v>17342.689999999999</v>
      </c>
      <c r="E2924" s="27">
        <v>455720.38</v>
      </c>
      <c r="F2924" s="27">
        <v>13640.28</v>
      </c>
      <c r="G2924" s="27">
        <v>221721.95</v>
      </c>
      <c r="H2924" s="27">
        <v>5800.3</v>
      </c>
      <c r="I2924" s="27">
        <v>68150.75</v>
      </c>
      <c r="J2924" s="6">
        <v>7857</v>
      </c>
      <c r="K2924" s="6">
        <v>5039</v>
      </c>
      <c r="L2924" s="27">
        <v>28.219670357642869</v>
      </c>
      <c r="M2924" s="27">
        <v>13.524657670172653</v>
      </c>
      <c r="N2924" s="34">
        <v>37.187027760545902</v>
      </c>
    </row>
    <row r="2925" spans="1:14" x14ac:dyDescent="0.35">
      <c r="A2925" s="82">
        <v>2922</v>
      </c>
      <c r="B2925" s="89" t="str">
        <f>_xlfn.XLOOKUP(A2925,'Model Modeshare by TAZ'!A:A,'Model Modeshare by TAZ'!B:B)</f>
        <v>Unincorporated</v>
      </c>
      <c r="C2925" s="90" t="str">
        <f>_xlfn.XLOOKUP(A2925,'Model Modeshare by TAZ'!A:A,'Model Modeshare by TAZ'!D:D)</f>
        <v>NO</v>
      </c>
      <c r="D2925" s="27">
        <v>32375.57</v>
      </c>
      <c r="E2925" s="27">
        <v>603581.36</v>
      </c>
      <c r="F2925" s="27">
        <v>15801.31</v>
      </c>
      <c r="G2925" s="27">
        <v>128829.12</v>
      </c>
      <c r="H2925" s="27">
        <v>10757.43</v>
      </c>
      <c r="I2925" s="27">
        <v>88802.25</v>
      </c>
      <c r="J2925" s="6">
        <v>12032</v>
      </c>
      <c r="K2925" s="6">
        <v>9344</v>
      </c>
      <c r="L2925" s="27">
        <v>10.707207446808511</v>
      </c>
      <c r="M2925" s="27">
        <v>9.5036654537671232</v>
      </c>
      <c r="N2925" s="34">
        <v>23.439026478293414</v>
      </c>
    </row>
    <row r="2926" spans="1:14" x14ac:dyDescent="0.35">
      <c r="A2926" s="82">
        <v>2923</v>
      </c>
      <c r="B2926" s="89" t="str">
        <f>_xlfn.XLOOKUP(A2926,'Model Modeshare by TAZ'!A:A,'Model Modeshare by TAZ'!B:B)</f>
        <v>Unincorporated</v>
      </c>
      <c r="C2926" s="90" t="str">
        <f>_xlfn.XLOOKUP(A2926,'Model Modeshare by TAZ'!A:A,'Model Modeshare by TAZ'!D:D)</f>
        <v>NO</v>
      </c>
      <c r="D2926" s="27">
        <v>37694.93</v>
      </c>
      <c r="E2926" s="27">
        <v>760809.54</v>
      </c>
      <c r="F2926" s="27">
        <v>35755.660000000003</v>
      </c>
      <c r="G2926" s="27">
        <v>322518.98</v>
      </c>
      <c r="H2926" s="27">
        <v>8721.7099999999991</v>
      </c>
      <c r="I2926" s="27">
        <v>80185.48</v>
      </c>
      <c r="J2926" s="6">
        <v>25435</v>
      </c>
      <c r="K2926" s="6">
        <v>7576</v>
      </c>
      <c r="L2926" s="27">
        <v>12.680125024572439</v>
      </c>
      <c r="M2926" s="27">
        <v>10.584144667370644</v>
      </c>
      <c r="N2926" s="34">
        <v>18.366549634970163</v>
      </c>
    </row>
    <row r="2927" spans="1:14" x14ac:dyDescent="0.35">
      <c r="A2927" s="82">
        <v>2924</v>
      </c>
      <c r="B2927" s="89" t="str">
        <f>_xlfn.XLOOKUP(A2927,'Model Modeshare by TAZ'!A:A,'Model Modeshare by TAZ'!B:B)</f>
        <v>Salinas</v>
      </c>
      <c r="C2927" s="90" t="str">
        <f>_xlfn.XLOOKUP(A2927,'Model Modeshare by TAZ'!A:A,'Model Modeshare by TAZ'!D:D)</f>
        <v>NO</v>
      </c>
      <c r="D2927" s="27">
        <v>148315.68</v>
      </c>
      <c r="E2927" s="27">
        <v>2904734.18</v>
      </c>
      <c r="F2927" s="27">
        <v>141727.09</v>
      </c>
      <c r="G2927" s="27">
        <v>1525391.26</v>
      </c>
      <c r="H2927" s="27">
        <v>21577.83</v>
      </c>
      <c r="I2927" s="27">
        <v>78119.44</v>
      </c>
      <c r="J2927" s="6">
        <v>114794</v>
      </c>
      <c r="K2927" s="6">
        <v>18743</v>
      </c>
      <c r="L2927" s="27">
        <v>13.288074812272418</v>
      </c>
      <c r="M2927" s="27">
        <v>4.1679261590993972</v>
      </c>
      <c r="N2927" s="34">
        <v>16.626067681616334</v>
      </c>
    </row>
    <row r="2928" spans="1:14" x14ac:dyDescent="0.35">
      <c r="A2928" s="82">
        <v>2925</v>
      </c>
      <c r="B2928" s="89" t="str">
        <f>_xlfn.XLOOKUP(A2928,'Model Modeshare by TAZ'!A:A,'Model Modeshare by TAZ'!B:B)</f>
        <v>Unincorporated</v>
      </c>
      <c r="C2928" s="90" t="str">
        <f>_xlfn.XLOOKUP(A2928,'Model Modeshare by TAZ'!A:A,'Model Modeshare by TAZ'!D:D)</f>
        <v>NO</v>
      </c>
      <c r="D2928" s="27">
        <v>10825.46</v>
      </c>
      <c r="E2928" s="27">
        <v>437162.87</v>
      </c>
      <c r="F2928" s="27">
        <v>13744.01</v>
      </c>
      <c r="G2928" s="27">
        <v>257934.16</v>
      </c>
      <c r="H2928" s="27">
        <v>3609.7</v>
      </c>
      <c r="I2928" s="27">
        <v>61373.34</v>
      </c>
      <c r="J2928" s="6">
        <v>7627</v>
      </c>
      <c r="K2928" s="6">
        <v>3135</v>
      </c>
      <c r="L2928" s="27">
        <v>33.818560377605877</v>
      </c>
      <c r="M2928" s="27">
        <v>19.576822966507176</v>
      </c>
      <c r="N2928" s="34">
        <v>38.775714551198661</v>
      </c>
    </row>
    <row r="2929" spans="1:14" x14ac:dyDescent="0.35">
      <c r="A2929" s="82">
        <v>2926</v>
      </c>
      <c r="B2929" s="89" t="str">
        <f>_xlfn.XLOOKUP(A2929,'Model Modeshare by TAZ'!A:A,'Model Modeshare by TAZ'!B:B)</f>
        <v>Unincorporated</v>
      </c>
      <c r="C2929" s="90" t="str">
        <f>_xlfn.XLOOKUP(A2929,'Model Modeshare by TAZ'!A:A,'Model Modeshare by TAZ'!D:D)</f>
        <v>NO</v>
      </c>
      <c r="D2929" s="27">
        <v>103361.1</v>
      </c>
      <c r="E2929" s="27">
        <v>2064356.79</v>
      </c>
      <c r="F2929" s="27">
        <v>39384</v>
      </c>
      <c r="G2929" s="27">
        <v>127126.09</v>
      </c>
      <c r="H2929" s="27">
        <v>42899.75</v>
      </c>
      <c r="I2929" s="27">
        <v>393316.67</v>
      </c>
      <c r="J2929" s="6">
        <v>29439</v>
      </c>
      <c r="K2929" s="6">
        <v>37266</v>
      </c>
      <c r="L2929" s="27">
        <v>4.3182883250110393</v>
      </c>
      <c r="M2929" s="27">
        <v>10.554303386464873</v>
      </c>
      <c r="N2929" s="34">
        <v>17.772369087774528</v>
      </c>
    </row>
    <row r="2930" spans="1:14" x14ac:dyDescent="0.35">
      <c r="A2930" s="82">
        <v>2927</v>
      </c>
      <c r="B2930" s="89" t="str">
        <f>_xlfn.XLOOKUP(A2930,'Model Modeshare by TAZ'!A:A,'Model Modeshare by TAZ'!B:B)</f>
        <v>Unincorporated</v>
      </c>
      <c r="C2930" s="90" t="str">
        <f>_xlfn.XLOOKUP(A2930,'Model Modeshare by TAZ'!A:A,'Model Modeshare by TAZ'!D:D)</f>
        <v>NO</v>
      </c>
      <c r="D2930" s="27">
        <v>16237.23</v>
      </c>
      <c r="E2930" s="27">
        <v>692834.43</v>
      </c>
      <c r="F2930" s="27">
        <v>16918.240000000002</v>
      </c>
      <c r="G2930" s="27">
        <v>345227.21</v>
      </c>
      <c r="H2930" s="27">
        <v>4435.74</v>
      </c>
      <c r="I2930" s="27">
        <v>79170.33</v>
      </c>
      <c r="J2930" s="6">
        <v>9846</v>
      </c>
      <c r="K2930" s="6">
        <v>3853</v>
      </c>
      <c r="L2930" s="27">
        <v>35.062686370099534</v>
      </c>
      <c r="M2930" s="27">
        <v>20.547710874643137</v>
      </c>
      <c r="N2930" s="34">
        <v>46.943348419592674</v>
      </c>
    </row>
    <row r="2931" spans="1:14" x14ac:dyDescent="0.35">
      <c r="A2931" s="82">
        <v>2928</v>
      </c>
      <c r="B2931" s="89" t="str">
        <f>_xlfn.XLOOKUP(A2931,'Model Modeshare by TAZ'!A:A,'Model Modeshare by TAZ'!B:B)</f>
        <v>Unincorporated</v>
      </c>
      <c r="C2931" s="90" t="str">
        <f>_xlfn.XLOOKUP(A2931,'Model Modeshare by TAZ'!A:A,'Model Modeshare by TAZ'!D:D)</f>
        <v>NO</v>
      </c>
      <c r="D2931" s="27">
        <v>103682.27</v>
      </c>
      <c r="E2931" s="27">
        <v>3188503.43</v>
      </c>
      <c r="F2931" s="27">
        <v>69041.45</v>
      </c>
      <c r="G2931" s="27">
        <v>604790.6</v>
      </c>
      <c r="H2931" s="27">
        <v>30693.15</v>
      </c>
      <c r="I2931" s="27">
        <v>278122.62</v>
      </c>
      <c r="J2931" s="6">
        <v>47214</v>
      </c>
      <c r="K2931" s="6">
        <v>26662</v>
      </c>
      <c r="L2931" s="27">
        <v>12.809560723514211</v>
      </c>
      <c r="M2931" s="27">
        <v>10.431423749156101</v>
      </c>
      <c r="N2931" s="34">
        <v>37.234767718880292</v>
      </c>
    </row>
    <row r="2932" spans="1:14" x14ac:dyDescent="0.35">
      <c r="A2932" s="82">
        <v>2929</v>
      </c>
      <c r="B2932" s="89" t="str">
        <f>_xlfn.XLOOKUP(A2932,'Model Modeshare by TAZ'!A:A,'Model Modeshare by TAZ'!B:B)</f>
        <v>Unincorporated</v>
      </c>
      <c r="C2932" s="90" t="str">
        <f>_xlfn.XLOOKUP(A2932,'Model Modeshare by TAZ'!A:A,'Model Modeshare by TAZ'!D:D)</f>
        <v>NO</v>
      </c>
      <c r="D2932" s="27">
        <v>153277.07999999999</v>
      </c>
      <c r="E2932" s="27">
        <v>5740406.9699999997</v>
      </c>
      <c r="F2932" s="27">
        <v>84585.32</v>
      </c>
      <c r="G2932" s="27">
        <v>469576.59</v>
      </c>
      <c r="H2932" s="27">
        <v>45363.68</v>
      </c>
      <c r="I2932" s="27">
        <v>314892.27</v>
      </c>
      <c r="J2932" s="6">
        <v>58199</v>
      </c>
      <c r="K2932" s="6">
        <v>39407</v>
      </c>
      <c r="L2932" s="27">
        <v>8.0684649220777001</v>
      </c>
      <c r="M2932" s="27">
        <v>7.9907699139746748</v>
      </c>
      <c r="N2932" s="34">
        <v>40.9243604901338</v>
      </c>
    </row>
    <row r="2933" spans="1:14" x14ac:dyDescent="0.35">
      <c r="A2933" s="82">
        <v>2930</v>
      </c>
      <c r="B2933" s="89" t="str">
        <f>_xlfn.XLOOKUP(A2933,'Model Modeshare by TAZ'!A:A,'Model Modeshare by TAZ'!B:B)</f>
        <v>Unincorporated</v>
      </c>
      <c r="C2933" s="90" t="str">
        <f>_xlfn.XLOOKUP(A2933,'Model Modeshare by TAZ'!A:A,'Model Modeshare by TAZ'!D:D)</f>
        <v>NO</v>
      </c>
      <c r="D2933" s="27">
        <v>42915.48</v>
      </c>
      <c r="E2933" s="27">
        <v>2297968.56</v>
      </c>
      <c r="F2933" s="27">
        <v>28071.51</v>
      </c>
      <c r="G2933" s="27">
        <v>495411.87</v>
      </c>
      <c r="H2933" s="27">
        <v>10909.78</v>
      </c>
      <c r="I2933" s="27">
        <v>125797.75</v>
      </c>
      <c r="J2933" s="6">
        <v>20878</v>
      </c>
      <c r="K2933" s="6">
        <v>9476</v>
      </c>
      <c r="L2933" s="27">
        <v>23.728895009100487</v>
      </c>
      <c r="M2933" s="27">
        <v>13.27540628957366</v>
      </c>
      <c r="N2933" s="34">
        <v>56.608847268893719</v>
      </c>
    </row>
    <row r="2934" spans="1:14" x14ac:dyDescent="0.35">
      <c r="A2934" s="82">
        <v>2931</v>
      </c>
      <c r="B2934" s="89" t="str">
        <f>_xlfn.XLOOKUP(A2934,'Model Modeshare by TAZ'!A:A,'Model Modeshare by TAZ'!B:B)</f>
        <v>Unincorporated</v>
      </c>
      <c r="C2934" s="90" t="str">
        <f>_xlfn.XLOOKUP(A2934,'Model Modeshare by TAZ'!A:A,'Model Modeshare by TAZ'!D:D)</f>
        <v>NO</v>
      </c>
      <c r="D2934" s="27">
        <v>67013.45</v>
      </c>
      <c r="E2934" s="27">
        <v>6093277.7999999998</v>
      </c>
      <c r="F2934" s="27">
        <v>62645.95</v>
      </c>
      <c r="G2934" s="27">
        <v>2195817.88</v>
      </c>
      <c r="H2934" s="27">
        <v>28306.47</v>
      </c>
      <c r="I2934" s="27">
        <v>464114.36</v>
      </c>
      <c r="J2934" s="6">
        <v>68991</v>
      </c>
      <c r="K2934" s="6">
        <v>24589</v>
      </c>
      <c r="L2934" s="27">
        <v>31.827598962183473</v>
      </c>
      <c r="M2934" s="27">
        <v>18.874877384196186</v>
      </c>
      <c r="N2934" s="34">
        <v>40.199414191066467</v>
      </c>
    </row>
    <row r="2935" spans="1:14" x14ac:dyDescent="0.35">
      <c r="A2935" s="82">
        <v>2932</v>
      </c>
      <c r="B2935" s="89" t="str">
        <f>_xlfn.XLOOKUP(A2935,'Model Modeshare by TAZ'!A:A,'Model Modeshare by TAZ'!B:B)</f>
        <v>Unincorporated</v>
      </c>
      <c r="C2935" s="90" t="str">
        <f>_xlfn.XLOOKUP(A2935,'Model Modeshare by TAZ'!A:A,'Model Modeshare by TAZ'!D:D)</f>
        <v>NO</v>
      </c>
      <c r="D2935" s="27">
        <v>34665.64</v>
      </c>
      <c r="E2935" s="27">
        <v>2240286.08</v>
      </c>
      <c r="F2935" s="27">
        <v>30376.84</v>
      </c>
      <c r="G2935" s="27">
        <v>820301.99</v>
      </c>
      <c r="H2935" s="27">
        <v>11340.02</v>
      </c>
      <c r="I2935" s="27">
        <v>14815.03</v>
      </c>
      <c r="J2935" s="6">
        <v>23673</v>
      </c>
      <c r="K2935" s="6">
        <v>9853</v>
      </c>
      <c r="L2935" s="27">
        <v>34.651374561737001</v>
      </c>
      <c r="M2935" s="27">
        <v>1.5036060083223384</v>
      </c>
      <c r="N2935" s="34">
        <v>27.681504503967069</v>
      </c>
    </row>
    <row r="2936" spans="1:14" x14ac:dyDescent="0.35">
      <c r="A2936" s="82">
        <v>2933</v>
      </c>
      <c r="B2936" s="89" t="str">
        <f>_xlfn.XLOOKUP(A2936,'Model Modeshare by TAZ'!A:A,'Model Modeshare by TAZ'!B:B)</f>
        <v>Tracy</v>
      </c>
      <c r="C2936" s="90" t="str">
        <f>_xlfn.XLOOKUP(A2936,'Model Modeshare by TAZ'!A:A,'Model Modeshare by TAZ'!D:D)</f>
        <v>NO</v>
      </c>
      <c r="D2936" s="27">
        <v>35916.01</v>
      </c>
      <c r="E2936" s="27">
        <v>807305.48</v>
      </c>
      <c r="F2936" s="27">
        <v>18253.39</v>
      </c>
      <c r="G2936" s="27">
        <v>265392.53999999998</v>
      </c>
      <c r="H2936" s="27">
        <v>3127.51</v>
      </c>
      <c r="I2936" s="27">
        <v>22013.7</v>
      </c>
      <c r="J2936" s="6">
        <v>0</v>
      </c>
      <c r="K2936" s="6">
        <v>2473</v>
      </c>
      <c r="L2936" s="27">
        <v>0</v>
      </c>
      <c r="M2936" s="27">
        <v>8.901617468661545</v>
      </c>
      <c r="N2936" s="34">
        <v>146.40963202587952</v>
      </c>
    </row>
    <row r="2937" spans="1:14" x14ac:dyDescent="0.35">
      <c r="A2937" s="82">
        <v>2934</v>
      </c>
      <c r="B2937" s="89" t="str">
        <f>_xlfn.XLOOKUP(A2937,'Model Modeshare by TAZ'!A:A,'Model Modeshare by TAZ'!B:B)</f>
        <v>Unincorporated</v>
      </c>
      <c r="C2937" s="90" t="str">
        <f>_xlfn.XLOOKUP(A2937,'Model Modeshare by TAZ'!A:A,'Model Modeshare by TAZ'!D:D)</f>
        <v>NO</v>
      </c>
      <c r="D2937" s="27">
        <v>16249.45</v>
      </c>
      <c r="E2937" s="27">
        <v>292959.74</v>
      </c>
      <c r="F2937" s="27">
        <v>22660.6</v>
      </c>
      <c r="G2937" s="27">
        <v>338439.42</v>
      </c>
      <c r="H2937" s="27">
        <v>4709.95</v>
      </c>
      <c r="I2937" s="27">
        <v>39083.660000000003</v>
      </c>
      <c r="J2937" s="6">
        <v>0</v>
      </c>
      <c r="K2937" s="6">
        <v>3724</v>
      </c>
      <c r="L2937" s="27">
        <v>0</v>
      </c>
      <c r="M2937" s="27">
        <v>10.495075187969926</v>
      </c>
      <c r="N2937" s="34">
        <v>111.87790547798066</v>
      </c>
    </row>
    <row r="2938" spans="1:14" x14ac:dyDescent="0.35">
      <c r="A2938" s="82">
        <v>2935</v>
      </c>
      <c r="B2938" s="89" t="str">
        <f>_xlfn.XLOOKUP(A2938,'Model Modeshare by TAZ'!A:A,'Model Modeshare by TAZ'!B:B)</f>
        <v>Unincorporated</v>
      </c>
      <c r="C2938" s="90" t="str">
        <f>_xlfn.XLOOKUP(A2938,'Model Modeshare by TAZ'!A:A,'Model Modeshare by TAZ'!D:D)</f>
        <v>NO</v>
      </c>
      <c r="D2938" s="27">
        <v>49883.17</v>
      </c>
      <c r="E2938" s="27">
        <v>1642752.65</v>
      </c>
      <c r="F2938" s="27">
        <v>34110.160000000003</v>
      </c>
      <c r="G2938" s="27">
        <v>807657.91</v>
      </c>
      <c r="H2938" s="27">
        <v>6090.15</v>
      </c>
      <c r="I2938" s="27">
        <v>59092.55</v>
      </c>
      <c r="J2938" s="6">
        <v>0</v>
      </c>
      <c r="K2938" s="6">
        <v>4814</v>
      </c>
      <c r="L2938" s="27">
        <v>0</v>
      </c>
      <c r="M2938" s="27">
        <v>12.2751454092231</v>
      </c>
      <c r="N2938" s="34">
        <v>213.96233485666806</v>
      </c>
    </row>
    <row r="2939" spans="1:14" x14ac:dyDescent="0.35">
      <c r="A2939" s="82">
        <v>2936</v>
      </c>
      <c r="B2939" s="89" t="str">
        <f>_xlfn.XLOOKUP(A2939,'Model Modeshare by TAZ'!A:A,'Model Modeshare by TAZ'!B:B)</f>
        <v>Unincorporated</v>
      </c>
      <c r="C2939" s="90" t="str">
        <f>_xlfn.XLOOKUP(A2939,'Model Modeshare by TAZ'!A:A,'Model Modeshare by TAZ'!D:D)</f>
        <v>NO</v>
      </c>
      <c r="D2939" s="27">
        <v>11402.27</v>
      </c>
      <c r="E2939" s="27">
        <v>238217.19</v>
      </c>
      <c r="F2939" s="27">
        <v>22699.48</v>
      </c>
      <c r="G2939" s="27">
        <v>555792.46</v>
      </c>
      <c r="H2939" s="27">
        <v>3222.99</v>
      </c>
      <c r="I2939" s="27">
        <v>31050.31</v>
      </c>
      <c r="J2939" s="6">
        <v>0</v>
      </c>
      <c r="K2939" s="6">
        <v>2550</v>
      </c>
      <c r="L2939" s="27">
        <v>0</v>
      </c>
      <c r="M2939" s="27">
        <v>12.176592156862746</v>
      </c>
      <c r="N2939" s="34">
        <v>244.13438039215688</v>
      </c>
    </row>
    <row r="2940" spans="1:14" x14ac:dyDescent="0.35">
      <c r="A2940" s="82">
        <v>2937</v>
      </c>
      <c r="B2940" s="89" t="str">
        <f>_xlfn.XLOOKUP(A2940,'Model Modeshare by TAZ'!A:A,'Model Modeshare by TAZ'!B:B)</f>
        <v>Unincorporated</v>
      </c>
      <c r="C2940" s="90" t="str">
        <f>_xlfn.XLOOKUP(A2940,'Model Modeshare by TAZ'!A:A,'Model Modeshare by TAZ'!D:D)</f>
        <v>NO</v>
      </c>
      <c r="D2940" s="27">
        <v>56611.73</v>
      </c>
      <c r="E2940" s="27">
        <v>1140034.69</v>
      </c>
      <c r="F2940" s="27">
        <v>59530.75</v>
      </c>
      <c r="G2940" s="27">
        <v>573214.31999999995</v>
      </c>
      <c r="H2940" s="27">
        <v>23418.91</v>
      </c>
      <c r="I2940" s="27">
        <v>183514.92</v>
      </c>
      <c r="J2940" s="6">
        <v>0</v>
      </c>
      <c r="K2940" s="6">
        <v>18514</v>
      </c>
      <c r="L2940" s="27">
        <v>0</v>
      </c>
      <c r="M2940" s="27">
        <v>9.9122242627201036</v>
      </c>
      <c r="N2940" s="34">
        <v>51.824410176082964</v>
      </c>
    </row>
    <row r="2941" spans="1:14" x14ac:dyDescent="0.35">
      <c r="A2941" s="82">
        <v>2938</v>
      </c>
      <c r="B2941" s="89" t="str">
        <f>_xlfn.XLOOKUP(A2941,'Model Modeshare by TAZ'!A:A,'Model Modeshare by TAZ'!B:B)</f>
        <v>Manteca</v>
      </c>
      <c r="C2941" s="90" t="str">
        <f>_xlfn.XLOOKUP(A2941,'Model Modeshare by TAZ'!A:A,'Model Modeshare by TAZ'!D:D)</f>
        <v>NO</v>
      </c>
      <c r="D2941" s="27">
        <v>39017.769999999997</v>
      </c>
      <c r="E2941" s="27">
        <v>678755.52</v>
      </c>
      <c r="F2941" s="27">
        <v>16165.61</v>
      </c>
      <c r="G2941" s="27">
        <v>258219.44</v>
      </c>
      <c r="H2941" s="27">
        <v>2990.6</v>
      </c>
      <c r="I2941" s="27">
        <v>27881.86</v>
      </c>
      <c r="J2941" s="6">
        <v>0</v>
      </c>
      <c r="K2941" s="6">
        <v>2364</v>
      </c>
      <c r="L2941" s="27">
        <v>0</v>
      </c>
      <c r="M2941" s="27">
        <v>11.794357021996616</v>
      </c>
      <c r="N2941" s="34">
        <v>133.76847715736039</v>
      </c>
    </row>
    <row r="2942" spans="1:14" x14ac:dyDescent="0.35">
      <c r="A2942" s="82">
        <v>2939</v>
      </c>
      <c r="B2942" s="89" t="str">
        <f>_xlfn.XLOOKUP(A2942,'Model Modeshare by TAZ'!A:A,'Model Modeshare by TAZ'!B:B)</f>
        <v>Lathrop</v>
      </c>
      <c r="C2942" s="90" t="str">
        <f>_xlfn.XLOOKUP(A2942,'Model Modeshare by TAZ'!A:A,'Model Modeshare by TAZ'!D:D)</f>
        <v>NO</v>
      </c>
      <c r="D2942" s="27">
        <v>29179.02</v>
      </c>
      <c r="E2942" s="27">
        <v>474716.8</v>
      </c>
      <c r="F2942" s="27">
        <v>20818.419999999998</v>
      </c>
      <c r="G2942" s="27">
        <v>352993.28000000003</v>
      </c>
      <c r="H2942" s="27">
        <v>2613.77</v>
      </c>
      <c r="I2942" s="27">
        <v>23740.75</v>
      </c>
      <c r="J2942" s="6">
        <v>0</v>
      </c>
      <c r="K2942" s="6">
        <v>2067</v>
      </c>
      <c r="L2942" s="27">
        <v>0</v>
      </c>
      <c r="M2942" s="27">
        <v>11.485607160135462</v>
      </c>
      <c r="N2942" s="34">
        <v>197.61822931785196</v>
      </c>
    </row>
    <row r="2943" spans="1:14" x14ac:dyDescent="0.35">
      <c r="A2943" s="82">
        <v>2940</v>
      </c>
      <c r="B2943" s="89" t="str">
        <f>_xlfn.XLOOKUP(A2943,'Model Modeshare by TAZ'!A:A,'Model Modeshare by TAZ'!B:B)</f>
        <v>Unincorporated</v>
      </c>
      <c r="C2943" s="90" t="str">
        <f>_xlfn.XLOOKUP(A2943,'Model Modeshare by TAZ'!A:A,'Model Modeshare by TAZ'!D:D)</f>
        <v>NO</v>
      </c>
      <c r="D2943" s="27">
        <v>43036.18</v>
      </c>
      <c r="E2943" s="27">
        <v>944954.78</v>
      </c>
      <c r="F2943" s="27">
        <v>19383.8</v>
      </c>
      <c r="G2943" s="27">
        <v>296965.73</v>
      </c>
      <c r="H2943" s="27">
        <v>3964.04</v>
      </c>
      <c r="I2943" s="27">
        <v>51682.18</v>
      </c>
      <c r="J2943" s="6">
        <v>0</v>
      </c>
      <c r="K2943" s="6">
        <v>3133</v>
      </c>
      <c r="L2943" s="27">
        <v>0</v>
      </c>
      <c r="M2943" s="27">
        <v>16.496067666773062</v>
      </c>
      <c r="N2943" s="34">
        <v>124.81085541015001</v>
      </c>
    </row>
    <row r="2944" spans="1:14" x14ac:dyDescent="0.35">
      <c r="A2944" s="82">
        <v>2941</v>
      </c>
      <c r="B2944" s="89" t="str">
        <f>_xlfn.XLOOKUP(A2944,'Model Modeshare by TAZ'!A:A,'Model Modeshare by TAZ'!B:B)</f>
        <v>Unincorporated</v>
      </c>
      <c r="C2944" s="90" t="str">
        <f>_xlfn.XLOOKUP(A2944,'Model Modeshare by TAZ'!A:A,'Model Modeshare by TAZ'!D:D)</f>
        <v>NO</v>
      </c>
      <c r="D2944" s="27">
        <v>27763.1</v>
      </c>
      <c r="E2944" s="27">
        <v>554790.56000000006</v>
      </c>
      <c r="F2944" s="27">
        <v>8115.23</v>
      </c>
      <c r="G2944" s="27">
        <v>73797.820000000007</v>
      </c>
      <c r="H2944" s="27">
        <v>2792.23</v>
      </c>
      <c r="I2944" s="27">
        <v>23381.34</v>
      </c>
      <c r="J2944" s="6">
        <v>0</v>
      </c>
      <c r="K2944" s="6">
        <v>2206</v>
      </c>
      <c r="L2944" s="27">
        <v>0</v>
      </c>
      <c r="M2944" s="27">
        <v>10.59897552130553</v>
      </c>
      <c r="N2944" s="34">
        <v>68.821455122393473</v>
      </c>
    </row>
    <row r="2945" spans="1:14" x14ac:dyDescent="0.35">
      <c r="A2945" s="82">
        <v>2942</v>
      </c>
      <c r="B2945" s="89" t="str">
        <f>_xlfn.XLOOKUP(A2945,'Model Modeshare by TAZ'!A:A,'Model Modeshare by TAZ'!B:B)</f>
        <v>Stockton</v>
      </c>
      <c r="C2945" s="90" t="str">
        <f>_xlfn.XLOOKUP(A2945,'Model Modeshare by TAZ'!A:A,'Model Modeshare by TAZ'!D:D)</f>
        <v>NO</v>
      </c>
      <c r="D2945" s="27">
        <v>11987.04</v>
      </c>
      <c r="E2945" s="27">
        <v>128651.14</v>
      </c>
      <c r="F2945" s="27">
        <v>10353.77</v>
      </c>
      <c r="G2945" s="27">
        <v>57432.79</v>
      </c>
      <c r="H2945" s="27">
        <v>4155.6499999999996</v>
      </c>
      <c r="I2945" s="27">
        <v>24110.93</v>
      </c>
      <c r="J2945" s="6">
        <v>0</v>
      </c>
      <c r="K2945" s="6">
        <v>3283</v>
      </c>
      <c r="L2945" s="27">
        <v>0</v>
      </c>
      <c r="M2945" s="27">
        <v>7.3441760584830948</v>
      </c>
      <c r="N2945" s="34">
        <v>43.934096862625651</v>
      </c>
    </row>
    <row r="2946" spans="1:14" x14ac:dyDescent="0.35">
      <c r="A2946" s="82">
        <v>2943</v>
      </c>
      <c r="B2946" s="89" t="str">
        <f>_xlfn.XLOOKUP(A2946,'Model Modeshare by TAZ'!A:A,'Model Modeshare by TAZ'!B:B)</f>
        <v>Stockton</v>
      </c>
      <c r="C2946" s="90" t="str">
        <f>_xlfn.XLOOKUP(A2946,'Model Modeshare by TAZ'!A:A,'Model Modeshare by TAZ'!D:D)</f>
        <v>NO</v>
      </c>
      <c r="D2946" s="27">
        <v>29677.45</v>
      </c>
      <c r="E2946" s="27">
        <v>504795.57</v>
      </c>
      <c r="F2946" s="27">
        <v>20460.02</v>
      </c>
      <c r="G2946" s="27">
        <v>115452.56</v>
      </c>
      <c r="H2946" s="27">
        <v>6618.57</v>
      </c>
      <c r="I2946" s="27">
        <v>42932.01</v>
      </c>
      <c r="J2946" s="6">
        <v>0</v>
      </c>
      <c r="K2946" s="6">
        <v>5231</v>
      </c>
      <c r="L2946" s="27">
        <v>0</v>
      </c>
      <c r="M2946" s="27">
        <v>8.2072280634677881</v>
      </c>
      <c r="N2946" s="34">
        <v>76.032230930988334</v>
      </c>
    </row>
    <row r="2947" spans="1:14" x14ac:dyDescent="0.35">
      <c r="A2947" s="82">
        <v>2944</v>
      </c>
      <c r="B2947" s="89" t="str">
        <f>_xlfn.XLOOKUP(A2947,'Model Modeshare by TAZ'!A:A,'Model Modeshare by TAZ'!B:B)</f>
        <v>Stockton</v>
      </c>
      <c r="C2947" s="90" t="str">
        <f>_xlfn.XLOOKUP(A2947,'Model Modeshare by TAZ'!A:A,'Model Modeshare by TAZ'!D:D)</f>
        <v>NO</v>
      </c>
      <c r="D2947" s="27">
        <v>28404.880000000001</v>
      </c>
      <c r="E2947" s="27">
        <v>474146.48</v>
      </c>
      <c r="F2947" s="27">
        <v>13739.22</v>
      </c>
      <c r="G2947" s="27">
        <v>142665.69</v>
      </c>
      <c r="H2947" s="27">
        <v>3818.79</v>
      </c>
      <c r="I2947" s="27">
        <v>33577.25</v>
      </c>
      <c r="J2947" s="6">
        <v>0</v>
      </c>
      <c r="K2947" s="6">
        <v>3018</v>
      </c>
      <c r="L2947" s="27">
        <v>0</v>
      </c>
      <c r="M2947" s="27">
        <v>11.125662690523525</v>
      </c>
      <c r="N2947" s="34">
        <v>107.45409542743539</v>
      </c>
    </row>
    <row r="2948" spans="1:14" x14ac:dyDescent="0.35">
      <c r="A2948" s="82">
        <v>2945</v>
      </c>
      <c r="B2948" s="89" t="str">
        <f>_xlfn.XLOOKUP(A2948,'Model Modeshare by TAZ'!A:A,'Model Modeshare by TAZ'!B:B)</f>
        <v>Stockton</v>
      </c>
      <c r="C2948" s="90" t="str">
        <f>_xlfn.XLOOKUP(A2948,'Model Modeshare by TAZ'!A:A,'Model Modeshare by TAZ'!D:D)</f>
        <v>NO</v>
      </c>
      <c r="D2948" s="27">
        <v>31091.56</v>
      </c>
      <c r="E2948" s="27">
        <v>395051.39</v>
      </c>
      <c r="F2948" s="27">
        <v>16475.88</v>
      </c>
      <c r="G2948" s="27">
        <v>98661.75</v>
      </c>
      <c r="H2948" s="27">
        <v>5643.44</v>
      </c>
      <c r="I2948" s="27">
        <v>37438.47</v>
      </c>
      <c r="J2948" s="6">
        <v>0</v>
      </c>
      <c r="K2948" s="6">
        <v>4460</v>
      </c>
      <c r="L2948" s="27">
        <v>0</v>
      </c>
      <c r="M2948" s="27">
        <v>8.3942757847533631</v>
      </c>
      <c r="N2948" s="34">
        <v>50.332695067264574</v>
      </c>
    </row>
    <row r="2949" spans="1:14" x14ac:dyDescent="0.35">
      <c r="A2949" s="82">
        <v>2946</v>
      </c>
      <c r="B2949" s="89" t="str">
        <f>_xlfn.XLOOKUP(A2949,'Model Modeshare by TAZ'!A:A,'Model Modeshare by TAZ'!B:B)</f>
        <v>Stockton</v>
      </c>
      <c r="C2949" s="90" t="str">
        <f>_xlfn.XLOOKUP(A2949,'Model Modeshare by TAZ'!A:A,'Model Modeshare by TAZ'!D:D)</f>
        <v>NO</v>
      </c>
      <c r="D2949" s="27">
        <v>65535.19</v>
      </c>
      <c r="E2949" s="27">
        <v>918758.13</v>
      </c>
      <c r="F2949" s="27">
        <v>13778.32</v>
      </c>
      <c r="G2949" s="27">
        <v>105185.17</v>
      </c>
      <c r="H2949" s="27">
        <v>5495.54</v>
      </c>
      <c r="I2949" s="27">
        <v>36079.199999999997</v>
      </c>
      <c r="J2949" s="6">
        <v>0</v>
      </c>
      <c r="K2949" s="6">
        <v>4341</v>
      </c>
      <c r="L2949" s="27">
        <v>0</v>
      </c>
      <c r="M2949" s="27">
        <v>8.3112646855563224</v>
      </c>
      <c r="N2949" s="34">
        <v>85.03234738539507</v>
      </c>
    </row>
    <row r="2950" spans="1:14" x14ac:dyDescent="0.35">
      <c r="A2950" s="82">
        <v>2947</v>
      </c>
      <c r="B2950" s="89" t="str">
        <f>_xlfn.XLOOKUP(A2950,'Model Modeshare by TAZ'!A:A,'Model Modeshare by TAZ'!B:B)</f>
        <v>Stockton</v>
      </c>
      <c r="C2950" s="90" t="str">
        <f>_xlfn.XLOOKUP(A2950,'Model Modeshare by TAZ'!A:A,'Model Modeshare by TAZ'!D:D)</f>
        <v>NO</v>
      </c>
      <c r="D2950" s="27">
        <v>45181.51</v>
      </c>
      <c r="E2950" s="27">
        <v>5845247.46</v>
      </c>
      <c r="F2950" s="27">
        <v>19619.47</v>
      </c>
      <c r="G2950" s="27">
        <v>85412.47</v>
      </c>
      <c r="H2950" s="27">
        <v>10472.950000000001</v>
      </c>
      <c r="I2950" s="27">
        <v>57584.55</v>
      </c>
      <c r="J2950" s="6">
        <v>0</v>
      </c>
      <c r="K2950" s="6">
        <v>8278</v>
      </c>
      <c r="L2950" s="27">
        <v>0</v>
      </c>
      <c r="M2950" s="27">
        <v>6.9563360715148592</v>
      </c>
      <c r="N2950" s="34">
        <v>38.443793186760082</v>
      </c>
    </row>
    <row r="2951" spans="1:14" x14ac:dyDescent="0.35">
      <c r="A2951" s="82">
        <v>2948</v>
      </c>
      <c r="B2951" s="89" t="str">
        <f>_xlfn.XLOOKUP(A2951,'Model Modeshare by TAZ'!A:A,'Model Modeshare by TAZ'!B:B)</f>
        <v>Stockton</v>
      </c>
      <c r="C2951" s="90" t="str">
        <f>_xlfn.XLOOKUP(A2951,'Model Modeshare by TAZ'!A:A,'Model Modeshare by TAZ'!D:D)</f>
        <v>NO</v>
      </c>
      <c r="D2951" s="27">
        <v>49538.55</v>
      </c>
      <c r="E2951" s="27">
        <v>15463737.699999999</v>
      </c>
      <c r="F2951" s="27">
        <v>32726.75</v>
      </c>
      <c r="G2951" s="27">
        <v>172330.96</v>
      </c>
      <c r="H2951" s="27">
        <v>18479.64</v>
      </c>
      <c r="I2951" s="27">
        <v>139088.62</v>
      </c>
      <c r="J2951" s="6">
        <v>0</v>
      </c>
      <c r="K2951" s="6">
        <v>14604</v>
      </c>
      <c r="L2951" s="27">
        <v>0</v>
      </c>
      <c r="M2951" s="27">
        <v>9.524008490824432</v>
      </c>
      <c r="N2951" s="34">
        <v>44.226147630786087</v>
      </c>
    </row>
    <row r="2952" spans="1:14" x14ac:dyDescent="0.35">
      <c r="A2952" s="82">
        <v>2949</v>
      </c>
      <c r="B2952" s="89" t="str">
        <f>_xlfn.XLOOKUP(A2952,'Model Modeshare by TAZ'!A:A,'Model Modeshare by TAZ'!B:B)</f>
        <v>Unincorporated</v>
      </c>
      <c r="C2952" s="90" t="str">
        <f>_xlfn.XLOOKUP(A2952,'Model Modeshare by TAZ'!A:A,'Model Modeshare by TAZ'!D:D)</f>
        <v>NO</v>
      </c>
      <c r="D2952" s="27">
        <v>43896.55</v>
      </c>
      <c r="E2952" s="27">
        <v>694813.13</v>
      </c>
      <c r="F2952" s="27">
        <v>75281.69</v>
      </c>
      <c r="G2952" s="27">
        <v>477457.82</v>
      </c>
      <c r="H2952" s="27">
        <v>22232.47</v>
      </c>
      <c r="I2952" s="27">
        <v>119991.08</v>
      </c>
      <c r="J2952" s="6">
        <v>0</v>
      </c>
      <c r="K2952" s="6">
        <v>17567</v>
      </c>
      <c r="L2952" s="27">
        <v>0</v>
      </c>
      <c r="M2952" s="27">
        <v>6.8304821540388225</v>
      </c>
      <c r="N2952" s="34">
        <v>39.598637217510102</v>
      </c>
    </row>
    <row r="2953" spans="1:14" x14ac:dyDescent="0.35">
      <c r="A2953" s="82">
        <v>2950</v>
      </c>
      <c r="B2953" s="89" t="str">
        <f>_xlfn.XLOOKUP(A2953,'Model Modeshare by TAZ'!A:A,'Model Modeshare by TAZ'!B:B)</f>
        <v>Unincorporated</v>
      </c>
      <c r="C2953" s="90" t="str">
        <f>_xlfn.XLOOKUP(A2953,'Model Modeshare by TAZ'!A:A,'Model Modeshare by TAZ'!D:D)</f>
        <v>NO</v>
      </c>
      <c r="D2953" s="27">
        <v>75964.570000000007</v>
      </c>
      <c r="E2953" s="27">
        <v>1264873.8400000001</v>
      </c>
      <c r="F2953" s="27">
        <v>63139.87</v>
      </c>
      <c r="G2953" s="27">
        <v>535466.63</v>
      </c>
      <c r="H2953" s="27">
        <v>24829.09</v>
      </c>
      <c r="I2953" s="27">
        <v>172027.7</v>
      </c>
      <c r="J2953" s="6">
        <v>0</v>
      </c>
      <c r="K2953" s="6">
        <v>19617</v>
      </c>
      <c r="L2953" s="27">
        <v>0</v>
      </c>
      <c r="M2953" s="27">
        <v>8.76931742876077</v>
      </c>
      <c r="N2953" s="34">
        <v>76.204072997909975</v>
      </c>
    </row>
    <row r="2954" spans="1:14" x14ac:dyDescent="0.35">
      <c r="A2954" s="82">
        <v>2951</v>
      </c>
      <c r="B2954" s="89" t="str">
        <f>_xlfn.XLOOKUP(A2954,'Model Modeshare by TAZ'!A:A,'Model Modeshare by TAZ'!B:B)</f>
        <v>Tracy</v>
      </c>
      <c r="C2954" s="90" t="str">
        <f>_xlfn.XLOOKUP(A2954,'Model Modeshare by TAZ'!A:A,'Model Modeshare by TAZ'!D:D)</f>
        <v>NO</v>
      </c>
      <c r="D2954" s="27">
        <v>29327.77</v>
      </c>
      <c r="E2954" s="27">
        <v>582150.78</v>
      </c>
      <c r="F2954" s="27">
        <v>23304.78</v>
      </c>
      <c r="G2954" s="27">
        <v>369028.61</v>
      </c>
      <c r="H2954" s="27">
        <v>7210.08</v>
      </c>
      <c r="I2954" s="27">
        <v>48525.58</v>
      </c>
      <c r="J2954" s="6">
        <v>0</v>
      </c>
      <c r="K2954" s="6">
        <v>5700</v>
      </c>
      <c r="L2954" s="27">
        <v>0</v>
      </c>
      <c r="M2954" s="27">
        <v>8.5132596491228067</v>
      </c>
      <c r="N2954" s="34">
        <v>92.523647368421052</v>
      </c>
    </row>
    <row r="2955" spans="1:14" x14ac:dyDescent="0.35">
      <c r="A2955" s="82">
        <v>2952</v>
      </c>
      <c r="B2955" s="89" t="str">
        <f>_xlfn.XLOOKUP(A2955,'Model Modeshare by TAZ'!A:A,'Model Modeshare by TAZ'!B:B)</f>
        <v>Stockton</v>
      </c>
      <c r="C2955" s="90" t="str">
        <f>_xlfn.XLOOKUP(A2955,'Model Modeshare by TAZ'!A:A,'Model Modeshare by TAZ'!D:D)</f>
        <v>NO</v>
      </c>
      <c r="D2955" s="27">
        <v>145292.06</v>
      </c>
      <c r="E2955" s="27">
        <v>2191113.85</v>
      </c>
      <c r="F2955" s="27">
        <v>112254.9</v>
      </c>
      <c r="G2955" s="27">
        <v>845554.77</v>
      </c>
      <c r="H2955" s="27">
        <v>35770.6</v>
      </c>
      <c r="I2955" s="27">
        <v>160033.88</v>
      </c>
      <c r="J2955" s="6">
        <v>0</v>
      </c>
      <c r="K2955" s="6">
        <v>28262</v>
      </c>
      <c r="L2955" s="27">
        <v>0</v>
      </c>
      <c r="M2955" s="27">
        <v>5.6625107918760174</v>
      </c>
      <c r="N2955" s="34">
        <v>80.555264666336427</v>
      </c>
    </row>
    <row r="2956" spans="1:14" x14ac:dyDescent="0.35">
      <c r="A2956" s="82">
        <v>2953</v>
      </c>
      <c r="B2956" s="89" t="str">
        <f>_xlfn.XLOOKUP(A2956,'Model Modeshare by TAZ'!A:A,'Model Modeshare by TAZ'!B:B)</f>
        <v>Unincorporated</v>
      </c>
      <c r="C2956" s="90" t="str">
        <f>_xlfn.XLOOKUP(A2956,'Model Modeshare by TAZ'!A:A,'Model Modeshare by TAZ'!D:D)</f>
        <v>NO</v>
      </c>
      <c r="D2956" s="27">
        <v>4911.17</v>
      </c>
      <c r="E2956" s="27">
        <v>80565.23</v>
      </c>
      <c r="F2956" s="27">
        <v>12850.72</v>
      </c>
      <c r="G2956" s="27">
        <v>115172.46</v>
      </c>
      <c r="H2956" s="27">
        <v>16318.3</v>
      </c>
      <c r="I2956" s="27">
        <v>127796.48</v>
      </c>
      <c r="J2956" s="6">
        <v>0</v>
      </c>
      <c r="K2956" s="6">
        <v>12892</v>
      </c>
      <c r="L2956" s="27">
        <v>0</v>
      </c>
      <c r="M2956" s="27">
        <v>9.9128513807012091</v>
      </c>
      <c r="N2956" s="34">
        <v>53.054025752404591</v>
      </c>
    </row>
    <row r="2957" spans="1:14" x14ac:dyDescent="0.35">
      <c r="A2957" s="82">
        <v>2954</v>
      </c>
      <c r="B2957" s="89" t="str">
        <f>_xlfn.XLOOKUP(A2957,'Model Modeshare by TAZ'!A:A,'Model Modeshare by TAZ'!B:B)</f>
        <v>Unincorporated</v>
      </c>
      <c r="C2957" s="90" t="str">
        <f>_xlfn.XLOOKUP(A2957,'Model Modeshare by TAZ'!A:A,'Model Modeshare by TAZ'!D:D)</f>
        <v>NO</v>
      </c>
      <c r="D2957" s="27">
        <v>126079.31</v>
      </c>
      <c r="E2957" s="27">
        <v>2538612.1800000002</v>
      </c>
      <c r="F2957" s="27">
        <v>84204.31</v>
      </c>
      <c r="G2957" s="27">
        <v>911907.23</v>
      </c>
      <c r="H2957" s="27">
        <v>30442.94</v>
      </c>
      <c r="I2957" s="27">
        <v>195585.23</v>
      </c>
      <c r="J2957" s="6">
        <v>0</v>
      </c>
      <c r="K2957" s="6">
        <v>24053</v>
      </c>
      <c r="L2957" s="27">
        <v>0</v>
      </c>
      <c r="M2957" s="27">
        <v>8.1314276805388097</v>
      </c>
      <c r="N2957" s="34">
        <v>97.906196732216358</v>
      </c>
    </row>
    <row r="2958" spans="1:14" x14ac:dyDescent="0.35">
      <c r="A2958" s="82">
        <v>2955</v>
      </c>
      <c r="B2958" s="89" t="str">
        <f>_xlfn.XLOOKUP(A2958,'Model Modeshare by TAZ'!A:A,'Model Modeshare by TAZ'!B:B)</f>
        <v>Unincorporated</v>
      </c>
      <c r="C2958" s="90" t="str">
        <f>_xlfn.XLOOKUP(A2958,'Model Modeshare by TAZ'!A:A,'Model Modeshare by TAZ'!D:D)</f>
        <v>NO</v>
      </c>
      <c r="D2958" s="27">
        <v>19538.169999999998</v>
      </c>
      <c r="E2958" s="27">
        <v>403695.55</v>
      </c>
      <c r="F2958" s="27">
        <v>21621.46</v>
      </c>
      <c r="G2958" s="27">
        <v>270535.88</v>
      </c>
      <c r="H2958" s="27">
        <v>18614.560000000001</v>
      </c>
      <c r="I2958" s="27">
        <v>199897.7</v>
      </c>
      <c r="J2958" s="6">
        <v>0</v>
      </c>
      <c r="K2958" s="6">
        <v>14707</v>
      </c>
      <c r="L2958" s="27">
        <v>0</v>
      </c>
      <c r="M2958" s="27">
        <v>13.592010607193854</v>
      </c>
      <c r="N2958" s="34">
        <v>77.400527639899366</v>
      </c>
    </row>
    <row r="2959" spans="1:14" x14ac:dyDescent="0.35">
      <c r="A2959" s="82">
        <v>2956</v>
      </c>
      <c r="B2959" s="89" t="str">
        <f>_xlfn.XLOOKUP(A2959,'Model Modeshare by TAZ'!A:A,'Model Modeshare by TAZ'!B:B)</f>
        <v>Unincorporated</v>
      </c>
      <c r="C2959" s="90" t="str">
        <f>_xlfn.XLOOKUP(A2959,'Model Modeshare by TAZ'!A:A,'Model Modeshare by TAZ'!D:D)</f>
        <v>NO</v>
      </c>
      <c r="D2959" s="27">
        <v>13832.19</v>
      </c>
      <c r="E2959" s="27">
        <v>515851.1</v>
      </c>
      <c r="F2959" s="27">
        <v>24439.13</v>
      </c>
      <c r="G2959" s="27">
        <v>564973.63</v>
      </c>
      <c r="H2959" s="27">
        <v>6273.85</v>
      </c>
      <c r="I2959" s="27">
        <v>75887.47</v>
      </c>
      <c r="J2959" s="6">
        <v>0</v>
      </c>
      <c r="K2959" s="6">
        <v>4957</v>
      </c>
      <c r="L2959" s="27">
        <v>0</v>
      </c>
      <c r="M2959" s="27">
        <v>15.309152713334678</v>
      </c>
      <c r="N2959" s="34">
        <v>172.43652410732298</v>
      </c>
    </row>
    <row r="2960" spans="1:14" x14ac:dyDescent="0.35">
      <c r="A2960" s="82">
        <v>2957</v>
      </c>
      <c r="B2960" s="89" t="str">
        <f>_xlfn.XLOOKUP(A2960,'Model Modeshare by TAZ'!A:A,'Model Modeshare by TAZ'!B:B)</f>
        <v>Unincorporated</v>
      </c>
      <c r="C2960" s="90" t="str">
        <f>_xlfn.XLOOKUP(A2960,'Model Modeshare by TAZ'!A:A,'Model Modeshare by TAZ'!D:D)</f>
        <v>NO</v>
      </c>
      <c r="D2960" s="27">
        <v>26919.98</v>
      </c>
      <c r="E2960" s="27">
        <v>867359.54</v>
      </c>
      <c r="F2960" s="27">
        <v>37530.870000000003</v>
      </c>
      <c r="G2960" s="27">
        <v>662593.62</v>
      </c>
      <c r="H2960" s="27">
        <v>10076.16</v>
      </c>
      <c r="I2960" s="27">
        <v>88264.24</v>
      </c>
      <c r="J2960" s="6">
        <v>0</v>
      </c>
      <c r="K2960" s="6">
        <v>7965</v>
      </c>
      <c r="L2960" s="27">
        <v>0</v>
      </c>
      <c r="M2960" s="27">
        <v>11.081511613308225</v>
      </c>
      <c r="N2960" s="34">
        <v>117.33140489642184</v>
      </c>
    </row>
    <row r="2961" spans="1:14" x14ac:dyDescent="0.35">
      <c r="A2961" s="82">
        <v>2958</v>
      </c>
      <c r="B2961" s="89" t="str">
        <f>_xlfn.XLOOKUP(A2961,'Model Modeshare by TAZ'!A:A,'Model Modeshare by TAZ'!B:B)</f>
        <v>Unincorporated</v>
      </c>
      <c r="C2961" s="90" t="str">
        <f>_xlfn.XLOOKUP(A2961,'Model Modeshare by TAZ'!A:A,'Model Modeshare by TAZ'!D:D)</f>
        <v>NO</v>
      </c>
      <c r="D2961" s="27">
        <v>16249.3</v>
      </c>
      <c r="E2961" s="27">
        <v>258601.85</v>
      </c>
      <c r="F2961" s="27">
        <v>24019.27</v>
      </c>
      <c r="G2961" s="27">
        <v>282592.58</v>
      </c>
      <c r="H2961" s="27">
        <v>5856.19</v>
      </c>
      <c r="I2961" s="27">
        <v>48219.05</v>
      </c>
      <c r="J2961" s="6">
        <v>0</v>
      </c>
      <c r="K2961" s="6">
        <v>4630</v>
      </c>
      <c r="L2961" s="27">
        <v>0</v>
      </c>
      <c r="M2961" s="27">
        <v>10.414481641468683</v>
      </c>
      <c r="N2961" s="34">
        <v>78.521580993520516</v>
      </c>
    </row>
    <row r="2962" spans="1:14" x14ac:dyDescent="0.35">
      <c r="A2962" s="82">
        <v>2959</v>
      </c>
      <c r="B2962" s="89" t="str">
        <f>_xlfn.XLOOKUP(A2962,'Model Modeshare by TAZ'!A:A,'Model Modeshare by TAZ'!B:B)</f>
        <v>Unknown</v>
      </c>
      <c r="C2962" s="90" t="str">
        <f>_xlfn.XLOOKUP(A2962,'Model Modeshare by TAZ'!A:A,'Model Modeshare by TAZ'!D:D)</f>
        <v>NO</v>
      </c>
      <c r="D2962" s="27">
        <v>1533.75</v>
      </c>
      <c r="E2962" s="27">
        <v>328692.45</v>
      </c>
      <c r="F2962" s="27">
        <v>0</v>
      </c>
      <c r="G2962" s="27">
        <v>0</v>
      </c>
      <c r="H2962" s="27">
        <v>0</v>
      </c>
      <c r="I2962" s="27">
        <v>0</v>
      </c>
      <c r="J2962" s="6">
        <v>0</v>
      </c>
      <c r="K2962" s="6">
        <v>0</v>
      </c>
      <c r="L2962" s="27">
        <v>0</v>
      </c>
      <c r="M2962" s="27">
        <v>0</v>
      </c>
      <c r="N2962" s="34">
        <v>0</v>
      </c>
    </row>
    <row r="2963" spans="1:14" x14ac:dyDescent="0.35">
      <c r="A2963" s="82">
        <v>2960</v>
      </c>
      <c r="B2963" s="89" t="str">
        <f>_xlfn.XLOOKUP(A2963,'Model Modeshare by TAZ'!A:A,'Model Modeshare by TAZ'!B:B)</f>
        <v>Unknown</v>
      </c>
      <c r="C2963" s="90" t="str">
        <f>_xlfn.XLOOKUP(A2963,'Model Modeshare by TAZ'!A:A,'Model Modeshare by TAZ'!D:D)</f>
        <v>NO</v>
      </c>
      <c r="D2963" s="27">
        <v>1402.44</v>
      </c>
      <c r="E2963" s="27">
        <v>178309.96</v>
      </c>
      <c r="F2963" s="27">
        <v>0</v>
      </c>
      <c r="G2963" s="27">
        <v>0</v>
      </c>
      <c r="H2963" s="27">
        <v>0</v>
      </c>
      <c r="I2963" s="27">
        <v>0</v>
      </c>
      <c r="J2963" s="6">
        <v>0</v>
      </c>
      <c r="K2963" s="6">
        <v>0</v>
      </c>
      <c r="L2963" s="27">
        <v>0</v>
      </c>
      <c r="M2963" s="27">
        <v>0</v>
      </c>
      <c r="N2963" s="34">
        <v>0</v>
      </c>
    </row>
    <row r="2964" spans="1:14" x14ac:dyDescent="0.35">
      <c r="A2964" s="82">
        <v>2961</v>
      </c>
      <c r="B2964" s="89" t="str">
        <f>_xlfn.XLOOKUP(A2964,'Model Modeshare by TAZ'!A:A,'Model Modeshare by TAZ'!B:B)</f>
        <v>Unknown</v>
      </c>
      <c r="C2964" s="90" t="str">
        <f>_xlfn.XLOOKUP(A2964,'Model Modeshare by TAZ'!A:A,'Model Modeshare by TAZ'!D:D)</f>
        <v>NO</v>
      </c>
      <c r="D2964" s="27">
        <v>6452.36</v>
      </c>
      <c r="E2964" s="27">
        <v>730378.02</v>
      </c>
      <c r="F2964" s="27">
        <v>0</v>
      </c>
      <c r="G2964" s="27">
        <v>0</v>
      </c>
      <c r="H2964" s="27">
        <v>0</v>
      </c>
      <c r="I2964" s="27">
        <v>0</v>
      </c>
      <c r="J2964" s="6">
        <v>0</v>
      </c>
      <c r="K2964" s="6">
        <v>0</v>
      </c>
      <c r="L2964" s="27">
        <v>0</v>
      </c>
      <c r="M2964" s="27">
        <v>0</v>
      </c>
      <c r="N2964" s="34">
        <v>0</v>
      </c>
    </row>
    <row r="2965" spans="1:14" x14ac:dyDescent="0.35">
      <c r="A2965" s="82">
        <v>2962</v>
      </c>
      <c r="B2965" s="89" t="str">
        <f>_xlfn.XLOOKUP(A2965,'Model Modeshare by TAZ'!A:A,'Model Modeshare by TAZ'!B:B)</f>
        <v>Unknown</v>
      </c>
      <c r="C2965" s="90" t="str">
        <f>_xlfn.XLOOKUP(A2965,'Model Modeshare by TAZ'!A:A,'Model Modeshare by TAZ'!D:D)</f>
        <v>NO</v>
      </c>
      <c r="D2965" s="27">
        <v>4115.3999999999996</v>
      </c>
      <c r="E2965" s="27">
        <v>402817.93</v>
      </c>
      <c r="F2965" s="27">
        <v>0</v>
      </c>
      <c r="G2965" s="27">
        <v>0</v>
      </c>
      <c r="H2965" s="27">
        <v>0</v>
      </c>
      <c r="I2965" s="27">
        <v>0</v>
      </c>
      <c r="J2965" s="6">
        <v>0</v>
      </c>
      <c r="K2965" s="6">
        <v>0</v>
      </c>
      <c r="L2965" s="27">
        <v>0</v>
      </c>
      <c r="M2965" s="27">
        <v>0</v>
      </c>
      <c r="N2965" s="34">
        <v>0</v>
      </c>
    </row>
    <row r="2966" spans="1:14" x14ac:dyDescent="0.35">
      <c r="A2966" s="82">
        <v>2963</v>
      </c>
      <c r="B2966" s="89" t="str">
        <f>_xlfn.XLOOKUP(A2966,'Model Modeshare by TAZ'!A:A,'Model Modeshare by TAZ'!B:B)</f>
        <v>Unknown</v>
      </c>
      <c r="C2966" s="90" t="str">
        <f>_xlfn.XLOOKUP(A2966,'Model Modeshare by TAZ'!A:A,'Model Modeshare by TAZ'!D:D)</f>
        <v>NO</v>
      </c>
      <c r="D2966" s="27">
        <v>1526.95</v>
      </c>
      <c r="E2966" s="27">
        <v>196317.64</v>
      </c>
      <c r="F2966" s="27">
        <v>0</v>
      </c>
      <c r="G2966" s="27">
        <v>0</v>
      </c>
      <c r="H2966" s="27">
        <v>0</v>
      </c>
      <c r="I2966" s="27">
        <v>0</v>
      </c>
      <c r="J2966" s="6">
        <v>0</v>
      </c>
      <c r="K2966" s="6">
        <v>0</v>
      </c>
      <c r="L2966" s="27">
        <v>0</v>
      </c>
      <c r="M2966" s="27">
        <v>0</v>
      </c>
      <c r="N2966" s="34">
        <v>0</v>
      </c>
    </row>
    <row r="2967" spans="1:14" x14ac:dyDescent="0.35">
      <c r="A2967" s="82">
        <v>2964</v>
      </c>
      <c r="B2967" s="89" t="str">
        <f>_xlfn.XLOOKUP(A2967,'Model Modeshare by TAZ'!A:A,'Model Modeshare by TAZ'!B:B)</f>
        <v>Unknown</v>
      </c>
      <c r="C2967" s="90" t="str">
        <f>_xlfn.XLOOKUP(A2967,'Model Modeshare by TAZ'!A:A,'Model Modeshare by TAZ'!D:D)</f>
        <v>NO</v>
      </c>
      <c r="D2967" s="27">
        <v>9899.39</v>
      </c>
      <c r="E2967" s="27">
        <v>1203489.8799999999</v>
      </c>
      <c r="F2967" s="27">
        <v>0</v>
      </c>
      <c r="G2967" s="27">
        <v>0</v>
      </c>
      <c r="H2967" s="27">
        <v>0</v>
      </c>
      <c r="I2967" s="27">
        <v>0</v>
      </c>
      <c r="J2967" s="6">
        <v>0</v>
      </c>
      <c r="K2967" s="6">
        <v>0</v>
      </c>
      <c r="L2967" s="27">
        <v>0</v>
      </c>
      <c r="M2967" s="27">
        <v>0</v>
      </c>
      <c r="N2967" s="34">
        <v>0</v>
      </c>
    </row>
    <row r="2968" spans="1:14" x14ac:dyDescent="0.35">
      <c r="A2968" s="82">
        <v>2965</v>
      </c>
      <c r="B2968" s="89" t="str">
        <f>_xlfn.XLOOKUP(A2968,'Model Modeshare by TAZ'!A:A,'Model Modeshare by TAZ'!B:B)</f>
        <v>Unknown</v>
      </c>
      <c r="C2968" s="90" t="str">
        <f>_xlfn.XLOOKUP(A2968,'Model Modeshare by TAZ'!A:A,'Model Modeshare by TAZ'!D:D)</f>
        <v>NO</v>
      </c>
      <c r="D2968" s="27">
        <v>13157.54</v>
      </c>
      <c r="E2968" s="27">
        <v>1836261.46</v>
      </c>
      <c r="F2968" s="27">
        <v>0</v>
      </c>
      <c r="G2968" s="27">
        <v>0</v>
      </c>
      <c r="H2968" s="27">
        <v>0</v>
      </c>
      <c r="I2968" s="27">
        <v>0</v>
      </c>
      <c r="J2968" s="6">
        <v>0</v>
      </c>
      <c r="K2968" s="6">
        <v>0</v>
      </c>
      <c r="L2968" s="27">
        <v>0</v>
      </c>
      <c r="M2968" s="27">
        <v>0</v>
      </c>
      <c r="N2968" s="34">
        <v>0</v>
      </c>
    </row>
    <row r="2969" spans="1:14" x14ac:dyDescent="0.35">
      <c r="A2969" s="82">
        <v>2966</v>
      </c>
      <c r="B2969" s="89" t="str">
        <f>_xlfn.XLOOKUP(A2969,'Model Modeshare by TAZ'!A:A,'Model Modeshare by TAZ'!B:B)</f>
        <v>Unknown</v>
      </c>
      <c r="C2969" s="90" t="str">
        <f>_xlfn.XLOOKUP(A2969,'Model Modeshare by TAZ'!A:A,'Model Modeshare by TAZ'!D:D)</f>
        <v>NO</v>
      </c>
      <c r="D2969" s="27">
        <v>39503.78</v>
      </c>
      <c r="E2969" s="27">
        <v>5664978.9299999997</v>
      </c>
      <c r="F2969" s="27">
        <v>0</v>
      </c>
      <c r="G2969" s="27">
        <v>0</v>
      </c>
      <c r="H2969" s="27">
        <v>0</v>
      </c>
      <c r="I2969" s="27">
        <v>0</v>
      </c>
      <c r="J2969" s="6">
        <v>0</v>
      </c>
      <c r="K2969" s="6">
        <v>0</v>
      </c>
      <c r="L2969" s="27">
        <v>0</v>
      </c>
      <c r="M2969" s="27">
        <v>0</v>
      </c>
      <c r="N2969" s="34">
        <v>0</v>
      </c>
    </row>
    <row r="2970" spans="1:14" x14ac:dyDescent="0.35">
      <c r="A2970" s="82">
        <v>2967</v>
      </c>
      <c r="B2970" s="89" t="str">
        <f>_xlfn.XLOOKUP(A2970,'Model Modeshare by TAZ'!A:A,'Model Modeshare by TAZ'!B:B)</f>
        <v>Unknown</v>
      </c>
      <c r="C2970" s="90" t="str">
        <f>_xlfn.XLOOKUP(A2970,'Model Modeshare by TAZ'!A:A,'Model Modeshare by TAZ'!D:D)</f>
        <v>NO</v>
      </c>
      <c r="D2970" s="27">
        <v>23832.76</v>
      </c>
      <c r="E2970" s="27">
        <v>3429201.48</v>
      </c>
      <c r="F2970" s="27">
        <v>0</v>
      </c>
      <c r="G2970" s="27">
        <v>0</v>
      </c>
      <c r="H2970" s="27">
        <v>0</v>
      </c>
      <c r="I2970" s="27">
        <v>0</v>
      </c>
      <c r="J2970" s="6">
        <v>0</v>
      </c>
      <c r="K2970" s="6">
        <v>0</v>
      </c>
      <c r="L2970" s="27">
        <v>0</v>
      </c>
      <c r="M2970" s="27">
        <v>0</v>
      </c>
      <c r="N2970" s="34">
        <v>0</v>
      </c>
    </row>
    <row r="2971" spans="1:14" x14ac:dyDescent="0.35">
      <c r="A2971" s="82">
        <v>2968</v>
      </c>
      <c r="B2971" s="89" t="str">
        <f>_xlfn.XLOOKUP(A2971,'Model Modeshare by TAZ'!A:A,'Model Modeshare by TAZ'!B:B)</f>
        <v>Unknown</v>
      </c>
      <c r="C2971" s="90" t="str">
        <f>_xlfn.XLOOKUP(A2971,'Model Modeshare by TAZ'!A:A,'Model Modeshare by TAZ'!D:D)</f>
        <v>NO</v>
      </c>
      <c r="D2971" s="27">
        <v>16657.05</v>
      </c>
      <c r="E2971" s="27">
        <v>2529554.84</v>
      </c>
      <c r="F2971" s="27">
        <v>0</v>
      </c>
      <c r="G2971" s="27">
        <v>0</v>
      </c>
      <c r="H2971" s="27">
        <v>0</v>
      </c>
      <c r="I2971" s="27">
        <v>0</v>
      </c>
      <c r="J2971" s="6">
        <v>0</v>
      </c>
      <c r="K2971" s="6">
        <v>0</v>
      </c>
      <c r="L2971" s="27">
        <v>0</v>
      </c>
      <c r="M2971" s="27">
        <v>0</v>
      </c>
      <c r="N2971" s="34">
        <v>0</v>
      </c>
    </row>
    <row r="2972" spans="1:14" x14ac:dyDescent="0.35">
      <c r="A2972" s="82">
        <v>2969</v>
      </c>
      <c r="B2972" s="89" t="str">
        <f>_xlfn.XLOOKUP(A2972,'Model Modeshare by TAZ'!A:A,'Model Modeshare by TAZ'!B:B)</f>
        <v>Unknown</v>
      </c>
      <c r="C2972" s="90" t="str">
        <f>_xlfn.XLOOKUP(A2972,'Model Modeshare by TAZ'!A:A,'Model Modeshare by TAZ'!D:D)</f>
        <v>NO</v>
      </c>
      <c r="D2972" s="27">
        <v>4543.99</v>
      </c>
      <c r="E2972" s="27">
        <v>902358.12</v>
      </c>
      <c r="F2972" s="27">
        <v>0</v>
      </c>
      <c r="G2972" s="27">
        <v>0</v>
      </c>
      <c r="H2972" s="27">
        <v>0</v>
      </c>
      <c r="I2972" s="27">
        <v>0</v>
      </c>
      <c r="J2972" s="6">
        <v>0</v>
      </c>
      <c r="K2972" s="6">
        <v>0</v>
      </c>
      <c r="L2972" s="27">
        <v>0</v>
      </c>
      <c r="M2972" s="27">
        <v>0</v>
      </c>
      <c r="N2972" s="34">
        <v>0</v>
      </c>
    </row>
    <row r="2973" spans="1:14" x14ac:dyDescent="0.35">
      <c r="A2973" s="82">
        <v>2970</v>
      </c>
      <c r="B2973" s="89" t="str">
        <f>_xlfn.XLOOKUP(A2973,'Model Modeshare by TAZ'!A:A,'Model Modeshare by TAZ'!B:B)</f>
        <v>Unknown</v>
      </c>
      <c r="C2973" s="90" t="str">
        <f>_xlfn.XLOOKUP(A2973,'Model Modeshare by TAZ'!A:A,'Model Modeshare by TAZ'!D:D)</f>
        <v>NO</v>
      </c>
      <c r="D2973" s="27">
        <v>4206.38</v>
      </c>
      <c r="E2973" s="27">
        <v>905968.39</v>
      </c>
      <c r="F2973" s="27">
        <v>0</v>
      </c>
      <c r="G2973" s="27">
        <v>0</v>
      </c>
      <c r="H2973" s="27">
        <v>0</v>
      </c>
      <c r="I2973" s="27">
        <v>0</v>
      </c>
      <c r="J2973" s="6">
        <v>0</v>
      </c>
      <c r="K2973" s="6">
        <v>0</v>
      </c>
      <c r="L2973" s="27">
        <v>0</v>
      </c>
      <c r="M2973" s="27">
        <v>0</v>
      </c>
      <c r="N2973" s="34">
        <v>0</v>
      </c>
    </row>
    <row r="2974" spans="1:14" x14ac:dyDescent="0.35">
      <c r="A2974" s="82">
        <v>2971</v>
      </c>
      <c r="B2974" s="89" t="str">
        <f>_xlfn.XLOOKUP(A2974,'Model Modeshare by TAZ'!A:A,'Model Modeshare by TAZ'!B:B)</f>
        <v>Unknown</v>
      </c>
      <c r="C2974" s="90" t="str">
        <f>_xlfn.XLOOKUP(A2974,'Model Modeshare by TAZ'!A:A,'Model Modeshare by TAZ'!D:D)</f>
        <v>NO</v>
      </c>
      <c r="D2974" s="27">
        <v>2412.91</v>
      </c>
      <c r="E2974" s="27">
        <v>490984.8</v>
      </c>
      <c r="F2974" s="27">
        <v>0</v>
      </c>
      <c r="G2974" s="27">
        <v>0</v>
      </c>
      <c r="H2974" s="27">
        <v>0</v>
      </c>
      <c r="I2974" s="27">
        <v>0</v>
      </c>
      <c r="J2974" s="6">
        <v>0</v>
      </c>
      <c r="K2974" s="6">
        <v>0</v>
      </c>
      <c r="L2974" s="27">
        <v>0</v>
      </c>
      <c r="M2974" s="27">
        <v>0</v>
      </c>
      <c r="N2974" s="34">
        <v>0</v>
      </c>
    </row>
    <row r="2975" spans="1:14" x14ac:dyDescent="0.35">
      <c r="A2975" s="82">
        <v>2972</v>
      </c>
      <c r="B2975" s="89" t="str">
        <f>_xlfn.XLOOKUP(A2975,'Model Modeshare by TAZ'!A:A,'Model Modeshare by TAZ'!B:B)</f>
        <v>Unknown</v>
      </c>
      <c r="C2975" s="90" t="str">
        <f>_xlfn.XLOOKUP(A2975,'Model Modeshare by TAZ'!A:A,'Model Modeshare by TAZ'!D:D)</f>
        <v>NO</v>
      </c>
      <c r="D2975" s="27">
        <v>2473.58</v>
      </c>
      <c r="E2975" s="27">
        <v>480276.02</v>
      </c>
      <c r="F2975" s="27">
        <v>0</v>
      </c>
      <c r="G2975" s="27">
        <v>0</v>
      </c>
      <c r="H2975" s="27">
        <v>0</v>
      </c>
      <c r="I2975" s="27">
        <v>0</v>
      </c>
      <c r="J2975" s="6">
        <v>0</v>
      </c>
      <c r="K2975" s="6">
        <v>0</v>
      </c>
      <c r="L2975" s="27">
        <v>0</v>
      </c>
      <c r="M2975" s="27">
        <v>0</v>
      </c>
      <c r="N2975" s="34">
        <v>0</v>
      </c>
    </row>
    <row r="2976" spans="1:14" x14ac:dyDescent="0.35">
      <c r="A2976" s="82">
        <v>2973</v>
      </c>
      <c r="B2976" s="89" t="str">
        <f>_xlfn.XLOOKUP(A2976,'Model Modeshare by TAZ'!A:A,'Model Modeshare by TAZ'!B:B)</f>
        <v>Unknown</v>
      </c>
      <c r="C2976" s="90" t="str">
        <f>_xlfn.XLOOKUP(A2976,'Model Modeshare by TAZ'!A:A,'Model Modeshare by TAZ'!D:D)</f>
        <v>NO</v>
      </c>
      <c r="D2976" s="27">
        <v>8008.78</v>
      </c>
      <c r="E2976" s="27">
        <v>1200011.54</v>
      </c>
      <c r="F2976" s="27">
        <v>0</v>
      </c>
      <c r="G2976" s="27">
        <v>0</v>
      </c>
      <c r="H2976" s="27">
        <v>0</v>
      </c>
      <c r="I2976" s="27">
        <v>0</v>
      </c>
      <c r="J2976" s="6">
        <v>0</v>
      </c>
      <c r="K2976" s="6">
        <v>0</v>
      </c>
      <c r="L2976" s="27">
        <v>0</v>
      </c>
      <c r="M2976" s="27">
        <v>0</v>
      </c>
      <c r="N2976" s="34">
        <v>0</v>
      </c>
    </row>
    <row r="2977" spans="1:14" x14ac:dyDescent="0.35">
      <c r="A2977" s="82">
        <v>2974</v>
      </c>
      <c r="B2977" s="89" t="str">
        <f>_xlfn.XLOOKUP(A2977,'Model Modeshare by TAZ'!A:A,'Model Modeshare by TAZ'!B:B)</f>
        <v>Unknown</v>
      </c>
      <c r="C2977" s="90" t="str">
        <f>_xlfn.XLOOKUP(A2977,'Model Modeshare by TAZ'!A:A,'Model Modeshare by TAZ'!D:D)</f>
        <v>NO</v>
      </c>
      <c r="D2977" s="27">
        <v>11150.28</v>
      </c>
      <c r="E2977" s="27">
        <v>2170226.81</v>
      </c>
      <c r="F2977" s="27">
        <v>0</v>
      </c>
      <c r="G2977" s="27">
        <v>0</v>
      </c>
      <c r="H2977" s="27">
        <v>0</v>
      </c>
      <c r="I2977" s="27">
        <v>0</v>
      </c>
      <c r="J2977" s="6">
        <v>0</v>
      </c>
      <c r="K2977" s="6">
        <v>0</v>
      </c>
      <c r="L2977" s="27">
        <v>0</v>
      </c>
      <c r="M2977" s="27">
        <v>0</v>
      </c>
      <c r="N2977" s="34">
        <v>0</v>
      </c>
    </row>
    <row r="2978" spans="1:14" x14ac:dyDescent="0.35">
      <c r="A2978" s="82">
        <v>2975</v>
      </c>
      <c r="B2978" s="89" t="str">
        <f>_xlfn.XLOOKUP(A2978,'Model Modeshare by TAZ'!A:A,'Model Modeshare by TAZ'!B:B)</f>
        <v>Unknown</v>
      </c>
      <c r="C2978" s="90" t="str">
        <f>_xlfn.XLOOKUP(A2978,'Model Modeshare by TAZ'!A:A,'Model Modeshare by TAZ'!D:D)</f>
        <v>NO</v>
      </c>
      <c r="D2978" s="27">
        <v>4575.05</v>
      </c>
      <c r="E2978" s="27">
        <v>810279.2</v>
      </c>
      <c r="F2978" s="27">
        <v>0</v>
      </c>
      <c r="G2978" s="27">
        <v>0</v>
      </c>
      <c r="H2978" s="27">
        <v>0</v>
      </c>
      <c r="I2978" s="27">
        <v>0</v>
      </c>
      <c r="J2978" s="6">
        <v>0</v>
      </c>
      <c r="K2978" s="6">
        <v>0</v>
      </c>
      <c r="L2978" s="27">
        <v>0</v>
      </c>
      <c r="M2978" s="27">
        <v>0</v>
      </c>
      <c r="N2978" s="34">
        <v>0</v>
      </c>
    </row>
    <row r="2979" spans="1:14" x14ac:dyDescent="0.35">
      <c r="A2979" s="82">
        <v>2976</v>
      </c>
      <c r="B2979" s="89" t="str">
        <f>_xlfn.XLOOKUP(A2979,'Model Modeshare by TAZ'!A:A,'Model Modeshare by TAZ'!B:B)</f>
        <v>Unknown</v>
      </c>
      <c r="C2979" s="90" t="str">
        <f>_xlfn.XLOOKUP(A2979,'Model Modeshare by TAZ'!A:A,'Model Modeshare by TAZ'!D:D)</f>
        <v>NO</v>
      </c>
      <c r="D2979" s="27">
        <v>6576.43</v>
      </c>
      <c r="E2979" s="27">
        <v>1046647.98</v>
      </c>
      <c r="F2979" s="27">
        <v>0</v>
      </c>
      <c r="G2979" s="27">
        <v>0</v>
      </c>
      <c r="H2979" s="27">
        <v>0</v>
      </c>
      <c r="I2979" s="27">
        <v>0</v>
      </c>
      <c r="J2979" s="6">
        <v>0</v>
      </c>
      <c r="K2979" s="6">
        <v>0</v>
      </c>
      <c r="L2979" s="27">
        <v>0</v>
      </c>
      <c r="M2979" s="27">
        <v>0</v>
      </c>
      <c r="N2979" s="34">
        <v>0</v>
      </c>
    </row>
    <row r="2980" spans="1:14" x14ac:dyDescent="0.35">
      <c r="A2980" s="82">
        <v>2977</v>
      </c>
      <c r="B2980" s="89" t="str">
        <f>_xlfn.XLOOKUP(A2980,'Model Modeshare by TAZ'!A:A,'Model Modeshare by TAZ'!B:B)</f>
        <v>Unknown</v>
      </c>
      <c r="C2980" s="90" t="str">
        <f>_xlfn.XLOOKUP(A2980,'Model Modeshare by TAZ'!A:A,'Model Modeshare by TAZ'!D:D)</f>
        <v>NO</v>
      </c>
      <c r="D2980" s="27">
        <v>17730.98</v>
      </c>
      <c r="E2980" s="27">
        <v>1938168.21</v>
      </c>
      <c r="F2980" s="27">
        <v>0</v>
      </c>
      <c r="G2980" s="27">
        <v>0</v>
      </c>
      <c r="H2980" s="27">
        <v>0</v>
      </c>
      <c r="I2980" s="27">
        <v>0</v>
      </c>
      <c r="J2980" s="6">
        <v>0</v>
      </c>
      <c r="K2980" s="6">
        <v>0</v>
      </c>
      <c r="L2980" s="27">
        <v>0</v>
      </c>
      <c r="M2980" s="27">
        <v>0</v>
      </c>
      <c r="N2980" s="34">
        <v>0</v>
      </c>
    </row>
    <row r="2981" spans="1:14" x14ac:dyDescent="0.35">
      <c r="A2981" s="82">
        <v>2978</v>
      </c>
      <c r="B2981" s="89" t="str">
        <f>_xlfn.XLOOKUP(A2981,'Model Modeshare by TAZ'!A:A,'Model Modeshare by TAZ'!B:B)</f>
        <v>Unknown</v>
      </c>
      <c r="C2981" s="90" t="str">
        <f>_xlfn.XLOOKUP(A2981,'Model Modeshare by TAZ'!A:A,'Model Modeshare by TAZ'!D:D)</f>
        <v>NO</v>
      </c>
      <c r="D2981" s="27">
        <v>624.24</v>
      </c>
      <c r="E2981" s="27">
        <v>181794.61</v>
      </c>
      <c r="F2981" s="27">
        <v>0</v>
      </c>
      <c r="G2981" s="27">
        <v>0</v>
      </c>
      <c r="H2981" s="27">
        <v>0</v>
      </c>
      <c r="I2981" s="27">
        <v>0</v>
      </c>
      <c r="J2981" s="6">
        <v>0</v>
      </c>
      <c r="K2981" s="6">
        <v>0</v>
      </c>
      <c r="L2981" s="27">
        <v>0</v>
      </c>
      <c r="M2981" s="27">
        <v>0</v>
      </c>
      <c r="N2981" s="34">
        <v>0</v>
      </c>
    </row>
    <row r="2982" spans="1:14" x14ac:dyDescent="0.35">
      <c r="A2982" s="82">
        <v>2979</v>
      </c>
      <c r="B2982" s="89" t="str">
        <f>_xlfn.XLOOKUP(A2982,'Model Modeshare by TAZ'!A:A,'Model Modeshare by TAZ'!B:B)</f>
        <v>Unknown</v>
      </c>
      <c r="C2982" s="90" t="str">
        <f>_xlfn.XLOOKUP(A2982,'Model Modeshare by TAZ'!A:A,'Model Modeshare by TAZ'!D:D)</f>
        <v>NO</v>
      </c>
      <c r="D2982" s="27">
        <v>11081.94</v>
      </c>
      <c r="E2982" s="27">
        <v>3484597.31</v>
      </c>
      <c r="F2982" s="27">
        <v>0</v>
      </c>
      <c r="G2982" s="27">
        <v>0</v>
      </c>
      <c r="H2982" s="27">
        <v>0</v>
      </c>
      <c r="I2982" s="27">
        <v>0</v>
      </c>
      <c r="J2982" s="6">
        <v>0</v>
      </c>
      <c r="K2982" s="6">
        <v>0</v>
      </c>
      <c r="L2982" s="27">
        <v>0</v>
      </c>
      <c r="M2982" s="27">
        <v>0</v>
      </c>
      <c r="N2982" s="34">
        <v>0</v>
      </c>
    </row>
    <row r="2983" spans="1:14" x14ac:dyDescent="0.35">
      <c r="A2983" s="82">
        <v>2980</v>
      </c>
      <c r="B2983" s="89" t="str">
        <f>_xlfn.XLOOKUP(A2983,'Model Modeshare by TAZ'!A:A,'Model Modeshare by TAZ'!B:B)</f>
        <v>Unknown</v>
      </c>
      <c r="C2983" s="90" t="str">
        <f>_xlfn.XLOOKUP(A2983,'Model Modeshare by TAZ'!A:A,'Model Modeshare by TAZ'!D:D)</f>
        <v>NO</v>
      </c>
      <c r="D2983" s="27">
        <v>1631.91</v>
      </c>
      <c r="E2983" s="27">
        <v>522988.37</v>
      </c>
      <c r="F2983" s="27">
        <v>0</v>
      </c>
      <c r="G2983" s="27">
        <v>0</v>
      </c>
      <c r="H2983" s="27">
        <v>0</v>
      </c>
      <c r="I2983" s="27">
        <v>0</v>
      </c>
      <c r="J2983" s="6">
        <v>0</v>
      </c>
      <c r="K2983" s="6">
        <v>0</v>
      </c>
      <c r="L2983" s="27">
        <v>0</v>
      </c>
      <c r="M2983" s="27">
        <v>0</v>
      </c>
      <c r="N2983" s="34">
        <v>0</v>
      </c>
    </row>
  </sheetData>
  <autoFilter ref="A3:I2983" xr:uid="{84CA55DB-4C30-4AFC-92C9-15BF9C2C226C}"/>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2D5F-8158-4438-AABD-C802A450EB51}">
  <sheetPr>
    <tabColor theme="1"/>
  </sheetPr>
  <dimension ref="A1:S2834"/>
  <sheetViews>
    <sheetView workbookViewId="0">
      <selection activeCell="C3" sqref="C3"/>
    </sheetView>
  </sheetViews>
  <sheetFormatPr defaultRowHeight="14.5" x14ac:dyDescent="0.35"/>
  <cols>
    <col min="2" max="2" width="26.81640625" customWidth="1"/>
    <col min="3" max="3" width="15" customWidth="1"/>
    <col min="7" max="7" width="9.1796875" customWidth="1"/>
    <col min="11" max="19" width="10.54296875" style="50" customWidth="1"/>
  </cols>
  <sheetData>
    <row r="1" spans="1:19" x14ac:dyDescent="0.35">
      <c r="A1" s="54" t="s">
        <v>405</v>
      </c>
    </row>
    <row r="2" spans="1:19" x14ac:dyDescent="0.35">
      <c r="A2" s="54"/>
      <c r="D2" s="80" t="s">
        <v>406</v>
      </c>
      <c r="E2" s="80"/>
      <c r="F2" s="80"/>
      <c r="G2" s="80"/>
      <c r="H2" s="80"/>
      <c r="I2" s="80"/>
      <c r="J2" s="80"/>
      <c r="K2" s="80"/>
      <c r="L2" s="80"/>
      <c r="M2" s="80"/>
      <c r="N2" s="80"/>
      <c r="O2" s="80"/>
      <c r="P2" s="80"/>
      <c r="Q2" s="80"/>
      <c r="R2" s="80"/>
      <c r="S2" s="80"/>
    </row>
    <row r="3" spans="1:19" ht="43.5" x14ac:dyDescent="0.35">
      <c r="A3" s="79" t="s">
        <v>408</v>
      </c>
      <c r="B3" s="79" t="s">
        <v>409</v>
      </c>
      <c r="C3" s="79" t="s">
        <v>411</v>
      </c>
      <c r="D3" s="96" t="s">
        <v>440</v>
      </c>
      <c r="E3" s="96" t="s">
        <v>441</v>
      </c>
      <c r="F3" s="96" t="s">
        <v>442</v>
      </c>
      <c r="G3" s="96" t="s">
        <v>443</v>
      </c>
      <c r="H3" s="96" t="s">
        <v>444</v>
      </c>
      <c r="I3" s="96" t="s">
        <v>445</v>
      </c>
      <c r="J3" s="96" t="s">
        <v>446</v>
      </c>
      <c r="K3" s="96" t="s">
        <v>447</v>
      </c>
      <c r="L3" s="96" t="s">
        <v>448</v>
      </c>
      <c r="M3" s="96" t="s">
        <v>449</v>
      </c>
      <c r="N3" s="96" t="s">
        <v>450</v>
      </c>
      <c r="O3" s="96" t="s">
        <v>451</v>
      </c>
      <c r="P3" s="96" t="s">
        <v>452</v>
      </c>
      <c r="Q3" s="96" t="s">
        <v>453</v>
      </c>
      <c r="R3" s="96" t="s">
        <v>454</v>
      </c>
      <c r="S3" s="96" t="s">
        <v>455</v>
      </c>
    </row>
    <row r="4" spans="1:19" x14ac:dyDescent="0.35">
      <c r="A4" s="82">
        <v>1</v>
      </c>
      <c r="B4" s="83" t="str">
        <f>_xlfn.XLOOKUP(A4,'Model Modeshare by TAZ'!A:A,'Model Modeshare by TAZ'!B:B)</f>
        <v>Campbell</v>
      </c>
      <c r="C4" s="82" t="str">
        <f>_xlfn.XLOOKUP(A4,'Model Modeshare by TAZ'!A:A,'Model Modeshare by TAZ'!D:D)</f>
        <v>NO</v>
      </c>
      <c r="D4" s="6">
        <v>3</v>
      </c>
      <c r="E4" s="6">
        <v>569</v>
      </c>
      <c r="F4" s="6">
        <v>1535</v>
      </c>
      <c r="G4" s="6">
        <v>1536</v>
      </c>
      <c r="H4" s="6">
        <v>927</v>
      </c>
      <c r="I4" s="6">
        <v>380</v>
      </c>
      <c r="J4" s="6">
        <v>189</v>
      </c>
      <c r="K4" s="40">
        <v>51</v>
      </c>
      <c r="L4" s="40">
        <v>11</v>
      </c>
      <c r="M4" s="40">
        <v>506</v>
      </c>
      <c r="N4" s="40">
        <v>101</v>
      </c>
      <c r="O4" s="40">
        <v>200</v>
      </c>
      <c r="P4" s="40">
        <v>203</v>
      </c>
      <c r="Q4" s="40">
        <v>1</v>
      </c>
      <c r="R4" s="40">
        <v>1</v>
      </c>
      <c r="S4" s="40">
        <v>0</v>
      </c>
    </row>
    <row r="5" spans="1:19" x14ac:dyDescent="0.35">
      <c r="A5" s="38">
        <v>2</v>
      </c>
      <c r="B5" s="38" t="str">
        <f>_xlfn.XLOOKUP(A5,'Model Modeshare by TAZ'!A:A,'Model Modeshare by TAZ'!B:B)</f>
        <v>Campbell</v>
      </c>
      <c r="C5" s="38" t="str">
        <f>_xlfn.XLOOKUP(A5,'Model Modeshare by TAZ'!A:A,'Model Modeshare by TAZ'!D:D)</f>
        <v>NO</v>
      </c>
      <c r="D5" s="6">
        <v>3</v>
      </c>
      <c r="E5" s="6">
        <v>125</v>
      </c>
      <c r="F5" s="6">
        <v>254</v>
      </c>
      <c r="G5" s="6">
        <v>254</v>
      </c>
      <c r="H5" s="6">
        <v>169</v>
      </c>
      <c r="I5" s="6">
        <v>50</v>
      </c>
      <c r="J5" s="6">
        <v>75</v>
      </c>
      <c r="K5" s="40">
        <v>14</v>
      </c>
      <c r="L5" s="40">
        <v>18</v>
      </c>
      <c r="M5" s="40">
        <v>509</v>
      </c>
      <c r="N5" s="40">
        <v>68</v>
      </c>
      <c r="O5" s="40">
        <v>278</v>
      </c>
      <c r="P5" s="40">
        <v>39</v>
      </c>
      <c r="Q5" s="40">
        <v>3</v>
      </c>
      <c r="R5" s="40">
        <v>107</v>
      </c>
      <c r="S5" s="40">
        <v>14</v>
      </c>
    </row>
    <row r="6" spans="1:19" x14ac:dyDescent="0.35">
      <c r="A6" s="38">
        <v>3</v>
      </c>
      <c r="B6" s="38" t="str">
        <f>_xlfn.XLOOKUP(A6,'Model Modeshare by TAZ'!A:A,'Model Modeshare by TAZ'!B:B)</f>
        <v>Campbell</v>
      </c>
      <c r="C6" s="38" t="str">
        <f>_xlfn.XLOOKUP(A6,'Model Modeshare by TAZ'!A:A,'Model Modeshare by TAZ'!D:D)</f>
        <v>NO</v>
      </c>
      <c r="D6" s="6">
        <v>3</v>
      </c>
      <c r="E6" s="6">
        <v>772</v>
      </c>
      <c r="F6" s="6">
        <v>1784</v>
      </c>
      <c r="G6" s="6">
        <v>1787</v>
      </c>
      <c r="H6" s="6">
        <v>931</v>
      </c>
      <c r="I6" s="6">
        <v>253</v>
      </c>
      <c r="J6" s="6">
        <v>519</v>
      </c>
      <c r="K6" s="40">
        <v>131</v>
      </c>
      <c r="L6" s="40">
        <v>35</v>
      </c>
      <c r="M6" s="40">
        <v>950</v>
      </c>
      <c r="N6" s="40">
        <v>158</v>
      </c>
      <c r="O6" s="40">
        <v>321</v>
      </c>
      <c r="P6" s="40">
        <v>311</v>
      </c>
      <c r="Q6" s="40">
        <v>1</v>
      </c>
      <c r="R6" s="40">
        <v>128</v>
      </c>
      <c r="S6" s="40">
        <v>31</v>
      </c>
    </row>
    <row r="7" spans="1:19" x14ac:dyDescent="0.35">
      <c r="A7" s="38">
        <v>4</v>
      </c>
      <c r="B7" s="38" t="str">
        <f>_xlfn.XLOOKUP(A7,'Model Modeshare by TAZ'!A:A,'Model Modeshare by TAZ'!B:B)</f>
        <v>Campbell</v>
      </c>
      <c r="C7" s="38" t="str">
        <f>_xlfn.XLOOKUP(A7,'Model Modeshare by TAZ'!A:A,'Model Modeshare by TAZ'!D:D)</f>
        <v>NO</v>
      </c>
      <c r="D7" s="6">
        <v>3</v>
      </c>
      <c r="E7" s="6">
        <v>215</v>
      </c>
      <c r="F7" s="6">
        <v>439</v>
      </c>
      <c r="G7" s="6">
        <v>439</v>
      </c>
      <c r="H7" s="6">
        <v>293</v>
      </c>
      <c r="I7" s="6">
        <v>83</v>
      </c>
      <c r="J7" s="6">
        <v>132</v>
      </c>
      <c r="K7" s="40">
        <v>24</v>
      </c>
      <c r="L7" s="40">
        <v>17</v>
      </c>
      <c r="M7" s="40">
        <v>384</v>
      </c>
      <c r="N7" s="40">
        <v>31</v>
      </c>
      <c r="O7" s="40">
        <v>109</v>
      </c>
      <c r="P7" s="40">
        <v>79</v>
      </c>
      <c r="Q7" s="40">
        <v>0</v>
      </c>
      <c r="R7" s="40">
        <v>139</v>
      </c>
      <c r="S7" s="40">
        <v>26</v>
      </c>
    </row>
    <row r="8" spans="1:19" x14ac:dyDescent="0.35">
      <c r="A8" s="38">
        <v>5</v>
      </c>
      <c r="B8" s="38" t="str">
        <f>_xlfn.XLOOKUP(A8,'Model Modeshare by TAZ'!A:A,'Model Modeshare by TAZ'!B:B)</f>
        <v>Campbell</v>
      </c>
      <c r="C8" s="38" t="str">
        <f>_xlfn.XLOOKUP(A8,'Model Modeshare by TAZ'!A:A,'Model Modeshare by TAZ'!D:D)</f>
        <v>NO</v>
      </c>
      <c r="D8" s="6">
        <v>3</v>
      </c>
      <c r="E8" s="6">
        <v>1592</v>
      </c>
      <c r="F8" s="6">
        <v>4342</v>
      </c>
      <c r="G8" s="6">
        <v>4352</v>
      </c>
      <c r="H8" s="6">
        <v>2356</v>
      </c>
      <c r="I8" s="6">
        <v>863</v>
      </c>
      <c r="J8" s="6">
        <v>729</v>
      </c>
      <c r="K8" s="40">
        <v>258</v>
      </c>
      <c r="L8" s="40">
        <v>44</v>
      </c>
      <c r="M8" s="40">
        <v>723</v>
      </c>
      <c r="N8" s="40">
        <v>298</v>
      </c>
      <c r="O8" s="40">
        <v>336</v>
      </c>
      <c r="P8" s="40">
        <v>81</v>
      </c>
      <c r="Q8" s="40">
        <v>0</v>
      </c>
      <c r="R8" s="40">
        <v>0</v>
      </c>
      <c r="S8" s="40">
        <v>8</v>
      </c>
    </row>
    <row r="9" spans="1:19" x14ac:dyDescent="0.35">
      <c r="A9" s="38">
        <v>6</v>
      </c>
      <c r="B9" s="38" t="str">
        <f>_xlfn.XLOOKUP(A9,'Model Modeshare by TAZ'!A:A,'Model Modeshare by TAZ'!B:B)</f>
        <v>Campbell</v>
      </c>
      <c r="C9" s="38" t="str">
        <f>_xlfn.XLOOKUP(A9,'Model Modeshare by TAZ'!A:A,'Model Modeshare by TAZ'!D:D)</f>
        <v>NO</v>
      </c>
      <c r="D9" s="6">
        <v>3</v>
      </c>
      <c r="E9" s="6">
        <v>775</v>
      </c>
      <c r="F9" s="6">
        <v>2092</v>
      </c>
      <c r="G9" s="6">
        <v>2102</v>
      </c>
      <c r="H9" s="6">
        <v>1262</v>
      </c>
      <c r="I9" s="6">
        <v>517</v>
      </c>
      <c r="J9" s="6">
        <v>258</v>
      </c>
      <c r="K9" s="40">
        <v>189</v>
      </c>
      <c r="L9" s="40">
        <v>3</v>
      </c>
      <c r="M9" s="40">
        <v>38</v>
      </c>
      <c r="N9" s="40">
        <v>0</v>
      </c>
      <c r="O9" s="40">
        <v>13</v>
      </c>
      <c r="P9" s="40">
        <v>23</v>
      </c>
      <c r="Q9" s="40">
        <v>1</v>
      </c>
      <c r="R9" s="40">
        <v>1</v>
      </c>
      <c r="S9" s="40">
        <v>0</v>
      </c>
    </row>
    <row r="10" spans="1:19" x14ac:dyDescent="0.35">
      <c r="A10" s="38">
        <v>7</v>
      </c>
      <c r="B10" s="38" t="str">
        <f>_xlfn.XLOOKUP(A10,'Model Modeshare by TAZ'!A:A,'Model Modeshare by TAZ'!B:B)</f>
        <v>Campbell</v>
      </c>
      <c r="C10" s="38" t="str">
        <f>_xlfn.XLOOKUP(A10,'Model Modeshare by TAZ'!A:A,'Model Modeshare by TAZ'!D:D)</f>
        <v>NO</v>
      </c>
      <c r="D10" s="6">
        <v>3</v>
      </c>
      <c r="E10" s="6">
        <v>726</v>
      </c>
      <c r="F10" s="6">
        <v>1865</v>
      </c>
      <c r="G10" s="6">
        <v>1869</v>
      </c>
      <c r="H10" s="6">
        <v>1031</v>
      </c>
      <c r="I10" s="6">
        <v>515</v>
      </c>
      <c r="J10" s="6">
        <v>211</v>
      </c>
      <c r="K10" s="40">
        <v>149</v>
      </c>
      <c r="L10" s="40">
        <v>23</v>
      </c>
      <c r="M10" s="40">
        <v>1573</v>
      </c>
      <c r="N10" s="40">
        <v>95</v>
      </c>
      <c r="O10" s="40">
        <v>1317</v>
      </c>
      <c r="P10" s="40">
        <v>83</v>
      </c>
      <c r="Q10" s="40">
        <v>1</v>
      </c>
      <c r="R10" s="40">
        <v>63</v>
      </c>
      <c r="S10" s="40">
        <v>14</v>
      </c>
    </row>
    <row r="11" spans="1:19" x14ac:dyDescent="0.35">
      <c r="A11" s="38">
        <v>8</v>
      </c>
      <c r="B11" s="38" t="str">
        <f>_xlfn.XLOOKUP(A11,'Model Modeshare by TAZ'!A:A,'Model Modeshare by TAZ'!B:B)</f>
        <v>Campbell</v>
      </c>
      <c r="C11" s="38" t="str">
        <f>_xlfn.XLOOKUP(A11,'Model Modeshare by TAZ'!A:A,'Model Modeshare by TAZ'!D:D)</f>
        <v>NO</v>
      </c>
      <c r="D11" s="6">
        <v>3</v>
      </c>
      <c r="E11" s="6">
        <v>409</v>
      </c>
      <c r="F11" s="6">
        <v>872</v>
      </c>
      <c r="G11" s="6">
        <v>883</v>
      </c>
      <c r="H11" s="6">
        <v>484</v>
      </c>
      <c r="I11" s="6">
        <v>145</v>
      </c>
      <c r="J11" s="6">
        <v>264</v>
      </c>
      <c r="K11" s="40">
        <v>119</v>
      </c>
      <c r="L11" s="40">
        <v>9</v>
      </c>
      <c r="M11" s="40">
        <v>242</v>
      </c>
      <c r="N11" s="40">
        <v>105</v>
      </c>
      <c r="O11" s="40">
        <v>88</v>
      </c>
      <c r="P11" s="40">
        <v>30</v>
      </c>
      <c r="Q11" s="40">
        <v>0</v>
      </c>
      <c r="R11" s="40">
        <v>16</v>
      </c>
      <c r="S11" s="40">
        <v>3</v>
      </c>
    </row>
    <row r="12" spans="1:19" x14ac:dyDescent="0.35">
      <c r="A12" s="38">
        <v>9</v>
      </c>
      <c r="B12" s="38" t="str">
        <f>_xlfn.XLOOKUP(A12,'Model Modeshare by TAZ'!A:A,'Model Modeshare by TAZ'!B:B)</f>
        <v>Campbell</v>
      </c>
      <c r="C12" s="38" t="str">
        <f>_xlfn.XLOOKUP(A12,'Model Modeshare by TAZ'!A:A,'Model Modeshare by TAZ'!D:D)</f>
        <v>NO</v>
      </c>
      <c r="D12" s="6">
        <v>3</v>
      </c>
      <c r="E12" s="6">
        <v>1304</v>
      </c>
      <c r="F12" s="6">
        <v>3295</v>
      </c>
      <c r="G12" s="6">
        <v>3388</v>
      </c>
      <c r="H12" s="6">
        <v>1746</v>
      </c>
      <c r="I12" s="6">
        <v>514</v>
      </c>
      <c r="J12" s="6">
        <v>790</v>
      </c>
      <c r="K12" s="40">
        <v>125</v>
      </c>
      <c r="L12" s="40">
        <v>51</v>
      </c>
      <c r="M12" s="40">
        <v>836</v>
      </c>
      <c r="N12" s="40">
        <v>195</v>
      </c>
      <c r="O12" s="40">
        <v>460</v>
      </c>
      <c r="P12" s="40">
        <v>159</v>
      </c>
      <c r="Q12" s="40">
        <v>2</v>
      </c>
      <c r="R12" s="40">
        <v>3</v>
      </c>
      <c r="S12" s="40">
        <v>17</v>
      </c>
    </row>
    <row r="13" spans="1:19" x14ac:dyDescent="0.35">
      <c r="A13" s="38">
        <v>10</v>
      </c>
      <c r="B13" s="38" t="str">
        <f>_xlfn.XLOOKUP(A13,'Model Modeshare by TAZ'!A:A,'Model Modeshare by TAZ'!B:B)</f>
        <v>Campbell</v>
      </c>
      <c r="C13" s="38" t="str">
        <f>_xlfn.XLOOKUP(A13,'Model Modeshare by TAZ'!A:A,'Model Modeshare by TAZ'!D:D)</f>
        <v>NO</v>
      </c>
      <c r="D13" s="6">
        <v>3</v>
      </c>
      <c r="E13" s="6">
        <v>663</v>
      </c>
      <c r="F13" s="6">
        <v>1415</v>
      </c>
      <c r="G13" s="6">
        <v>1422</v>
      </c>
      <c r="H13" s="6">
        <v>787</v>
      </c>
      <c r="I13" s="6">
        <v>234</v>
      </c>
      <c r="J13" s="6">
        <v>429</v>
      </c>
      <c r="K13" s="40">
        <v>143</v>
      </c>
      <c r="L13" s="40">
        <v>9</v>
      </c>
      <c r="M13" s="40">
        <v>359</v>
      </c>
      <c r="N13" s="40">
        <v>73</v>
      </c>
      <c r="O13" s="40">
        <v>130</v>
      </c>
      <c r="P13" s="40">
        <v>111</v>
      </c>
      <c r="Q13" s="40">
        <v>0</v>
      </c>
      <c r="R13" s="40">
        <v>38</v>
      </c>
      <c r="S13" s="40">
        <v>7</v>
      </c>
    </row>
    <row r="14" spans="1:19" x14ac:dyDescent="0.35">
      <c r="A14" s="38">
        <v>11</v>
      </c>
      <c r="B14" s="38" t="str">
        <f>_xlfn.XLOOKUP(A14,'Model Modeshare by TAZ'!A:A,'Model Modeshare by TAZ'!B:B)</f>
        <v>Campbell</v>
      </c>
      <c r="C14" s="38" t="str">
        <f>_xlfn.XLOOKUP(A14,'Model Modeshare by TAZ'!A:A,'Model Modeshare by TAZ'!D:D)</f>
        <v>NO</v>
      </c>
      <c r="D14" s="6">
        <v>3</v>
      </c>
      <c r="E14" s="6">
        <v>130</v>
      </c>
      <c r="F14" s="6">
        <v>280</v>
      </c>
      <c r="G14" s="6">
        <v>280</v>
      </c>
      <c r="H14" s="6">
        <v>171</v>
      </c>
      <c r="I14" s="6">
        <v>46</v>
      </c>
      <c r="J14" s="6">
        <v>84</v>
      </c>
      <c r="K14" s="40">
        <v>15</v>
      </c>
      <c r="L14" s="40">
        <v>46</v>
      </c>
      <c r="M14" s="40">
        <v>4757</v>
      </c>
      <c r="N14" s="40">
        <v>1366</v>
      </c>
      <c r="O14" s="40">
        <v>1760</v>
      </c>
      <c r="P14" s="40">
        <v>995</v>
      </c>
      <c r="Q14" s="40">
        <v>0</v>
      </c>
      <c r="R14" s="40">
        <v>553</v>
      </c>
      <c r="S14" s="40">
        <v>83</v>
      </c>
    </row>
    <row r="15" spans="1:19" x14ac:dyDescent="0.35">
      <c r="A15" s="38">
        <v>12</v>
      </c>
      <c r="B15" s="38" t="str">
        <f>_xlfn.XLOOKUP(A15,'Model Modeshare by TAZ'!A:A,'Model Modeshare by TAZ'!B:B)</f>
        <v>Campbell</v>
      </c>
      <c r="C15" s="38" t="str">
        <f>_xlfn.XLOOKUP(A15,'Model Modeshare by TAZ'!A:A,'Model Modeshare by TAZ'!D:D)</f>
        <v>NO</v>
      </c>
      <c r="D15" s="6">
        <v>3</v>
      </c>
      <c r="E15" s="6">
        <v>770</v>
      </c>
      <c r="F15" s="6">
        <v>2275</v>
      </c>
      <c r="G15" s="6">
        <v>2276</v>
      </c>
      <c r="H15" s="6">
        <v>1331</v>
      </c>
      <c r="I15" s="6">
        <v>699</v>
      </c>
      <c r="J15" s="6">
        <v>71</v>
      </c>
      <c r="K15" s="40">
        <v>199</v>
      </c>
      <c r="L15" s="40">
        <v>13</v>
      </c>
      <c r="M15" s="40">
        <v>4</v>
      </c>
      <c r="N15" s="40">
        <v>0</v>
      </c>
      <c r="O15" s="40">
        <v>0</v>
      </c>
      <c r="P15" s="40">
        <v>0</v>
      </c>
      <c r="Q15" s="40">
        <v>3</v>
      </c>
      <c r="R15" s="40">
        <v>1</v>
      </c>
      <c r="S15" s="40">
        <v>0</v>
      </c>
    </row>
    <row r="16" spans="1:19" x14ac:dyDescent="0.35">
      <c r="A16" s="38">
        <v>13</v>
      </c>
      <c r="B16" s="38" t="str">
        <f>_xlfn.XLOOKUP(A16,'Model Modeshare by TAZ'!A:A,'Model Modeshare by TAZ'!B:B)</f>
        <v>Campbell</v>
      </c>
      <c r="C16" s="38" t="str">
        <f>_xlfn.XLOOKUP(A16,'Model Modeshare by TAZ'!A:A,'Model Modeshare by TAZ'!D:D)</f>
        <v>NO</v>
      </c>
      <c r="D16" s="6">
        <v>3</v>
      </c>
      <c r="E16" s="6">
        <v>343</v>
      </c>
      <c r="F16" s="6">
        <v>1012</v>
      </c>
      <c r="G16" s="6">
        <v>1012</v>
      </c>
      <c r="H16" s="6">
        <v>591</v>
      </c>
      <c r="I16" s="6">
        <v>311</v>
      </c>
      <c r="J16" s="6">
        <v>32</v>
      </c>
      <c r="K16" s="40">
        <v>66</v>
      </c>
      <c r="L16" s="40">
        <v>5</v>
      </c>
      <c r="M16" s="40">
        <v>396</v>
      </c>
      <c r="N16" s="40">
        <v>196</v>
      </c>
      <c r="O16" s="40">
        <v>194</v>
      </c>
      <c r="P16" s="40">
        <v>5</v>
      </c>
      <c r="Q16" s="40">
        <v>1</v>
      </c>
      <c r="R16" s="40">
        <v>0</v>
      </c>
      <c r="S16" s="40">
        <v>0</v>
      </c>
    </row>
    <row r="17" spans="1:19" x14ac:dyDescent="0.35">
      <c r="A17" s="38">
        <v>14</v>
      </c>
      <c r="B17" s="38" t="str">
        <f>_xlfn.XLOOKUP(A17,'Model Modeshare by TAZ'!A:A,'Model Modeshare by TAZ'!B:B)</f>
        <v>Campbell</v>
      </c>
      <c r="C17" s="38" t="str">
        <f>_xlfn.XLOOKUP(A17,'Model Modeshare by TAZ'!A:A,'Model Modeshare by TAZ'!D:D)</f>
        <v>NO</v>
      </c>
      <c r="D17" s="6">
        <v>3</v>
      </c>
      <c r="E17" s="6">
        <v>674</v>
      </c>
      <c r="F17" s="6">
        <v>1820</v>
      </c>
      <c r="G17" s="6">
        <v>1821</v>
      </c>
      <c r="H17" s="6">
        <v>1100</v>
      </c>
      <c r="I17" s="6">
        <v>447</v>
      </c>
      <c r="J17" s="6">
        <v>227</v>
      </c>
      <c r="K17" s="40">
        <v>154</v>
      </c>
      <c r="L17" s="40">
        <v>1</v>
      </c>
      <c r="M17" s="40">
        <v>65</v>
      </c>
      <c r="N17" s="40">
        <v>11</v>
      </c>
      <c r="O17" s="40">
        <v>16</v>
      </c>
      <c r="P17" s="40">
        <v>37</v>
      </c>
      <c r="Q17" s="40">
        <v>1</v>
      </c>
      <c r="R17" s="40">
        <v>0</v>
      </c>
      <c r="S17" s="40">
        <v>0</v>
      </c>
    </row>
    <row r="18" spans="1:19" x14ac:dyDescent="0.35">
      <c r="A18" s="38">
        <v>15</v>
      </c>
      <c r="B18" s="38" t="str">
        <f>_xlfn.XLOOKUP(A18,'Model Modeshare by TAZ'!A:A,'Model Modeshare by TAZ'!B:B)</f>
        <v>Campbell</v>
      </c>
      <c r="C18" s="38" t="str">
        <f>_xlfn.XLOOKUP(A18,'Model Modeshare by TAZ'!A:A,'Model Modeshare by TAZ'!D:D)</f>
        <v>NO</v>
      </c>
      <c r="D18" s="6">
        <v>3</v>
      </c>
      <c r="E18" s="6">
        <v>1347</v>
      </c>
      <c r="F18" s="6">
        <v>2873</v>
      </c>
      <c r="G18" s="6">
        <v>2876</v>
      </c>
      <c r="H18" s="6">
        <v>1764</v>
      </c>
      <c r="I18" s="6">
        <v>477</v>
      </c>
      <c r="J18" s="6">
        <v>870</v>
      </c>
      <c r="K18" s="40">
        <v>88</v>
      </c>
      <c r="L18" s="40">
        <v>44</v>
      </c>
      <c r="M18" s="40">
        <v>3546</v>
      </c>
      <c r="N18" s="40">
        <v>275</v>
      </c>
      <c r="O18" s="40">
        <v>543</v>
      </c>
      <c r="P18" s="40">
        <v>1369</v>
      </c>
      <c r="Q18" s="40">
        <v>167</v>
      </c>
      <c r="R18" s="40">
        <v>1027</v>
      </c>
      <c r="S18" s="40">
        <v>165</v>
      </c>
    </row>
    <row r="19" spans="1:19" x14ac:dyDescent="0.35">
      <c r="A19" s="38">
        <v>16</v>
      </c>
      <c r="B19" s="38" t="str">
        <f>_xlfn.XLOOKUP(A19,'Model Modeshare by TAZ'!A:A,'Model Modeshare by TAZ'!B:B)</f>
        <v>Campbell</v>
      </c>
      <c r="C19" s="38" t="str">
        <f>_xlfn.XLOOKUP(A19,'Model Modeshare by TAZ'!A:A,'Model Modeshare by TAZ'!D:D)</f>
        <v>NO</v>
      </c>
      <c r="D19" s="6">
        <v>3</v>
      </c>
      <c r="E19" s="6">
        <v>151</v>
      </c>
      <c r="F19" s="6">
        <v>390</v>
      </c>
      <c r="G19" s="6">
        <v>391</v>
      </c>
      <c r="H19" s="6">
        <v>215</v>
      </c>
      <c r="I19" s="6">
        <v>108</v>
      </c>
      <c r="J19" s="6">
        <v>43</v>
      </c>
      <c r="K19" s="40">
        <v>36</v>
      </c>
      <c r="L19" s="40">
        <v>13</v>
      </c>
      <c r="M19" s="40">
        <v>510</v>
      </c>
      <c r="N19" s="40">
        <v>155</v>
      </c>
      <c r="O19" s="40">
        <v>289</v>
      </c>
      <c r="P19" s="40">
        <v>24</v>
      </c>
      <c r="Q19" s="40">
        <v>1</v>
      </c>
      <c r="R19" s="40">
        <v>35</v>
      </c>
      <c r="S19" s="40">
        <v>6</v>
      </c>
    </row>
    <row r="20" spans="1:19" x14ac:dyDescent="0.35">
      <c r="A20" s="38">
        <v>17</v>
      </c>
      <c r="B20" s="38" t="str">
        <f>_xlfn.XLOOKUP(A20,'Model Modeshare by TAZ'!A:A,'Model Modeshare by TAZ'!B:B)</f>
        <v>Campbell</v>
      </c>
      <c r="C20" s="38" t="str">
        <f>_xlfn.XLOOKUP(A20,'Model Modeshare by TAZ'!A:A,'Model Modeshare by TAZ'!D:D)</f>
        <v>NO</v>
      </c>
      <c r="D20" s="6">
        <v>3</v>
      </c>
      <c r="E20" s="6">
        <v>1007</v>
      </c>
      <c r="F20" s="6">
        <v>2328</v>
      </c>
      <c r="G20" s="6">
        <v>2331</v>
      </c>
      <c r="H20" s="6">
        <v>1214</v>
      </c>
      <c r="I20" s="6">
        <v>328</v>
      </c>
      <c r="J20" s="6">
        <v>679</v>
      </c>
      <c r="K20" s="40">
        <v>70</v>
      </c>
      <c r="L20" s="40">
        <v>10</v>
      </c>
      <c r="M20" s="40">
        <v>844</v>
      </c>
      <c r="N20" s="40">
        <v>654</v>
      </c>
      <c r="O20" s="40">
        <v>9</v>
      </c>
      <c r="P20" s="40">
        <v>35</v>
      </c>
      <c r="Q20" s="40">
        <v>1</v>
      </c>
      <c r="R20" s="40">
        <v>117</v>
      </c>
      <c r="S20" s="40">
        <v>28</v>
      </c>
    </row>
    <row r="21" spans="1:19" x14ac:dyDescent="0.35">
      <c r="A21" s="38">
        <v>18</v>
      </c>
      <c r="B21" s="38" t="str">
        <f>_xlfn.XLOOKUP(A21,'Model Modeshare by TAZ'!A:A,'Model Modeshare by TAZ'!B:B)</f>
        <v>Campbell</v>
      </c>
      <c r="C21" s="38" t="str">
        <f>_xlfn.XLOOKUP(A21,'Model Modeshare by TAZ'!A:A,'Model Modeshare by TAZ'!D:D)</f>
        <v>NO</v>
      </c>
      <c r="D21" s="6">
        <v>3</v>
      </c>
      <c r="E21" s="6">
        <v>196</v>
      </c>
      <c r="F21" s="6">
        <v>472</v>
      </c>
      <c r="G21" s="6">
        <v>472</v>
      </c>
      <c r="H21" s="6">
        <v>268</v>
      </c>
      <c r="I21" s="6">
        <v>167</v>
      </c>
      <c r="J21" s="6">
        <v>29</v>
      </c>
      <c r="K21" s="40">
        <v>46</v>
      </c>
      <c r="L21" s="40">
        <v>1</v>
      </c>
      <c r="M21" s="40">
        <v>263</v>
      </c>
      <c r="N21" s="40">
        <v>1</v>
      </c>
      <c r="O21" s="40">
        <v>173</v>
      </c>
      <c r="P21" s="40">
        <v>44</v>
      </c>
      <c r="Q21" s="40">
        <v>3</v>
      </c>
      <c r="R21" s="40">
        <v>42</v>
      </c>
      <c r="S21" s="40">
        <v>0</v>
      </c>
    </row>
    <row r="22" spans="1:19" x14ac:dyDescent="0.35">
      <c r="A22" s="38">
        <v>19</v>
      </c>
      <c r="B22" s="38" t="str">
        <f>_xlfn.XLOOKUP(A22,'Model Modeshare by TAZ'!A:A,'Model Modeshare by TAZ'!B:B)</f>
        <v>Campbell</v>
      </c>
      <c r="C22" s="38" t="str">
        <f>_xlfn.XLOOKUP(A22,'Model Modeshare by TAZ'!A:A,'Model Modeshare by TAZ'!D:D)</f>
        <v>NO</v>
      </c>
      <c r="D22" s="6">
        <v>3</v>
      </c>
      <c r="E22" s="6">
        <v>2</v>
      </c>
      <c r="F22" s="6">
        <v>4</v>
      </c>
      <c r="G22" s="6">
        <v>4</v>
      </c>
      <c r="H22" s="6">
        <v>2</v>
      </c>
      <c r="I22" s="6">
        <v>1</v>
      </c>
      <c r="J22" s="6">
        <v>1</v>
      </c>
      <c r="K22" s="40">
        <v>1.32</v>
      </c>
      <c r="L22" s="40">
        <v>60</v>
      </c>
      <c r="M22" s="40">
        <v>1488</v>
      </c>
      <c r="N22" s="40">
        <v>68</v>
      </c>
      <c r="O22" s="40">
        <v>336</v>
      </c>
      <c r="P22" s="40">
        <v>171</v>
      </c>
      <c r="Q22" s="40">
        <v>0</v>
      </c>
      <c r="R22" s="40">
        <v>811</v>
      </c>
      <c r="S22" s="40">
        <v>102</v>
      </c>
    </row>
    <row r="23" spans="1:19" x14ac:dyDescent="0.35">
      <c r="A23" s="38">
        <v>20</v>
      </c>
      <c r="B23" s="38" t="str">
        <f>_xlfn.XLOOKUP(A23,'Model Modeshare by TAZ'!A:A,'Model Modeshare by TAZ'!B:B)</f>
        <v>Campbell</v>
      </c>
      <c r="C23" s="38" t="str">
        <f>_xlfn.XLOOKUP(A23,'Model Modeshare by TAZ'!A:A,'Model Modeshare by TAZ'!D:D)</f>
        <v>NO</v>
      </c>
      <c r="D23" s="6">
        <v>3</v>
      </c>
      <c r="E23" s="6">
        <v>226</v>
      </c>
      <c r="F23" s="6">
        <v>668</v>
      </c>
      <c r="G23" s="6">
        <v>668</v>
      </c>
      <c r="H23" s="6">
        <v>390</v>
      </c>
      <c r="I23" s="6">
        <v>205</v>
      </c>
      <c r="J23" s="6">
        <v>21</v>
      </c>
      <c r="K23" s="40">
        <v>45</v>
      </c>
      <c r="L23" s="40">
        <v>25</v>
      </c>
      <c r="M23" s="40">
        <v>80</v>
      </c>
      <c r="N23" s="40">
        <v>0</v>
      </c>
      <c r="O23" s="40">
        <v>0</v>
      </c>
      <c r="P23" s="40">
        <v>80</v>
      </c>
      <c r="Q23" s="40">
        <v>0</v>
      </c>
      <c r="R23" s="40">
        <v>0</v>
      </c>
      <c r="S23" s="40">
        <v>0</v>
      </c>
    </row>
    <row r="24" spans="1:19" x14ac:dyDescent="0.35">
      <c r="A24" s="38">
        <v>21</v>
      </c>
      <c r="B24" s="38" t="str">
        <f>_xlfn.XLOOKUP(A24,'Model Modeshare by TAZ'!A:A,'Model Modeshare by TAZ'!B:B)</f>
        <v>Campbell</v>
      </c>
      <c r="C24" s="38" t="str">
        <f>_xlfn.XLOOKUP(A24,'Model Modeshare by TAZ'!A:A,'Model Modeshare by TAZ'!D:D)</f>
        <v>NO</v>
      </c>
      <c r="D24" s="6">
        <v>3</v>
      </c>
      <c r="E24" s="6">
        <v>244</v>
      </c>
      <c r="F24" s="6">
        <v>498</v>
      </c>
      <c r="G24" s="6">
        <v>498</v>
      </c>
      <c r="H24" s="6">
        <v>333</v>
      </c>
      <c r="I24" s="6">
        <v>105</v>
      </c>
      <c r="J24" s="6">
        <v>139</v>
      </c>
      <c r="K24" s="40">
        <v>24</v>
      </c>
      <c r="L24" s="40">
        <v>7</v>
      </c>
      <c r="M24" s="40">
        <v>225</v>
      </c>
      <c r="N24" s="40">
        <v>14</v>
      </c>
      <c r="O24" s="40">
        <v>115</v>
      </c>
      <c r="P24" s="40">
        <v>35</v>
      </c>
      <c r="Q24" s="40">
        <v>0</v>
      </c>
      <c r="R24" s="40">
        <v>55</v>
      </c>
      <c r="S24" s="40">
        <v>6</v>
      </c>
    </row>
    <row r="25" spans="1:19" x14ac:dyDescent="0.35">
      <c r="A25" s="38">
        <v>22</v>
      </c>
      <c r="B25" s="38" t="str">
        <f>_xlfn.XLOOKUP(A25,'Model Modeshare by TAZ'!A:A,'Model Modeshare by TAZ'!B:B)</f>
        <v>Campbell</v>
      </c>
      <c r="C25" s="38" t="str">
        <f>_xlfn.XLOOKUP(A25,'Model Modeshare by TAZ'!A:A,'Model Modeshare by TAZ'!D:D)</f>
        <v>NO</v>
      </c>
      <c r="D25" s="6">
        <v>3</v>
      </c>
      <c r="E25" s="6">
        <v>607</v>
      </c>
      <c r="F25" s="6">
        <v>1237</v>
      </c>
      <c r="G25" s="6">
        <v>1237</v>
      </c>
      <c r="H25" s="6">
        <v>827</v>
      </c>
      <c r="I25" s="6">
        <v>260</v>
      </c>
      <c r="J25" s="6">
        <v>347</v>
      </c>
      <c r="K25" s="40">
        <v>55</v>
      </c>
      <c r="L25" s="40">
        <v>30</v>
      </c>
      <c r="M25" s="40">
        <v>723</v>
      </c>
      <c r="N25" s="40">
        <v>92</v>
      </c>
      <c r="O25" s="40">
        <v>304</v>
      </c>
      <c r="P25" s="40">
        <v>156</v>
      </c>
      <c r="Q25" s="40">
        <v>0</v>
      </c>
      <c r="R25" s="40">
        <v>152</v>
      </c>
      <c r="S25" s="40">
        <v>19</v>
      </c>
    </row>
    <row r="26" spans="1:19" x14ac:dyDescent="0.35">
      <c r="A26" s="38">
        <v>23</v>
      </c>
      <c r="B26" s="38" t="str">
        <f>_xlfn.XLOOKUP(A26,'Model Modeshare by TAZ'!A:A,'Model Modeshare by TAZ'!B:B)</f>
        <v>Campbell</v>
      </c>
      <c r="C26" s="38" t="str">
        <f>_xlfn.XLOOKUP(A26,'Model Modeshare by TAZ'!A:A,'Model Modeshare by TAZ'!D:D)</f>
        <v>NO</v>
      </c>
      <c r="D26" s="6">
        <v>3</v>
      </c>
      <c r="E26" s="6">
        <v>3</v>
      </c>
      <c r="F26" s="6">
        <v>6</v>
      </c>
      <c r="G26" s="6">
        <v>6</v>
      </c>
      <c r="H26" s="6">
        <v>3</v>
      </c>
      <c r="I26" s="6">
        <v>1</v>
      </c>
      <c r="J26" s="6">
        <v>2</v>
      </c>
      <c r="K26" s="40">
        <v>0</v>
      </c>
      <c r="L26" s="40">
        <v>48</v>
      </c>
      <c r="M26" s="40">
        <v>999</v>
      </c>
      <c r="N26" s="40">
        <v>62</v>
      </c>
      <c r="O26" s="40">
        <v>195</v>
      </c>
      <c r="P26" s="40">
        <v>130</v>
      </c>
      <c r="Q26" s="40">
        <v>3</v>
      </c>
      <c r="R26" s="40">
        <v>523</v>
      </c>
      <c r="S26" s="40">
        <v>86</v>
      </c>
    </row>
    <row r="27" spans="1:19" x14ac:dyDescent="0.35">
      <c r="A27" s="38">
        <v>24</v>
      </c>
      <c r="B27" s="38" t="str">
        <f>_xlfn.XLOOKUP(A27,'Model Modeshare by TAZ'!A:A,'Model Modeshare by TAZ'!B:B)</f>
        <v>Campbell</v>
      </c>
      <c r="C27" s="38" t="str">
        <f>_xlfn.XLOOKUP(A27,'Model Modeshare by TAZ'!A:A,'Model Modeshare by TAZ'!D:D)</f>
        <v>NO</v>
      </c>
      <c r="D27" s="6">
        <v>3</v>
      </c>
      <c r="E27" s="6">
        <v>1009</v>
      </c>
      <c r="F27" s="6">
        <v>2548</v>
      </c>
      <c r="G27" s="6">
        <v>2619</v>
      </c>
      <c r="H27" s="6">
        <v>1454</v>
      </c>
      <c r="I27" s="6">
        <v>727</v>
      </c>
      <c r="J27" s="6">
        <v>282</v>
      </c>
      <c r="K27" s="40">
        <v>128</v>
      </c>
      <c r="L27" s="40">
        <v>31</v>
      </c>
      <c r="M27" s="40">
        <v>1550</v>
      </c>
      <c r="N27" s="40">
        <v>71</v>
      </c>
      <c r="O27" s="40">
        <v>1283</v>
      </c>
      <c r="P27" s="40">
        <v>19</v>
      </c>
      <c r="Q27" s="40">
        <v>0</v>
      </c>
      <c r="R27" s="40">
        <v>175</v>
      </c>
      <c r="S27" s="40">
        <v>2</v>
      </c>
    </row>
    <row r="28" spans="1:19" x14ac:dyDescent="0.35">
      <c r="A28" s="38">
        <v>25</v>
      </c>
      <c r="B28" s="38" t="str">
        <f>_xlfn.XLOOKUP(A28,'Model Modeshare by TAZ'!A:A,'Model Modeshare by TAZ'!B:B)</f>
        <v>Campbell</v>
      </c>
      <c r="C28" s="38" t="str">
        <f>_xlfn.XLOOKUP(A28,'Model Modeshare by TAZ'!A:A,'Model Modeshare by TAZ'!D:D)</f>
        <v>NO</v>
      </c>
      <c r="D28" s="6">
        <v>3</v>
      </c>
      <c r="E28" s="6">
        <v>158</v>
      </c>
      <c r="F28" s="6">
        <v>323</v>
      </c>
      <c r="G28" s="6">
        <v>323</v>
      </c>
      <c r="H28" s="6">
        <v>216</v>
      </c>
      <c r="I28" s="6">
        <v>51</v>
      </c>
      <c r="J28" s="6">
        <v>107</v>
      </c>
      <c r="K28" s="40">
        <v>16</v>
      </c>
      <c r="L28" s="40">
        <v>30</v>
      </c>
      <c r="M28" s="40">
        <v>1124</v>
      </c>
      <c r="N28" s="40">
        <v>60</v>
      </c>
      <c r="O28" s="40">
        <v>164</v>
      </c>
      <c r="P28" s="40">
        <v>103</v>
      </c>
      <c r="Q28" s="40">
        <v>3</v>
      </c>
      <c r="R28" s="40">
        <v>731</v>
      </c>
      <c r="S28" s="40">
        <v>63</v>
      </c>
    </row>
    <row r="29" spans="1:19" x14ac:dyDescent="0.35">
      <c r="A29" s="38">
        <v>26</v>
      </c>
      <c r="B29" s="38" t="str">
        <f>_xlfn.XLOOKUP(A29,'Model Modeshare by TAZ'!A:A,'Model Modeshare by TAZ'!B:B)</f>
        <v>Campbell</v>
      </c>
      <c r="C29" s="38" t="str">
        <f>_xlfn.XLOOKUP(A29,'Model Modeshare by TAZ'!A:A,'Model Modeshare by TAZ'!D:D)</f>
        <v>NO</v>
      </c>
      <c r="D29" s="6">
        <v>3</v>
      </c>
      <c r="E29" s="6">
        <v>540</v>
      </c>
      <c r="F29" s="6">
        <v>1100</v>
      </c>
      <c r="G29" s="6">
        <v>1100</v>
      </c>
      <c r="H29" s="6">
        <v>738</v>
      </c>
      <c r="I29" s="6">
        <v>214</v>
      </c>
      <c r="J29" s="6">
        <v>326</v>
      </c>
      <c r="K29" s="40">
        <v>50</v>
      </c>
      <c r="L29" s="40">
        <v>39</v>
      </c>
      <c r="M29" s="40">
        <v>994</v>
      </c>
      <c r="N29" s="40">
        <v>56</v>
      </c>
      <c r="O29" s="40">
        <v>206</v>
      </c>
      <c r="P29" s="40">
        <v>127</v>
      </c>
      <c r="Q29" s="40">
        <v>6</v>
      </c>
      <c r="R29" s="40">
        <v>524</v>
      </c>
      <c r="S29" s="40">
        <v>75</v>
      </c>
    </row>
    <row r="30" spans="1:19" x14ac:dyDescent="0.35">
      <c r="A30" s="38">
        <v>27</v>
      </c>
      <c r="B30" s="38" t="str">
        <f>_xlfn.XLOOKUP(A30,'Model Modeshare by TAZ'!A:A,'Model Modeshare by TAZ'!B:B)</f>
        <v>Campbell</v>
      </c>
      <c r="C30" s="38" t="str">
        <f>_xlfn.XLOOKUP(A30,'Model Modeshare by TAZ'!A:A,'Model Modeshare by TAZ'!D:D)</f>
        <v>NO</v>
      </c>
      <c r="D30" s="6">
        <v>3</v>
      </c>
      <c r="E30" s="6">
        <v>398</v>
      </c>
      <c r="F30" s="6">
        <v>919</v>
      </c>
      <c r="G30" s="6">
        <v>920</v>
      </c>
      <c r="H30" s="6">
        <v>478</v>
      </c>
      <c r="I30" s="6">
        <v>129</v>
      </c>
      <c r="J30" s="6">
        <v>269</v>
      </c>
      <c r="K30" s="40">
        <v>35</v>
      </c>
      <c r="L30" s="40">
        <v>13</v>
      </c>
      <c r="M30" s="40">
        <v>318</v>
      </c>
      <c r="N30" s="40">
        <v>56</v>
      </c>
      <c r="O30" s="40">
        <v>81</v>
      </c>
      <c r="P30" s="40">
        <v>82</v>
      </c>
      <c r="Q30" s="40">
        <v>1</v>
      </c>
      <c r="R30" s="40">
        <v>78</v>
      </c>
      <c r="S30" s="40">
        <v>20</v>
      </c>
    </row>
    <row r="31" spans="1:19" x14ac:dyDescent="0.35">
      <c r="A31" s="38">
        <v>28</v>
      </c>
      <c r="B31" s="38" t="str">
        <f>_xlfn.XLOOKUP(A31,'Model Modeshare by TAZ'!A:A,'Model Modeshare by TAZ'!B:B)</f>
        <v>Campbell</v>
      </c>
      <c r="C31" s="38" t="str">
        <f>_xlfn.XLOOKUP(A31,'Model Modeshare by TAZ'!A:A,'Model Modeshare by TAZ'!D:D)</f>
        <v>NO</v>
      </c>
      <c r="D31" s="6">
        <v>3</v>
      </c>
      <c r="E31" s="6">
        <v>512</v>
      </c>
      <c r="F31" s="6">
        <v>1184</v>
      </c>
      <c r="G31" s="6">
        <v>1185</v>
      </c>
      <c r="H31" s="6">
        <v>617</v>
      </c>
      <c r="I31" s="6">
        <v>167</v>
      </c>
      <c r="J31" s="6">
        <v>345</v>
      </c>
      <c r="K31" s="40">
        <v>70</v>
      </c>
      <c r="L31" s="40">
        <v>13</v>
      </c>
      <c r="M31" s="40">
        <v>190</v>
      </c>
      <c r="N31" s="40">
        <v>80</v>
      </c>
      <c r="O31" s="40">
        <v>22</v>
      </c>
      <c r="P31" s="40">
        <v>43</v>
      </c>
      <c r="Q31" s="40">
        <v>1</v>
      </c>
      <c r="R31" s="40">
        <v>36</v>
      </c>
      <c r="S31" s="40">
        <v>8</v>
      </c>
    </row>
    <row r="32" spans="1:19" x14ac:dyDescent="0.35">
      <c r="A32" s="38">
        <v>29</v>
      </c>
      <c r="B32" s="38" t="str">
        <f>_xlfn.XLOOKUP(A32,'Model Modeshare by TAZ'!A:A,'Model Modeshare by TAZ'!B:B)</f>
        <v>San Jose</v>
      </c>
      <c r="C32" s="38" t="str">
        <f>_xlfn.XLOOKUP(A32,'Model Modeshare by TAZ'!A:A,'Model Modeshare by TAZ'!D:D)</f>
        <v>NO</v>
      </c>
      <c r="D32" s="6">
        <v>3</v>
      </c>
      <c r="E32" s="6">
        <v>436</v>
      </c>
      <c r="F32" s="6">
        <v>1264</v>
      </c>
      <c r="G32" s="6">
        <v>1277</v>
      </c>
      <c r="H32" s="6">
        <v>665</v>
      </c>
      <c r="I32" s="6">
        <v>409</v>
      </c>
      <c r="J32" s="6">
        <v>27</v>
      </c>
      <c r="K32" s="40">
        <v>87</v>
      </c>
      <c r="L32" s="40">
        <v>7</v>
      </c>
      <c r="M32" s="40">
        <v>297</v>
      </c>
      <c r="N32" s="40">
        <v>132</v>
      </c>
      <c r="O32" s="40">
        <v>75</v>
      </c>
      <c r="P32" s="40">
        <v>80</v>
      </c>
      <c r="Q32" s="40">
        <v>1</v>
      </c>
      <c r="R32" s="40">
        <v>5</v>
      </c>
      <c r="S32" s="40">
        <v>4</v>
      </c>
    </row>
    <row r="33" spans="1:19" x14ac:dyDescent="0.35">
      <c r="A33" s="38">
        <v>30</v>
      </c>
      <c r="B33" s="38" t="str">
        <f>_xlfn.XLOOKUP(A33,'Model Modeshare by TAZ'!A:A,'Model Modeshare by TAZ'!B:B)</f>
        <v>Campbell</v>
      </c>
      <c r="C33" s="38" t="str">
        <f>_xlfn.XLOOKUP(A33,'Model Modeshare by TAZ'!A:A,'Model Modeshare by TAZ'!D:D)</f>
        <v>NO</v>
      </c>
      <c r="D33" s="6">
        <v>3</v>
      </c>
      <c r="E33" s="6">
        <v>864</v>
      </c>
      <c r="F33" s="6">
        <v>1843</v>
      </c>
      <c r="G33" s="6">
        <v>1845</v>
      </c>
      <c r="H33" s="6">
        <v>1131</v>
      </c>
      <c r="I33" s="6">
        <v>307</v>
      </c>
      <c r="J33" s="6">
        <v>557</v>
      </c>
      <c r="K33" s="40">
        <v>52</v>
      </c>
      <c r="L33" s="40">
        <v>15</v>
      </c>
      <c r="M33" s="40">
        <v>632</v>
      </c>
      <c r="N33" s="40">
        <v>98</v>
      </c>
      <c r="O33" s="40">
        <v>278</v>
      </c>
      <c r="P33" s="40">
        <v>156</v>
      </c>
      <c r="Q33" s="40">
        <v>0</v>
      </c>
      <c r="R33" s="40">
        <v>86</v>
      </c>
      <c r="S33" s="40">
        <v>14</v>
      </c>
    </row>
    <row r="34" spans="1:19" x14ac:dyDescent="0.35">
      <c r="A34" s="38">
        <v>31</v>
      </c>
      <c r="B34" s="38" t="str">
        <f>_xlfn.XLOOKUP(A34,'Model Modeshare by TAZ'!A:A,'Model Modeshare by TAZ'!B:B)</f>
        <v>San Jose</v>
      </c>
      <c r="C34" s="38" t="str">
        <f>_xlfn.XLOOKUP(A34,'Model Modeshare by TAZ'!A:A,'Model Modeshare by TAZ'!D:D)</f>
        <v>NO</v>
      </c>
      <c r="D34" s="6">
        <v>3</v>
      </c>
      <c r="E34" s="6">
        <v>936</v>
      </c>
      <c r="F34" s="6">
        <v>2717</v>
      </c>
      <c r="G34" s="6">
        <v>2749</v>
      </c>
      <c r="H34" s="6">
        <v>1434</v>
      </c>
      <c r="I34" s="6">
        <v>879</v>
      </c>
      <c r="J34" s="6">
        <v>57</v>
      </c>
      <c r="K34" s="40">
        <v>214</v>
      </c>
      <c r="L34" s="40">
        <v>2</v>
      </c>
      <c r="M34" s="40">
        <v>118</v>
      </c>
      <c r="N34" s="40">
        <v>0</v>
      </c>
      <c r="O34" s="40">
        <v>113</v>
      </c>
      <c r="P34" s="40">
        <v>2</v>
      </c>
      <c r="Q34" s="40">
        <v>3</v>
      </c>
      <c r="R34" s="40">
        <v>0</v>
      </c>
      <c r="S34" s="40">
        <v>0</v>
      </c>
    </row>
    <row r="35" spans="1:19" x14ac:dyDescent="0.35">
      <c r="A35" s="38">
        <v>32</v>
      </c>
      <c r="B35" s="38" t="str">
        <f>_xlfn.XLOOKUP(A35,'Model Modeshare by TAZ'!A:A,'Model Modeshare by TAZ'!B:B)</f>
        <v>Campbell</v>
      </c>
      <c r="C35" s="38" t="str">
        <f>_xlfn.XLOOKUP(A35,'Model Modeshare by TAZ'!A:A,'Model Modeshare by TAZ'!D:D)</f>
        <v>NO</v>
      </c>
      <c r="D35" s="6">
        <v>3</v>
      </c>
      <c r="E35" s="6">
        <v>180</v>
      </c>
      <c r="F35" s="6">
        <v>367</v>
      </c>
      <c r="G35" s="6">
        <v>367</v>
      </c>
      <c r="H35" s="6">
        <v>245</v>
      </c>
      <c r="I35" s="6">
        <v>76</v>
      </c>
      <c r="J35" s="6">
        <v>104</v>
      </c>
      <c r="K35" s="40">
        <v>16</v>
      </c>
      <c r="L35" s="40">
        <v>19</v>
      </c>
      <c r="M35" s="40">
        <v>1077</v>
      </c>
      <c r="N35" s="40">
        <v>148</v>
      </c>
      <c r="O35" s="40">
        <v>306</v>
      </c>
      <c r="P35" s="40">
        <v>438</v>
      </c>
      <c r="Q35" s="40">
        <v>0</v>
      </c>
      <c r="R35" s="40">
        <v>165</v>
      </c>
      <c r="S35" s="40">
        <v>20</v>
      </c>
    </row>
    <row r="36" spans="1:19" x14ac:dyDescent="0.35">
      <c r="A36" s="38">
        <v>33</v>
      </c>
      <c r="B36" s="38" t="str">
        <f>_xlfn.XLOOKUP(A36,'Model Modeshare by TAZ'!A:A,'Model Modeshare by TAZ'!B:B)</f>
        <v>Gilroy</v>
      </c>
      <c r="C36" s="38" t="str">
        <f>_xlfn.XLOOKUP(A36,'Model Modeshare by TAZ'!A:A,'Model Modeshare by TAZ'!D:D)</f>
        <v>NO</v>
      </c>
      <c r="D36" s="6">
        <v>3</v>
      </c>
      <c r="E36" s="6">
        <v>461</v>
      </c>
      <c r="F36" s="6">
        <v>1874</v>
      </c>
      <c r="G36" s="6">
        <v>1919</v>
      </c>
      <c r="H36" s="6">
        <v>764</v>
      </c>
      <c r="I36" s="6">
        <v>228</v>
      </c>
      <c r="J36" s="6">
        <v>233</v>
      </c>
      <c r="K36" s="40">
        <v>80</v>
      </c>
      <c r="L36" s="40">
        <v>45</v>
      </c>
      <c r="M36" s="40">
        <v>1020</v>
      </c>
      <c r="N36" s="40">
        <v>84</v>
      </c>
      <c r="O36" s="40">
        <v>406</v>
      </c>
      <c r="P36" s="40">
        <v>228</v>
      </c>
      <c r="Q36" s="40">
        <v>0</v>
      </c>
      <c r="R36" s="40">
        <v>269</v>
      </c>
      <c r="S36" s="40">
        <v>33</v>
      </c>
    </row>
    <row r="37" spans="1:19" x14ac:dyDescent="0.35">
      <c r="A37" s="38">
        <v>34</v>
      </c>
      <c r="B37" s="38" t="str">
        <f>_xlfn.XLOOKUP(A37,'Model Modeshare by TAZ'!A:A,'Model Modeshare by TAZ'!B:B)</f>
        <v>Campbell</v>
      </c>
      <c r="C37" s="38" t="str">
        <f>_xlfn.XLOOKUP(A37,'Model Modeshare by TAZ'!A:A,'Model Modeshare by TAZ'!D:D)</f>
        <v>NO</v>
      </c>
      <c r="D37" s="6">
        <v>3</v>
      </c>
      <c r="E37" s="6">
        <v>191</v>
      </c>
      <c r="F37" s="6">
        <v>390</v>
      </c>
      <c r="G37" s="6">
        <v>390</v>
      </c>
      <c r="H37" s="6">
        <v>262</v>
      </c>
      <c r="I37" s="6">
        <v>74</v>
      </c>
      <c r="J37" s="6">
        <v>117</v>
      </c>
      <c r="K37" s="40">
        <v>23</v>
      </c>
      <c r="L37" s="40">
        <v>9</v>
      </c>
      <c r="M37" s="40">
        <v>111</v>
      </c>
      <c r="N37" s="40">
        <v>30</v>
      </c>
      <c r="O37" s="40">
        <v>52</v>
      </c>
      <c r="P37" s="40">
        <v>17</v>
      </c>
      <c r="Q37" s="40">
        <v>0</v>
      </c>
      <c r="R37" s="40">
        <v>3</v>
      </c>
      <c r="S37" s="40">
        <v>9</v>
      </c>
    </row>
    <row r="38" spans="1:19" x14ac:dyDescent="0.35">
      <c r="A38" s="38">
        <v>35</v>
      </c>
      <c r="B38" s="38" t="str">
        <f>_xlfn.XLOOKUP(A38,'Model Modeshare by TAZ'!A:A,'Model Modeshare by TAZ'!B:B)</f>
        <v>Milpitas</v>
      </c>
      <c r="C38" s="38" t="str">
        <f>_xlfn.XLOOKUP(A38,'Model Modeshare by TAZ'!A:A,'Model Modeshare by TAZ'!D:D)</f>
        <v>NO</v>
      </c>
      <c r="D38" s="6">
        <v>3</v>
      </c>
      <c r="E38" s="6">
        <v>0</v>
      </c>
      <c r="F38" s="6">
        <v>0</v>
      </c>
      <c r="G38" s="6">
        <v>0</v>
      </c>
      <c r="H38" s="6">
        <v>0</v>
      </c>
      <c r="I38" s="6">
        <v>0</v>
      </c>
      <c r="J38" s="6">
        <v>0</v>
      </c>
      <c r="K38" s="40">
        <v>0</v>
      </c>
      <c r="L38" s="40">
        <v>9</v>
      </c>
      <c r="M38" s="40">
        <v>75</v>
      </c>
      <c r="N38" s="40">
        <v>8</v>
      </c>
      <c r="O38" s="40">
        <v>36</v>
      </c>
      <c r="P38" s="40">
        <v>0</v>
      </c>
      <c r="Q38" s="40">
        <v>0</v>
      </c>
      <c r="R38" s="40">
        <v>31</v>
      </c>
      <c r="S38" s="40">
        <v>0</v>
      </c>
    </row>
    <row r="39" spans="1:19" x14ac:dyDescent="0.35">
      <c r="A39" s="38">
        <v>36</v>
      </c>
      <c r="B39" s="38" t="str">
        <f>_xlfn.XLOOKUP(A39,'Model Modeshare by TAZ'!A:A,'Model Modeshare by TAZ'!B:B)</f>
        <v>Unincorporated</v>
      </c>
      <c r="C39" s="38" t="str">
        <f>_xlfn.XLOOKUP(A39,'Model Modeshare by TAZ'!A:A,'Model Modeshare by TAZ'!D:D)</f>
        <v>NO</v>
      </c>
      <c r="D39" s="6">
        <v>3</v>
      </c>
      <c r="E39" s="6">
        <v>3</v>
      </c>
      <c r="F39" s="6">
        <v>9</v>
      </c>
      <c r="G39" s="6">
        <v>9</v>
      </c>
      <c r="H39" s="6">
        <v>5</v>
      </c>
      <c r="I39" s="6">
        <v>3</v>
      </c>
      <c r="J39" s="6">
        <v>0</v>
      </c>
      <c r="K39" s="40">
        <v>1</v>
      </c>
      <c r="L39" s="40">
        <v>3</v>
      </c>
      <c r="M39" s="40">
        <v>1</v>
      </c>
      <c r="N39" s="40">
        <v>0</v>
      </c>
      <c r="O39" s="40">
        <v>0</v>
      </c>
      <c r="P39" s="40">
        <v>0</v>
      </c>
      <c r="Q39" s="40">
        <v>0</v>
      </c>
      <c r="R39" s="40">
        <v>0</v>
      </c>
      <c r="S39" s="40">
        <v>1</v>
      </c>
    </row>
    <row r="40" spans="1:19" x14ac:dyDescent="0.35">
      <c r="A40" s="38">
        <v>37</v>
      </c>
      <c r="B40" s="38" t="str">
        <f>_xlfn.XLOOKUP(A40,'Model Modeshare by TAZ'!A:A,'Model Modeshare by TAZ'!B:B)</f>
        <v>Unincorporated</v>
      </c>
      <c r="C40" s="38" t="str">
        <f>_xlfn.XLOOKUP(A40,'Model Modeshare by TAZ'!A:A,'Model Modeshare by TAZ'!D:D)</f>
        <v>NO</v>
      </c>
      <c r="D40" s="6">
        <v>3</v>
      </c>
      <c r="E40" s="6">
        <v>18</v>
      </c>
      <c r="F40" s="6">
        <v>58</v>
      </c>
      <c r="G40" s="6">
        <v>58</v>
      </c>
      <c r="H40" s="6">
        <v>34</v>
      </c>
      <c r="I40" s="6">
        <v>16</v>
      </c>
      <c r="J40" s="6">
        <v>2</v>
      </c>
      <c r="K40" s="40">
        <v>1</v>
      </c>
      <c r="L40" s="40">
        <v>4</v>
      </c>
      <c r="M40" s="40">
        <v>29</v>
      </c>
      <c r="N40" s="40">
        <v>0</v>
      </c>
      <c r="O40" s="40">
        <v>0</v>
      </c>
      <c r="P40" s="40">
        <v>0</v>
      </c>
      <c r="Q40" s="40">
        <v>28</v>
      </c>
      <c r="R40" s="40">
        <v>0</v>
      </c>
      <c r="S40" s="40">
        <v>1</v>
      </c>
    </row>
    <row r="41" spans="1:19" x14ac:dyDescent="0.35">
      <c r="A41" s="38">
        <v>38</v>
      </c>
      <c r="B41" s="38" t="str">
        <f>_xlfn.XLOOKUP(A41,'Model Modeshare by TAZ'!A:A,'Model Modeshare by TAZ'!B:B)</f>
        <v>Unincorporated</v>
      </c>
      <c r="C41" s="38" t="str">
        <f>_xlfn.XLOOKUP(A41,'Model Modeshare by TAZ'!A:A,'Model Modeshare by TAZ'!D:D)</f>
        <v>NO</v>
      </c>
      <c r="D41" s="6">
        <v>3</v>
      </c>
      <c r="E41" s="6">
        <v>26</v>
      </c>
      <c r="F41" s="6">
        <v>79</v>
      </c>
      <c r="G41" s="6">
        <v>79</v>
      </c>
      <c r="H41" s="6">
        <v>43</v>
      </c>
      <c r="I41" s="6">
        <v>24</v>
      </c>
      <c r="J41" s="6">
        <v>2</v>
      </c>
      <c r="K41" s="40">
        <v>15</v>
      </c>
      <c r="L41" s="40">
        <v>6</v>
      </c>
      <c r="M41" s="40">
        <v>173</v>
      </c>
      <c r="N41" s="40">
        <v>0</v>
      </c>
      <c r="O41" s="40">
        <v>2</v>
      </c>
      <c r="P41" s="40">
        <v>32</v>
      </c>
      <c r="Q41" s="40">
        <v>58</v>
      </c>
      <c r="R41" s="40">
        <v>75</v>
      </c>
      <c r="S41" s="40">
        <v>6</v>
      </c>
    </row>
    <row r="42" spans="1:19" x14ac:dyDescent="0.35">
      <c r="A42" s="38">
        <v>39</v>
      </c>
      <c r="B42" s="38" t="str">
        <f>_xlfn.XLOOKUP(A42,'Model Modeshare by TAZ'!A:A,'Model Modeshare by TAZ'!B:B)</f>
        <v>Unincorporated</v>
      </c>
      <c r="C42" s="38" t="str">
        <f>_xlfn.XLOOKUP(A42,'Model Modeshare by TAZ'!A:A,'Model Modeshare by TAZ'!D:D)</f>
        <v>NO</v>
      </c>
      <c r="D42" s="6">
        <v>3</v>
      </c>
      <c r="E42" s="6">
        <v>49</v>
      </c>
      <c r="F42" s="6">
        <v>161</v>
      </c>
      <c r="G42" s="6">
        <v>161</v>
      </c>
      <c r="H42" s="6">
        <v>95</v>
      </c>
      <c r="I42" s="6">
        <v>43</v>
      </c>
      <c r="J42" s="6">
        <v>6</v>
      </c>
      <c r="K42" s="40">
        <v>38</v>
      </c>
      <c r="L42" s="40">
        <v>3</v>
      </c>
      <c r="M42" s="40">
        <v>1</v>
      </c>
      <c r="N42" s="40">
        <v>0</v>
      </c>
      <c r="O42" s="40">
        <v>0</v>
      </c>
      <c r="P42" s="40">
        <v>0</v>
      </c>
      <c r="Q42" s="40">
        <v>0</v>
      </c>
      <c r="R42" s="40">
        <v>0</v>
      </c>
      <c r="S42" s="40">
        <v>1</v>
      </c>
    </row>
    <row r="43" spans="1:19" x14ac:dyDescent="0.35">
      <c r="A43" s="38">
        <v>40</v>
      </c>
      <c r="B43" s="38" t="str">
        <f>_xlfn.XLOOKUP(A43,'Model Modeshare by TAZ'!A:A,'Model Modeshare by TAZ'!B:B)</f>
        <v>Unincorporated</v>
      </c>
      <c r="C43" s="38" t="str">
        <f>_xlfn.XLOOKUP(A43,'Model Modeshare by TAZ'!A:A,'Model Modeshare by TAZ'!D:D)</f>
        <v>NO</v>
      </c>
      <c r="D43" s="6">
        <v>3</v>
      </c>
      <c r="E43" s="6">
        <v>5</v>
      </c>
      <c r="F43" s="6">
        <v>15</v>
      </c>
      <c r="G43" s="6">
        <v>16</v>
      </c>
      <c r="H43" s="6">
        <v>7</v>
      </c>
      <c r="I43" s="6">
        <v>4</v>
      </c>
      <c r="J43" s="6">
        <v>1</v>
      </c>
      <c r="K43" s="40">
        <v>1</v>
      </c>
      <c r="L43" s="40">
        <v>0</v>
      </c>
      <c r="M43" s="40">
        <v>0</v>
      </c>
      <c r="N43" s="40">
        <v>0</v>
      </c>
      <c r="O43" s="40">
        <v>0</v>
      </c>
      <c r="P43" s="40">
        <v>0</v>
      </c>
      <c r="Q43" s="40">
        <v>0</v>
      </c>
      <c r="R43" s="40">
        <v>0</v>
      </c>
      <c r="S43" s="40">
        <v>0</v>
      </c>
    </row>
    <row r="44" spans="1:19" x14ac:dyDescent="0.35">
      <c r="A44" s="38">
        <v>41</v>
      </c>
      <c r="B44" s="38" t="str">
        <f>_xlfn.XLOOKUP(A44,'Model Modeshare by TAZ'!A:A,'Model Modeshare by TAZ'!B:B)</f>
        <v>Unincorporated</v>
      </c>
      <c r="C44" s="38" t="str">
        <f>_xlfn.XLOOKUP(A44,'Model Modeshare by TAZ'!A:A,'Model Modeshare by TAZ'!D:D)</f>
        <v>NO</v>
      </c>
      <c r="D44" s="6">
        <v>3</v>
      </c>
      <c r="E44" s="6">
        <v>20</v>
      </c>
      <c r="F44" s="6">
        <v>63</v>
      </c>
      <c r="G44" s="6">
        <v>65</v>
      </c>
      <c r="H44" s="6">
        <v>31</v>
      </c>
      <c r="I44" s="6">
        <v>16</v>
      </c>
      <c r="J44" s="6">
        <v>4</v>
      </c>
      <c r="K44" s="40">
        <v>15</v>
      </c>
      <c r="L44" s="40">
        <v>1</v>
      </c>
      <c r="M44" s="40">
        <v>3</v>
      </c>
      <c r="N44" s="40">
        <v>0</v>
      </c>
      <c r="O44" s="40">
        <v>0</v>
      </c>
      <c r="P44" s="40">
        <v>0</v>
      </c>
      <c r="Q44" s="40">
        <v>3</v>
      </c>
      <c r="R44" s="40">
        <v>0</v>
      </c>
      <c r="S44" s="40">
        <v>0</v>
      </c>
    </row>
    <row r="45" spans="1:19" x14ac:dyDescent="0.35">
      <c r="A45" s="38">
        <v>42</v>
      </c>
      <c r="B45" s="38" t="str">
        <f>_xlfn.XLOOKUP(A45,'Model Modeshare by TAZ'!A:A,'Model Modeshare by TAZ'!B:B)</f>
        <v>Unincorporated</v>
      </c>
      <c r="C45" s="38" t="str">
        <f>_xlfn.XLOOKUP(A45,'Model Modeshare by TAZ'!A:A,'Model Modeshare by TAZ'!D:D)</f>
        <v>NO</v>
      </c>
      <c r="D45" s="6">
        <v>3</v>
      </c>
      <c r="E45" s="6">
        <v>0</v>
      </c>
      <c r="F45" s="6">
        <v>0</v>
      </c>
      <c r="G45" s="6">
        <v>0</v>
      </c>
      <c r="H45" s="6">
        <v>0</v>
      </c>
      <c r="I45" s="6">
        <v>0</v>
      </c>
      <c r="J45" s="6">
        <v>0</v>
      </c>
      <c r="K45" s="40">
        <v>4</v>
      </c>
      <c r="L45" s="40">
        <v>7</v>
      </c>
      <c r="M45" s="40">
        <v>447</v>
      </c>
      <c r="N45" s="40">
        <v>23</v>
      </c>
      <c r="O45" s="40">
        <v>57</v>
      </c>
      <c r="P45" s="40">
        <v>54</v>
      </c>
      <c r="Q45" s="40">
        <v>4</v>
      </c>
      <c r="R45" s="40">
        <v>272</v>
      </c>
      <c r="S45" s="40">
        <v>37</v>
      </c>
    </row>
    <row r="46" spans="1:19" x14ac:dyDescent="0.35">
      <c r="A46" s="38">
        <v>43</v>
      </c>
      <c r="B46" s="38" t="str">
        <f>_xlfn.XLOOKUP(A46,'Model Modeshare by TAZ'!A:A,'Model Modeshare by TAZ'!B:B)</f>
        <v>Unincorporated</v>
      </c>
      <c r="C46" s="38" t="str">
        <f>_xlfn.XLOOKUP(A46,'Model Modeshare by TAZ'!A:A,'Model Modeshare by TAZ'!D:D)</f>
        <v>NO</v>
      </c>
      <c r="D46" s="6">
        <v>3</v>
      </c>
      <c r="E46" s="6">
        <v>180</v>
      </c>
      <c r="F46" s="6">
        <v>717</v>
      </c>
      <c r="G46" s="6">
        <v>717</v>
      </c>
      <c r="H46" s="6">
        <v>271</v>
      </c>
      <c r="I46" s="6">
        <v>97</v>
      </c>
      <c r="J46" s="6">
        <v>83</v>
      </c>
      <c r="K46" s="40">
        <v>28</v>
      </c>
      <c r="L46" s="40">
        <v>66</v>
      </c>
      <c r="M46" s="40">
        <v>391</v>
      </c>
      <c r="N46" s="40">
        <v>23</v>
      </c>
      <c r="O46" s="40">
        <v>1</v>
      </c>
      <c r="P46" s="40">
        <v>33</v>
      </c>
      <c r="Q46" s="40">
        <v>3</v>
      </c>
      <c r="R46" s="40">
        <v>308</v>
      </c>
      <c r="S46" s="40">
        <v>23</v>
      </c>
    </row>
    <row r="47" spans="1:19" x14ac:dyDescent="0.35">
      <c r="A47" s="38">
        <v>44</v>
      </c>
      <c r="B47" s="38" t="str">
        <f>_xlfn.XLOOKUP(A47,'Model Modeshare by TAZ'!A:A,'Model Modeshare by TAZ'!B:B)</f>
        <v>Unincorporated</v>
      </c>
      <c r="C47" s="38" t="str">
        <f>_xlfn.XLOOKUP(A47,'Model Modeshare by TAZ'!A:A,'Model Modeshare by TAZ'!D:D)</f>
        <v>NO</v>
      </c>
      <c r="D47" s="6">
        <v>3</v>
      </c>
      <c r="E47" s="6">
        <v>0</v>
      </c>
      <c r="F47" s="6">
        <v>0</v>
      </c>
      <c r="G47" s="6">
        <v>0</v>
      </c>
      <c r="H47" s="6">
        <v>0</v>
      </c>
      <c r="I47" s="6">
        <v>0</v>
      </c>
      <c r="J47" s="6">
        <v>0</v>
      </c>
      <c r="K47" s="40">
        <v>0</v>
      </c>
      <c r="L47" s="40">
        <v>125</v>
      </c>
      <c r="M47" s="40">
        <v>2102</v>
      </c>
      <c r="N47" s="40">
        <v>24</v>
      </c>
      <c r="O47" s="40">
        <v>945</v>
      </c>
      <c r="P47" s="40">
        <v>573</v>
      </c>
      <c r="Q47" s="40">
        <v>3</v>
      </c>
      <c r="R47" s="40">
        <v>227</v>
      </c>
      <c r="S47" s="40">
        <v>330</v>
      </c>
    </row>
    <row r="48" spans="1:19" x14ac:dyDescent="0.35">
      <c r="A48" s="38">
        <v>45</v>
      </c>
      <c r="B48" s="38" t="str">
        <f>_xlfn.XLOOKUP(A48,'Model Modeshare by TAZ'!A:A,'Model Modeshare by TAZ'!B:B)</f>
        <v>Unincorporated</v>
      </c>
      <c r="C48" s="38" t="str">
        <f>_xlfn.XLOOKUP(A48,'Model Modeshare by TAZ'!A:A,'Model Modeshare by TAZ'!D:D)</f>
        <v>NO</v>
      </c>
      <c r="D48" s="6">
        <v>3</v>
      </c>
      <c r="E48" s="6">
        <v>57</v>
      </c>
      <c r="F48" s="6">
        <v>135</v>
      </c>
      <c r="G48" s="6">
        <v>135</v>
      </c>
      <c r="H48" s="6">
        <v>72</v>
      </c>
      <c r="I48" s="6">
        <v>1</v>
      </c>
      <c r="J48" s="6">
        <v>56</v>
      </c>
      <c r="K48" s="40">
        <v>87</v>
      </c>
      <c r="L48" s="40">
        <v>3</v>
      </c>
      <c r="M48" s="40">
        <v>14</v>
      </c>
      <c r="N48" s="40">
        <v>0</v>
      </c>
      <c r="O48" s="40">
        <v>0</v>
      </c>
      <c r="P48" s="40">
        <v>0</v>
      </c>
      <c r="Q48" s="40">
        <v>10</v>
      </c>
      <c r="R48" s="40">
        <v>4</v>
      </c>
      <c r="S48" s="40">
        <v>0</v>
      </c>
    </row>
    <row r="49" spans="1:19" x14ac:dyDescent="0.35">
      <c r="A49" s="38">
        <v>46</v>
      </c>
      <c r="B49" s="38" t="str">
        <f>_xlfn.XLOOKUP(A49,'Model Modeshare by TAZ'!A:A,'Model Modeshare by TAZ'!B:B)</f>
        <v>Unincorporated</v>
      </c>
      <c r="C49" s="38" t="str">
        <f>_xlfn.XLOOKUP(A49,'Model Modeshare by TAZ'!A:A,'Model Modeshare by TAZ'!D:D)</f>
        <v>NO</v>
      </c>
      <c r="D49" s="6">
        <v>3</v>
      </c>
      <c r="E49" s="6">
        <v>8</v>
      </c>
      <c r="F49" s="6">
        <v>26</v>
      </c>
      <c r="G49" s="6">
        <v>28</v>
      </c>
      <c r="H49" s="6">
        <v>13</v>
      </c>
      <c r="I49" s="6">
        <v>7</v>
      </c>
      <c r="J49" s="6">
        <v>1</v>
      </c>
      <c r="K49" s="40">
        <v>2</v>
      </c>
      <c r="L49" s="40">
        <v>13</v>
      </c>
      <c r="M49" s="40">
        <v>676</v>
      </c>
      <c r="N49" s="40">
        <v>19</v>
      </c>
      <c r="O49" s="40">
        <v>371</v>
      </c>
      <c r="P49" s="40">
        <v>0</v>
      </c>
      <c r="Q49" s="40">
        <v>0</v>
      </c>
      <c r="R49" s="40">
        <v>286</v>
      </c>
      <c r="S49" s="40">
        <v>0</v>
      </c>
    </row>
    <row r="50" spans="1:19" x14ac:dyDescent="0.35">
      <c r="A50" s="38">
        <v>47</v>
      </c>
      <c r="B50" s="38" t="str">
        <f>_xlfn.XLOOKUP(A50,'Model Modeshare by TAZ'!A:A,'Model Modeshare by TAZ'!B:B)</f>
        <v>Unincorporated</v>
      </c>
      <c r="C50" s="38" t="str">
        <f>_xlfn.XLOOKUP(A50,'Model Modeshare by TAZ'!A:A,'Model Modeshare by TAZ'!D:D)</f>
        <v>NO</v>
      </c>
      <c r="D50" s="6">
        <v>3</v>
      </c>
      <c r="E50" s="6">
        <v>93</v>
      </c>
      <c r="F50" s="6">
        <v>314</v>
      </c>
      <c r="G50" s="6">
        <v>315</v>
      </c>
      <c r="H50" s="6">
        <v>152</v>
      </c>
      <c r="I50" s="6">
        <v>86</v>
      </c>
      <c r="J50" s="6">
        <v>7</v>
      </c>
      <c r="K50" s="40">
        <v>60</v>
      </c>
      <c r="L50" s="40">
        <v>12</v>
      </c>
      <c r="M50" s="40">
        <v>233</v>
      </c>
      <c r="N50" s="40">
        <v>5</v>
      </c>
      <c r="O50" s="40">
        <v>92</v>
      </c>
      <c r="P50" s="40">
        <v>27</v>
      </c>
      <c r="Q50" s="40">
        <v>60</v>
      </c>
      <c r="R50" s="40">
        <v>44</v>
      </c>
      <c r="S50" s="40">
        <v>5</v>
      </c>
    </row>
    <row r="51" spans="1:19" x14ac:dyDescent="0.35">
      <c r="A51" s="38">
        <v>48</v>
      </c>
      <c r="B51" s="38" t="str">
        <f>_xlfn.XLOOKUP(A51,'Model Modeshare by TAZ'!A:A,'Model Modeshare by TAZ'!B:B)</f>
        <v>Unincorporated</v>
      </c>
      <c r="C51" s="38" t="str">
        <f>_xlfn.XLOOKUP(A51,'Model Modeshare by TAZ'!A:A,'Model Modeshare by TAZ'!D:D)</f>
        <v>NO</v>
      </c>
      <c r="D51" s="6">
        <v>3</v>
      </c>
      <c r="E51" s="6">
        <v>99</v>
      </c>
      <c r="F51" s="6">
        <v>301</v>
      </c>
      <c r="G51" s="6">
        <v>301</v>
      </c>
      <c r="H51" s="6">
        <v>163</v>
      </c>
      <c r="I51" s="6">
        <v>92</v>
      </c>
      <c r="J51" s="6">
        <v>7</v>
      </c>
      <c r="K51" s="40">
        <v>144</v>
      </c>
      <c r="L51" s="40">
        <v>1</v>
      </c>
      <c r="M51" s="40">
        <v>57</v>
      </c>
      <c r="N51" s="40">
        <v>0</v>
      </c>
      <c r="O51" s="40">
        <v>2</v>
      </c>
      <c r="P51" s="40">
        <v>30</v>
      </c>
      <c r="Q51" s="40">
        <v>8</v>
      </c>
      <c r="R51" s="40">
        <v>2</v>
      </c>
      <c r="S51" s="40">
        <v>15</v>
      </c>
    </row>
    <row r="52" spans="1:19" x14ac:dyDescent="0.35">
      <c r="A52" s="38">
        <v>49</v>
      </c>
      <c r="B52" s="38" t="str">
        <f>_xlfn.XLOOKUP(A52,'Model Modeshare by TAZ'!A:A,'Model Modeshare by TAZ'!B:B)</f>
        <v>Unincorporated</v>
      </c>
      <c r="C52" s="38" t="str">
        <f>_xlfn.XLOOKUP(A52,'Model Modeshare by TAZ'!A:A,'Model Modeshare by TAZ'!D:D)</f>
        <v>NO</v>
      </c>
      <c r="D52" s="6">
        <v>3</v>
      </c>
      <c r="E52" s="6">
        <v>49</v>
      </c>
      <c r="F52" s="6">
        <v>166</v>
      </c>
      <c r="G52" s="6">
        <v>166</v>
      </c>
      <c r="H52" s="6">
        <v>80</v>
      </c>
      <c r="I52" s="6">
        <v>45</v>
      </c>
      <c r="J52" s="6">
        <v>4</v>
      </c>
      <c r="K52" s="40">
        <v>36</v>
      </c>
      <c r="L52" s="40">
        <v>1</v>
      </c>
      <c r="M52" s="40">
        <v>5</v>
      </c>
      <c r="N52" s="40">
        <v>0</v>
      </c>
      <c r="O52" s="40">
        <v>0</v>
      </c>
      <c r="P52" s="40">
        <v>0</v>
      </c>
      <c r="Q52" s="40">
        <v>3</v>
      </c>
      <c r="R52" s="40">
        <v>2</v>
      </c>
      <c r="S52" s="40">
        <v>0</v>
      </c>
    </row>
    <row r="53" spans="1:19" x14ac:dyDescent="0.35">
      <c r="A53" s="38">
        <v>50</v>
      </c>
      <c r="B53" s="38" t="str">
        <f>_xlfn.XLOOKUP(A53,'Model Modeshare by TAZ'!A:A,'Model Modeshare by TAZ'!B:B)</f>
        <v>Unincorporated</v>
      </c>
      <c r="C53" s="38" t="str">
        <f>_xlfn.XLOOKUP(A53,'Model Modeshare by TAZ'!A:A,'Model Modeshare by TAZ'!D:D)</f>
        <v>NO</v>
      </c>
      <c r="D53" s="6">
        <v>3</v>
      </c>
      <c r="E53" s="6">
        <v>82</v>
      </c>
      <c r="F53" s="6">
        <v>267</v>
      </c>
      <c r="G53" s="6">
        <v>274</v>
      </c>
      <c r="H53" s="6">
        <v>135</v>
      </c>
      <c r="I53" s="6">
        <v>75</v>
      </c>
      <c r="J53" s="6">
        <v>7</v>
      </c>
      <c r="K53" s="40">
        <v>90</v>
      </c>
      <c r="L53" s="40">
        <v>1</v>
      </c>
      <c r="M53" s="40">
        <v>1</v>
      </c>
      <c r="N53" s="40">
        <v>0</v>
      </c>
      <c r="O53" s="40">
        <v>1</v>
      </c>
      <c r="P53" s="40">
        <v>0</v>
      </c>
      <c r="Q53" s="40">
        <v>0</v>
      </c>
      <c r="R53" s="40">
        <v>0</v>
      </c>
      <c r="S53" s="40">
        <v>0</v>
      </c>
    </row>
    <row r="54" spans="1:19" x14ac:dyDescent="0.35">
      <c r="A54" s="38">
        <v>51</v>
      </c>
      <c r="B54" s="38" t="str">
        <f>_xlfn.XLOOKUP(A54,'Model Modeshare by TAZ'!A:A,'Model Modeshare by TAZ'!B:B)</f>
        <v>Unincorporated</v>
      </c>
      <c r="C54" s="38" t="str">
        <f>_xlfn.XLOOKUP(A54,'Model Modeshare by TAZ'!A:A,'Model Modeshare by TAZ'!D:D)</f>
        <v>NO</v>
      </c>
      <c r="D54" s="6">
        <v>3</v>
      </c>
      <c r="E54" s="6">
        <v>72</v>
      </c>
      <c r="F54" s="6">
        <v>244</v>
      </c>
      <c r="G54" s="6">
        <v>245</v>
      </c>
      <c r="H54" s="6">
        <v>119</v>
      </c>
      <c r="I54" s="6">
        <v>66</v>
      </c>
      <c r="J54" s="6">
        <v>6</v>
      </c>
      <c r="K54" s="40">
        <v>72</v>
      </c>
      <c r="L54" s="40">
        <v>1</v>
      </c>
      <c r="M54" s="40">
        <v>10</v>
      </c>
      <c r="N54" s="40">
        <v>0</v>
      </c>
      <c r="O54" s="40">
        <v>2</v>
      </c>
      <c r="P54" s="40">
        <v>0</v>
      </c>
      <c r="Q54" s="40">
        <v>6</v>
      </c>
      <c r="R54" s="40">
        <v>2</v>
      </c>
      <c r="S54" s="40">
        <v>0</v>
      </c>
    </row>
    <row r="55" spans="1:19" x14ac:dyDescent="0.35">
      <c r="A55" s="38">
        <v>52</v>
      </c>
      <c r="B55" s="38" t="str">
        <f>_xlfn.XLOOKUP(A55,'Model Modeshare by TAZ'!A:A,'Model Modeshare by TAZ'!B:B)</f>
        <v>Unincorporated</v>
      </c>
      <c r="C55" s="38" t="str">
        <f>_xlfn.XLOOKUP(A55,'Model Modeshare by TAZ'!A:A,'Model Modeshare by TAZ'!D:D)</f>
        <v>NO</v>
      </c>
      <c r="D55" s="6">
        <v>3</v>
      </c>
      <c r="E55" s="6">
        <v>100</v>
      </c>
      <c r="F55" s="6">
        <v>340</v>
      </c>
      <c r="G55" s="6">
        <v>341</v>
      </c>
      <c r="H55" s="6">
        <v>165</v>
      </c>
      <c r="I55" s="6">
        <v>93</v>
      </c>
      <c r="J55" s="6">
        <v>7</v>
      </c>
      <c r="K55" s="40">
        <v>90</v>
      </c>
      <c r="L55" s="40">
        <v>19</v>
      </c>
      <c r="M55" s="40">
        <v>164</v>
      </c>
      <c r="N55" s="40">
        <v>7</v>
      </c>
      <c r="O55" s="40">
        <v>73</v>
      </c>
      <c r="P55" s="40">
        <v>7</v>
      </c>
      <c r="Q55" s="40">
        <v>7</v>
      </c>
      <c r="R55" s="40">
        <v>58</v>
      </c>
      <c r="S55" s="40">
        <v>12</v>
      </c>
    </row>
    <row r="56" spans="1:19" x14ac:dyDescent="0.35">
      <c r="A56" s="38">
        <v>53</v>
      </c>
      <c r="B56" s="38" t="str">
        <f>_xlfn.XLOOKUP(A56,'Model Modeshare by TAZ'!A:A,'Model Modeshare by TAZ'!B:B)</f>
        <v>Unincorporated</v>
      </c>
      <c r="C56" s="38" t="str">
        <f>_xlfn.XLOOKUP(A56,'Model Modeshare by TAZ'!A:A,'Model Modeshare by TAZ'!D:D)</f>
        <v>NO</v>
      </c>
      <c r="D56" s="6">
        <v>3</v>
      </c>
      <c r="E56" s="6">
        <v>74</v>
      </c>
      <c r="F56" s="6">
        <v>253</v>
      </c>
      <c r="G56" s="6">
        <v>253</v>
      </c>
      <c r="H56" s="6">
        <v>122</v>
      </c>
      <c r="I56" s="6">
        <v>68</v>
      </c>
      <c r="J56" s="6">
        <v>6</v>
      </c>
      <c r="K56" s="40">
        <v>89</v>
      </c>
      <c r="L56" s="40">
        <v>1</v>
      </c>
      <c r="M56" s="40">
        <v>2</v>
      </c>
      <c r="N56" s="40">
        <v>0</v>
      </c>
      <c r="O56" s="40">
        <v>0</v>
      </c>
      <c r="P56" s="40">
        <v>0</v>
      </c>
      <c r="Q56" s="40">
        <v>0</v>
      </c>
      <c r="R56" s="40">
        <v>2</v>
      </c>
      <c r="S56" s="40">
        <v>0</v>
      </c>
    </row>
    <row r="57" spans="1:19" x14ac:dyDescent="0.35">
      <c r="A57" s="38">
        <v>54</v>
      </c>
      <c r="B57" s="38" t="str">
        <f>_xlfn.XLOOKUP(A57,'Model Modeshare by TAZ'!A:A,'Model Modeshare by TAZ'!B:B)</f>
        <v>Unincorporated</v>
      </c>
      <c r="C57" s="38" t="str">
        <f>_xlfn.XLOOKUP(A57,'Model Modeshare by TAZ'!A:A,'Model Modeshare by TAZ'!D:D)</f>
        <v>NO</v>
      </c>
      <c r="D57" s="6">
        <v>3</v>
      </c>
      <c r="E57" s="6">
        <v>171</v>
      </c>
      <c r="F57" s="6">
        <v>578</v>
      </c>
      <c r="G57" s="6">
        <v>582</v>
      </c>
      <c r="H57" s="6">
        <v>279</v>
      </c>
      <c r="I57" s="6">
        <v>157</v>
      </c>
      <c r="J57" s="6">
        <v>14</v>
      </c>
      <c r="K57" s="40">
        <v>167</v>
      </c>
      <c r="L57" s="40">
        <v>1</v>
      </c>
      <c r="M57" s="40">
        <v>23</v>
      </c>
      <c r="N57" s="40">
        <v>0</v>
      </c>
      <c r="O57" s="40">
        <v>0</v>
      </c>
      <c r="P57" s="40">
        <v>2</v>
      </c>
      <c r="Q57" s="40">
        <v>19</v>
      </c>
      <c r="R57" s="40">
        <v>2</v>
      </c>
      <c r="S57" s="40">
        <v>0</v>
      </c>
    </row>
    <row r="58" spans="1:19" x14ac:dyDescent="0.35">
      <c r="A58" s="38">
        <v>55</v>
      </c>
      <c r="B58" s="38" t="str">
        <f>_xlfn.XLOOKUP(A58,'Model Modeshare by TAZ'!A:A,'Model Modeshare by TAZ'!B:B)</f>
        <v>Unincorporated</v>
      </c>
      <c r="C58" s="38" t="str">
        <f>_xlfn.XLOOKUP(A58,'Model Modeshare by TAZ'!A:A,'Model Modeshare by TAZ'!D:D)</f>
        <v>NO</v>
      </c>
      <c r="D58" s="6">
        <v>3</v>
      </c>
      <c r="E58" s="6">
        <v>57</v>
      </c>
      <c r="F58" s="6">
        <v>187</v>
      </c>
      <c r="G58" s="6">
        <v>246</v>
      </c>
      <c r="H58" s="6">
        <v>96</v>
      </c>
      <c r="I58" s="6">
        <v>52</v>
      </c>
      <c r="J58" s="6">
        <v>5</v>
      </c>
      <c r="K58" s="40">
        <v>11</v>
      </c>
      <c r="L58" s="40">
        <v>1</v>
      </c>
      <c r="M58" s="40">
        <v>16</v>
      </c>
      <c r="N58" s="40">
        <v>1</v>
      </c>
      <c r="O58" s="40">
        <v>12</v>
      </c>
      <c r="P58" s="40">
        <v>3</v>
      </c>
      <c r="Q58" s="40">
        <v>0</v>
      </c>
      <c r="R58" s="40">
        <v>0</v>
      </c>
      <c r="S58" s="40">
        <v>0</v>
      </c>
    </row>
    <row r="59" spans="1:19" x14ac:dyDescent="0.35">
      <c r="A59" s="38">
        <v>56</v>
      </c>
      <c r="B59" s="38" t="str">
        <f>_xlfn.XLOOKUP(A59,'Model Modeshare by TAZ'!A:A,'Model Modeshare by TAZ'!B:B)</f>
        <v>Unincorporated</v>
      </c>
      <c r="C59" s="38" t="str">
        <f>_xlfn.XLOOKUP(A59,'Model Modeshare by TAZ'!A:A,'Model Modeshare by TAZ'!D:D)</f>
        <v>NO</v>
      </c>
      <c r="D59" s="6">
        <v>3</v>
      </c>
      <c r="E59" s="6">
        <v>29</v>
      </c>
      <c r="F59" s="6">
        <v>95</v>
      </c>
      <c r="G59" s="6">
        <v>97</v>
      </c>
      <c r="H59" s="6">
        <v>49</v>
      </c>
      <c r="I59" s="6">
        <v>26</v>
      </c>
      <c r="J59" s="6">
        <v>3</v>
      </c>
      <c r="K59" s="40">
        <v>4</v>
      </c>
      <c r="L59" s="40">
        <v>1</v>
      </c>
      <c r="M59" s="40">
        <v>108</v>
      </c>
      <c r="N59" s="40">
        <v>10</v>
      </c>
      <c r="O59" s="40">
        <v>43</v>
      </c>
      <c r="P59" s="40">
        <v>28</v>
      </c>
      <c r="Q59" s="40">
        <v>0</v>
      </c>
      <c r="R59" s="40">
        <v>27</v>
      </c>
      <c r="S59" s="40">
        <v>0</v>
      </c>
    </row>
    <row r="60" spans="1:19" x14ac:dyDescent="0.35">
      <c r="A60" s="38">
        <v>57</v>
      </c>
      <c r="B60" s="38" t="str">
        <f>_xlfn.XLOOKUP(A60,'Model Modeshare by TAZ'!A:A,'Model Modeshare by TAZ'!B:B)</f>
        <v>Unincorporated</v>
      </c>
      <c r="C60" s="38" t="str">
        <f>_xlfn.XLOOKUP(A60,'Model Modeshare by TAZ'!A:A,'Model Modeshare by TAZ'!D:D)</f>
        <v>NO</v>
      </c>
      <c r="D60" s="6">
        <v>3</v>
      </c>
      <c r="E60" s="6">
        <v>368</v>
      </c>
      <c r="F60" s="6">
        <v>1208</v>
      </c>
      <c r="G60" s="6">
        <v>1212</v>
      </c>
      <c r="H60" s="6">
        <v>718</v>
      </c>
      <c r="I60" s="6">
        <v>330</v>
      </c>
      <c r="J60" s="6">
        <v>38</v>
      </c>
      <c r="K60" s="40">
        <v>635</v>
      </c>
      <c r="L60" s="40">
        <v>80</v>
      </c>
      <c r="M60" s="40">
        <v>88</v>
      </c>
      <c r="N60" s="40">
        <v>0</v>
      </c>
      <c r="O60" s="40">
        <v>3</v>
      </c>
      <c r="P60" s="40">
        <v>2</v>
      </c>
      <c r="Q60" s="40">
        <v>28</v>
      </c>
      <c r="R60" s="40">
        <v>53</v>
      </c>
      <c r="S60" s="40">
        <v>2</v>
      </c>
    </row>
    <row r="61" spans="1:19" x14ac:dyDescent="0.35">
      <c r="A61" s="38">
        <v>58</v>
      </c>
      <c r="B61" s="38" t="str">
        <f>_xlfn.XLOOKUP(A61,'Model Modeshare by TAZ'!A:A,'Model Modeshare by TAZ'!B:B)</f>
        <v>Unincorporated</v>
      </c>
      <c r="C61" s="38" t="str">
        <f>_xlfn.XLOOKUP(A61,'Model Modeshare by TAZ'!A:A,'Model Modeshare by TAZ'!D:D)</f>
        <v>NO</v>
      </c>
      <c r="D61" s="6">
        <v>3</v>
      </c>
      <c r="E61" s="6">
        <v>48</v>
      </c>
      <c r="F61" s="6">
        <v>158</v>
      </c>
      <c r="G61" s="6">
        <v>162</v>
      </c>
      <c r="H61" s="6">
        <v>80</v>
      </c>
      <c r="I61" s="6">
        <v>44</v>
      </c>
      <c r="J61" s="6">
        <v>4</v>
      </c>
      <c r="K61" s="40">
        <v>8</v>
      </c>
      <c r="L61" s="40">
        <v>1</v>
      </c>
      <c r="M61" s="40">
        <v>11</v>
      </c>
      <c r="N61" s="40">
        <v>1</v>
      </c>
      <c r="O61" s="40">
        <v>9</v>
      </c>
      <c r="P61" s="40">
        <v>0</v>
      </c>
      <c r="Q61" s="40">
        <v>0</v>
      </c>
      <c r="R61" s="40">
        <v>1</v>
      </c>
      <c r="S61" s="40">
        <v>0</v>
      </c>
    </row>
    <row r="62" spans="1:19" x14ac:dyDescent="0.35">
      <c r="A62" s="38">
        <v>59</v>
      </c>
      <c r="B62" s="38" t="str">
        <f>_xlfn.XLOOKUP(A62,'Model Modeshare by TAZ'!A:A,'Model Modeshare by TAZ'!B:B)</f>
        <v>Unincorporated</v>
      </c>
      <c r="C62" s="38" t="str">
        <f>_xlfn.XLOOKUP(A62,'Model Modeshare by TAZ'!A:A,'Model Modeshare by TAZ'!D:D)</f>
        <v>NO</v>
      </c>
      <c r="D62" s="6">
        <v>3</v>
      </c>
      <c r="E62" s="6">
        <v>36</v>
      </c>
      <c r="F62" s="6">
        <v>119</v>
      </c>
      <c r="G62" s="6">
        <v>121</v>
      </c>
      <c r="H62" s="6">
        <v>60</v>
      </c>
      <c r="I62" s="6">
        <v>33</v>
      </c>
      <c r="J62" s="6">
        <v>3</v>
      </c>
      <c r="K62" s="40">
        <v>16</v>
      </c>
      <c r="L62" s="40">
        <v>1</v>
      </c>
      <c r="M62" s="40">
        <v>37</v>
      </c>
      <c r="N62" s="40">
        <v>1</v>
      </c>
      <c r="O62" s="40">
        <v>34</v>
      </c>
      <c r="P62" s="40">
        <v>0</v>
      </c>
      <c r="Q62" s="40">
        <v>0</v>
      </c>
      <c r="R62" s="40">
        <v>2</v>
      </c>
      <c r="S62" s="40">
        <v>0</v>
      </c>
    </row>
    <row r="63" spans="1:19" x14ac:dyDescent="0.35">
      <c r="A63" s="38">
        <v>60</v>
      </c>
      <c r="B63" s="38" t="str">
        <f>_xlfn.XLOOKUP(A63,'Model Modeshare by TAZ'!A:A,'Model Modeshare by TAZ'!B:B)</f>
        <v>Unincorporated</v>
      </c>
      <c r="C63" s="38" t="str">
        <f>_xlfn.XLOOKUP(A63,'Model Modeshare by TAZ'!A:A,'Model Modeshare by TAZ'!D:D)</f>
        <v>NO</v>
      </c>
      <c r="D63" s="6">
        <v>3</v>
      </c>
      <c r="E63" s="6">
        <v>85</v>
      </c>
      <c r="F63" s="6">
        <v>287</v>
      </c>
      <c r="G63" s="6">
        <v>288</v>
      </c>
      <c r="H63" s="6">
        <v>137</v>
      </c>
      <c r="I63" s="6">
        <v>78</v>
      </c>
      <c r="J63" s="6">
        <v>7</v>
      </c>
      <c r="K63" s="40">
        <v>86</v>
      </c>
      <c r="L63" s="40">
        <v>10</v>
      </c>
      <c r="M63" s="40">
        <v>265</v>
      </c>
      <c r="N63" s="40">
        <v>3</v>
      </c>
      <c r="O63" s="40">
        <v>104</v>
      </c>
      <c r="P63" s="40">
        <v>48</v>
      </c>
      <c r="Q63" s="40">
        <v>25</v>
      </c>
      <c r="R63" s="40">
        <v>77</v>
      </c>
      <c r="S63" s="40">
        <v>8</v>
      </c>
    </row>
    <row r="64" spans="1:19" x14ac:dyDescent="0.35">
      <c r="A64" s="38">
        <v>61</v>
      </c>
      <c r="B64" s="38" t="str">
        <f>_xlfn.XLOOKUP(A64,'Model Modeshare by TAZ'!A:A,'Model Modeshare by TAZ'!B:B)</f>
        <v>Unincorporated</v>
      </c>
      <c r="C64" s="38" t="str">
        <f>_xlfn.XLOOKUP(A64,'Model Modeshare by TAZ'!A:A,'Model Modeshare by TAZ'!D:D)</f>
        <v>NO</v>
      </c>
      <c r="D64" s="6">
        <v>3</v>
      </c>
      <c r="E64" s="6">
        <v>227</v>
      </c>
      <c r="F64" s="6">
        <v>771</v>
      </c>
      <c r="G64" s="6">
        <v>773</v>
      </c>
      <c r="H64" s="6">
        <v>373</v>
      </c>
      <c r="I64" s="6">
        <v>210</v>
      </c>
      <c r="J64" s="6">
        <v>17</v>
      </c>
      <c r="K64" s="40">
        <v>187</v>
      </c>
      <c r="L64" s="40">
        <v>2</v>
      </c>
      <c r="M64" s="40">
        <v>30</v>
      </c>
      <c r="N64" s="40">
        <v>0</v>
      </c>
      <c r="O64" s="40">
        <v>0</v>
      </c>
      <c r="P64" s="40">
        <v>2</v>
      </c>
      <c r="Q64" s="40">
        <v>26</v>
      </c>
      <c r="R64" s="40">
        <v>2</v>
      </c>
      <c r="S64" s="40">
        <v>0</v>
      </c>
    </row>
    <row r="65" spans="1:19" x14ac:dyDescent="0.35">
      <c r="A65" s="38">
        <v>62</v>
      </c>
      <c r="B65" s="38" t="str">
        <f>_xlfn.XLOOKUP(A65,'Model Modeshare by TAZ'!A:A,'Model Modeshare by TAZ'!B:B)</f>
        <v>Unincorporated</v>
      </c>
      <c r="C65" s="38" t="str">
        <f>_xlfn.XLOOKUP(A65,'Model Modeshare by TAZ'!A:A,'Model Modeshare by TAZ'!D:D)</f>
        <v>NO</v>
      </c>
      <c r="D65" s="6">
        <v>3</v>
      </c>
      <c r="E65" s="6">
        <v>176</v>
      </c>
      <c r="F65" s="6">
        <v>598</v>
      </c>
      <c r="G65" s="6">
        <v>598</v>
      </c>
      <c r="H65" s="6">
        <v>289</v>
      </c>
      <c r="I65" s="6">
        <v>163</v>
      </c>
      <c r="J65" s="6">
        <v>13</v>
      </c>
      <c r="K65" s="40">
        <v>180</v>
      </c>
      <c r="L65" s="40">
        <v>5</v>
      </c>
      <c r="M65" s="40">
        <v>173</v>
      </c>
      <c r="N65" s="40">
        <v>0</v>
      </c>
      <c r="O65" s="40">
        <v>0</v>
      </c>
      <c r="P65" s="40">
        <v>0</v>
      </c>
      <c r="Q65" s="40">
        <v>128</v>
      </c>
      <c r="R65" s="40">
        <v>45</v>
      </c>
      <c r="S65" s="40">
        <v>0</v>
      </c>
    </row>
    <row r="66" spans="1:19" x14ac:dyDescent="0.35">
      <c r="A66" s="38">
        <v>63</v>
      </c>
      <c r="B66" s="38" t="str">
        <f>_xlfn.XLOOKUP(A66,'Model Modeshare by TAZ'!A:A,'Model Modeshare by TAZ'!B:B)</f>
        <v>Unincorporated</v>
      </c>
      <c r="C66" s="38" t="str">
        <f>_xlfn.XLOOKUP(A66,'Model Modeshare by TAZ'!A:A,'Model Modeshare by TAZ'!D:D)</f>
        <v>NO</v>
      </c>
      <c r="D66" s="6">
        <v>3</v>
      </c>
      <c r="E66" s="6">
        <v>51</v>
      </c>
      <c r="F66" s="6">
        <v>166</v>
      </c>
      <c r="G66" s="6">
        <v>169</v>
      </c>
      <c r="H66" s="6">
        <v>84</v>
      </c>
      <c r="I66" s="6">
        <v>46</v>
      </c>
      <c r="J66" s="6">
        <v>5</v>
      </c>
      <c r="K66" s="40">
        <v>84</v>
      </c>
      <c r="L66" s="40">
        <v>1</v>
      </c>
      <c r="M66" s="40">
        <v>0</v>
      </c>
      <c r="N66" s="40">
        <v>0</v>
      </c>
      <c r="O66" s="40">
        <v>0</v>
      </c>
      <c r="P66" s="40">
        <v>0</v>
      </c>
      <c r="Q66" s="40">
        <v>0</v>
      </c>
      <c r="R66" s="40">
        <v>0</v>
      </c>
      <c r="S66" s="40">
        <v>0</v>
      </c>
    </row>
    <row r="67" spans="1:19" x14ac:dyDescent="0.35">
      <c r="A67" s="38">
        <v>64</v>
      </c>
      <c r="B67" s="38" t="str">
        <f>_xlfn.XLOOKUP(A67,'Model Modeshare by TAZ'!A:A,'Model Modeshare by TAZ'!B:B)</f>
        <v>Unincorporated</v>
      </c>
      <c r="C67" s="38" t="str">
        <f>_xlfn.XLOOKUP(A67,'Model Modeshare by TAZ'!A:A,'Model Modeshare by TAZ'!D:D)</f>
        <v>NO</v>
      </c>
      <c r="D67" s="6">
        <v>3</v>
      </c>
      <c r="E67" s="6">
        <v>67</v>
      </c>
      <c r="F67" s="6">
        <v>228</v>
      </c>
      <c r="G67" s="6">
        <v>229</v>
      </c>
      <c r="H67" s="6">
        <v>110</v>
      </c>
      <c r="I67" s="6">
        <v>63</v>
      </c>
      <c r="J67" s="6">
        <v>4</v>
      </c>
      <c r="K67" s="40">
        <v>40</v>
      </c>
      <c r="L67" s="40">
        <v>39</v>
      </c>
      <c r="M67" s="40">
        <v>359</v>
      </c>
      <c r="N67" s="40">
        <v>2</v>
      </c>
      <c r="O67" s="40">
        <v>86</v>
      </c>
      <c r="P67" s="40">
        <v>58</v>
      </c>
      <c r="Q67" s="40">
        <v>45</v>
      </c>
      <c r="R67" s="40">
        <v>163</v>
      </c>
      <c r="S67" s="40">
        <v>5</v>
      </c>
    </row>
    <row r="68" spans="1:19" x14ac:dyDescent="0.35">
      <c r="A68" s="38">
        <v>65</v>
      </c>
      <c r="B68" s="38" t="str">
        <f>_xlfn.XLOOKUP(A68,'Model Modeshare by TAZ'!A:A,'Model Modeshare by TAZ'!B:B)</f>
        <v>Unincorporated</v>
      </c>
      <c r="C68" s="38" t="str">
        <f>_xlfn.XLOOKUP(A68,'Model Modeshare by TAZ'!A:A,'Model Modeshare by TAZ'!D:D)</f>
        <v>NO</v>
      </c>
      <c r="D68" s="6">
        <v>3</v>
      </c>
      <c r="E68" s="6">
        <v>77</v>
      </c>
      <c r="F68" s="6">
        <v>261</v>
      </c>
      <c r="G68" s="6">
        <v>261</v>
      </c>
      <c r="H68" s="6">
        <v>126</v>
      </c>
      <c r="I68" s="6">
        <v>71</v>
      </c>
      <c r="J68" s="6">
        <v>6</v>
      </c>
      <c r="K68" s="40">
        <v>85</v>
      </c>
      <c r="L68" s="40">
        <v>20</v>
      </c>
      <c r="M68" s="40">
        <v>37</v>
      </c>
      <c r="N68" s="40">
        <v>3</v>
      </c>
      <c r="O68" s="40">
        <v>29</v>
      </c>
      <c r="P68" s="40">
        <v>0</v>
      </c>
      <c r="Q68" s="40">
        <v>3</v>
      </c>
      <c r="R68" s="40">
        <v>2</v>
      </c>
      <c r="S68" s="40">
        <v>0</v>
      </c>
    </row>
    <row r="69" spans="1:19" x14ac:dyDescent="0.35">
      <c r="A69" s="38">
        <v>66</v>
      </c>
      <c r="B69" s="38" t="str">
        <f>_xlfn.XLOOKUP(A69,'Model Modeshare by TAZ'!A:A,'Model Modeshare by TAZ'!B:B)</f>
        <v>Unincorporated</v>
      </c>
      <c r="C69" s="38" t="str">
        <f>_xlfn.XLOOKUP(A69,'Model Modeshare by TAZ'!A:A,'Model Modeshare by TAZ'!D:D)</f>
        <v>NO</v>
      </c>
      <c r="D69" s="6">
        <v>3</v>
      </c>
      <c r="E69" s="6">
        <v>34</v>
      </c>
      <c r="F69" s="6">
        <v>110</v>
      </c>
      <c r="G69" s="6">
        <v>113</v>
      </c>
      <c r="H69" s="6">
        <v>56</v>
      </c>
      <c r="I69" s="6">
        <v>31</v>
      </c>
      <c r="J69" s="6">
        <v>3</v>
      </c>
      <c r="K69" s="40">
        <v>64</v>
      </c>
      <c r="L69" s="40">
        <v>1</v>
      </c>
      <c r="M69" s="40">
        <v>17</v>
      </c>
      <c r="N69" s="40">
        <v>0</v>
      </c>
      <c r="O69" s="40">
        <v>0</v>
      </c>
      <c r="P69" s="40">
        <v>3</v>
      </c>
      <c r="Q69" s="40">
        <v>0</v>
      </c>
      <c r="R69" s="40">
        <v>14</v>
      </c>
      <c r="S69" s="40">
        <v>0</v>
      </c>
    </row>
    <row r="70" spans="1:19" x14ac:dyDescent="0.35">
      <c r="A70" s="38">
        <v>67</v>
      </c>
      <c r="B70" s="38" t="str">
        <f>_xlfn.XLOOKUP(A70,'Model Modeshare by TAZ'!A:A,'Model Modeshare by TAZ'!B:B)</f>
        <v>Unincorporated</v>
      </c>
      <c r="C70" s="38" t="str">
        <f>_xlfn.XLOOKUP(A70,'Model Modeshare by TAZ'!A:A,'Model Modeshare by TAZ'!D:D)</f>
        <v>NO</v>
      </c>
      <c r="D70" s="6">
        <v>3</v>
      </c>
      <c r="E70" s="6">
        <v>261</v>
      </c>
      <c r="F70" s="6">
        <v>854</v>
      </c>
      <c r="G70" s="6">
        <v>872</v>
      </c>
      <c r="H70" s="6">
        <v>434</v>
      </c>
      <c r="I70" s="6">
        <v>237</v>
      </c>
      <c r="J70" s="6">
        <v>24</v>
      </c>
      <c r="K70" s="40">
        <v>323</v>
      </c>
      <c r="L70" s="40">
        <v>1</v>
      </c>
      <c r="M70" s="40">
        <v>417</v>
      </c>
      <c r="N70" s="40">
        <v>10</v>
      </c>
      <c r="O70" s="40">
        <v>200</v>
      </c>
      <c r="P70" s="40">
        <v>56</v>
      </c>
      <c r="Q70" s="40">
        <v>9</v>
      </c>
      <c r="R70" s="40">
        <v>142</v>
      </c>
      <c r="S70" s="40">
        <v>0</v>
      </c>
    </row>
    <row r="71" spans="1:19" x14ac:dyDescent="0.35">
      <c r="A71" s="38">
        <v>68</v>
      </c>
      <c r="B71" s="38" t="str">
        <f>_xlfn.XLOOKUP(A71,'Model Modeshare by TAZ'!A:A,'Model Modeshare by TAZ'!B:B)</f>
        <v>Unincorporated</v>
      </c>
      <c r="C71" s="38" t="str">
        <f>_xlfn.XLOOKUP(A71,'Model Modeshare by TAZ'!A:A,'Model Modeshare by TAZ'!D:D)</f>
        <v>NO</v>
      </c>
      <c r="D71" s="6">
        <v>3</v>
      </c>
      <c r="E71" s="6">
        <v>52</v>
      </c>
      <c r="F71" s="6">
        <v>169</v>
      </c>
      <c r="G71" s="6">
        <v>173</v>
      </c>
      <c r="H71" s="6">
        <v>86</v>
      </c>
      <c r="I71" s="6">
        <v>47</v>
      </c>
      <c r="J71" s="6">
        <v>5</v>
      </c>
      <c r="K71" s="40">
        <v>28</v>
      </c>
      <c r="L71" s="40">
        <v>50</v>
      </c>
      <c r="M71" s="40">
        <v>76</v>
      </c>
      <c r="N71" s="40">
        <v>0</v>
      </c>
      <c r="O71" s="40">
        <v>76</v>
      </c>
      <c r="P71" s="40">
        <v>0</v>
      </c>
      <c r="Q71" s="40">
        <v>0</v>
      </c>
      <c r="R71" s="40">
        <v>0</v>
      </c>
      <c r="S71" s="40">
        <v>0</v>
      </c>
    </row>
    <row r="72" spans="1:19" x14ac:dyDescent="0.35">
      <c r="A72" s="38">
        <v>69</v>
      </c>
      <c r="B72" s="38" t="str">
        <f>_xlfn.XLOOKUP(A72,'Model Modeshare by TAZ'!A:A,'Model Modeshare by TAZ'!B:B)</f>
        <v>Unincorporated</v>
      </c>
      <c r="C72" s="38" t="str">
        <f>_xlfn.XLOOKUP(A72,'Model Modeshare by TAZ'!A:A,'Model Modeshare by TAZ'!D:D)</f>
        <v>NO</v>
      </c>
      <c r="D72" s="6">
        <v>3</v>
      </c>
      <c r="E72" s="6">
        <v>27</v>
      </c>
      <c r="F72" s="6">
        <v>89</v>
      </c>
      <c r="G72" s="6">
        <v>92</v>
      </c>
      <c r="H72" s="6">
        <v>45</v>
      </c>
      <c r="I72" s="6">
        <v>25</v>
      </c>
      <c r="J72" s="6">
        <v>2</v>
      </c>
      <c r="K72" s="40">
        <v>18</v>
      </c>
      <c r="L72" s="40">
        <v>1</v>
      </c>
      <c r="M72" s="40">
        <v>0</v>
      </c>
      <c r="N72" s="40">
        <v>0</v>
      </c>
      <c r="O72" s="40">
        <v>0</v>
      </c>
      <c r="P72" s="40">
        <v>0</v>
      </c>
      <c r="Q72" s="40">
        <v>0</v>
      </c>
      <c r="R72" s="40">
        <v>0</v>
      </c>
      <c r="S72" s="40">
        <v>0</v>
      </c>
    </row>
    <row r="73" spans="1:19" x14ac:dyDescent="0.35">
      <c r="A73" s="38">
        <v>70</v>
      </c>
      <c r="B73" s="38" t="str">
        <f>_xlfn.XLOOKUP(A73,'Model Modeshare by TAZ'!A:A,'Model Modeshare by TAZ'!B:B)</f>
        <v>Unincorporated</v>
      </c>
      <c r="C73" s="38" t="str">
        <f>_xlfn.XLOOKUP(A73,'Model Modeshare by TAZ'!A:A,'Model Modeshare by TAZ'!D:D)</f>
        <v>NO</v>
      </c>
      <c r="D73" s="6">
        <v>3</v>
      </c>
      <c r="E73" s="6">
        <v>122</v>
      </c>
      <c r="F73" s="6">
        <v>398</v>
      </c>
      <c r="G73" s="6">
        <v>406</v>
      </c>
      <c r="H73" s="6">
        <v>202</v>
      </c>
      <c r="I73" s="6">
        <v>111</v>
      </c>
      <c r="J73" s="6">
        <v>11</v>
      </c>
      <c r="K73" s="40">
        <v>172</v>
      </c>
      <c r="L73" s="40">
        <v>1</v>
      </c>
      <c r="M73" s="40">
        <v>1</v>
      </c>
      <c r="N73" s="40">
        <v>0</v>
      </c>
      <c r="O73" s="40">
        <v>0</v>
      </c>
      <c r="P73" s="40">
        <v>0</v>
      </c>
      <c r="Q73" s="40">
        <v>1</v>
      </c>
      <c r="R73" s="40">
        <v>0</v>
      </c>
      <c r="S73" s="40">
        <v>0</v>
      </c>
    </row>
    <row r="74" spans="1:19" x14ac:dyDescent="0.35">
      <c r="A74" s="38">
        <v>71</v>
      </c>
      <c r="B74" s="38" t="str">
        <f>_xlfn.XLOOKUP(A74,'Model Modeshare by TAZ'!A:A,'Model Modeshare by TAZ'!B:B)</f>
        <v>Unincorporated</v>
      </c>
      <c r="C74" s="38" t="str">
        <f>_xlfn.XLOOKUP(A74,'Model Modeshare by TAZ'!A:A,'Model Modeshare by TAZ'!D:D)</f>
        <v>NO</v>
      </c>
      <c r="D74" s="6">
        <v>3</v>
      </c>
      <c r="E74" s="6">
        <v>142</v>
      </c>
      <c r="F74" s="6">
        <v>465</v>
      </c>
      <c r="G74" s="6">
        <v>476</v>
      </c>
      <c r="H74" s="6">
        <v>237</v>
      </c>
      <c r="I74" s="6">
        <v>129</v>
      </c>
      <c r="J74" s="6">
        <v>13</v>
      </c>
      <c r="K74" s="40">
        <v>103</v>
      </c>
      <c r="L74" s="40">
        <v>1</v>
      </c>
      <c r="M74" s="40">
        <v>32</v>
      </c>
      <c r="N74" s="40">
        <v>0</v>
      </c>
      <c r="O74" s="40">
        <v>0</v>
      </c>
      <c r="P74" s="40">
        <v>0</v>
      </c>
      <c r="Q74" s="40">
        <v>32</v>
      </c>
      <c r="R74" s="40">
        <v>0</v>
      </c>
      <c r="S74" s="40">
        <v>0</v>
      </c>
    </row>
    <row r="75" spans="1:19" x14ac:dyDescent="0.35">
      <c r="A75" s="38">
        <v>72</v>
      </c>
      <c r="B75" s="38" t="str">
        <f>_xlfn.XLOOKUP(A75,'Model Modeshare by TAZ'!A:A,'Model Modeshare by TAZ'!B:B)</f>
        <v>Unincorporated</v>
      </c>
      <c r="C75" s="38" t="str">
        <f>_xlfn.XLOOKUP(A75,'Model Modeshare by TAZ'!A:A,'Model Modeshare by TAZ'!D:D)</f>
        <v>NO</v>
      </c>
      <c r="D75" s="6">
        <v>3</v>
      </c>
      <c r="E75" s="6">
        <v>144</v>
      </c>
      <c r="F75" s="6">
        <v>473</v>
      </c>
      <c r="G75" s="6">
        <v>483</v>
      </c>
      <c r="H75" s="6">
        <v>240</v>
      </c>
      <c r="I75" s="6">
        <v>132</v>
      </c>
      <c r="J75" s="6">
        <v>12</v>
      </c>
      <c r="K75" s="40">
        <v>105</v>
      </c>
      <c r="L75" s="40">
        <v>1</v>
      </c>
      <c r="M75" s="40">
        <v>17</v>
      </c>
      <c r="N75" s="40">
        <v>0</v>
      </c>
      <c r="O75" s="40">
        <v>0</v>
      </c>
      <c r="P75" s="40">
        <v>0</v>
      </c>
      <c r="Q75" s="40">
        <v>0</v>
      </c>
      <c r="R75" s="40">
        <v>17</v>
      </c>
      <c r="S75" s="40">
        <v>0</v>
      </c>
    </row>
    <row r="76" spans="1:19" x14ac:dyDescent="0.35">
      <c r="A76" s="38">
        <v>73</v>
      </c>
      <c r="B76" s="38" t="str">
        <f>_xlfn.XLOOKUP(A76,'Model Modeshare by TAZ'!A:A,'Model Modeshare by TAZ'!B:B)</f>
        <v>Unincorporated</v>
      </c>
      <c r="C76" s="38" t="str">
        <f>_xlfn.XLOOKUP(A76,'Model Modeshare by TAZ'!A:A,'Model Modeshare by TAZ'!D:D)</f>
        <v>NO</v>
      </c>
      <c r="D76" s="6">
        <v>3</v>
      </c>
      <c r="E76" s="6">
        <v>73</v>
      </c>
      <c r="F76" s="6">
        <v>238</v>
      </c>
      <c r="G76" s="6">
        <v>244</v>
      </c>
      <c r="H76" s="6">
        <v>121</v>
      </c>
      <c r="I76" s="6">
        <v>66</v>
      </c>
      <c r="J76" s="6">
        <v>7</v>
      </c>
      <c r="K76" s="40">
        <v>113</v>
      </c>
      <c r="L76" s="40">
        <v>1</v>
      </c>
      <c r="M76" s="40">
        <v>11</v>
      </c>
      <c r="N76" s="40">
        <v>0</v>
      </c>
      <c r="O76" s="40">
        <v>7</v>
      </c>
      <c r="P76" s="40">
        <v>0</v>
      </c>
      <c r="Q76" s="40">
        <v>0</v>
      </c>
      <c r="R76" s="40">
        <v>4</v>
      </c>
      <c r="S76" s="40">
        <v>0</v>
      </c>
    </row>
    <row r="77" spans="1:19" x14ac:dyDescent="0.35">
      <c r="A77" s="38">
        <v>74</v>
      </c>
      <c r="B77" s="38" t="str">
        <f>_xlfn.XLOOKUP(A77,'Model Modeshare by TAZ'!A:A,'Model Modeshare by TAZ'!B:B)</f>
        <v>Unincorporated</v>
      </c>
      <c r="C77" s="38" t="str">
        <f>_xlfn.XLOOKUP(A77,'Model Modeshare by TAZ'!A:A,'Model Modeshare by TAZ'!D:D)</f>
        <v>NO</v>
      </c>
      <c r="D77" s="6">
        <v>3</v>
      </c>
      <c r="E77" s="6">
        <v>199</v>
      </c>
      <c r="F77" s="6">
        <v>673</v>
      </c>
      <c r="G77" s="6">
        <v>677</v>
      </c>
      <c r="H77" s="6">
        <v>326</v>
      </c>
      <c r="I77" s="6">
        <v>183</v>
      </c>
      <c r="J77" s="6">
        <v>16</v>
      </c>
      <c r="K77" s="40">
        <v>484</v>
      </c>
      <c r="L77" s="40">
        <v>1</v>
      </c>
      <c r="M77" s="40">
        <v>13</v>
      </c>
      <c r="N77" s="40">
        <v>0</v>
      </c>
      <c r="O77" s="40">
        <v>1</v>
      </c>
      <c r="P77" s="40">
        <v>2</v>
      </c>
      <c r="Q77" s="40">
        <v>8</v>
      </c>
      <c r="R77" s="40">
        <v>1</v>
      </c>
      <c r="S77" s="40">
        <v>1</v>
      </c>
    </row>
    <row r="78" spans="1:19" x14ac:dyDescent="0.35">
      <c r="A78" s="38">
        <v>75</v>
      </c>
      <c r="B78" s="38" t="str">
        <f>_xlfn.XLOOKUP(A78,'Model Modeshare by TAZ'!A:A,'Model Modeshare by TAZ'!B:B)</f>
        <v>Unincorporated</v>
      </c>
      <c r="C78" s="38" t="str">
        <f>_xlfn.XLOOKUP(A78,'Model Modeshare by TAZ'!A:A,'Model Modeshare by TAZ'!D:D)</f>
        <v>NO</v>
      </c>
      <c r="D78" s="6">
        <v>3</v>
      </c>
      <c r="E78" s="6">
        <v>36</v>
      </c>
      <c r="F78" s="6">
        <v>118</v>
      </c>
      <c r="G78" s="6">
        <v>118</v>
      </c>
      <c r="H78" s="6">
        <v>70</v>
      </c>
      <c r="I78" s="6">
        <v>32</v>
      </c>
      <c r="J78" s="6">
        <v>4</v>
      </c>
      <c r="K78" s="40">
        <v>12</v>
      </c>
      <c r="L78" s="40">
        <v>2</v>
      </c>
      <c r="M78" s="40">
        <v>4</v>
      </c>
      <c r="N78" s="40">
        <v>0</v>
      </c>
      <c r="O78" s="40">
        <v>0</v>
      </c>
      <c r="P78" s="40">
        <v>0</v>
      </c>
      <c r="Q78" s="40">
        <v>3</v>
      </c>
      <c r="R78" s="40">
        <v>0</v>
      </c>
      <c r="S78" s="40">
        <v>1</v>
      </c>
    </row>
    <row r="79" spans="1:19" x14ac:dyDescent="0.35">
      <c r="A79" s="38">
        <v>76</v>
      </c>
      <c r="B79" s="38" t="str">
        <f>_xlfn.XLOOKUP(A79,'Model Modeshare by TAZ'!A:A,'Model Modeshare by TAZ'!B:B)</f>
        <v>Unincorporated</v>
      </c>
      <c r="C79" s="38" t="str">
        <f>_xlfn.XLOOKUP(A79,'Model Modeshare by TAZ'!A:A,'Model Modeshare by TAZ'!D:D)</f>
        <v>NO</v>
      </c>
      <c r="D79" s="6">
        <v>3</v>
      </c>
      <c r="E79" s="6">
        <v>8</v>
      </c>
      <c r="F79" s="6">
        <v>27</v>
      </c>
      <c r="G79" s="6">
        <v>27</v>
      </c>
      <c r="H79" s="6">
        <v>16</v>
      </c>
      <c r="I79" s="6">
        <v>7</v>
      </c>
      <c r="J79" s="6">
        <v>1</v>
      </c>
      <c r="K79" s="40">
        <v>3.2</v>
      </c>
      <c r="L79" s="40">
        <v>240</v>
      </c>
      <c r="M79" s="40">
        <v>176</v>
      </c>
      <c r="N79" s="40">
        <v>2</v>
      </c>
      <c r="O79" s="40">
        <v>14</v>
      </c>
      <c r="P79" s="40">
        <v>18</v>
      </c>
      <c r="Q79" s="40">
        <v>94</v>
      </c>
      <c r="R79" s="40">
        <v>35</v>
      </c>
      <c r="S79" s="40">
        <v>13</v>
      </c>
    </row>
    <row r="80" spans="1:19" x14ac:dyDescent="0.35">
      <c r="A80" s="38">
        <v>77</v>
      </c>
      <c r="B80" s="38" t="str">
        <f>_xlfn.XLOOKUP(A80,'Model Modeshare by TAZ'!A:A,'Model Modeshare by TAZ'!B:B)</f>
        <v>Unincorporated</v>
      </c>
      <c r="C80" s="38" t="str">
        <f>_xlfn.XLOOKUP(A80,'Model Modeshare by TAZ'!A:A,'Model Modeshare by TAZ'!D:D)</f>
        <v>NO</v>
      </c>
      <c r="D80" s="6">
        <v>3</v>
      </c>
      <c r="E80" s="6">
        <v>75</v>
      </c>
      <c r="F80" s="6">
        <v>244</v>
      </c>
      <c r="G80" s="6">
        <v>245</v>
      </c>
      <c r="H80" s="6">
        <v>146</v>
      </c>
      <c r="I80" s="6">
        <v>66</v>
      </c>
      <c r="J80" s="6">
        <v>9</v>
      </c>
      <c r="K80" s="40">
        <v>17</v>
      </c>
      <c r="L80" s="40">
        <v>4</v>
      </c>
      <c r="M80" s="40">
        <v>24</v>
      </c>
      <c r="N80" s="40">
        <v>0</v>
      </c>
      <c r="O80" s="40">
        <v>0</v>
      </c>
      <c r="P80" s="40">
        <v>0</v>
      </c>
      <c r="Q80" s="40">
        <v>23</v>
      </c>
      <c r="R80" s="40">
        <v>0</v>
      </c>
      <c r="S80" s="40">
        <v>1</v>
      </c>
    </row>
    <row r="81" spans="1:19" x14ac:dyDescent="0.35">
      <c r="A81" s="38">
        <v>78</v>
      </c>
      <c r="B81" s="38" t="str">
        <f>_xlfn.XLOOKUP(A81,'Model Modeshare by TAZ'!A:A,'Model Modeshare by TAZ'!B:B)</f>
        <v>Unincorporated</v>
      </c>
      <c r="C81" s="38" t="str">
        <f>_xlfn.XLOOKUP(A81,'Model Modeshare by TAZ'!A:A,'Model Modeshare by TAZ'!D:D)</f>
        <v>NO</v>
      </c>
      <c r="D81" s="6">
        <v>3</v>
      </c>
      <c r="E81" s="6">
        <v>285</v>
      </c>
      <c r="F81" s="6">
        <v>815</v>
      </c>
      <c r="G81" s="6">
        <v>815</v>
      </c>
      <c r="H81" s="6">
        <v>438</v>
      </c>
      <c r="I81" s="6">
        <v>285</v>
      </c>
      <c r="J81" s="6">
        <v>0</v>
      </c>
      <c r="K81" s="40">
        <v>108</v>
      </c>
      <c r="L81" s="40">
        <v>1</v>
      </c>
      <c r="M81" s="40">
        <v>88</v>
      </c>
      <c r="N81" s="40">
        <v>63</v>
      </c>
      <c r="O81" s="40">
        <v>8</v>
      </c>
      <c r="P81" s="40">
        <v>0</v>
      </c>
      <c r="Q81" s="40">
        <v>17</v>
      </c>
      <c r="R81" s="40">
        <v>0</v>
      </c>
      <c r="S81" s="40">
        <v>0</v>
      </c>
    </row>
    <row r="82" spans="1:19" x14ac:dyDescent="0.35">
      <c r="A82" s="38">
        <v>79</v>
      </c>
      <c r="B82" s="38" t="str">
        <f>_xlfn.XLOOKUP(A82,'Model Modeshare by TAZ'!A:A,'Model Modeshare by TAZ'!B:B)</f>
        <v>Unincorporated</v>
      </c>
      <c r="C82" s="38" t="str">
        <f>_xlfn.XLOOKUP(A82,'Model Modeshare by TAZ'!A:A,'Model Modeshare by TAZ'!D:D)</f>
        <v>NO</v>
      </c>
      <c r="D82" s="6">
        <v>3</v>
      </c>
      <c r="E82" s="6">
        <v>462</v>
      </c>
      <c r="F82" s="6">
        <v>1323</v>
      </c>
      <c r="G82" s="6">
        <v>1323</v>
      </c>
      <c r="H82" s="6">
        <v>711</v>
      </c>
      <c r="I82" s="6">
        <v>462</v>
      </c>
      <c r="J82" s="6">
        <v>0</v>
      </c>
      <c r="K82" s="40">
        <v>275</v>
      </c>
      <c r="L82" s="40">
        <v>3</v>
      </c>
      <c r="M82" s="40">
        <v>149</v>
      </c>
      <c r="N82" s="40">
        <v>62</v>
      </c>
      <c r="O82" s="40">
        <v>61</v>
      </c>
      <c r="P82" s="40">
        <v>10</v>
      </c>
      <c r="Q82" s="40">
        <v>16</v>
      </c>
      <c r="R82" s="40">
        <v>0</v>
      </c>
      <c r="S82" s="40">
        <v>0</v>
      </c>
    </row>
    <row r="83" spans="1:19" x14ac:dyDescent="0.35">
      <c r="A83" s="38">
        <v>80</v>
      </c>
      <c r="B83" s="38" t="str">
        <f>_xlfn.XLOOKUP(A83,'Model Modeshare by TAZ'!A:A,'Model Modeshare by TAZ'!B:B)</f>
        <v>Unincorporated</v>
      </c>
      <c r="C83" s="38" t="str">
        <f>_xlfn.XLOOKUP(A83,'Model Modeshare by TAZ'!A:A,'Model Modeshare by TAZ'!D:D)</f>
        <v>NO</v>
      </c>
      <c r="D83" s="6">
        <v>3</v>
      </c>
      <c r="E83" s="6">
        <v>12</v>
      </c>
      <c r="F83" s="6">
        <v>32</v>
      </c>
      <c r="G83" s="6">
        <v>32</v>
      </c>
      <c r="H83" s="6">
        <v>15</v>
      </c>
      <c r="I83" s="6">
        <v>0</v>
      </c>
      <c r="J83" s="6">
        <v>12</v>
      </c>
      <c r="K83" s="40">
        <v>582</v>
      </c>
      <c r="L83" s="40">
        <v>2</v>
      </c>
      <c r="M83" s="40">
        <v>0</v>
      </c>
      <c r="N83" s="40">
        <v>0</v>
      </c>
      <c r="O83" s="40">
        <v>0</v>
      </c>
      <c r="P83" s="40">
        <v>0</v>
      </c>
      <c r="Q83" s="40">
        <v>0</v>
      </c>
      <c r="R83" s="40">
        <v>0</v>
      </c>
      <c r="S83" s="40">
        <v>0</v>
      </c>
    </row>
    <row r="84" spans="1:19" x14ac:dyDescent="0.35">
      <c r="A84" s="38">
        <v>81</v>
      </c>
      <c r="B84" s="38" t="str">
        <f>_xlfn.XLOOKUP(A84,'Model Modeshare by TAZ'!A:A,'Model Modeshare by TAZ'!B:B)</f>
        <v>Unincorporated</v>
      </c>
      <c r="C84" s="38" t="str">
        <f>_xlfn.XLOOKUP(A84,'Model Modeshare by TAZ'!A:A,'Model Modeshare by TAZ'!D:D)</f>
        <v>NO</v>
      </c>
      <c r="D84" s="6">
        <v>3</v>
      </c>
      <c r="E84" s="6">
        <v>10</v>
      </c>
      <c r="F84" s="6">
        <v>26</v>
      </c>
      <c r="G84" s="6">
        <v>27</v>
      </c>
      <c r="H84" s="6">
        <v>13</v>
      </c>
      <c r="I84" s="6">
        <v>9</v>
      </c>
      <c r="J84" s="6">
        <v>1</v>
      </c>
      <c r="K84" s="40">
        <v>54</v>
      </c>
      <c r="L84" s="40">
        <v>2</v>
      </c>
      <c r="M84" s="40">
        <v>45</v>
      </c>
      <c r="N84" s="40">
        <v>0</v>
      </c>
      <c r="O84" s="40">
        <v>11</v>
      </c>
      <c r="P84" s="40">
        <v>34</v>
      </c>
      <c r="Q84" s="40">
        <v>0</v>
      </c>
      <c r="R84" s="40">
        <v>0</v>
      </c>
      <c r="S84" s="40">
        <v>0</v>
      </c>
    </row>
    <row r="85" spans="1:19" x14ac:dyDescent="0.35">
      <c r="A85" s="38">
        <v>82</v>
      </c>
      <c r="B85" s="38" t="str">
        <f>_xlfn.XLOOKUP(A85,'Model Modeshare by TAZ'!A:A,'Model Modeshare by TAZ'!B:B)</f>
        <v>Unincorporated</v>
      </c>
      <c r="C85" s="38" t="str">
        <f>_xlfn.XLOOKUP(A85,'Model Modeshare by TAZ'!A:A,'Model Modeshare by TAZ'!D:D)</f>
        <v>NO</v>
      </c>
      <c r="D85" s="6">
        <v>3</v>
      </c>
      <c r="E85" s="6">
        <v>169</v>
      </c>
      <c r="F85" s="6">
        <v>464</v>
      </c>
      <c r="G85" s="6">
        <v>478</v>
      </c>
      <c r="H85" s="6">
        <v>286</v>
      </c>
      <c r="I85" s="6">
        <v>162</v>
      </c>
      <c r="J85" s="6">
        <v>7</v>
      </c>
      <c r="K85" s="40">
        <v>872</v>
      </c>
      <c r="L85" s="40">
        <v>6</v>
      </c>
      <c r="M85" s="40">
        <v>1058</v>
      </c>
      <c r="N85" s="40">
        <v>0</v>
      </c>
      <c r="O85" s="40">
        <v>0</v>
      </c>
      <c r="P85" s="40">
        <v>18</v>
      </c>
      <c r="Q85" s="40">
        <v>23</v>
      </c>
      <c r="R85" s="40">
        <v>996</v>
      </c>
      <c r="S85" s="40">
        <v>21</v>
      </c>
    </row>
    <row r="86" spans="1:19" x14ac:dyDescent="0.35">
      <c r="A86" s="38">
        <v>83</v>
      </c>
      <c r="B86" s="38" t="str">
        <f>_xlfn.XLOOKUP(A86,'Model Modeshare by TAZ'!A:A,'Model Modeshare by TAZ'!B:B)</f>
        <v>Unincorporated</v>
      </c>
      <c r="C86" s="38" t="str">
        <f>_xlfn.XLOOKUP(A86,'Model Modeshare by TAZ'!A:A,'Model Modeshare by TAZ'!D:D)</f>
        <v>NO</v>
      </c>
      <c r="D86" s="6">
        <v>3</v>
      </c>
      <c r="E86" s="6">
        <v>921</v>
      </c>
      <c r="F86" s="6">
        <v>2289</v>
      </c>
      <c r="G86" s="6">
        <v>2294</v>
      </c>
      <c r="H86" s="6">
        <v>1442</v>
      </c>
      <c r="I86" s="6">
        <v>897</v>
      </c>
      <c r="J86" s="6">
        <v>24</v>
      </c>
      <c r="K86" s="40">
        <v>1055</v>
      </c>
      <c r="L86" s="40">
        <v>17</v>
      </c>
      <c r="M86" s="40">
        <v>570</v>
      </c>
      <c r="N86" s="40">
        <v>8</v>
      </c>
      <c r="O86" s="40">
        <v>29</v>
      </c>
      <c r="P86" s="40">
        <v>243</v>
      </c>
      <c r="Q86" s="40">
        <v>176</v>
      </c>
      <c r="R86" s="40">
        <v>97</v>
      </c>
      <c r="S86" s="40">
        <v>17</v>
      </c>
    </row>
    <row r="87" spans="1:19" x14ac:dyDescent="0.35">
      <c r="A87" s="38">
        <v>84</v>
      </c>
      <c r="B87" s="38" t="str">
        <f>_xlfn.XLOOKUP(A87,'Model Modeshare by TAZ'!A:A,'Model Modeshare by TAZ'!B:B)</f>
        <v>Unincorporated</v>
      </c>
      <c r="C87" s="38" t="str">
        <f>_xlfn.XLOOKUP(A87,'Model Modeshare by TAZ'!A:A,'Model Modeshare by TAZ'!D:D)</f>
        <v>NO</v>
      </c>
      <c r="D87" s="6">
        <v>3</v>
      </c>
      <c r="E87" s="6">
        <v>707</v>
      </c>
      <c r="F87" s="6">
        <v>1756</v>
      </c>
      <c r="G87" s="6">
        <v>1769</v>
      </c>
      <c r="H87" s="6">
        <v>1106</v>
      </c>
      <c r="I87" s="6">
        <v>688</v>
      </c>
      <c r="J87" s="6">
        <v>19</v>
      </c>
      <c r="K87" s="40">
        <v>610</v>
      </c>
      <c r="L87" s="40">
        <v>6</v>
      </c>
      <c r="M87" s="40">
        <v>256</v>
      </c>
      <c r="N87" s="40">
        <v>8</v>
      </c>
      <c r="O87" s="40">
        <v>30</v>
      </c>
      <c r="P87" s="40">
        <v>57</v>
      </c>
      <c r="Q87" s="40">
        <v>111</v>
      </c>
      <c r="R87" s="40">
        <v>50</v>
      </c>
      <c r="S87" s="40">
        <v>0</v>
      </c>
    </row>
    <row r="88" spans="1:19" x14ac:dyDescent="0.35">
      <c r="A88" s="38">
        <v>85</v>
      </c>
      <c r="B88" s="38" t="str">
        <f>_xlfn.XLOOKUP(A88,'Model Modeshare by TAZ'!A:A,'Model Modeshare by TAZ'!B:B)</f>
        <v>Unincorporated</v>
      </c>
      <c r="C88" s="38" t="str">
        <f>_xlfn.XLOOKUP(A88,'Model Modeshare by TAZ'!A:A,'Model Modeshare by TAZ'!D:D)</f>
        <v>NO</v>
      </c>
      <c r="D88" s="6">
        <v>3</v>
      </c>
      <c r="E88" s="6">
        <v>66</v>
      </c>
      <c r="F88" s="6">
        <v>209</v>
      </c>
      <c r="G88" s="6">
        <v>217</v>
      </c>
      <c r="H88" s="6">
        <v>102</v>
      </c>
      <c r="I88" s="6">
        <v>54</v>
      </c>
      <c r="J88" s="6">
        <v>12</v>
      </c>
      <c r="K88" s="40">
        <v>114</v>
      </c>
      <c r="L88" s="40">
        <v>3</v>
      </c>
      <c r="M88" s="40">
        <v>62</v>
      </c>
      <c r="N88" s="40">
        <v>0</v>
      </c>
      <c r="O88" s="40">
        <v>0</v>
      </c>
      <c r="P88" s="40">
        <v>0</v>
      </c>
      <c r="Q88" s="40">
        <v>0</v>
      </c>
      <c r="R88" s="40">
        <v>62</v>
      </c>
      <c r="S88" s="40">
        <v>0</v>
      </c>
    </row>
    <row r="89" spans="1:19" x14ac:dyDescent="0.35">
      <c r="A89" s="38">
        <v>86</v>
      </c>
      <c r="B89" s="38" t="str">
        <f>_xlfn.XLOOKUP(A89,'Model Modeshare by TAZ'!A:A,'Model Modeshare by TAZ'!B:B)</f>
        <v>Cupertino</v>
      </c>
      <c r="C89" s="38" t="str">
        <f>_xlfn.XLOOKUP(A89,'Model Modeshare by TAZ'!A:A,'Model Modeshare by TAZ'!D:D)</f>
        <v>NO</v>
      </c>
      <c r="D89" s="6">
        <v>3</v>
      </c>
      <c r="E89" s="6">
        <v>160</v>
      </c>
      <c r="F89" s="6">
        <v>474</v>
      </c>
      <c r="G89" s="6">
        <v>474</v>
      </c>
      <c r="H89" s="6">
        <v>217</v>
      </c>
      <c r="I89" s="6">
        <v>117</v>
      </c>
      <c r="J89" s="6">
        <v>43</v>
      </c>
      <c r="K89" s="40">
        <v>46</v>
      </c>
      <c r="L89" s="40">
        <v>60</v>
      </c>
      <c r="M89" s="40">
        <v>596</v>
      </c>
      <c r="N89" s="40">
        <v>56</v>
      </c>
      <c r="O89" s="40">
        <v>167</v>
      </c>
      <c r="P89" s="40">
        <v>77</v>
      </c>
      <c r="Q89" s="40">
        <v>1</v>
      </c>
      <c r="R89" s="40">
        <v>253</v>
      </c>
      <c r="S89" s="40">
        <v>42</v>
      </c>
    </row>
    <row r="90" spans="1:19" x14ac:dyDescent="0.35">
      <c r="A90" s="38">
        <v>87</v>
      </c>
      <c r="B90" s="38" t="str">
        <f>_xlfn.XLOOKUP(A90,'Model Modeshare by TAZ'!A:A,'Model Modeshare by TAZ'!B:B)</f>
        <v>Cupertino</v>
      </c>
      <c r="C90" s="38" t="str">
        <f>_xlfn.XLOOKUP(A90,'Model Modeshare by TAZ'!A:A,'Model Modeshare by TAZ'!D:D)</f>
        <v>NO</v>
      </c>
      <c r="D90" s="6">
        <v>3</v>
      </c>
      <c r="E90" s="6">
        <v>0</v>
      </c>
      <c r="F90" s="6">
        <v>0</v>
      </c>
      <c r="G90" s="6">
        <v>0</v>
      </c>
      <c r="H90" s="6">
        <v>0</v>
      </c>
      <c r="I90" s="6">
        <v>0</v>
      </c>
      <c r="J90" s="6">
        <v>0</v>
      </c>
      <c r="K90" s="40">
        <v>0</v>
      </c>
      <c r="L90" s="40">
        <v>110</v>
      </c>
      <c r="M90" s="40">
        <v>5300</v>
      </c>
      <c r="N90" s="40">
        <v>250</v>
      </c>
      <c r="O90" s="40">
        <v>812</v>
      </c>
      <c r="P90" s="40">
        <v>877</v>
      </c>
      <c r="Q90" s="40">
        <v>2</v>
      </c>
      <c r="R90" s="40">
        <v>2841</v>
      </c>
      <c r="S90" s="40">
        <v>518</v>
      </c>
    </row>
    <row r="91" spans="1:19" x14ac:dyDescent="0.35">
      <c r="A91" s="38">
        <v>88</v>
      </c>
      <c r="B91" s="38" t="str">
        <f>_xlfn.XLOOKUP(A91,'Model Modeshare by TAZ'!A:A,'Model Modeshare by TAZ'!B:B)</f>
        <v>Cupertino</v>
      </c>
      <c r="C91" s="38" t="str">
        <f>_xlfn.XLOOKUP(A91,'Model Modeshare by TAZ'!A:A,'Model Modeshare by TAZ'!D:D)</f>
        <v>NO</v>
      </c>
      <c r="D91" s="6">
        <v>3</v>
      </c>
      <c r="E91" s="6">
        <v>342</v>
      </c>
      <c r="F91" s="6">
        <v>907</v>
      </c>
      <c r="G91" s="6">
        <v>907</v>
      </c>
      <c r="H91" s="6">
        <v>446</v>
      </c>
      <c r="I91" s="6">
        <v>0</v>
      </c>
      <c r="J91" s="6">
        <v>342</v>
      </c>
      <c r="K91" s="40">
        <v>12</v>
      </c>
      <c r="L91" s="40">
        <v>46</v>
      </c>
      <c r="M91" s="40">
        <v>100</v>
      </c>
      <c r="N91" s="40">
        <v>6</v>
      </c>
      <c r="O91" s="40">
        <v>10</v>
      </c>
      <c r="P91" s="40">
        <v>0</v>
      </c>
      <c r="Q91" s="40">
        <v>0</v>
      </c>
      <c r="R91" s="40">
        <v>68</v>
      </c>
      <c r="S91" s="40">
        <v>14</v>
      </c>
    </row>
    <row r="92" spans="1:19" x14ac:dyDescent="0.35">
      <c r="A92" s="38">
        <v>89</v>
      </c>
      <c r="B92" s="38" t="str">
        <f>_xlfn.XLOOKUP(A92,'Model Modeshare by TAZ'!A:A,'Model Modeshare by TAZ'!B:B)</f>
        <v>Cupertino</v>
      </c>
      <c r="C92" s="38" t="str">
        <f>_xlfn.XLOOKUP(A92,'Model Modeshare by TAZ'!A:A,'Model Modeshare by TAZ'!D:D)</f>
        <v>NO</v>
      </c>
      <c r="D92" s="6">
        <v>3</v>
      </c>
      <c r="E92" s="6">
        <v>486</v>
      </c>
      <c r="F92" s="6">
        <v>1434</v>
      </c>
      <c r="G92" s="6">
        <v>1453</v>
      </c>
      <c r="H92" s="6">
        <v>660</v>
      </c>
      <c r="I92" s="6">
        <v>112</v>
      </c>
      <c r="J92" s="6">
        <v>374</v>
      </c>
      <c r="K92" s="40">
        <v>71</v>
      </c>
      <c r="L92" s="40">
        <v>50</v>
      </c>
      <c r="M92" s="40">
        <v>420</v>
      </c>
      <c r="N92" s="40">
        <v>2</v>
      </c>
      <c r="O92" s="40">
        <v>69</v>
      </c>
      <c r="P92" s="40">
        <v>50</v>
      </c>
      <c r="Q92" s="40">
        <v>0</v>
      </c>
      <c r="R92" s="40">
        <v>259</v>
      </c>
      <c r="S92" s="40">
        <v>40</v>
      </c>
    </row>
    <row r="93" spans="1:19" x14ac:dyDescent="0.35">
      <c r="A93" s="38">
        <v>90</v>
      </c>
      <c r="B93" s="38" t="str">
        <f>_xlfn.XLOOKUP(A93,'Model Modeshare by TAZ'!A:A,'Model Modeshare by TAZ'!B:B)</f>
        <v>Cupertino</v>
      </c>
      <c r="C93" s="38" t="str">
        <f>_xlfn.XLOOKUP(A93,'Model Modeshare by TAZ'!A:A,'Model Modeshare by TAZ'!D:D)</f>
        <v>NO</v>
      </c>
      <c r="D93" s="6">
        <v>3</v>
      </c>
      <c r="E93" s="6">
        <v>217</v>
      </c>
      <c r="F93" s="6">
        <v>590</v>
      </c>
      <c r="G93" s="6">
        <v>591</v>
      </c>
      <c r="H93" s="6">
        <v>265</v>
      </c>
      <c r="I93" s="6">
        <v>217</v>
      </c>
      <c r="J93" s="6">
        <v>0</v>
      </c>
      <c r="K93" s="40">
        <v>48</v>
      </c>
      <c r="L93" s="40">
        <v>2</v>
      </c>
      <c r="M93" s="40">
        <v>0</v>
      </c>
      <c r="N93" s="40">
        <v>0</v>
      </c>
      <c r="O93" s="40">
        <v>0</v>
      </c>
      <c r="P93" s="40">
        <v>0</v>
      </c>
      <c r="Q93" s="40">
        <v>0</v>
      </c>
      <c r="R93" s="40">
        <v>0</v>
      </c>
      <c r="S93" s="40">
        <v>0</v>
      </c>
    </row>
    <row r="94" spans="1:19" x14ac:dyDescent="0.35">
      <c r="A94" s="38">
        <v>91</v>
      </c>
      <c r="B94" s="38" t="str">
        <f>_xlfn.XLOOKUP(A94,'Model Modeshare by TAZ'!A:A,'Model Modeshare by TAZ'!B:B)</f>
        <v>Cupertino</v>
      </c>
      <c r="C94" s="38" t="str">
        <f>_xlfn.XLOOKUP(A94,'Model Modeshare by TAZ'!A:A,'Model Modeshare by TAZ'!D:D)</f>
        <v>NO</v>
      </c>
      <c r="D94" s="6">
        <v>3</v>
      </c>
      <c r="E94" s="6">
        <v>257</v>
      </c>
      <c r="F94" s="6">
        <v>761</v>
      </c>
      <c r="G94" s="6">
        <v>766</v>
      </c>
      <c r="H94" s="6">
        <v>351</v>
      </c>
      <c r="I94" s="6">
        <v>179</v>
      </c>
      <c r="J94" s="6">
        <v>78</v>
      </c>
      <c r="K94" s="40">
        <v>40</v>
      </c>
      <c r="L94" s="40">
        <v>46</v>
      </c>
      <c r="M94" s="40">
        <v>773</v>
      </c>
      <c r="N94" s="40">
        <v>21</v>
      </c>
      <c r="O94" s="40">
        <v>159</v>
      </c>
      <c r="P94" s="40">
        <v>76</v>
      </c>
      <c r="Q94" s="40">
        <v>6</v>
      </c>
      <c r="R94" s="40">
        <v>503</v>
      </c>
      <c r="S94" s="40">
        <v>8</v>
      </c>
    </row>
    <row r="95" spans="1:19" x14ac:dyDescent="0.35">
      <c r="A95" s="38">
        <v>92</v>
      </c>
      <c r="B95" s="38" t="str">
        <f>_xlfn.XLOOKUP(A95,'Model Modeshare by TAZ'!A:A,'Model Modeshare by TAZ'!B:B)</f>
        <v>Cupertino</v>
      </c>
      <c r="C95" s="38" t="str">
        <f>_xlfn.XLOOKUP(A95,'Model Modeshare by TAZ'!A:A,'Model Modeshare by TAZ'!D:D)</f>
        <v>NO</v>
      </c>
      <c r="D95" s="6">
        <v>3</v>
      </c>
      <c r="E95" s="6">
        <v>673</v>
      </c>
      <c r="F95" s="6">
        <v>1998</v>
      </c>
      <c r="G95" s="6">
        <v>2001</v>
      </c>
      <c r="H95" s="6">
        <v>917</v>
      </c>
      <c r="I95" s="6">
        <v>533</v>
      </c>
      <c r="J95" s="6">
        <v>140</v>
      </c>
      <c r="K95" s="40">
        <v>41</v>
      </c>
      <c r="L95" s="40">
        <v>4</v>
      </c>
      <c r="M95" s="40">
        <v>0</v>
      </c>
      <c r="N95" s="40">
        <v>0</v>
      </c>
      <c r="O95" s="40">
        <v>0</v>
      </c>
      <c r="P95" s="40">
        <v>0</v>
      </c>
      <c r="Q95" s="40">
        <v>0</v>
      </c>
      <c r="R95" s="40">
        <v>0</v>
      </c>
      <c r="S95" s="40">
        <v>0</v>
      </c>
    </row>
    <row r="96" spans="1:19" x14ac:dyDescent="0.35">
      <c r="A96" s="38">
        <v>93</v>
      </c>
      <c r="B96" s="38" t="str">
        <f>_xlfn.XLOOKUP(A96,'Model Modeshare by TAZ'!A:A,'Model Modeshare by TAZ'!B:B)</f>
        <v>Cupertino</v>
      </c>
      <c r="C96" s="38" t="str">
        <f>_xlfn.XLOOKUP(A96,'Model Modeshare by TAZ'!A:A,'Model Modeshare by TAZ'!D:D)</f>
        <v>NO</v>
      </c>
      <c r="D96" s="6">
        <v>3</v>
      </c>
      <c r="E96" s="6">
        <v>417</v>
      </c>
      <c r="F96" s="6">
        <v>1239</v>
      </c>
      <c r="G96" s="6">
        <v>1239</v>
      </c>
      <c r="H96" s="6">
        <v>570</v>
      </c>
      <c r="I96" s="6">
        <v>279</v>
      </c>
      <c r="J96" s="6">
        <v>138</v>
      </c>
      <c r="K96" s="40">
        <v>72</v>
      </c>
      <c r="L96" s="40">
        <v>73</v>
      </c>
      <c r="M96" s="40">
        <v>4451</v>
      </c>
      <c r="N96" s="40">
        <v>555</v>
      </c>
      <c r="O96" s="40">
        <v>1023</v>
      </c>
      <c r="P96" s="40">
        <v>489</v>
      </c>
      <c r="Q96" s="40">
        <v>11</v>
      </c>
      <c r="R96" s="40">
        <v>2074</v>
      </c>
      <c r="S96" s="40">
        <v>299</v>
      </c>
    </row>
    <row r="97" spans="1:19" x14ac:dyDescent="0.35">
      <c r="A97" s="38">
        <v>94</v>
      </c>
      <c r="B97" s="38" t="str">
        <f>_xlfn.XLOOKUP(A97,'Model Modeshare by TAZ'!A:A,'Model Modeshare by TAZ'!B:B)</f>
        <v>Cupertino</v>
      </c>
      <c r="C97" s="38" t="str">
        <f>_xlfn.XLOOKUP(A97,'Model Modeshare by TAZ'!A:A,'Model Modeshare by TAZ'!D:D)</f>
        <v>NO</v>
      </c>
      <c r="D97" s="6">
        <v>3</v>
      </c>
      <c r="E97" s="6">
        <v>588</v>
      </c>
      <c r="F97" s="6">
        <v>1744</v>
      </c>
      <c r="G97" s="6">
        <v>1748</v>
      </c>
      <c r="H97" s="6">
        <v>804</v>
      </c>
      <c r="I97" s="6">
        <v>472</v>
      </c>
      <c r="J97" s="6">
        <v>116</v>
      </c>
      <c r="K97" s="40">
        <v>109</v>
      </c>
      <c r="L97" s="40">
        <v>99</v>
      </c>
      <c r="M97" s="40">
        <v>450</v>
      </c>
      <c r="N97" s="40">
        <v>258</v>
      </c>
      <c r="O97" s="40">
        <v>35</v>
      </c>
      <c r="P97" s="40">
        <v>19</v>
      </c>
      <c r="Q97" s="40">
        <v>2</v>
      </c>
      <c r="R97" s="40">
        <v>132</v>
      </c>
      <c r="S97" s="40">
        <v>4</v>
      </c>
    </row>
    <row r="98" spans="1:19" x14ac:dyDescent="0.35">
      <c r="A98" s="38">
        <v>95</v>
      </c>
      <c r="B98" s="38" t="str">
        <f>_xlfn.XLOOKUP(A98,'Model Modeshare by TAZ'!A:A,'Model Modeshare by TAZ'!B:B)</f>
        <v>Santa Clara</v>
      </c>
      <c r="C98" s="38" t="str">
        <f>_xlfn.XLOOKUP(A98,'Model Modeshare by TAZ'!A:A,'Model Modeshare by TAZ'!D:D)</f>
        <v>NO</v>
      </c>
      <c r="D98" s="6">
        <v>3</v>
      </c>
      <c r="E98" s="6">
        <v>420</v>
      </c>
      <c r="F98" s="6">
        <v>1116</v>
      </c>
      <c r="G98" s="6">
        <v>1117</v>
      </c>
      <c r="H98" s="6">
        <v>548</v>
      </c>
      <c r="I98" s="6">
        <v>212</v>
      </c>
      <c r="J98" s="6">
        <v>208</v>
      </c>
      <c r="K98" s="40">
        <v>48</v>
      </c>
      <c r="L98" s="40">
        <v>74</v>
      </c>
      <c r="M98" s="40">
        <v>2374</v>
      </c>
      <c r="N98" s="40">
        <v>54</v>
      </c>
      <c r="O98" s="40">
        <v>212</v>
      </c>
      <c r="P98" s="40">
        <v>1639</v>
      </c>
      <c r="Q98" s="40">
        <v>5</v>
      </c>
      <c r="R98" s="40">
        <v>385</v>
      </c>
      <c r="S98" s="40">
        <v>79</v>
      </c>
    </row>
    <row r="99" spans="1:19" x14ac:dyDescent="0.35">
      <c r="A99" s="38">
        <v>96</v>
      </c>
      <c r="B99" s="38" t="str">
        <f>_xlfn.XLOOKUP(A99,'Model Modeshare by TAZ'!A:A,'Model Modeshare by TAZ'!B:B)</f>
        <v>Santa Clara</v>
      </c>
      <c r="C99" s="38" t="str">
        <f>_xlfn.XLOOKUP(A99,'Model Modeshare by TAZ'!A:A,'Model Modeshare by TAZ'!D:D)</f>
        <v>NO</v>
      </c>
      <c r="D99" s="6">
        <v>3</v>
      </c>
      <c r="E99" s="6">
        <v>420</v>
      </c>
      <c r="F99" s="6">
        <v>1115</v>
      </c>
      <c r="G99" s="6">
        <v>1116</v>
      </c>
      <c r="H99" s="6">
        <v>548</v>
      </c>
      <c r="I99" s="6">
        <v>213</v>
      </c>
      <c r="J99" s="6">
        <v>207</v>
      </c>
      <c r="K99" s="40">
        <v>89</v>
      </c>
      <c r="L99" s="40">
        <v>90</v>
      </c>
      <c r="M99" s="40">
        <v>1840</v>
      </c>
      <c r="N99" s="40">
        <v>115</v>
      </c>
      <c r="O99" s="40">
        <v>196</v>
      </c>
      <c r="P99" s="40">
        <v>0</v>
      </c>
      <c r="Q99" s="40">
        <v>4</v>
      </c>
      <c r="R99" s="40">
        <v>1263</v>
      </c>
      <c r="S99" s="40">
        <v>262</v>
      </c>
    </row>
    <row r="100" spans="1:19" x14ac:dyDescent="0.35">
      <c r="A100" s="38">
        <v>97</v>
      </c>
      <c r="B100" s="38" t="str">
        <f>_xlfn.XLOOKUP(A100,'Model Modeshare by TAZ'!A:A,'Model Modeshare by TAZ'!B:B)</f>
        <v>Cupertino</v>
      </c>
      <c r="C100" s="38" t="str">
        <f>_xlfn.XLOOKUP(A100,'Model Modeshare by TAZ'!A:A,'Model Modeshare by TAZ'!D:D)</f>
        <v>NO</v>
      </c>
      <c r="D100" s="6">
        <v>3</v>
      </c>
      <c r="E100" s="6">
        <v>311</v>
      </c>
      <c r="F100" s="6">
        <v>830</v>
      </c>
      <c r="G100" s="6">
        <v>830</v>
      </c>
      <c r="H100" s="6">
        <v>407</v>
      </c>
      <c r="I100" s="6">
        <v>0</v>
      </c>
      <c r="J100" s="6">
        <v>311</v>
      </c>
      <c r="K100" s="40">
        <v>7</v>
      </c>
      <c r="L100" s="40">
        <v>118</v>
      </c>
      <c r="M100" s="40">
        <v>4865</v>
      </c>
      <c r="N100" s="40">
        <v>865</v>
      </c>
      <c r="O100" s="40">
        <v>1195</v>
      </c>
      <c r="P100" s="40">
        <v>140</v>
      </c>
      <c r="Q100" s="40">
        <v>10</v>
      </c>
      <c r="R100" s="40">
        <v>2225</v>
      </c>
      <c r="S100" s="40">
        <v>430</v>
      </c>
    </row>
    <row r="101" spans="1:19" x14ac:dyDescent="0.35">
      <c r="A101" s="38">
        <v>98</v>
      </c>
      <c r="B101" s="38" t="str">
        <f>_xlfn.XLOOKUP(A101,'Model Modeshare by TAZ'!A:A,'Model Modeshare by TAZ'!B:B)</f>
        <v>Cupertino</v>
      </c>
      <c r="C101" s="38" t="str">
        <f>_xlfn.XLOOKUP(A101,'Model Modeshare by TAZ'!A:A,'Model Modeshare by TAZ'!D:D)</f>
        <v>NO</v>
      </c>
      <c r="D101" s="6">
        <v>3</v>
      </c>
      <c r="E101" s="6">
        <v>494</v>
      </c>
      <c r="F101" s="6">
        <v>1330</v>
      </c>
      <c r="G101" s="6">
        <v>1331</v>
      </c>
      <c r="H101" s="6">
        <v>609</v>
      </c>
      <c r="I101" s="6">
        <v>96</v>
      </c>
      <c r="J101" s="6">
        <v>398</v>
      </c>
      <c r="K101" s="40">
        <v>42</v>
      </c>
      <c r="L101" s="40">
        <v>26</v>
      </c>
      <c r="M101" s="40">
        <v>469</v>
      </c>
      <c r="N101" s="40">
        <v>193</v>
      </c>
      <c r="O101" s="40">
        <v>113</v>
      </c>
      <c r="P101" s="40">
        <v>13</v>
      </c>
      <c r="Q101" s="40">
        <v>1</v>
      </c>
      <c r="R101" s="40">
        <v>120</v>
      </c>
      <c r="S101" s="40">
        <v>29</v>
      </c>
    </row>
    <row r="102" spans="1:19" x14ac:dyDescent="0.35">
      <c r="A102" s="38">
        <v>99</v>
      </c>
      <c r="B102" s="38" t="str">
        <f>_xlfn.XLOOKUP(A102,'Model Modeshare by TAZ'!A:A,'Model Modeshare by TAZ'!B:B)</f>
        <v>Sunnyvale</v>
      </c>
      <c r="C102" s="38" t="str">
        <f>_xlfn.XLOOKUP(A102,'Model Modeshare by TAZ'!A:A,'Model Modeshare by TAZ'!D:D)</f>
        <v>NO</v>
      </c>
      <c r="D102" s="6">
        <v>3</v>
      </c>
      <c r="E102" s="6">
        <v>539</v>
      </c>
      <c r="F102" s="6">
        <v>1448</v>
      </c>
      <c r="G102" s="6">
        <v>1453</v>
      </c>
      <c r="H102" s="6">
        <v>665</v>
      </c>
      <c r="I102" s="6">
        <v>415</v>
      </c>
      <c r="J102" s="6">
        <v>124</v>
      </c>
      <c r="K102" s="40">
        <v>99</v>
      </c>
      <c r="L102" s="40">
        <v>7</v>
      </c>
      <c r="M102" s="40">
        <v>137</v>
      </c>
      <c r="N102" s="40">
        <v>13</v>
      </c>
      <c r="O102" s="40">
        <v>38</v>
      </c>
      <c r="P102" s="40">
        <v>18</v>
      </c>
      <c r="Q102" s="40">
        <v>0</v>
      </c>
      <c r="R102" s="40">
        <v>58</v>
      </c>
      <c r="S102" s="40">
        <v>10</v>
      </c>
    </row>
    <row r="103" spans="1:19" x14ac:dyDescent="0.35">
      <c r="A103" s="38">
        <v>100</v>
      </c>
      <c r="B103" s="38" t="str">
        <f>_xlfn.XLOOKUP(A103,'Model Modeshare by TAZ'!A:A,'Model Modeshare by TAZ'!B:B)</f>
        <v>Cupertino</v>
      </c>
      <c r="C103" s="38" t="str">
        <f>_xlfn.XLOOKUP(A103,'Model Modeshare by TAZ'!A:A,'Model Modeshare by TAZ'!D:D)</f>
        <v>NO</v>
      </c>
      <c r="D103" s="6">
        <v>3</v>
      </c>
      <c r="E103" s="6">
        <v>103</v>
      </c>
      <c r="F103" s="6">
        <v>277</v>
      </c>
      <c r="G103" s="6">
        <v>278</v>
      </c>
      <c r="H103" s="6">
        <v>127</v>
      </c>
      <c r="I103" s="6">
        <v>81</v>
      </c>
      <c r="J103" s="6">
        <v>22</v>
      </c>
      <c r="K103" s="40">
        <v>46</v>
      </c>
      <c r="L103" s="40">
        <v>1</v>
      </c>
      <c r="M103" s="40">
        <v>0</v>
      </c>
      <c r="N103" s="40">
        <v>0</v>
      </c>
      <c r="O103" s="40">
        <v>0</v>
      </c>
      <c r="P103" s="40">
        <v>0</v>
      </c>
      <c r="Q103" s="40">
        <v>0</v>
      </c>
      <c r="R103" s="40">
        <v>0</v>
      </c>
      <c r="S103" s="40">
        <v>0</v>
      </c>
    </row>
    <row r="104" spans="1:19" x14ac:dyDescent="0.35">
      <c r="A104" s="38">
        <v>101</v>
      </c>
      <c r="B104" s="38" t="str">
        <f>_xlfn.XLOOKUP(A104,'Model Modeshare by TAZ'!A:A,'Model Modeshare by TAZ'!B:B)</f>
        <v>Cupertino</v>
      </c>
      <c r="C104" s="38" t="str">
        <f>_xlfn.XLOOKUP(A104,'Model Modeshare by TAZ'!A:A,'Model Modeshare by TAZ'!D:D)</f>
        <v>NO</v>
      </c>
      <c r="D104" s="6">
        <v>3</v>
      </c>
      <c r="E104" s="6">
        <v>117</v>
      </c>
      <c r="F104" s="6">
        <v>316</v>
      </c>
      <c r="G104" s="6">
        <v>316</v>
      </c>
      <c r="H104" s="6">
        <v>144</v>
      </c>
      <c r="I104" s="6">
        <v>33</v>
      </c>
      <c r="J104" s="6">
        <v>84</v>
      </c>
      <c r="K104" s="40">
        <v>20</v>
      </c>
      <c r="L104" s="40">
        <v>23</v>
      </c>
      <c r="M104" s="40">
        <v>283</v>
      </c>
      <c r="N104" s="40">
        <v>0</v>
      </c>
      <c r="O104" s="40">
        <v>0</v>
      </c>
      <c r="P104" s="40">
        <v>0</v>
      </c>
      <c r="Q104" s="40">
        <v>2</v>
      </c>
      <c r="R104" s="40">
        <v>229</v>
      </c>
      <c r="S104" s="40">
        <v>52</v>
      </c>
    </row>
    <row r="105" spans="1:19" x14ac:dyDescent="0.35">
      <c r="A105" s="38">
        <v>102</v>
      </c>
      <c r="B105" s="38" t="str">
        <f>_xlfn.XLOOKUP(A105,'Model Modeshare by TAZ'!A:A,'Model Modeshare by TAZ'!B:B)</f>
        <v>Cupertino</v>
      </c>
      <c r="C105" s="38" t="str">
        <f>_xlfn.XLOOKUP(A105,'Model Modeshare by TAZ'!A:A,'Model Modeshare by TAZ'!D:D)</f>
        <v>NO</v>
      </c>
      <c r="D105" s="6">
        <v>3</v>
      </c>
      <c r="E105" s="6">
        <v>278</v>
      </c>
      <c r="F105" s="6">
        <v>749</v>
      </c>
      <c r="G105" s="6">
        <v>749</v>
      </c>
      <c r="H105" s="6">
        <v>343</v>
      </c>
      <c r="I105" s="6">
        <v>221</v>
      </c>
      <c r="J105" s="6">
        <v>57</v>
      </c>
      <c r="K105" s="40">
        <v>68</v>
      </c>
      <c r="L105" s="40">
        <v>4</v>
      </c>
      <c r="M105" s="40">
        <v>55</v>
      </c>
      <c r="N105" s="40">
        <v>2</v>
      </c>
      <c r="O105" s="40">
        <v>29</v>
      </c>
      <c r="P105" s="40">
        <v>0</v>
      </c>
      <c r="Q105" s="40">
        <v>1</v>
      </c>
      <c r="R105" s="40">
        <v>21</v>
      </c>
      <c r="S105" s="40">
        <v>2</v>
      </c>
    </row>
    <row r="106" spans="1:19" x14ac:dyDescent="0.35">
      <c r="A106" s="38">
        <v>103</v>
      </c>
      <c r="B106" s="38" t="str">
        <f>_xlfn.XLOOKUP(A106,'Model Modeshare by TAZ'!A:A,'Model Modeshare by TAZ'!B:B)</f>
        <v>Cupertino</v>
      </c>
      <c r="C106" s="38" t="str">
        <f>_xlfn.XLOOKUP(A106,'Model Modeshare by TAZ'!A:A,'Model Modeshare by TAZ'!D:D)</f>
        <v>NO</v>
      </c>
      <c r="D106" s="6">
        <v>3</v>
      </c>
      <c r="E106" s="6">
        <v>193</v>
      </c>
      <c r="F106" s="6">
        <v>509</v>
      </c>
      <c r="G106" s="6">
        <v>530</v>
      </c>
      <c r="H106" s="6">
        <v>256</v>
      </c>
      <c r="I106" s="6">
        <v>178</v>
      </c>
      <c r="J106" s="6">
        <v>15</v>
      </c>
      <c r="K106" s="40">
        <v>96</v>
      </c>
      <c r="L106" s="40">
        <v>88</v>
      </c>
      <c r="M106" s="40">
        <v>77</v>
      </c>
      <c r="N106" s="40">
        <v>0</v>
      </c>
      <c r="O106" s="40">
        <v>47</v>
      </c>
      <c r="P106" s="40">
        <v>3</v>
      </c>
      <c r="Q106" s="40">
        <v>0</v>
      </c>
      <c r="R106" s="40">
        <v>27</v>
      </c>
      <c r="S106" s="40">
        <v>0</v>
      </c>
    </row>
    <row r="107" spans="1:19" x14ac:dyDescent="0.35">
      <c r="A107" s="38">
        <v>104</v>
      </c>
      <c r="B107" s="38" t="str">
        <f>_xlfn.XLOOKUP(A107,'Model Modeshare by TAZ'!A:A,'Model Modeshare by TAZ'!B:B)</f>
        <v>Unincorporated</v>
      </c>
      <c r="C107" s="38" t="str">
        <f>_xlfn.XLOOKUP(A107,'Model Modeshare by TAZ'!A:A,'Model Modeshare by TAZ'!D:D)</f>
        <v>NO</v>
      </c>
      <c r="D107" s="6">
        <v>3</v>
      </c>
      <c r="E107" s="6">
        <v>15</v>
      </c>
      <c r="F107" s="6">
        <v>40</v>
      </c>
      <c r="G107" s="6">
        <v>41</v>
      </c>
      <c r="H107" s="6">
        <v>19</v>
      </c>
      <c r="I107" s="6">
        <v>0</v>
      </c>
      <c r="J107" s="6">
        <v>15</v>
      </c>
      <c r="K107" s="40">
        <v>423</v>
      </c>
      <c r="L107" s="40">
        <v>507</v>
      </c>
      <c r="M107" s="40">
        <v>3</v>
      </c>
      <c r="N107" s="40">
        <v>0</v>
      </c>
      <c r="O107" s="40">
        <v>1</v>
      </c>
      <c r="P107" s="40">
        <v>1</v>
      </c>
      <c r="Q107" s="40">
        <v>0</v>
      </c>
      <c r="R107" s="40">
        <v>1</v>
      </c>
      <c r="S107" s="40">
        <v>0</v>
      </c>
    </row>
    <row r="108" spans="1:19" x14ac:dyDescent="0.35">
      <c r="A108" s="38">
        <v>105</v>
      </c>
      <c r="B108" s="38" t="str">
        <f>_xlfn.XLOOKUP(A108,'Model Modeshare by TAZ'!A:A,'Model Modeshare by TAZ'!B:B)</f>
        <v>Cupertino</v>
      </c>
      <c r="C108" s="38" t="str">
        <f>_xlfn.XLOOKUP(A108,'Model Modeshare by TAZ'!A:A,'Model Modeshare by TAZ'!D:D)</f>
        <v>NO</v>
      </c>
      <c r="D108" s="6">
        <v>3</v>
      </c>
      <c r="E108" s="6">
        <v>413</v>
      </c>
      <c r="F108" s="6">
        <v>1240</v>
      </c>
      <c r="G108" s="6">
        <v>1240</v>
      </c>
      <c r="H108" s="6">
        <v>667</v>
      </c>
      <c r="I108" s="6">
        <v>413</v>
      </c>
      <c r="J108" s="6">
        <v>0</v>
      </c>
      <c r="K108" s="40">
        <v>103</v>
      </c>
      <c r="L108" s="40">
        <v>2</v>
      </c>
      <c r="M108" s="40">
        <v>5</v>
      </c>
      <c r="N108" s="40">
        <v>0</v>
      </c>
      <c r="O108" s="40">
        <v>0</v>
      </c>
      <c r="P108" s="40">
        <v>0</v>
      </c>
      <c r="Q108" s="40">
        <v>0</v>
      </c>
      <c r="R108" s="40">
        <v>3</v>
      </c>
      <c r="S108" s="40">
        <v>2</v>
      </c>
    </row>
    <row r="109" spans="1:19" x14ac:dyDescent="0.35">
      <c r="A109" s="38">
        <v>106</v>
      </c>
      <c r="B109" s="38" t="str">
        <f>_xlfn.XLOOKUP(A109,'Model Modeshare by TAZ'!A:A,'Model Modeshare by TAZ'!B:B)</f>
        <v>Cupertino</v>
      </c>
      <c r="C109" s="38" t="str">
        <f>_xlfn.XLOOKUP(A109,'Model Modeshare by TAZ'!A:A,'Model Modeshare by TAZ'!D:D)</f>
        <v>NO</v>
      </c>
      <c r="D109" s="6">
        <v>3</v>
      </c>
      <c r="E109" s="6">
        <v>278</v>
      </c>
      <c r="F109" s="6">
        <v>818</v>
      </c>
      <c r="G109" s="6">
        <v>819</v>
      </c>
      <c r="H109" s="6">
        <v>376</v>
      </c>
      <c r="I109" s="6">
        <v>258</v>
      </c>
      <c r="J109" s="6">
        <v>20</v>
      </c>
      <c r="K109" s="40">
        <v>54</v>
      </c>
      <c r="L109" s="40">
        <v>21</v>
      </c>
      <c r="M109" s="40">
        <v>52</v>
      </c>
      <c r="N109" s="40">
        <v>0</v>
      </c>
      <c r="O109" s="40">
        <v>0</v>
      </c>
      <c r="P109" s="40">
        <v>26</v>
      </c>
      <c r="Q109" s="40">
        <v>0</v>
      </c>
      <c r="R109" s="40">
        <v>20</v>
      </c>
      <c r="S109" s="40">
        <v>6</v>
      </c>
    </row>
    <row r="110" spans="1:19" x14ac:dyDescent="0.35">
      <c r="A110" s="38">
        <v>107</v>
      </c>
      <c r="B110" s="38" t="str">
        <f>_xlfn.XLOOKUP(A110,'Model Modeshare by TAZ'!A:A,'Model Modeshare by TAZ'!B:B)</f>
        <v>Cupertino</v>
      </c>
      <c r="C110" s="38" t="str">
        <f>_xlfn.XLOOKUP(A110,'Model Modeshare by TAZ'!A:A,'Model Modeshare by TAZ'!D:D)</f>
        <v>NO</v>
      </c>
      <c r="D110" s="6">
        <v>3</v>
      </c>
      <c r="E110" s="6">
        <v>837</v>
      </c>
      <c r="F110" s="6">
        <v>2475</v>
      </c>
      <c r="G110" s="6">
        <v>2478</v>
      </c>
      <c r="H110" s="6">
        <v>1242</v>
      </c>
      <c r="I110" s="6">
        <v>791</v>
      </c>
      <c r="J110" s="6">
        <v>46</v>
      </c>
      <c r="K110" s="40">
        <v>152</v>
      </c>
      <c r="L110" s="40">
        <v>29</v>
      </c>
      <c r="M110" s="40">
        <v>85</v>
      </c>
      <c r="N110" s="40">
        <v>2</v>
      </c>
      <c r="O110" s="40">
        <v>16</v>
      </c>
      <c r="P110" s="40">
        <v>1</v>
      </c>
      <c r="Q110" s="40">
        <v>0</v>
      </c>
      <c r="R110" s="40">
        <v>57</v>
      </c>
      <c r="S110" s="40">
        <v>9</v>
      </c>
    </row>
    <row r="111" spans="1:19" x14ac:dyDescent="0.35">
      <c r="A111" s="38">
        <v>108</v>
      </c>
      <c r="B111" s="38" t="str">
        <f>_xlfn.XLOOKUP(A111,'Model Modeshare by TAZ'!A:A,'Model Modeshare by TAZ'!B:B)</f>
        <v>Cupertino</v>
      </c>
      <c r="C111" s="38" t="str">
        <f>_xlfn.XLOOKUP(A111,'Model Modeshare by TAZ'!A:A,'Model Modeshare by TAZ'!D:D)</f>
        <v>NO</v>
      </c>
      <c r="D111" s="6">
        <v>3</v>
      </c>
      <c r="E111" s="6">
        <v>719</v>
      </c>
      <c r="F111" s="6">
        <v>2119</v>
      </c>
      <c r="G111" s="6">
        <v>2124</v>
      </c>
      <c r="H111" s="6">
        <v>1136</v>
      </c>
      <c r="I111" s="6">
        <v>719</v>
      </c>
      <c r="J111" s="6">
        <v>0</v>
      </c>
      <c r="K111" s="40">
        <v>161</v>
      </c>
      <c r="L111" s="40">
        <v>1</v>
      </c>
      <c r="M111" s="40">
        <v>10</v>
      </c>
      <c r="N111" s="40">
        <v>0</v>
      </c>
      <c r="O111" s="40">
        <v>1</v>
      </c>
      <c r="P111" s="40">
        <v>0</v>
      </c>
      <c r="Q111" s="40">
        <v>0</v>
      </c>
      <c r="R111" s="40">
        <v>8</v>
      </c>
      <c r="S111" s="40">
        <v>1</v>
      </c>
    </row>
    <row r="112" spans="1:19" x14ac:dyDescent="0.35">
      <c r="A112" s="38">
        <v>109</v>
      </c>
      <c r="B112" s="38" t="str">
        <f>_xlfn.XLOOKUP(A112,'Model Modeshare by TAZ'!A:A,'Model Modeshare by TAZ'!B:B)</f>
        <v>Cupertino</v>
      </c>
      <c r="C112" s="38" t="str">
        <f>_xlfn.XLOOKUP(A112,'Model Modeshare by TAZ'!A:A,'Model Modeshare by TAZ'!D:D)</f>
        <v>NO</v>
      </c>
      <c r="D112" s="6">
        <v>3</v>
      </c>
      <c r="E112" s="6">
        <v>389</v>
      </c>
      <c r="F112" s="6">
        <v>1057</v>
      </c>
      <c r="G112" s="6">
        <v>1067</v>
      </c>
      <c r="H112" s="6">
        <v>475</v>
      </c>
      <c r="I112" s="6">
        <v>258</v>
      </c>
      <c r="J112" s="6">
        <v>131</v>
      </c>
      <c r="K112" s="40">
        <v>69</v>
      </c>
      <c r="L112" s="40">
        <v>11</v>
      </c>
      <c r="M112" s="40">
        <v>2</v>
      </c>
      <c r="N112" s="40">
        <v>0</v>
      </c>
      <c r="O112" s="40">
        <v>0</v>
      </c>
      <c r="P112" s="40">
        <v>0</v>
      </c>
      <c r="Q112" s="40">
        <v>0</v>
      </c>
      <c r="R112" s="40">
        <v>2</v>
      </c>
      <c r="S112" s="40">
        <v>0</v>
      </c>
    </row>
    <row r="113" spans="1:19" x14ac:dyDescent="0.35">
      <c r="A113" s="38">
        <v>110</v>
      </c>
      <c r="B113" s="38" t="str">
        <f>_xlfn.XLOOKUP(A113,'Model Modeshare by TAZ'!A:A,'Model Modeshare by TAZ'!B:B)</f>
        <v>Cupertino</v>
      </c>
      <c r="C113" s="38" t="str">
        <f>_xlfn.XLOOKUP(A113,'Model Modeshare by TAZ'!A:A,'Model Modeshare by TAZ'!D:D)</f>
        <v>NO</v>
      </c>
      <c r="D113" s="6">
        <v>3</v>
      </c>
      <c r="E113" s="6">
        <v>1190</v>
      </c>
      <c r="F113" s="6">
        <v>3225</v>
      </c>
      <c r="G113" s="6">
        <v>3231</v>
      </c>
      <c r="H113" s="6">
        <v>1450</v>
      </c>
      <c r="I113" s="6">
        <v>394</v>
      </c>
      <c r="J113" s="6">
        <v>796</v>
      </c>
      <c r="K113" s="40">
        <v>88</v>
      </c>
      <c r="L113" s="40">
        <v>66</v>
      </c>
      <c r="M113" s="40">
        <v>4464</v>
      </c>
      <c r="N113" s="40">
        <v>726</v>
      </c>
      <c r="O113" s="40">
        <v>1840</v>
      </c>
      <c r="P113" s="40">
        <v>585</v>
      </c>
      <c r="Q113" s="40">
        <v>2</v>
      </c>
      <c r="R113" s="40">
        <v>1112</v>
      </c>
      <c r="S113" s="40">
        <v>199</v>
      </c>
    </row>
    <row r="114" spans="1:19" x14ac:dyDescent="0.35">
      <c r="A114" s="38">
        <v>111</v>
      </c>
      <c r="B114" s="38" t="str">
        <f>_xlfn.XLOOKUP(A114,'Model Modeshare by TAZ'!A:A,'Model Modeshare by TAZ'!B:B)</f>
        <v>Cupertino</v>
      </c>
      <c r="C114" s="38" t="str">
        <f>_xlfn.XLOOKUP(A114,'Model Modeshare by TAZ'!A:A,'Model Modeshare by TAZ'!D:D)</f>
        <v>NO</v>
      </c>
      <c r="D114" s="6">
        <v>3</v>
      </c>
      <c r="E114" s="6">
        <v>246</v>
      </c>
      <c r="F114" s="6">
        <v>666</v>
      </c>
      <c r="G114" s="6">
        <v>668</v>
      </c>
      <c r="H114" s="6">
        <v>294</v>
      </c>
      <c r="I114" s="6">
        <v>240</v>
      </c>
      <c r="J114" s="6">
        <v>6</v>
      </c>
      <c r="K114" s="40">
        <v>68</v>
      </c>
      <c r="L114" s="40">
        <v>32</v>
      </c>
      <c r="M114" s="40">
        <v>381</v>
      </c>
      <c r="N114" s="40">
        <v>223</v>
      </c>
      <c r="O114" s="40">
        <v>47</v>
      </c>
      <c r="P114" s="40">
        <v>95</v>
      </c>
      <c r="Q114" s="40">
        <v>0</v>
      </c>
      <c r="R114" s="40">
        <v>7</v>
      </c>
      <c r="S114" s="40">
        <v>9</v>
      </c>
    </row>
    <row r="115" spans="1:19" x14ac:dyDescent="0.35">
      <c r="A115" s="38">
        <v>112</v>
      </c>
      <c r="B115" s="38" t="str">
        <f>_xlfn.XLOOKUP(A115,'Model Modeshare by TAZ'!A:A,'Model Modeshare by TAZ'!B:B)</f>
        <v>Cupertino</v>
      </c>
      <c r="C115" s="38" t="str">
        <f>_xlfn.XLOOKUP(A115,'Model Modeshare by TAZ'!A:A,'Model Modeshare by TAZ'!D:D)</f>
        <v>NO</v>
      </c>
      <c r="D115" s="6">
        <v>3</v>
      </c>
      <c r="E115" s="6">
        <v>594</v>
      </c>
      <c r="F115" s="6">
        <v>1612</v>
      </c>
      <c r="G115" s="6">
        <v>1615</v>
      </c>
      <c r="H115" s="6">
        <v>723</v>
      </c>
      <c r="I115" s="6">
        <v>588</v>
      </c>
      <c r="J115" s="6">
        <v>6</v>
      </c>
      <c r="K115" s="40">
        <v>124</v>
      </c>
      <c r="L115" s="40">
        <v>32</v>
      </c>
      <c r="M115" s="40">
        <v>486</v>
      </c>
      <c r="N115" s="40">
        <v>388</v>
      </c>
      <c r="O115" s="40">
        <v>40</v>
      </c>
      <c r="P115" s="40">
        <v>2</v>
      </c>
      <c r="Q115" s="40">
        <v>2</v>
      </c>
      <c r="R115" s="40">
        <v>51</v>
      </c>
      <c r="S115" s="40">
        <v>3</v>
      </c>
    </row>
    <row r="116" spans="1:19" x14ac:dyDescent="0.35">
      <c r="A116" s="38">
        <v>113</v>
      </c>
      <c r="B116" s="38" t="str">
        <f>_xlfn.XLOOKUP(A116,'Model Modeshare by TAZ'!A:A,'Model Modeshare by TAZ'!B:B)</f>
        <v>Cupertino</v>
      </c>
      <c r="C116" s="38" t="str">
        <f>_xlfn.XLOOKUP(A116,'Model Modeshare by TAZ'!A:A,'Model Modeshare by TAZ'!D:D)</f>
        <v>NO</v>
      </c>
      <c r="D116" s="6">
        <v>3</v>
      </c>
      <c r="E116" s="6">
        <v>445</v>
      </c>
      <c r="F116" s="6">
        <v>1330</v>
      </c>
      <c r="G116" s="6">
        <v>1330</v>
      </c>
      <c r="H116" s="6">
        <v>688</v>
      </c>
      <c r="I116" s="6">
        <v>377</v>
      </c>
      <c r="J116" s="6">
        <v>68</v>
      </c>
      <c r="K116" s="40">
        <v>121</v>
      </c>
      <c r="L116" s="40">
        <v>37</v>
      </c>
      <c r="M116" s="40">
        <v>1060</v>
      </c>
      <c r="N116" s="40">
        <v>630</v>
      </c>
      <c r="O116" s="40">
        <v>331</v>
      </c>
      <c r="P116" s="40">
        <v>51</v>
      </c>
      <c r="Q116" s="40">
        <v>8</v>
      </c>
      <c r="R116" s="40">
        <v>36</v>
      </c>
      <c r="S116" s="40">
        <v>4</v>
      </c>
    </row>
    <row r="117" spans="1:19" x14ac:dyDescent="0.35">
      <c r="A117" s="38">
        <v>114</v>
      </c>
      <c r="B117" s="38" t="str">
        <f>_xlfn.XLOOKUP(A117,'Model Modeshare by TAZ'!A:A,'Model Modeshare by TAZ'!B:B)</f>
        <v>Cupertino</v>
      </c>
      <c r="C117" s="38" t="str">
        <f>_xlfn.XLOOKUP(A117,'Model Modeshare by TAZ'!A:A,'Model Modeshare by TAZ'!D:D)</f>
        <v>NO</v>
      </c>
      <c r="D117" s="6">
        <v>3</v>
      </c>
      <c r="E117" s="6">
        <v>0</v>
      </c>
      <c r="F117" s="6">
        <v>0</v>
      </c>
      <c r="G117" s="6">
        <v>0</v>
      </c>
      <c r="H117" s="6">
        <v>0</v>
      </c>
      <c r="I117" s="6">
        <v>0</v>
      </c>
      <c r="J117" s="6">
        <v>0</v>
      </c>
      <c r="K117" s="40">
        <v>20</v>
      </c>
      <c r="L117" s="40">
        <v>61</v>
      </c>
      <c r="M117" s="40">
        <v>935</v>
      </c>
      <c r="N117" s="40">
        <v>0</v>
      </c>
      <c r="O117" s="40">
        <v>0</v>
      </c>
      <c r="P117" s="40">
        <v>931</v>
      </c>
      <c r="Q117" s="40">
        <v>4</v>
      </c>
      <c r="R117" s="40">
        <v>0</v>
      </c>
      <c r="S117" s="40">
        <v>0</v>
      </c>
    </row>
    <row r="118" spans="1:19" x14ac:dyDescent="0.35">
      <c r="A118" s="38">
        <v>115</v>
      </c>
      <c r="B118" s="38" t="str">
        <f>_xlfn.XLOOKUP(A118,'Model Modeshare by TAZ'!A:A,'Model Modeshare by TAZ'!B:B)</f>
        <v>Cupertino</v>
      </c>
      <c r="C118" s="38" t="str">
        <f>_xlfn.XLOOKUP(A118,'Model Modeshare by TAZ'!A:A,'Model Modeshare by TAZ'!D:D)</f>
        <v>NO</v>
      </c>
      <c r="D118" s="6">
        <v>3</v>
      </c>
      <c r="E118" s="6">
        <v>1</v>
      </c>
      <c r="F118" s="6">
        <v>3</v>
      </c>
      <c r="G118" s="6">
        <v>3</v>
      </c>
      <c r="H118" s="6">
        <v>1</v>
      </c>
      <c r="I118" s="6">
        <v>1</v>
      </c>
      <c r="J118" s="6">
        <v>0</v>
      </c>
      <c r="K118" s="40">
        <v>2</v>
      </c>
      <c r="L118" s="40">
        <v>48</v>
      </c>
      <c r="M118" s="40">
        <v>1448</v>
      </c>
      <c r="N118" s="40">
        <v>51</v>
      </c>
      <c r="O118" s="40">
        <v>650</v>
      </c>
      <c r="P118" s="40">
        <v>4</v>
      </c>
      <c r="Q118" s="40">
        <v>3</v>
      </c>
      <c r="R118" s="40">
        <v>685</v>
      </c>
      <c r="S118" s="40">
        <v>55</v>
      </c>
    </row>
    <row r="119" spans="1:19" x14ac:dyDescent="0.35">
      <c r="A119" s="38">
        <v>116</v>
      </c>
      <c r="B119" s="38" t="str">
        <f>_xlfn.XLOOKUP(A119,'Model Modeshare by TAZ'!A:A,'Model Modeshare by TAZ'!B:B)</f>
        <v>Cupertino</v>
      </c>
      <c r="C119" s="38" t="str">
        <f>_xlfn.XLOOKUP(A119,'Model Modeshare by TAZ'!A:A,'Model Modeshare by TAZ'!D:D)</f>
        <v>NO</v>
      </c>
      <c r="D119" s="6">
        <v>3</v>
      </c>
      <c r="E119" s="6">
        <v>305</v>
      </c>
      <c r="F119" s="6">
        <v>910</v>
      </c>
      <c r="G119" s="6">
        <v>910</v>
      </c>
      <c r="H119" s="6">
        <v>471</v>
      </c>
      <c r="I119" s="6">
        <v>305</v>
      </c>
      <c r="J119" s="6">
        <v>0</v>
      </c>
      <c r="K119" s="40">
        <v>111</v>
      </c>
      <c r="L119" s="40">
        <v>1</v>
      </c>
      <c r="M119" s="40">
        <v>64</v>
      </c>
      <c r="N119" s="40">
        <v>3</v>
      </c>
      <c r="O119" s="40">
        <v>50</v>
      </c>
      <c r="P119" s="40">
        <v>1</v>
      </c>
      <c r="Q119" s="40">
        <v>2</v>
      </c>
      <c r="R119" s="40">
        <v>6</v>
      </c>
      <c r="S119" s="40">
        <v>2</v>
      </c>
    </row>
    <row r="120" spans="1:19" x14ac:dyDescent="0.35">
      <c r="A120" s="38">
        <v>117</v>
      </c>
      <c r="B120" s="38" t="str">
        <f>_xlfn.XLOOKUP(A120,'Model Modeshare by TAZ'!A:A,'Model Modeshare by TAZ'!B:B)</f>
        <v>Cupertino</v>
      </c>
      <c r="C120" s="38" t="str">
        <f>_xlfn.XLOOKUP(A120,'Model Modeshare by TAZ'!A:A,'Model Modeshare by TAZ'!D:D)</f>
        <v>NO</v>
      </c>
      <c r="D120" s="6">
        <v>3</v>
      </c>
      <c r="E120" s="6">
        <v>582</v>
      </c>
      <c r="F120" s="6">
        <v>1741</v>
      </c>
      <c r="G120" s="6">
        <v>1741</v>
      </c>
      <c r="H120" s="6">
        <v>900</v>
      </c>
      <c r="I120" s="6">
        <v>485</v>
      </c>
      <c r="J120" s="6">
        <v>97</v>
      </c>
      <c r="K120" s="40">
        <v>139</v>
      </c>
      <c r="L120" s="40">
        <v>64</v>
      </c>
      <c r="M120" s="40">
        <v>1448</v>
      </c>
      <c r="N120" s="40">
        <v>59</v>
      </c>
      <c r="O120" s="40">
        <v>604</v>
      </c>
      <c r="P120" s="40">
        <v>10</v>
      </c>
      <c r="Q120" s="40">
        <v>3</v>
      </c>
      <c r="R120" s="40">
        <v>720</v>
      </c>
      <c r="S120" s="40">
        <v>52</v>
      </c>
    </row>
    <row r="121" spans="1:19" x14ac:dyDescent="0.35">
      <c r="A121" s="38">
        <v>118</v>
      </c>
      <c r="B121" s="38" t="str">
        <f>_xlfn.XLOOKUP(A121,'Model Modeshare by TAZ'!A:A,'Model Modeshare by TAZ'!B:B)</f>
        <v>Cupertino</v>
      </c>
      <c r="C121" s="38" t="str">
        <f>_xlfn.XLOOKUP(A121,'Model Modeshare by TAZ'!A:A,'Model Modeshare by TAZ'!D:D)</f>
        <v>NO</v>
      </c>
      <c r="D121" s="6">
        <v>3</v>
      </c>
      <c r="E121" s="6">
        <v>1123</v>
      </c>
      <c r="F121" s="6">
        <v>3413</v>
      </c>
      <c r="G121" s="6">
        <v>3413</v>
      </c>
      <c r="H121" s="6">
        <v>1523</v>
      </c>
      <c r="I121" s="6">
        <v>518</v>
      </c>
      <c r="J121" s="6">
        <v>605</v>
      </c>
      <c r="K121" s="40">
        <v>176</v>
      </c>
      <c r="L121" s="40">
        <v>1</v>
      </c>
      <c r="M121" s="40">
        <v>60</v>
      </c>
      <c r="N121" s="40">
        <v>0</v>
      </c>
      <c r="O121" s="40">
        <v>0</v>
      </c>
      <c r="P121" s="40">
        <v>23</v>
      </c>
      <c r="Q121" s="40">
        <v>7</v>
      </c>
      <c r="R121" s="40">
        <v>30</v>
      </c>
      <c r="S121" s="40">
        <v>0</v>
      </c>
    </row>
    <row r="122" spans="1:19" x14ac:dyDescent="0.35">
      <c r="A122" s="38">
        <v>119</v>
      </c>
      <c r="B122" s="38" t="str">
        <f>_xlfn.XLOOKUP(A122,'Model Modeshare by TAZ'!A:A,'Model Modeshare by TAZ'!B:B)</f>
        <v>Cupertino</v>
      </c>
      <c r="C122" s="38" t="str">
        <f>_xlfn.XLOOKUP(A122,'Model Modeshare by TAZ'!A:A,'Model Modeshare by TAZ'!D:D)</f>
        <v>NO</v>
      </c>
      <c r="D122" s="6">
        <v>3</v>
      </c>
      <c r="E122" s="6">
        <v>961</v>
      </c>
      <c r="F122" s="6">
        <v>2920</v>
      </c>
      <c r="G122" s="6">
        <v>2920</v>
      </c>
      <c r="H122" s="6">
        <v>1306</v>
      </c>
      <c r="I122" s="6">
        <v>259</v>
      </c>
      <c r="J122" s="6">
        <v>702</v>
      </c>
      <c r="K122" s="40">
        <v>131</v>
      </c>
      <c r="L122" s="40">
        <v>106</v>
      </c>
      <c r="M122" s="40">
        <v>4939</v>
      </c>
      <c r="N122" s="40">
        <v>1095</v>
      </c>
      <c r="O122" s="40">
        <v>1162</v>
      </c>
      <c r="P122" s="40">
        <v>287</v>
      </c>
      <c r="Q122" s="40">
        <v>17</v>
      </c>
      <c r="R122" s="40">
        <v>1889</v>
      </c>
      <c r="S122" s="40">
        <v>489</v>
      </c>
    </row>
    <row r="123" spans="1:19" x14ac:dyDescent="0.35">
      <c r="A123" s="38">
        <v>120</v>
      </c>
      <c r="B123" s="38" t="str">
        <f>_xlfn.XLOOKUP(A123,'Model Modeshare by TAZ'!A:A,'Model Modeshare by TAZ'!B:B)</f>
        <v>Cupertino</v>
      </c>
      <c r="C123" s="38" t="str">
        <f>_xlfn.XLOOKUP(A123,'Model Modeshare by TAZ'!A:A,'Model Modeshare by TAZ'!D:D)</f>
        <v>NO</v>
      </c>
      <c r="D123" s="6">
        <v>3</v>
      </c>
      <c r="E123" s="6">
        <v>414</v>
      </c>
      <c r="F123" s="6">
        <v>1304</v>
      </c>
      <c r="G123" s="6">
        <v>1305</v>
      </c>
      <c r="H123" s="6">
        <v>537</v>
      </c>
      <c r="I123" s="6">
        <v>329</v>
      </c>
      <c r="J123" s="6">
        <v>85</v>
      </c>
      <c r="K123" s="40">
        <v>100</v>
      </c>
      <c r="L123" s="40">
        <v>11</v>
      </c>
      <c r="M123" s="40">
        <v>206</v>
      </c>
      <c r="N123" s="40">
        <v>64</v>
      </c>
      <c r="O123" s="40">
        <v>115</v>
      </c>
      <c r="P123" s="40">
        <v>12</v>
      </c>
      <c r="Q123" s="40">
        <v>1</v>
      </c>
      <c r="R123" s="40">
        <v>5</v>
      </c>
      <c r="S123" s="40">
        <v>9</v>
      </c>
    </row>
    <row r="124" spans="1:19" x14ac:dyDescent="0.35">
      <c r="A124" s="38">
        <v>121</v>
      </c>
      <c r="B124" s="38" t="str">
        <f>_xlfn.XLOOKUP(A124,'Model Modeshare by TAZ'!A:A,'Model Modeshare by TAZ'!B:B)</f>
        <v>Cupertino</v>
      </c>
      <c r="C124" s="38" t="str">
        <f>_xlfn.XLOOKUP(A124,'Model Modeshare by TAZ'!A:A,'Model Modeshare by TAZ'!D:D)</f>
        <v>NO</v>
      </c>
      <c r="D124" s="6">
        <v>3</v>
      </c>
      <c r="E124" s="6">
        <v>290</v>
      </c>
      <c r="F124" s="6">
        <v>915</v>
      </c>
      <c r="G124" s="6">
        <v>916</v>
      </c>
      <c r="H124" s="6">
        <v>377</v>
      </c>
      <c r="I124" s="6">
        <v>142</v>
      </c>
      <c r="J124" s="6">
        <v>148</v>
      </c>
      <c r="K124" s="40">
        <v>46</v>
      </c>
      <c r="L124" s="40">
        <v>1</v>
      </c>
      <c r="M124" s="40">
        <v>18</v>
      </c>
      <c r="N124" s="40">
        <v>1</v>
      </c>
      <c r="O124" s="40">
        <v>5</v>
      </c>
      <c r="P124" s="40">
        <v>11</v>
      </c>
      <c r="Q124" s="40">
        <v>0</v>
      </c>
      <c r="R124" s="40">
        <v>1</v>
      </c>
      <c r="S124" s="40">
        <v>0</v>
      </c>
    </row>
    <row r="125" spans="1:19" x14ac:dyDescent="0.35">
      <c r="A125" s="38">
        <v>122</v>
      </c>
      <c r="B125" s="38" t="str">
        <f>_xlfn.XLOOKUP(A125,'Model Modeshare by TAZ'!A:A,'Model Modeshare by TAZ'!B:B)</f>
        <v>Cupertino</v>
      </c>
      <c r="C125" s="38" t="str">
        <f>_xlfn.XLOOKUP(A125,'Model Modeshare by TAZ'!A:A,'Model Modeshare by TAZ'!D:D)</f>
        <v>NO</v>
      </c>
      <c r="D125" s="6">
        <v>3</v>
      </c>
      <c r="E125" s="6">
        <v>328</v>
      </c>
      <c r="F125" s="6">
        <v>1033</v>
      </c>
      <c r="G125" s="6">
        <v>1033</v>
      </c>
      <c r="H125" s="6">
        <v>426</v>
      </c>
      <c r="I125" s="6">
        <v>234</v>
      </c>
      <c r="J125" s="6">
        <v>94</v>
      </c>
      <c r="K125" s="40">
        <v>65</v>
      </c>
      <c r="L125" s="40">
        <v>1</v>
      </c>
      <c r="M125" s="40">
        <v>0</v>
      </c>
      <c r="N125" s="40">
        <v>0</v>
      </c>
      <c r="O125" s="40">
        <v>0</v>
      </c>
      <c r="P125" s="40">
        <v>0</v>
      </c>
      <c r="Q125" s="40">
        <v>0</v>
      </c>
      <c r="R125" s="40">
        <v>0</v>
      </c>
      <c r="S125" s="40">
        <v>0</v>
      </c>
    </row>
    <row r="126" spans="1:19" x14ac:dyDescent="0.35">
      <c r="A126" s="38">
        <v>123</v>
      </c>
      <c r="B126" s="38" t="str">
        <f>_xlfn.XLOOKUP(A126,'Model Modeshare by TAZ'!A:A,'Model Modeshare by TAZ'!B:B)</f>
        <v>Cupertino</v>
      </c>
      <c r="C126" s="38" t="str">
        <f>_xlfn.XLOOKUP(A126,'Model Modeshare by TAZ'!A:A,'Model Modeshare by TAZ'!D:D)</f>
        <v>NO</v>
      </c>
      <c r="D126" s="6">
        <v>3</v>
      </c>
      <c r="E126" s="6">
        <v>466</v>
      </c>
      <c r="F126" s="6">
        <v>1471</v>
      </c>
      <c r="G126" s="6">
        <v>1472</v>
      </c>
      <c r="H126" s="6">
        <v>704</v>
      </c>
      <c r="I126" s="6">
        <v>334</v>
      </c>
      <c r="J126" s="6">
        <v>132</v>
      </c>
      <c r="K126" s="40">
        <v>85</v>
      </c>
      <c r="L126" s="40">
        <v>1</v>
      </c>
      <c r="M126" s="40">
        <v>0</v>
      </c>
      <c r="N126" s="40">
        <v>0</v>
      </c>
      <c r="O126" s="40">
        <v>0</v>
      </c>
      <c r="P126" s="40">
        <v>0</v>
      </c>
      <c r="Q126" s="40">
        <v>0</v>
      </c>
      <c r="R126" s="40">
        <v>0</v>
      </c>
      <c r="S126" s="40">
        <v>0</v>
      </c>
    </row>
    <row r="127" spans="1:19" x14ac:dyDescent="0.35">
      <c r="A127" s="38">
        <v>124</v>
      </c>
      <c r="B127" s="38" t="str">
        <f>_xlfn.XLOOKUP(A127,'Model Modeshare by TAZ'!A:A,'Model Modeshare by TAZ'!B:B)</f>
        <v>Cupertino</v>
      </c>
      <c r="C127" s="38" t="str">
        <f>_xlfn.XLOOKUP(A127,'Model Modeshare by TAZ'!A:A,'Model Modeshare by TAZ'!D:D)</f>
        <v>NO</v>
      </c>
      <c r="D127" s="6">
        <v>3</v>
      </c>
      <c r="E127" s="6">
        <v>432</v>
      </c>
      <c r="F127" s="6">
        <v>1363</v>
      </c>
      <c r="G127" s="6">
        <v>1363</v>
      </c>
      <c r="H127" s="6">
        <v>653</v>
      </c>
      <c r="I127" s="6">
        <v>304</v>
      </c>
      <c r="J127" s="6">
        <v>128</v>
      </c>
      <c r="K127" s="40">
        <v>88</v>
      </c>
      <c r="L127" s="40">
        <v>2</v>
      </c>
      <c r="M127" s="40">
        <v>25</v>
      </c>
      <c r="N127" s="40">
        <v>17</v>
      </c>
      <c r="O127" s="40">
        <v>7</v>
      </c>
      <c r="P127" s="40">
        <v>1</v>
      </c>
      <c r="Q127" s="40">
        <v>0</v>
      </c>
      <c r="R127" s="40">
        <v>0</v>
      </c>
      <c r="S127" s="40">
        <v>0</v>
      </c>
    </row>
    <row r="128" spans="1:19" x14ac:dyDescent="0.35">
      <c r="A128" s="38">
        <v>125</v>
      </c>
      <c r="B128" s="38" t="str">
        <f>_xlfn.XLOOKUP(A128,'Model Modeshare by TAZ'!A:A,'Model Modeshare by TAZ'!B:B)</f>
        <v>Cupertino</v>
      </c>
      <c r="C128" s="38" t="str">
        <f>_xlfn.XLOOKUP(A128,'Model Modeshare by TAZ'!A:A,'Model Modeshare by TAZ'!D:D)</f>
        <v>NO</v>
      </c>
      <c r="D128" s="6">
        <v>3</v>
      </c>
      <c r="E128" s="6">
        <v>238</v>
      </c>
      <c r="F128" s="6">
        <v>751</v>
      </c>
      <c r="G128" s="6">
        <v>751</v>
      </c>
      <c r="H128" s="6">
        <v>359</v>
      </c>
      <c r="I128" s="6">
        <v>238</v>
      </c>
      <c r="J128" s="6">
        <v>0</v>
      </c>
      <c r="K128" s="40">
        <v>60</v>
      </c>
      <c r="L128" s="40">
        <v>1</v>
      </c>
      <c r="M128" s="40">
        <v>2</v>
      </c>
      <c r="N128" s="40">
        <v>0</v>
      </c>
      <c r="O128" s="40">
        <v>0</v>
      </c>
      <c r="P128" s="40">
        <v>0</v>
      </c>
      <c r="Q128" s="40">
        <v>1</v>
      </c>
      <c r="R128" s="40">
        <v>0</v>
      </c>
      <c r="S128" s="40">
        <v>1</v>
      </c>
    </row>
    <row r="129" spans="1:19" x14ac:dyDescent="0.35">
      <c r="A129" s="38">
        <v>126</v>
      </c>
      <c r="B129" s="38" t="str">
        <f>_xlfn.XLOOKUP(A129,'Model Modeshare by TAZ'!A:A,'Model Modeshare by TAZ'!B:B)</f>
        <v>Cupertino</v>
      </c>
      <c r="C129" s="38" t="str">
        <f>_xlfn.XLOOKUP(A129,'Model Modeshare by TAZ'!A:A,'Model Modeshare by TAZ'!D:D)</f>
        <v>NO</v>
      </c>
      <c r="D129" s="6">
        <v>3</v>
      </c>
      <c r="E129" s="6">
        <v>647</v>
      </c>
      <c r="F129" s="6">
        <v>2038</v>
      </c>
      <c r="G129" s="6">
        <v>2038</v>
      </c>
      <c r="H129" s="6">
        <v>977</v>
      </c>
      <c r="I129" s="6">
        <v>615</v>
      </c>
      <c r="J129" s="6">
        <v>32</v>
      </c>
      <c r="K129" s="40">
        <v>139</v>
      </c>
      <c r="L129" s="40">
        <v>1</v>
      </c>
      <c r="M129" s="40">
        <v>647</v>
      </c>
      <c r="N129" s="40">
        <v>50</v>
      </c>
      <c r="O129" s="40">
        <v>436</v>
      </c>
      <c r="P129" s="40">
        <v>96</v>
      </c>
      <c r="Q129" s="40">
        <v>1</v>
      </c>
      <c r="R129" s="40">
        <v>26</v>
      </c>
      <c r="S129" s="40">
        <v>38</v>
      </c>
    </row>
    <row r="130" spans="1:19" x14ac:dyDescent="0.35">
      <c r="A130" s="38">
        <v>127</v>
      </c>
      <c r="B130" s="38" t="str">
        <f>_xlfn.XLOOKUP(A130,'Model Modeshare by TAZ'!A:A,'Model Modeshare by TAZ'!B:B)</f>
        <v>Cupertino</v>
      </c>
      <c r="C130" s="38" t="str">
        <f>_xlfn.XLOOKUP(A130,'Model Modeshare by TAZ'!A:A,'Model Modeshare by TAZ'!D:D)</f>
        <v>NO</v>
      </c>
      <c r="D130" s="6">
        <v>3</v>
      </c>
      <c r="E130" s="6">
        <v>204</v>
      </c>
      <c r="F130" s="6">
        <v>614</v>
      </c>
      <c r="G130" s="6">
        <v>614</v>
      </c>
      <c r="H130" s="6">
        <v>330</v>
      </c>
      <c r="I130" s="6">
        <v>204</v>
      </c>
      <c r="J130" s="6">
        <v>0</v>
      </c>
      <c r="K130" s="40">
        <v>47</v>
      </c>
      <c r="L130" s="40">
        <v>21</v>
      </c>
      <c r="M130" s="40">
        <v>14</v>
      </c>
      <c r="N130" s="40">
        <v>1</v>
      </c>
      <c r="O130" s="40">
        <v>11</v>
      </c>
      <c r="P130" s="40">
        <v>0</v>
      </c>
      <c r="Q130" s="40">
        <v>0</v>
      </c>
      <c r="R130" s="40">
        <v>0</v>
      </c>
      <c r="S130" s="40">
        <v>2</v>
      </c>
    </row>
    <row r="131" spans="1:19" x14ac:dyDescent="0.35">
      <c r="A131" s="38">
        <v>128</v>
      </c>
      <c r="B131" s="38" t="str">
        <f>_xlfn.XLOOKUP(A131,'Model Modeshare by TAZ'!A:A,'Model Modeshare by TAZ'!B:B)</f>
        <v>Cupertino</v>
      </c>
      <c r="C131" s="38" t="str">
        <f>_xlfn.XLOOKUP(A131,'Model Modeshare by TAZ'!A:A,'Model Modeshare by TAZ'!D:D)</f>
        <v>NO</v>
      </c>
      <c r="D131" s="6">
        <v>3</v>
      </c>
      <c r="E131" s="6">
        <v>231</v>
      </c>
      <c r="F131" s="6">
        <v>693</v>
      </c>
      <c r="G131" s="6">
        <v>693</v>
      </c>
      <c r="H131" s="6">
        <v>372</v>
      </c>
      <c r="I131" s="6">
        <v>231</v>
      </c>
      <c r="J131" s="6">
        <v>0</v>
      </c>
      <c r="K131" s="40">
        <v>49</v>
      </c>
      <c r="L131" s="40">
        <v>1</v>
      </c>
      <c r="M131" s="40">
        <v>25</v>
      </c>
      <c r="N131" s="40">
        <v>0</v>
      </c>
      <c r="O131" s="40">
        <v>0</v>
      </c>
      <c r="P131" s="40">
        <v>3</v>
      </c>
      <c r="Q131" s="40">
        <v>0</v>
      </c>
      <c r="R131" s="40">
        <v>1</v>
      </c>
      <c r="S131" s="40">
        <v>21</v>
      </c>
    </row>
    <row r="132" spans="1:19" x14ac:dyDescent="0.35">
      <c r="A132" s="38">
        <v>129</v>
      </c>
      <c r="B132" s="38" t="str">
        <f>_xlfn.XLOOKUP(A132,'Model Modeshare by TAZ'!A:A,'Model Modeshare by TAZ'!B:B)</f>
        <v>Cupertino</v>
      </c>
      <c r="C132" s="38" t="str">
        <f>_xlfn.XLOOKUP(A132,'Model Modeshare by TAZ'!A:A,'Model Modeshare by TAZ'!D:D)</f>
        <v>NO</v>
      </c>
      <c r="D132" s="6">
        <v>3</v>
      </c>
      <c r="E132" s="6">
        <v>996</v>
      </c>
      <c r="F132" s="6">
        <v>2994</v>
      </c>
      <c r="G132" s="6">
        <v>2995</v>
      </c>
      <c r="H132" s="6">
        <v>1611</v>
      </c>
      <c r="I132" s="6">
        <v>996</v>
      </c>
      <c r="J132" s="6">
        <v>0</v>
      </c>
      <c r="K132" s="40">
        <v>318</v>
      </c>
      <c r="L132" s="40">
        <v>7</v>
      </c>
      <c r="M132" s="40">
        <v>150</v>
      </c>
      <c r="N132" s="40">
        <v>0</v>
      </c>
      <c r="O132" s="40">
        <v>1</v>
      </c>
      <c r="P132" s="40">
        <v>144</v>
      </c>
      <c r="Q132" s="40">
        <v>1</v>
      </c>
      <c r="R132" s="40">
        <v>3</v>
      </c>
      <c r="S132" s="40">
        <v>1</v>
      </c>
    </row>
    <row r="133" spans="1:19" x14ac:dyDescent="0.35">
      <c r="A133" s="38">
        <v>130</v>
      </c>
      <c r="B133" s="38" t="str">
        <f>_xlfn.XLOOKUP(A133,'Model Modeshare by TAZ'!A:A,'Model Modeshare by TAZ'!B:B)</f>
        <v>Unincorporated</v>
      </c>
      <c r="C133" s="38" t="str">
        <f>_xlfn.XLOOKUP(A133,'Model Modeshare by TAZ'!A:A,'Model Modeshare by TAZ'!D:D)</f>
        <v>NO</v>
      </c>
      <c r="D133" s="6">
        <v>3</v>
      </c>
      <c r="E133" s="6">
        <v>0</v>
      </c>
      <c r="F133" s="6">
        <v>0</v>
      </c>
      <c r="G133" s="6">
        <v>0</v>
      </c>
      <c r="H133" s="6">
        <v>0</v>
      </c>
      <c r="I133" s="6">
        <v>0</v>
      </c>
      <c r="J133" s="6">
        <v>0</v>
      </c>
      <c r="K133" s="40">
        <v>1</v>
      </c>
      <c r="L133" s="40">
        <v>13</v>
      </c>
      <c r="M133" s="40">
        <v>0</v>
      </c>
      <c r="N133" s="40">
        <v>0</v>
      </c>
      <c r="O133" s="40">
        <v>0</v>
      </c>
      <c r="P133" s="40">
        <v>0</v>
      </c>
      <c r="Q133" s="40">
        <v>0</v>
      </c>
      <c r="R133" s="40">
        <v>0</v>
      </c>
      <c r="S133" s="40">
        <v>0</v>
      </c>
    </row>
    <row r="134" spans="1:19" x14ac:dyDescent="0.35">
      <c r="A134" s="38">
        <v>131</v>
      </c>
      <c r="B134" s="38" t="str">
        <f>_xlfn.XLOOKUP(A134,'Model Modeshare by TAZ'!A:A,'Model Modeshare by TAZ'!B:B)</f>
        <v>Cupertino</v>
      </c>
      <c r="C134" s="38" t="str">
        <f>_xlfn.XLOOKUP(A134,'Model Modeshare by TAZ'!A:A,'Model Modeshare by TAZ'!D:D)</f>
        <v>NO</v>
      </c>
      <c r="D134" s="6">
        <v>3</v>
      </c>
      <c r="E134" s="6">
        <v>273</v>
      </c>
      <c r="F134" s="6">
        <v>822</v>
      </c>
      <c r="G134" s="6">
        <v>822</v>
      </c>
      <c r="H134" s="6">
        <v>442</v>
      </c>
      <c r="I134" s="6">
        <v>273</v>
      </c>
      <c r="J134" s="6">
        <v>0</v>
      </c>
      <c r="K134" s="40">
        <v>267</v>
      </c>
      <c r="L134" s="40">
        <v>11</v>
      </c>
      <c r="M134" s="40">
        <v>5</v>
      </c>
      <c r="N134" s="40">
        <v>0</v>
      </c>
      <c r="O134" s="40">
        <v>1</v>
      </c>
      <c r="P134" s="40">
        <v>0</v>
      </c>
      <c r="Q134" s="40">
        <v>1</v>
      </c>
      <c r="R134" s="40">
        <v>2</v>
      </c>
      <c r="S134" s="40">
        <v>1</v>
      </c>
    </row>
    <row r="135" spans="1:19" x14ac:dyDescent="0.35">
      <c r="A135" s="38">
        <v>132</v>
      </c>
      <c r="B135" s="38" t="str">
        <f>_xlfn.XLOOKUP(A135,'Model Modeshare by TAZ'!A:A,'Model Modeshare by TAZ'!B:B)</f>
        <v>Cupertino</v>
      </c>
      <c r="C135" s="38" t="str">
        <f>_xlfn.XLOOKUP(A135,'Model Modeshare by TAZ'!A:A,'Model Modeshare by TAZ'!D:D)</f>
        <v>NO</v>
      </c>
      <c r="D135" s="6">
        <v>3</v>
      </c>
      <c r="E135" s="6">
        <v>955</v>
      </c>
      <c r="F135" s="6">
        <v>2623</v>
      </c>
      <c r="G135" s="6">
        <v>2702</v>
      </c>
      <c r="H135" s="6">
        <v>1301</v>
      </c>
      <c r="I135" s="6">
        <v>422</v>
      </c>
      <c r="J135" s="6">
        <v>533</v>
      </c>
      <c r="K135" s="40">
        <v>174</v>
      </c>
      <c r="L135" s="40">
        <v>15</v>
      </c>
      <c r="M135" s="40">
        <v>94</v>
      </c>
      <c r="N135" s="40">
        <v>15</v>
      </c>
      <c r="O135" s="40">
        <v>46</v>
      </c>
      <c r="P135" s="40">
        <v>29</v>
      </c>
      <c r="Q135" s="40">
        <v>2</v>
      </c>
      <c r="R135" s="40">
        <v>1</v>
      </c>
      <c r="S135" s="40">
        <v>1</v>
      </c>
    </row>
    <row r="136" spans="1:19" x14ac:dyDescent="0.35">
      <c r="A136" s="38">
        <v>133</v>
      </c>
      <c r="B136" s="38" t="str">
        <f>_xlfn.XLOOKUP(A136,'Model Modeshare by TAZ'!A:A,'Model Modeshare by TAZ'!B:B)</f>
        <v>Cupertino</v>
      </c>
      <c r="C136" s="38" t="str">
        <f>_xlfn.XLOOKUP(A136,'Model Modeshare by TAZ'!A:A,'Model Modeshare by TAZ'!D:D)</f>
        <v>NO</v>
      </c>
      <c r="D136" s="6">
        <v>3</v>
      </c>
      <c r="E136" s="6">
        <v>325</v>
      </c>
      <c r="F136" s="6">
        <v>894</v>
      </c>
      <c r="G136" s="6">
        <v>920</v>
      </c>
      <c r="H136" s="6">
        <v>443</v>
      </c>
      <c r="I136" s="6">
        <v>108</v>
      </c>
      <c r="J136" s="6">
        <v>217</v>
      </c>
      <c r="K136" s="40">
        <v>69</v>
      </c>
      <c r="L136" s="40">
        <v>1</v>
      </c>
      <c r="M136" s="40">
        <v>66</v>
      </c>
      <c r="N136" s="40">
        <v>11</v>
      </c>
      <c r="O136" s="40">
        <v>35</v>
      </c>
      <c r="P136" s="40">
        <v>17</v>
      </c>
      <c r="Q136" s="40">
        <v>1</v>
      </c>
      <c r="R136" s="40">
        <v>1</v>
      </c>
      <c r="S136" s="40">
        <v>1</v>
      </c>
    </row>
    <row r="137" spans="1:19" x14ac:dyDescent="0.35">
      <c r="A137" s="38">
        <v>134</v>
      </c>
      <c r="B137" s="38" t="str">
        <f>_xlfn.XLOOKUP(A137,'Model Modeshare by TAZ'!A:A,'Model Modeshare by TAZ'!B:B)</f>
        <v>Cupertino</v>
      </c>
      <c r="C137" s="38" t="str">
        <f>_xlfn.XLOOKUP(A137,'Model Modeshare by TAZ'!A:A,'Model Modeshare by TAZ'!D:D)</f>
        <v>NO</v>
      </c>
      <c r="D137" s="6">
        <v>3</v>
      </c>
      <c r="E137" s="6">
        <v>677</v>
      </c>
      <c r="F137" s="6">
        <v>1860</v>
      </c>
      <c r="G137" s="6">
        <v>1916</v>
      </c>
      <c r="H137" s="6">
        <v>922</v>
      </c>
      <c r="I137" s="6">
        <v>537</v>
      </c>
      <c r="J137" s="6">
        <v>140</v>
      </c>
      <c r="K137" s="40">
        <v>178</v>
      </c>
      <c r="L137" s="40">
        <v>1</v>
      </c>
      <c r="M137" s="40">
        <v>7</v>
      </c>
      <c r="N137" s="40">
        <v>0</v>
      </c>
      <c r="O137" s="40">
        <v>6</v>
      </c>
      <c r="P137" s="40">
        <v>1</v>
      </c>
      <c r="Q137" s="40">
        <v>0</v>
      </c>
      <c r="R137" s="40">
        <v>0</v>
      </c>
      <c r="S137" s="40">
        <v>0</v>
      </c>
    </row>
    <row r="138" spans="1:19" x14ac:dyDescent="0.35">
      <c r="A138" s="38">
        <v>135</v>
      </c>
      <c r="B138" s="38" t="str">
        <f>_xlfn.XLOOKUP(A138,'Model Modeshare by TAZ'!A:A,'Model Modeshare by TAZ'!B:B)</f>
        <v>Cupertino</v>
      </c>
      <c r="C138" s="38" t="str">
        <f>_xlfn.XLOOKUP(A138,'Model Modeshare by TAZ'!A:A,'Model Modeshare by TAZ'!D:D)</f>
        <v>NO</v>
      </c>
      <c r="D138" s="6">
        <v>3</v>
      </c>
      <c r="E138" s="6">
        <v>640</v>
      </c>
      <c r="F138" s="6">
        <v>1758</v>
      </c>
      <c r="G138" s="6">
        <v>1825</v>
      </c>
      <c r="H138" s="6">
        <v>871</v>
      </c>
      <c r="I138" s="6">
        <v>551</v>
      </c>
      <c r="J138" s="6">
        <v>89</v>
      </c>
      <c r="K138" s="40">
        <v>188</v>
      </c>
      <c r="L138" s="40">
        <v>3</v>
      </c>
      <c r="M138" s="40">
        <v>31</v>
      </c>
      <c r="N138" s="40">
        <v>19</v>
      </c>
      <c r="O138" s="40">
        <v>5</v>
      </c>
      <c r="P138" s="40">
        <v>3</v>
      </c>
      <c r="Q138" s="40">
        <v>4</v>
      </c>
      <c r="R138" s="40">
        <v>0</v>
      </c>
      <c r="S138" s="40">
        <v>0</v>
      </c>
    </row>
    <row r="139" spans="1:19" x14ac:dyDescent="0.35">
      <c r="A139" s="38">
        <v>136</v>
      </c>
      <c r="B139" s="38" t="str">
        <f>_xlfn.XLOOKUP(A139,'Model Modeshare by TAZ'!A:A,'Model Modeshare by TAZ'!B:B)</f>
        <v>Cupertino</v>
      </c>
      <c r="C139" s="38" t="str">
        <f>_xlfn.XLOOKUP(A139,'Model Modeshare by TAZ'!A:A,'Model Modeshare by TAZ'!D:D)</f>
        <v>NO</v>
      </c>
      <c r="D139" s="6">
        <v>3</v>
      </c>
      <c r="E139" s="6">
        <v>22</v>
      </c>
      <c r="F139" s="6">
        <v>60</v>
      </c>
      <c r="G139" s="6">
        <v>62</v>
      </c>
      <c r="H139" s="6">
        <v>29</v>
      </c>
      <c r="I139" s="6">
        <v>18</v>
      </c>
      <c r="J139" s="6">
        <v>4</v>
      </c>
      <c r="K139" s="40">
        <v>96</v>
      </c>
      <c r="L139" s="40">
        <v>1</v>
      </c>
      <c r="M139" s="40">
        <v>135</v>
      </c>
      <c r="N139" s="40">
        <v>0</v>
      </c>
      <c r="O139" s="40">
        <v>0</v>
      </c>
      <c r="P139" s="40">
        <v>135</v>
      </c>
      <c r="Q139" s="40">
        <v>0</v>
      </c>
      <c r="R139" s="40">
        <v>0</v>
      </c>
      <c r="S139" s="40">
        <v>0</v>
      </c>
    </row>
    <row r="140" spans="1:19" x14ac:dyDescent="0.35">
      <c r="A140" s="38">
        <v>137</v>
      </c>
      <c r="B140" s="38" t="str">
        <f>_xlfn.XLOOKUP(A140,'Model Modeshare by TAZ'!A:A,'Model Modeshare by TAZ'!B:B)</f>
        <v>Unincorporated</v>
      </c>
      <c r="C140" s="38" t="str">
        <f>_xlfn.XLOOKUP(A140,'Model Modeshare by TAZ'!A:A,'Model Modeshare by TAZ'!D:D)</f>
        <v>NO</v>
      </c>
      <c r="D140" s="6">
        <v>3</v>
      </c>
      <c r="E140" s="6">
        <v>9</v>
      </c>
      <c r="F140" s="6">
        <v>31</v>
      </c>
      <c r="G140" s="6">
        <v>31</v>
      </c>
      <c r="H140" s="6">
        <v>17</v>
      </c>
      <c r="I140" s="6">
        <v>8</v>
      </c>
      <c r="J140" s="6">
        <v>1</v>
      </c>
      <c r="K140" s="40">
        <v>6</v>
      </c>
      <c r="L140" s="40">
        <v>14</v>
      </c>
      <c r="M140" s="40">
        <v>75</v>
      </c>
      <c r="N140" s="40">
        <v>9</v>
      </c>
      <c r="O140" s="40">
        <v>56</v>
      </c>
      <c r="P140" s="40">
        <v>1</v>
      </c>
      <c r="Q140" s="40">
        <v>8</v>
      </c>
      <c r="R140" s="40">
        <v>0</v>
      </c>
      <c r="S140" s="40">
        <v>1</v>
      </c>
    </row>
    <row r="141" spans="1:19" x14ac:dyDescent="0.35">
      <c r="A141" s="38">
        <v>138</v>
      </c>
      <c r="B141" s="38" t="str">
        <f>_xlfn.XLOOKUP(A141,'Model Modeshare by TAZ'!A:A,'Model Modeshare by TAZ'!B:B)</f>
        <v>Gilroy</v>
      </c>
      <c r="C141" s="38" t="str">
        <f>_xlfn.XLOOKUP(A141,'Model Modeshare by TAZ'!A:A,'Model Modeshare by TAZ'!D:D)</f>
        <v>NO</v>
      </c>
      <c r="D141" s="6">
        <v>3</v>
      </c>
      <c r="E141" s="6">
        <v>0</v>
      </c>
      <c r="F141" s="6">
        <v>0</v>
      </c>
      <c r="G141" s="6">
        <v>0</v>
      </c>
      <c r="H141" s="6">
        <v>0</v>
      </c>
      <c r="I141" s="6">
        <v>0</v>
      </c>
      <c r="J141" s="6">
        <v>0</v>
      </c>
      <c r="K141" s="40">
        <v>0</v>
      </c>
      <c r="L141" s="40">
        <v>3</v>
      </c>
      <c r="M141" s="40">
        <v>0</v>
      </c>
      <c r="N141" s="40">
        <v>0</v>
      </c>
      <c r="O141" s="40">
        <v>0</v>
      </c>
      <c r="P141" s="40">
        <v>0</v>
      </c>
      <c r="Q141" s="40">
        <v>0</v>
      </c>
      <c r="R141" s="40">
        <v>0</v>
      </c>
      <c r="S141" s="40">
        <v>0</v>
      </c>
    </row>
    <row r="142" spans="1:19" x14ac:dyDescent="0.35">
      <c r="A142" s="38">
        <v>139</v>
      </c>
      <c r="B142" s="38" t="str">
        <f>_xlfn.XLOOKUP(A142,'Model Modeshare by TAZ'!A:A,'Model Modeshare by TAZ'!B:B)</f>
        <v>Gilroy</v>
      </c>
      <c r="C142" s="38" t="str">
        <f>_xlfn.XLOOKUP(A142,'Model Modeshare by TAZ'!A:A,'Model Modeshare by TAZ'!D:D)</f>
        <v>NO</v>
      </c>
      <c r="D142" s="6">
        <v>3</v>
      </c>
      <c r="E142" s="6">
        <v>0</v>
      </c>
      <c r="F142" s="6">
        <v>0</v>
      </c>
      <c r="G142" s="6">
        <v>0</v>
      </c>
      <c r="H142" s="6">
        <v>0</v>
      </c>
      <c r="I142" s="6">
        <v>0</v>
      </c>
      <c r="J142" s="6">
        <v>0</v>
      </c>
      <c r="K142" s="40">
        <v>0</v>
      </c>
      <c r="L142" s="40">
        <v>22</v>
      </c>
      <c r="M142" s="40">
        <v>259</v>
      </c>
      <c r="N142" s="40">
        <v>155</v>
      </c>
      <c r="O142" s="40">
        <v>96</v>
      </c>
      <c r="P142" s="40">
        <v>1</v>
      </c>
      <c r="Q142" s="40">
        <v>0</v>
      </c>
      <c r="R142" s="40">
        <v>0</v>
      </c>
      <c r="S142" s="40">
        <v>7</v>
      </c>
    </row>
    <row r="143" spans="1:19" x14ac:dyDescent="0.35">
      <c r="A143" s="38">
        <v>140</v>
      </c>
      <c r="B143" s="38" t="str">
        <f>_xlfn.XLOOKUP(A143,'Model Modeshare by TAZ'!A:A,'Model Modeshare by TAZ'!B:B)</f>
        <v>Gilroy</v>
      </c>
      <c r="C143" s="38" t="str">
        <f>_xlfn.XLOOKUP(A143,'Model Modeshare by TAZ'!A:A,'Model Modeshare by TAZ'!D:D)</f>
        <v>NO</v>
      </c>
      <c r="D143" s="6">
        <v>3</v>
      </c>
      <c r="E143" s="6">
        <v>6</v>
      </c>
      <c r="F143" s="6">
        <v>20</v>
      </c>
      <c r="G143" s="6">
        <v>20</v>
      </c>
      <c r="H143" s="6">
        <v>11</v>
      </c>
      <c r="I143" s="6">
        <v>5</v>
      </c>
      <c r="J143" s="6">
        <v>1</v>
      </c>
      <c r="K143" s="40">
        <v>1</v>
      </c>
      <c r="L143" s="40">
        <v>20</v>
      </c>
      <c r="M143" s="40">
        <v>312</v>
      </c>
      <c r="N143" s="40">
        <v>230</v>
      </c>
      <c r="O143" s="40">
        <v>77</v>
      </c>
      <c r="P143" s="40">
        <v>0</v>
      </c>
      <c r="Q143" s="40">
        <v>0</v>
      </c>
      <c r="R143" s="40">
        <v>0</v>
      </c>
      <c r="S143" s="40">
        <v>5</v>
      </c>
    </row>
    <row r="144" spans="1:19" x14ac:dyDescent="0.35">
      <c r="A144" s="38">
        <v>141</v>
      </c>
      <c r="B144" s="38" t="str">
        <f>_xlfn.XLOOKUP(A144,'Model Modeshare by TAZ'!A:A,'Model Modeshare by TAZ'!B:B)</f>
        <v>Gilroy</v>
      </c>
      <c r="C144" s="38" t="str">
        <f>_xlfn.XLOOKUP(A144,'Model Modeshare by TAZ'!A:A,'Model Modeshare by TAZ'!D:D)</f>
        <v>NO</v>
      </c>
      <c r="D144" s="6">
        <v>3</v>
      </c>
      <c r="E144" s="6">
        <v>131</v>
      </c>
      <c r="F144" s="6">
        <v>465</v>
      </c>
      <c r="G144" s="6">
        <v>474</v>
      </c>
      <c r="H144" s="6">
        <v>193</v>
      </c>
      <c r="I144" s="6">
        <v>83</v>
      </c>
      <c r="J144" s="6">
        <v>48</v>
      </c>
      <c r="K144" s="40">
        <v>42</v>
      </c>
      <c r="L144" s="40">
        <v>2</v>
      </c>
      <c r="M144" s="40">
        <v>2</v>
      </c>
      <c r="N144" s="40">
        <v>0</v>
      </c>
      <c r="O144" s="40">
        <v>0</v>
      </c>
      <c r="P144" s="40">
        <v>0</v>
      </c>
      <c r="Q144" s="40">
        <v>2</v>
      </c>
      <c r="R144" s="40">
        <v>0</v>
      </c>
      <c r="S144" s="40">
        <v>0</v>
      </c>
    </row>
    <row r="145" spans="1:19" x14ac:dyDescent="0.35">
      <c r="A145" s="38">
        <v>142</v>
      </c>
      <c r="B145" s="38" t="str">
        <f>_xlfn.XLOOKUP(A145,'Model Modeshare by TAZ'!A:A,'Model Modeshare by TAZ'!B:B)</f>
        <v>Unincorporated</v>
      </c>
      <c r="C145" s="38" t="str">
        <f>_xlfn.XLOOKUP(A145,'Model Modeshare by TAZ'!A:A,'Model Modeshare by TAZ'!D:D)</f>
        <v>NO</v>
      </c>
      <c r="D145" s="6">
        <v>3</v>
      </c>
      <c r="E145" s="6">
        <v>347</v>
      </c>
      <c r="F145" s="6">
        <v>1240</v>
      </c>
      <c r="G145" s="6">
        <v>1251</v>
      </c>
      <c r="H145" s="6">
        <v>517</v>
      </c>
      <c r="I145" s="6">
        <v>269</v>
      </c>
      <c r="J145" s="6">
        <v>78</v>
      </c>
      <c r="K145" s="40">
        <v>154</v>
      </c>
      <c r="L145" s="40">
        <v>2</v>
      </c>
      <c r="M145" s="40">
        <v>206</v>
      </c>
      <c r="N145" s="40">
        <v>0</v>
      </c>
      <c r="O145" s="40">
        <v>8</v>
      </c>
      <c r="P145" s="40">
        <v>171</v>
      </c>
      <c r="Q145" s="40">
        <v>22</v>
      </c>
      <c r="R145" s="40">
        <v>5</v>
      </c>
      <c r="S145" s="40">
        <v>0</v>
      </c>
    </row>
    <row r="146" spans="1:19" x14ac:dyDescent="0.35">
      <c r="A146" s="38">
        <v>143</v>
      </c>
      <c r="B146" s="38" t="str">
        <f>_xlfn.XLOOKUP(A146,'Model Modeshare by TAZ'!A:A,'Model Modeshare by TAZ'!B:B)</f>
        <v>Gilroy</v>
      </c>
      <c r="C146" s="38" t="str">
        <f>_xlfn.XLOOKUP(A146,'Model Modeshare by TAZ'!A:A,'Model Modeshare by TAZ'!D:D)</f>
        <v>NO</v>
      </c>
      <c r="D146" s="6">
        <v>3</v>
      </c>
      <c r="E146" s="6">
        <v>194</v>
      </c>
      <c r="F146" s="6">
        <v>689</v>
      </c>
      <c r="G146" s="6">
        <v>696</v>
      </c>
      <c r="H146" s="6">
        <v>286</v>
      </c>
      <c r="I146" s="6">
        <v>132</v>
      </c>
      <c r="J146" s="6">
        <v>62</v>
      </c>
      <c r="K146" s="40">
        <v>101</v>
      </c>
      <c r="L146" s="40">
        <v>2</v>
      </c>
      <c r="M146" s="40">
        <v>13</v>
      </c>
      <c r="N146" s="40">
        <v>0</v>
      </c>
      <c r="O146" s="40">
        <v>0</v>
      </c>
      <c r="P146" s="40">
        <v>7</v>
      </c>
      <c r="Q146" s="40">
        <v>5</v>
      </c>
      <c r="R146" s="40">
        <v>1</v>
      </c>
      <c r="S146" s="40">
        <v>0</v>
      </c>
    </row>
    <row r="147" spans="1:19" x14ac:dyDescent="0.35">
      <c r="A147" s="38">
        <v>144</v>
      </c>
      <c r="B147" s="38" t="str">
        <f>_xlfn.XLOOKUP(A147,'Model Modeshare by TAZ'!A:A,'Model Modeshare by TAZ'!B:B)</f>
        <v>Gilroy</v>
      </c>
      <c r="C147" s="38" t="str">
        <f>_xlfn.XLOOKUP(A147,'Model Modeshare by TAZ'!A:A,'Model Modeshare by TAZ'!D:D)</f>
        <v>NO</v>
      </c>
      <c r="D147" s="6">
        <v>3</v>
      </c>
      <c r="E147" s="6">
        <v>301</v>
      </c>
      <c r="F147" s="6">
        <v>1070</v>
      </c>
      <c r="G147" s="6">
        <v>1132</v>
      </c>
      <c r="H147" s="6">
        <v>444</v>
      </c>
      <c r="I147" s="6">
        <v>184</v>
      </c>
      <c r="J147" s="6">
        <v>117</v>
      </c>
      <c r="K147" s="40">
        <v>71</v>
      </c>
      <c r="L147" s="40">
        <v>2</v>
      </c>
      <c r="M147" s="40">
        <v>43</v>
      </c>
      <c r="N147" s="40">
        <v>0</v>
      </c>
      <c r="O147" s="40">
        <v>0</v>
      </c>
      <c r="P147" s="40">
        <v>10</v>
      </c>
      <c r="Q147" s="40">
        <v>26</v>
      </c>
      <c r="R147" s="40">
        <v>7</v>
      </c>
      <c r="S147" s="40">
        <v>0</v>
      </c>
    </row>
    <row r="148" spans="1:19" x14ac:dyDescent="0.35">
      <c r="A148" s="38">
        <v>145</v>
      </c>
      <c r="B148" s="38" t="str">
        <f>_xlfn.XLOOKUP(A148,'Model Modeshare by TAZ'!A:A,'Model Modeshare by TAZ'!B:B)</f>
        <v>Gilroy</v>
      </c>
      <c r="C148" s="38" t="str">
        <f>_xlfn.XLOOKUP(A148,'Model Modeshare by TAZ'!A:A,'Model Modeshare by TAZ'!D:D)</f>
        <v>NO</v>
      </c>
      <c r="D148" s="6">
        <v>3</v>
      </c>
      <c r="E148" s="6">
        <v>406</v>
      </c>
      <c r="F148" s="6">
        <v>1445</v>
      </c>
      <c r="G148" s="6">
        <v>1457</v>
      </c>
      <c r="H148" s="6">
        <v>600</v>
      </c>
      <c r="I148" s="6">
        <v>242</v>
      </c>
      <c r="J148" s="6">
        <v>164</v>
      </c>
      <c r="K148" s="40">
        <v>43</v>
      </c>
      <c r="L148" s="40">
        <v>9</v>
      </c>
      <c r="M148" s="40">
        <v>152</v>
      </c>
      <c r="N148" s="40">
        <v>146</v>
      </c>
      <c r="O148" s="40">
        <v>2</v>
      </c>
      <c r="P148" s="40">
        <v>1</v>
      </c>
      <c r="Q148" s="40">
        <v>2</v>
      </c>
      <c r="R148" s="40">
        <v>1</v>
      </c>
      <c r="S148" s="40">
        <v>0</v>
      </c>
    </row>
    <row r="149" spans="1:19" x14ac:dyDescent="0.35">
      <c r="A149" s="38">
        <v>146</v>
      </c>
      <c r="B149" s="38" t="str">
        <f>_xlfn.XLOOKUP(A149,'Model Modeshare by TAZ'!A:A,'Model Modeshare by TAZ'!B:B)</f>
        <v>Gilroy</v>
      </c>
      <c r="C149" s="38" t="str">
        <f>_xlfn.XLOOKUP(A149,'Model Modeshare by TAZ'!A:A,'Model Modeshare by TAZ'!D:D)</f>
        <v>NO</v>
      </c>
      <c r="D149" s="6">
        <v>3</v>
      </c>
      <c r="E149" s="6">
        <v>471</v>
      </c>
      <c r="F149" s="6">
        <v>1673</v>
      </c>
      <c r="G149" s="6">
        <v>1685</v>
      </c>
      <c r="H149" s="6">
        <v>695</v>
      </c>
      <c r="I149" s="6">
        <v>281</v>
      </c>
      <c r="J149" s="6">
        <v>190</v>
      </c>
      <c r="K149" s="40">
        <v>66</v>
      </c>
      <c r="L149" s="40">
        <v>15</v>
      </c>
      <c r="M149" s="40">
        <v>414</v>
      </c>
      <c r="N149" s="40">
        <v>26</v>
      </c>
      <c r="O149" s="40">
        <v>268</v>
      </c>
      <c r="P149" s="40">
        <v>11</v>
      </c>
      <c r="Q149" s="40">
        <v>6</v>
      </c>
      <c r="R149" s="40">
        <v>87</v>
      </c>
      <c r="S149" s="40">
        <v>16</v>
      </c>
    </row>
    <row r="150" spans="1:19" x14ac:dyDescent="0.35">
      <c r="A150" s="38">
        <v>147</v>
      </c>
      <c r="B150" s="38" t="str">
        <f>_xlfn.XLOOKUP(A150,'Model Modeshare by TAZ'!A:A,'Model Modeshare by TAZ'!B:B)</f>
        <v>Gilroy</v>
      </c>
      <c r="C150" s="38" t="str">
        <f>_xlfn.XLOOKUP(A150,'Model Modeshare by TAZ'!A:A,'Model Modeshare by TAZ'!D:D)</f>
        <v>NO</v>
      </c>
      <c r="D150" s="6">
        <v>3</v>
      </c>
      <c r="E150" s="6">
        <v>2171</v>
      </c>
      <c r="F150" s="6">
        <v>7066</v>
      </c>
      <c r="G150" s="6">
        <v>7066</v>
      </c>
      <c r="H150" s="6">
        <v>3676</v>
      </c>
      <c r="I150" s="6">
        <v>2118</v>
      </c>
      <c r="J150" s="6">
        <v>53</v>
      </c>
      <c r="K150" s="40">
        <v>289</v>
      </c>
      <c r="L150" s="40">
        <v>1</v>
      </c>
      <c r="M150" s="40">
        <v>473</v>
      </c>
      <c r="N150" s="40">
        <v>0</v>
      </c>
      <c r="O150" s="40">
        <v>0</v>
      </c>
      <c r="P150" s="40">
        <v>473</v>
      </c>
      <c r="Q150" s="40">
        <v>0</v>
      </c>
      <c r="R150" s="40">
        <v>0</v>
      </c>
      <c r="S150" s="40">
        <v>0</v>
      </c>
    </row>
    <row r="151" spans="1:19" x14ac:dyDescent="0.35">
      <c r="A151" s="38">
        <v>148</v>
      </c>
      <c r="B151" s="38" t="str">
        <f>_xlfn.XLOOKUP(A151,'Model Modeshare by TAZ'!A:A,'Model Modeshare by TAZ'!B:B)</f>
        <v>Gilroy</v>
      </c>
      <c r="C151" s="38" t="str">
        <f>_xlfn.XLOOKUP(A151,'Model Modeshare by TAZ'!A:A,'Model Modeshare by TAZ'!D:D)</f>
        <v>NO</v>
      </c>
      <c r="D151" s="6">
        <v>3</v>
      </c>
      <c r="E151" s="6">
        <v>450</v>
      </c>
      <c r="F151" s="6">
        <v>1464</v>
      </c>
      <c r="G151" s="6">
        <v>1464</v>
      </c>
      <c r="H151" s="6">
        <v>750</v>
      </c>
      <c r="I151" s="6">
        <v>435</v>
      </c>
      <c r="J151" s="6">
        <v>15</v>
      </c>
      <c r="K151" s="40">
        <v>225</v>
      </c>
      <c r="L151" s="40">
        <v>1</v>
      </c>
      <c r="M151" s="40">
        <v>99</v>
      </c>
      <c r="N151" s="40">
        <v>0</v>
      </c>
      <c r="O151" s="40">
        <v>0</v>
      </c>
      <c r="P151" s="40">
        <v>97</v>
      </c>
      <c r="Q151" s="40">
        <v>0</v>
      </c>
      <c r="R151" s="40">
        <v>0</v>
      </c>
      <c r="S151" s="40">
        <v>2</v>
      </c>
    </row>
    <row r="152" spans="1:19" x14ac:dyDescent="0.35">
      <c r="A152" s="38">
        <v>149</v>
      </c>
      <c r="B152" s="38" t="str">
        <f>_xlfn.XLOOKUP(A152,'Model Modeshare by TAZ'!A:A,'Model Modeshare by TAZ'!B:B)</f>
        <v>Unincorporated</v>
      </c>
      <c r="C152" s="38" t="str">
        <f>_xlfn.XLOOKUP(A152,'Model Modeshare by TAZ'!A:A,'Model Modeshare by TAZ'!D:D)</f>
        <v>NO</v>
      </c>
      <c r="D152" s="6">
        <v>3</v>
      </c>
      <c r="E152" s="6">
        <v>124</v>
      </c>
      <c r="F152" s="6">
        <v>403</v>
      </c>
      <c r="G152" s="6">
        <v>403</v>
      </c>
      <c r="H152" s="6">
        <v>205</v>
      </c>
      <c r="I152" s="6">
        <v>120</v>
      </c>
      <c r="J152" s="6">
        <v>4</v>
      </c>
      <c r="K152" s="40">
        <v>213</v>
      </c>
      <c r="L152" s="40">
        <v>5</v>
      </c>
      <c r="M152" s="40">
        <v>801</v>
      </c>
      <c r="N152" s="40">
        <v>0</v>
      </c>
      <c r="O152" s="40">
        <v>280</v>
      </c>
      <c r="P152" s="40">
        <v>507</v>
      </c>
      <c r="Q152" s="40">
        <v>0</v>
      </c>
      <c r="R152" s="40">
        <v>0</v>
      </c>
      <c r="S152" s="40">
        <v>14</v>
      </c>
    </row>
    <row r="153" spans="1:19" x14ac:dyDescent="0.35">
      <c r="A153" s="38">
        <v>150</v>
      </c>
      <c r="B153" s="38" t="str">
        <f>_xlfn.XLOOKUP(A153,'Model Modeshare by TAZ'!A:A,'Model Modeshare by TAZ'!B:B)</f>
        <v>Gilroy</v>
      </c>
      <c r="C153" s="38" t="str">
        <f>_xlfn.XLOOKUP(A153,'Model Modeshare by TAZ'!A:A,'Model Modeshare by TAZ'!D:D)</f>
        <v>NO</v>
      </c>
      <c r="D153" s="6">
        <v>3</v>
      </c>
      <c r="E153" s="6">
        <v>777</v>
      </c>
      <c r="F153" s="6">
        <v>2432</v>
      </c>
      <c r="G153" s="6">
        <v>2449</v>
      </c>
      <c r="H153" s="6">
        <v>1300</v>
      </c>
      <c r="I153" s="6">
        <v>521</v>
      </c>
      <c r="J153" s="6">
        <v>256</v>
      </c>
      <c r="K153" s="40">
        <v>94</v>
      </c>
      <c r="L153" s="40">
        <v>47</v>
      </c>
      <c r="M153" s="40">
        <v>581</v>
      </c>
      <c r="N153" s="40">
        <v>89</v>
      </c>
      <c r="O153" s="40">
        <v>455</v>
      </c>
      <c r="P153" s="40">
        <v>2</v>
      </c>
      <c r="Q153" s="40">
        <v>1</v>
      </c>
      <c r="R153" s="40">
        <v>30</v>
      </c>
      <c r="S153" s="40">
        <v>4</v>
      </c>
    </row>
    <row r="154" spans="1:19" x14ac:dyDescent="0.35">
      <c r="A154" s="38">
        <v>151</v>
      </c>
      <c r="B154" s="38" t="str">
        <f>_xlfn.XLOOKUP(A154,'Model Modeshare by TAZ'!A:A,'Model Modeshare by TAZ'!B:B)</f>
        <v>Gilroy</v>
      </c>
      <c r="C154" s="38" t="str">
        <f>_xlfn.XLOOKUP(A154,'Model Modeshare by TAZ'!A:A,'Model Modeshare by TAZ'!D:D)</f>
        <v>NO</v>
      </c>
      <c r="D154" s="6">
        <v>3</v>
      </c>
      <c r="E154" s="6">
        <v>583</v>
      </c>
      <c r="F154" s="6">
        <v>1824</v>
      </c>
      <c r="G154" s="6">
        <v>1828</v>
      </c>
      <c r="H154" s="6">
        <v>975</v>
      </c>
      <c r="I154" s="6">
        <v>426</v>
      </c>
      <c r="J154" s="6">
        <v>157</v>
      </c>
      <c r="K154" s="40">
        <v>114</v>
      </c>
      <c r="L154" s="40">
        <v>1</v>
      </c>
      <c r="M154" s="40">
        <v>54</v>
      </c>
      <c r="N154" s="40">
        <v>0</v>
      </c>
      <c r="O154" s="40">
        <v>0</v>
      </c>
      <c r="P154" s="40">
        <v>0</v>
      </c>
      <c r="Q154" s="40">
        <v>54</v>
      </c>
      <c r="R154" s="40">
        <v>0</v>
      </c>
      <c r="S154" s="40">
        <v>0</v>
      </c>
    </row>
    <row r="155" spans="1:19" x14ac:dyDescent="0.35">
      <c r="A155" s="38">
        <v>152</v>
      </c>
      <c r="B155" s="38" t="str">
        <f>_xlfn.XLOOKUP(A155,'Model Modeshare by TAZ'!A:A,'Model Modeshare by TAZ'!B:B)</f>
        <v>Gilroy</v>
      </c>
      <c r="C155" s="38" t="str">
        <f>_xlfn.XLOOKUP(A155,'Model Modeshare by TAZ'!A:A,'Model Modeshare by TAZ'!D:D)</f>
        <v>NO</v>
      </c>
      <c r="D155" s="6">
        <v>3</v>
      </c>
      <c r="E155" s="6">
        <v>0</v>
      </c>
      <c r="F155" s="6">
        <v>0</v>
      </c>
      <c r="G155" s="6">
        <v>0</v>
      </c>
      <c r="H155" s="6">
        <v>0</v>
      </c>
      <c r="I155" s="6">
        <v>0</v>
      </c>
      <c r="J155" s="6">
        <v>0</v>
      </c>
      <c r="K155" s="40">
        <v>6</v>
      </c>
      <c r="L155" s="40">
        <v>1</v>
      </c>
      <c r="M155" s="40">
        <v>63</v>
      </c>
      <c r="N155" s="40">
        <v>1</v>
      </c>
      <c r="O155" s="40">
        <v>13</v>
      </c>
      <c r="P155" s="40">
        <v>49</v>
      </c>
      <c r="Q155" s="40">
        <v>0</v>
      </c>
      <c r="R155" s="40">
        <v>0</v>
      </c>
      <c r="S155" s="40">
        <v>0</v>
      </c>
    </row>
    <row r="156" spans="1:19" x14ac:dyDescent="0.35">
      <c r="A156" s="38">
        <v>153</v>
      </c>
      <c r="B156" s="38" t="str">
        <f>_xlfn.XLOOKUP(A156,'Model Modeshare by TAZ'!A:A,'Model Modeshare by TAZ'!B:B)</f>
        <v>Gilroy</v>
      </c>
      <c r="C156" s="38" t="str">
        <f>_xlfn.XLOOKUP(A156,'Model Modeshare by TAZ'!A:A,'Model Modeshare by TAZ'!D:D)</f>
        <v>NO</v>
      </c>
      <c r="D156" s="6">
        <v>3</v>
      </c>
      <c r="E156" s="6">
        <v>468</v>
      </c>
      <c r="F156" s="6">
        <v>1486</v>
      </c>
      <c r="G156" s="6">
        <v>1491</v>
      </c>
      <c r="H156" s="6">
        <v>701</v>
      </c>
      <c r="I156" s="6">
        <v>381</v>
      </c>
      <c r="J156" s="6">
        <v>87</v>
      </c>
      <c r="K156" s="40">
        <v>68</v>
      </c>
      <c r="L156" s="40">
        <v>16</v>
      </c>
      <c r="M156" s="40">
        <v>409</v>
      </c>
      <c r="N156" s="40">
        <v>92</v>
      </c>
      <c r="O156" s="40">
        <v>284</v>
      </c>
      <c r="P156" s="40">
        <v>0</v>
      </c>
      <c r="Q156" s="40">
        <v>4</v>
      </c>
      <c r="R156" s="40">
        <v>24</v>
      </c>
      <c r="S156" s="40">
        <v>5</v>
      </c>
    </row>
    <row r="157" spans="1:19" x14ac:dyDescent="0.35">
      <c r="A157" s="38">
        <v>154</v>
      </c>
      <c r="B157" s="38" t="str">
        <f>_xlfn.XLOOKUP(A157,'Model Modeshare by TAZ'!A:A,'Model Modeshare by TAZ'!B:B)</f>
        <v>Gilroy</v>
      </c>
      <c r="C157" s="38" t="str">
        <f>_xlfn.XLOOKUP(A157,'Model Modeshare by TAZ'!A:A,'Model Modeshare by TAZ'!D:D)</f>
        <v>NO</v>
      </c>
      <c r="D157" s="6">
        <v>3</v>
      </c>
      <c r="E157" s="6">
        <v>105</v>
      </c>
      <c r="F157" s="6">
        <v>334</v>
      </c>
      <c r="G157" s="6">
        <v>336</v>
      </c>
      <c r="H157" s="6">
        <v>157</v>
      </c>
      <c r="I157" s="6">
        <v>78</v>
      </c>
      <c r="J157" s="6">
        <v>27</v>
      </c>
      <c r="K157" s="40">
        <v>26</v>
      </c>
      <c r="L157" s="40">
        <v>11</v>
      </c>
      <c r="M157" s="40">
        <v>178</v>
      </c>
      <c r="N157" s="40">
        <v>37</v>
      </c>
      <c r="O157" s="40">
        <v>92</v>
      </c>
      <c r="P157" s="40">
        <v>43</v>
      </c>
      <c r="Q157" s="40">
        <v>0</v>
      </c>
      <c r="R157" s="40">
        <v>5</v>
      </c>
      <c r="S157" s="40">
        <v>1</v>
      </c>
    </row>
    <row r="158" spans="1:19" x14ac:dyDescent="0.35">
      <c r="A158" s="38">
        <v>155</v>
      </c>
      <c r="B158" s="38" t="str">
        <f>_xlfn.XLOOKUP(A158,'Model Modeshare by TAZ'!A:A,'Model Modeshare by TAZ'!B:B)</f>
        <v>Gilroy</v>
      </c>
      <c r="C158" s="38" t="str">
        <f>_xlfn.XLOOKUP(A158,'Model Modeshare by TAZ'!A:A,'Model Modeshare by TAZ'!D:D)</f>
        <v>NO</v>
      </c>
      <c r="D158" s="6">
        <v>3</v>
      </c>
      <c r="E158" s="6">
        <v>383</v>
      </c>
      <c r="F158" s="6">
        <v>1217</v>
      </c>
      <c r="G158" s="6">
        <v>1222</v>
      </c>
      <c r="H158" s="6">
        <v>574</v>
      </c>
      <c r="I158" s="6">
        <v>283</v>
      </c>
      <c r="J158" s="6">
        <v>100</v>
      </c>
      <c r="K158" s="40">
        <v>109</v>
      </c>
      <c r="L158" s="40">
        <v>4</v>
      </c>
      <c r="M158" s="40">
        <v>122</v>
      </c>
      <c r="N158" s="40">
        <v>0</v>
      </c>
      <c r="O158" s="40">
        <v>18</v>
      </c>
      <c r="P158" s="40">
        <v>74</v>
      </c>
      <c r="Q158" s="40">
        <v>24</v>
      </c>
      <c r="R158" s="40">
        <v>3</v>
      </c>
      <c r="S158" s="40">
        <v>3</v>
      </c>
    </row>
    <row r="159" spans="1:19" x14ac:dyDescent="0.35">
      <c r="A159" s="38">
        <v>156</v>
      </c>
      <c r="B159" s="38" t="str">
        <f>_xlfn.XLOOKUP(A159,'Model Modeshare by TAZ'!A:A,'Model Modeshare by TAZ'!B:B)</f>
        <v>Gilroy</v>
      </c>
      <c r="C159" s="38" t="str">
        <f>_xlfn.XLOOKUP(A159,'Model Modeshare by TAZ'!A:A,'Model Modeshare by TAZ'!D:D)</f>
        <v>NO</v>
      </c>
      <c r="D159" s="6">
        <v>3</v>
      </c>
      <c r="E159" s="6">
        <v>416</v>
      </c>
      <c r="F159" s="6">
        <v>1321</v>
      </c>
      <c r="G159" s="6">
        <v>1324</v>
      </c>
      <c r="H159" s="6">
        <v>623</v>
      </c>
      <c r="I159" s="6">
        <v>307</v>
      </c>
      <c r="J159" s="6">
        <v>109</v>
      </c>
      <c r="K159" s="40">
        <v>59</v>
      </c>
      <c r="L159" s="40">
        <v>1</v>
      </c>
      <c r="M159" s="40">
        <v>166</v>
      </c>
      <c r="N159" s="40">
        <v>0</v>
      </c>
      <c r="O159" s="40">
        <v>149</v>
      </c>
      <c r="P159" s="40">
        <v>0</v>
      </c>
      <c r="Q159" s="40">
        <v>0</v>
      </c>
      <c r="R159" s="40">
        <v>17</v>
      </c>
      <c r="S159" s="40">
        <v>0</v>
      </c>
    </row>
    <row r="160" spans="1:19" x14ac:dyDescent="0.35">
      <c r="A160" s="38">
        <v>157</v>
      </c>
      <c r="B160" s="38" t="str">
        <f>_xlfn.XLOOKUP(A160,'Model Modeshare by TAZ'!A:A,'Model Modeshare by TAZ'!B:B)</f>
        <v>Gilroy</v>
      </c>
      <c r="C160" s="38" t="str">
        <f>_xlfn.XLOOKUP(A160,'Model Modeshare by TAZ'!A:A,'Model Modeshare by TAZ'!D:D)</f>
        <v>NO</v>
      </c>
      <c r="D160" s="6">
        <v>3</v>
      </c>
      <c r="E160" s="6">
        <v>432</v>
      </c>
      <c r="F160" s="6">
        <v>1373</v>
      </c>
      <c r="G160" s="6">
        <v>1390</v>
      </c>
      <c r="H160" s="6">
        <v>648</v>
      </c>
      <c r="I160" s="6">
        <v>318</v>
      </c>
      <c r="J160" s="6">
        <v>114</v>
      </c>
      <c r="K160" s="40">
        <v>78</v>
      </c>
      <c r="L160" s="40">
        <v>3</v>
      </c>
      <c r="M160" s="40">
        <v>52</v>
      </c>
      <c r="N160" s="40">
        <v>0</v>
      </c>
      <c r="O160" s="40">
        <v>37</v>
      </c>
      <c r="P160" s="40">
        <v>1</v>
      </c>
      <c r="Q160" s="40">
        <v>0</v>
      </c>
      <c r="R160" s="40">
        <v>7</v>
      </c>
      <c r="S160" s="40">
        <v>7</v>
      </c>
    </row>
    <row r="161" spans="1:19" x14ac:dyDescent="0.35">
      <c r="A161" s="38">
        <v>158</v>
      </c>
      <c r="B161" s="38" t="str">
        <f>_xlfn.XLOOKUP(A161,'Model Modeshare by TAZ'!A:A,'Model Modeshare by TAZ'!B:B)</f>
        <v>Gilroy</v>
      </c>
      <c r="C161" s="38" t="str">
        <f>_xlfn.XLOOKUP(A161,'Model Modeshare by TAZ'!A:A,'Model Modeshare by TAZ'!D:D)</f>
        <v>NO</v>
      </c>
      <c r="D161" s="6">
        <v>3</v>
      </c>
      <c r="E161" s="6">
        <v>356</v>
      </c>
      <c r="F161" s="6">
        <v>1127</v>
      </c>
      <c r="G161" s="6">
        <v>1129</v>
      </c>
      <c r="H161" s="6">
        <v>532</v>
      </c>
      <c r="I161" s="6">
        <v>262</v>
      </c>
      <c r="J161" s="6">
        <v>94</v>
      </c>
      <c r="K161" s="40">
        <v>88</v>
      </c>
      <c r="L161" s="40">
        <v>6</v>
      </c>
      <c r="M161" s="40">
        <v>122</v>
      </c>
      <c r="N161" s="40">
        <v>10</v>
      </c>
      <c r="O161" s="40">
        <v>96</v>
      </c>
      <c r="P161" s="40">
        <v>0</v>
      </c>
      <c r="Q161" s="40">
        <v>1</v>
      </c>
      <c r="R161" s="40">
        <v>12</v>
      </c>
      <c r="S161" s="40">
        <v>3</v>
      </c>
    </row>
    <row r="162" spans="1:19" x14ac:dyDescent="0.35">
      <c r="A162" s="38">
        <v>159</v>
      </c>
      <c r="B162" s="38" t="str">
        <f>_xlfn.XLOOKUP(A162,'Model Modeshare by TAZ'!A:A,'Model Modeshare by TAZ'!B:B)</f>
        <v>Gilroy</v>
      </c>
      <c r="C162" s="38" t="str">
        <f>_xlfn.XLOOKUP(A162,'Model Modeshare by TAZ'!A:A,'Model Modeshare by TAZ'!D:D)</f>
        <v>NO</v>
      </c>
      <c r="D162" s="6">
        <v>3</v>
      </c>
      <c r="E162" s="6">
        <v>238</v>
      </c>
      <c r="F162" s="6">
        <v>754</v>
      </c>
      <c r="G162" s="6">
        <v>762</v>
      </c>
      <c r="H162" s="6">
        <v>356</v>
      </c>
      <c r="I162" s="6">
        <v>175</v>
      </c>
      <c r="J162" s="6">
        <v>63</v>
      </c>
      <c r="K162" s="40">
        <v>42</v>
      </c>
      <c r="L162" s="40">
        <v>2</v>
      </c>
      <c r="M162" s="40">
        <v>230</v>
      </c>
      <c r="N162" s="40">
        <v>0</v>
      </c>
      <c r="O162" s="40">
        <v>6</v>
      </c>
      <c r="P162" s="40">
        <v>223</v>
      </c>
      <c r="Q162" s="40">
        <v>0</v>
      </c>
      <c r="R162" s="40">
        <v>1</v>
      </c>
      <c r="S162" s="40">
        <v>0</v>
      </c>
    </row>
    <row r="163" spans="1:19" x14ac:dyDescent="0.35">
      <c r="A163" s="38">
        <v>160</v>
      </c>
      <c r="B163" s="38" t="str">
        <f>_xlfn.XLOOKUP(A163,'Model Modeshare by TAZ'!A:A,'Model Modeshare by TAZ'!B:B)</f>
        <v>Gilroy</v>
      </c>
      <c r="C163" s="38" t="str">
        <f>_xlfn.XLOOKUP(A163,'Model Modeshare by TAZ'!A:A,'Model Modeshare by TAZ'!D:D)</f>
        <v>NO</v>
      </c>
      <c r="D163" s="6">
        <v>3</v>
      </c>
      <c r="E163" s="6">
        <v>212</v>
      </c>
      <c r="F163" s="6">
        <v>672</v>
      </c>
      <c r="G163" s="6">
        <v>673</v>
      </c>
      <c r="H163" s="6">
        <v>316</v>
      </c>
      <c r="I163" s="6">
        <v>156</v>
      </c>
      <c r="J163" s="6">
        <v>56</v>
      </c>
      <c r="K163" s="40">
        <v>23</v>
      </c>
      <c r="L163" s="40">
        <v>14</v>
      </c>
      <c r="M163" s="40">
        <v>159</v>
      </c>
      <c r="N163" s="40">
        <v>0</v>
      </c>
      <c r="O163" s="40">
        <v>26</v>
      </c>
      <c r="P163" s="40">
        <v>129</v>
      </c>
      <c r="Q163" s="40">
        <v>0</v>
      </c>
      <c r="R163" s="40">
        <v>4</v>
      </c>
      <c r="S163" s="40">
        <v>0</v>
      </c>
    </row>
    <row r="164" spans="1:19" x14ac:dyDescent="0.35">
      <c r="A164" s="38">
        <v>161</v>
      </c>
      <c r="B164" s="38" t="str">
        <f>_xlfn.XLOOKUP(A164,'Model Modeshare by TAZ'!A:A,'Model Modeshare by TAZ'!B:B)</f>
        <v>Gilroy</v>
      </c>
      <c r="C164" s="38" t="str">
        <f>_xlfn.XLOOKUP(A164,'Model Modeshare by TAZ'!A:A,'Model Modeshare by TAZ'!D:D)</f>
        <v>NO</v>
      </c>
      <c r="D164" s="6">
        <v>3</v>
      </c>
      <c r="E164" s="6">
        <v>112</v>
      </c>
      <c r="F164" s="6">
        <v>454</v>
      </c>
      <c r="G164" s="6">
        <v>466</v>
      </c>
      <c r="H164" s="6">
        <v>204</v>
      </c>
      <c r="I164" s="6">
        <v>56</v>
      </c>
      <c r="J164" s="6">
        <v>56</v>
      </c>
      <c r="K164" s="40">
        <v>21</v>
      </c>
      <c r="L164" s="40">
        <v>6</v>
      </c>
      <c r="M164" s="40">
        <v>226</v>
      </c>
      <c r="N164" s="40">
        <v>18</v>
      </c>
      <c r="O164" s="40">
        <v>156</v>
      </c>
      <c r="P164" s="40">
        <v>29</v>
      </c>
      <c r="Q164" s="40">
        <v>0</v>
      </c>
      <c r="R164" s="40">
        <v>18</v>
      </c>
      <c r="S164" s="40">
        <v>5</v>
      </c>
    </row>
    <row r="165" spans="1:19" x14ac:dyDescent="0.35">
      <c r="A165" s="38">
        <v>162</v>
      </c>
      <c r="B165" s="38" t="str">
        <f>_xlfn.XLOOKUP(A165,'Model Modeshare by TAZ'!A:A,'Model Modeshare by TAZ'!B:B)</f>
        <v>Gilroy</v>
      </c>
      <c r="C165" s="38" t="str">
        <f>_xlfn.XLOOKUP(A165,'Model Modeshare by TAZ'!A:A,'Model Modeshare by TAZ'!D:D)</f>
        <v>NO</v>
      </c>
      <c r="D165" s="6">
        <v>3</v>
      </c>
      <c r="E165" s="6">
        <v>179</v>
      </c>
      <c r="F165" s="6">
        <v>731</v>
      </c>
      <c r="G165" s="6">
        <v>766</v>
      </c>
      <c r="H165" s="6">
        <v>298</v>
      </c>
      <c r="I165" s="6">
        <v>88</v>
      </c>
      <c r="J165" s="6">
        <v>91</v>
      </c>
      <c r="K165" s="40">
        <v>29</v>
      </c>
      <c r="L165" s="40">
        <v>6</v>
      </c>
      <c r="M165" s="40">
        <v>257</v>
      </c>
      <c r="N165" s="40">
        <v>17</v>
      </c>
      <c r="O165" s="40">
        <v>197</v>
      </c>
      <c r="P165" s="40">
        <v>22</v>
      </c>
      <c r="Q165" s="40">
        <v>0</v>
      </c>
      <c r="R165" s="40">
        <v>17</v>
      </c>
      <c r="S165" s="40">
        <v>4</v>
      </c>
    </row>
    <row r="166" spans="1:19" x14ac:dyDescent="0.35">
      <c r="A166" s="38">
        <v>163</v>
      </c>
      <c r="B166" s="38" t="str">
        <f>_xlfn.XLOOKUP(A166,'Model Modeshare by TAZ'!A:A,'Model Modeshare by TAZ'!B:B)</f>
        <v>Gilroy</v>
      </c>
      <c r="C166" s="38" t="str">
        <f>_xlfn.XLOOKUP(A166,'Model Modeshare by TAZ'!A:A,'Model Modeshare by TAZ'!D:D)</f>
        <v>NO</v>
      </c>
      <c r="D166" s="6">
        <v>3</v>
      </c>
      <c r="E166" s="6">
        <v>198</v>
      </c>
      <c r="F166" s="6">
        <v>632</v>
      </c>
      <c r="G166" s="6">
        <v>635</v>
      </c>
      <c r="H166" s="6">
        <v>297</v>
      </c>
      <c r="I166" s="6">
        <v>146</v>
      </c>
      <c r="J166" s="6">
        <v>52</v>
      </c>
      <c r="K166" s="40">
        <v>19</v>
      </c>
      <c r="L166" s="40">
        <v>1</v>
      </c>
      <c r="M166" s="40">
        <v>18</v>
      </c>
      <c r="N166" s="40">
        <v>0</v>
      </c>
      <c r="O166" s="40">
        <v>12</v>
      </c>
      <c r="P166" s="40">
        <v>0</v>
      </c>
      <c r="Q166" s="40">
        <v>0</v>
      </c>
      <c r="R166" s="40">
        <v>3</v>
      </c>
      <c r="S166" s="40">
        <v>3</v>
      </c>
    </row>
    <row r="167" spans="1:19" x14ac:dyDescent="0.35">
      <c r="A167" s="38">
        <v>164</v>
      </c>
      <c r="B167" s="38" t="str">
        <f>_xlfn.XLOOKUP(A167,'Model Modeshare by TAZ'!A:A,'Model Modeshare by TAZ'!B:B)</f>
        <v>Gilroy</v>
      </c>
      <c r="C167" s="38" t="str">
        <f>_xlfn.XLOOKUP(A167,'Model Modeshare by TAZ'!A:A,'Model Modeshare by TAZ'!D:D)</f>
        <v>NO</v>
      </c>
      <c r="D167" s="6">
        <v>3</v>
      </c>
      <c r="E167" s="6">
        <v>98</v>
      </c>
      <c r="F167" s="6">
        <v>311</v>
      </c>
      <c r="G167" s="6">
        <v>313</v>
      </c>
      <c r="H167" s="6">
        <v>147</v>
      </c>
      <c r="I167" s="6">
        <v>72</v>
      </c>
      <c r="J167" s="6">
        <v>26</v>
      </c>
      <c r="K167" s="40">
        <v>13</v>
      </c>
      <c r="L167" s="40">
        <v>1</v>
      </c>
      <c r="M167" s="40">
        <v>6</v>
      </c>
      <c r="N167" s="40">
        <v>3</v>
      </c>
      <c r="O167" s="40">
        <v>3</v>
      </c>
      <c r="P167" s="40">
        <v>0</v>
      </c>
      <c r="Q167" s="40">
        <v>0</v>
      </c>
      <c r="R167" s="40">
        <v>0</v>
      </c>
      <c r="S167" s="40">
        <v>0</v>
      </c>
    </row>
    <row r="168" spans="1:19" x14ac:dyDescent="0.35">
      <c r="A168" s="38">
        <v>165</v>
      </c>
      <c r="B168" s="38" t="str">
        <f>_xlfn.XLOOKUP(A168,'Model Modeshare by TAZ'!A:A,'Model Modeshare by TAZ'!B:B)</f>
        <v>Gilroy</v>
      </c>
      <c r="C168" s="38" t="str">
        <f>_xlfn.XLOOKUP(A168,'Model Modeshare by TAZ'!A:A,'Model Modeshare by TAZ'!D:D)</f>
        <v>NO</v>
      </c>
      <c r="D168" s="6">
        <v>3</v>
      </c>
      <c r="E168" s="6">
        <v>456</v>
      </c>
      <c r="F168" s="6">
        <v>1861</v>
      </c>
      <c r="G168" s="6">
        <v>1902</v>
      </c>
      <c r="H168" s="6">
        <v>835</v>
      </c>
      <c r="I168" s="6">
        <v>226</v>
      </c>
      <c r="J168" s="6">
        <v>230</v>
      </c>
      <c r="K168" s="40">
        <v>81</v>
      </c>
      <c r="L168" s="40">
        <v>50</v>
      </c>
      <c r="M168" s="40">
        <v>1265</v>
      </c>
      <c r="N168" s="40">
        <v>70</v>
      </c>
      <c r="O168" s="40">
        <v>620</v>
      </c>
      <c r="P168" s="40">
        <v>232</v>
      </c>
      <c r="Q168" s="40">
        <v>0</v>
      </c>
      <c r="R168" s="40">
        <v>315</v>
      </c>
      <c r="S168" s="40">
        <v>28</v>
      </c>
    </row>
    <row r="169" spans="1:19" x14ac:dyDescent="0.35">
      <c r="A169" s="38">
        <v>166</v>
      </c>
      <c r="B169" s="38" t="str">
        <f>_xlfn.XLOOKUP(A169,'Model Modeshare by TAZ'!A:A,'Model Modeshare by TAZ'!B:B)</f>
        <v>Gilroy</v>
      </c>
      <c r="C169" s="38" t="str">
        <f>_xlfn.XLOOKUP(A169,'Model Modeshare by TAZ'!A:A,'Model Modeshare by TAZ'!D:D)</f>
        <v>NO</v>
      </c>
      <c r="D169" s="6">
        <v>3</v>
      </c>
      <c r="E169" s="6">
        <v>46</v>
      </c>
      <c r="F169" s="6">
        <v>185</v>
      </c>
      <c r="G169" s="6">
        <v>190</v>
      </c>
      <c r="H169" s="6">
        <v>75</v>
      </c>
      <c r="I169" s="6">
        <v>22</v>
      </c>
      <c r="J169" s="6">
        <v>24</v>
      </c>
      <c r="K169" s="40">
        <v>8</v>
      </c>
      <c r="L169" s="40">
        <v>1</v>
      </c>
      <c r="M169" s="40">
        <v>68</v>
      </c>
      <c r="N169" s="40">
        <v>0</v>
      </c>
      <c r="O169" s="40">
        <v>19</v>
      </c>
      <c r="P169" s="40">
        <v>20</v>
      </c>
      <c r="Q169" s="40">
        <v>0</v>
      </c>
      <c r="R169" s="40">
        <v>19</v>
      </c>
      <c r="S169" s="40">
        <v>10</v>
      </c>
    </row>
    <row r="170" spans="1:19" x14ac:dyDescent="0.35">
      <c r="A170" s="38">
        <v>167</v>
      </c>
      <c r="B170" s="38" t="str">
        <f>_xlfn.XLOOKUP(A170,'Model Modeshare by TAZ'!A:A,'Model Modeshare by TAZ'!B:B)</f>
        <v>Gilroy</v>
      </c>
      <c r="C170" s="38" t="str">
        <f>_xlfn.XLOOKUP(A170,'Model Modeshare by TAZ'!A:A,'Model Modeshare by TAZ'!D:D)</f>
        <v>NO</v>
      </c>
      <c r="D170" s="6">
        <v>3</v>
      </c>
      <c r="E170" s="6">
        <v>347</v>
      </c>
      <c r="F170" s="6">
        <v>1433</v>
      </c>
      <c r="G170" s="6">
        <v>1466</v>
      </c>
      <c r="H170" s="6">
        <v>585</v>
      </c>
      <c r="I170" s="6">
        <v>42</v>
      </c>
      <c r="J170" s="6">
        <v>305</v>
      </c>
      <c r="K170" s="40">
        <v>20</v>
      </c>
      <c r="L170" s="40">
        <v>168</v>
      </c>
      <c r="M170" s="40">
        <v>2094</v>
      </c>
      <c r="N170" s="40">
        <v>330</v>
      </c>
      <c r="O170" s="40">
        <v>682</v>
      </c>
      <c r="P170" s="40">
        <v>399</v>
      </c>
      <c r="Q170" s="40">
        <v>1</v>
      </c>
      <c r="R170" s="40">
        <v>619</v>
      </c>
      <c r="S170" s="40">
        <v>63</v>
      </c>
    </row>
    <row r="171" spans="1:19" x14ac:dyDescent="0.35">
      <c r="A171" s="38">
        <v>168</v>
      </c>
      <c r="B171" s="38" t="str">
        <f>_xlfn.XLOOKUP(A171,'Model Modeshare by TAZ'!A:A,'Model Modeshare by TAZ'!B:B)</f>
        <v>Gilroy</v>
      </c>
      <c r="C171" s="38" t="str">
        <f>_xlfn.XLOOKUP(A171,'Model Modeshare by TAZ'!A:A,'Model Modeshare by TAZ'!D:D)</f>
        <v>NO</v>
      </c>
      <c r="D171" s="6">
        <v>3</v>
      </c>
      <c r="E171" s="6">
        <v>819</v>
      </c>
      <c r="F171" s="6">
        <v>2564</v>
      </c>
      <c r="G171" s="6">
        <v>2568</v>
      </c>
      <c r="H171" s="6">
        <v>1379</v>
      </c>
      <c r="I171" s="6">
        <v>625</v>
      </c>
      <c r="J171" s="6">
        <v>194</v>
      </c>
      <c r="K171" s="40">
        <v>101</v>
      </c>
      <c r="L171" s="40">
        <v>14</v>
      </c>
      <c r="M171" s="40">
        <v>157</v>
      </c>
      <c r="N171" s="40">
        <v>52</v>
      </c>
      <c r="O171" s="40">
        <v>101</v>
      </c>
      <c r="P171" s="40">
        <v>0</v>
      </c>
      <c r="Q171" s="40">
        <v>1</v>
      </c>
      <c r="R171" s="40">
        <v>3</v>
      </c>
      <c r="S171" s="40">
        <v>0</v>
      </c>
    </row>
    <row r="172" spans="1:19" x14ac:dyDescent="0.35">
      <c r="A172" s="38">
        <v>169</v>
      </c>
      <c r="B172" s="38" t="str">
        <f>_xlfn.XLOOKUP(A172,'Model Modeshare by TAZ'!A:A,'Model Modeshare by TAZ'!B:B)</f>
        <v>Gilroy</v>
      </c>
      <c r="C172" s="38" t="str">
        <f>_xlfn.XLOOKUP(A172,'Model Modeshare by TAZ'!A:A,'Model Modeshare by TAZ'!D:D)</f>
        <v>NO</v>
      </c>
      <c r="D172" s="6">
        <v>3</v>
      </c>
      <c r="E172" s="6">
        <v>588</v>
      </c>
      <c r="F172" s="6">
        <v>1841</v>
      </c>
      <c r="G172" s="6">
        <v>1845</v>
      </c>
      <c r="H172" s="6">
        <v>991</v>
      </c>
      <c r="I172" s="6">
        <v>522</v>
      </c>
      <c r="J172" s="6">
        <v>66</v>
      </c>
      <c r="K172" s="40">
        <v>63</v>
      </c>
      <c r="L172" s="40">
        <v>1</v>
      </c>
      <c r="M172" s="40">
        <v>46</v>
      </c>
      <c r="N172" s="40">
        <v>0</v>
      </c>
      <c r="O172" s="40">
        <v>24</v>
      </c>
      <c r="P172" s="40">
        <v>11</v>
      </c>
      <c r="Q172" s="40">
        <v>11</v>
      </c>
      <c r="R172" s="40">
        <v>0</v>
      </c>
      <c r="S172" s="40">
        <v>0</v>
      </c>
    </row>
    <row r="173" spans="1:19" x14ac:dyDescent="0.35">
      <c r="A173" s="38">
        <v>170</v>
      </c>
      <c r="B173" s="38" t="str">
        <f>_xlfn.XLOOKUP(A173,'Model Modeshare by TAZ'!A:A,'Model Modeshare by TAZ'!B:B)</f>
        <v>Gilroy</v>
      </c>
      <c r="C173" s="38" t="str">
        <f>_xlfn.XLOOKUP(A173,'Model Modeshare by TAZ'!A:A,'Model Modeshare by TAZ'!D:D)</f>
        <v>NO</v>
      </c>
      <c r="D173" s="6">
        <v>3</v>
      </c>
      <c r="E173" s="6">
        <v>96</v>
      </c>
      <c r="F173" s="6">
        <v>298</v>
      </c>
      <c r="G173" s="6">
        <v>299</v>
      </c>
      <c r="H173" s="6">
        <v>160</v>
      </c>
      <c r="I173" s="6">
        <v>70</v>
      </c>
      <c r="J173" s="6">
        <v>26</v>
      </c>
      <c r="K173" s="40">
        <v>15</v>
      </c>
      <c r="L173" s="40">
        <v>10</v>
      </c>
      <c r="M173" s="40">
        <v>214</v>
      </c>
      <c r="N173" s="40">
        <v>0</v>
      </c>
      <c r="O173" s="40">
        <v>0</v>
      </c>
      <c r="P173" s="40">
        <v>214</v>
      </c>
      <c r="Q173" s="40">
        <v>0</v>
      </c>
      <c r="R173" s="40">
        <v>0</v>
      </c>
      <c r="S173" s="40">
        <v>0</v>
      </c>
    </row>
    <row r="174" spans="1:19" x14ac:dyDescent="0.35">
      <c r="A174" s="38">
        <v>171</v>
      </c>
      <c r="B174" s="38" t="str">
        <f>_xlfn.XLOOKUP(A174,'Model Modeshare by TAZ'!A:A,'Model Modeshare by TAZ'!B:B)</f>
        <v>Unincorporated</v>
      </c>
      <c r="C174" s="38" t="str">
        <f>_xlfn.XLOOKUP(A174,'Model Modeshare by TAZ'!A:A,'Model Modeshare by TAZ'!D:D)</f>
        <v>NO</v>
      </c>
      <c r="D174" s="6">
        <v>3</v>
      </c>
      <c r="E174" s="6">
        <v>49</v>
      </c>
      <c r="F174" s="6">
        <v>153</v>
      </c>
      <c r="G174" s="6">
        <v>153</v>
      </c>
      <c r="H174" s="6">
        <v>83</v>
      </c>
      <c r="I174" s="6">
        <v>36</v>
      </c>
      <c r="J174" s="6">
        <v>13</v>
      </c>
      <c r="K174" s="40">
        <v>110</v>
      </c>
      <c r="L174" s="40">
        <v>30</v>
      </c>
      <c r="M174" s="40">
        <v>82</v>
      </c>
      <c r="N174" s="40">
        <v>1</v>
      </c>
      <c r="O174" s="40">
        <v>24</v>
      </c>
      <c r="P174" s="40">
        <v>3</v>
      </c>
      <c r="Q174" s="40">
        <v>3</v>
      </c>
      <c r="R174" s="40">
        <v>39</v>
      </c>
      <c r="S174" s="40">
        <v>12</v>
      </c>
    </row>
    <row r="175" spans="1:19" x14ac:dyDescent="0.35">
      <c r="A175" s="38">
        <v>172</v>
      </c>
      <c r="B175" s="38" t="str">
        <f>_xlfn.XLOOKUP(A175,'Model Modeshare by TAZ'!A:A,'Model Modeshare by TAZ'!B:B)</f>
        <v>Unincorporated</v>
      </c>
      <c r="C175" s="38" t="str">
        <f>_xlfn.XLOOKUP(A175,'Model Modeshare by TAZ'!A:A,'Model Modeshare by TAZ'!D:D)</f>
        <v>NO</v>
      </c>
      <c r="D175" s="6">
        <v>3</v>
      </c>
      <c r="E175" s="6">
        <v>810</v>
      </c>
      <c r="F175" s="6">
        <v>2534</v>
      </c>
      <c r="G175" s="6">
        <v>2540</v>
      </c>
      <c r="H175" s="6">
        <v>1354</v>
      </c>
      <c r="I175" s="6">
        <v>595</v>
      </c>
      <c r="J175" s="6">
        <v>215</v>
      </c>
      <c r="K175" s="40">
        <v>218</v>
      </c>
      <c r="L175" s="40">
        <v>19</v>
      </c>
      <c r="M175" s="40">
        <v>284</v>
      </c>
      <c r="N175" s="40">
        <v>1</v>
      </c>
      <c r="O175" s="40">
        <v>7</v>
      </c>
      <c r="P175" s="40">
        <v>268</v>
      </c>
      <c r="Q175" s="40">
        <v>6</v>
      </c>
      <c r="R175" s="40">
        <v>2</v>
      </c>
      <c r="S175" s="40">
        <v>0</v>
      </c>
    </row>
    <row r="176" spans="1:19" x14ac:dyDescent="0.35">
      <c r="A176" s="38">
        <v>173</v>
      </c>
      <c r="B176" s="38" t="str">
        <f>_xlfn.XLOOKUP(A176,'Model Modeshare by TAZ'!A:A,'Model Modeshare by TAZ'!B:B)</f>
        <v>Unincorporated</v>
      </c>
      <c r="C176" s="38" t="str">
        <f>_xlfn.XLOOKUP(A176,'Model Modeshare by TAZ'!A:A,'Model Modeshare by TAZ'!D:D)</f>
        <v>NO</v>
      </c>
      <c r="D176" s="6">
        <v>3</v>
      </c>
      <c r="E176" s="6">
        <v>12</v>
      </c>
      <c r="F176" s="6">
        <v>39</v>
      </c>
      <c r="G176" s="6">
        <v>39</v>
      </c>
      <c r="H176" s="6">
        <v>22</v>
      </c>
      <c r="I176" s="6">
        <v>12</v>
      </c>
      <c r="J176" s="6">
        <v>0</v>
      </c>
      <c r="K176" s="40">
        <v>3</v>
      </c>
      <c r="L176" s="40">
        <v>206</v>
      </c>
      <c r="M176" s="40">
        <v>3420</v>
      </c>
      <c r="N176" s="40">
        <v>717</v>
      </c>
      <c r="O176" s="40">
        <v>1243</v>
      </c>
      <c r="P176" s="40">
        <v>916</v>
      </c>
      <c r="Q176" s="40">
        <v>0</v>
      </c>
      <c r="R176" s="40">
        <v>405</v>
      </c>
      <c r="S176" s="40">
        <v>139</v>
      </c>
    </row>
    <row r="177" spans="1:19" x14ac:dyDescent="0.35">
      <c r="A177" s="38">
        <v>174</v>
      </c>
      <c r="B177" s="38" t="str">
        <f>_xlfn.XLOOKUP(A177,'Model Modeshare by TAZ'!A:A,'Model Modeshare by TAZ'!B:B)</f>
        <v>Gilroy</v>
      </c>
      <c r="C177" s="38" t="str">
        <f>_xlfn.XLOOKUP(A177,'Model Modeshare by TAZ'!A:A,'Model Modeshare by TAZ'!D:D)</f>
        <v>NO</v>
      </c>
      <c r="D177" s="6">
        <v>3</v>
      </c>
      <c r="E177" s="6">
        <v>34</v>
      </c>
      <c r="F177" s="6">
        <v>111</v>
      </c>
      <c r="G177" s="6">
        <v>112</v>
      </c>
      <c r="H177" s="6">
        <v>65</v>
      </c>
      <c r="I177" s="6">
        <v>30</v>
      </c>
      <c r="J177" s="6">
        <v>4</v>
      </c>
      <c r="K177" s="40">
        <v>2</v>
      </c>
      <c r="L177" s="40">
        <v>187</v>
      </c>
      <c r="M177" s="40">
        <v>2051</v>
      </c>
      <c r="N177" s="40">
        <v>398</v>
      </c>
      <c r="O177" s="40">
        <v>323</v>
      </c>
      <c r="P177" s="40">
        <v>123</v>
      </c>
      <c r="Q177" s="40">
        <v>0</v>
      </c>
      <c r="R177" s="40">
        <v>1103</v>
      </c>
      <c r="S177" s="40">
        <v>104</v>
      </c>
    </row>
    <row r="178" spans="1:19" x14ac:dyDescent="0.35">
      <c r="A178" s="38">
        <v>175</v>
      </c>
      <c r="B178" s="38" t="str">
        <f>_xlfn.XLOOKUP(A178,'Model Modeshare by TAZ'!A:A,'Model Modeshare by TAZ'!B:B)</f>
        <v>Unincorporated</v>
      </c>
      <c r="C178" s="38" t="str">
        <f>_xlfn.XLOOKUP(A178,'Model Modeshare by TAZ'!A:A,'Model Modeshare by TAZ'!D:D)</f>
        <v>NO</v>
      </c>
      <c r="D178" s="6">
        <v>3</v>
      </c>
      <c r="E178" s="6">
        <v>22</v>
      </c>
      <c r="F178" s="6">
        <v>72</v>
      </c>
      <c r="G178" s="6">
        <v>72</v>
      </c>
      <c r="H178" s="6">
        <v>42</v>
      </c>
      <c r="I178" s="6">
        <v>20</v>
      </c>
      <c r="J178" s="6">
        <v>2</v>
      </c>
      <c r="K178" s="40">
        <v>7</v>
      </c>
      <c r="L178" s="40">
        <v>46</v>
      </c>
      <c r="M178" s="40">
        <v>277</v>
      </c>
      <c r="N178" s="40">
        <v>21</v>
      </c>
      <c r="O178" s="40">
        <v>126</v>
      </c>
      <c r="P178" s="40">
        <v>6</v>
      </c>
      <c r="Q178" s="40">
        <v>122</v>
      </c>
      <c r="R178" s="40">
        <v>0</v>
      </c>
      <c r="S178" s="40">
        <v>2</v>
      </c>
    </row>
    <row r="179" spans="1:19" x14ac:dyDescent="0.35">
      <c r="A179" s="38">
        <v>176</v>
      </c>
      <c r="B179" s="38" t="str">
        <f>_xlfn.XLOOKUP(A179,'Model Modeshare by TAZ'!A:A,'Model Modeshare by TAZ'!B:B)</f>
        <v>Gilroy</v>
      </c>
      <c r="C179" s="38" t="str">
        <f>_xlfn.XLOOKUP(A179,'Model Modeshare by TAZ'!A:A,'Model Modeshare by TAZ'!D:D)</f>
        <v>NO</v>
      </c>
      <c r="D179" s="6">
        <v>3</v>
      </c>
      <c r="E179" s="6">
        <v>12</v>
      </c>
      <c r="F179" s="6">
        <v>39</v>
      </c>
      <c r="G179" s="6">
        <v>40</v>
      </c>
      <c r="H179" s="6">
        <v>22</v>
      </c>
      <c r="I179" s="6">
        <v>10</v>
      </c>
      <c r="J179" s="6">
        <v>2</v>
      </c>
      <c r="K179" s="40">
        <v>1</v>
      </c>
      <c r="L179" s="40">
        <v>109</v>
      </c>
      <c r="M179" s="40">
        <v>1206</v>
      </c>
      <c r="N179" s="40">
        <v>13</v>
      </c>
      <c r="O179" s="40">
        <v>238</v>
      </c>
      <c r="P179" s="40">
        <v>128</v>
      </c>
      <c r="Q179" s="40">
        <v>0</v>
      </c>
      <c r="R179" s="40">
        <v>701</v>
      </c>
      <c r="S179" s="40">
        <v>126</v>
      </c>
    </row>
    <row r="180" spans="1:19" x14ac:dyDescent="0.35">
      <c r="A180" s="38">
        <v>177</v>
      </c>
      <c r="B180" s="38" t="str">
        <f>_xlfn.XLOOKUP(A180,'Model Modeshare by TAZ'!A:A,'Model Modeshare by TAZ'!B:B)</f>
        <v>Gilroy</v>
      </c>
      <c r="C180" s="38" t="str">
        <f>_xlfn.XLOOKUP(A180,'Model Modeshare by TAZ'!A:A,'Model Modeshare by TAZ'!D:D)</f>
        <v>NO</v>
      </c>
      <c r="D180" s="6">
        <v>3</v>
      </c>
      <c r="E180" s="6">
        <v>700</v>
      </c>
      <c r="F180" s="6">
        <v>2848</v>
      </c>
      <c r="G180" s="6">
        <v>2956</v>
      </c>
      <c r="H180" s="6">
        <v>1280</v>
      </c>
      <c r="I180" s="6">
        <v>290</v>
      </c>
      <c r="J180" s="6">
        <v>410</v>
      </c>
      <c r="K180" s="40">
        <v>120</v>
      </c>
      <c r="L180" s="40">
        <v>10</v>
      </c>
      <c r="M180" s="40">
        <v>574</v>
      </c>
      <c r="N180" s="40">
        <v>35</v>
      </c>
      <c r="O180" s="40">
        <v>219</v>
      </c>
      <c r="P180" s="40">
        <v>188</v>
      </c>
      <c r="Q180" s="40">
        <v>24</v>
      </c>
      <c r="R180" s="40">
        <v>97</v>
      </c>
      <c r="S180" s="40">
        <v>11</v>
      </c>
    </row>
    <row r="181" spans="1:19" x14ac:dyDescent="0.35">
      <c r="A181" s="38">
        <v>178</v>
      </c>
      <c r="B181" s="38" t="str">
        <f>_xlfn.XLOOKUP(A181,'Model Modeshare by TAZ'!A:A,'Model Modeshare by TAZ'!B:B)</f>
        <v>Gilroy</v>
      </c>
      <c r="C181" s="38" t="str">
        <f>_xlfn.XLOOKUP(A181,'Model Modeshare by TAZ'!A:A,'Model Modeshare by TAZ'!D:D)</f>
        <v>NO</v>
      </c>
      <c r="D181" s="6">
        <v>3</v>
      </c>
      <c r="E181" s="6">
        <v>17</v>
      </c>
      <c r="F181" s="6">
        <v>68</v>
      </c>
      <c r="G181" s="6">
        <v>70</v>
      </c>
      <c r="H181" s="6">
        <v>27</v>
      </c>
      <c r="I181" s="6">
        <v>2</v>
      </c>
      <c r="J181" s="6">
        <v>15</v>
      </c>
      <c r="K181" s="40">
        <v>3</v>
      </c>
      <c r="L181" s="40">
        <v>12</v>
      </c>
      <c r="M181" s="40">
        <v>386</v>
      </c>
      <c r="N181" s="40">
        <v>44</v>
      </c>
      <c r="O181" s="40">
        <v>229</v>
      </c>
      <c r="P181" s="40">
        <v>33</v>
      </c>
      <c r="Q181" s="40">
        <v>0</v>
      </c>
      <c r="R181" s="40">
        <v>76</v>
      </c>
      <c r="S181" s="40">
        <v>4</v>
      </c>
    </row>
    <row r="182" spans="1:19" x14ac:dyDescent="0.35">
      <c r="A182" s="38">
        <v>179</v>
      </c>
      <c r="B182" s="38" t="str">
        <f>_xlfn.XLOOKUP(A182,'Model Modeshare by TAZ'!A:A,'Model Modeshare by TAZ'!B:B)</f>
        <v>Gilroy</v>
      </c>
      <c r="C182" s="38" t="str">
        <f>_xlfn.XLOOKUP(A182,'Model Modeshare by TAZ'!A:A,'Model Modeshare by TAZ'!D:D)</f>
        <v>NO</v>
      </c>
      <c r="D182" s="6">
        <v>3</v>
      </c>
      <c r="E182" s="6">
        <v>52</v>
      </c>
      <c r="F182" s="6">
        <v>213</v>
      </c>
      <c r="G182" s="6">
        <v>220</v>
      </c>
      <c r="H182" s="6">
        <v>86</v>
      </c>
      <c r="I182" s="6">
        <v>26</v>
      </c>
      <c r="J182" s="6">
        <v>26</v>
      </c>
      <c r="K182" s="40">
        <v>2</v>
      </c>
      <c r="L182" s="40">
        <v>5</v>
      </c>
      <c r="M182" s="40">
        <v>87</v>
      </c>
      <c r="N182" s="40">
        <v>16</v>
      </c>
      <c r="O182" s="40">
        <v>63</v>
      </c>
      <c r="P182" s="40">
        <v>7</v>
      </c>
      <c r="Q182" s="40">
        <v>0</v>
      </c>
      <c r="R182" s="40">
        <v>0</v>
      </c>
      <c r="S182" s="40">
        <v>1</v>
      </c>
    </row>
    <row r="183" spans="1:19" x14ac:dyDescent="0.35">
      <c r="A183" s="38">
        <v>180</v>
      </c>
      <c r="B183" s="38" t="str">
        <f>_xlfn.XLOOKUP(A183,'Model Modeshare by TAZ'!A:A,'Model Modeshare by TAZ'!B:B)</f>
        <v>Gilroy</v>
      </c>
      <c r="C183" s="38" t="str">
        <f>_xlfn.XLOOKUP(A183,'Model Modeshare by TAZ'!A:A,'Model Modeshare by TAZ'!D:D)</f>
        <v>NO</v>
      </c>
      <c r="D183" s="6">
        <v>3</v>
      </c>
      <c r="E183" s="6">
        <v>148</v>
      </c>
      <c r="F183" s="6">
        <v>601</v>
      </c>
      <c r="G183" s="6">
        <v>615</v>
      </c>
      <c r="H183" s="6">
        <v>248</v>
      </c>
      <c r="I183" s="6">
        <v>68</v>
      </c>
      <c r="J183" s="6">
        <v>80</v>
      </c>
      <c r="K183" s="40">
        <v>16</v>
      </c>
      <c r="L183" s="40">
        <v>10</v>
      </c>
      <c r="M183" s="40">
        <v>128</v>
      </c>
      <c r="N183" s="40">
        <v>14</v>
      </c>
      <c r="O183" s="40">
        <v>82</v>
      </c>
      <c r="P183" s="40">
        <v>13</v>
      </c>
      <c r="Q183" s="40">
        <v>0</v>
      </c>
      <c r="R183" s="40">
        <v>17</v>
      </c>
      <c r="S183" s="40">
        <v>2</v>
      </c>
    </row>
    <row r="184" spans="1:19" x14ac:dyDescent="0.35">
      <c r="A184" s="38">
        <v>181</v>
      </c>
      <c r="B184" s="38" t="str">
        <f>_xlfn.XLOOKUP(A184,'Model Modeshare by TAZ'!A:A,'Model Modeshare by TAZ'!B:B)</f>
        <v>Gilroy</v>
      </c>
      <c r="C184" s="38" t="str">
        <f>_xlfn.XLOOKUP(A184,'Model Modeshare by TAZ'!A:A,'Model Modeshare by TAZ'!D:D)</f>
        <v>NO</v>
      </c>
      <c r="D184" s="6">
        <v>3</v>
      </c>
      <c r="E184" s="6">
        <v>266</v>
      </c>
      <c r="F184" s="6">
        <v>945</v>
      </c>
      <c r="G184" s="6">
        <v>955</v>
      </c>
      <c r="H184" s="6">
        <v>392</v>
      </c>
      <c r="I184" s="6">
        <v>165</v>
      </c>
      <c r="J184" s="6">
        <v>101</v>
      </c>
      <c r="K184" s="40">
        <v>78</v>
      </c>
      <c r="L184" s="40">
        <v>1</v>
      </c>
      <c r="M184" s="40">
        <v>216</v>
      </c>
      <c r="N184" s="40">
        <v>0</v>
      </c>
      <c r="O184" s="40">
        <v>0</v>
      </c>
      <c r="P184" s="40">
        <v>192</v>
      </c>
      <c r="Q184" s="40">
        <v>19</v>
      </c>
      <c r="R184" s="40">
        <v>5</v>
      </c>
      <c r="S184" s="40">
        <v>0</v>
      </c>
    </row>
    <row r="185" spans="1:19" x14ac:dyDescent="0.35">
      <c r="A185" s="38">
        <v>182</v>
      </c>
      <c r="B185" s="38" t="str">
        <f>_xlfn.XLOOKUP(A185,'Model Modeshare by TAZ'!A:A,'Model Modeshare by TAZ'!B:B)</f>
        <v>Unincorporated</v>
      </c>
      <c r="C185" s="38" t="str">
        <f>_xlfn.XLOOKUP(A185,'Model Modeshare by TAZ'!A:A,'Model Modeshare by TAZ'!D:D)</f>
        <v>NO</v>
      </c>
      <c r="D185" s="6">
        <v>3</v>
      </c>
      <c r="E185" s="6">
        <v>110</v>
      </c>
      <c r="F185" s="6">
        <v>361</v>
      </c>
      <c r="G185" s="6">
        <v>366</v>
      </c>
      <c r="H185" s="6">
        <v>213</v>
      </c>
      <c r="I185" s="6">
        <v>98</v>
      </c>
      <c r="J185" s="6">
        <v>12</v>
      </c>
      <c r="K185" s="40">
        <v>16</v>
      </c>
      <c r="L185" s="40">
        <v>2</v>
      </c>
      <c r="M185" s="40">
        <v>86</v>
      </c>
      <c r="N185" s="40">
        <v>0</v>
      </c>
      <c r="O185" s="40">
        <v>0</v>
      </c>
      <c r="P185" s="40">
        <v>7</v>
      </c>
      <c r="Q185" s="40">
        <v>78</v>
      </c>
      <c r="R185" s="40">
        <v>0</v>
      </c>
      <c r="S185" s="40">
        <v>1</v>
      </c>
    </row>
    <row r="186" spans="1:19" x14ac:dyDescent="0.35">
      <c r="A186" s="38">
        <v>183</v>
      </c>
      <c r="B186" s="38" t="str">
        <f>_xlfn.XLOOKUP(A186,'Model Modeshare by TAZ'!A:A,'Model Modeshare by TAZ'!B:B)</f>
        <v>Unincorporated</v>
      </c>
      <c r="C186" s="38" t="str">
        <f>_xlfn.XLOOKUP(A186,'Model Modeshare by TAZ'!A:A,'Model Modeshare by TAZ'!D:D)</f>
        <v>NO</v>
      </c>
      <c r="D186" s="6">
        <v>3</v>
      </c>
      <c r="E186" s="6">
        <v>61</v>
      </c>
      <c r="F186" s="6">
        <v>199</v>
      </c>
      <c r="G186" s="6">
        <v>203</v>
      </c>
      <c r="H186" s="6">
        <v>101</v>
      </c>
      <c r="I186" s="6">
        <v>55</v>
      </c>
      <c r="J186" s="6">
        <v>6</v>
      </c>
      <c r="K186" s="40">
        <v>33</v>
      </c>
      <c r="L186" s="40">
        <v>1</v>
      </c>
      <c r="M186" s="40">
        <v>138</v>
      </c>
      <c r="N186" s="40">
        <v>0</v>
      </c>
      <c r="O186" s="40">
        <v>0</v>
      </c>
      <c r="P186" s="40">
        <v>29</v>
      </c>
      <c r="Q186" s="40">
        <v>109</v>
      </c>
      <c r="R186" s="40">
        <v>0</v>
      </c>
      <c r="S186" s="40">
        <v>0</v>
      </c>
    </row>
    <row r="187" spans="1:19" x14ac:dyDescent="0.35">
      <c r="A187" s="38">
        <v>184</v>
      </c>
      <c r="B187" s="38" t="str">
        <f>_xlfn.XLOOKUP(A187,'Model Modeshare by TAZ'!A:A,'Model Modeshare by TAZ'!B:B)</f>
        <v>Unincorporated</v>
      </c>
      <c r="C187" s="38" t="str">
        <f>_xlfn.XLOOKUP(A187,'Model Modeshare by TAZ'!A:A,'Model Modeshare by TAZ'!D:D)</f>
        <v>NO</v>
      </c>
      <c r="D187" s="6">
        <v>3</v>
      </c>
      <c r="E187" s="6">
        <v>35</v>
      </c>
      <c r="F187" s="6">
        <v>117</v>
      </c>
      <c r="G187" s="6">
        <v>118</v>
      </c>
      <c r="H187" s="6">
        <v>58</v>
      </c>
      <c r="I187" s="6">
        <v>31</v>
      </c>
      <c r="J187" s="6">
        <v>4</v>
      </c>
      <c r="K187" s="40">
        <v>38</v>
      </c>
      <c r="L187" s="40">
        <v>1</v>
      </c>
      <c r="M187" s="40">
        <v>32</v>
      </c>
      <c r="N187" s="40">
        <v>1</v>
      </c>
      <c r="O187" s="40">
        <v>8</v>
      </c>
      <c r="P187" s="40">
        <v>0</v>
      </c>
      <c r="Q187" s="40">
        <v>16</v>
      </c>
      <c r="R187" s="40">
        <v>7</v>
      </c>
      <c r="S187" s="40">
        <v>0</v>
      </c>
    </row>
    <row r="188" spans="1:19" x14ac:dyDescent="0.35">
      <c r="A188" s="38">
        <v>185</v>
      </c>
      <c r="B188" s="38" t="str">
        <f>_xlfn.XLOOKUP(A188,'Model Modeshare by TAZ'!A:A,'Model Modeshare by TAZ'!B:B)</f>
        <v>Unincorporated</v>
      </c>
      <c r="C188" s="38" t="str">
        <f>_xlfn.XLOOKUP(A188,'Model Modeshare by TAZ'!A:A,'Model Modeshare by TAZ'!D:D)</f>
        <v>NO</v>
      </c>
      <c r="D188" s="6">
        <v>3</v>
      </c>
      <c r="E188" s="6">
        <v>39</v>
      </c>
      <c r="F188" s="6">
        <v>128</v>
      </c>
      <c r="G188" s="6">
        <v>131</v>
      </c>
      <c r="H188" s="6">
        <v>64</v>
      </c>
      <c r="I188" s="6">
        <v>35</v>
      </c>
      <c r="J188" s="6">
        <v>4</v>
      </c>
      <c r="K188" s="40">
        <v>32</v>
      </c>
      <c r="L188" s="40">
        <v>3</v>
      </c>
      <c r="M188" s="40">
        <v>657</v>
      </c>
      <c r="N188" s="40">
        <v>3</v>
      </c>
      <c r="O188" s="40">
        <v>146</v>
      </c>
      <c r="P188" s="40">
        <v>235</v>
      </c>
      <c r="Q188" s="40">
        <v>262</v>
      </c>
      <c r="R188" s="40">
        <v>11</v>
      </c>
      <c r="S188" s="40">
        <v>0</v>
      </c>
    </row>
    <row r="189" spans="1:19" x14ac:dyDescent="0.35">
      <c r="A189" s="38">
        <v>186</v>
      </c>
      <c r="B189" s="38" t="str">
        <f>_xlfn.XLOOKUP(A189,'Model Modeshare by TAZ'!A:A,'Model Modeshare by TAZ'!B:B)</f>
        <v>Unincorporated</v>
      </c>
      <c r="C189" s="38" t="str">
        <f>_xlfn.XLOOKUP(A189,'Model Modeshare by TAZ'!A:A,'Model Modeshare by TAZ'!D:D)</f>
        <v>NO</v>
      </c>
      <c r="D189" s="6">
        <v>3</v>
      </c>
      <c r="E189" s="6">
        <v>25</v>
      </c>
      <c r="F189" s="6">
        <v>82</v>
      </c>
      <c r="G189" s="6">
        <v>83</v>
      </c>
      <c r="H189" s="6">
        <v>49</v>
      </c>
      <c r="I189" s="6">
        <v>22</v>
      </c>
      <c r="J189" s="6">
        <v>3</v>
      </c>
      <c r="K189" s="40">
        <v>18</v>
      </c>
      <c r="L189" s="40">
        <v>35</v>
      </c>
      <c r="M189" s="40">
        <v>26</v>
      </c>
      <c r="N189" s="40">
        <v>0</v>
      </c>
      <c r="O189" s="40">
        <v>9</v>
      </c>
      <c r="P189" s="40">
        <v>1</v>
      </c>
      <c r="Q189" s="40">
        <v>0</v>
      </c>
      <c r="R189" s="40">
        <v>15</v>
      </c>
      <c r="S189" s="40">
        <v>1</v>
      </c>
    </row>
    <row r="190" spans="1:19" x14ac:dyDescent="0.35">
      <c r="A190" s="38">
        <v>187</v>
      </c>
      <c r="B190" s="38" t="str">
        <f>_xlfn.XLOOKUP(A190,'Model Modeshare by TAZ'!A:A,'Model Modeshare by TAZ'!B:B)</f>
        <v>Gilroy</v>
      </c>
      <c r="C190" s="38" t="str">
        <f>_xlfn.XLOOKUP(A190,'Model Modeshare by TAZ'!A:A,'Model Modeshare by TAZ'!D:D)</f>
        <v>NO</v>
      </c>
      <c r="D190" s="6">
        <v>3</v>
      </c>
      <c r="E190" s="6">
        <v>173</v>
      </c>
      <c r="F190" s="6">
        <v>703</v>
      </c>
      <c r="G190" s="6">
        <v>720</v>
      </c>
      <c r="H190" s="6">
        <v>315</v>
      </c>
      <c r="I190" s="6">
        <v>86</v>
      </c>
      <c r="J190" s="6">
        <v>87</v>
      </c>
      <c r="K190" s="40">
        <v>68</v>
      </c>
      <c r="L190" s="40">
        <v>120</v>
      </c>
      <c r="M190" s="40">
        <v>927</v>
      </c>
      <c r="N190" s="40">
        <v>44</v>
      </c>
      <c r="O190" s="40">
        <v>312</v>
      </c>
      <c r="P190" s="40">
        <v>225</v>
      </c>
      <c r="Q190" s="40">
        <v>0</v>
      </c>
      <c r="R190" s="40">
        <v>312</v>
      </c>
      <c r="S190" s="40">
        <v>34</v>
      </c>
    </row>
    <row r="191" spans="1:19" x14ac:dyDescent="0.35">
      <c r="A191" s="38">
        <v>188</v>
      </c>
      <c r="B191" s="38" t="str">
        <f>_xlfn.XLOOKUP(A191,'Model Modeshare by TAZ'!A:A,'Model Modeshare by TAZ'!B:B)</f>
        <v>Gilroy</v>
      </c>
      <c r="C191" s="38" t="str">
        <f>_xlfn.XLOOKUP(A191,'Model Modeshare by TAZ'!A:A,'Model Modeshare by TAZ'!D:D)</f>
        <v>NO</v>
      </c>
      <c r="D191" s="6">
        <v>3</v>
      </c>
      <c r="E191" s="6">
        <v>101</v>
      </c>
      <c r="F191" s="6">
        <v>374</v>
      </c>
      <c r="G191" s="6">
        <v>515</v>
      </c>
      <c r="H191" s="6">
        <v>153</v>
      </c>
      <c r="I191" s="6">
        <v>62</v>
      </c>
      <c r="J191" s="6">
        <v>39</v>
      </c>
      <c r="K191" s="40">
        <v>35</v>
      </c>
      <c r="L191" s="40">
        <v>4</v>
      </c>
      <c r="M191" s="40">
        <v>29</v>
      </c>
      <c r="N191" s="40">
        <v>4</v>
      </c>
      <c r="O191" s="40">
        <v>10</v>
      </c>
      <c r="P191" s="40">
        <v>3</v>
      </c>
      <c r="Q191" s="40">
        <v>10</v>
      </c>
      <c r="R191" s="40">
        <v>1</v>
      </c>
      <c r="S191" s="40">
        <v>1</v>
      </c>
    </row>
    <row r="192" spans="1:19" x14ac:dyDescent="0.35">
      <c r="A192" s="38">
        <v>189</v>
      </c>
      <c r="B192" s="38" t="str">
        <f>_xlfn.XLOOKUP(A192,'Model Modeshare by TAZ'!A:A,'Model Modeshare by TAZ'!B:B)</f>
        <v>Gilroy</v>
      </c>
      <c r="C192" s="38" t="str">
        <f>_xlfn.XLOOKUP(A192,'Model Modeshare by TAZ'!A:A,'Model Modeshare by TAZ'!D:D)</f>
        <v>NO</v>
      </c>
      <c r="D192" s="6">
        <v>3</v>
      </c>
      <c r="E192" s="6">
        <v>444</v>
      </c>
      <c r="F192" s="6">
        <v>1654</v>
      </c>
      <c r="G192" s="6">
        <v>1698</v>
      </c>
      <c r="H192" s="6">
        <v>671</v>
      </c>
      <c r="I192" s="6">
        <v>278</v>
      </c>
      <c r="J192" s="6">
        <v>166</v>
      </c>
      <c r="K192" s="40">
        <v>48</v>
      </c>
      <c r="L192" s="40">
        <v>27</v>
      </c>
      <c r="M192" s="40">
        <v>226</v>
      </c>
      <c r="N192" s="40">
        <v>49</v>
      </c>
      <c r="O192" s="40">
        <v>80</v>
      </c>
      <c r="P192" s="40">
        <v>44</v>
      </c>
      <c r="Q192" s="40">
        <v>5</v>
      </c>
      <c r="R192" s="40">
        <v>40</v>
      </c>
      <c r="S192" s="40">
        <v>8</v>
      </c>
    </row>
    <row r="193" spans="1:19" x14ac:dyDescent="0.35">
      <c r="A193" s="38">
        <v>190</v>
      </c>
      <c r="B193" s="38" t="str">
        <f>_xlfn.XLOOKUP(A193,'Model Modeshare by TAZ'!A:A,'Model Modeshare by TAZ'!B:B)</f>
        <v>Gilroy</v>
      </c>
      <c r="C193" s="38" t="str">
        <f>_xlfn.XLOOKUP(A193,'Model Modeshare by TAZ'!A:A,'Model Modeshare by TAZ'!D:D)</f>
        <v>NO</v>
      </c>
      <c r="D193" s="6">
        <v>3</v>
      </c>
      <c r="E193" s="6">
        <v>461</v>
      </c>
      <c r="F193" s="6">
        <v>1716</v>
      </c>
      <c r="G193" s="6">
        <v>1801</v>
      </c>
      <c r="H193" s="6">
        <v>698</v>
      </c>
      <c r="I193" s="6">
        <v>300</v>
      </c>
      <c r="J193" s="6">
        <v>161</v>
      </c>
      <c r="K193" s="40">
        <v>62</v>
      </c>
      <c r="L193" s="40">
        <v>1</v>
      </c>
      <c r="M193" s="40">
        <v>59</v>
      </c>
      <c r="N193" s="40">
        <v>0</v>
      </c>
      <c r="O193" s="40">
        <v>0</v>
      </c>
      <c r="P193" s="40">
        <v>5</v>
      </c>
      <c r="Q193" s="40">
        <v>46</v>
      </c>
      <c r="R193" s="40">
        <v>4</v>
      </c>
      <c r="S193" s="40">
        <v>4</v>
      </c>
    </row>
    <row r="194" spans="1:19" x14ac:dyDescent="0.35">
      <c r="A194" s="38">
        <v>191</v>
      </c>
      <c r="B194" s="38" t="str">
        <f>_xlfn.XLOOKUP(A194,'Model Modeshare by TAZ'!A:A,'Model Modeshare by TAZ'!B:B)</f>
        <v>Gilroy</v>
      </c>
      <c r="C194" s="38" t="str">
        <f>_xlfn.XLOOKUP(A194,'Model Modeshare by TAZ'!A:A,'Model Modeshare by TAZ'!D:D)</f>
        <v>NO</v>
      </c>
      <c r="D194" s="6">
        <v>3</v>
      </c>
      <c r="E194" s="6">
        <v>341</v>
      </c>
      <c r="F194" s="6">
        <v>1270</v>
      </c>
      <c r="G194" s="6">
        <v>1361</v>
      </c>
      <c r="H194" s="6">
        <v>515</v>
      </c>
      <c r="I194" s="6">
        <v>213</v>
      </c>
      <c r="J194" s="6">
        <v>128</v>
      </c>
      <c r="K194" s="40">
        <v>49</v>
      </c>
      <c r="L194" s="40">
        <v>6</v>
      </c>
      <c r="M194" s="40">
        <v>276</v>
      </c>
      <c r="N194" s="40">
        <v>105</v>
      </c>
      <c r="O194" s="40">
        <v>94</v>
      </c>
      <c r="P194" s="40">
        <v>20</v>
      </c>
      <c r="Q194" s="40">
        <v>25</v>
      </c>
      <c r="R194" s="40">
        <v>25</v>
      </c>
      <c r="S194" s="40">
        <v>7</v>
      </c>
    </row>
    <row r="195" spans="1:19" x14ac:dyDescent="0.35">
      <c r="A195" s="38">
        <v>192</v>
      </c>
      <c r="B195" s="38" t="str">
        <f>_xlfn.XLOOKUP(A195,'Model Modeshare by TAZ'!A:A,'Model Modeshare by TAZ'!B:B)</f>
        <v>Gilroy</v>
      </c>
      <c r="C195" s="38" t="str">
        <f>_xlfn.XLOOKUP(A195,'Model Modeshare by TAZ'!A:A,'Model Modeshare by TAZ'!D:D)</f>
        <v>NO</v>
      </c>
      <c r="D195" s="6">
        <v>3</v>
      </c>
      <c r="E195" s="6">
        <v>89</v>
      </c>
      <c r="F195" s="6">
        <v>332</v>
      </c>
      <c r="G195" s="6">
        <v>426</v>
      </c>
      <c r="H195" s="6">
        <v>134</v>
      </c>
      <c r="I195" s="6">
        <v>56</v>
      </c>
      <c r="J195" s="6">
        <v>33</v>
      </c>
      <c r="K195" s="40">
        <v>4</v>
      </c>
      <c r="L195" s="40">
        <v>13</v>
      </c>
      <c r="M195" s="40">
        <v>375</v>
      </c>
      <c r="N195" s="40">
        <v>105</v>
      </c>
      <c r="O195" s="40">
        <v>126</v>
      </c>
      <c r="P195" s="40">
        <v>85</v>
      </c>
      <c r="Q195" s="40">
        <v>18</v>
      </c>
      <c r="R195" s="40">
        <v>35</v>
      </c>
      <c r="S195" s="40">
        <v>6</v>
      </c>
    </row>
    <row r="196" spans="1:19" x14ac:dyDescent="0.35">
      <c r="A196" s="38">
        <v>193</v>
      </c>
      <c r="B196" s="38" t="str">
        <f>_xlfn.XLOOKUP(A196,'Model Modeshare by TAZ'!A:A,'Model Modeshare by TAZ'!B:B)</f>
        <v>Gilroy</v>
      </c>
      <c r="C196" s="38" t="str">
        <f>_xlfn.XLOOKUP(A196,'Model Modeshare by TAZ'!A:A,'Model Modeshare by TAZ'!D:D)</f>
        <v>NO</v>
      </c>
      <c r="D196" s="6">
        <v>3</v>
      </c>
      <c r="E196" s="6">
        <v>465</v>
      </c>
      <c r="F196" s="6">
        <v>1729</v>
      </c>
      <c r="G196" s="6">
        <v>1774</v>
      </c>
      <c r="H196" s="6">
        <v>702</v>
      </c>
      <c r="I196" s="6">
        <v>291</v>
      </c>
      <c r="J196" s="6">
        <v>174</v>
      </c>
      <c r="K196" s="40">
        <v>69</v>
      </c>
      <c r="L196" s="40">
        <v>31</v>
      </c>
      <c r="M196" s="40">
        <v>1063</v>
      </c>
      <c r="N196" s="40">
        <v>693</v>
      </c>
      <c r="O196" s="40">
        <v>229</v>
      </c>
      <c r="P196" s="40">
        <v>83</v>
      </c>
      <c r="Q196" s="40">
        <v>19</v>
      </c>
      <c r="R196" s="40">
        <v>32</v>
      </c>
      <c r="S196" s="40">
        <v>7</v>
      </c>
    </row>
    <row r="197" spans="1:19" x14ac:dyDescent="0.35">
      <c r="A197" s="38">
        <v>194</v>
      </c>
      <c r="B197" s="38" t="str">
        <f>_xlfn.XLOOKUP(A197,'Model Modeshare by TAZ'!A:A,'Model Modeshare by TAZ'!B:B)</f>
        <v>Los Altos</v>
      </c>
      <c r="C197" s="38" t="str">
        <f>_xlfn.XLOOKUP(A197,'Model Modeshare by TAZ'!A:A,'Model Modeshare by TAZ'!D:D)</f>
        <v>NO</v>
      </c>
      <c r="D197" s="6">
        <v>3</v>
      </c>
      <c r="E197" s="6">
        <v>4</v>
      </c>
      <c r="F197" s="6">
        <v>12</v>
      </c>
      <c r="G197" s="6">
        <v>12</v>
      </c>
      <c r="H197" s="6">
        <v>5</v>
      </c>
      <c r="I197" s="6">
        <v>3</v>
      </c>
      <c r="J197" s="6">
        <v>1</v>
      </c>
      <c r="K197" s="40">
        <v>1</v>
      </c>
      <c r="L197" s="40">
        <v>34</v>
      </c>
      <c r="M197" s="40">
        <v>2415</v>
      </c>
      <c r="N197" s="40">
        <v>593</v>
      </c>
      <c r="O197" s="40">
        <v>1238</v>
      </c>
      <c r="P197" s="40">
        <v>466</v>
      </c>
      <c r="Q197" s="40">
        <v>10</v>
      </c>
      <c r="R197" s="40">
        <v>68</v>
      </c>
      <c r="S197" s="40">
        <v>40</v>
      </c>
    </row>
    <row r="198" spans="1:19" x14ac:dyDescent="0.35">
      <c r="A198" s="38">
        <v>195</v>
      </c>
      <c r="B198" s="38" t="str">
        <f>_xlfn.XLOOKUP(A198,'Model Modeshare by TAZ'!A:A,'Model Modeshare by TAZ'!B:B)</f>
        <v>Los Altos</v>
      </c>
      <c r="C198" s="38" t="str">
        <f>_xlfn.XLOOKUP(A198,'Model Modeshare by TAZ'!A:A,'Model Modeshare by TAZ'!D:D)</f>
        <v>NO</v>
      </c>
      <c r="D198" s="6">
        <v>3</v>
      </c>
      <c r="E198" s="6">
        <v>192</v>
      </c>
      <c r="F198" s="6">
        <v>471</v>
      </c>
      <c r="G198" s="6">
        <v>471</v>
      </c>
      <c r="H198" s="6">
        <v>229</v>
      </c>
      <c r="I198" s="6">
        <v>136</v>
      </c>
      <c r="J198" s="6">
        <v>56</v>
      </c>
      <c r="K198" s="40">
        <v>6</v>
      </c>
      <c r="L198" s="40">
        <v>34</v>
      </c>
      <c r="M198" s="40">
        <v>2282</v>
      </c>
      <c r="N198" s="40">
        <v>698</v>
      </c>
      <c r="O198" s="40">
        <v>1130</v>
      </c>
      <c r="P198" s="40">
        <v>344</v>
      </c>
      <c r="Q198" s="40">
        <v>10</v>
      </c>
      <c r="R198" s="40">
        <v>63</v>
      </c>
      <c r="S198" s="40">
        <v>37</v>
      </c>
    </row>
    <row r="199" spans="1:19" x14ac:dyDescent="0.35">
      <c r="A199" s="38">
        <v>196</v>
      </c>
      <c r="B199" s="38" t="str">
        <f>_xlfn.XLOOKUP(A199,'Model Modeshare by TAZ'!A:A,'Model Modeshare by TAZ'!B:B)</f>
        <v>Los Altos</v>
      </c>
      <c r="C199" s="38" t="str">
        <f>_xlfn.XLOOKUP(A199,'Model Modeshare by TAZ'!A:A,'Model Modeshare by TAZ'!D:D)</f>
        <v>NO</v>
      </c>
      <c r="D199" s="6">
        <v>3</v>
      </c>
      <c r="E199" s="6">
        <v>392</v>
      </c>
      <c r="F199" s="6">
        <v>965</v>
      </c>
      <c r="G199" s="6">
        <v>966</v>
      </c>
      <c r="H199" s="6">
        <v>469</v>
      </c>
      <c r="I199" s="6">
        <v>278</v>
      </c>
      <c r="J199" s="6">
        <v>114</v>
      </c>
      <c r="K199" s="40">
        <v>26</v>
      </c>
      <c r="L199" s="40">
        <v>13</v>
      </c>
      <c r="M199" s="40">
        <v>349</v>
      </c>
      <c r="N199" s="40">
        <v>33</v>
      </c>
      <c r="O199" s="40">
        <v>201</v>
      </c>
      <c r="P199" s="40">
        <v>84</v>
      </c>
      <c r="Q199" s="40">
        <v>10</v>
      </c>
      <c r="R199" s="40">
        <v>13</v>
      </c>
      <c r="S199" s="40">
        <v>8</v>
      </c>
    </row>
    <row r="200" spans="1:19" x14ac:dyDescent="0.35">
      <c r="A200" s="38">
        <v>197</v>
      </c>
      <c r="B200" s="38" t="str">
        <f>_xlfn.XLOOKUP(A200,'Model Modeshare by TAZ'!A:A,'Model Modeshare by TAZ'!B:B)</f>
        <v>Los Altos</v>
      </c>
      <c r="C200" s="38" t="str">
        <f>_xlfn.XLOOKUP(A200,'Model Modeshare by TAZ'!A:A,'Model Modeshare by TAZ'!D:D)</f>
        <v>NO</v>
      </c>
      <c r="D200" s="6">
        <v>3</v>
      </c>
      <c r="E200" s="6">
        <v>819</v>
      </c>
      <c r="F200" s="6">
        <v>2034</v>
      </c>
      <c r="G200" s="6">
        <v>2054</v>
      </c>
      <c r="H200" s="6">
        <v>1051</v>
      </c>
      <c r="I200" s="6">
        <v>704</v>
      </c>
      <c r="J200" s="6">
        <v>115</v>
      </c>
      <c r="K200" s="40">
        <v>145</v>
      </c>
      <c r="L200" s="40">
        <v>31</v>
      </c>
      <c r="M200" s="40">
        <v>2214</v>
      </c>
      <c r="N200" s="40">
        <v>679</v>
      </c>
      <c r="O200" s="40">
        <v>1180</v>
      </c>
      <c r="P200" s="40">
        <v>274</v>
      </c>
      <c r="Q200" s="40">
        <v>23</v>
      </c>
      <c r="R200" s="40">
        <v>28</v>
      </c>
      <c r="S200" s="40">
        <v>30</v>
      </c>
    </row>
    <row r="201" spans="1:19" x14ac:dyDescent="0.35">
      <c r="A201" s="38">
        <v>198</v>
      </c>
      <c r="B201" s="38" t="str">
        <f>_xlfn.XLOOKUP(A201,'Model Modeshare by TAZ'!A:A,'Model Modeshare by TAZ'!B:B)</f>
        <v>Los Altos</v>
      </c>
      <c r="C201" s="38" t="str">
        <f>_xlfn.XLOOKUP(A201,'Model Modeshare by TAZ'!A:A,'Model Modeshare by TAZ'!D:D)</f>
        <v>NO</v>
      </c>
      <c r="D201" s="6">
        <v>3</v>
      </c>
      <c r="E201" s="6">
        <v>409</v>
      </c>
      <c r="F201" s="6">
        <v>1013</v>
      </c>
      <c r="G201" s="6">
        <v>1035</v>
      </c>
      <c r="H201" s="6">
        <v>523</v>
      </c>
      <c r="I201" s="6">
        <v>351</v>
      </c>
      <c r="J201" s="6">
        <v>58</v>
      </c>
      <c r="K201" s="40">
        <v>148</v>
      </c>
      <c r="L201" s="40">
        <v>4</v>
      </c>
      <c r="M201" s="40">
        <v>227</v>
      </c>
      <c r="N201" s="40">
        <v>3</v>
      </c>
      <c r="O201" s="40">
        <v>46</v>
      </c>
      <c r="P201" s="40">
        <v>153</v>
      </c>
      <c r="Q201" s="40">
        <v>23</v>
      </c>
      <c r="R201" s="40">
        <v>2</v>
      </c>
      <c r="S201" s="40">
        <v>0</v>
      </c>
    </row>
    <row r="202" spans="1:19" x14ac:dyDescent="0.35">
      <c r="A202" s="38">
        <v>199</v>
      </c>
      <c r="B202" s="38" t="str">
        <f>_xlfn.XLOOKUP(A202,'Model Modeshare by TAZ'!A:A,'Model Modeshare by TAZ'!B:B)</f>
        <v>Los Altos</v>
      </c>
      <c r="C202" s="38" t="str">
        <f>_xlfn.XLOOKUP(A202,'Model Modeshare by TAZ'!A:A,'Model Modeshare by TAZ'!D:D)</f>
        <v>NO</v>
      </c>
      <c r="D202" s="6">
        <v>3</v>
      </c>
      <c r="E202" s="6">
        <v>481</v>
      </c>
      <c r="F202" s="6">
        <v>1309</v>
      </c>
      <c r="G202" s="6">
        <v>1309</v>
      </c>
      <c r="H202" s="6">
        <v>694</v>
      </c>
      <c r="I202" s="6">
        <v>419</v>
      </c>
      <c r="J202" s="6">
        <v>62</v>
      </c>
      <c r="K202" s="40">
        <v>48</v>
      </c>
      <c r="L202" s="40">
        <v>42</v>
      </c>
      <c r="M202" s="40">
        <v>2326</v>
      </c>
      <c r="N202" s="40">
        <v>985</v>
      </c>
      <c r="O202" s="40">
        <v>856</v>
      </c>
      <c r="P202" s="40">
        <v>358</v>
      </c>
      <c r="Q202" s="40">
        <v>6</v>
      </c>
      <c r="R202" s="40">
        <v>95</v>
      </c>
      <c r="S202" s="40">
        <v>26</v>
      </c>
    </row>
    <row r="203" spans="1:19" x14ac:dyDescent="0.35">
      <c r="A203" s="38">
        <v>200</v>
      </c>
      <c r="B203" s="38" t="str">
        <f>_xlfn.XLOOKUP(A203,'Model Modeshare by TAZ'!A:A,'Model Modeshare by TAZ'!B:B)</f>
        <v>Los Altos</v>
      </c>
      <c r="C203" s="38" t="str">
        <f>_xlfn.XLOOKUP(A203,'Model Modeshare by TAZ'!A:A,'Model Modeshare by TAZ'!D:D)</f>
        <v>NO</v>
      </c>
      <c r="D203" s="6">
        <v>3</v>
      </c>
      <c r="E203" s="6">
        <v>380</v>
      </c>
      <c r="F203" s="6">
        <v>1037</v>
      </c>
      <c r="G203" s="6">
        <v>1037</v>
      </c>
      <c r="H203" s="6">
        <v>548</v>
      </c>
      <c r="I203" s="6">
        <v>337</v>
      </c>
      <c r="J203" s="6">
        <v>43</v>
      </c>
      <c r="K203" s="40">
        <v>91</v>
      </c>
      <c r="L203" s="40">
        <v>1</v>
      </c>
      <c r="M203" s="40">
        <v>37</v>
      </c>
      <c r="N203" s="40">
        <v>4</v>
      </c>
      <c r="O203" s="40">
        <v>11</v>
      </c>
      <c r="P203" s="40">
        <v>15</v>
      </c>
      <c r="Q203" s="40">
        <v>6</v>
      </c>
      <c r="R203" s="40">
        <v>0</v>
      </c>
      <c r="S203" s="40">
        <v>1</v>
      </c>
    </row>
    <row r="204" spans="1:19" x14ac:dyDescent="0.35">
      <c r="A204" s="38">
        <v>201</v>
      </c>
      <c r="B204" s="38" t="str">
        <f>_xlfn.XLOOKUP(A204,'Model Modeshare by TAZ'!A:A,'Model Modeshare by TAZ'!B:B)</f>
        <v>Los Altos</v>
      </c>
      <c r="C204" s="38" t="str">
        <f>_xlfn.XLOOKUP(A204,'Model Modeshare by TAZ'!A:A,'Model Modeshare by TAZ'!D:D)</f>
        <v>NO</v>
      </c>
      <c r="D204" s="6">
        <v>3</v>
      </c>
      <c r="E204" s="6">
        <v>791</v>
      </c>
      <c r="F204" s="6">
        <v>2155</v>
      </c>
      <c r="G204" s="6">
        <v>2155</v>
      </c>
      <c r="H204" s="6">
        <v>1138</v>
      </c>
      <c r="I204" s="6">
        <v>705</v>
      </c>
      <c r="J204" s="6">
        <v>86</v>
      </c>
      <c r="K204" s="40">
        <v>236</v>
      </c>
      <c r="L204" s="40">
        <v>6</v>
      </c>
      <c r="M204" s="40">
        <v>90</v>
      </c>
      <c r="N204" s="40">
        <v>0</v>
      </c>
      <c r="O204" s="40">
        <v>0</v>
      </c>
      <c r="P204" s="40">
        <v>77</v>
      </c>
      <c r="Q204" s="40">
        <v>6</v>
      </c>
      <c r="R204" s="40">
        <v>6</v>
      </c>
      <c r="S204" s="40">
        <v>1</v>
      </c>
    </row>
    <row r="205" spans="1:19" x14ac:dyDescent="0.35">
      <c r="A205" s="38">
        <v>202</v>
      </c>
      <c r="B205" s="38" t="str">
        <f>_xlfn.XLOOKUP(A205,'Model Modeshare by TAZ'!A:A,'Model Modeshare by TAZ'!B:B)</f>
        <v>Los Altos</v>
      </c>
      <c r="C205" s="38" t="str">
        <f>_xlfn.XLOOKUP(A205,'Model Modeshare by TAZ'!A:A,'Model Modeshare by TAZ'!D:D)</f>
        <v>NO</v>
      </c>
      <c r="D205" s="6">
        <v>3</v>
      </c>
      <c r="E205" s="6">
        <v>414</v>
      </c>
      <c r="F205" s="6">
        <v>1017</v>
      </c>
      <c r="G205" s="6">
        <v>1017</v>
      </c>
      <c r="H205" s="6">
        <v>494</v>
      </c>
      <c r="I205" s="6">
        <v>294</v>
      </c>
      <c r="J205" s="6">
        <v>120</v>
      </c>
      <c r="K205" s="40">
        <v>109</v>
      </c>
      <c r="L205" s="40">
        <v>25</v>
      </c>
      <c r="M205" s="40">
        <v>188</v>
      </c>
      <c r="N205" s="40">
        <v>19</v>
      </c>
      <c r="O205" s="40">
        <v>87</v>
      </c>
      <c r="P205" s="40">
        <v>65</v>
      </c>
      <c r="Q205" s="40">
        <v>10</v>
      </c>
      <c r="R205" s="40">
        <v>0</v>
      </c>
      <c r="S205" s="40">
        <v>7</v>
      </c>
    </row>
    <row r="206" spans="1:19" x14ac:dyDescent="0.35">
      <c r="A206" s="38">
        <v>203</v>
      </c>
      <c r="B206" s="38" t="str">
        <f>_xlfn.XLOOKUP(A206,'Model Modeshare by TAZ'!A:A,'Model Modeshare by TAZ'!B:B)</f>
        <v>Los Altos</v>
      </c>
      <c r="C206" s="38" t="str">
        <f>_xlfn.XLOOKUP(A206,'Model Modeshare by TAZ'!A:A,'Model Modeshare by TAZ'!D:D)</f>
        <v>NO</v>
      </c>
      <c r="D206" s="6">
        <v>3</v>
      </c>
      <c r="E206" s="6">
        <v>194</v>
      </c>
      <c r="F206" s="6">
        <v>566</v>
      </c>
      <c r="G206" s="6">
        <v>566</v>
      </c>
      <c r="H206" s="6">
        <v>288</v>
      </c>
      <c r="I206" s="6">
        <v>193</v>
      </c>
      <c r="J206" s="6">
        <v>1</v>
      </c>
      <c r="K206" s="40">
        <v>100</v>
      </c>
      <c r="L206" s="40">
        <v>1</v>
      </c>
      <c r="M206" s="40">
        <v>50</v>
      </c>
      <c r="N206" s="40">
        <v>2</v>
      </c>
      <c r="O206" s="40">
        <v>16</v>
      </c>
      <c r="P206" s="40">
        <v>13</v>
      </c>
      <c r="Q206" s="40">
        <v>9</v>
      </c>
      <c r="R206" s="40">
        <v>10</v>
      </c>
      <c r="S206" s="40">
        <v>0</v>
      </c>
    </row>
    <row r="207" spans="1:19" x14ac:dyDescent="0.35">
      <c r="A207" s="38">
        <v>204</v>
      </c>
      <c r="B207" s="38" t="str">
        <f>_xlfn.XLOOKUP(A207,'Model Modeshare by TAZ'!A:A,'Model Modeshare by TAZ'!B:B)</f>
        <v>Cupertino</v>
      </c>
      <c r="C207" s="38" t="str">
        <f>_xlfn.XLOOKUP(A207,'Model Modeshare by TAZ'!A:A,'Model Modeshare by TAZ'!D:D)</f>
        <v>NO</v>
      </c>
      <c r="D207" s="6">
        <v>3</v>
      </c>
      <c r="E207" s="6">
        <v>161</v>
      </c>
      <c r="F207" s="6">
        <v>434</v>
      </c>
      <c r="G207" s="6">
        <v>434</v>
      </c>
      <c r="H207" s="6">
        <v>198</v>
      </c>
      <c r="I207" s="6">
        <v>161</v>
      </c>
      <c r="J207" s="6">
        <v>0</v>
      </c>
      <c r="K207" s="40">
        <v>19</v>
      </c>
      <c r="L207" s="40">
        <v>12</v>
      </c>
      <c r="M207" s="40">
        <v>153</v>
      </c>
      <c r="N207" s="40">
        <v>29</v>
      </c>
      <c r="O207" s="40">
        <v>111</v>
      </c>
      <c r="P207" s="40">
        <v>5</v>
      </c>
      <c r="Q207" s="40">
        <v>2</v>
      </c>
      <c r="R207" s="40">
        <v>0</v>
      </c>
      <c r="S207" s="40">
        <v>6</v>
      </c>
    </row>
    <row r="208" spans="1:19" x14ac:dyDescent="0.35">
      <c r="A208" s="38">
        <v>205</v>
      </c>
      <c r="B208" s="38" t="str">
        <f>_xlfn.XLOOKUP(A208,'Model Modeshare by TAZ'!A:A,'Model Modeshare by TAZ'!B:B)</f>
        <v>Los Altos</v>
      </c>
      <c r="C208" s="38" t="str">
        <f>_xlfn.XLOOKUP(A208,'Model Modeshare by TAZ'!A:A,'Model Modeshare by TAZ'!D:D)</f>
        <v>NO</v>
      </c>
      <c r="D208" s="6">
        <v>3</v>
      </c>
      <c r="E208" s="6">
        <v>215</v>
      </c>
      <c r="F208" s="6">
        <v>593</v>
      </c>
      <c r="G208" s="6">
        <v>593</v>
      </c>
      <c r="H208" s="6">
        <v>293</v>
      </c>
      <c r="I208" s="6">
        <v>215</v>
      </c>
      <c r="J208" s="6">
        <v>0</v>
      </c>
      <c r="K208" s="40">
        <v>84</v>
      </c>
      <c r="L208" s="40">
        <v>3</v>
      </c>
      <c r="M208" s="40">
        <v>83</v>
      </c>
      <c r="N208" s="40">
        <v>26</v>
      </c>
      <c r="O208" s="40">
        <v>33</v>
      </c>
      <c r="P208" s="40">
        <v>13</v>
      </c>
      <c r="Q208" s="40">
        <v>0</v>
      </c>
      <c r="R208" s="40">
        <v>11</v>
      </c>
      <c r="S208" s="40">
        <v>0</v>
      </c>
    </row>
    <row r="209" spans="1:19" x14ac:dyDescent="0.35">
      <c r="A209" s="38">
        <v>206</v>
      </c>
      <c r="B209" s="38" t="str">
        <f>_xlfn.XLOOKUP(A209,'Model Modeshare by TAZ'!A:A,'Model Modeshare by TAZ'!B:B)</f>
        <v>Los Altos</v>
      </c>
      <c r="C209" s="38" t="str">
        <f>_xlfn.XLOOKUP(A209,'Model Modeshare by TAZ'!A:A,'Model Modeshare by TAZ'!D:D)</f>
        <v>NO</v>
      </c>
      <c r="D209" s="6">
        <v>3</v>
      </c>
      <c r="E209" s="6">
        <v>318</v>
      </c>
      <c r="F209" s="6">
        <v>877</v>
      </c>
      <c r="G209" s="6">
        <v>877</v>
      </c>
      <c r="H209" s="6">
        <v>434</v>
      </c>
      <c r="I209" s="6">
        <v>318</v>
      </c>
      <c r="J209" s="6">
        <v>0</v>
      </c>
      <c r="K209" s="40">
        <v>100</v>
      </c>
      <c r="L209" s="40">
        <v>6</v>
      </c>
      <c r="M209" s="40">
        <v>126</v>
      </c>
      <c r="N209" s="40">
        <v>26</v>
      </c>
      <c r="O209" s="40">
        <v>76</v>
      </c>
      <c r="P209" s="40">
        <v>13</v>
      </c>
      <c r="Q209" s="40">
        <v>0</v>
      </c>
      <c r="R209" s="40">
        <v>11</v>
      </c>
      <c r="S209" s="40">
        <v>0</v>
      </c>
    </row>
    <row r="210" spans="1:19" x14ac:dyDescent="0.35">
      <c r="A210" s="38">
        <v>207</v>
      </c>
      <c r="B210" s="38" t="str">
        <f>_xlfn.XLOOKUP(A210,'Model Modeshare by TAZ'!A:A,'Model Modeshare by TAZ'!B:B)</f>
        <v>Los Altos</v>
      </c>
      <c r="C210" s="38" t="str">
        <f>_xlfn.XLOOKUP(A210,'Model Modeshare by TAZ'!A:A,'Model Modeshare by TAZ'!D:D)</f>
        <v>NO</v>
      </c>
      <c r="D210" s="6">
        <v>3</v>
      </c>
      <c r="E210" s="6">
        <v>575</v>
      </c>
      <c r="F210" s="6">
        <v>1583</v>
      </c>
      <c r="G210" s="6">
        <v>1583</v>
      </c>
      <c r="H210" s="6">
        <v>785</v>
      </c>
      <c r="I210" s="6">
        <v>574</v>
      </c>
      <c r="J210" s="6">
        <v>1</v>
      </c>
      <c r="K210" s="40">
        <v>176</v>
      </c>
      <c r="L210" s="40">
        <v>6</v>
      </c>
      <c r="M210" s="40">
        <v>82</v>
      </c>
      <c r="N210" s="40">
        <v>24</v>
      </c>
      <c r="O210" s="40">
        <v>16</v>
      </c>
      <c r="P210" s="40">
        <v>31</v>
      </c>
      <c r="Q210" s="40">
        <v>0</v>
      </c>
      <c r="R210" s="40">
        <v>11</v>
      </c>
      <c r="S210" s="40">
        <v>0</v>
      </c>
    </row>
    <row r="211" spans="1:19" x14ac:dyDescent="0.35">
      <c r="A211" s="38">
        <v>208</v>
      </c>
      <c r="B211" s="38" t="str">
        <f>_xlfn.XLOOKUP(A211,'Model Modeshare by TAZ'!A:A,'Model Modeshare by TAZ'!B:B)</f>
        <v>Unincorporated</v>
      </c>
      <c r="C211" s="38" t="str">
        <f>_xlfn.XLOOKUP(A211,'Model Modeshare by TAZ'!A:A,'Model Modeshare by TAZ'!D:D)</f>
        <v>NO</v>
      </c>
      <c r="D211" s="6">
        <v>3</v>
      </c>
      <c r="E211" s="6">
        <v>220</v>
      </c>
      <c r="F211" s="6">
        <v>632</v>
      </c>
      <c r="G211" s="6">
        <v>632</v>
      </c>
      <c r="H211" s="6">
        <v>339</v>
      </c>
      <c r="I211" s="6">
        <v>220</v>
      </c>
      <c r="J211" s="6">
        <v>0</v>
      </c>
      <c r="K211" s="40">
        <v>120</v>
      </c>
      <c r="L211" s="40">
        <v>1</v>
      </c>
      <c r="M211" s="40">
        <v>392</v>
      </c>
      <c r="N211" s="40">
        <v>11</v>
      </c>
      <c r="O211" s="40">
        <v>84</v>
      </c>
      <c r="P211" s="40">
        <v>279</v>
      </c>
      <c r="Q211" s="40">
        <v>6</v>
      </c>
      <c r="R211" s="40">
        <v>10</v>
      </c>
      <c r="S211" s="40">
        <v>2</v>
      </c>
    </row>
    <row r="212" spans="1:19" x14ac:dyDescent="0.35">
      <c r="A212" s="38">
        <v>209</v>
      </c>
      <c r="B212" s="38" t="str">
        <f>_xlfn.XLOOKUP(A212,'Model Modeshare by TAZ'!A:A,'Model Modeshare by TAZ'!B:B)</f>
        <v>Los Altos</v>
      </c>
      <c r="C212" s="38" t="str">
        <f>_xlfn.XLOOKUP(A212,'Model Modeshare by TAZ'!A:A,'Model Modeshare by TAZ'!D:D)</f>
        <v>NO</v>
      </c>
      <c r="D212" s="6">
        <v>3</v>
      </c>
      <c r="E212" s="6">
        <v>155</v>
      </c>
      <c r="F212" s="6">
        <v>438</v>
      </c>
      <c r="G212" s="6">
        <v>444</v>
      </c>
      <c r="H212" s="6">
        <v>221</v>
      </c>
      <c r="I212" s="6">
        <v>152</v>
      </c>
      <c r="J212" s="6">
        <v>3</v>
      </c>
      <c r="K212" s="40">
        <v>68</v>
      </c>
      <c r="L212" s="40">
        <v>1</v>
      </c>
      <c r="M212" s="40">
        <v>2</v>
      </c>
      <c r="N212" s="40">
        <v>0</v>
      </c>
      <c r="O212" s="40">
        <v>0</v>
      </c>
      <c r="P212" s="40">
        <v>2</v>
      </c>
      <c r="Q212" s="40">
        <v>0</v>
      </c>
      <c r="R212" s="40">
        <v>0</v>
      </c>
      <c r="S212" s="40">
        <v>0</v>
      </c>
    </row>
    <row r="213" spans="1:19" x14ac:dyDescent="0.35">
      <c r="A213" s="38">
        <v>210</v>
      </c>
      <c r="B213" s="38" t="str">
        <f>_xlfn.XLOOKUP(A213,'Model Modeshare by TAZ'!A:A,'Model Modeshare by TAZ'!B:B)</f>
        <v>Los Altos</v>
      </c>
      <c r="C213" s="38" t="str">
        <f>_xlfn.XLOOKUP(A213,'Model Modeshare by TAZ'!A:A,'Model Modeshare by TAZ'!D:D)</f>
        <v>NO</v>
      </c>
      <c r="D213" s="6">
        <v>3</v>
      </c>
      <c r="E213" s="6">
        <v>476</v>
      </c>
      <c r="F213" s="6">
        <v>1343</v>
      </c>
      <c r="G213" s="6">
        <v>1344</v>
      </c>
      <c r="H213" s="6">
        <v>684</v>
      </c>
      <c r="I213" s="6">
        <v>465</v>
      </c>
      <c r="J213" s="6">
        <v>11</v>
      </c>
      <c r="K213" s="40">
        <v>152</v>
      </c>
      <c r="L213" s="40">
        <v>1</v>
      </c>
      <c r="M213" s="40">
        <v>89</v>
      </c>
      <c r="N213" s="40">
        <v>0</v>
      </c>
      <c r="O213" s="40">
        <v>0</v>
      </c>
      <c r="P213" s="40">
        <v>89</v>
      </c>
      <c r="Q213" s="40">
        <v>0</v>
      </c>
      <c r="R213" s="40">
        <v>0</v>
      </c>
      <c r="S213" s="40">
        <v>0</v>
      </c>
    </row>
    <row r="214" spans="1:19" x14ac:dyDescent="0.35">
      <c r="A214" s="38">
        <v>211</v>
      </c>
      <c r="B214" s="38" t="str">
        <f>_xlfn.XLOOKUP(A214,'Model Modeshare by TAZ'!A:A,'Model Modeshare by TAZ'!B:B)</f>
        <v>Los Altos</v>
      </c>
      <c r="C214" s="38" t="str">
        <f>_xlfn.XLOOKUP(A214,'Model Modeshare by TAZ'!A:A,'Model Modeshare by TAZ'!D:D)</f>
        <v>NO</v>
      </c>
      <c r="D214" s="6">
        <v>3</v>
      </c>
      <c r="E214" s="6">
        <v>680</v>
      </c>
      <c r="F214" s="6">
        <v>1921</v>
      </c>
      <c r="G214" s="6">
        <v>1923</v>
      </c>
      <c r="H214" s="6">
        <v>979</v>
      </c>
      <c r="I214" s="6">
        <v>665</v>
      </c>
      <c r="J214" s="6">
        <v>15</v>
      </c>
      <c r="K214" s="40">
        <v>222</v>
      </c>
      <c r="L214" s="40">
        <v>8</v>
      </c>
      <c r="M214" s="40">
        <v>760</v>
      </c>
      <c r="N214" s="40">
        <v>313</v>
      </c>
      <c r="O214" s="40">
        <v>281</v>
      </c>
      <c r="P214" s="40">
        <v>155</v>
      </c>
      <c r="Q214" s="40">
        <v>0</v>
      </c>
      <c r="R214" s="40">
        <v>0</v>
      </c>
      <c r="S214" s="40">
        <v>11</v>
      </c>
    </row>
    <row r="215" spans="1:19" x14ac:dyDescent="0.35">
      <c r="A215" s="38">
        <v>212</v>
      </c>
      <c r="B215" s="38" t="str">
        <f>_xlfn.XLOOKUP(A215,'Model Modeshare by TAZ'!A:A,'Model Modeshare by TAZ'!B:B)</f>
        <v>Los Altos</v>
      </c>
      <c r="C215" s="38" t="str">
        <f>_xlfn.XLOOKUP(A215,'Model Modeshare by TAZ'!A:A,'Model Modeshare by TAZ'!D:D)</f>
        <v>NO</v>
      </c>
      <c r="D215" s="6">
        <v>3</v>
      </c>
      <c r="E215" s="6">
        <v>607</v>
      </c>
      <c r="F215" s="6">
        <v>1752</v>
      </c>
      <c r="G215" s="6">
        <v>1809</v>
      </c>
      <c r="H215" s="6">
        <v>850</v>
      </c>
      <c r="I215" s="6">
        <v>598</v>
      </c>
      <c r="J215" s="6">
        <v>9</v>
      </c>
      <c r="K215" s="40">
        <v>206</v>
      </c>
      <c r="L215" s="40">
        <v>40</v>
      </c>
      <c r="M215" s="40">
        <v>1738</v>
      </c>
      <c r="N215" s="40">
        <v>176</v>
      </c>
      <c r="O215" s="40">
        <v>1317</v>
      </c>
      <c r="P215" s="40">
        <v>171</v>
      </c>
      <c r="Q215" s="40">
        <v>14</v>
      </c>
      <c r="R215" s="40">
        <v>59</v>
      </c>
      <c r="S215" s="40">
        <v>1</v>
      </c>
    </row>
    <row r="216" spans="1:19" x14ac:dyDescent="0.35">
      <c r="A216" s="38">
        <v>213</v>
      </c>
      <c r="B216" s="38" t="str">
        <f>_xlfn.XLOOKUP(A216,'Model Modeshare by TAZ'!A:A,'Model Modeshare by TAZ'!B:B)</f>
        <v>Los Altos</v>
      </c>
      <c r="C216" s="38" t="str">
        <f>_xlfn.XLOOKUP(A216,'Model Modeshare by TAZ'!A:A,'Model Modeshare by TAZ'!D:D)</f>
        <v>NO</v>
      </c>
      <c r="D216" s="6">
        <v>3</v>
      </c>
      <c r="E216" s="6">
        <v>670</v>
      </c>
      <c r="F216" s="6">
        <v>1935</v>
      </c>
      <c r="G216" s="6">
        <v>1979</v>
      </c>
      <c r="H216" s="6">
        <v>939</v>
      </c>
      <c r="I216" s="6">
        <v>661</v>
      </c>
      <c r="J216" s="6">
        <v>9</v>
      </c>
      <c r="K216" s="40">
        <v>261</v>
      </c>
      <c r="L216" s="40">
        <v>11</v>
      </c>
      <c r="M216" s="40">
        <v>178</v>
      </c>
      <c r="N216" s="40">
        <v>11</v>
      </c>
      <c r="O216" s="40">
        <v>31</v>
      </c>
      <c r="P216" s="40">
        <v>129</v>
      </c>
      <c r="Q216" s="40">
        <v>6</v>
      </c>
      <c r="R216" s="40">
        <v>1</v>
      </c>
      <c r="S216" s="40">
        <v>0</v>
      </c>
    </row>
    <row r="217" spans="1:19" x14ac:dyDescent="0.35">
      <c r="A217" s="38">
        <v>214</v>
      </c>
      <c r="B217" s="38" t="str">
        <f>_xlfn.XLOOKUP(A217,'Model Modeshare by TAZ'!A:A,'Model Modeshare by TAZ'!B:B)</f>
        <v>Los Altos</v>
      </c>
      <c r="C217" s="38" t="str">
        <f>_xlfn.XLOOKUP(A217,'Model Modeshare by TAZ'!A:A,'Model Modeshare by TAZ'!D:D)</f>
        <v>NO</v>
      </c>
      <c r="D217" s="6">
        <v>3</v>
      </c>
      <c r="E217" s="6">
        <v>599</v>
      </c>
      <c r="F217" s="6">
        <v>1744</v>
      </c>
      <c r="G217" s="6">
        <v>1745</v>
      </c>
      <c r="H217" s="6">
        <v>891</v>
      </c>
      <c r="I217" s="6">
        <v>594</v>
      </c>
      <c r="J217" s="6">
        <v>5</v>
      </c>
      <c r="K217" s="40">
        <v>283</v>
      </c>
      <c r="L217" s="40">
        <v>15</v>
      </c>
      <c r="M217" s="40">
        <v>827</v>
      </c>
      <c r="N217" s="40">
        <v>232</v>
      </c>
      <c r="O217" s="40">
        <v>467</v>
      </c>
      <c r="P217" s="40">
        <v>103</v>
      </c>
      <c r="Q217" s="40">
        <v>9</v>
      </c>
      <c r="R217" s="40">
        <v>10</v>
      </c>
      <c r="S217" s="40">
        <v>6</v>
      </c>
    </row>
    <row r="218" spans="1:19" x14ac:dyDescent="0.35">
      <c r="A218" s="38">
        <v>215</v>
      </c>
      <c r="B218" s="38" t="str">
        <f>_xlfn.XLOOKUP(A218,'Model Modeshare by TAZ'!A:A,'Model Modeshare by TAZ'!B:B)</f>
        <v>Los Altos</v>
      </c>
      <c r="C218" s="38" t="str">
        <f>_xlfn.XLOOKUP(A218,'Model Modeshare by TAZ'!A:A,'Model Modeshare by TAZ'!D:D)</f>
        <v>NO</v>
      </c>
      <c r="D218" s="6">
        <v>3</v>
      </c>
      <c r="E218" s="6">
        <v>745</v>
      </c>
      <c r="F218" s="6">
        <v>1830</v>
      </c>
      <c r="G218" s="6">
        <v>1830</v>
      </c>
      <c r="H218" s="6">
        <v>890</v>
      </c>
      <c r="I218" s="6">
        <v>528</v>
      </c>
      <c r="J218" s="6">
        <v>217</v>
      </c>
      <c r="K218" s="40">
        <v>289</v>
      </c>
      <c r="L218" s="40">
        <v>8</v>
      </c>
      <c r="M218" s="40">
        <v>991</v>
      </c>
      <c r="N218" s="40">
        <v>73</v>
      </c>
      <c r="O218" s="40">
        <v>439</v>
      </c>
      <c r="P218" s="40">
        <v>406</v>
      </c>
      <c r="Q218" s="40">
        <v>10</v>
      </c>
      <c r="R218" s="40">
        <v>46</v>
      </c>
      <c r="S218" s="40">
        <v>17</v>
      </c>
    </row>
    <row r="219" spans="1:19" x14ac:dyDescent="0.35">
      <c r="A219" s="38">
        <v>216</v>
      </c>
      <c r="B219" s="38" t="str">
        <f>_xlfn.XLOOKUP(A219,'Model Modeshare by TAZ'!A:A,'Model Modeshare by TAZ'!B:B)</f>
        <v>Los Altos</v>
      </c>
      <c r="C219" s="38" t="str">
        <f>_xlfn.XLOOKUP(A219,'Model Modeshare by TAZ'!A:A,'Model Modeshare by TAZ'!D:D)</f>
        <v>NO</v>
      </c>
      <c r="D219" s="6">
        <v>3</v>
      </c>
      <c r="E219" s="6">
        <v>759</v>
      </c>
      <c r="F219" s="6">
        <v>2212</v>
      </c>
      <c r="G219" s="6">
        <v>2212</v>
      </c>
      <c r="H219" s="6">
        <v>1129</v>
      </c>
      <c r="I219" s="6">
        <v>753</v>
      </c>
      <c r="J219" s="6">
        <v>6</v>
      </c>
      <c r="K219" s="40">
        <v>235</v>
      </c>
      <c r="L219" s="40">
        <v>1</v>
      </c>
      <c r="M219" s="40">
        <v>27</v>
      </c>
      <c r="N219" s="40">
        <v>2</v>
      </c>
      <c r="O219" s="40">
        <v>0</v>
      </c>
      <c r="P219" s="40">
        <v>1</v>
      </c>
      <c r="Q219" s="40">
        <v>8</v>
      </c>
      <c r="R219" s="40">
        <v>10</v>
      </c>
      <c r="S219" s="40">
        <v>6</v>
      </c>
    </row>
    <row r="220" spans="1:19" x14ac:dyDescent="0.35">
      <c r="A220" s="38">
        <v>217</v>
      </c>
      <c r="B220" s="38" t="str">
        <f>_xlfn.XLOOKUP(A220,'Model Modeshare by TAZ'!A:A,'Model Modeshare by TAZ'!B:B)</f>
        <v>Los Altos</v>
      </c>
      <c r="C220" s="38" t="str">
        <f>_xlfn.XLOOKUP(A220,'Model Modeshare by TAZ'!A:A,'Model Modeshare by TAZ'!D:D)</f>
        <v>NO</v>
      </c>
      <c r="D220" s="6">
        <v>3</v>
      </c>
      <c r="E220" s="6">
        <v>885</v>
      </c>
      <c r="F220" s="6">
        <v>2198</v>
      </c>
      <c r="G220" s="6">
        <v>2219</v>
      </c>
      <c r="H220" s="6">
        <v>1136</v>
      </c>
      <c r="I220" s="6">
        <v>765</v>
      </c>
      <c r="J220" s="6">
        <v>120</v>
      </c>
      <c r="K220" s="40">
        <v>295</v>
      </c>
      <c r="L220" s="40">
        <v>1</v>
      </c>
      <c r="M220" s="40">
        <v>113</v>
      </c>
      <c r="N220" s="40">
        <v>16</v>
      </c>
      <c r="O220" s="40">
        <v>47</v>
      </c>
      <c r="P220" s="40">
        <v>25</v>
      </c>
      <c r="Q220" s="40">
        <v>23</v>
      </c>
      <c r="R220" s="40">
        <v>2</v>
      </c>
      <c r="S220" s="40">
        <v>0</v>
      </c>
    </row>
    <row r="221" spans="1:19" x14ac:dyDescent="0.35">
      <c r="A221" s="38">
        <v>218</v>
      </c>
      <c r="B221" s="38" t="str">
        <f>_xlfn.XLOOKUP(A221,'Model Modeshare by TAZ'!A:A,'Model Modeshare by TAZ'!B:B)</f>
        <v>Los Altos</v>
      </c>
      <c r="C221" s="38" t="str">
        <f>_xlfn.XLOOKUP(A221,'Model Modeshare by TAZ'!A:A,'Model Modeshare by TAZ'!D:D)</f>
        <v>NO</v>
      </c>
      <c r="D221" s="6">
        <v>3</v>
      </c>
      <c r="E221" s="6">
        <v>1072</v>
      </c>
      <c r="F221" s="6">
        <v>3092</v>
      </c>
      <c r="G221" s="6">
        <v>3163</v>
      </c>
      <c r="H221" s="6">
        <v>1501</v>
      </c>
      <c r="I221" s="6">
        <v>1056</v>
      </c>
      <c r="J221" s="6">
        <v>16</v>
      </c>
      <c r="K221" s="40">
        <v>295</v>
      </c>
      <c r="L221" s="40">
        <v>49</v>
      </c>
      <c r="M221" s="40">
        <v>1083</v>
      </c>
      <c r="N221" s="40">
        <v>100</v>
      </c>
      <c r="O221" s="40">
        <v>672</v>
      </c>
      <c r="P221" s="40">
        <v>261</v>
      </c>
      <c r="Q221" s="40">
        <v>1</v>
      </c>
      <c r="R221" s="40">
        <v>49</v>
      </c>
      <c r="S221" s="40">
        <v>0</v>
      </c>
    </row>
    <row r="222" spans="1:19" x14ac:dyDescent="0.35">
      <c r="A222" s="38">
        <v>219</v>
      </c>
      <c r="B222" s="38" t="str">
        <f>_xlfn.XLOOKUP(A222,'Model Modeshare by TAZ'!A:A,'Model Modeshare by TAZ'!B:B)</f>
        <v>Los Altos Hills</v>
      </c>
      <c r="C222" s="38" t="str">
        <f>_xlfn.XLOOKUP(A222,'Model Modeshare by TAZ'!A:A,'Model Modeshare by TAZ'!D:D)</f>
        <v>NO</v>
      </c>
      <c r="D222" s="6">
        <v>3</v>
      </c>
      <c r="E222" s="6">
        <v>172</v>
      </c>
      <c r="F222" s="6">
        <v>487</v>
      </c>
      <c r="G222" s="6">
        <v>487</v>
      </c>
      <c r="H222" s="6">
        <v>274</v>
      </c>
      <c r="I222" s="6">
        <v>168</v>
      </c>
      <c r="J222" s="6">
        <v>4</v>
      </c>
      <c r="K222" s="40">
        <v>226</v>
      </c>
      <c r="L222" s="40">
        <v>1</v>
      </c>
      <c r="M222" s="40">
        <v>68</v>
      </c>
      <c r="N222" s="40">
        <v>2</v>
      </c>
      <c r="O222" s="40">
        <v>55</v>
      </c>
      <c r="P222" s="40">
        <v>0</v>
      </c>
      <c r="Q222" s="40">
        <v>3</v>
      </c>
      <c r="R222" s="40">
        <v>2</v>
      </c>
      <c r="S222" s="40">
        <v>6</v>
      </c>
    </row>
    <row r="223" spans="1:19" x14ac:dyDescent="0.35">
      <c r="A223" s="38">
        <v>220</v>
      </c>
      <c r="B223" s="38" t="str">
        <f>_xlfn.XLOOKUP(A223,'Model Modeshare by TAZ'!A:A,'Model Modeshare by TAZ'!B:B)</f>
        <v>Los Altos Hills</v>
      </c>
      <c r="C223" s="38" t="str">
        <f>_xlfn.XLOOKUP(A223,'Model Modeshare by TAZ'!A:A,'Model Modeshare by TAZ'!D:D)</f>
        <v>NO</v>
      </c>
      <c r="D223" s="6">
        <v>3</v>
      </c>
      <c r="E223" s="6">
        <v>243</v>
      </c>
      <c r="F223" s="6">
        <v>689</v>
      </c>
      <c r="G223" s="6">
        <v>695</v>
      </c>
      <c r="H223" s="6">
        <v>389</v>
      </c>
      <c r="I223" s="6">
        <v>237</v>
      </c>
      <c r="J223" s="6">
        <v>6</v>
      </c>
      <c r="K223" s="40">
        <v>334</v>
      </c>
      <c r="L223" s="40">
        <v>1</v>
      </c>
      <c r="M223" s="40">
        <v>53</v>
      </c>
      <c r="N223" s="40">
        <v>2</v>
      </c>
      <c r="O223" s="40">
        <v>25</v>
      </c>
      <c r="P223" s="40">
        <v>17</v>
      </c>
      <c r="Q223" s="40">
        <v>3</v>
      </c>
      <c r="R223" s="40">
        <v>3</v>
      </c>
      <c r="S223" s="40">
        <v>3</v>
      </c>
    </row>
    <row r="224" spans="1:19" x14ac:dyDescent="0.35">
      <c r="A224" s="38">
        <v>221</v>
      </c>
      <c r="B224" s="38" t="str">
        <f>_xlfn.XLOOKUP(A224,'Model Modeshare by TAZ'!A:A,'Model Modeshare by TAZ'!B:B)</f>
        <v>Los Altos Hills</v>
      </c>
      <c r="C224" s="38" t="str">
        <f>_xlfn.XLOOKUP(A224,'Model Modeshare by TAZ'!A:A,'Model Modeshare by TAZ'!D:D)</f>
        <v>NO</v>
      </c>
      <c r="D224" s="6">
        <v>3</v>
      </c>
      <c r="E224" s="6">
        <v>342</v>
      </c>
      <c r="F224" s="6">
        <v>903</v>
      </c>
      <c r="G224" s="6">
        <v>927</v>
      </c>
      <c r="H224" s="6">
        <v>519</v>
      </c>
      <c r="I224" s="6">
        <v>316</v>
      </c>
      <c r="J224" s="6">
        <v>26</v>
      </c>
      <c r="K224" s="40">
        <v>301</v>
      </c>
      <c r="L224" s="40">
        <v>2</v>
      </c>
      <c r="M224" s="40">
        <v>62</v>
      </c>
      <c r="N224" s="40">
        <v>0</v>
      </c>
      <c r="O224" s="40">
        <v>24</v>
      </c>
      <c r="P224" s="40">
        <v>0</v>
      </c>
      <c r="Q224" s="40">
        <v>0</v>
      </c>
      <c r="R224" s="40">
        <v>38</v>
      </c>
      <c r="S224" s="40">
        <v>0</v>
      </c>
    </row>
    <row r="225" spans="1:19" x14ac:dyDescent="0.35">
      <c r="A225" s="38">
        <v>222</v>
      </c>
      <c r="B225" s="38" t="str">
        <f>_xlfn.XLOOKUP(A225,'Model Modeshare by TAZ'!A:A,'Model Modeshare by TAZ'!B:B)</f>
        <v>Los Altos Hills</v>
      </c>
      <c r="C225" s="38" t="str">
        <f>_xlfn.XLOOKUP(A225,'Model Modeshare by TAZ'!A:A,'Model Modeshare by TAZ'!D:D)</f>
        <v>NO</v>
      </c>
      <c r="D225" s="6">
        <v>3</v>
      </c>
      <c r="E225" s="6">
        <v>333</v>
      </c>
      <c r="F225" s="6">
        <v>877</v>
      </c>
      <c r="G225" s="6">
        <v>900</v>
      </c>
      <c r="H225" s="6">
        <v>505</v>
      </c>
      <c r="I225" s="6">
        <v>307</v>
      </c>
      <c r="J225" s="6">
        <v>26</v>
      </c>
      <c r="K225" s="40">
        <v>427</v>
      </c>
      <c r="L225" s="40">
        <v>2</v>
      </c>
      <c r="M225" s="40">
        <v>13</v>
      </c>
      <c r="N225" s="40">
        <v>0</v>
      </c>
      <c r="O225" s="40">
        <v>10</v>
      </c>
      <c r="P225" s="40">
        <v>0</v>
      </c>
      <c r="Q225" s="40">
        <v>3</v>
      </c>
      <c r="R225" s="40">
        <v>0</v>
      </c>
      <c r="S225" s="40">
        <v>0</v>
      </c>
    </row>
    <row r="226" spans="1:19" x14ac:dyDescent="0.35">
      <c r="A226" s="38">
        <v>223</v>
      </c>
      <c r="B226" s="38" t="str">
        <f>_xlfn.XLOOKUP(A226,'Model Modeshare by TAZ'!A:A,'Model Modeshare by TAZ'!B:B)</f>
        <v>Los Gatos</v>
      </c>
      <c r="C226" s="38" t="str">
        <f>_xlfn.XLOOKUP(A226,'Model Modeshare by TAZ'!A:A,'Model Modeshare by TAZ'!D:D)</f>
        <v>NO</v>
      </c>
      <c r="D226" s="6">
        <v>3</v>
      </c>
      <c r="E226" s="6">
        <v>34</v>
      </c>
      <c r="F226" s="6">
        <v>70</v>
      </c>
      <c r="G226" s="6">
        <v>70</v>
      </c>
      <c r="H226" s="6">
        <v>43</v>
      </c>
      <c r="I226" s="6">
        <v>16</v>
      </c>
      <c r="J226" s="6">
        <v>18</v>
      </c>
      <c r="K226" s="40">
        <v>4</v>
      </c>
      <c r="L226" s="40">
        <v>6</v>
      </c>
      <c r="M226" s="40">
        <v>113</v>
      </c>
      <c r="N226" s="40">
        <v>37</v>
      </c>
      <c r="O226" s="40">
        <v>47</v>
      </c>
      <c r="P226" s="40">
        <v>23</v>
      </c>
      <c r="Q226" s="40">
        <v>3</v>
      </c>
      <c r="R226" s="40">
        <v>1</v>
      </c>
      <c r="S226" s="40">
        <v>2</v>
      </c>
    </row>
    <row r="227" spans="1:19" x14ac:dyDescent="0.35">
      <c r="A227" s="38">
        <v>224</v>
      </c>
      <c r="B227" s="38" t="str">
        <f>_xlfn.XLOOKUP(A227,'Model Modeshare by TAZ'!A:A,'Model Modeshare by TAZ'!B:B)</f>
        <v>Los Gatos</v>
      </c>
      <c r="C227" s="38" t="str">
        <f>_xlfn.XLOOKUP(A227,'Model Modeshare by TAZ'!A:A,'Model Modeshare by TAZ'!D:D)</f>
        <v>NO</v>
      </c>
      <c r="D227" s="6">
        <v>3</v>
      </c>
      <c r="E227" s="6">
        <v>23</v>
      </c>
      <c r="F227" s="6">
        <v>50</v>
      </c>
      <c r="G227" s="6">
        <v>52</v>
      </c>
      <c r="H227" s="6">
        <v>27</v>
      </c>
      <c r="I227" s="6">
        <v>16</v>
      </c>
      <c r="J227" s="6">
        <v>7</v>
      </c>
      <c r="K227" s="40">
        <v>2</v>
      </c>
      <c r="L227" s="40">
        <v>2</v>
      </c>
      <c r="M227" s="40">
        <v>30</v>
      </c>
      <c r="N227" s="40">
        <v>6</v>
      </c>
      <c r="O227" s="40">
        <v>23</v>
      </c>
      <c r="P227" s="40">
        <v>0</v>
      </c>
      <c r="Q227" s="40">
        <v>0</v>
      </c>
      <c r="R227" s="40">
        <v>0</v>
      </c>
      <c r="S227" s="40">
        <v>1</v>
      </c>
    </row>
    <row r="228" spans="1:19" x14ac:dyDescent="0.35">
      <c r="A228" s="38">
        <v>225</v>
      </c>
      <c r="B228" s="38" t="str">
        <f>_xlfn.XLOOKUP(A228,'Model Modeshare by TAZ'!A:A,'Model Modeshare by TAZ'!B:B)</f>
        <v>Los Gatos</v>
      </c>
      <c r="C228" s="38" t="str">
        <f>_xlfn.XLOOKUP(A228,'Model Modeshare by TAZ'!A:A,'Model Modeshare by TAZ'!D:D)</f>
        <v>NO</v>
      </c>
      <c r="D228" s="6">
        <v>3</v>
      </c>
      <c r="E228" s="6">
        <v>8</v>
      </c>
      <c r="F228" s="6">
        <v>16</v>
      </c>
      <c r="G228" s="6">
        <v>16</v>
      </c>
      <c r="H228" s="6">
        <v>10</v>
      </c>
      <c r="I228" s="6">
        <v>4</v>
      </c>
      <c r="J228" s="6">
        <v>4</v>
      </c>
      <c r="K228" s="40">
        <v>1</v>
      </c>
      <c r="L228" s="40">
        <v>10</v>
      </c>
      <c r="M228" s="40">
        <v>420</v>
      </c>
      <c r="N228" s="40">
        <v>14</v>
      </c>
      <c r="O228" s="40">
        <v>295</v>
      </c>
      <c r="P228" s="40">
        <v>94</v>
      </c>
      <c r="Q228" s="40">
        <v>3</v>
      </c>
      <c r="R228" s="40">
        <v>6</v>
      </c>
      <c r="S228" s="40">
        <v>8</v>
      </c>
    </row>
    <row r="229" spans="1:19" x14ac:dyDescent="0.35">
      <c r="A229" s="38">
        <v>226</v>
      </c>
      <c r="B229" s="38" t="str">
        <f>_xlfn.XLOOKUP(A229,'Model Modeshare by TAZ'!A:A,'Model Modeshare by TAZ'!B:B)</f>
        <v>Los Gatos</v>
      </c>
      <c r="C229" s="38" t="str">
        <f>_xlfn.XLOOKUP(A229,'Model Modeshare by TAZ'!A:A,'Model Modeshare by TAZ'!D:D)</f>
        <v>NO</v>
      </c>
      <c r="D229" s="6">
        <v>3</v>
      </c>
      <c r="E229" s="6">
        <v>580</v>
      </c>
      <c r="F229" s="6">
        <v>1623</v>
      </c>
      <c r="G229" s="6">
        <v>1633</v>
      </c>
      <c r="H229" s="6">
        <v>802</v>
      </c>
      <c r="I229" s="6">
        <v>528</v>
      </c>
      <c r="J229" s="6">
        <v>52</v>
      </c>
      <c r="K229" s="40">
        <v>213</v>
      </c>
      <c r="L229" s="40">
        <v>11</v>
      </c>
      <c r="M229" s="40">
        <v>244</v>
      </c>
      <c r="N229" s="40">
        <v>159</v>
      </c>
      <c r="O229" s="40">
        <v>61</v>
      </c>
      <c r="P229" s="40">
        <v>21</v>
      </c>
      <c r="Q229" s="40">
        <v>2</v>
      </c>
      <c r="R229" s="40">
        <v>1</v>
      </c>
      <c r="S229" s="40">
        <v>0</v>
      </c>
    </row>
    <row r="230" spans="1:19" x14ac:dyDescent="0.35">
      <c r="A230" s="38">
        <v>227</v>
      </c>
      <c r="B230" s="38" t="str">
        <f>_xlfn.XLOOKUP(A230,'Model Modeshare by TAZ'!A:A,'Model Modeshare by TAZ'!B:B)</f>
        <v>Los Gatos</v>
      </c>
      <c r="C230" s="38" t="str">
        <f>_xlfn.XLOOKUP(A230,'Model Modeshare by TAZ'!A:A,'Model Modeshare by TAZ'!D:D)</f>
        <v>NO</v>
      </c>
      <c r="D230" s="6">
        <v>3</v>
      </c>
      <c r="E230" s="6">
        <v>1241</v>
      </c>
      <c r="F230" s="6">
        <v>2700</v>
      </c>
      <c r="G230" s="6">
        <v>2730</v>
      </c>
      <c r="H230" s="6">
        <v>1467</v>
      </c>
      <c r="I230" s="6">
        <v>832</v>
      </c>
      <c r="J230" s="6">
        <v>409</v>
      </c>
      <c r="K230" s="40">
        <v>283</v>
      </c>
      <c r="L230" s="40">
        <v>61</v>
      </c>
      <c r="M230" s="40">
        <v>2167</v>
      </c>
      <c r="N230" s="40">
        <v>78</v>
      </c>
      <c r="O230" s="40">
        <v>991</v>
      </c>
      <c r="P230" s="40">
        <v>994</v>
      </c>
      <c r="Q230" s="40">
        <v>6</v>
      </c>
      <c r="R230" s="40">
        <v>73</v>
      </c>
      <c r="S230" s="40">
        <v>25</v>
      </c>
    </row>
    <row r="231" spans="1:19" x14ac:dyDescent="0.35">
      <c r="A231" s="38">
        <v>228</v>
      </c>
      <c r="B231" s="38" t="str">
        <f>_xlfn.XLOOKUP(A231,'Model Modeshare by TAZ'!A:A,'Model Modeshare by TAZ'!B:B)</f>
        <v>Los Gatos</v>
      </c>
      <c r="C231" s="38" t="str">
        <f>_xlfn.XLOOKUP(A231,'Model Modeshare by TAZ'!A:A,'Model Modeshare by TAZ'!D:D)</f>
        <v>NO</v>
      </c>
      <c r="D231" s="6">
        <v>3</v>
      </c>
      <c r="E231" s="6">
        <v>119</v>
      </c>
      <c r="F231" s="6">
        <v>259</v>
      </c>
      <c r="G231" s="6">
        <v>262</v>
      </c>
      <c r="H231" s="6">
        <v>141</v>
      </c>
      <c r="I231" s="6">
        <v>79</v>
      </c>
      <c r="J231" s="6">
        <v>40</v>
      </c>
      <c r="K231" s="40">
        <v>37</v>
      </c>
      <c r="L231" s="40">
        <v>11</v>
      </c>
      <c r="M231" s="40">
        <v>640</v>
      </c>
      <c r="N231" s="40">
        <v>7</v>
      </c>
      <c r="O231" s="40">
        <v>550</v>
      </c>
      <c r="P231" s="40">
        <v>57</v>
      </c>
      <c r="Q231" s="40">
        <v>0</v>
      </c>
      <c r="R231" s="40">
        <v>22</v>
      </c>
      <c r="S231" s="40">
        <v>4</v>
      </c>
    </row>
    <row r="232" spans="1:19" x14ac:dyDescent="0.35">
      <c r="A232" s="38">
        <v>229</v>
      </c>
      <c r="B232" s="38" t="str">
        <f>_xlfn.XLOOKUP(A232,'Model Modeshare by TAZ'!A:A,'Model Modeshare by TAZ'!B:B)</f>
        <v>Los Gatos</v>
      </c>
      <c r="C232" s="38" t="str">
        <f>_xlfn.XLOOKUP(A232,'Model Modeshare by TAZ'!A:A,'Model Modeshare by TAZ'!D:D)</f>
        <v>NO</v>
      </c>
      <c r="D232" s="6">
        <v>3</v>
      </c>
      <c r="E232" s="6">
        <v>746</v>
      </c>
      <c r="F232" s="6">
        <v>1797</v>
      </c>
      <c r="G232" s="6">
        <v>1797</v>
      </c>
      <c r="H232" s="6">
        <v>1018</v>
      </c>
      <c r="I232" s="6">
        <v>638</v>
      </c>
      <c r="J232" s="6">
        <v>108</v>
      </c>
      <c r="K232" s="40">
        <v>203</v>
      </c>
      <c r="L232" s="40">
        <v>1</v>
      </c>
      <c r="M232" s="40">
        <v>193</v>
      </c>
      <c r="N232" s="40">
        <v>1</v>
      </c>
      <c r="O232" s="40">
        <v>147</v>
      </c>
      <c r="P232" s="40">
        <v>0</v>
      </c>
      <c r="Q232" s="40">
        <v>3</v>
      </c>
      <c r="R232" s="40">
        <v>42</v>
      </c>
      <c r="S232" s="40">
        <v>0</v>
      </c>
    </row>
    <row r="233" spans="1:19" x14ac:dyDescent="0.35">
      <c r="A233" s="38">
        <v>230</v>
      </c>
      <c r="B233" s="38" t="str">
        <f>_xlfn.XLOOKUP(A233,'Model Modeshare by TAZ'!A:A,'Model Modeshare by TAZ'!B:B)</f>
        <v>Los Gatos</v>
      </c>
      <c r="C233" s="38" t="str">
        <f>_xlfn.XLOOKUP(A233,'Model Modeshare by TAZ'!A:A,'Model Modeshare by TAZ'!D:D)</f>
        <v>NO</v>
      </c>
      <c r="D233" s="6">
        <v>3</v>
      </c>
      <c r="E233" s="6">
        <v>1012</v>
      </c>
      <c r="F233" s="6">
        <v>2436</v>
      </c>
      <c r="G233" s="6">
        <v>2437</v>
      </c>
      <c r="H233" s="6">
        <v>1382</v>
      </c>
      <c r="I233" s="6">
        <v>0</v>
      </c>
      <c r="J233" s="6">
        <v>1012</v>
      </c>
      <c r="K233" s="40">
        <v>376</v>
      </c>
      <c r="L233" s="40">
        <v>60</v>
      </c>
      <c r="M233" s="40">
        <v>815</v>
      </c>
      <c r="N233" s="40">
        <v>118</v>
      </c>
      <c r="O233" s="40">
        <v>442</v>
      </c>
      <c r="P233" s="40">
        <v>209</v>
      </c>
      <c r="Q233" s="40">
        <v>2</v>
      </c>
      <c r="R233" s="40">
        <v>44</v>
      </c>
      <c r="S233" s="40">
        <v>0</v>
      </c>
    </row>
    <row r="234" spans="1:19" x14ac:dyDescent="0.35">
      <c r="A234" s="38">
        <v>231</v>
      </c>
      <c r="B234" s="38" t="str">
        <f>_xlfn.XLOOKUP(A234,'Model Modeshare by TAZ'!A:A,'Model Modeshare by TAZ'!B:B)</f>
        <v>Los Gatos</v>
      </c>
      <c r="C234" s="38" t="str">
        <f>_xlfn.XLOOKUP(A234,'Model Modeshare by TAZ'!A:A,'Model Modeshare by TAZ'!D:D)</f>
        <v>NO</v>
      </c>
      <c r="D234" s="6">
        <v>3</v>
      </c>
      <c r="E234" s="6">
        <v>283</v>
      </c>
      <c r="F234" s="6">
        <v>657</v>
      </c>
      <c r="G234" s="6">
        <v>666</v>
      </c>
      <c r="H234" s="6">
        <v>380</v>
      </c>
      <c r="I234" s="6">
        <v>197</v>
      </c>
      <c r="J234" s="6">
        <v>86</v>
      </c>
      <c r="K234" s="40">
        <v>36</v>
      </c>
      <c r="L234" s="40">
        <v>51</v>
      </c>
      <c r="M234" s="40">
        <v>1579</v>
      </c>
      <c r="N234" s="40">
        <v>48</v>
      </c>
      <c r="O234" s="40">
        <v>693</v>
      </c>
      <c r="P234" s="40">
        <v>365</v>
      </c>
      <c r="Q234" s="40">
        <v>6</v>
      </c>
      <c r="R234" s="40">
        <v>454</v>
      </c>
      <c r="S234" s="40">
        <v>13</v>
      </c>
    </row>
    <row r="235" spans="1:19" x14ac:dyDescent="0.35">
      <c r="A235" s="38">
        <v>232</v>
      </c>
      <c r="B235" s="38" t="str">
        <f>_xlfn.XLOOKUP(A235,'Model Modeshare by TAZ'!A:A,'Model Modeshare by TAZ'!B:B)</f>
        <v>Los Gatos</v>
      </c>
      <c r="C235" s="38" t="str">
        <f>_xlfn.XLOOKUP(A235,'Model Modeshare by TAZ'!A:A,'Model Modeshare by TAZ'!D:D)</f>
        <v>NO</v>
      </c>
      <c r="D235" s="6">
        <v>3</v>
      </c>
      <c r="E235" s="6">
        <v>519</v>
      </c>
      <c r="F235" s="6">
        <v>1206</v>
      </c>
      <c r="G235" s="6">
        <v>1218</v>
      </c>
      <c r="H235" s="6">
        <v>698</v>
      </c>
      <c r="I235" s="6">
        <v>0</v>
      </c>
      <c r="J235" s="6">
        <v>519</v>
      </c>
      <c r="K235" s="40">
        <v>189</v>
      </c>
      <c r="L235" s="40">
        <v>30</v>
      </c>
      <c r="M235" s="40">
        <v>499</v>
      </c>
      <c r="N235" s="40">
        <v>16</v>
      </c>
      <c r="O235" s="40">
        <v>289</v>
      </c>
      <c r="P235" s="40">
        <v>51</v>
      </c>
      <c r="Q235" s="40">
        <v>3</v>
      </c>
      <c r="R235" s="40">
        <v>135</v>
      </c>
      <c r="S235" s="40">
        <v>4</v>
      </c>
    </row>
    <row r="236" spans="1:19" x14ac:dyDescent="0.35">
      <c r="A236" s="38">
        <v>233</v>
      </c>
      <c r="B236" s="38" t="str">
        <f>_xlfn.XLOOKUP(A236,'Model Modeshare by TAZ'!A:A,'Model Modeshare by TAZ'!B:B)</f>
        <v>Los Gatos</v>
      </c>
      <c r="C236" s="38" t="str">
        <f>_xlfn.XLOOKUP(A236,'Model Modeshare by TAZ'!A:A,'Model Modeshare by TAZ'!D:D)</f>
        <v>NO</v>
      </c>
      <c r="D236" s="6">
        <v>3</v>
      </c>
      <c r="E236" s="6">
        <v>70</v>
      </c>
      <c r="F236" s="6">
        <v>146</v>
      </c>
      <c r="G236" s="6">
        <v>146</v>
      </c>
      <c r="H236" s="6">
        <v>89</v>
      </c>
      <c r="I236" s="6">
        <v>36</v>
      </c>
      <c r="J236" s="6">
        <v>34</v>
      </c>
      <c r="K236" s="40">
        <v>12</v>
      </c>
      <c r="L236" s="40">
        <v>23</v>
      </c>
      <c r="M236" s="40">
        <v>1506</v>
      </c>
      <c r="N236" s="40">
        <v>24</v>
      </c>
      <c r="O236" s="40">
        <v>781</v>
      </c>
      <c r="P236" s="40">
        <v>637</v>
      </c>
      <c r="Q236" s="40">
        <v>3</v>
      </c>
      <c r="R236" s="40">
        <v>30</v>
      </c>
      <c r="S236" s="40">
        <v>31</v>
      </c>
    </row>
    <row r="237" spans="1:19" x14ac:dyDescent="0.35">
      <c r="A237" s="38">
        <v>234</v>
      </c>
      <c r="B237" s="38" t="str">
        <f>_xlfn.XLOOKUP(A237,'Model Modeshare by TAZ'!A:A,'Model Modeshare by TAZ'!B:B)</f>
        <v>Los Gatos</v>
      </c>
      <c r="C237" s="38" t="str">
        <f>_xlfn.XLOOKUP(A237,'Model Modeshare by TAZ'!A:A,'Model Modeshare by TAZ'!D:D)</f>
        <v>NO</v>
      </c>
      <c r="D237" s="6">
        <v>3</v>
      </c>
      <c r="E237" s="6">
        <v>789</v>
      </c>
      <c r="F237" s="6">
        <v>1646</v>
      </c>
      <c r="G237" s="6">
        <v>1646</v>
      </c>
      <c r="H237" s="6">
        <v>1019</v>
      </c>
      <c r="I237" s="6">
        <v>373</v>
      </c>
      <c r="J237" s="6">
        <v>416</v>
      </c>
      <c r="K237" s="40">
        <v>80</v>
      </c>
      <c r="L237" s="40">
        <v>9</v>
      </c>
      <c r="M237" s="40">
        <v>263</v>
      </c>
      <c r="N237" s="40">
        <v>6</v>
      </c>
      <c r="O237" s="40">
        <v>203</v>
      </c>
      <c r="P237" s="40">
        <v>44</v>
      </c>
      <c r="Q237" s="40">
        <v>3</v>
      </c>
      <c r="R237" s="40">
        <v>3</v>
      </c>
      <c r="S237" s="40">
        <v>4</v>
      </c>
    </row>
    <row r="238" spans="1:19" x14ac:dyDescent="0.35">
      <c r="A238" s="38">
        <v>235</v>
      </c>
      <c r="B238" s="38" t="str">
        <f>_xlfn.XLOOKUP(A238,'Model Modeshare by TAZ'!A:A,'Model Modeshare by TAZ'!B:B)</f>
        <v>Los Gatos</v>
      </c>
      <c r="C238" s="38" t="str">
        <f>_xlfn.XLOOKUP(A238,'Model Modeshare by TAZ'!A:A,'Model Modeshare by TAZ'!D:D)</f>
        <v>NO</v>
      </c>
      <c r="D238" s="6">
        <v>3</v>
      </c>
      <c r="E238" s="6">
        <v>486</v>
      </c>
      <c r="F238" s="6">
        <v>1056</v>
      </c>
      <c r="G238" s="6">
        <v>1068</v>
      </c>
      <c r="H238" s="6">
        <v>574</v>
      </c>
      <c r="I238" s="6">
        <v>327</v>
      </c>
      <c r="J238" s="6">
        <v>159</v>
      </c>
      <c r="K238" s="40">
        <v>58</v>
      </c>
      <c r="L238" s="40">
        <v>28</v>
      </c>
      <c r="M238" s="40">
        <v>1425</v>
      </c>
      <c r="N238" s="40">
        <v>56</v>
      </c>
      <c r="O238" s="40">
        <v>854</v>
      </c>
      <c r="P238" s="40">
        <v>382</v>
      </c>
      <c r="Q238" s="40">
        <v>1</v>
      </c>
      <c r="R238" s="40">
        <v>114</v>
      </c>
      <c r="S238" s="40">
        <v>18</v>
      </c>
    </row>
    <row r="239" spans="1:19" x14ac:dyDescent="0.35">
      <c r="A239" s="38">
        <v>236</v>
      </c>
      <c r="B239" s="38" t="str">
        <f>_xlfn.XLOOKUP(A239,'Model Modeshare by TAZ'!A:A,'Model Modeshare by TAZ'!B:B)</f>
        <v>Los Gatos</v>
      </c>
      <c r="C239" s="38" t="str">
        <f>_xlfn.XLOOKUP(A239,'Model Modeshare by TAZ'!A:A,'Model Modeshare by TAZ'!D:D)</f>
        <v>NO</v>
      </c>
      <c r="D239" s="6">
        <v>3</v>
      </c>
      <c r="E239" s="6">
        <v>179</v>
      </c>
      <c r="F239" s="6">
        <v>388</v>
      </c>
      <c r="G239" s="6">
        <v>392</v>
      </c>
      <c r="H239" s="6">
        <v>212</v>
      </c>
      <c r="I239" s="6">
        <v>120</v>
      </c>
      <c r="J239" s="6">
        <v>59</v>
      </c>
      <c r="K239" s="40">
        <v>15</v>
      </c>
      <c r="L239" s="40">
        <v>27</v>
      </c>
      <c r="M239" s="40">
        <v>661</v>
      </c>
      <c r="N239" s="40">
        <v>29</v>
      </c>
      <c r="O239" s="40">
        <v>275</v>
      </c>
      <c r="P239" s="40">
        <v>321</v>
      </c>
      <c r="Q239" s="40">
        <v>3</v>
      </c>
      <c r="R239" s="40">
        <v>28</v>
      </c>
      <c r="S239" s="40">
        <v>5</v>
      </c>
    </row>
    <row r="240" spans="1:19" x14ac:dyDescent="0.35">
      <c r="A240" s="38">
        <v>237</v>
      </c>
      <c r="B240" s="38" t="str">
        <f>_xlfn.XLOOKUP(A240,'Model Modeshare by TAZ'!A:A,'Model Modeshare by TAZ'!B:B)</f>
        <v>Los Gatos</v>
      </c>
      <c r="C240" s="38" t="str">
        <f>_xlfn.XLOOKUP(A240,'Model Modeshare by TAZ'!A:A,'Model Modeshare by TAZ'!D:D)</f>
        <v>NO</v>
      </c>
      <c r="D240" s="6">
        <v>3</v>
      </c>
      <c r="E240" s="6">
        <v>207</v>
      </c>
      <c r="F240" s="6">
        <v>451</v>
      </c>
      <c r="G240" s="6">
        <v>461</v>
      </c>
      <c r="H240" s="6">
        <v>244</v>
      </c>
      <c r="I240" s="6">
        <v>138</v>
      </c>
      <c r="J240" s="6">
        <v>69</v>
      </c>
      <c r="K240" s="40">
        <v>15</v>
      </c>
      <c r="L240" s="40">
        <v>12</v>
      </c>
      <c r="M240" s="40">
        <v>353</v>
      </c>
      <c r="N240" s="40">
        <v>268</v>
      </c>
      <c r="O240" s="40">
        <v>67</v>
      </c>
      <c r="P240" s="40">
        <v>12</v>
      </c>
      <c r="Q240" s="40">
        <v>0</v>
      </c>
      <c r="R240" s="40">
        <v>4</v>
      </c>
      <c r="S240" s="40">
        <v>2</v>
      </c>
    </row>
    <row r="241" spans="1:19" x14ac:dyDescent="0.35">
      <c r="A241" s="38">
        <v>238</v>
      </c>
      <c r="B241" s="38" t="str">
        <f>_xlfn.XLOOKUP(A241,'Model Modeshare by TAZ'!A:A,'Model Modeshare by TAZ'!B:B)</f>
        <v>Los Gatos</v>
      </c>
      <c r="C241" s="38" t="str">
        <f>_xlfn.XLOOKUP(A241,'Model Modeshare by TAZ'!A:A,'Model Modeshare by TAZ'!D:D)</f>
        <v>NO</v>
      </c>
      <c r="D241" s="6">
        <v>3</v>
      </c>
      <c r="E241" s="6">
        <v>491</v>
      </c>
      <c r="F241" s="6">
        <v>1068</v>
      </c>
      <c r="G241" s="6">
        <v>1086</v>
      </c>
      <c r="H241" s="6">
        <v>581</v>
      </c>
      <c r="I241" s="6">
        <v>0</v>
      </c>
      <c r="J241" s="6">
        <v>491</v>
      </c>
      <c r="K241" s="40">
        <v>191</v>
      </c>
      <c r="L241" s="40">
        <v>15</v>
      </c>
      <c r="M241" s="40">
        <v>559</v>
      </c>
      <c r="N241" s="40">
        <v>46</v>
      </c>
      <c r="O241" s="40">
        <v>260</v>
      </c>
      <c r="P241" s="40">
        <v>239</v>
      </c>
      <c r="Q241" s="40">
        <v>0</v>
      </c>
      <c r="R241" s="40">
        <v>10</v>
      </c>
      <c r="S241" s="40">
        <v>3</v>
      </c>
    </row>
    <row r="242" spans="1:19" x14ac:dyDescent="0.35">
      <c r="A242" s="38">
        <v>239</v>
      </c>
      <c r="B242" s="38" t="str">
        <f>_xlfn.XLOOKUP(A242,'Model Modeshare by TAZ'!A:A,'Model Modeshare by TAZ'!B:B)</f>
        <v>Los Gatos</v>
      </c>
      <c r="C242" s="38" t="str">
        <f>_xlfn.XLOOKUP(A242,'Model Modeshare by TAZ'!A:A,'Model Modeshare by TAZ'!D:D)</f>
        <v>NO</v>
      </c>
      <c r="D242" s="6">
        <v>3</v>
      </c>
      <c r="E242" s="6">
        <v>778</v>
      </c>
      <c r="F242" s="6">
        <v>2087</v>
      </c>
      <c r="G242" s="6">
        <v>2126</v>
      </c>
      <c r="H242" s="6">
        <v>1245</v>
      </c>
      <c r="I242" s="6">
        <v>731</v>
      </c>
      <c r="J242" s="6">
        <v>47</v>
      </c>
      <c r="K242" s="40">
        <v>171</v>
      </c>
      <c r="L242" s="40">
        <v>12</v>
      </c>
      <c r="M242" s="40">
        <v>503</v>
      </c>
      <c r="N242" s="40">
        <v>41</v>
      </c>
      <c r="O242" s="40">
        <v>297</v>
      </c>
      <c r="P242" s="40">
        <v>134</v>
      </c>
      <c r="Q242" s="40">
        <v>0</v>
      </c>
      <c r="R242" s="40">
        <v>30</v>
      </c>
      <c r="S242" s="40">
        <v>1</v>
      </c>
    </row>
    <row r="243" spans="1:19" x14ac:dyDescent="0.35">
      <c r="A243" s="38">
        <v>240</v>
      </c>
      <c r="B243" s="38" t="str">
        <f>_xlfn.XLOOKUP(A243,'Model Modeshare by TAZ'!A:A,'Model Modeshare by TAZ'!B:B)</f>
        <v>Los Gatos</v>
      </c>
      <c r="C243" s="38" t="str">
        <f>_xlfn.XLOOKUP(A243,'Model Modeshare by TAZ'!A:A,'Model Modeshare by TAZ'!D:D)</f>
        <v>NO</v>
      </c>
      <c r="D243" s="6">
        <v>3</v>
      </c>
      <c r="E243" s="6">
        <v>412</v>
      </c>
      <c r="F243" s="6">
        <v>1151</v>
      </c>
      <c r="G243" s="6">
        <v>1178</v>
      </c>
      <c r="H243" s="6">
        <v>569</v>
      </c>
      <c r="I243" s="6">
        <v>376</v>
      </c>
      <c r="J243" s="6">
        <v>36</v>
      </c>
      <c r="K243" s="40">
        <v>47</v>
      </c>
      <c r="L243" s="40">
        <v>25</v>
      </c>
      <c r="M243" s="40">
        <v>480</v>
      </c>
      <c r="N243" s="40">
        <v>246</v>
      </c>
      <c r="O243" s="40">
        <v>167</v>
      </c>
      <c r="P243" s="40">
        <v>39</v>
      </c>
      <c r="Q243" s="40">
        <v>2</v>
      </c>
      <c r="R243" s="40">
        <v>19</v>
      </c>
      <c r="S243" s="40">
        <v>7</v>
      </c>
    </row>
    <row r="244" spans="1:19" x14ac:dyDescent="0.35">
      <c r="A244" s="38">
        <v>241</v>
      </c>
      <c r="B244" s="38" t="str">
        <f>_xlfn.XLOOKUP(A244,'Model Modeshare by TAZ'!A:A,'Model Modeshare by TAZ'!B:B)</f>
        <v>Los Gatos</v>
      </c>
      <c r="C244" s="38" t="str">
        <f>_xlfn.XLOOKUP(A244,'Model Modeshare by TAZ'!A:A,'Model Modeshare by TAZ'!D:D)</f>
        <v>NO</v>
      </c>
      <c r="D244" s="6">
        <v>3</v>
      </c>
      <c r="E244" s="6">
        <v>432</v>
      </c>
      <c r="F244" s="6">
        <v>1210</v>
      </c>
      <c r="G244" s="6">
        <v>1217</v>
      </c>
      <c r="H244" s="6">
        <v>597</v>
      </c>
      <c r="I244" s="6">
        <v>394</v>
      </c>
      <c r="J244" s="6">
        <v>38</v>
      </c>
      <c r="K244" s="40">
        <v>133</v>
      </c>
      <c r="L244" s="40">
        <v>1</v>
      </c>
      <c r="M244" s="40">
        <v>8</v>
      </c>
      <c r="N244" s="40">
        <v>1</v>
      </c>
      <c r="O244" s="40">
        <v>2</v>
      </c>
      <c r="P244" s="40">
        <v>1</v>
      </c>
      <c r="Q244" s="40">
        <v>3</v>
      </c>
      <c r="R244" s="40">
        <v>1</v>
      </c>
      <c r="S244" s="40">
        <v>0</v>
      </c>
    </row>
    <row r="245" spans="1:19" x14ac:dyDescent="0.35">
      <c r="A245" s="38">
        <v>242</v>
      </c>
      <c r="B245" s="38" t="str">
        <f>_xlfn.XLOOKUP(A245,'Model Modeshare by TAZ'!A:A,'Model Modeshare by TAZ'!B:B)</f>
        <v>Los Gatos</v>
      </c>
      <c r="C245" s="38" t="str">
        <f>_xlfn.XLOOKUP(A245,'Model Modeshare by TAZ'!A:A,'Model Modeshare by TAZ'!D:D)</f>
        <v>NO</v>
      </c>
      <c r="D245" s="6">
        <v>3</v>
      </c>
      <c r="E245" s="6">
        <v>172</v>
      </c>
      <c r="F245" s="6">
        <v>480</v>
      </c>
      <c r="G245" s="6">
        <v>483</v>
      </c>
      <c r="H245" s="6">
        <v>237</v>
      </c>
      <c r="I245" s="6">
        <v>157</v>
      </c>
      <c r="J245" s="6">
        <v>15</v>
      </c>
      <c r="K245" s="40">
        <v>241</v>
      </c>
      <c r="L245" s="40">
        <v>1</v>
      </c>
      <c r="M245" s="40">
        <v>7</v>
      </c>
      <c r="N245" s="40">
        <v>1</v>
      </c>
      <c r="O245" s="40">
        <v>2</v>
      </c>
      <c r="P245" s="40">
        <v>0</v>
      </c>
      <c r="Q245" s="40">
        <v>3</v>
      </c>
      <c r="R245" s="40">
        <v>1</v>
      </c>
      <c r="S245" s="40">
        <v>0</v>
      </c>
    </row>
    <row r="246" spans="1:19" x14ac:dyDescent="0.35">
      <c r="A246" s="38">
        <v>243</v>
      </c>
      <c r="B246" s="38" t="str">
        <f>_xlfn.XLOOKUP(A246,'Model Modeshare by TAZ'!A:A,'Model Modeshare by TAZ'!B:B)</f>
        <v>Unincorporated</v>
      </c>
      <c r="C246" s="38" t="str">
        <f>_xlfn.XLOOKUP(A246,'Model Modeshare by TAZ'!A:A,'Model Modeshare by TAZ'!D:D)</f>
        <v>NO</v>
      </c>
      <c r="D246" s="6">
        <v>3</v>
      </c>
      <c r="E246" s="6">
        <v>1082</v>
      </c>
      <c r="F246" s="6">
        <v>2819</v>
      </c>
      <c r="G246" s="6">
        <v>2843</v>
      </c>
      <c r="H246" s="6">
        <v>1540</v>
      </c>
      <c r="I246" s="6">
        <v>857</v>
      </c>
      <c r="J246" s="6">
        <v>225</v>
      </c>
      <c r="K246" s="40">
        <v>251</v>
      </c>
      <c r="L246" s="40">
        <v>13</v>
      </c>
      <c r="M246" s="40">
        <v>550</v>
      </c>
      <c r="N246" s="40">
        <v>466</v>
      </c>
      <c r="O246" s="40">
        <v>57</v>
      </c>
      <c r="P246" s="40">
        <v>20</v>
      </c>
      <c r="Q246" s="40">
        <v>2</v>
      </c>
      <c r="R246" s="40">
        <v>2</v>
      </c>
      <c r="S246" s="40">
        <v>3</v>
      </c>
    </row>
    <row r="247" spans="1:19" x14ac:dyDescent="0.35">
      <c r="A247" s="38">
        <v>244</v>
      </c>
      <c r="B247" s="38" t="str">
        <f>_xlfn.XLOOKUP(A247,'Model Modeshare by TAZ'!A:A,'Model Modeshare by TAZ'!B:B)</f>
        <v>Los Gatos</v>
      </c>
      <c r="C247" s="38" t="str">
        <f>_xlfn.XLOOKUP(A247,'Model Modeshare by TAZ'!A:A,'Model Modeshare by TAZ'!D:D)</f>
        <v>NO</v>
      </c>
      <c r="D247" s="6">
        <v>3</v>
      </c>
      <c r="E247" s="6">
        <v>31</v>
      </c>
      <c r="F247" s="6">
        <v>68</v>
      </c>
      <c r="G247" s="6">
        <v>69</v>
      </c>
      <c r="H247" s="6">
        <v>37</v>
      </c>
      <c r="I247" s="6">
        <v>21</v>
      </c>
      <c r="J247" s="6">
        <v>10</v>
      </c>
      <c r="K247" s="40">
        <v>4</v>
      </c>
      <c r="L247" s="40">
        <v>21</v>
      </c>
      <c r="M247" s="40">
        <v>742</v>
      </c>
      <c r="N247" s="40">
        <v>101</v>
      </c>
      <c r="O247" s="40">
        <v>542</v>
      </c>
      <c r="P247" s="40">
        <v>67</v>
      </c>
      <c r="Q247" s="40">
        <v>3</v>
      </c>
      <c r="R247" s="40">
        <v>25</v>
      </c>
      <c r="S247" s="40">
        <v>4</v>
      </c>
    </row>
    <row r="248" spans="1:19" x14ac:dyDescent="0.35">
      <c r="A248" s="38">
        <v>245</v>
      </c>
      <c r="B248" s="38" t="str">
        <f>_xlfn.XLOOKUP(A248,'Model Modeshare by TAZ'!A:A,'Model Modeshare by TAZ'!B:B)</f>
        <v>Los Gatos</v>
      </c>
      <c r="C248" s="38" t="str">
        <f>_xlfn.XLOOKUP(A248,'Model Modeshare by TAZ'!A:A,'Model Modeshare by TAZ'!D:D)</f>
        <v>NO</v>
      </c>
      <c r="D248" s="6">
        <v>3</v>
      </c>
      <c r="E248" s="6">
        <v>549</v>
      </c>
      <c r="F248" s="6">
        <v>1410</v>
      </c>
      <c r="G248" s="6">
        <v>1416</v>
      </c>
      <c r="H248" s="6">
        <v>778</v>
      </c>
      <c r="I248" s="6">
        <v>390</v>
      </c>
      <c r="J248" s="6">
        <v>159</v>
      </c>
      <c r="K248" s="40">
        <v>53</v>
      </c>
      <c r="L248" s="40">
        <v>12</v>
      </c>
      <c r="M248" s="40">
        <v>97</v>
      </c>
      <c r="N248" s="40">
        <v>14</v>
      </c>
      <c r="O248" s="40">
        <v>66</v>
      </c>
      <c r="P248" s="40">
        <v>7</v>
      </c>
      <c r="Q248" s="40">
        <v>1</v>
      </c>
      <c r="R248" s="40">
        <v>8</v>
      </c>
      <c r="S248" s="40">
        <v>1</v>
      </c>
    </row>
    <row r="249" spans="1:19" x14ac:dyDescent="0.35">
      <c r="A249" s="38">
        <v>246</v>
      </c>
      <c r="B249" s="38" t="str">
        <f>_xlfn.XLOOKUP(A249,'Model Modeshare by TAZ'!A:A,'Model Modeshare by TAZ'!B:B)</f>
        <v>Los Gatos</v>
      </c>
      <c r="C249" s="38" t="str">
        <f>_xlfn.XLOOKUP(A249,'Model Modeshare by TAZ'!A:A,'Model Modeshare by TAZ'!D:D)</f>
        <v>NO</v>
      </c>
      <c r="D249" s="6">
        <v>3</v>
      </c>
      <c r="E249" s="6">
        <v>432</v>
      </c>
      <c r="F249" s="6">
        <v>901</v>
      </c>
      <c r="G249" s="6">
        <v>901</v>
      </c>
      <c r="H249" s="6">
        <v>558</v>
      </c>
      <c r="I249" s="6">
        <v>205</v>
      </c>
      <c r="J249" s="6">
        <v>227</v>
      </c>
      <c r="K249" s="40">
        <v>113</v>
      </c>
      <c r="L249" s="40">
        <v>13</v>
      </c>
      <c r="M249" s="40">
        <v>538</v>
      </c>
      <c r="N249" s="40">
        <v>27</v>
      </c>
      <c r="O249" s="40">
        <v>386</v>
      </c>
      <c r="P249" s="40">
        <v>107</v>
      </c>
      <c r="Q249" s="40">
        <v>3</v>
      </c>
      <c r="R249" s="40">
        <v>5</v>
      </c>
      <c r="S249" s="40">
        <v>10</v>
      </c>
    </row>
    <row r="250" spans="1:19" x14ac:dyDescent="0.35">
      <c r="A250" s="38">
        <v>247</v>
      </c>
      <c r="B250" s="38" t="str">
        <f>_xlfn.XLOOKUP(A250,'Model Modeshare by TAZ'!A:A,'Model Modeshare by TAZ'!B:B)</f>
        <v>Unincorporated</v>
      </c>
      <c r="C250" s="38" t="str">
        <f>_xlfn.XLOOKUP(A250,'Model Modeshare by TAZ'!A:A,'Model Modeshare by TAZ'!D:D)</f>
        <v>NO</v>
      </c>
      <c r="D250" s="6">
        <v>3</v>
      </c>
      <c r="E250" s="6">
        <v>358</v>
      </c>
      <c r="F250" s="6">
        <v>780</v>
      </c>
      <c r="G250" s="6">
        <v>789</v>
      </c>
      <c r="H250" s="6">
        <v>425</v>
      </c>
      <c r="I250" s="6">
        <v>240</v>
      </c>
      <c r="J250" s="6">
        <v>118</v>
      </c>
      <c r="K250" s="40">
        <v>670</v>
      </c>
      <c r="L250" s="40">
        <v>16</v>
      </c>
      <c r="M250" s="40">
        <v>106</v>
      </c>
      <c r="N250" s="40">
        <v>8</v>
      </c>
      <c r="O250" s="40">
        <v>33</v>
      </c>
      <c r="P250" s="40">
        <v>62</v>
      </c>
      <c r="Q250" s="40">
        <v>3</v>
      </c>
      <c r="R250" s="40">
        <v>0</v>
      </c>
      <c r="S250" s="40">
        <v>0</v>
      </c>
    </row>
    <row r="251" spans="1:19" x14ac:dyDescent="0.35">
      <c r="A251" s="38">
        <v>248</v>
      </c>
      <c r="B251" s="38" t="str">
        <f>_xlfn.XLOOKUP(A251,'Model Modeshare by TAZ'!A:A,'Model Modeshare by TAZ'!B:B)</f>
        <v>Unincorporated</v>
      </c>
      <c r="C251" s="38" t="str">
        <f>_xlfn.XLOOKUP(A251,'Model Modeshare by TAZ'!A:A,'Model Modeshare by TAZ'!D:D)</f>
        <v>NO</v>
      </c>
      <c r="D251" s="6">
        <v>3</v>
      </c>
      <c r="E251" s="6">
        <v>304</v>
      </c>
      <c r="F251" s="6">
        <v>815</v>
      </c>
      <c r="G251" s="6">
        <v>873</v>
      </c>
      <c r="H251" s="6">
        <v>486</v>
      </c>
      <c r="I251" s="6">
        <v>285</v>
      </c>
      <c r="J251" s="6">
        <v>19</v>
      </c>
      <c r="K251" s="40">
        <v>518</v>
      </c>
      <c r="L251" s="40">
        <v>1</v>
      </c>
      <c r="M251" s="40">
        <v>11</v>
      </c>
      <c r="N251" s="40">
        <v>2</v>
      </c>
      <c r="O251" s="40">
        <v>5</v>
      </c>
      <c r="P251" s="40">
        <v>2</v>
      </c>
      <c r="Q251" s="40">
        <v>0</v>
      </c>
      <c r="R251" s="40">
        <v>2</v>
      </c>
      <c r="S251" s="40">
        <v>0</v>
      </c>
    </row>
    <row r="252" spans="1:19" x14ac:dyDescent="0.35">
      <c r="A252" s="38">
        <v>249</v>
      </c>
      <c r="B252" s="38" t="str">
        <f>_xlfn.XLOOKUP(A252,'Model Modeshare by TAZ'!A:A,'Model Modeshare by TAZ'!B:B)</f>
        <v>Los Gatos</v>
      </c>
      <c r="C252" s="38" t="str">
        <f>_xlfn.XLOOKUP(A252,'Model Modeshare by TAZ'!A:A,'Model Modeshare by TAZ'!D:D)</f>
        <v>NO</v>
      </c>
      <c r="D252" s="6">
        <v>3</v>
      </c>
      <c r="E252" s="6">
        <v>341</v>
      </c>
      <c r="F252" s="6">
        <v>793</v>
      </c>
      <c r="G252" s="6">
        <v>800</v>
      </c>
      <c r="H252" s="6">
        <v>457</v>
      </c>
      <c r="I252" s="6">
        <v>238</v>
      </c>
      <c r="J252" s="6">
        <v>103</v>
      </c>
      <c r="K252" s="40">
        <v>45</v>
      </c>
      <c r="L252" s="40">
        <v>6</v>
      </c>
      <c r="M252" s="40">
        <v>921</v>
      </c>
      <c r="N252" s="40">
        <v>33</v>
      </c>
      <c r="O252" s="40">
        <v>460</v>
      </c>
      <c r="P252" s="40">
        <v>137</v>
      </c>
      <c r="Q252" s="40">
        <v>3</v>
      </c>
      <c r="R252" s="40">
        <v>280</v>
      </c>
      <c r="S252" s="40">
        <v>8</v>
      </c>
    </row>
    <row r="253" spans="1:19" x14ac:dyDescent="0.35">
      <c r="A253" s="38">
        <v>250</v>
      </c>
      <c r="B253" s="38" t="str">
        <f>_xlfn.XLOOKUP(A253,'Model Modeshare by TAZ'!A:A,'Model Modeshare by TAZ'!B:B)</f>
        <v>Los Gatos</v>
      </c>
      <c r="C253" s="38" t="str">
        <f>_xlfn.XLOOKUP(A253,'Model Modeshare by TAZ'!A:A,'Model Modeshare by TAZ'!D:D)</f>
        <v>NO</v>
      </c>
      <c r="D253" s="6">
        <v>3</v>
      </c>
      <c r="E253" s="6">
        <v>49</v>
      </c>
      <c r="F253" s="6">
        <v>127</v>
      </c>
      <c r="G253" s="6">
        <v>128</v>
      </c>
      <c r="H253" s="6">
        <v>70</v>
      </c>
      <c r="I253" s="6">
        <v>39</v>
      </c>
      <c r="J253" s="6">
        <v>10</v>
      </c>
      <c r="K253" s="40">
        <v>44</v>
      </c>
      <c r="L253" s="40">
        <v>8</v>
      </c>
      <c r="M253" s="40">
        <v>716</v>
      </c>
      <c r="N253" s="40">
        <v>47</v>
      </c>
      <c r="O253" s="40">
        <v>365</v>
      </c>
      <c r="P253" s="40">
        <v>260</v>
      </c>
      <c r="Q253" s="40">
        <v>3</v>
      </c>
      <c r="R253" s="40">
        <v>6</v>
      </c>
      <c r="S253" s="40">
        <v>35</v>
      </c>
    </row>
    <row r="254" spans="1:19" x14ac:dyDescent="0.35">
      <c r="A254" s="38">
        <v>251</v>
      </c>
      <c r="B254" s="38" t="str">
        <f>_xlfn.XLOOKUP(A254,'Model Modeshare by TAZ'!A:A,'Model Modeshare by TAZ'!B:B)</f>
        <v>Los Gatos</v>
      </c>
      <c r="C254" s="38" t="str">
        <f>_xlfn.XLOOKUP(A254,'Model Modeshare by TAZ'!A:A,'Model Modeshare by TAZ'!D:D)</f>
        <v>NO</v>
      </c>
      <c r="D254" s="6">
        <v>3</v>
      </c>
      <c r="E254" s="6">
        <v>715</v>
      </c>
      <c r="F254" s="6">
        <v>1863</v>
      </c>
      <c r="G254" s="6">
        <v>1888</v>
      </c>
      <c r="H254" s="6">
        <v>1019</v>
      </c>
      <c r="I254" s="6">
        <v>565</v>
      </c>
      <c r="J254" s="6">
        <v>150</v>
      </c>
      <c r="K254" s="40">
        <v>109</v>
      </c>
      <c r="L254" s="40">
        <v>48</v>
      </c>
      <c r="M254" s="40">
        <v>860</v>
      </c>
      <c r="N254" s="40">
        <v>116</v>
      </c>
      <c r="O254" s="40">
        <v>516</v>
      </c>
      <c r="P254" s="40">
        <v>202</v>
      </c>
      <c r="Q254" s="40">
        <v>0</v>
      </c>
      <c r="R254" s="40">
        <v>5</v>
      </c>
      <c r="S254" s="40">
        <v>21</v>
      </c>
    </row>
    <row r="255" spans="1:19" x14ac:dyDescent="0.35">
      <c r="A255" s="38">
        <v>252</v>
      </c>
      <c r="B255" s="38" t="str">
        <f>_xlfn.XLOOKUP(A255,'Model Modeshare by TAZ'!A:A,'Model Modeshare by TAZ'!B:B)</f>
        <v>Milpitas</v>
      </c>
      <c r="C255" s="38" t="str">
        <f>_xlfn.XLOOKUP(A255,'Model Modeshare by TAZ'!A:A,'Model Modeshare by TAZ'!D:D)</f>
        <v>NO</v>
      </c>
      <c r="D255" s="6">
        <v>3</v>
      </c>
      <c r="E255" s="6">
        <v>31</v>
      </c>
      <c r="F255" s="6">
        <v>82</v>
      </c>
      <c r="G255" s="6">
        <v>82</v>
      </c>
      <c r="H255" s="6">
        <v>34</v>
      </c>
      <c r="I255" s="6">
        <v>0</v>
      </c>
      <c r="J255" s="6">
        <v>31</v>
      </c>
      <c r="K255" s="40">
        <v>6</v>
      </c>
      <c r="L255" s="40">
        <v>17</v>
      </c>
      <c r="M255" s="40">
        <v>435</v>
      </c>
      <c r="N255" s="40">
        <v>31</v>
      </c>
      <c r="O255" s="40">
        <v>194</v>
      </c>
      <c r="P255" s="40">
        <v>52</v>
      </c>
      <c r="Q255" s="40">
        <v>0</v>
      </c>
      <c r="R255" s="40">
        <v>127</v>
      </c>
      <c r="S255" s="40">
        <v>31</v>
      </c>
    </row>
    <row r="256" spans="1:19" x14ac:dyDescent="0.35">
      <c r="A256" s="38">
        <v>253</v>
      </c>
      <c r="B256" s="38" t="str">
        <f>_xlfn.XLOOKUP(A256,'Model Modeshare by TAZ'!A:A,'Model Modeshare by TAZ'!B:B)</f>
        <v>Milpitas</v>
      </c>
      <c r="C256" s="38" t="str">
        <f>_xlfn.XLOOKUP(A256,'Model Modeshare by TAZ'!A:A,'Model Modeshare by TAZ'!D:D)</f>
        <v>NO</v>
      </c>
      <c r="D256" s="6">
        <v>3</v>
      </c>
      <c r="E256" s="6">
        <v>586</v>
      </c>
      <c r="F256" s="6">
        <v>2080</v>
      </c>
      <c r="G256" s="6">
        <v>2082</v>
      </c>
      <c r="H256" s="6">
        <v>1104</v>
      </c>
      <c r="I256" s="6">
        <v>0</v>
      </c>
      <c r="J256" s="6">
        <v>586</v>
      </c>
      <c r="K256" s="40">
        <v>9</v>
      </c>
      <c r="L256" s="40">
        <v>23</v>
      </c>
      <c r="M256" s="40">
        <v>64</v>
      </c>
      <c r="N256" s="40">
        <v>15</v>
      </c>
      <c r="O256" s="40">
        <v>21</v>
      </c>
      <c r="P256" s="40">
        <v>3</v>
      </c>
      <c r="Q256" s="40">
        <v>0</v>
      </c>
      <c r="R256" s="40">
        <v>20</v>
      </c>
      <c r="S256" s="40">
        <v>5</v>
      </c>
    </row>
    <row r="257" spans="1:19" x14ac:dyDescent="0.35">
      <c r="A257" s="38">
        <v>254</v>
      </c>
      <c r="B257" s="38" t="str">
        <f>_xlfn.XLOOKUP(A257,'Model Modeshare by TAZ'!A:A,'Model Modeshare by TAZ'!B:B)</f>
        <v>Milpitas</v>
      </c>
      <c r="C257" s="38" t="str">
        <f>_xlfn.XLOOKUP(A257,'Model Modeshare by TAZ'!A:A,'Model Modeshare by TAZ'!D:D)</f>
        <v>NO</v>
      </c>
      <c r="D257" s="6">
        <v>3</v>
      </c>
      <c r="E257" s="6">
        <v>1059</v>
      </c>
      <c r="F257" s="6">
        <v>3688</v>
      </c>
      <c r="G257" s="6">
        <v>3688</v>
      </c>
      <c r="H257" s="6">
        <v>2065</v>
      </c>
      <c r="I257" s="6">
        <v>0</v>
      </c>
      <c r="J257" s="6">
        <v>1059</v>
      </c>
      <c r="K257" s="40">
        <v>2</v>
      </c>
      <c r="L257" s="40">
        <v>31</v>
      </c>
      <c r="M257" s="40">
        <v>408</v>
      </c>
      <c r="N257" s="40">
        <v>33</v>
      </c>
      <c r="O257" s="40">
        <v>111</v>
      </c>
      <c r="P257" s="40">
        <v>75</v>
      </c>
      <c r="Q257" s="40">
        <v>0</v>
      </c>
      <c r="R257" s="40">
        <v>162</v>
      </c>
      <c r="S257" s="40">
        <v>27</v>
      </c>
    </row>
    <row r="258" spans="1:19" x14ac:dyDescent="0.35">
      <c r="A258" s="38">
        <v>255</v>
      </c>
      <c r="B258" s="38" t="str">
        <f>_xlfn.XLOOKUP(A258,'Model Modeshare by TAZ'!A:A,'Model Modeshare by TAZ'!B:B)</f>
        <v>Milpitas</v>
      </c>
      <c r="C258" s="38" t="str">
        <f>_xlfn.XLOOKUP(A258,'Model Modeshare by TAZ'!A:A,'Model Modeshare by TAZ'!D:D)</f>
        <v>NO</v>
      </c>
      <c r="D258" s="6">
        <v>3</v>
      </c>
      <c r="E258" s="6">
        <v>1245</v>
      </c>
      <c r="F258" s="6">
        <v>3458</v>
      </c>
      <c r="G258" s="6">
        <v>3820</v>
      </c>
      <c r="H258" s="6">
        <v>1523</v>
      </c>
      <c r="I258" s="6">
        <v>80</v>
      </c>
      <c r="J258" s="6">
        <v>1165</v>
      </c>
      <c r="K258" s="40">
        <v>16</v>
      </c>
      <c r="L258" s="40">
        <v>47</v>
      </c>
      <c r="M258" s="40">
        <v>495</v>
      </c>
      <c r="N258" s="40">
        <v>18</v>
      </c>
      <c r="O258" s="40">
        <v>96</v>
      </c>
      <c r="P258" s="40">
        <v>138</v>
      </c>
      <c r="Q258" s="40">
        <v>0</v>
      </c>
      <c r="R258" s="40">
        <v>192</v>
      </c>
      <c r="S258" s="40">
        <v>51</v>
      </c>
    </row>
    <row r="259" spans="1:19" x14ac:dyDescent="0.35">
      <c r="A259" s="38">
        <v>256</v>
      </c>
      <c r="B259" s="38" t="str">
        <f>_xlfn.XLOOKUP(A259,'Model Modeshare by TAZ'!A:A,'Model Modeshare by TAZ'!B:B)</f>
        <v>Milpitas</v>
      </c>
      <c r="C259" s="38" t="str">
        <f>_xlfn.XLOOKUP(A259,'Model Modeshare by TAZ'!A:A,'Model Modeshare by TAZ'!D:D)</f>
        <v>NO</v>
      </c>
      <c r="D259" s="6">
        <v>3</v>
      </c>
      <c r="E259" s="6">
        <v>0</v>
      </c>
      <c r="F259" s="6">
        <v>0</v>
      </c>
      <c r="G259" s="6">
        <v>0</v>
      </c>
      <c r="H259" s="6">
        <v>0</v>
      </c>
      <c r="I259" s="6">
        <v>0</v>
      </c>
      <c r="J259" s="6">
        <v>0</v>
      </c>
      <c r="K259" s="40">
        <v>0</v>
      </c>
      <c r="L259" s="40">
        <v>8</v>
      </c>
      <c r="M259" s="40">
        <v>148</v>
      </c>
      <c r="N259" s="40">
        <v>72</v>
      </c>
      <c r="O259" s="40">
        <v>73</v>
      </c>
      <c r="P259" s="40">
        <v>0</v>
      </c>
      <c r="Q259" s="40">
        <v>1</v>
      </c>
      <c r="R259" s="40">
        <v>2</v>
      </c>
      <c r="S259" s="40">
        <v>1</v>
      </c>
    </row>
    <row r="260" spans="1:19" x14ac:dyDescent="0.35">
      <c r="A260" s="38">
        <v>257</v>
      </c>
      <c r="B260" s="38" t="str">
        <f>_xlfn.XLOOKUP(A260,'Model Modeshare by TAZ'!A:A,'Model Modeshare by TAZ'!B:B)</f>
        <v>Milpitas</v>
      </c>
      <c r="C260" s="38" t="str">
        <f>_xlfn.XLOOKUP(A260,'Model Modeshare by TAZ'!A:A,'Model Modeshare by TAZ'!D:D)</f>
        <v>NO</v>
      </c>
      <c r="D260" s="6">
        <v>3</v>
      </c>
      <c r="E260" s="6">
        <v>443</v>
      </c>
      <c r="F260" s="6">
        <v>1514</v>
      </c>
      <c r="G260" s="6">
        <v>1518</v>
      </c>
      <c r="H260" s="6">
        <v>851</v>
      </c>
      <c r="I260" s="6">
        <v>257</v>
      </c>
      <c r="J260" s="6">
        <v>186</v>
      </c>
      <c r="K260" s="40">
        <v>41</v>
      </c>
      <c r="L260" s="40">
        <v>32</v>
      </c>
      <c r="M260" s="40">
        <v>600</v>
      </c>
      <c r="N260" s="40">
        <v>421</v>
      </c>
      <c r="O260" s="40">
        <v>145</v>
      </c>
      <c r="P260" s="40">
        <v>19</v>
      </c>
      <c r="Q260" s="40">
        <v>3</v>
      </c>
      <c r="R260" s="40">
        <v>9</v>
      </c>
      <c r="S260" s="40">
        <v>3</v>
      </c>
    </row>
    <row r="261" spans="1:19" x14ac:dyDescent="0.35">
      <c r="A261" s="38">
        <v>258</v>
      </c>
      <c r="B261" s="38" t="str">
        <f>_xlfn.XLOOKUP(A261,'Model Modeshare by TAZ'!A:A,'Model Modeshare by TAZ'!B:B)</f>
        <v>Milpitas</v>
      </c>
      <c r="C261" s="38" t="str">
        <f>_xlfn.XLOOKUP(A261,'Model Modeshare by TAZ'!A:A,'Model Modeshare by TAZ'!D:D)</f>
        <v>NO</v>
      </c>
      <c r="D261" s="6">
        <v>3</v>
      </c>
      <c r="E261" s="6">
        <v>0</v>
      </c>
      <c r="F261" s="6">
        <v>0</v>
      </c>
      <c r="G261" s="6">
        <v>0</v>
      </c>
      <c r="H261" s="6">
        <v>0</v>
      </c>
      <c r="I261" s="6">
        <v>0</v>
      </c>
      <c r="J261" s="6">
        <v>0</v>
      </c>
      <c r="K261" s="40">
        <v>0</v>
      </c>
      <c r="L261" s="40">
        <v>39</v>
      </c>
      <c r="M261" s="40">
        <v>880</v>
      </c>
      <c r="N261" s="40">
        <v>0</v>
      </c>
      <c r="O261" s="40">
        <v>207</v>
      </c>
      <c r="P261" s="40">
        <v>159</v>
      </c>
      <c r="Q261" s="40">
        <v>0</v>
      </c>
      <c r="R261" s="40">
        <v>352</v>
      </c>
      <c r="S261" s="40">
        <v>162</v>
      </c>
    </row>
    <row r="262" spans="1:19" x14ac:dyDescent="0.35">
      <c r="A262" s="38">
        <v>259</v>
      </c>
      <c r="B262" s="38" t="str">
        <f>_xlfn.XLOOKUP(A262,'Model Modeshare by TAZ'!A:A,'Model Modeshare by TAZ'!B:B)</f>
        <v>Milpitas</v>
      </c>
      <c r="C262" s="38" t="str">
        <f>_xlfn.XLOOKUP(A262,'Model Modeshare by TAZ'!A:A,'Model Modeshare by TAZ'!D:D)</f>
        <v>NO</v>
      </c>
      <c r="D262" s="6">
        <v>3</v>
      </c>
      <c r="E262" s="6">
        <v>0</v>
      </c>
      <c r="F262" s="6">
        <v>0</v>
      </c>
      <c r="G262" s="6">
        <v>0</v>
      </c>
      <c r="H262" s="6">
        <v>0</v>
      </c>
      <c r="I262" s="6">
        <v>0</v>
      </c>
      <c r="J262" s="6">
        <v>0</v>
      </c>
      <c r="K262" s="40">
        <v>0</v>
      </c>
      <c r="L262" s="40">
        <v>22</v>
      </c>
      <c r="M262" s="40">
        <v>592</v>
      </c>
      <c r="N262" s="40">
        <v>513</v>
      </c>
      <c r="O262" s="40">
        <v>12</v>
      </c>
      <c r="P262" s="40">
        <v>51</v>
      </c>
      <c r="Q262" s="40">
        <v>0</v>
      </c>
      <c r="R262" s="40">
        <v>11</v>
      </c>
      <c r="S262" s="40">
        <v>5</v>
      </c>
    </row>
    <row r="263" spans="1:19" x14ac:dyDescent="0.35">
      <c r="A263" s="38">
        <v>260</v>
      </c>
      <c r="B263" s="38" t="str">
        <f>_xlfn.XLOOKUP(A263,'Model Modeshare by TAZ'!A:A,'Model Modeshare by TAZ'!B:B)</f>
        <v>Milpitas</v>
      </c>
      <c r="C263" s="38" t="str">
        <f>_xlfn.XLOOKUP(A263,'Model Modeshare by TAZ'!A:A,'Model Modeshare by TAZ'!D:D)</f>
        <v>NO</v>
      </c>
      <c r="D263" s="6">
        <v>3</v>
      </c>
      <c r="E263" s="6">
        <v>0</v>
      </c>
      <c r="F263" s="6">
        <v>0</v>
      </c>
      <c r="G263" s="6">
        <v>0</v>
      </c>
      <c r="H263" s="6">
        <v>0</v>
      </c>
      <c r="I263" s="6">
        <v>0</v>
      </c>
      <c r="J263" s="6">
        <v>0</v>
      </c>
      <c r="K263" s="40">
        <v>0</v>
      </c>
      <c r="L263" s="40">
        <v>38</v>
      </c>
      <c r="M263" s="40">
        <v>596</v>
      </c>
      <c r="N263" s="40">
        <v>4</v>
      </c>
      <c r="O263" s="40">
        <v>141</v>
      </c>
      <c r="P263" s="40">
        <v>89</v>
      </c>
      <c r="Q263" s="40">
        <v>0</v>
      </c>
      <c r="R263" s="40">
        <v>247</v>
      </c>
      <c r="S263" s="40">
        <v>115</v>
      </c>
    </row>
    <row r="264" spans="1:19" x14ac:dyDescent="0.35">
      <c r="A264" s="38">
        <v>261</v>
      </c>
      <c r="B264" s="38" t="str">
        <f>_xlfn.XLOOKUP(A264,'Model Modeshare by TAZ'!A:A,'Model Modeshare by TAZ'!B:B)</f>
        <v>Milpitas</v>
      </c>
      <c r="C264" s="38" t="str">
        <f>_xlfn.XLOOKUP(A264,'Model Modeshare by TAZ'!A:A,'Model Modeshare by TAZ'!D:D)</f>
        <v>NO</v>
      </c>
      <c r="D264" s="6">
        <v>3</v>
      </c>
      <c r="E264" s="6">
        <v>0</v>
      </c>
      <c r="F264" s="6">
        <v>0</v>
      </c>
      <c r="G264" s="6">
        <v>0</v>
      </c>
      <c r="H264" s="6">
        <v>0</v>
      </c>
      <c r="I264" s="6">
        <v>0</v>
      </c>
      <c r="J264" s="6">
        <v>0</v>
      </c>
      <c r="K264" s="40">
        <v>4</v>
      </c>
      <c r="L264" s="40">
        <v>113</v>
      </c>
      <c r="M264" s="40">
        <v>1662</v>
      </c>
      <c r="N264" s="40">
        <v>1546</v>
      </c>
      <c r="O264" s="40">
        <v>113</v>
      </c>
      <c r="P264" s="40">
        <v>0</v>
      </c>
      <c r="Q264" s="40">
        <v>3</v>
      </c>
      <c r="R264" s="40">
        <v>0</v>
      </c>
      <c r="S264" s="40">
        <v>0</v>
      </c>
    </row>
    <row r="265" spans="1:19" x14ac:dyDescent="0.35">
      <c r="A265" s="38">
        <v>262</v>
      </c>
      <c r="B265" s="38" t="str">
        <f>_xlfn.XLOOKUP(A265,'Model Modeshare by TAZ'!A:A,'Model Modeshare by TAZ'!B:B)</f>
        <v>Milpitas</v>
      </c>
      <c r="C265" s="38" t="str">
        <f>_xlfn.XLOOKUP(A265,'Model Modeshare by TAZ'!A:A,'Model Modeshare by TAZ'!D:D)</f>
        <v>NO</v>
      </c>
      <c r="D265" s="6">
        <v>3</v>
      </c>
      <c r="E265" s="6">
        <v>580</v>
      </c>
      <c r="F265" s="6">
        <v>1669</v>
      </c>
      <c r="G265" s="6">
        <v>1669</v>
      </c>
      <c r="H265" s="6">
        <v>879</v>
      </c>
      <c r="I265" s="6">
        <v>554</v>
      </c>
      <c r="J265" s="6">
        <v>26</v>
      </c>
      <c r="K265" s="40">
        <v>59</v>
      </c>
      <c r="L265" s="40">
        <v>3</v>
      </c>
      <c r="M265" s="40">
        <v>38</v>
      </c>
      <c r="N265" s="40">
        <v>7</v>
      </c>
      <c r="O265" s="40">
        <v>8</v>
      </c>
      <c r="P265" s="40">
        <v>9</v>
      </c>
      <c r="Q265" s="40">
        <v>2</v>
      </c>
      <c r="R265" s="40">
        <v>3</v>
      </c>
      <c r="S265" s="40">
        <v>9</v>
      </c>
    </row>
    <row r="266" spans="1:19" x14ac:dyDescent="0.35">
      <c r="A266" s="38">
        <v>263</v>
      </c>
      <c r="B266" s="38" t="str">
        <f>_xlfn.XLOOKUP(A266,'Model Modeshare by TAZ'!A:A,'Model Modeshare by TAZ'!B:B)</f>
        <v>Milpitas</v>
      </c>
      <c r="C266" s="38" t="str">
        <f>_xlfn.XLOOKUP(A266,'Model Modeshare by TAZ'!A:A,'Model Modeshare by TAZ'!D:D)</f>
        <v>NO</v>
      </c>
      <c r="D266" s="6">
        <v>3</v>
      </c>
      <c r="E266" s="6">
        <v>200</v>
      </c>
      <c r="F266" s="6">
        <v>688</v>
      </c>
      <c r="G266" s="6">
        <v>688</v>
      </c>
      <c r="H266" s="6">
        <v>371</v>
      </c>
      <c r="I266" s="6">
        <v>200</v>
      </c>
      <c r="J266" s="6">
        <v>0</v>
      </c>
      <c r="K266" s="40">
        <v>206</v>
      </c>
      <c r="L266" s="40">
        <v>2</v>
      </c>
      <c r="M266" s="40">
        <v>350</v>
      </c>
      <c r="N266" s="40">
        <v>194</v>
      </c>
      <c r="O266" s="40">
        <v>156</v>
      </c>
      <c r="P266" s="40">
        <v>0</v>
      </c>
      <c r="Q266" s="40">
        <v>0</v>
      </c>
      <c r="R266" s="40">
        <v>0</v>
      </c>
      <c r="S266" s="40">
        <v>0</v>
      </c>
    </row>
    <row r="267" spans="1:19" x14ac:dyDescent="0.35">
      <c r="A267" s="38">
        <v>264</v>
      </c>
      <c r="B267" s="38" t="str">
        <f>_xlfn.XLOOKUP(A267,'Model Modeshare by TAZ'!A:A,'Model Modeshare by TAZ'!B:B)</f>
        <v>Milpitas</v>
      </c>
      <c r="C267" s="38" t="str">
        <f>_xlfn.XLOOKUP(A267,'Model Modeshare by TAZ'!A:A,'Model Modeshare by TAZ'!D:D)</f>
        <v>NO</v>
      </c>
      <c r="D267" s="6">
        <v>3</v>
      </c>
      <c r="E267" s="6">
        <v>580</v>
      </c>
      <c r="F267" s="6">
        <v>2035</v>
      </c>
      <c r="G267" s="6">
        <v>2037</v>
      </c>
      <c r="H267" s="6">
        <v>1051</v>
      </c>
      <c r="I267" s="6">
        <v>554</v>
      </c>
      <c r="J267" s="6">
        <v>26</v>
      </c>
      <c r="K267" s="40">
        <v>127</v>
      </c>
      <c r="L267" s="40">
        <v>1</v>
      </c>
      <c r="M267" s="40">
        <v>40</v>
      </c>
      <c r="N267" s="40">
        <v>0</v>
      </c>
      <c r="O267" s="40">
        <v>0</v>
      </c>
      <c r="P267" s="40">
        <v>39</v>
      </c>
      <c r="Q267" s="40">
        <v>1</v>
      </c>
      <c r="R267" s="40">
        <v>0</v>
      </c>
      <c r="S267" s="40">
        <v>0</v>
      </c>
    </row>
    <row r="268" spans="1:19" x14ac:dyDescent="0.35">
      <c r="A268" s="38">
        <v>265</v>
      </c>
      <c r="B268" s="38" t="str">
        <f>_xlfn.XLOOKUP(A268,'Model Modeshare by TAZ'!A:A,'Model Modeshare by TAZ'!B:B)</f>
        <v>Milpitas</v>
      </c>
      <c r="C268" s="38" t="str">
        <f>_xlfn.XLOOKUP(A268,'Model Modeshare by TAZ'!A:A,'Model Modeshare by TAZ'!D:D)</f>
        <v>NO</v>
      </c>
      <c r="D268" s="6">
        <v>3</v>
      </c>
      <c r="E268" s="6">
        <v>243</v>
      </c>
      <c r="F268" s="6">
        <v>624</v>
      </c>
      <c r="G268" s="6">
        <v>624</v>
      </c>
      <c r="H268" s="6">
        <v>344</v>
      </c>
      <c r="I268" s="6">
        <v>28</v>
      </c>
      <c r="J268" s="6">
        <v>215</v>
      </c>
      <c r="K268" s="40">
        <v>20</v>
      </c>
      <c r="L268" s="40">
        <v>1</v>
      </c>
      <c r="M268" s="40">
        <v>41</v>
      </c>
      <c r="N268" s="40">
        <v>0</v>
      </c>
      <c r="O268" s="40">
        <v>0</v>
      </c>
      <c r="P268" s="40">
        <v>41</v>
      </c>
      <c r="Q268" s="40">
        <v>0</v>
      </c>
      <c r="R268" s="40">
        <v>0</v>
      </c>
      <c r="S268" s="40">
        <v>0</v>
      </c>
    </row>
    <row r="269" spans="1:19" x14ac:dyDescent="0.35">
      <c r="A269" s="38">
        <v>266</v>
      </c>
      <c r="B269" s="38" t="str">
        <f>_xlfn.XLOOKUP(A269,'Model Modeshare by TAZ'!A:A,'Model Modeshare by TAZ'!B:B)</f>
        <v>Milpitas</v>
      </c>
      <c r="C269" s="38" t="str">
        <f>_xlfn.XLOOKUP(A269,'Model Modeshare by TAZ'!A:A,'Model Modeshare by TAZ'!D:D)</f>
        <v>NO</v>
      </c>
      <c r="D269" s="6">
        <v>3</v>
      </c>
      <c r="E269" s="6">
        <v>243</v>
      </c>
      <c r="F269" s="6">
        <v>625</v>
      </c>
      <c r="G269" s="6">
        <v>625</v>
      </c>
      <c r="H269" s="6">
        <v>345</v>
      </c>
      <c r="I269" s="6">
        <v>0</v>
      </c>
      <c r="J269" s="6">
        <v>243</v>
      </c>
      <c r="K269" s="40">
        <v>26</v>
      </c>
      <c r="L269" s="40">
        <v>15</v>
      </c>
      <c r="M269" s="40">
        <v>608</v>
      </c>
      <c r="N269" s="40">
        <v>65</v>
      </c>
      <c r="O269" s="40">
        <v>71</v>
      </c>
      <c r="P269" s="40">
        <v>469</v>
      </c>
      <c r="Q269" s="40">
        <v>0</v>
      </c>
      <c r="R269" s="40">
        <v>0</v>
      </c>
      <c r="S269" s="40">
        <v>3</v>
      </c>
    </row>
    <row r="270" spans="1:19" x14ac:dyDescent="0.35">
      <c r="A270" s="38">
        <v>267</v>
      </c>
      <c r="B270" s="38" t="str">
        <f>_xlfn.XLOOKUP(A270,'Model Modeshare by TAZ'!A:A,'Model Modeshare by TAZ'!B:B)</f>
        <v>Milpitas</v>
      </c>
      <c r="C270" s="38" t="str">
        <f>_xlfn.XLOOKUP(A270,'Model Modeshare by TAZ'!A:A,'Model Modeshare by TAZ'!D:D)</f>
        <v>NO</v>
      </c>
      <c r="D270" s="6">
        <v>3</v>
      </c>
      <c r="E270" s="6">
        <v>463</v>
      </c>
      <c r="F270" s="6">
        <v>1634</v>
      </c>
      <c r="G270" s="6">
        <v>1638</v>
      </c>
      <c r="H270" s="6">
        <v>879</v>
      </c>
      <c r="I270" s="6">
        <v>417</v>
      </c>
      <c r="J270" s="6">
        <v>46</v>
      </c>
      <c r="K270" s="40">
        <v>97</v>
      </c>
      <c r="L270" s="40">
        <v>1</v>
      </c>
      <c r="M270" s="40">
        <v>3</v>
      </c>
      <c r="N270" s="40">
        <v>0</v>
      </c>
      <c r="O270" s="40">
        <v>0</v>
      </c>
      <c r="P270" s="40">
        <v>0</v>
      </c>
      <c r="Q270" s="40">
        <v>3</v>
      </c>
      <c r="R270" s="40">
        <v>0</v>
      </c>
      <c r="S270" s="40">
        <v>0</v>
      </c>
    </row>
    <row r="271" spans="1:19" x14ac:dyDescent="0.35">
      <c r="A271" s="38">
        <v>268</v>
      </c>
      <c r="B271" s="38" t="str">
        <f>_xlfn.XLOOKUP(A271,'Model Modeshare by TAZ'!A:A,'Model Modeshare by TAZ'!B:B)</f>
        <v>Milpitas</v>
      </c>
      <c r="C271" s="38" t="str">
        <f>_xlfn.XLOOKUP(A271,'Model Modeshare by TAZ'!A:A,'Model Modeshare by TAZ'!D:D)</f>
        <v>NO</v>
      </c>
      <c r="D271" s="6">
        <v>3</v>
      </c>
      <c r="E271" s="6">
        <v>963</v>
      </c>
      <c r="F271" s="6">
        <v>3400</v>
      </c>
      <c r="G271" s="6">
        <v>3401</v>
      </c>
      <c r="H271" s="6">
        <v>1829</v>
      </c>
      <c r="I271" s="6">
        <v>953</v>
      </c>
      <c r="J271" s="6">
        <v>10</v>
      </c>
      <c r="K271" s="40">
        <v>203</v>
      </c>
      <c r="L271" s="40">
        <v>72</v>
      </c>
      <c r="M271" s="40">
        <v>1568</v>
      </c>
      <c r="N271" s="40">
        <v>29</v>
      </c>
      <c r="O271" s="40">
        <v>143</v>
      </c>
      <c r="P271" s="40">
        <v>252</v>
      </c>
      <c r="Q271" s="40">
        <v>3</v>
      </c>
      <c r="R271" s="40">
        <v>1138</v>
      </c>
      <c r="S271" s="40">
        <v>3</v>
      </c>
    </row>
    <row r="272" spans="1:19" x14ac:dyDescent="0.35">
      <c r="A272" s="38">
        <v>269</v>
      </c>
      <c r="B272" s="38" t="str">
        <f>_xlfn.XLOOKUP(A272,'Model Modeshare by TAZ'!A:A,'Model Modeshare by TAZ'!B:B)</f>
        <v>Milpitas</v>
      </c>
      <c r="C272" s="38" t="str">
        <f>_xlfn.XLOOKUP(A272,'Model Modeshare by TAZ'!A:A,'Model Modeshare by TAZ'!D:D)</f>
        <v>NO</v>
      </c>
      <c r="D272" s="6">
        <v>3</v>
      </c>
      <c r="E272" s="6">
        <v>287</v>
      </c>
      <c r="F272" s="6">
        <v>1114</v>
      </c>
      <c r="G272" s="6">
        <v>1117</v>
      </c>
      <c r="H272" s="6">
        <v>586</v>
      </c>
      <c r="I272" s="6">
        <v>285</v>
      </c>
      <c r="J272" s="6">
        <v>2</v>
      </c>
      <c r="K272" s="40">
        <v>41</v>
      </c>
      <c r="L272" s="40">
        <v>26</v>
      </c>
      <c r="M272" s="40">
        <v>1392</v>
      </c>
      <c r="N272" s="40">
        <v>739</v>
      </c>
      <c r="O272" s="40">
        <v>651</v>
      </c>
      <c r="P272" s="40">
        <v>2</v>
      </c>
      <c r="Q272" s="40">
        <v>0</v>
      </c>
      <c r="R272" s="40">
        <v>0</v>
      </c>
      <c r="S272" s="40">
        <v>0</v>
      </c>
    </row>
    <row r="273" spans="1:19" x14ac:dyDescent="0.35">
      <c r="A273" s="38">
        <v>270</v>
      </c>
      <c r="B273" s="38" t="str">
        <f>_xlfn.XLOOKUP(A273,'Model Modeshare by TAZ'!A:A,'Model Modeshare by TAZ'!B:B)</f>
        <v>Milpitas</v>
      </c>
      <c r="C273" s="38" t="str">
        <f>_xlfn.XLOOKUP(A273,'Model Modeshare by TAZ'!A:A,'Model Modeshare by TAZ'!D:D)</f>
        <v>NO</v>
      </c>
      <c r="D273" s="6">
        <v>3</v>
      </c>
      <c r="E273" s="6">
        <v>682</v>
      </c>
      <c r="F273" s="6">
        <v>2641</v>
      </c>
      <c r="G273" s="6">
        <v>2647</v>
      </c>
      <c r="H273" s="6">
        <v>1356</v>
      </c>
      <c r="I273" s="6">
        <v>305</v>
      </c>
      <c r="J273" s="6">
        <v>377</v>
      </c>
      <c r="K273" s="40">
        <v>86</v>
      </c>
      <c r="L273" s="40">
        <v>47</v>
      </c>
      <c r="M273" s="40">
        <v>580</v>
      </c>
      <c r="N273" s="40">
        <v>35</v>
      </c>
      <c r="O273" s="40">
        <v>449</v>
      </c>
      <c r="P273" s="40">
        <v>94</v>
      </c>
      <c r="Q273" s="40">
        <v>0</v>
      </c>
      <c r="R273" s="40">
        <v>0</v>
      </c>
      <c r="S273" s="40">
        <v>2</v>
      </c>
    </row>
    <row r="274" spans="1:19" x14ac:dyDescent="0.35">
      <c r="A274" s="38">
        <v>271</v>
      </c>
      <c r="B274" s="38" t="str">
        <f>_xlfn.XLOOKUP(A274,'Model Modeshare by TAZ'!A:A,'Model Modeshare by TAZ'!B:B)</f>
        <v>Milpitas</v>
      </c>
      <c r="C274" s="38" t="str">
        <f>_xlfn.XLOOKUP(A274,'Model Modeshare by TAZ'!A:A,'Model Modeshare by TAZ'!D:D)</f>
        <v>NO</v>
      </c>
      <c r="D274" s="6">
        <v>3</v>
      </c>
      <c r="E274" s="6">
        <v>665</v>
      </c>
      <c r="F274" s="6">
        <v>2565</v>
      </c>
      <c r="G274" s="6">
        <v>2571</v>
      </c>
      <c r="H274" s="6">
        <v>1287</v>
      </c>
      <c r="I274" s="6">
        <v>665</v>
      </c>
      <c r="J274" s="6">
        <v>0</v>
      </c>
      <c r="K274" s="40">
        <v>114</v>
      </c>
      <c r="L274" s="40">
        <v>28</v>
      </c>
      <c r="M274" s="40">
        <v>360</v>
      </c>
      <c r="N274" s="40">
        <v>185</v>
      </c>
      <c r="O274" s="40">
        <v>17</v>
      </c>
      <c r="P274" s="40">
        <v>113</v>
      </c>
      <c r="Q274" s="40">
        <v>3</v>
      </c>
      <c r="R274" s="40">
        <v>42</v>
      </c>
      <c r="S274" s="40">
        <v>0</v>
      </c>
    </row>
    <row r="275" spans="1:19" x14ac:dyDescent="0.35">
      <c r="A275" s="38">
        <v>272</v>
      </c>
      <c r="B275" s="38" t="str">
        <f>_xlfn.XLOOKUP(A275,'Model Modeshare by TAZ'!A:A,'Model Modeshare by TAZ'!B:B)</f>
        <v>Milpitas</v>
      </c>
      <c r="C275" s="38" t="str">
        <f>_xlfn.XLOOKUP(A275,'Model Modeshare by TAZ'!A:A,'Model Modeshare by TAZ'!D:D)</f>
        <v>NO</v>
      </c>
      <c r="D275" s="6">
        <v>3</v>
      </c>
      <c r="E275" s="6">
        <v>1091</v>
      </c>
      <c r="F275" s="6">
        <v>3743</v>
      </c>
      <c r="G275" s="6">
        <v>3744</v>
      </c>
      <c r="H275" s="6">
        <v>2024</v>
      </c>
      <c r="I275" s="6">
        <v>1091</v>
      </c>
      <c r="J275" s="6">
        <v>0</v>
      </c>
      <c r="K275" s="40">
        <v>152</v>
      </c>
      <c r="L275" s="40">
        <v>19</v>
      </c>
      <c r="M275" s="40">
        <v>229</v>
      </c>
      <c r="N275" s="40">
        <v>147</v>
      </c>
      <c r="O275" s="40">
        <v>52</v>
      </c>
      <c r="P275" s="40">
        <v>8</v>
      </c>
      <c r="Q275" s="40">
        <v>0</v>
      </c>
      <c r="R275" s="40">
        <v>11</v>
      </c>
      <c r="S275" s="40">
        <v>11</v>
      </c>
    </row>
    <row r="276" spans="1:19" x14ac:dyDescent="0.35">
      <c r="A276" s="38">
        <v>273</v>
      </c>
      <c r="B276" s="38" t="str">
        <f>_xlfn.XLOOKUP(A276,'Model Modeshare by TAZ'!A:A,'Model Modeshare by TAZ'!B:B)</f>
        <v>Milpitas</v>
      </c>
      <c r="C276" s="38" t="str">
        <f>_xlfn.XLOOKUP(A276,'Model Modeshare by TAZ'!A:A,'Model Modeshare by TAZ'!D:D)</f>
        <v>NO</v>
      </c>
      <c r="D276" s="6">
        <v>3</v>
      </c>
      <c r="E276" s="6">
        <v>341</v>
      </c>
      <c r="F276" s="6">
        <v>953</v>
      </c>
      <c r="G276" s="6">
        <v>1052</v>
      </c>
      <c r="H276" s="6">
        <v>418</v>
      </c>
      <c r="I276" s="6">
        <v>341</v>
      </c>
      <c r="J276" s="6">
        <v>0</v>
      </c>
      <c r="K276" s="40">
        <v>11</v>
      </c>
      <c r="L276" s="40">
        <v>132</v>
      </c>
      <c r="M276" s="40">
        <v>1841</v>
      </c>
      <c r="N276" s="40">
        <v>48</v>
      </c>
      <c r="O276" s="40">
        <v>410</v>
      </c>
      <c r="P276" s="40">
        <v>415</v>
      </c>
      <c r="Q276" s="40">
        <v>0</v>
      </c>
      <c r="R276" s="40">
        <v>830</v>
      </c>
      <c r="S276" s="40">
        <v>138</v>
      </c>
    </row>
    <row r="277" spans="1:19" x14ac:dyDescent="0.35">
      <c r="A277" s="38">
        <v>274</v>
      </c>
      <c r="B277" s="38" t="str">
        <f>_xlfn.XLOOKUP(A277,'Model Modeshare by TAZ'!A:A,'Model Modeshare by TAZ'!B:B)</f>
        <v>Milpitas</v>
      </c>
      <c r="C277" s="38" t="str">
        <f>_xlfn.XLOOKUP(A277,'Model Modeshare by TAZ'!A:A,'Model Modeshare by TAZ'!D:D)</f>
        <v>NO</v>
      </c>
      <c r="D277" s="6">
        <v>3</v>
      </c>
      <c r="E277" s="6">
        <v>274</v>
      </c>
      <c r="F277" s="6">
        <v>940</v>
      </c>
      <c r="G277" s="6">
        <v>941</v>
      </c>
      <c r="H277" s="6">
        <v>519</v>
      </c>
      <c r="I277" s="6">
        <v>274</v>
      </c>
      <c r="J277" s="6">
        <v>0</v>
      </c>
      <c r="K277" s="40">
        <v>69</v>
      </c>
      <c r="L277" s="40">
        <v>11</v>
      </c>
      <c r="M277" s="40">
        <v>582</v>
      </c>
      <c r="N277" s="40">
        <v>187</v>
      </c>
      <c r="O277" s="40">
        <v>215</v>
      </c>
      <c r="P277" s="40">
        <v>169</v>
      </c>
      <c r="Q277" s="40">
        <v>0</v>
      </c>
      <c r="R277" s="40">
        <v>11</v>
      </c>
      <c r="S277" s="40">
        <v>0</v>
      </c>
    </row>
    <row r="278" spans="1:19" x14ac:dyDescent="0.35">
      <c r="A278" s="38">
        <v>275</v>
      </c>
      <c r="B278" s="38" t="str">
        <f>_xlfn.XLOOKUP(A278,'Model Modeshare by TAZ'!A:A,'Model Modeshare by TAZ'!B:B)</f>
        <v>Milpitas</v>
      </c>
      <c r="C278" s="38" t="str">
        <f>_xlfn.XLOOKUP(A278,'Model Modeshare by TAZ'!A:A,'Model Modeshare by TAZ'!D:D)</f>
        <v>NO</v>
      </c>
      <c r="D278" s="6">
        <v>3</v>
      </c>
      <c r="E278" s="6">
        <v>647</v>
      </c>
      <c r="F278" s="6">
        <v>2371</v>
      </c>
      <c r="G278" s="6">
        <v>2371</v>
      </c>
      <c r="H278" s="6">
        <v>1147</v>
      </c>
      <c r="I278" s="6">
        <v>639</v>
      </c>
      <c r="J278" s="6">
        <v>8</v>
      </c>
      <c r="K278" s="40">
        <v>137</v>
      </c>
      <c r="L278" s="40">
        <v>1</v>
      </c>
      <c r="M278" s="40">
        <v>237</v>
      </c>
      <c r="N278" s="40">
        <v>64</v>
      </c>
      <c r="O278" s="40">
        <v>81</v>
      </c>
      <c r="P278" s="40">
        <v>36</v>
      </c>
      <c r="Q278" s="40">
        <v>0</v>
      </c>
      <c r="R278" s="40">
        <v>56</v>
      </c>
      <c r="S278" s="40">
        <v>0</v>
      </c>
    </row>
    <row r="279" spans="1:19" x14ac:dyDescent="0.35">
      <c r="A279" s="38">
        <v>276</v>
      </c>
      <c r="B279" s="38" t="str">
        <f>_xlfn.XLOOKUP(A279,'Model Modeshare by TAZ'!A:A,'Model Modeshare by TAZ'!B:B)</f>
        <v>Milpitas</v>
      </c>
      <c r="C279" s="38" t="str">
        <f>_xlfn.XLOOKUP(A279,'Model Modeshare by TAZ'!A:A,'Model Modeshare by TAZ'!D:D)</f>
        <v>NO</v>
      </c>
      <c r="D279" s="6">
        <v>3</v>
      </c>
      <c r="E279" s="6">
        <v>187</v>
      </c>
      <c r="F279" s="6">
        <v>641</v>
      </c>
      <c r="G279" s="6">
        <v>643</v>
      </c>
      <c r="H279" s="6">
        <v>345</v>
      </c>
      <c r="I279" s="6">
        <v>149</v>
      </c>
      <c r="J279" s="6">
        <v>38</v>
      </c>
      <c r="K279" s="40">
        <v>35</v>
      </c>
      <c r="L279" s="40">
        <v>1</v>
      </c>
      <c r="M279" s="40">
        <v>334</v>
      </c>
      <c r="N279" s="40">
        <v>55</v>
      </c>
      <c r="O279" s="40">
        <v>244</v>
      </c>
      <c r="P279" s="40">
        <v>35</v>
      </c>
      <c r="Q279" s="40">
        <v>0</v>
      </c>
      <c r="R279" s="40">
        <v>0</v>
      </c>
      <c r="S279" s="40">
        <v>0</v>
      </c>
    </row>
    <row r="280" spans="1:19" x14ac:dyDescent="0.35">
      <c r="A280" s="38">
        <v>277</v>
      </c>
      <c r="B280" s="38" t="str">
        <f>_xlfn.XLOOKUP(A280,'Model Modeshare by TAZ'!A:A,'Model Modeshare by TAZ'!B:B)</f>
        <v>Milpitas</v>
      </c>
      <c r="C280" s="38" t="str">
        <f>_xlfn.XLOOKUP(A280,'Model Modeshare by TAZ'!A:A,'Model Modeshare by TAZ'!D:D)</f>
        <v>NO</v>
      </c>
      <c r="D280" s="6">
        <v>3</v>
      </c>
      <c r="E280" s="6">
        <v>391</v>
      </c>
      <c r="F280" s="6">
        <v>1342</v>
      </c>
      <c r="G280" s="6">
        <v>1343</v>
      </c>
      <c r="H280" s="6">
        <v>724</v>
      </c>
      <c r="I280" s="6">
        <v>363</v>
      </c>
      <c r="J280" s="6">
        <v>28</v>
      </c>
      <c r="K280" s="40">
        <v>77</v>
      </c>
      <c r="L280" s="40">
        <v>1</v>
      </c>
      <c r="M280" s="40">
        <v>5</v>
      </c>
      <c r="N280" s="40">
        <v>2</v>
      </c>
      <c r="O280" s="40">
        <v>2</v>
      </c>
      <c r="P280" s="40">
        <v>1</v>
      </c>
      <c r="Q280" s="40">
        <v>0</v>
      </c>
      <c r="R280" s="40">
        <v>0</v>
      </c>
      <c r="S280" s="40">
        <v>0</v>
      </c>
    </row>
    <row r="281" spans="1:19" x14ac:dyDescent="0.35">
      <c r="A281" s="38">
        <v>278</v>
      </c>
      <c r="B281" s="38" t="str">
        <f>_xlfn.XLOOKUP(A281,'Model Modeshare by TAZ'!A:A,'Model Modeshare by TAZ'!B:B)</f>
        <v>Milpitas</v>
      </c>
      <c r="C281" s="38" t="str">
        <f>_xlfn.XLOOKUP(A281,'Model Modeshare by TAZ'!A:A,'Model Modeshare by TAZ'!D:D)</f>
        <v>NO</v>
      </c>
      <c r="D281" s="6">
        <v>3</v>
      </c>
      <c r="E281" s="6">
        <v>130</v>
      </c>
      <c r="F281" s="6">
        <v>362</v>
      </c>
      <c r="G281" s="6">
        <v>400</v>
      </c>
      <c r="H281" s="6">
        <v>159</v>
      </c>
      <c r="I281" s="6">
        <v>130</v>
      </c>
      <c r="J281" s="6">
        <v>0</v>
      </c>
      <c r="K281" s="40">
        <v>15.41</v>
      </c>
      <c r="L281" s="40">
        <v>84</v>
      </c>
      <c r="M281" s="40">
        <v>1178</v>
      </c>
      <c r="N281" s="40">
        <v>33</v>
      </c>
      <c r="O281" s="40">
        <v>286</v>
      </c>
      <c r="P281" s="40">
        <v>278</v>
      </c>
      <c r="Q281" s="40">
        <v>0</v>
      </c>
      <c r="R281" s="40">
        <v>504</v>
      </c>
      <c r="S281" s="40">
        <v>77</v>
      </c>
    </row>
    <row r="282" spans="1:19" x14ac:dyDescent="0.35">
      <c r="A282" s="38">
        <v>279</v>
      </c>
      <c r="B282" s="38" t="str">
        <f>_xlfn.XLOOKUP(A282,'Model Modeshare by TAZ'!A:A,'Model Modeshare by TAZ'!B:B)</f>
        <v>Milpitas</v>
      </c>
      <c r="C282" s="38" t="str">
        <f>_xlfn.XLOOKUP(A282,'Model Modeshare by TAZ'!A:A,'Model Modeshare by TAZ'!D:D)</f>
        <v>NO</v>
      </c>
      <c r="D282" s="6">
        <v>3</v>
      </c>
      <c r="E282" s="6">
        <v>0</v>
      </c>
      <c r="F282" s="6">
        <v>0</v>
      </c>
      <c r="G282" s="6">
        <v>0</v>
      </c>
      <c r="H282" s="6">
        <v>0</v>
      </c>
      <c r="I282" s="6">
        <v>0</v>
      </c>
      <c r="J282" s="6">
        <v>0</v>
      </c>
      <c r="K282" s="40">
        <v>0</v>
      </c>
      <c r="L282" s="40">
        <v>94</v>
      </c>
      <c r="M282" s="40">
        <v>1860</v>
      </c>
      <c r="N282" s="40">
        <v>52</v>
      </c>
      <c r="O282" s="40">
        <v>405</v>
      </c>
      <c r="P282" s="40">
        <v>450</v>
      </c>
      <c r="Q282" s="40">
        <v>0</v>
      </c>
      <c r="R282" s="40">
        <v>827</v>
      </c>
      <c r="S282" s="40">
        <v>126</v>
      </c>
    </row>
    <row r="283" spans="1:19" x14ac:dyDescent="0.35">
      <c r="A283" s="38">
        <v>280</v>
      </c>
      <c r="B283" s="38" t="str">
        <f>_xlfn.XLOOKUP(A283,'Model Modeshare by TAZ'!A:A,'Model Modeshare by TAZ'!B:B)</f>
        <v>Milpitas</v>
      </c>
      <c r="C283" s="38" t="str">
        <f>_xlfn.XLOOKUP(A283,'Model Modeshare by TAZ'!A:A,'Model Modeshare by TAZ'!D:D)</f>
        <v>NO</v>
      </c>
      <c r="D283" s="6">
        <v>3</v>
      </c>
      <c r="E283" s="6">
        <v>394</v>
      </c>
      <c r="F283" s="6">
        <v>1065</v>
      </c>
      <c r="G283" s="6">
        <v>1065</v>
      </c>
      <c r="H283" s="6">
        <v>438</v>
      </c>
      <c r="I283" s="6">
        <v>0</v>
      </c>
      <c r="J283" s="6">
        <v>394</v>
      </c>
      <c r="K283" s="40">
        <v>29</v>
      </c>
      <c r="L283" s="40">
        <v>133</v>
      </c>
      <c r="M283" s="40">
        <v>3564</v>
      </c>
      <c r="N283" s="40">
        <v>2275</v>
      </c>
      <c r="O283" s="40">
        <v>1009</v>
      </c>
      <c r="P283" s="40">
        <v>81</v>
      </c>
      <c r="Q283" s="40">
        <v>0</v>
      </c>
      <c r="R283" s="40">
        <v>177</v>
      </c>
      <c r="S283" s="40">
        <v>22</v>
      </c>
    </row>
    <row r="284" spans="1:19" x14ac:dyDescent="0.35">
      <c r="A284" s="38">
        <v>281</v>
      </c>
      <c r="B284" s="38" t="str">
        <f>_xlfn.XLOOKUP(A284,'Model Modeshare by TAZ'!A:A,'Model Modeshare by TAZ'!B:B)</f>
        <v>Milpitas</v>
      </c>
      <c r="C284" s="38" t="str">
        <f>_xlfn.XLOOKUP(A284,'Model Modeshare by TAZ'!A:A,'Model Modeshare by TAZ'!D:D)</f>
        <v>NO</v>
      </c>
      <c r="D284" s="6">
        <v>3</v>
      </c>
      <c r="E284" s="6">
        <v>282</v>
      </c>
      <c r="F284" s="6">
        <v>762</v>
      </c>
      <c r="G284" s="6">
        <v>762</v>
      </c>
      <c r="H284" s="6">
        <v>318</v>
      </c>
      <c r="I284" s="6">
        <v>0</v>
      </c>
      <c r="J284" s="6">
        <v>282</v>
      </c>
      <c r="K284" s="40">
        <v>18</v>
      </c>
      <c r="L284" s="40">
        <v>101</v>
      </c>
      <c r="M284" s="40">
        <v>155</v>
      </c>
      <c r="N284" s="40">
        <v>5</v>
      </c>
      <c r="O284" s="40">
        <v>5</v>
      </c>
      <c r="P284" s="40">
        <v>5</v>
      </c>
      <c r="Q284" s="40">
        <v>0</v>
      </c>
      <c r="R284" s="40">
        <v>112</v>
      </c>
      <c r="S284" s="40">
        <v>28</v>
      </c>
    </row>
    <row r="285" spans="1:19" x14ac:dyDescent="0.35">
      <c r="A285" s="38">
        <v>282</v>
      </c>
      <c r="B285" s="38" t="str">
        <f>_xlfn.XLOOKUP(A285,'Model Modeshare by TAZ'!A:A,'Model Modeshare by TAZ'!B:B)</f>
        <v>Milpitas</v>
      </c>
      <c r="C285" s="38" t="str">
        <f>_xlfn.XLOOKUP(A285,'Model Modeshare by TAZ'!A:A,'Model Modeshare by TAZ'!D:D)</f>
        <v>NO</v>
      </c>
      <c r="D285" s="6">
        <v>3</v>
      </c>
      <c r="E285" s="6">
        <v>690</v>
      </c>
      <c r="F285" s="6">
        <v>1867</v>
      </c>
      <c r="G285" s="6">
        <v>1867</v>
      </c>
      <c r="H285" s="6">
        <v>781</v>
      </c>
      <c r="I285" s="6">
        <v>0</v>
      </c>
      <c r="J285" s="6">
        <v>690</v>
      </c>
      <c r="K285" s="40">
        <v>28</v>
      </c>
      <c r="L285" s="40">
        <v>1</v>
      </c>
      <c r="M285" s="40">
        <v>31</v>
      </c>
      <c r="N285" s="40">
        <v>0</v>
      </c>
      <c r="O285" s="40">
        <v>0</v>
      </c>
      <c r="P285" s="40">
        <v>0</v>
      </c>
      <c r="Q285" s="40">
        <v>0</v>
      </c>
      <c r="R285" s="40">
        <v>31</v>
      </c>
      <c r="S285" s="40">
        <v>0</v>
      </c>
    </row>
    <row r="286" spans="1:19" x14ac:dyDescent="0.35">
      <c r="A286" s="38">
        <v>283</v>
      </c>
      <c r="B286" s="38" t="str">
        <f>_xlfn.XLOOKUP(A286,'Model Modeshare by TAZ'!A:A,'Model Modeshare by TAZ'!B:B)</f>
        <v>Milpitas</v>
      </c>
      <c r="C286" s="38" t="str">
        <f>_xlfn.XLOOKUP(A286,'Model Modeshare by TAZ'!A:A,'Model Modeshare by TAZ'!D:D)</f>
        <v>NO</v>
      </c>
      <c r="D286" s="6">
        <v>3</v>
      </c>
      <c r="E286" s="6">
        <v>631</v>
      </c>
      <c r="F286" s="6">
        <v>1706</v>
      </c>
      <c r="G286" s="6">
        <v>1706</v>
      </c>
      <c r="H286" s="6">
        <v>714</v>
      </c>
      <c r="I286" s="6">
        <v>316</v>
      </c>
      <c r="J286" s="6">
        <v>315</v>
      </c>
      <c r="K286" s="40">
        <v>11</v>
      </c>
      <c r="L286" s="40">
        <v>31</v>
      </c>
      <c r="M286" s="40">
        <v>507</v>
      </c>
      <c r="N286" s="40">
        <v>31</v>
      </c>
      <c r="O286" s="40">
        <v>233</v>
      </c>
      <c r="P286" s="40">
        <v>131</v>
      </c>
      <c r="Q286" s="40">
        <v>3</v>
      </c>
      <c r="R286" s="40">
        <v>83</v>
      </c>
      <c r="S286" s="40">
        <v>26</v>
      </c>
    </row>
    <row r="287" spans="1:19" x14ac:dyDescent="0.35">
      <c r="A287" s="38">
        <v>284</v>
      </c>
      <c r="B287" s="38" t="str">
        <f>_xlfn.XLOOKUP(A287,'Model Modeshare by TAZ'!A:A,'Model Modeshare by TAZ'!B:B)</f>
        <v>Milpitas</v>
      </c>
      <c r="C287" s="38" t="str">
        <f>_xlfn.XLOOKUP(A287,'Model Modeshare by TAZ'!A:A,'Model Modeshare by TAZ'!D:D)</f>
        <v>NO</v>
      </c>
      <c r="D287" s="6">
        <v>3</v>
      </c>
      <c r="E287" s="6">
        <v>346</v>
      </c>
      <c r="F287" s="6">
        <v>936</v>
      </c>
      <c r="G287" s="6">
        <v>936</v>
      </c>
      <c r="H287" s="6">
        <v>390</v>
      </c>
      <c r="I287" s="6">
        <v>101</v>
      </c>
      <c r="J287" s="6">
        <v>245</v>
      </c>
      <c r="K287" s="40">
        <v>35</v>
      </c>
      <c r="L287" s="40">
        <v>69</v>
      </c>
      <c r="M287" s="40">
        <v>1216</v>
      </c>
      <c r="N287" s="40">
        <v>202</v>
      </c>
      <c r="O287" s="40">
        <v>189</v>
      </c>
      <c r="P287" s="40">
        <v>182</v>
      </c>
      <c r="Q287" s="40">
        <v>0</v>
      </c>
      <c r="R287" s="40">
        <v>508</v>
      </c>
      <c r="S287" s="40">
        <v>135</v>
      </c>
    </row>
    <row r="288" spans="1:19" x14ac:dyDescent="0.35">
      <c r="A288" s="38">
        <v>285</v>
      </c>
      <c r="B288" s="38" t="str">
        <f>_xlfn.XLOOKUP(A288,'Model Modeshare by TAZ'!A:A,'Model Modeshare by TAZ'!B:B)</f>
        <v>Milpitas</v>
      </c>
      <c r="C288" s="38" t="str">
        <f>_xlfn.XLOOKUP(A288,'Model Modeshare by TAZ'!A:A,'Model Modeshare by TAZ'!D:D)</f>
        <v>NO</v>
      </c>
      <c r="D288" s="6">
        <v>3</v>
      </c>
      <c r="E288" s="6">
        <v>0</v>
      </c>
      <c r="F288" s="6">
        <v>0</v>
      </c>
      <c r="G288" s="6">
        <v>0</v>
      </c>
      <c r="H288" s="6">
        <v>0</v>
      </c>
      <c r="I288" s="6">
        <v>0</v>
      </c>
      <c r="J288" s="6">
        <v>0</v>
      </c>
      <c r="K288" s="40">
        <v>0</v>
      </c>
      <c r="L288" s="40">
        <v>40</v>
      </c>
      <c r="M288" s="40">
        <v>691</v>
      </c>
      <c r="N288" s="40">
        <v>2</v>
      </c>
      <c r="O288" s="40">
        <v>163</v>
      </c>
      <c r="P288" s="40">
        <v>113</v>
      </c>
      <c r="Q288" s="40">
        <v>0</v>
      </c>
      <c r="R288" s="40">
        <v>283</v>
      </c>
      <c r="S288" s="40">
        <v>130</v>
      </c>
    </row>
    <row r="289" spans="1:19" x14ac:dyDescent="0.35">
      <c r="A289" s="38">
        <v>286</v>
      </c>
      <c r="B289" s="38" t="str">
        <f>_xlfn.XLOOKUP(A289,'Model Modeshare by TAZ'!A:A,'Model Modeshare by TAZ'!B:B)</f>
        <v>Milpitas</v>
      </c>
      <c r="C289" s="38" t="str">
        <f>_xlfn.XLOOKUP(A289,'Model Modeshare by TAZ'!A:A,'Model Modeshare by TAZ'!D:D)</f>
        <v>NO</v>
      </c>
      <c r="D289" s="6">
        <v>3</v>
      </c>
      <c r="E289" s="6">
        <v>0</v>
      </c>
      <c r="F289" s="6">
        <v>0</v>
      </c>
      <c r="G289" s="6">
        <v>0</v>
      </c>
      <c r="H289" s="6">
        <v>0</v>
      </c>
      <c r="I289" s="6">
        <v>0</v>
      </c>
      <c r="J289" s="6">
        <v>0</v>
      </c>
      <c r="K289" s="40">
        <v>0</v>
      </c>
      <c r="L289" s="40">
        <v>169</v>
      </c>
      <c r="M289" s="40">
        <v>3332</v>
      </c>
      <c r="N289" s="40">
        <v>307</v>
      </c>
      <c r="O289" s="40">
        <v>801</v>
      </c>
      <c r="P289" s="40">
        <v>531</v>
      </c>
      <c r="Q289" s="40">
        <v>0</v>
      </c>
      <c r="R289" s="40">
        <v>1158</v>
      </c>
      <c r="S289" s="40">
        <v>535</v>
      </c>
    </row>
    <row r="290" spans="1:19" x14ac:dyDescent="0.35">
      <c r="A290" s="38">
        <v>287</v>
      </c>
      <c r="B290" s="38" t="str">
        <f>_xlfn.XLOOKUP(A290,'Model Modeshare by TAZ'!A:A,'Model Modeshare by TAZ'!B:B)</f>
        <v>Milpitas</v>
      </c>
      <c r="C290" s="38" t="str">
        <f>_xlfn.XLOOKUP(A290,'Model Modeshare by TAZ'!A:A,'Model Modeshare by TAZ'!D:D)</f>
        <v>NO</v>
      </c>
      <c r="D290" s="6">
        <v>3</v>
      </c>
      <c r="E290" s="6">
        <v>960</v>
      </c>
      <c r="F290" s="6">
        <v>3246</v>
      </c>
      <c r="G290" s="6">
        <v>3256</v>
      </c>
      <c r="H290" s="6">
        <v>998</v>
      </c>
      <c r="I290" s="6">
        <v>0</v>
      </c>
      <c r="J290" s="6">
        <v>960</v>
      </c>
      <c r="K290" s="40">
        <v>5</v>
      </c>
      <c r="L290" s="40">
        <v>71</v>
      </c>
      <c r="M290" s="40">
        <v>834</v>
      </c>
      <c r="N290" s="40">
        <v>58</v>
      </c>
      <c r="O290" s="40">
        <v>183</v>
      </c>
      <c r="P290" s="40">
        <v>170</v>
      </c>
      <c r="Q290" s="40">
        <v>0</v>
      </c>
      <c r="R290" s="40">
        <v>363</v>
      </c>
      <c r="S290" s="40">
        <v>60</v>
      </c>
    </row>
    <row r="291" spans="1:19" x14ac:dyDescent="0.35">
      <c r="A291" s="38">
        <v>288</v>
      </c>
      <c r="B291" s="38" t="str">
        <f>_xlfn.XLOOKUP(A291,'Model Modeshare by TAZ'!A:A,'Model Modeshare by TAZ'!B:B)</f>
        <v>Milpitas</v>
      </c>
      <c r="C291" s="38" t="str">
        <f>_xlfn.XLOOKUP(A291,'Model Modeshare by TAZ'!A:A,'Model Modeshare by TAZ'!D:D)</f>
        <v>NO</v>
      </c>
      <c r="D291" s="6">
        <v>3</v>
      </c>
      <c r="E291" s="6">
        <v>0</v>
      </c>
      <c r="F291" s="6">
        <v>0</v>
      </c>
      <c r="G291" s="6">
        <v>0</v>
      </c>
      <c r="H291" s="6">
        <v>0</v>
      </c>
      <c r="I291" s="6">
        <v>0</v>
      </c>
      <c r="J291" s="6">
        <v>0</v>
      </c>
      <c r="K291" s="40">
        <v>0</v>
      </c>
      <c r="L291" s="40">
        <v>28</v>
      </c>
      <c r="M291" s="40">
        <v>441</v>
      </c>
      <c r="N291" s="40">
        <v>0</v>
      </c>
      <c r="O291" s="40">
        <v>104</v>
      </c>
      <c r="P291" s="40">
        <v>79</v>
      </c>
      <c r="Q291" s="40">
        <v>0</v>
      </c>
      <c r="R291" s="40">
        <v>177</v>
      </c>
      <c r="S291" s="40">
        <v>81</v>
      </c>
    </row>
    <row r="292" spans="1:19" x14ac:dyDescent="0.35">
      <c r="A292" s="38">
        <v>289</v>
      </c>
      <c r="B292" s="38" t="str">
        <f>_xlfn.XLOOKUP(A292,'Model Modeshare by TAZ'!A:A,'Model Modeshare by TAZ'!B:B)</f>
        <v>Milpitas</v>
      </c>
      <c r="C292" s="38" t="str">
        <f>_xlfn.XLOOKUP(A292,'Model Modeshare by TAZ'!A:A,'Model Modeshare by TAZ'!D:D)</f>
        <v>NO</v>
      </c>
      <c r="D292" s="6">
        <v>3</v>
      </c>
      <c r="E292" s="6">
        <v>946</v>
      </c>
      <c r="F292" s="6">
        <v>3017</v>
      </c>
      <c r="G292" s="6">
        <v>3117</v>
      </c>
      <c r="H292" s="6">
        <v>1523</v>
      </c>
      <c r="I292" s="6">
        <v>285</v>
      </c>
      <c r="J292" s="6">
        <v>661</v>
      </c>
      <c r="K292" s="40">
        <v>11</v>
      </c>
      <c r="L292" s="40">
        <v>72</v>
      </c>
      <c r="M292" s="40">
        <v>1005</v>
      </c>
      <c r="N292" s="40">
        <v>11</v>
      </c>
      <c r="O292" s="40">
        <v>241</v>
      </c>
      <c r="P292" s="40">
        <v>121</v>
      </c>
      <c r="Q292" s="40">
        <v>0</v>
      </c>
      <c r="R292" s="40">
        <v>430</v>
      </c>
      <c r="S292" s="40">
        <v>202</v>
      </c>
    </row>
    <row r="293" spans="1:19" x14ac:dyDescent="0.35">
      <c r="A293" s="38">
        <v>290</v>
      </c>
      <c r="B293" s="38" t="str">
        <f>_xlfn.XLOOKUP(A293,'Model Modeshare by TAZ'!A:A,'Model Modeshare by TAZ'!B:B)</f>
        <v>Milpitas</v>
      </c>
      <c r="C293" s="38" t="str">
        <f>_xlfn.XLOOKUP(A293,'Model Modeshare by TAZ'!A:A,'Model Modeshare by TAZ'!D:D)</f>
        <v>NO</v>
      </c>
      <c r="D293" s="6">
        <v>3</v>
      </c>
      <c r="E293" s="6">
        <v>0</v>
      </c>
      <c r="F293" s="6">
        <v>0</v>
      </c>
      <c r="G293" s="6">
        <v>0</v>
      </c>
      <c r="H293" s="6">
        <v>0</v>
      </c>
      <c r="I293" s="6">
        <v>0</v>
      </c>
      <c r="J293" s="6">
        <v>0</v>
      </c>
      <c r="K293" s="40">
        <v>0</v>
      </c>
      <c r="L293" s="40">
        <v>57</v>
      </c>
      <c r="M293" s="40">
        <v>1368</v>
      </c>
      <c r="N293" s="40">
        <v>0</v>
      </c>
      <c r="O293" s="40">
        <v>331</v>
      </c>
      <c r="P293" s="40">
        <v>245</v>
      </c>
      <c r="Q293" s="40">
        <v>0</v>
      </c>
      <c r="R293" s="40">
        <v>542</v>
      </c>
      <c r="S293" s="40">
        <v>250</v>
      </c>
    </row>
    <row r="294" spans="1:19" x14ac:dyDescent="0.35">
      <c r="A294" s="38">
        <v>291</v>
      </c>
      <c r="B294" s="38" t="str">
        <f>_xlfn.XLOOKUP(A294,'Model Modeshare by TAZ'!A:A,'Model Modeshare by TAZ'!B:B)</f>
        <v>Milpitas</v>
      </c>
      <c r="C294" s="38" t="str">
        <f>_xlfn.XLOOKUP(A294,'Model Modeshare by TAZ'!A:A,'Model Modeshare by TAZ'!D:D)</f>
        <v>NO</v>
      </c>
      <c r="D294" s="6">
        <v>3</v>
      </c>
      <c r="E294" s="6">
        <v>0</v>
      </c>
      <c r="F294" s="6">
        <v>0</v>
      </c>
      <c r="G294" s="6">
        <v>0</v>
      </c>
      <c r="H294" s="6">
        <v>0</v>
      </c>
      <c r="I294" s="6">
        <v>0</v>
      </c>
      <c r="J294" s="6">
        <v>0</v>
      </c>
      <c r="K294" s="40">
        <v>4</v>
      </c>
      <c r="L294" s="40">
        <v>284</v>
      </c>
      <c r="M294" s="40">
        <v>1214</v>
      </c>
      <c r="N294" s="40">
        <v>5</v>
      </c>
      <c r="O294" s="40">
        <v>249</v>
      </c>
      <c r="P294" s="40">
        <v>380</v>
      </c>
      <c r="Q294" s="40">
        <v>0</v>
      </c>
      <c r="R294" s="40">
        <v>540</v>
      </c>
      <c r="S294" s="40">
        <v>40</v>
      </c>
    </row>
    <row r="295" spans="1:19" x14ac:dyDescent="0.35">
      <c r="A295" s="38">
        <v>292</v>
      </c>
      <c r="B295" s="38" t="str">
        <f>_xlfn.XLOOKUP(A295,'Model Modeshare by TAZ'!A:A,'Model Modeshare by TAZ'!B:B)</f>
        <v>Milpitas</v>
      </c>
      <c r="C295" s="38" t="str">
        <f>_xlfn.XLOOKUP(A295,'Model Modeshare by TAZ'!A:A,'Model Modeshare by TAZ'!D:D)</f>
        <v>NO</v>
      </c>
      <c r="D295" s="6">
        <v>3</v>
      </c>
      <c r="E295" s="6">
        <v>347</v>
      </c>
      <c r="F295" s="6">
        <v>1284</v>
      </c>
      <c r="G295" s="6">
        <v>1290</v>
      </c>
      <c r="H295" s="6">
        <v>563</v>
      </c>
      <c r="I295" s="6">
        <v>347</v>
      </c>
      <c r="J295" s="6">
        <v>0</v>
      </c>
      <c r="K295" s="40">
        <v>76</v>
      </c>
      <c r="L295" s="40">
        <v>11</v>
      </c>
      <c r="M295" s="40">
        <v>276</v>
      </c>
      <c r="N295" s="40">
        <v>0</v>
      </c>
      <c r="O295" s="40">
        <v>245</v>
      </c>
      <c r="P295" s="40">
        <v>30</v>
      </c>
      <c r="Q295" s="40">
        <v>1</v>
      </c>
      <c r="R295" s="40">
        <v>0</v>
      </c>
      <c r="S295" s="40">
        <v>0</v>
      </c>
    </row>
    <row r="296" spans="1:19" x14ac:dyDescent="0.35">
      <c r="A296" s="38">
        <v>293</v>
      </c>
      <c r="B296" s="38" t="str">
        <f>_xlfn.XLOOKUP(A296,'Model Modeshare by TAZ'!A:A,'Model Modeshare by TAZ'!B:B)</f>
        <v>Milpitas</v>
      </c>
      <c r="C296" s="38" t="str">
        <f>_xlfn.XLOOKUP(A296,'Model Modeshare by TAZ'!A:A,'Model Modeshare by TAZ'!D:D)</f>
        <v>NO</v>
      </c>
      <c r="D296" s="6">
        <v>3</v>
      </c>
      <c r="E296" s="6">
        <v>150</v>
      </c>
      <c r="F296" s="6">
        <v>555</v>
      </c>
      <c r="G296" s="6">
        <v>556</v>
      </c>
      <c r="H296" s="6">
        <v>244</v>
      </c>
      <c r="I296" s="6">
        <v>133</v>
      </c>
      <c r="J296" s="6">
        <v>17</v>
      </c>
      <c r="K296" s="40">
        <v>44</v>
      </c>
      <c r="L296" s="40">
        <v>11</v>
      </c>
      <c r="M296" s="40">
        <v>155</v>
      </c>
      <c r="N296" s="40">
        <v>55</v>
      </c>
      <c r="O296" s="40">
        <v>78</v>
      </c>
      <c r="P296" s="40">
        <v>22</v>
      </c>
      <c r="Q296" s="40">
        <v>0</v>
      </c>
      <c r="R296" s="40">
        <v>0</v>
      </c>
      <c r="S296" s="40">
        <v>0</v>
      </c>
    </row>
    <row r="297" spans="1:19" x14ac:dyDescent="0.35">
      <c r="A297" s="38">
        <v>294</v>
      </c>
      <c r="B297" s="38" t="str">
        <f>_xlfn.XLOOKUP(A297,'Model Modeshare by TAZ'!A:A,'Model Modeshare by TAZ'!B:B)</f>
        <v>Milpitas</v>
      </c>
      <c r="C297" s="38" t="str">
        <f>_xlfn.XLOOKUP(A297,'Model Modeshare by TAZ'!A:A,'Model Modeshare by TAZ'!D:D)</f>
        <v>NO</v>
      </c>
      <c r="D297" s="6">
        <v>3</v>
      </c>
      <c r="E297" s="6">
        <v>215</v>
      </c>
      <c r="F297" s="6">
        <v>797</v>
      </c>
      <c r="G297" s="6">
        <v>800</v>
      </c>
      <c r="H297" s="6">
        <v>350</v>
      </c>
      <c r="I297" s="6">
        <v>215</v>
      </c>
      <c r="J297" s="6">
        <v>0</v>
      </c>
      <c r="K297" s="40">
        <v>45</v>
      </c>
      <c r="L297" s="40">
        <v>13</v>
      </c>
      <c r="M297" s="40">
        <v>55</v>
      </c>
      <c r="N297" s="40">
        <v>0</v>
      </c>
      <c r="O297" s="40">
        <v>7</v>
      </c>
      <c r="P297" s="40">
        <v>48</v>
      </c>
      <c r="Q297" s="40">
        <v>0</v>
      </c>
      <c r="R297" s="40">
        <v>0</v>
      </c>
      <c r="S297" s="40">
        <v>0</v>
      </c>
    </row>
    <row r="298" spans="1:19" x14ac:dyDescent="0.35">
      <c r="A298" s="38">
        <v>295</v>
      </c>
      <c r="B298" s="38" t="str">
        <f>_xlfn.XLOOKUP(A298,'Model Modeshare by TAZ'!A:A,'Model Modeshare by TAZ'!B:B)</f>
        <v>Milpitas</v>
      </c>
      <c r="C298" s="38" t="str">
        <f>_xlfn.XLOOKUP(A298,'Model Modeshare by TAZ'!A:A,'Model Modeshare by TAZ'!D:D)</f>
        <v>NO</v>
      </c>
      <c r="D298" s="6">
        <v>3</v>
      </c>
      <c r="E298" s="6">
        <v>483</v>
      </c>
      <c r="F298" s="6">
        <v>1749</v>
      </c>
      <c r="G298" s="6">
        <v>1750</v>
      </c>
      <c r="H298" s="6">
        <v>887</v>
      </c>
      <c r="I298" s="6">
        <v>395</v>
      </c>
      <c r="J298" s="6">
        <v>88</v>
      </c>
      <c r="K298" s="40">
        <v>81</v>
      </c>
      <c r="L298" s="40">
        <v>14</v>
      </c>
      <c r="M298" s="40">
        <v>312</v>
      </c>
      <c r="N298" s="40">
        <v>3</v>
      </c>
      <c r="O298" s="40">
        <v>301</v>
      </c>
      <c r="P298" s="40">
        <v>7</v>
      </c>
      <c r="Q298" s="40">
        <v>0</v>
      </c>
      <c r="R298" s="40">
        <v>1</v>
      </c>
      <c r="S298" s="40">
        <v>0</v>
      </c>
    </row>
    <row r="299" spans="1:19" x14ac:dyDescent="0.35">
      <c r="A299" s="38">
        <v>296</v>
      </c>
      <c r="B299" s="38" t="str">
        <f>_xlfn.XLOOKUP(A299,'Model Modeshare by TAZ'!A:A,'Model Modeshare by TAZ'!B:B)</f>
        <v>Milpitas</v>
      </c>
      <c r="C299" s="38" t="str">
        <f>_xlfn.XLOOKUP(A299,'Model Modeshare by TAZ'!A:A,'Model Modeshare by TAZ'!D:D)</f>
        <v>NO</v>
      </c>
      <c r="D299" s="6">
        <v>3</v>
      </c>
      <c r="E299" s="6">
        <v>105</v>
      </c>
      <c r="F299" s="6">
        <v>381</v>
      </c>
      <c r="G299" s="6">
        <v>381</v>
      </c>
      <c r="H299" s="6">
        <v>192</v>
      </c>
      <c r="I299" s="6">
        <v>105</v>
      </c>
      <c r="J299" s="6">
        <v>0</v>
      </c>
      <c r="K299" s="40">
        <v>19</v>
      </c>
      <c r="L299" s="40">
        <v>71</v>
      </c>
      <c r="M299" s="40">
        <v>564</v>
      </c>
      <c r="N299" s="40">
        <v>88</v>
      </c>
      <c r="O299" s="40">
        <v>234</v>
      </c>
      <c r="P299" s="40">
        <v>242</v>
      </c>
      <c r="Q299" s="40">
        <v>0</v>
      </c>
      <c r="R299" s="40">
        <v>0</v>
      </c>
      <c r="S299" s="40">
        <v>0</v>
      </c>
    </row>
    <row r="300" spans="1:19" x14ac:dyDescent="0.35">
      <c r="A300" s="38">
        <v>297</v>
      </c>
      <c r="B300" s="38" t="str">
        <f>_xlfn.XLOOKUP(A300,'Model Modeshare by TAZ'!A:A,'Model Modeshare by TAZ'!B:B)</f>
        <v>Milpitas</v>
      </c>
      <c r="C300" s="38" t="str">
        <f>_xlfn.XLOOKUP(A300,'Model Modeshare by TAZ'!A:A,'Model Modeshare by TAZ'!D:D)</f>
        <v>NO</v>
      </c>
      <c r="D300" s="6">
        <v>3</v>
      </c>
      <c r="E300" s="6">
        <v>220</v>
      </c>
      <c r="F300" s="6">
        <v>796</v>
      </c>
      <c r="G300" s="6">
        <v>796</v>
      </c>
      <c r="H300" s="6">
        <v>403</v>
      </c>
      <c r="I300" s="6">
        <v>220</v>
      </c>
      <c r="J300" s="6">
        <v>0</v>
      </c>
      <c r="K300" s="40">
        <v>43</v>
      </c>
      <c r="L300" s="40">
        <v>6</v>
      </c>
      <c r="M300" s="40">
        <v>19</v>
      </c>
      <c r="N300" s="40">
        <v>1</v>
      </c>
      <c r="O300" s="40">
        <v>14</v>
      </c>
      <c r="P300" s="40">
        <v>4</v>
      </c>
      <c r="Q300" s="40">
        <v>0</v>
      </c>
      <c r="R300" s="40">
        <v>0</v>
      </c>
      <c r="S300" s="40">
        <v>0</v>
      </c>
    </row>
    <row r="301" spans="1:19" x14ac:dyDescent="0.35">
      <c r="A301" s="38">
        <v>298</v>
      </c>
      <c r="B301" s="38" t="str">
        <f>_xlfn.XLOOKUP(A301,'Model Modeshare by TAZ'!A:A,'Model Modeshare by TAZ'!B:B)</f>
        <v>Milpitas</v>
      </c>
      <c r="C301" s="38" t="str">
        <f>_xlfn.XLOOKUP(A301,'Model Modeshare by TAZ'!A:A,'Model Modeshare by TAZ'!D:D)</f>
        <v>NO</v>
      </c>
      <c r="D301" s="6">
        <v>3</v>
      </c>
      <c r="E301" s="6">
        <v>123</v>
      </c>
      <c r="F301" s="6">
        <v>354</v>
      </c>
      <c r="G301" s="6">
        <v>354</v>
      </c>
      <c r="H301" s="6">
        <v>186</v>
      </c>
      <c r="I301" s="6">
        <v>119</v>
      </c>
      <c r="J301" s="6">
        <v>4</v>
      </c>
      <c r="K301" s="40">
        <v>54</v>
      </c>
      <c r="L301" s="40">
        <v>5</v>
      </c>
      <c r="M301" s="40">
        <v>91</v>
      </c>
      <c r="N301" s="40">
        <v>2</v>
      </c>
      <c r="O301" s="40">
        <v>10</v>
      </c>
      <c r="P301" s="40">
        <v>11</v>
      </c>
      <c r="Q301" s="40">
        <v>2</v>
      </c>
      <c r="R301" s="40">
        <v>52</v>
      </c>
      <c r="S301" s="40">
        <v>14</v>
      </c>
    </row>
    <row r="302" spans="1:19" x14ac:dyDescent="0.35">
      <c r="A302" s="38">
        <v>299</v>
      </c>
      <c r="B302" s="38" t="str">
        <f>_xlfn.XLOOKUP(A302,'Model Modeshare by TAZ'!A:A,'Model Modeshare by TAZ'!B:B)</f>
        <v>Milpitas</v>
      </c>
      <c r="C302" s="38" t="str">
        <f>_xlfn.XLOOKUP(A302,'Model Modeshare by TAZ'!A:A,'Model Modeshare by TAZ'!D:D)</f>
        <v>NO</v>
      </c>
      <c r="D302" s="6">
        <v>3</v>
      </c>
      <c r="E302" s="6">
        <v>342</v>
      </c>
      <c r="F302" s="6">
        <v>991</v>
      </c>
      <c r="G302" s="6">
        <v>991</v>
      </c>
      <c r="H302" s="6">
        <v>519</v>
      </c>
      <c r="I302" s="6">
        <v>342</v>
      </c>
      <c r="J302" s="6">
        <v>0</v>
      </c>
      <c r="K302" s="40">
        <v>39</v>
      </c>
      <c r="L302" s="40">
        <v>5</v>
      </c>
      <c r="M302" s="40">
        <v>38</v>
      </c>
      <c r="N302" s="40">
        <v>32</v>
      </c>
      <c r="O302" s="40">
        <v>0</v>
      </c>
      <c r="P302" s="40">
        <v>0</v>
      </c>
      <c r="Q302" s="40">
        <v>2</v>
      </c>
      <c r="R302" s="40">
        <v>0</v>
      </c>
      <c r="S302" s="40">
        <v>4</v>
      </c>
    </row>
    <row r="303" spans="1:19" x14ac:dyDescent="0.35">
      <c r="A303" s="38">
        <v>300</v>
      </c>
      <c r="B303" s="38" t="str">
        <f>_xlfn.XLOOKUP(A303,'Model Modeshare by TAZ'!A:A,'Model Modeshare by TAZ'!B:B)</f>
        <v>Milpitas</v>
      </c>
      <c r="C303" s="38" t="str">
        <f>_xlfn.XLOOKUP(A303,'Model Modeshare by TAZ'!A:A,'Model Modeshare by TAZ'!D:D)</f>
        <v>NO</v>
      </c>
      <c r="D303" s="6">
        <v>3</v>
      </c>
      <c r="E303" s="6">
        <v>0</v>
      </c>
      <c r="F303" s="6">
        <v>0</v>
      </c>
      <c r="G303" s="6">
        <v>0</v>
      </c>
      <c r="H303" s="6">
        <v>0</v>
      </c>
      <c r="I303" s="6">
        <v>0</v>
      </c>
      <c r="J303" s="6">
        <v>0</v>
      </c>
      <c r="K303" s="40">
        <v>3</v>
      </c>
      <c r="L303" s="40">
        <v>20</v>
      </c>
      <c r="M303" s="40">
        <v>355</v>
      </c>
      <c r="N303" s="40">
        <v>15</v>
      </c>
      <c r="O303" s="40">
        <v>64</v>
      </c>
      <c r="P303" s="40">
        <v>55</v>
      </c>
      <c r="Q303" s="40">
        <v>2</v>
      </c>
      <c r="R303" s="40">
        <v>164</v>
      </c>
      <c r="S303" s="40">
        <v>55</v>
      </c>
    </row>
    <row r="304" spans="1:19" x14ac:dyDescent="0.35">
      <c r="A304" s="38">
        <v>301</v>
      </c>
      <c r="B304" s="38" t="str">
        <f>_xlfn.XLOOKUP(A304,'Model Modeshare by TAZ'!A:A,'Model Modeshare by TAZ'!B:B)</f>
        <v>Milpitas</v>
      </c>
      <c r="C304" s="38" t="str">
        <f>_xlfn.XLOOKUP(A304,'Model Modeshare by TAZ'!A:A,'Model Modeshare by TAZ'!D:D)</f>
        <v>NO</v>
      </c>
      <c r="D304" s="6">
        <v>3</v>
      </c>
      <c r="E304" s="6">
        <v>299</v>
      </c>
      <c r="F304" s="6">
        <v>1049</v>
      </c>
      <c r="G304" s="6">
        <v>1050</v>
      </c>
      <c r="H304" s="6">
        <v>542</v>
      </c>
      <c r="I304" s="6">
        <v>64</v>
      </c>
      <c r="J304" s="6">
        <v>235</v>
      </c>
      <c r="K304" s="40">
        <v>17</v>
      </c>
      <c r="L304" s="40">
        <v>16</v>
      </c>
      <c r="M304" s="40">
        <v>126</v>
      </c>
      <c r="N304" s="40">
        <v>11</v>
      </c>
      <c r="O304" s="40">
        <v>23</v>
      </c>
      <c r="P304" s="40">
        <v>91</v>
      </c>
      <c r="Q304" s="40">
        <v>1</v>
      </c>
      <c r="R304" s="40">
        <v>0</v>
      </c>
      <c r="S304" s="40">
        <v>0</v>
      </c>
    </row>
    <row r="305" spans="1:19" x14ac:dyDescent="0.35">
      <c r="A305" s="38">
        <v>302</v>
      </c>
      <c r="B305" s="38" t="str">
        <f>_xlfn.XLOOKUP(A305,'Model Modeshare by TAZ'!A:A,'Model Modeshare by TAZ'!B:B)</f>
        <v>Milpitas</v>
      </c>
      <c r="C305" s="38" t="str">
        <f>_xlfn.XLOOKUP(A305,'Model Modeshare by TAZ'!A:A,'Model Modeshare by TAZ'!D:D)</f>
        <v>NO</v>
      </c>
      <c r="D305" s="6">
        <v>3</v>
      </c>
      <c r="E305" s="6">
        <v>628</v>
      </c>
      <c r="F305" s="6">
        <v>1802</v>
      </c>
      <c r="G305" s="6">
        <v>1802</v>
      </c>
      <c r="H305" s="6">
        <v>951</v>
      </c>
      <c r="I305" s="6">
        <v>190</v>
      </c>
      <c r="J305" s="6">
        <v>438</v>
      </c>
      <c r="K305" s="40">
        <v>22</v>
      </c>
      <c r="L305" s="40">
        <v>83</v>
      </c>
      <c r="M305" s="40">
        <v>1649</v>
      </c>
      <c r="N305" s="40">
        <v>81</v>
      </c>
      <c r="O305" s="40">
        <v>315</v>
      </c>
      <c r="P305" s="40">
        <v>241</v>
      </c>
      <c r="Q305" s="40">
        <v>2</v>
      </c>
      <c r="R305" s="40">
        <v>754</v>
      </c>
      <c r="S305" s="40">
        <v>256</v>
      </c>
    </row>
    <row r="306" spans="1:19" x14ac:dyDescent="0.35">
      <c r="A306" s="38">
        <v>303</v>
      </c>
      <c r="B306" s="38" t="str">
        <f>_xlfn.XLOOKUP(A306,'Model Modeshare by TAZ'!A:A,'Model Modeshare by TAZ'!B:B)</f>
        <v>Milpitas</v>
      </c>
      <c r="C306" s="38" t="str">
        <f>_xlfn.XLOOKUP(A306,'Model Modeshare by TAZ'!A:A,'Model Modeshare by TAZ'!D:D)</f>
        <v>NO</v>
      </c>
      <c r="D306" s="6">
        <v>3</v>
      </c>
      <c r="E306" s="6">
        <v>0</v>
      </c>
      <c r="F306" s="6">
        <v>0</v>
      </c>
      <c r="G306" s="6">
        <v>0</v>
      </c>
      <c r="H306" s="6">
        <v>0</v>
      </c>
      <c r="I306" s="6">
        <v>0</v>
      </c>
      <c r="J306" s="6">
        <v>0</v>
      </c>
      <c r="K306" s="40">
        <v>4</v>
      </c>
      <c r="L306" s="40">
        <v>36</v>
      </c>
      <c r="M306" s="40">
        <v>614</v>
      </c>
      <c r="N306" s="40">
        <v>25</v>
      </c>
      <c r="O306" s="40">
        <v>132</v>
      </c>
      <c r="P306" s="40">
        <v>90</v>
      </c>
      <c r="Q306" s="40">
        <v>2</v>
      </c>
      <c r="R306" s="40">
        <v>284</v>
      </c>
      <c r="S306" s="40">
        <v>81</v>
      </c>
    </row>
    <row r="307" spans="1:19" x14ac:dyDescent="0.35">
      <c r="A307" s="38">
        <v>304</v>
      </c>
      <c r="B307" s="38" t="str">
        <f>_xlfn.XLOOKUP(A307,'Model Modeshare by TAZ'!A:A,'Model Modeshare by TAZ'!B:B)</f>
        <v>Milpitas</v>
      </c>
      <c r="C307" s="38" t="str">
        <f>_xlfn.XLOOKUP(A307,'Model Modeshare by TAZ'!A:A,'Model Modeshare by TAZ'!D:D)</f>
        <v>NO</v>
      </c>
      <c r="D307" s="6">
        <v>3</v>
      </c>
      <c r="E307" s="6">
        <v>2</v>
      </c>
      <c r="F307" s="6">
        <v>5</v>
      </c>
      <c r="G307" s="6">
        <v>5</v>
      </c>
      <c r="H307" s="6">
        <v>3</v>
      </c>
      <c r="I307" s="6">
        <v>0</v>
      </c>
      <c r="J307" s="6">
        <v>2</v>
      </c>
      <c r="K307" s="40">
        <v>3</v>
      </c>
      <c r="L307" s="40">
        <v>17</v>
      </c>
      <c r="M307" s="40">
        <v>996</v>
      </c>
      <c r="N307" s="40">
        <v>3</v>
      </c>
      <c r="O307" s="40">
        <v>44</v>
      </c>
      <c r="P307" s="40">
        <v>95</v>
      </c>
      <c r="Q307" s="40">
        <v>0</v>
      </c>
      <c r="R307" s="40">
        <v>837</v>
      </c>
      <c r="S307" s="40">
        <v>17</v>
      </c>
    </row>
    <row r="308" spans="1:19" x14ac:dyDescent="0.35">
      <c r="A308" s="38">
        <v>305</v>
      </c>
      <c r="B308" s="38" t="str">
        <f>_xlfn.XLOOKUP(A308,'Model Modeshare by TAZ'!A:A,'Model Modeshare by TAZ'!B:B)</f>
        <v>Milpitas</v>
      </c>
      <c r="C308" s="38" t="str">
        <f>_xlfn.XLOOKUP(A308,'Model Modeshare by TAZ'!A:A,'Model Modeshare by TAZ'!D:D)</f>
        <v>NO</v>
      </c>
      <c r="D308" s="6">
        <v>3</v>
      </c>
      <c r="E308" s="6">
        <v>264</v>
      </c>
      <c r="F308" s="6">
        <v>926</v>
      </c>
      <c r="G308" s="6">
        <v>926</v>
      </c>
      <c r="H308" s="6">
        <v>478</v>
      </c>
      <c r="I308" s="6">
        <v>228</v>
      </c>
      <c r="J308" s="6">
        <v>36</v>
      </c>
      <c r="K308" s="40">
        <v>38</v>
      </c>
      <c r="L308" s="40">
        <v>2</v>
      </c>
      <c r="M308" s="40">
        <v>178</v>
      </c>
      <c r="N308" s="40">
        <v>1</v>
      </c>
      <c r="O308" s="40">
        <v>25</v>
      </c>
      <c r="P308" s="40">
        <v>25</v>
      </c>
      <c r="Q308" s="40">
        <v>1</v>
      </c>
      <c r="R308" s="40">
        <v>91</v>
      </c>
      <c r="S308" s="40">
        <v>35</v>
      </c>
    </row>
    <row r="309" spans="1:19" x14ac:dyDescent="0.35">
      <c r="A309" s="38">
        <v>306</v>
      </c>
      <c r="B309" s="38" t="str">
        <f>_xlfn.XLOOKUP(A309,'Model Modeshare by TAZ'!A:A,'Model Modeshare by TAZ'!B:B)</f>
        <v>Milpitas</v>
      </c>
      <c r="C309" s="38" t="str">
        <f>_xlfn.XLOOKUP(A309,'Model Modeshare by TAZ'!A:A,'Model Modeshare by TAZ'!D:D)</f>
        <v>NO</v>
      </c>
      <c r="D309" s="6">
        <v>3</v>
      </c>
      <c r="E309" s="6">
        <v>31</v>
      </c>
      <c r="F309" s="6">
        <v>110</v>
      </c>
      <c r="G309" s="6">
        <v>110</v>
      </c>
      <c r="H309" s="6">
        <v>58</v>
      </c>
      <c r="I309" s="6">
        <v>31</v>
      </c>
      <c r="J309" s="6">
        <v>0</v>
      </c>
      <c r="K309" s="40">
        <v>12</v>
      </c>
      <c r="L309" s="40">
        <v>40</v>
      </c>
      <c r="M309" s="40">
        <v>1008</v>
      </c>
      <c r="N309" s="40">
        <v>71</v>
      </c>
      <c r="O309" s="40">
        <v>20</v>
      </c>
      <c r="P309" s="40">
        <v>730</v>
      </c>
      <c r="Q309" s="40">
        <v>3</v>
      </c>
      <c r="R309" s="40">
        <v>184</v>
      </c>
      <c r="S309" s="40">
        <v>0</v>
      </c>
    </row>
    <row r="310" spans="1:19" x14ac:dyDescent="0.35">
      <c r="A310" s="38">
        <v>307</v>
      </c>
      <c r="B310" s="38" t="str">
        <f>_xlfn.XLOOKUP(A310,'Model Modeshare by TAZ'!A:A,'Model Modeshare by TAZ'!B:B)</f>
        <v>Milpitas</v>
      </c>
      <c r="C310" s="38" t="str">
        <f>_xlfn.XLOOKUP(A310,'Model Modeshare by TAZ'!A:A,'Model Modeshare by TAZ'!D:D)</f>
        <v>NO</v>
      </c>
      <c r="D310" s="6">
        <v>3</v>
      </c>
      <c r="E310" s="6">
        <v>295</v>
      </c>
      <c r="F310" s="6">
        <v>1137</v>
      </c>
      <c r="G310" s="6">
        <v>1140</v>
      </c>
      <c r="H310" s="6">
        <v>571</v>
      </c>
      <c r="I310" s="6">
        <v>34</v>
      </c>
      <c r="J310" s="6">
        <v>261</v>
      </c>
      <c r="K310" s="40">
        <v>33</v>
      </c>
      <c r="L310" s="40">
        <v>31</v>
      </c>
      <c r="M310" s="40">
        <v>546</v>
      </c>
      <c r="N310" s="40">
        <v>103</v>
      </c>
      <c r="O310" s="40">
        <v>218</v>
      </c>
      <c r="P310" s="40">
        <v>36</v>
      </c>
      <c r="Q310" s="40">
        <v>3</v>
      </c>
      <c r="R310" s="40">
        <v>186</v>
      </c>
      <c r="S310" s="40">
        <v>0</v>
      </c>
    </row>
    <row r="311" spans="1:19" x14ac:dyDescent="0.35">
      <c r="A311" s="38">
        <v>308</v>
      </c>
      <c r="B311" s="38" t="str">
        <f>_xlfn.XLOOKUP(A311,'Model Modeshare by TAZ'!A:A,'Model Modeshare by TAZ'!B:B)</f>
        <v>Milpitas</v>
      </c>
      <c r="C311" s="38" t="str">
        <f>_xlfn.XLOOKUP(A311,'Model Modeshare by TAZ'!A:A,'Model Modeshare by TAZ'!D:D)</f>
        <v>NO</v>
      </c>
      <c r="D311" s="6">
        <v>3</v>
      </c>
      <c r="E311" s="6">
        <v>445</v>
      </c>
      <c r="F311" s="6">
        <v>1520</v>
      </c>
      <c r="G311" s="6">
        <v>1526</v>
      </c>
      <c r="H311" s="6">
        <v>856</v>
      </c>
      <c r="I311" s="6">
        <v>445</v>
      </c>
      <c r="J311" s="6">
        <v>0</v>
      </c>
      <c r="K311" s="40">
        <v>64</v>
      </c>
      <c r="L311" s="40">
        <v>62</v>
      </c>
      <c r="M311" s="40">
        <v>607</v>
      </c>
      <c r="N311" s="40">
        <v>175</v>
      </c>
      <c r="O311" s="40">
        <v>332</v>
      </c>
      <c r="P311" s="40">
        <v>67</v>
      </c>
      <c r="Q311" s="40">
        <v>3</v>
      </c>
      <c r="R311" s="40">
        <v>19</v>
      </c>
      <c r="S311" s="40">
        <v>11</v>
      </c>
    </row>
    <row r="312" spans="1:19" x14ac:dyDescent="0.35">
      <c r="A312" s="38">
        <v>309</v>
      </c>
      <c r="B312" s="38" t="str">
        <f>_xlfn.XLOOKUP(A312,'Model Modeshare by TAZ'!A:A,'Model Modeshare by TAZ'!B:B)</f>
        <v>Unincorporated</v>
      </c>
      <c r="C312" s="38" t="str">
        <f>_xlfn.XLOOKUP(A312,'Model Modeshare by TAZ'!A:A,'Model Modeshare by TAZ'!D:D)</f>
        <v>NO</v>
      </c>
      <c r="D312" s="6">
        <v>3</v>
      </c>
      <c r="E312" s="6">
        <v>87</v>
      </c>
      <c r="F312" s="6">
        <v>320</v>
      </c>
      <c r="G312" s="6">
        <v>320</v>
      </c>
      <c r="H312" s="6">
        <v>199</v>
      </c>
      <c r="I312" s="6">
        <v>87</v>
      </c>
      <c r="J312" s="6">
        <v>0</v>
      </c>
      <c r="K312" s="40">
        <v>248</v>
      </c>
      <c r="L312" s="40">
        <v>7</v>
      </c>
      <c r="M312" s="40">
        <v>96</v>
      </c>
      <c r="N312" s="40">
        <v>45</v>
      </c>
      <c r="O312" s="40">
        <v>6</v>
      </c>
      <c r="P312" s="40">
        <v>12</v>
      </c>
      <c r="Q312" s="40">
        <v>2</v>
      </c>
      <c r="R312" s="40">
        <v>31</v>
      </c>
      <c r="S312" s="40">
        <v>0</v>
      </c>
    </row>
    <row r="313" spans="1:19" x14ac:dyDescent="0.35">
      <c r="A313" s="38">
        <v>310</v>
      </c>
      <c r="B313" s="38" t="str">
        <f>_xlfn.XLOOKUP(A313,'Model Modeshare by TAZ'!A:A,'Model Modeshare by TAZ'!B:B)</f>
        <v>Unincorporated</v>
      </c>
      <c r="C313" s="38" t="str">
        <f>_xlfn.XLOOKUP(A313,'Model Modeshare by TAZ'!A:A,'Model Modeshare by TAZ'!D:D)</f>
        <v>NO</v>
      </c>
      <c r="D313" s="6">
        <v>3</v>
      </c>
      <c r="E313" s="6">
        <v>1</v>
      </c>
      <c r="F313" s="6">
        <v>3</v>
      </c>
      <c r="G313" s="6">
        <v>3</v>
      </c>
      <c r="H313" s="6">
        <v>2</v>
      </c>
      <c r="I313" s="6">
        <v>1</v>
      </c>
      <c r="J313" s="6">
        <v>0</v>
      </c>
      <c r="K313" s="40">
        <v>41</v>
      </c>
      <c r="L313" s="40">
        <v>18</v>
      </c>
      <c r="M313" s="40">
        <v>15</v>
      </c>
      <c r="N313" s="40">
        <v>2</v>
      </c>
      <c r="O313" s="40">
        <v>2</v>
      </c>
      <c r="P313" s="40">
        <v>0</v>
      </c>
      <c r="Q313" s="40">
        <v>11</v>
      </c>
      <c r="R313" s="40">
        <v>0</v>
      </c>
      <c r="S313" s="40">
        <v>0</v>
      </c>
    </row>
    <row r="314" spans="1:19" x14ac:dyDescent="0.35">
      <c r="A314" s="38">
        <v>311</v>
      </c>
      <c r="B314" s="38" t="str">
        <f>_xlfn.XLOOKUP(A314,'Model Modeshare by TAZ'!A:A,'Model Modeshare by TAZ'!B:B)</f>
        <v>Milpitas</v>
      </c>
      <c r="C314" s="38" t="str">
        <f>_xlfn.XLOOKUP(A314,'Model Modeshare by TAZ'!A:A,'Model Modeshare by TAZ'!D:D)</f>
        <v>NO</v>
      </c>
      <c r="D314" s="6">
        <v>3</v>
      </c>
      <c r="E314" s="6">
        <v>415</v>
      </c>
      <c r="F314" s="6">
        <v>1423</v>
      </c>
      <c r="G314" s="6">
        <v>1424</v>
      </c>
      <c r="H314" s="6">
        <v>769</v>
      </c>
      <c r="I314" s="6">
        <v>415</v>
      </c>
      <c r="J314" s="6">
        <v>0</v>
      </c>
      <c r="K314" s="40">
        <v>159</v>
      </c>
      <c r="L314" s="40">
        <v>1</v>
      </c>
      <c r="M314" s="40">
        <v>15</v>
      </c>
      <c r="N314" s="40">
        <v>10</v>
      </c>
      <c r="O314" s="40">
        <v>5</v>
      </c>
      <c r="P314" s="40">
        <v>0</v>
      </c>
      <c r="Q314" s="40">
        <v>0</v>
      </c>
      <c r="R314" s="40">
        <v>0</v>
      </c>
      <c r="S314" s="40">
        <v>0</v>
      </c>
    </row>
    <row r="315" spans="1:19" x14ac:dyDescent="0.35">
      <c r="A315" s="38">
        <v>312</v>
      </c>
      <c r="B315" s="38" t="str">
        <f>_xlfn.XLOOKUP(A315,'Model Modeshare by TAZ'!A:A,'Model Modeshare by TAZ'!B:B)</f>
        <v>Milpitas</v>
      </c>
      <c r="C315" s="38" t="str">
        <f>_xlfn.XLOOKUP(A315,'Model Modeshare by TAZ'!A:A,'Model Modeshare by TAZ'!D:D)</f>
        <v>NO</v>
      </c>
      <c r="D315" s="6">
        <v>3</v>
      </c>
      <c r="E315" s="6">
        <v>0</v>
      </c>
      <c r="F315" s="6">
        <v>0</v>
      </c>
      <c r="G315" s="6">
        <v>0</v>
      </c>
      <c r="H315" s="6">
        <v>0</v>
      </c>
      <c r="I315" s="6">
        <v>0</v>
      </c>
      <c r="J315" s="6">
        <v>0</v>
      </c>
      <c r="K315" s="40">
        <v>0</v>
      </c>
      <c r="L315" s="40">
        <v>199</v>
      </c>
      <c r="M315" s="40">
        <v>2295</v>
      </c>
      <c r="N315" s="40">
        <v>50</v>
      </c>
      <c r="O315" s="40">
        <v>377</v>
      </c>
      <c r="P315" s="40">
        <v>431</v>
      </c>
      <c r="Q315" s="40">
        <v>0</v>
      </c>
      <c r="R315" s="40">
        <v>1239</v>
      </c>
      <c r="S315" s="40">
        <v>198</v>
      </c>
    </row>
    <row r="316" spans="1:19" x14ac:dyDescent="0.35">
      <c r="A316" s="38">
        <v>313</v>
      </c>
      <c r="B316" s="38" t="str">
        <f>_xlfn.XLOOKUP(A316,'Model Modeshare by TAZ'!A:A,'Model Modeshare by TAZ'!B:B)</f>
        <v>Milpitas</v>
      </c>
      <c r="C316" s="38" t="str">
        <f>_xlfn.XLOOKUP(A316,'Model Modeshare by TAZ'!A:A,'Model Modeshare by TAZ'!D:D)</f>
        <v>NO</v>
      </c>
      <c r="D316" s="6">
        <v>3</v>
      </c>
      <c r="E316" s="6">
        <v>16</v>
      </c>
      <c r="F316" s="6">
        <v>44</v>
      </c>
      <c r="G316" s="6">
        <v>44</v>
      </c>
      <c r="H316" s="6">
        <v>18</v>
      </c>
      <c r="I316" s="6">
        <v>0</v>
      </c>
      <c r="J316" s="6">
        <v>16</v>
      </c>
      <c r="K316" s="40">
        <v>4</v>
      </c>
      <c r="L316" s="40">
        <v>8</v>
      </c>
      <c r="M316" s="40">
        <v>378</v>
      </c>
      <c r="N316" s="40">
        <v>26</v>
      </c>
      <c r="O316" s="40">
        <v>214</v>
      </c>
      <c r="P316" s="40">
        <v>47</v>
      </c>
      <c r="Q316" s="40">
        <v>0</v>
      </c>
      <c r="R316" s="40">
        <v>78</v>
      </c>
      <c r="S316" s="40">
        <v>13</v>
      </c>
    </row>
    <row r="317" spans="1:19" x14ac:dyDescent="0.35">
      <c r="A317" s="38">
        <v>314</v>
      </c>
      <c r="B317" s="38" t="str">
        <f>_xlfn.XLOOKUP(A317,'Model Modeshare by TAZ'!A:A,'Model Modeshare by TAZ'!B:B)</f>
        <v>Milpitas</v>
      </c>
      <c r="C317" s="38" t="str">
        <f>_xlfn.XLOOKUP(A317,'Model Modeshare by TAZ'!A:A,'Model Modeshare by TAZ'!D:D)</f>
        <v>NO</v>
      </c>
      <c r="D317" s="6">
        <v>3</v>
      </c>
      <c r="E317" s="6">
        <v>53</v>
      </c>
      <c r="F317" s="6">
        <v>143</v>
      </c>
      <c r="G317" s="6">
        <v>143</v>
      </c>
      <c r="H317" s="6">
        <v>60</v>
      </c>
      <c r="I317" s="6">
        <v>0</v>
      </c>
      <c r="J317" s="6">
        <v>53</v>
      </c>
      <c r="K317" s="40">
        <v>1</v>
      </c>
      <c r="L317" s="40">
        <v>15</v>
      </c>
      <c r="M317" s="40">
        <v>344</v>
      </c>
      <c r="N317" s="40">
        <v>31</v>
      </c>
      <c r="O317" s="40">
        <v>184</v>
      </c>
      <c r="P317" s="40">
        <v>59</v>
      </c>
      <c r="Q317" s="40">
        <v>0</v>
      </c>
      <c r="R317" s="40">
        <v>57</v>
      </c>
      <c r="S317" s="40">
        <v>13</v>
      </c>
    </row>
    <row r="318" spans="1:19" x14ac:dyDescent="0.35">
      <c r="A318" s="38">
        <v>315</v>
      </c>
      <c r="B318" s="38" t="str">
        <f>_xlfn.XLOOKUP(A318,'Model Modeshare by TAZ'!A:A,'Model Modeshare by TAZ'!B:B)</f>
        <v>Milpitas</v>
      </c>
      <c r="C318" s="38" t="str">
        <f>_xlfn.XLOOKUP(A318,'Model Modeshare by TAZ'!A:A,'Model Modeshare by TAZ'!D:D)</f>
        <v>NO</v>
      </c>
      <c r="D318" s="6">
        <v>3</v>
      </c>
      <c r="E318" s="6">
        <v>736</v>
      </c>
      <c r="F318" s="6">
        <v>2045</v>
      </c>
      <c r="G318" s="6">
        <v>2294</v>
      </c>
      <c r="H318" s="6">
        <v>833</v>
      </c>
      <c r="I318" s="6">
        <v>367</v>
      </c>
      <c r="J318" s="6">
        <v>369</v>
      </c>
      <c r="K318" s="40">
        <v>14</v>
      </c>
      <c r="L318" s="40">
        <v>89</v>
      </c>
      <c r="M318" s="40">
        <v>31</v>
      </c>
      <c r="N318" s="40">
        <v>0</v>
      </c>
      <c r="O318" s="40">
        <v>0</v>
      </c>
      <c r="P318" s="40">
        <v>0</v>
      </c>
      <c r="Q318" s="40">
        <v>0</v>
      </c>
      <c r="R318" s="40">
        <v>31</v>
      </c>
      <c r="S318" s="40">
        <v>0</v>
      </c>
    </row>
    <row r="319" spans="1:19" x14ac:dyDescent="0.35">
      <c r="A319" s="38">
        <v>316</v>
      </c>
      <c r="B319" s="38" t="str">
        <f>_xlfn.XLOOKUP(A319,'Model Modeshare by TAZ'!A:A,'Model Modeshare by TAZ'!B:B)</f>
        <v>Milpitas</v>
      </c>
      <c r="C319" s="38" t="str">
        <f>_xlfn.XLOOKUP(A319,'Model Modeshare by TAZ'!A:A,'Model Modeshare by TAZ'!D:D)</f>
        <v>NO</v>
      </c>
      <c r="D319" s="6">
        <v>3</v>
      </c>
      <c r="E319" s="6">
        <v>7</v>
      </c>
      <c r="F319" s="6">
        <v>19</v>
      </c>
      <c r="G319" s="6">
        <v>22</v>
      </c>
      <c r="H319" s="6">
        <v>8</v>
      </c>
      <c r="I319" s="6">
        <v>7</v>
      </c>
      <c r="J319" s="6">
        <v>0</v>
      </c>
      <c r="K319" s="40">
        <v>4.09</v>
      </c>
      <c r="L319" s="40">
        <v>92</v>
      </c>
      <c r="M319" s="40">
        <v>1784</v>
      </c>
      <c r="N319" s="40">
        <v>49</v>
      </c>
      <c r="O319" s="40">
        <v>447</v>
      </c>
      <c r="P319" s="40">
        <v>426</v>
      </c>
      <c r="Q319" s="40">
        <v>0</v>
      </c>
      <c r="R319" s="40">
        <v>749</v>
      </c>
      <c r="S319" s="40">
        <v>113</v>
      </c>
    </row>
    <row r="320" spans="1:19" x14ac:dyDescent="0.35">
      <c r="A320" s="38">
        <v>317</v>
      </c>
      <c r="B320" s="38" t="str">
        <f>_xlfn.XLOOKUP(A320,'Model Modeshare by TAZ'!A:A,'Model Modeshare by TAZ'!B:B)</f>
        <v>Milpitas</v>
      </c>
      <c r="C320" s="38" t="str">
        <f>_xlfn.XLOOKUP(A320,'Model Modeshare by TAZ'!A:A,'Model Modeshare by TAZ'!D:D)</f>
        <v>NO</v>
      </c>
      <c r="D320" s="6">
        <v>3</v>
      </c>
      <c r="E320" s="6">
        <v>2137</v>
      </c>
      <c r="F320" s="6">
        <v>7276</v>
      </c>
      <c r="G320" s="6">
        <v>7276</v>
      </c>
      <c r="H320" s="6">
        <v>2223</v>
      </c>
      <c r="I320" s="6">
        <v>0</v>
      </c>
      <c r="J320" s="6">
        <v>2137</v>
      </c>
      <c r="K320" s="40">
        <v>5</v>
      </c>
      <c r="L320" s="40">
        <v>90</v>
      </c>
      <c r="M320" s="40">
        <v>995</v>
      </c>
      <c r="N320" s="40">
        <v>55</v>
      </c>
      <c r="O320" s="40">
        <v>179</v>
      </c>
      <c r="P320" s="40">
        <v>228</v>
      </c>
      <c r="Q320" s="40">
        <v>0</v>
      </c>
      <c r="R320" s="40">
        <v>461</v>
      </c>
      <c r="S320" s="40">
        <v>72</v>
      </c>
    </row>
    <row r="321" spans="1:19" x14ac:dyDescent="0.35">
      <c r="A321" s="38">
        <v>318</v>
      </c>
      <c r="B321" s="38" t="str">
        <f>_xlfn.XLOOKUP(A321,'Model Modeshare by TAZ'!A:A,'Model Modeshare by TAZ'!B:B)</f>
        <v>Milpitas</v>
      </c>
      <c r="C321" s="38" t="str">
        <f>_xlfn.XLOOKUP(A321,'Model Modeshare by TAZ'!A:A,'Model Modeshare by TAZ'!D:D)</f>
        <v>NO</v>
      </c>
      <c r="D321" s="6">
        <v>3</v>
      </c>
      <c r="E321" s="6">
        <v>538</v>
      </c>
      <c r="F321" s="6">
        <v>1948</v>
      </c>
      <c r="G321" s="6">
        <v>1952</v>
      </c>
      <c r="H321" s="6">
        <v>988</v>
      </c>
      <c r="I321" s="6">
        <v>538</v>
      </c>
      <c r="J321" s="6">
        <v>0</v>
      </c>
      <c r="K321" s="40">
        <v>106</v>
      </c>
      <c r="L321" s="40">
        <v>41</v>
      </c>
      <c r="M321" s="40">
        <v>77</v>
      </c>
      <c r="N321" s="40">
        <v>1</v>
      </c>
      <c r="O321" s="40">
        <v>13</v>
      </c>
      <c r="P321" s="40">
        <v>63</v>
      </c>
      <c r="Q321" s="40">
        <v>0</v>
      </c>
      <c r="R321" s="40">
        <v>0</v>
      </c>
      <c r="S321" s="40">
        <v>0</v>
      </c>
    </row>
    <row r="322" spans="1:19" x14ac:dyDescent="0.35">
      <c r="A322" s="38">
        <v>319</v>
      </c>
      <c r="B322" s="38" t="str">
        <f>_xlfn.XLOOKUP(A322,'Model Modeshare by TAZ'!A:A,'Model Modeshare by TAZ'!B:B)</f>
        <v>Milpitas</v>
      </c>
      <c r="C322" s="38" t="str">
        <f>_xlfn.XLOOKUP(A322,'Model Modeshare by TAZ'!A:A,'Model Modeshare by TAZ'!D:D)</f>
        <v>NO</v>
      </c>
      <c r="D322" s="6">
        <v>3</v>
      </c>
      <c r="E322" s="6">
        <v>39</v>
      </c>
      <c r="F322" s="6">
        <v>109</v>
      </c>
      <c r="G322" s="6">
        <v>120</v>
      </c>
      <c r="H322" s="6">
        <v>48</v>
      </c>
      <c r="I322" s="6">
        <v>0</v>
      </c>
      <c r="J322" s="6">
        <v>39</v>
      </c>
      <c r="K322" s="40">
        <v>26</v>
      </c>
      <c r="L322" s="40">
        <v>63</v>
      </c>
      <c r="M322" s="40">
        <v>649</v>
      </c>
      <c r="N322" s="40">
        <v>29</v>
      </c>
      <c r="O322" s="40">
        <v>0</v>
      </c>
      <c r="P322" s="40">
        <v>157</v>
      </c>
      <c r="Q322" s="40">
        <v>2</v>
      </c>
      <c r="R322" s="40">
        <v>397</v>
      </c>
      <c r="S322" s="40">
        <v>64</v>
      </c>
    </row>
    <row r="323" spans="1:19" x14ac:dyDescent="0.35">
      <c r="A323" s="38">
        <v>320</v>
      </c>
      <c r="B323" s="38" t="str">
        <f>_xlfn.XLOOKUP(A323,'Model Modeshare by TAZ'!A:A,'Model Modeshare by TAZ'!B:B)</f>
        <v>Milpitas</v>
      </c>
      <c r="C323" s="38" t="str">
        <f>_xlfn.XLOOKUP(A323,'Model Modeshare by TAZ'!A:A,'Model Modeshare by TAZ'!D:D)</f>
        <v>NO</v>
      </c>
      <c r="D323" s="6">
        <v>3</v>
      </c>
      <c r="E323" s="6">
        <v>250</v>
      </c>
      <c r="F323" s="6">
        <v>879</v>
      </c>
      <c r="G323" s="6">
        <v>882</v>
      </c>
      <c r="H323" s="6">
        <v>453</v>
      </c>
      <c r="I323" s="6">
        <v>250</v>
      </c>
      <c r="J323" s="6">
        <v>0</v>
      </c>
      <c r="K323" s="40">
        <v>52</v>
      </c>
      <c r="L323" s="40">
        <v>26</v>
      </c>
      <c r="M323" s="40">
        <v>924</v>
      </c>
      <c r="N323" s="40">
        <v>23</v>
      </c>
      <c r="O323" s="40">
        <v>184</v>
      </c>
      <c r="P323" s="40">
        <v>31</v>
      </c>
      <c r="Q323" s="40">
        <v>1</v>
      </c>
      <c r="R323" s="40">
        <v>518</v>
      </c>
      <c r="S323" s="40">
        <v>167</v>
      </c>
    </row>
    <row r="324" spans="1:19" x14ac:dyDescent="0.35">
      <c r="A324" s="38">
        <v>321</v>
      </c>
      <c r="B324" s="38" t="str">
        <f>_xlfn.XLOOKUP(A324,'Model Modeshare by TAZ'!A:A,'Model Modeshare by TAZ'!B:B)</f>
        <v>Milpitas</v>
      </c>
      <c r="C324" s="38" t="str">
        <f>_xlfn.XLOOKUP(A324,'Model Modeshare by TAZ'!A:A,'Model Modeshare by TAZ'!D:D)</f>
        <v>NO</v>
      </c>
      <c r="D324" s="6">
        <v>3</v>
      </c>
      <c r="E324" s="6">
        <v>273</v>
      </c>
      <c r="F324" s="6">
        <v>960</v>
      </c>
      <c r="G324" s="6">
        <v>961</v>
      </c>
      <c r="H324" s="6">
        <v>495</v>
      </c>
      <c r="I324" s="6">
        <v>241</v>
      </c>
      <c r="J324" s="6">
        <v>32</v>
      </c>
      <c r="K324" s="40">
        <v>68</v>
      </c>
      <c r="L324" s="40">
        <v>27</v>
      </c>
      <c r="M324" s="40">
        <v>156</v>
      </c>
      <c r="N324" s="40">
        <v>49</v>
      </c>
      <c r="O324" s="40">
        <v>39</v>
      </c>
      <c r="P324" s="40">
        <v>23</v>
      </c>
      <c r="Q324" s="40">
        <v>1</v>
      </c>
      <c r="R324" s="40">
        <v>33</v>
      </c>
      <c r="S324" s="40">
        <v>11</v>
      </c>
    </row>
    <row r="325" spans="1:19" x14ac:dyDescent="0.35">
      <c r="A325" s="38">
        <v>322</v>
      </c>
      <c r="B325" s="38" t="str">
        <f>_xlfn.XLOOKUP(A325,'Model Modeshare by TAZ'!A:A,'Model Modeshare by TAZ'!B:B)</f>
        <v>Milpitas</v>
      </c>
      <c r="C325" s="38" t="str">
        <f>_xlfn.XLOOKUP(A325,'Model Modeshare by TAZ'!A:A,'Model Modeshare by TAZ'!D:D)</f>
        <v>NO</v>
      </c>
      <c r="D325" s="6">
        <v>3</v>
      </c>
      <c r="E325" s="6">
        <v>1825</v>
      </c>
      <c r="F325" s="6">
        <v>6481</v>
      </c>
      <c r="G325" s="6">
        <v>6490</v>
      </c>
      <c r="H325" s="6">
        <v>3591</v>
      </c>
      <c r="I325" s="6">
        <v>977</v>
      </c>
      <c r="J325" s="6">
        <v>848</v>
      </c>
      <c r="K325" s="40">
        <v>197</v>
      </c>
      <c r="L325" s="40">
        <v>28</v>
      </c>
      <c r="M325" s="40">
        <v>258</v>
      </c>
      <c r="N325" s="40">
        <v>21</v>
      </c>
      <c r="O325" s="40">
        <v>56</v>
      </c>
      <c r="P325" s="40">
        <v>57</v>
      </c>
      <c r="Q325" s="40">
        <v>0</v>
      </c>
      <c r="R325" s="40">
        <v>104</v>
      </c>
      <c r="S325" s="40">
        <v>20</v>
      </c>
    </row>
    <row r="326" spans="1:19" x14ac:dyDescent="0.35">
      <c r="A326" s="38">
        <v>323</v>
      </c>
      <c r="B326" s="38" t="str">
        <f>_xlfn.XLOOKUP(A326,'Model Modeshare by TAZ'!A:A,'Model Modeshare by TAZ'!B:B)</f>
        <v>Monte Sereno</v>
      </c>
      <c r="C326" s="38" t="str">
        <f>_xlfn.XLOOKUP(A326,'Model Modeshare by TAZ'!A:A,'Model Modeshare by TAZ'!D:D)</f>
        <v>NO</v>
      </c>
      <c r="D326" s="6">
        <v>3</v>
      </c>
      <c r="E326" s="6">
        <v>699</v>
      </c>
      <c r="F326" s="6">
        <v>1953</v>
      </c>
      <c r="G326" s="6">
        <v>1953</v>
      </c>
      <c r="H326" s="6">
        <v>897</v>
      </c>
      <c r="I326" s="6">
        <v>632</v>
      </c>
      <c r="J326" s="6">
        <v>67</v>
      </c>
      <c r="K326" s="40">
        <v>491</v>
      </c>
      <c r="L326" s="40">
        <v>14</v>
      </c>
      <c r="M326" s="40">
        <v>352</v>
      </c>
      <c r="N326" s="40">
        <v>82</v>
      </c>
      <c r="O326" s="40">
        <v>217</v>
      </c>
      <c r="P326" s="40">
        <v>22</v>
      </c>
      <c r="Q326" s="40">
        <v>3</v>
      </c>
      <c r="R326" s="40">
        <v>25</v>
      </c>
      <c r="S326" s="40">
        <v>3</v>
      </c>
    </row>
    <row r="327" spans="1:19" x14ac:dyDescent="0.35">
      <c r="A327" s="38">
        <v>324</v>
      </c>
      <c r="B327" s="38" t="str">
        <f>_xlfn.XLOOKUP(A327,'Model Modeshare by TAZ'!A:A,'Model Modeshare by TAZ'!B:B)</f>
        <v>Monte Sereno</v>
      </c>
      <c r="C327" s="38" t="str">
        <f>_xlfn.XLOOKUP(A327,'Model Modeshare by TAZ'!A:A,'Model Modeshare by TAZ'!D:D)</f>
        <v>NO</v>
      </c>
      <c r="D327" s="6">
        <v>3</v>
      </c>
      <c r="E327" s="6">
        <v>280</v>
      </c>
      <c r="F327" s="6">
        <v>781</v>
      </c>
      <c r="G327" s="6">
        <v>781</v>
      </c>
      <c r="H327" s="6">
        <v>359</v>
      </c>
      <c r="I327" s="6">
        <v>254</v>
      </c>
      <c r="J327" s="6">
        <v>26</v>
      </c>
      <c r="K327" s="40">
        <v>255</v>
      </c>
      <c r="L327" s="40">
        <v>2</v>
      </c>
      <c r="M327" s="40">
        <v>207</v>
      </c>
      <c r="N327" s="40">
        <v>83</v>
      </c>
      <c r="O327" s="40">
        <v>54</v>
      </c>
      <c r="P327" s="40">
        <v>43</v>
      </c>
      <c r="Q327" s="40">
        <v>3</v>
      </c>
      <c r="R327" s="40">
        <v>17</v>
      </c>
      <c r="S327" s="40">
        <v>7</v>
      </c>
    </row>
    <row r="328" spans="1:19" x14ac:dyDescent="0.35">
      <c r="A328" s="38">
        <v>325</v>
      </c>
      <c r="B328" s="38" t="str">
        <f>_xlfn.XLOOKUP(A328,'Model Modeshare by TAZ'!A:A,'Model Modeshare by TAZ'!B:B)</f>
        <v>Morgan Hill</v>
      </c>
      <c r="C328" s="38" t="str">
        <f>_xlfn.XLOOKUP(A328,'Model Modeshare by TAZ'!A:A,'Model Modeshare by TAZ'!D:D)</f>
        <v>NO</v>
      </c>
      <c r="D328" s="6">
        <v>3</v>
      </c>
      <c r="E328" s="6">
        <v>6</v>
      </c>
      <c r="F328" s="6">
        <v>20</v>
      </c>
      <c r="G328" s="6">
        <v>21</v>
      </c>
      <c r="H328" s="6">
        <v>9</v>
      </c>
      <c r="I328" s="6">
        <v>3</v>
      </c>
      <c r="J328" s="6">
        <v>3</v>
      </c>
      <c r="K328" s="40">
        <v>6</v>
      </c>
      <c r="L328" s="40">
        <v>5</v>
      </c>
      <c r="M328" s="40">
        <v>149</v>
      </c>
      <c r="N328" s="40">
        <v>0</v>
      </c>
      <c r="O328" s="40">
        <v>144</v>
      </c>
      <c r="P328" s="40">
        <v>4</v>
      </c>
      <c r="Q328" s="40">
        <v>1</v>
      </c>
      <c r="R328" s="40">
        <v>0</v>
      </c>
      <c r="S328" s="40">
        <v>0</v>
      </c>
    </row>
    <row r="329" spans="1:19" x14ac:dyDescent="0.35">
      <c r="A329" s="38">
        <v>326</v>
      </c>
      <c r="B329" s="38" t="str">
        <f>_xlfn.XLOOKUP(A329,'Model Modeshare by TAZ'!A:A,'Model Modeshare by TAZ'!B:B)</f>
        <v>Morgan Hill</v>
      </c>
      <c r="C329" s="38" t="str">
        <f>_xlfn.XLOOKUP(A329,'Model Modeshare by TAZ'!A:A,'Model Modeshare by TAZ'!D:D)</f>
        <v>NO</v>
      </c>
      <c r="D329" s="6">
        <v>3</v>
      </c>
      <c r="E329" s="6">
        <v>0</v>
      </c>
      <c r="F329" s="6">
        <v>0</v>
      </c>
      <c r="G329" s="6">
        <v>0</v>
      </c>
      <c r="H329" s="6">
        <v>0</v>
      </c>
      <c r="I329" s="6">
        <v>0</v>
      </c>
      <c r="J329" s="6">
        <v>0</v>
      </c>
      <c r="K329" s="40">
        <v>0</v>
      </c>
      <c r="L329" s="40">
        <v>24</v>
      </c>
      <c r="M329" s="40">
        <v>323</v>
      </c>
      <c r="N329" s="40">
        <v>68</v>
      </c>
      <c r="O329" s="40">
        <v>175</v>
      </c>
      <c r="P329" s="40">
        <v>34</v>
      </c>
      <c r="Q329" s="40">
        <v>16</v>
      </c>
      <c r="R329" s="40">
        <v>28</v>
      </c>
      <c r="S329" s="40">
        <v>2</v>
      </c>
    </row>
    <row r="330" spans="1:19" x14ac:dyDescent="0.35">
      <c r="A330" s="38">
        <v>327</v>
      </c>
      <c r="B330" s="38" t="str">
        <f>_xlfn.XLOOKUP(A330,'Model Modeshare by TAZ'!A:A,'Model Modeshare by TAZ'!B:B)</f>
        <v>Morgan Hill</v>
      </c>
      <c r="C330" s="38" t="str">
        <f>_xlfn.XLOOKUP(A330,'Model Modeshare by TAZ'!A:A,'Model Modeshare by TAZ'!D:D)</f>
        <v>NO</v>
      </c>
      <c r="D330" s="6">
        <v>3</v>
      </c>
      <c r="E330" s="6">
        <v>255</v>
      </c>
      <c r="F330" s="6">
        <v>778</v>
      </c>
      <c r="G330" s="6">
        <v>797</v>
      </c>
      <c r="H330" s="6">
        <v>355</v>
      </c>
      <c r="I330" s="6">
        <v>177</v>
      </c>
      <c r="J330" s="6">
        <v>78</v>
      </c>
      <c r="K330" s="40">
        <v>77</v>
      </c>
      <c r="L330" s="40">
        <v>2</v>
      </c>
      <c r="M330" s="40">
        <v>81</v>
      </c>
      <c r="N330" s="40">
        <v>0</v>
      </c>
      <c r="O330" s="40">
        <v>45</v>
      </c>
      <c r="P330" s="40">
        <v>35</v>
      </c>
      <c r="Q330" s="40">
        <v>0</v>
      </c>
      <c r="R330" s="40">
        <v>1</v>
      </c>
      <c r="S330" s="40">
        <v>0</v>
      </c>
    </row>
    <row r="331" spans="1:19" x14ac:dyDescent="0.35">
      <c r="A331" s="38">
        <v>328</v>
      </c>
      <c r="B331" s="38" t="str">
        <f>_xlfn.XLOOKUP(A331,'Model Modeshare by TAZ'!A:A,'Model Modeshare by TAZ'!B:B)</f>
        <v>Morgan Hill</v>
      </c>
      <c r="C331" s="38" t="str">
        <f>_xlfn.XLOOKUP(A331,'Model Modeshare by TAZ'!A:A,'Model Modeshare by TAZ'!D:D)</f>
        <v>NO</v>
      </c>
      <c r="D331" s="6">
        <v>3</v>
      </c>
      <c r="E331" s="6">
        <v>45</v>
      </c>
      <c r="F331" s="6">
        <v>142</v>
      </c>
      <c r="G331" s="6">
        <v>175</v>
      </c>
      <c r="H331" s="6">
        <v>63</v>
      </c>
      <c r="I331" s="6">
        <v>25</v>
      </c>
      <c r="J331" s="6">
        <v>20</v>
      </c>
      <c r="K331" s="40">
        <v>17</v>
      </c>
      <c r="L331" s="40">
        <v>3</v>
      </c>
      <c r="M331" s="40">
        <v>37</v>
      </c>
      <c r="N331" s="40">
        <v>1</v>
      </c>
      <c r="O331" s="40">
        <v>25</v>
      </c>
      <c r="P331" s="40">
        <v>8</v>
      </c>
      <c r="Q331" s="40">
        <v>1</v>
      </c>
      <c r="R331" s="40">
        <v>2</v>
      </c>
      <c r="S331" s="40">
        <v>0</v>
      </c>
    </row>
    <row r="332" spans="1:19" x14ac:dyDescent="0.35">
      <c r="A332" s="38">
        <v>329</v>
      </c>
      <c r="B332" s="38" t="str">
        <f>_xlfn.XLOOKUP(A332,'Model Modeshare by TAZ'!A:A,'Model Modeshare by TAZ'!B:B)</f>
        <v>Unincorporated</v>
      </c>
      <c r="C332" s="38" t="str">
        <f>_xlfn.XLOOKUP(A332,'Model Modeshare by TAZ'!A:A,'Model Modeshare by TAZ'!D:D)</f>
        <v>NO</v>
      </c>
      <c r="D332" s="6">
        <v>3</v>
      </c>
      <c r="E332" s="6">
        <v>100</v>
      </c>
      <c r="F332" s="6">
        <v>310</v>
      </c>
      <c r="G332" s="6">
        <v>310</v>
      </c>
      <c r="H332" s="6">
        <v>176</v>
      </c>
      <c r="I332" s="6">
        <v>92</v>
      </c>
      <c r="J332" s="6">
        <v>8</v>
      </c>
      <c r="K332" s="40">
        <v>160</v>
      </c>
      <c r="L332" s="40">
        <v>1</v>
      </c>
      <c r="M332" s="40">
        <v>51</v>
      </c>
      <c r="N332" s="40">
        <v>2</v>
      </c>
      <c r="O332" s="40">
        <v>0</v>
      </c>
      <c r="P332" s="40">
        <v>29</v>
      </c>
      <c r="Q332" s="40">
        <v>10</v>
      </c>
      <c r="R332" s="40">
        <v>10</v>
      </c>
      <c r="S332" s="40">
        <v>0</v>
      </c>
    </row>
    <row r="333" spans="1:19" x14ac:dyDescent="0.35">
      <c r="A333" s="38">
        <v>330</v>
      </c>
      <c r="B333" s="38" t="str">
        <f>_xlfn.XLOOKUP(A333,'Model Modeshare by TAZ'!A:A,'Model Modeshare by TAZ'!B:B)</f>
        <v>Morgan Hill</v>
      </c>
      <c r="C333" s="38" t="str">
        <f>_xlfn.XLOOKUP(A333,'Model Modeshare by TAZ'!A:A,'Model Modeshare by TAZ'!D:D)</f>
        <v>NO</v>
      </c>
      <c r="D333" s="6">
        <v>3</v>
      </c>
      <c r="E333" s="6">
        <v>199</v>
      </c>
      <c r="F333" s="6">
        <v>637</v>
      </c>
      <c r="G333" s="6">
        <v>649</v>
      </c>
      <c r="H333" s="6">
        <v>308</v>
      </c>
      <c r="I333" s="6">
        <v>119</v>
      </c>
      <c r="J333" s="6">
        <v>80</v>
      </c>
      <c r="K333" s="40">
        <v>41</v>
      </c>
      <c r="L333" s="40">
        <v>5</v>
      </c>
      <c r="M333" s="40">
        <v>160</v>
      </c>
      <c r="N333" s="40">
        <v>11</v>
      </c>
      <c r="O333" s="40">
        <v>90</v>
      </c>
      <c r="P333" s="40">
        <v>56</v>
      </c>
      <c r="Q333" s="40">
        <v>1</v>
      </c>
      <c r="R333" s="40">
        <v>2</v>
      </c>
      <c r="S333" s="40">
        <v>0</v>
      </c>
    </row>
    <row r="334" spans="1:19" x14ac:dyDescent="0.35">
      <c r="A334" s="38">
        <v>331</v>
      </c>
      <c r="B334" s="38" t="str">
        <f>_xlfn.XLOOKUP(A334,'Model Modeshare by TAZ'!A:A,'Model Modeshare by TAZ'!B:B)</f>
        <v>Unincorporated</v>
      </c>
      <c r="C334" s="38" t="str">
        <f>_xlfn.XLOOKUP(A334,'Model Modeshare by TAZ'!A:A,'Model Modeshare by TAZ'!D:D)</f>
        <v>NO</v>
      </c>
      <c r="D334" s="6">
        <v>3</v>
      </c>
      <c r="E334" s="6">
        <v>98</v>
      </c>
      <c r="F334" s="6">
        <v>334</v>
      </c>
      <c r="G334" s="6">
        <v>334</v>
      </c>
      <c r="H334" s="6">
        <v>160</v>
      </c>
      <c r="I334" s="6">
        <v>91</v>
      </c>
      <c r="J334" s="6">
        <v>7</v>
      </c>
      <c r="K334" s="40">
        <v>239</v>
      </c>
      <c r="L334" s="40">
        <v>3</v>
      </c>
      <c r="M334" s="40">
        <v>79</v>
      </c>
      <c r="N334" s="40">
        <v>7</v>
      </c>
      <c r="O334" s="40">
        <v>62</v>
      </c>
      <c r="P334" s="40">
        <v>0</v>
      </c>
      <c r="Q334" s="40">
        <v>8</v>
      </c>
      <c r="R334" s="40">
        <v>2</v>
      </c>
      <c r="S334" s="40">
        <v>0</v>
      </c>
    </row>
    <row r="335" spans="1:19" x14ac:dyDescent="0.35">
      <c r="A335" s="38">
        <v>332</v>
      </c>
      <c r="B335" s="38" t="str">
        <f>_xlfn.XLOOKUP(A335,'Model Modeshare by TAZ'!A:A,'Model Modeshare by TAZ'!B:B)</f>
        <v>Morgan Hill</v>
      </c>
      <c r="C335" s="38" t="str">
        <f>_xlfn.XLOOKUP(A335,'Model Modeshare by TAZ'!A:A,'Model Modeshare by TAZ'!D:D)</f>
        <v>NO</v>
      </c>
      <c r="D335" s="6">
        <v>3</v>
      </c>
      <c r="E335" s="6">
        <v>463</v>
      </c>
      <c r="F335" s="6">
        <v>1416</v>
      </c>
      <c r="G335" s="6">
        <v>1423</v>
      </c>
      <c r="H335" s="6">
        <v>645</v>
      </c>
      <c r="I335" s="6">
        <v>321</v>
      </c>
      <c r="J335" s="6">
        <v>142</v>
      </c>
      <c r="K335" s="40">
        <v>175</v>
      </c>
      <c r="L335" s="40">
        <v>105</v>
      </c>
      <c r="M335" s="40">
        <v>2172</v>
      </c>
      <c r="N335" s="40">
        <v>280</v>
      </c>
      <c r="O335" s="40">
        <v>968</v>
      </c>
      <c r="P335" s="40">
        <v>235</v>
      </c>
      <c r="Q335" s="40">
        <v>6</v>
      </c>
      <c r="R335" s="40">
        <v>576</v>
      </c>
      <c r="S335" s="40">
        <v>107</v>
      </c>
    </row>
    <row r="336" spans="1:19" x14ac:dyDescent="0.35">
      <c r="A336" s="38">
        <v>333</v>
      </c>
      <c r="B336" s="38" t="str">
        <f>_xlfn.XLOOKUP(A336,'Model Modeshare by TAZ'!A:A,'Model Modeshare by TAZ'!B:B)</f>
        <v>Morgan Hill</v>
      </c>
      <c r="C336" s="38" t="str">
        <f>_xlfn.XLOOKUP(A336,'Model Modeshare by TAZ'!A:A,'Model Modeshare by TAZ'!D:D)</f>
        <v>NO</v>
      </c>
      <c r="D336" s="6">
        <v>3</v>
      </c>
      <c r="E336" s="6">
        <v>591</v>
      </c>
      <c r="F336" s="6">
        <v>1879</v>
      </c>
      <c r="G336" s="6">
        <v>1916</v>
      </c>
      <c r="H336" s="6">
        <v>1044</v>
      </c>
      <c r="I336" s="6">
        <v>580</v>
      </c>
      <c r="J336" s="6">
        <v>11</v>
      </c>
      <c r="K336" s="40">
        <v>275</v>
      </c>
      <c r="L336" s="40">
        <v>40</v>
      </c>
      <c r="M336" s="40">
        <v>799</v>
      </c>
      <c r="N336" s="40">
        <v>5</v>
      </c>
      <c r="O336" s="40">
        <v>458</v>
      </c>
      <c r="P336" s="40">
        <v>162</v>
      </c>
      <c r="Q336" s="40">
        <v>51</v>
      </c>
      <c r="R336" s="40">
        <v>94</v>
      </c>
      <c r="S336" s="40">
        <v>29</v>
      </c>
    </row>
    <row r="337" spans="1:19" x14ac:dyDescent="0.35">
      <c r="A337" s="38">
        <v>334</v>
      </c>
      <c r="B337" s="38" t="str">
        <f>_xlfn.XLOOKUP(A337,'Model Modeshare by TAZ'!A:A,'Model Modeshare by TAZ'!B:B)</f>
        <v>Morgan Hill</v>
      </c>
      <c r="C337" s="38" t="str">
        <f>_xlfn.XLOOKUP(A337,'Model Modeshare by TAZ'!A:A,'Model Modeshare by TAZ'!D:D)</f>
        <v>NO</v>
      </c>
      <c r="D337" s="6">
        <v>3</v>
      </c>
      <c r="E337" s="6">
        <v>373</v>
      </c>
      <c r="F337" s="6">
        <v>1188</v>
      </c>
      <c r="G337" s="6">
        <v>1189</v>
      </c>
      <c r="H337" s="6">
        <v>660</v>
      </c>
      <c r="I337" s="6">
        <v>365</v>
      </c>
      <c r="J337" s="6">
        <v>8</v>
      </c>
      <c r="K337" s="40">
        <v>138</v>
      </c>
      <c r="L337" s="40">
        <v>28</v>
      </c>
      <c r="M337" s="40">
        <v>96</v>
      </c>
      <c r="N337" s="40">
        <v>84</v>
      </c>
      <c r="O337" s="40">
        <v>8</v>
      </c>
      <c r="P337" s="40">
        <v>0</v>
      </c>
      <c r="Q337" s="40">
        <v>2</v>
      </c>
      <c r="R337" s="40">
        <v>0</v>
      </c>
      <c r="S337" s="40">
        <v>2</v>
      </c>
    </row>
    <row r="338" spans="1:19" x14ac:dyDescent="0.35">
      <c r="A338" s="38">
        <v>335</v>
      </c>
      <c r="B338" s="38" t="str">
        <f>_xlfn.XLOOKUP(A338,'Model Modeshare by TAZ'!A:A,'Model Modeshare by TAZ'!B:B)</f>
        <v>Morgan Hill</v>
      </c>
      <c r="C338" s="38" t="str">
        <f>_xlfn.XLOOKUP(A338,'Model Modeshare by TAZ'!A:A,'Model Modeshare by TAZ'!D:D)</f>
        <v>NO</v>
      </c>
      <c r="D338" s="6">
        <v>3</v>
      </c>
      <c r="E338" s="6">
        <v>449</v>
      </c>
      <c r="F338" s="6">
        <v>1391</v>
      </c>
      <c r="G338" s="6">
        <v>1393</v>
      </c>
      <c r="H338" s="6">
        <v>793</v>
      </c>
      <c r="I338" s="6">
        <v>413</v>
      </c>
      <c r="J338" s="6">
        <v>36</v>
      </c>
      <c r="K338" s="40">
        <v>93</v>
      </c>
      <c r="L338" s="40">
        <v>11</v>
      </c>
      <c r="M338" s="40">
        <v>520</v>
      </c>
      <c r="N338" s="40">
        <v>78</v>
      </c>
      <c r="O338" s="40">
        <v>404</v>
      </c>
      <c r="P338" s="40">
        <v>28</v>
      </c>
      <c r="Q338" s="40">
        <v>2</v>
      </c>
      <c r="R338" s="40">
        <v>6</v>
      </c>
      <c r="S338" s="40">
        <v>2</v>
      </c>
    </row>
    <row r="339" spans="1:19" x14ac:dyDescent="0.35">
      <c r="A339" s="38">
        <v>336</v>
      </c>
      <c r="B339" s="38" t="str">
        <f>_xlfn.XLOOKUP(A339,'Model Modeshare by TAZ'!A:A,'Model Modeshare by TAZ'!B:B)</f>
        <v>Morgan Hill</v>
      </c>
      <c r="C339" s="38" t="str">
        <f>_xlfn.XLOOKUP(A339,'Model Modeshare by TAZ'!A:A,'Model Modeshare by TAZ'!D:D)</f>
        <v>NO</v>
      </c>
      <c r="D339" s="6">
        <v>3</v>
      </c>
      <c r="E339" s="6">
        <v>443</v>
      </c>
      <c r="F339" s="6">
        <v>1356</v>
      </c>
      <c r="G339" s="6">
        <v>1359</v>
      </c>
      <c r="H339" s="6">
        <v>618</v>
      </c>
      <c r="I339" s="6">
        <v>306</v>
      </c>
      <c r="J339" s="6">
        <v>137</v>
      </c>
      <c r="K339" s="40">
        <v>48</v>
      </c>
      <c r="L339" s="40">
        <v>164</v>
      </c>
      <c r="M339" s="40">
        <v>3251</v>
      </c>
      <c r="N339" s="40">
        <v>688</v>
      </c>
      <c r="O339" s="40">
        <v>1197</v>
      </c>
      <c r="P339" s="40">
        <v>255</v>
      </c>
      <c r="Q339" s="40">
        <v>14</v>
      </c>
      <c r="R339" s="40">
        <v>929</v>
      </c>
      <c r="S339" s="40">
        <v>168</v>
      </c>
    </row>
    <row r="340" spans="1:19" x14ac:dyDescent="0.35">
      <c r="A340" s="38">
        <v>337</v>
      </c>
      <c r="B340" s="38" t="str">
        <f>_xlfn.XLOOKUP(A340,'Model Modeshare by TAZ'!A:A,'Model Modeshare by TAZ'!B:B)</f>
        <v>Morgan Hill</v>
      </c>
      <c r="C340" s="38" t="str">
        <f>_xlfn.XLOOKUP(A340,'Model Modeshare by TAZ'!A:A,'Model Modeshare by TAZ'!D:D)</f>
        <v>NO</v>
      </c>
      <c r="D340" s="6">
        <v>3</v>
      </c>
      <c r="E340" s="6">
        <v>1389</v>
      </c>
      <c r="F340" s="6">
        <v>3973</v>
      </c>
      <c r="G340" s="6">
        <v>3979</v>
      </c>
      <c r="H340" s="6">
        <v>1968</v>
      </c>
      <c r="I340" s="6">
        <v>1045</v>
      </c>
      <c r="J340" s="6">
        <v>344</v>
      </c>
      <c r="K340" s="40">
        <v>360</v>
      </c>
      <c r="L340" s="40">
        <v>25</v>
      </c>
      <c r="M340" s="40">
        <v>725</v>
      </c>
      <c r="N340" s="40">
        <v>59</v>
      </c>
      <c r="O340" s="40">
        <v>460</v>
      </c>
      <c r="P340" s="40">
        <v>133</v>
      </c>
      <c r="Q340" s="40">
        <v>29</v>
      </c>
      <c r="R340" s="40">
        <v>39</v>
      </c>
      <c r="S340" s="40">
        <v>5</v>
      </c>
    </row>
    <row r="341" spans="1:19" x14ac:dyDescent="0.35">
      <c r="A341" s="38">
        <v>338</v>
      </c>
      <c r="B341" s="38" t="str">
        <f>_xlfn.XLOOKUP(A341,'Model Modeshare by TAZ'!A:A,'Model Modeshare by TAZ'!B:B)</f>
        <v>Morgan Hill</v>
      </c>
      <c r="C341" s="38" t="str">
        <f>_xlfn.XLOOKUP(A341,'Model Modeshare by TAZ'!A:A,'Model Modeshare by TAZ'!D:D)</f>
        <v>NO</v>
      </c>
      <c r="D341" s="6">
        <v>3</v>
      </c>
      <c r="E341" s="6">
        <v>942</v>
      </c>
      <c r="F341" s="6">
        <v>2997</v>
      </c>
      <c r="G341" s="6">
        <v>2998</v>
      </c>
      <c r="H341" s="6">
        <v>1665</v>
      </c>
      <c r="I341" s="6">
        <v>924</v>
      </c>
      <c r="J341" s="6">
        <v>18</v>
      </c>
      <c r="K341" s="40">
        <v>239</v>
      </c>
      <c r="L341" s="40">
        <v>20</v>
      </c>
      <c r="M341" s="40">
        <v>358</v>
      </c>
      <c r="N341" s="40">
        <v>9</v>
      </c>
      <c r="O341" s="40">
        <v>203</v>
      </c>
      <c r="P341" s="40">
        <v>70</v>
      </c>
      <c r="Q341" s="40">
        <v>46</v>
      </c>
      <c r="R341" s="40">
        <v>21</v>
      </c>
      <c r="S341" s="40">
        <v>9</v>
      </c>
    </row>
    <row r="342" spans="1:19" x14ac:dyDescent="0.35">
      <c r="A342" s="38">
        <v>339</v>
      </c>
      <c r="B342" s="38" t="str">
        <f>_xlfn.XLOOKUP(A342,'Model Modeshare by TAZ'!A:A,'Model Modeshare by TAZ'!B:B)</f>
        <v>Morgan Hill</v>
      </c>
      <c r="C342" s="38" t="str">
        <f>_xlfn.XLOOKUP(A342,'Model Modeshare by TAZ'!A:A,'Model Modeshare by TAZ'!D:D)</f>
        <v>NO</v>
      </c>
      <c r="D342" s="6">
        <v>3</v>
      </c>
      <c r="E342" s="6">
        <v>130</v>
      </c>
      <c r="F342" s="6">
        <v>416</v>
      </c>
      <c r="G342" s="6">
        <v>416</v>
      </c>
      <c r="H342" s="6">
        <v>244</v>
      </c>
      <c r="I342" s="6">
        <v>3</v>
      </c>
      <c r="J342" s="6">
        <v>127</v>
      </c>
      <c r="K342" s="40">
        <v>2</v>
      </c>
      <c r="L342" s="40">
        <v>4</v>
      </c>
      <c r="M342" s="40">
        <v>8</v>
      </c>
      <c r="N342" s="40">
        <v>1</v>
      </c>
      <c r="O342" s="40">
        <v>6</v>
      </c>
      <c r="P342" s="40">
        <v>0</v>
      </c>
      <c r="Q342" s="40">
        <v>0</v>
      </c>
      <c r="R342" s="40">
        <v>1</v>
      </c>
      <c r="S342" s="40">
        <v>0</v>
      </c>
    </row>
    <row r="343" spans="1:19" x14ac:dyDescent="0.35">
      <c r="A343" s="38">
        <v>340</v>
      </c>
      <c r="B343" s="38" t="str">
        <f>_xlfn.XLOOKUP(A343,'Model Modeshare by TAZ'!A:A,'Model Modeshare by TAZ'!B:B)</f>
        <v>Morgan Hill</v>
      </c>
      <c r="C343" s="38" t="str">
        <f>_xlfn.XLOOKUP(A343,'Model Modeshare by TAZ'!A:A,'Model Modeshare by TAZ'!D:D)</f>
        <v>NO</v>
      </c>
      <c r="D343" s="6">
        <v>3</v>
      </c>
      <c r="E343" s="6">
        <v>77</v>
      </c>
      <c r="F343" s="6">
        <v>244</v>
      </c>
      <c r="G343" s="6">
        <v>249</v>
      </c>
      <c r="H343" s="6">
        <v>119</v>
      </c>
      <c r="I343" s="6">
        <v>46</v>
      </c>
      <c r="J343" s="6">
        <v>31</v>
      </c>
      <c r="K343" s="40">
        <v>10</v>
      </c>
      <c r="L343" s="40">
        <v>16</v>
      </c>
      <c r="M343" s="40">
        <v>515</v>
      </c>
      <c r="N343" s="40">
        <v>28</v>
      </c>
      <c r="O343" s="40">
        <v>301</v>
      </c>
      <c r="P343" s="40">
        <v>106</v>
      </c>
      <c r="Q343" s="40">
        <v>1</v>
      </c>
      <c r="R343" s="40">
        <v>72</v>
      </c>
      <c r="S343" s="40">
        <v>7</v>
      </c>
    </row>
    <row r="344" spans="1:19" x14ac:dyDescent="0.35">
      <c r="A344" s="38">
        <v>341</v>
      </c>
      <c r="B344" s="38" t="str">
        <f>_xlfn.XLOOKUP(A344,'Model Modeshare by TAZ'!A:A,'Model Modeshare by TAZ'!B:B)</f>
        <v>Morgan Hill</v>
      </c>
      <c r="C344" s="38" t="str">
        <f>_xlfn.XLOOKUP(A344,'Model Modeshare by TAZ'!A:A,'Model Modeshare by TAZ'!D:D)</f>
        <v>NO</v>
      </c>
      <c r="D344" s="6">
        <v>3</v>
      </c>
      <c r="E344" s="6">
        <v>120</v>
      </c>
      <c r="F344" s="6">
        <v>381</v>
      </c>
      <c r="G344" s="6">
        <v>392</v>
      </c>
      <c r="H344" s="6">
        <v>185</v>
      </c>
      <c r="I344" s="6">
        <v>70</v>
      </c>
      <c r="J344" s="6">
        <v>50</v>
      </c>
      <c r="K344" s="40">
        <v>15</v>
      </c>
      <c r="L344" s="40">
        <v>10</v>
      </c>
      <c r="M344" s="40">
        <v>441</v>
      </c>
      <c r="N344" s="40">
        <v>55</v>
      </c>
      <c r="O344" s="40">
        <v>310</v>
      </c>
      <c r="P344" s="40">
        <v>50</v>
      </c>
      <c r="Q344" s="40">
        <v>1</v>
      </c>
      <c r="R344" s="40">
        <v>23</v>
      </c>
      <c r="S344" s="40">
        <v>2</v>
      </c>
    </row>
    <row r="345" spans="1:19" x14ac:dyDescent="0.35">
      <c r="A345" s="38">
        <v>342</v>
      </c>
      <c r="B345" s="38" t="str">
        <f>_xlfn.XLOOKUP(A345,'Model Modeshare by TAZ'!A:A,'Model Modeshare by TAZ'!B:B)</f>
        <v>Morgan Hill</v>
      </c>
      <c r="C345" s="38" t="str">
        <f>_xlfn.XLOOKUP(A345,'Model Modeshare by TAZ'!A:A,'Model Modeshare by TAZ'!D:D)</f>
        <v>NO</v>
      </c>
      <c r="D345" s="6">
        <v>3</v>
      </c>
      <c r="E345" s="6">
        <v>266</v>
      </c>
      <c r="F345" s="6">
        <v>849</v>
      </c>
      <c r="G345" s="6">
        <v>902</v>
      </c>
      <c r="H345" s="6">
        <v>411</v>
      </c>
      <c r="I345" s="6">
        <v>160</v>
      </c>
      <c r="J345" s="6">
        <v>106</v>
      </c>
      <c r="K345" s="40">
        <v>42</v>
      </c>
      <c r="L345" s="40">
        <v>8</v>
      </c>
      <c r="M345" s="40">
        <v>441</v>
      </c>
      <c r="N345" s="40">
        <v>25</v>
      </c>
      <c r="O345" s="40">
        <v>247</v>
      </c>
      <c r="P345" s="40">
        <v>36</v>
      </c>
      <c r="Q345" s="40">
        <v>120</v>
      </c>
      <c r="R345" s="40">
        <v>12</v>
      </c>
      <c r="S345" s="40">
        <v>1</v>
      </c>
    </row>
    <row r="346" spans="1:19" x14ac:dyDescent="0.35">
      <c r="A346" s="38">
        <v>343</v>
      </c>
      <c r="B346" s="38" t="str">
        <f>_xlfn.XLOOKUP(A346,'Model Modeshare by TAZ'!A:A,'Model Modeshare by TAZ'!B:B)</f>
        <v>Morgan Hill</v>
      </c>
      <c r="C346" s="38" t="str">
        <f>_xlfn.XLOOKUP(A346,'Model Modeshare by TAZ'!A:A,'Model Modeshare by TAZ'!D:D)</f>
        <v>NO</v>
      </c>
      <c r="D346" s="6">
        <v>3</v>
      </c>
      <c r="E346" s="6">
        <v>370</v>
      </c>
      <c r="F346" s="6">
        <v>1184</v>
      </c>
      <c r="G346" s="6">
        <v>1206</v>
      </c>
      <c r="H346" s="6">
        <v>573</v>
      </c>
      <c r="I346" s="6">
        <v>224</v>
      </c>
      <c r="J346" s="6">
        <v>146</v>
      </c>
      <c r="K346" s="40">
        <v>79</v>
      </c>
      <c r="L346" s="40">
        <v>6</v>
      </c>
      <c r="M346" s="40">
        <v>35</v>
      </c>
      <c r="N346" s="40">
        <v>3</v>
      </c>
      <c r="O346" s="40">
        <v>18</v>
      </c>
      <c r="P346" s="40">
        <v>4</v>
      </c>
      <c r="Q346" s="40">
        <v>1</v>
      </c>
      <c r="R346" s="40">
        <v>8</v>
      </c>
      <c r="S346" s="40">
        <v>1</v>
      </c>
    </row>
    <row r="347" spans="1:19" x14ac:dyDescent="0.35">
      <c r="A347" s="38">
        <v>344</v>
      </c>
      <c r="B347" s="38" t="str">
        <f>_xlfn.XLOOKUP(A347,'Model Modeshare by TAZ'!A:A,'Model Modeshare by TAZ'!B:B)</f>
        <v>Morgan Hill</v>
      </c>
      <c r="C347" s="38" t="str">
        <f>_xlfn.XLOOKUP(A347,'Model Modeshare by TAZ'!A:A,'Model Modeshare by TAZ'!D:D)</f>
        <v>NO</v>
      </c>
      <c r="D347" s="6">
        <v>3</v>
      </c>
      <c r="E347" s="6">
        <v>803</v>
      </c>
      <c r="F347" s="6">
        <v>2566</v>
      </c>
      <c r="G347" s="6">
        <v>2612</v>
      </c>
      <c r="H347" s="6">
        <v>1240</v>
      </c>
      <c r="I347" s="6">
        <v>485</v>
      </c>
      <c r="J347" s="6">
        <v>318</v>
      </c>
      <c r="K347" s="40">
        <v>397</v>
      </c>
      <c r="L347" s="40">
        <v>11</v>
      </c>
      <c r="M347" s="40">
        <v>594</v>
      </c>
      <c r="N347" s="40">
        <v>56</v>
      </c>
      <c r="O347" s="40">
        <v>107</v>
      </c>
      <c r="P347" s="40">
        <v>423</v>
      </c>
      <c r="Q347" s="40">
        <v>1</v>
      </c>
      <c r="R347" s="40">
        <v>7</v>
      </c>
      <c r="S347" s="40">
        <v>0</v>
      </c>
    </row>
    <row r="348" spans="1:19" x14ac:dyDescent="0.35">
      <c r="A348" s="38">
        <v>345</v>
      </c>
      <c r="B348" s="38" t="str">
        <f>_xlfn.XLOOKUP(A348,'Model Modeshare by TAZ'!A:A,'Model Modeshare by TAZ'!B:B)</f>
        <v>Morgan Hill</v>
      </c>
      <c r="C348" s="38" t="str">
        <f>_xlfn.XLOOKUP(A348,'Model Modeshare by TAZ'!A:A,'Model Modeshare by TAZ'!D:D)</f>
        <v>NO</v>
      </c>
      <c r="D348" s="6">
        <v>3</v>
      </c>
      <c r="E348" s="6">
        <v>172</v>
      </c>
      <c r="F348" s="6">
        <v>552</v>
      </c>
      <c r="G348" s="6">
        <v>562</v>
      </c>
      <c r="H348" s="6">
        <v>248</v>
      </c>
      <c r="I348" s="6">
        <v>105</v>
      </c>
      <c r="J348" s="6">
        <v>67</v>
      </c>
      <c r="K348" s="40">
        <v>34</v>
      </c>
      <c r="L348" s="40">
        <v>23</v>
      </c>
      <c r="M348" s="40">
        <v>327</v>
      </c>
      <c r="N348" s="40">
        <v>51</v>
      </c>
      <c r="O348" s="40">
        <v>230</v>
      </c>
      <c r="P348" s="40">
        <v>14</v>
      </c>
      <c r="Q348" s="40">
        <v>1</v>
      </c>
      <c r="R348" s="40">
        <v>30</v>
      </c>
      <c r="S348" s="40">
        <v>1</v>
      </c>
    </row>
    <row r="349" spans="1:19" x14ac:dyDescent="0.35">
      <c r="A349" s="38">
        <v>346</v>
      </c>
      <c r="B349" s="38" t="str">
        <f>_xlfn.XLOOKUP(A349,'Model Modeshare by TAZ'!A:A,'Model Modeshare by TAZ'!B:B)</f>
        <v>Unincorporated</v>
      </c>
      <c r="C349" s="38" t="str">
        <f>_xlfn.XLOOKUP(A349,'Model Modeshare by TAZ'!A:A,'Model Modeshare by TAZ'!D:D)</f>
        <v>NO</v>
      </c>
      <c r="D349" s="6">
        <v>3</v>
      </c>
      <c r="E349" s="6">
        <v>876</v>
      </c>
      <c r="F349" s="6">
        <v>2800</v>
      </c>
      <c r="G349" s="6">
        <v>2851</v>
      </c>
      <c r="H349" s="6">
        <v>1261</v>
      </c>
      <c r="I349" s="6">
        <v>528</v>
      </c>
      <c r="J349" s="6">
        <v>348</v>
      </c>
      <c r="K349" s="40">
        <v>276</v>
      </c>
      <c r="L349" s="40">
        <v>51</v>
      </c>
      <c r="M349" s="40">
        <v>362</v>
      </c>
      <c r="N349" s="40">
        <v>104</v>
      </c>
      <c r="O349" s="40">
        <v>216</v>
      </c>
      <c r="P349" s="40">
        <v>17</v>
      </c>
      <c r="Q349" s="40">
        <v>1</v>
      </c>
      <c r="R349" s="40">
        <v>22</v>
      </c>
      <c r="S349" s="40">
        <v>2</v>
      </c>
    </row>
    <row r="350" spans="1:19" x14ac:dyDescent="0.35">
      <c r="A350" s="38">
        <v>347</v>
      </c>
      <c r="B350" s="38" t="str">
        <f>_xlfn.XLOOKUP(A350,'Model Modeshare by TAZ'!A:A,'Model Modeshare by TAZ'!B:B)</f>
        <v>Unincorporated</v>
      </c>
      <c r="C350" s="38" t="str">
        <f>_xlfn.XLOOKUP(A350,'Model Modeshare by TAZ'!A:A,'Model Modeshare by TAZ'!D:D)</f>
        <v>NO</v>
      </c>
      <c r="D350" s="6">
        <v>3</v>
      </c>
      <c r="E350" s="6">
        <v>271</v>
      </c>
      <c r="F350" s="6">
        <v>822</v>
      </c>
      <c r="G350" s="6">
        <v>822</v>
      </c>
      <c r="H350" s="6">
        <v>448</v>
      </c>
      <c r="I350" s="6">
        <v>254</v>
      </c>
      <c r="J350" s="6">
        <v>17</v>
      </c>
      <c r="K350" s="40">
        <v>221</v>
      </c>
      <c r="L350" s="40">
        <v>9</v>
      </c>
      <c r="M350" s="40">
        <v>448</v>
      </c>
      <c r="N350" s="40">
        <v>60</v>
      </c>
      <c r="O350" s="40">
        <v>205</v>
      </c>
      <c r="P350" s="40">
        <v>69</v>
      </c>
      <c r="Q350" s="40">
        <v>14</v>
      </c>
      <c r="R350" s="40">
        <v>86</v>
      </c>
      <c r="S350" s="40">
        <v>14</v>
      </c>
    </row>
    <row r="351" spans="1:19" x14ac:dyDescent="0.35">
      <c r="A351" s="38">
        <v>348</v>
      </c>
      <c r="B351" s="38" t="str">
        <f>_xlfn.XLOOKUP(A351,'Model Modeshare by TAZ'!A:A,'Model Modeshare by TAZ'!B:B)</f>
        <v>Morgan Hill</v>
      </c>
      <c r="C351" s="38" t="str">
        <f>_xlfn.XLOOKUP(A351,'Model Modeshare by TAZ'!A:A,'Model Modeshare by TAZ'!D:D)</f>
        <v>NO</v>
      </c>
      <c r="D351" s="6">
        <v>3</v>
      </c>
      <c r="E351" s="6">
        <v>968</v>
      </c>
      <c r="F351" s="6">
        <v>2963</v>
      </c>
      <c r="G351" s="6">
        <v>2968</v>
      </c>
      <c r="H351" s="6">
        <v>1257</v>
      </c>
      <c r="I351" s="6">
        <v>670</v>
      </c>
      <c r="J351" s="6">
        <v>298</v>
      </c>
      <c r="K351" s="40">
        <v>136</v>
      </c>
      <c r="L351" s="40">
        <v>70</v>
      </c>
      <c r="M351" s="40">
        <v>1259</v>
      </c>
      <c r="N351" s="40">
        <v>308</v>
      </c>
      <c r="O351" s="40">
        <v>394</v>
      </c>
      <c r="P351" s="40">
        <v>145</v>
      </c>
      <c r="Q351" s="40">
        <v>2</v>
      </c>
      <c r="R351" s="40">
        <v>331</v>
      </c>
      <c r="S351" s="40">
        <v>79</v>
      </c>
    </row>
    <row r="352" spans="1:19" x14ac:dyDescent="0.35">
      <c r="A352" s="38">
        <v>349</v>
      </c>
      <c r="B352" s="38" t="str">
        <f>_xlfn.XLOOKUP(A352,'Model Modeshare by TAZ'!A:A,'Model Modeshare by TAZ'!B:B)</f>
        <v>Morgan Hill</v>
      </c>
      <c r="C352" s="38" t="str">
        <f>_xlfn.XLOOKUP(A352,'Model Modeshare by TAZ'!A:A,'Model Modeshare by TAZ'!D:D)</f>
        <v>NO</v>
      </c>
      <c r="D352" s="6">
        <v>3</v>
      </c>
      <c r="E352" s="6">
        <v>85</v>
      </c>
      <c r="F352" s="6">
        <v>258</v>
      </c>
      <c r="G352" s="6">
        <v>258</v>
      </c>
      <c r="H352" s="6">
        <v>109</v>
      </c>
      <c r="I352" s="6">
        <v>59</v>
      </c>
      <c r="J352" s="6">
        <v>26</v>
      </c>
      <c r="K352" s="40">
        <v>13</v>
      </c>
      <c r="L352" s="40">
        <v>42</v>
      </c>
      <c r="M352" s="40">
        <v>1102</v>
      </c>
      <c r="N352" s="40">
        <v>116</v>
      </c>
      <c r="O352" s="40">
        <v>444</v>
      </c>
      <c r="P352" s="40">
        <v>132</v>
      </c>
      <c r="Q352" s="40">
        <v>10</v>
      </c>
      <c r="R352" s="40">
        <v>341</v>
      </c>
      <c r="S352" s="40">
        <v>59</v>
      </c>
    </row>
    <row r="353" spans="1:19" x14ac:dyDescent="0.35">
      <c r="A353" s="38">
        <v>350</v>
      </c>
      <c r="B353" s="38" t="str">
        <f>_xlfn.XLOOKUP(A353,'Model Modeshare by TAZ'!A:A,'Model Modeshare by TAZ'!B:B)</f>
        <v>Unincorporated</v>
      </c>
      <c r="C353" s="38" t="str">
        <f>_xlfn.XLOOKUP(A353,'Model Modeshare by TAZ'!A:A,'Model Modeshare by TAZ'!D:D)</f>
        <v>NO</v>
      </c>
      <c r="D353" s="6">
        <v>3</v>
      </c>
      <c r="E353" s="6">
        <v>40</v>
      </c>
      <c r="F353" s="6">
        <v>123</v>
      </c>
      <c r="G353" s="6">
        <v>123</v>
      </c>
      <c r="H353" s="6">
        <v>52</v>
      </c>
      <c r="I353" s="6">
        <v>28</v>
      </c>
      <c r="J353" s="6">
        <v>12</v>
      </c>
      <c r="K353" s="40">
        <v>68</v>
      </c>
      <c r="L353" s="40">
        <v>13</v>
      </c>
      <c r="M353" s="40">
        <v>39</v>
      </c>
      <c r="N353" s="40">
        <v>7</v>
      </c>
      <c r="O353" s="40">
        <v>21</v>
      </c>
      <c r="P353" s="40">
        <v>1</v>
      </c>
      <c r="Q353" s="40">
        <v>2</v>
      </c>
      <c r="R353" s="40">
        <v>8</v>
      </c>
      <c r="S353" s="40">
        <v>0</v>
      </c>
    </row>
    <row r="354" spans="1:19" x14ac:dyDescent="0.35">
      <c r="A354" s="38">
        <v>351</v>
      </c>
      <c r="B354" s="38" t="str">
        <f>_xlfn.XLOOKUP(A354,'Model Modeshare by TAZ'!A:A,'Model Modeshare by TAZ'!B:B)</f>
        <v>Morgan Hill</v>
      </c>
      <c r="C354" s="38" t="str">
        <f>_xlfn.XLOOKUP(A354,'Model Modeshare by TAZ'!A:A,'Model Modeshare by TAZ'!D:D)</f>
        <v>NO</v>
      </c>
      <c r="D354" s="6">
        <v>3</v>
      </c>
      <c r="E354" s="6">
        <v>1021</v>
      </c>
      <c r="F354" s="6">
        <v>2922</v>
      </c>
      <c r="G354" s="6">
        <v>2926</v>
      </c>
      <c r="H354" s="6">
        <v>1447</v>
      </c>
      <c r="I354" s="6">
        <v>776</v>
      </c>
      <c r="J354" s="6">
        <v>245</v>
      </c>
      <c r="K354" s="40">
        <v>492</v>
      </c>
      <c r="L354" s="40">
        <v>2</v>
      </c>
      <c r="M354" s="40">
        <v>116</v>
      </c>
      <c r="N354" s="40">
        <v>2</v>
      </c>
      <c r="O354" s="40">
        <v>1</v>
      </c>
      <c r="P354" s="40">
        <v>107</v>
      </c>
      <c r="Q354" s="40">
        <v>5</v>
      </c>
      <c r="R354" s="40">
        <v>1</v>
      </c>
      <c r="S354" s="40">
        <v>0</v>
      </c>
    </row>
    <row r="355" spans="1:19" x14ac:dyDescent="0.35">
      <c r="A355" s="38">
        <v>352</v>
      </c>
      <c r="B355" s="38" t="str">
        <f>_xlfn.XLOOKUP(A355,'Model Modeshare by TAZ'!A:A,'Model Modeshare by TAZ'!B:B)</f>
        <v>Unincorporated</v>
      </c>
      <c r="C355" s="38" t="str">
        <f>_xlfn.XLOOKUP(A355,'Model Modeshare by TAZ'!A:A,'Model Modeshare by TAZ'!D:D)</f>
        <v>NO</v>
      </c>
      <c r="D355" s="6">
        <v>3</v>
      </c>
      <c r="E355" s="6">
        <v>1016</v>
      </c>
      <c r="F355" s="6">
        <v>3234</v>
      </c>
      <c r="G355" s="6">
        <v>3246</v>
      </c>
      <c r="H355" s="6">
        <v>1796</v>
      </c>
      <c r="I355" s="6">
        <v>996</v>
      </c>
      <c r="J355" s="6">
        <v>20</v>
      </c>
      <c r="K355" s="40">
        <v>786</v>
      </c>
      <c r="L355" s="40">
        <v>2</v>
      </c>
      <c r="M355" s="40">
        <v>7</v>
      </c>
      <c r="N355" s="40">
        <v>0</v>
      </c>
      <c r="O355" s="40">
        <v>0</v>
      </c>
      <c r="P355" s="40">
        <v>0</v>
      </c>
      <c r="Q355" s="40">
        <v>5</v>
      </c>
      <c r="R355" s="40">
        <v>0</v>
      </c>
      <c r="S355" s="40">
        <v>2</v>
      </c>
    </row>
    <row r="356" spans="1:19" x14ac:dyDescent="0.35">
      <c r="A356" s="38">
        <v>353</v>
      </c>
      <c r="B356" s="38" t="str">
        <f>_xlfn.XLOOKUP(A356,'Model Modeshare by TAZ'!A:A,'Model Modeshare by TAZ'!B:B)</f>
        <v>Morgan Hill</v>
      </c>
      <c r="C356" s="38" t="str">
        <f>_xlfn.XLOOKUP(A356,'Model Modeshare by TAZ'!A:A,'Model Modeshare by TAZ'!D:D)</f>
        <v>NO</v>
      </c>
      <c r="D356" s="6">
        <v>3</v>
      </c>
      <c r="E356" s="6">
        <v>1198</v>
      </c>
      <c r="F356" s="6">
        <v>3635</v>
      </c>
      <c r="G356" s="6">
        <v>3635</v>
      </c>
      <c r="H356" s="6">
        <v>1978</v>
      </c>
      <c r="I356" s="6">
        <v>1120</v>
      </c>
      <c r="J356" s="6">
        <v>78</v>
      </c>
      <c r="K356" s="40">
        <v>380</v>
      </c>
      <c r="L356" s="40">
        <v>2</v>
      </c>
      <c r="M356" s="40">
        <v>68</v>
      </c>
      <c r="N356" s="40">
        <v>2</v>
      </c>
      <c r="O356" s="40">
        <v>10</v>
      </c>
      <c r="P356" s="40">
        <v>47</v>
      </c>
      <c r="Q356" s="40">
        <v>3</v>
      </c>
      <c r="R356" s="40">
        <v>1</v>
      </c>
      <c r="S356" s="40">
        <v>5</v>
      </c>
    </row>
    <row r="357" spans="1:19" x14ac:dyDescent="0.35">
      <c r="A357" s="38">
        <v>354</v>
      </c>
      <c r="B357" s="38" t="str">
        <f>_xlfn.XLOOKUP(A357,'Model Modeshare by TAZ'!A:A,'Model Modeshare by TAZ'!B:B)</f>
        <v>Morgan Hill</v>
      </c>
      <c r="C357" s="38" t="str">
        <f>_xlfn.XLOOKUP(A357,'Model Modeshare by TAZ'!A:A,'Model Modeshare by TAZ'!D:D)</f>
        <v>NO</v>
      </c>
      <c r="D357" s="6">
        <v>3</v>
      </c>
      <c r="E357" s="6">
        <v>199</v>
      </c>
      <c r="F357" s="6">
        <v>609</v>
      </c>
      <c r="G357" s="6">
        <v>614</v>
      </c>
      <c r="H357" s="6">
        <v>257</v>
      </c>
      <c r="I357" s="6">
        <v>138</v>
      </c>
      <c r="J357" s="6">
        <v>61</v>
      </c>
      <c r="K357" s="40">
        <v>16</v>
      </c>
      <c r="L357" s="40">
        <v>38</v>
      </c>
      <c r="M357" s="40">
        <v>884</v>
      </c>
      <c r="N357" s="40">
        <v>105</v>
      </c>
      <c r="O357" s="40">
        <v>361</v>
      </c>
      <c r="P357" s="40">
        <v>93</v>
      </c>
      <c r="Q357" s="40">
        <v>11</v>
      </c>
      <c r="R357" s="40">
        <v>268</v>
      </c>
      <c r="S357" s="40">
        <v>46</v>
      </c>
    </row>
    <row r="358" spans="1:19" x14ac:dyDescent="0.35">
      <c r="A358" s="38">
        <v>355</v>
      </c>
      <c r="B358" s="38" t="str">
        <f>_xlfn.XLOOKUP(A358,'Model Modeshare by TAZ'!A:A,'Model Modeshare by TAZ'!B:B)</f>
        <v>Unincorporated</v>
      </c>
      <c r="C358" s="38" t="str">
        <f>_xlfn.XLOOKUP(A358,'Model Modeshare by TAZ'!A:A,'Model Modeshare by TAZ'!D:D)</f>
        <v>NO</v>
      </c>
      <c r="D358" s="6">
        <v>3</v>
      </c>
      <c r="E358" s="6">
        <v>310</v>
      </c>
      <c r="F358" s="6">
        <v>964</v>
      </c>
      <c r="G358" s="6">
        <v>967</v>
      </c>
      <c r="H358" s="6">
        <v>550</v>
      </c>
      <c r="I358" s="6">
        <v>286</v>
      </c>
      <c r="J358" s="6">
        <v>24</v>
      </c>
      <c r="K358" s="40">
        <v>489</v>
      </c>
      <c r="L358" s="40">
        <v>1</v>
      </c>
      <c r="M358" s="40">
        <v>54</v>
      </c>
      <c r="N358" s="40">
        <v>0</v>
      </c>
      <c r="O358" s="40">
        <v>0</v>
      </c>
      <c r="P358" s="40">
        <v>35</v>
      </c>
      <c r="Q358" s="40">
        <v>7</v>
      </c>
      <c r="R358" s="40">
        <v>12</v>
      </c>
      <c r="S358" s="40">
        <v>0</v>
      </c>
    </row>
    <row r="359" spans="1:19" x14ac:dyDescent="0.35">
      <c r="A359" s="38">
        <v>356</v>
      </c>
      <c r="B359" s="38" t="str">
        <f>_xlfn.XLOOKUP(A359,'Model Modeshare by TAZ'!A:A,'Model Modeshare by TAZ'!B:B)</f>
        <v>Unincorporated</v>
      </c>
      <c r="C359" s="38" t="str">
        <f>_xlfn.XLOOKUP(A359,'Model Modeshare by TAZ'!A:A,'Model Modeshare by TAZ'!D:D)</f>
        <v>NO</v>
      </c>
      <c r="D359" s="6">
        <v>3</v>
      </c>
      <c r="E359" s="6">
        <v>197</v>
      </c>
      <c r="F359" s="6">
        <v>610</v>
      </c>
      <c r="G359" s="6">
        <v>611</v>
      </c>
      <c r="H359" s="6">
        <v>348</v>
      </c>
      <c r="I359" s="6">
        <v>182</v>
      </c>
      <c r="J359" s="6">
        <v>15</v>
      </c>
      <c r="K359" s="40">
        <v>268</v>
      </c>
      <c r="L359" s="40">
        <v>1</v>
      </c>
      <c r="M359" s="40">
        <v>44</v>
      </c>
      <c r="N359" s="40">
        <v>0</v>
      </c>
      <c r="O359" s="40">
        <v>0</v>
      </c>
      <c r="P359" s="40">
        <v>28</v>
      </c>
      <c r="Q359" s="40">
        <v>6</v>
      </c>
      <c r="R359" s="40">
        <v>10</v>
      </c>
      <c r="S359" s="40">
        <v>0</v>
      </c>
    </row>
    <row r="360" spans="1:19" x14ac:dyDescent="0.35">
      <c r="A360" s="38">
        <v>357</v>
      </c>
      <c r="B360" s="38" t="str">
        <f>_xlfn.XLOOKUP(A360,'Model Modeshare by TAZ'!A:A,'Model Modeshare by TAZ'!B:B)</f>
        <v>Morgan Hill</v>
      </c>
      <c r="C360" s="38" t="str">
        <f>_xlfn.XLOOKUP(A360,'Model Modeshare by TAZ'!A:A,'Model Modeshare by TAZ'!D:D)</f>
        <v>NO</v>
      </c>
      <c r="D360" s="6">
        <v>3</v>
      </c>
      <c r="E360" s="6">
        <v>453</v>
      </c>
      <c r="F360" s="6">
        <v>1405</v>
      </c>
      <c r="G360" s="6">
        <v>1407</v>
      </c>
      <c r="H360" s="6">
        <v>801</v>
      </c>
      <c r="I360" s="6">
        <v>419</v>
      </c>
      <c r="J360" s="6">
        <v>34</v>
      </c>
      <c r="K360" s="40">
        <v>256</v>
      </c>
      <c r="L360" s="40">
        <v>1</v>
      </c>
      <c r="M360" s="40">
        <v>78</v>
      </c>
      <c r="N360" s="40">
        <v>0</v>
      </c>
      <c r="O360" s="40">
        <v>6</v>
      </c>
      <c r="P360" s="40">
        <v>56</v>
      </c>
      <c r="Q360" s="40">
        <v>6</v>
      </c>
      <c r="R360" s="40">
        <v>10</v>
      </c>
      <c r="S360" s="40">
        <v>0</v>
      </c>
    </row>
    <row r="361" spans="1:19" x14ac:dyDescent="0.35">
      <c r="A361" s="38">
        <v>358</v>
      </c>
      <c r="B361" s="38" t="str">
        <f>_xlfn.XLOOKUP(A361,'Model Modeshare by TAZ'!A:A,'Model Modeshare by TAZ'!B:B)</f>
        <v>Morgan Hill</v>
      </c>
      <c r="C361" s="38" t="str">
        <f>_xlfn.XLOOKUP(A361,'Model Modeshare by TAZ'!A:A,'Model Modeshare by TAZ'!D:D)</f>
        <v>NO</v>
      </c>
      <c r="D361" s="6">
        <v>3</v>
      </c>
      <c r="E361" s="6">
        <v>968</v>
      </c>
      <c r="F361" s="6">
        <v>2963</v>
      </c>
      <c r="G361" s="6">
        <v>2968</v>
      </c>
      <c r="H361" s="6">
        <v>1630</v>
      </c>
      <c r="I361" s="6">
        <v>675</v>
      </c>
      <c r="J361" s="6">
        <v>293</v>
      </c>
      <c r="K361" s="40">
        <v>194</v>
      </c>
      <c r="L361" s="40">
        <v>11</v>
      </c>
      <c r="M361" s="40">
        <v>108</v>
      </c>
      <c r="N361" s="40">
        <v>53</v>
      </c>
      <c r="O361" s="40">
        <v>41</v>
      </c>
      <c r="P361" s="40">
        <v>12</v>
      </c>
      <c r="Q361" s="40">
        <v>2</v>
      </c>
      <c r="R361" s="40">
        <v>0</v>
      </c>
      <c r="S361" s="40">
        <v>0</v>
      </c>
    </row>
    <row r="362" spans="1:19" x14ac:dyDescent="0.35">
      <c r="A362" s="38">
        <v>359</v>
      </c>
      <c r="B362" s="38" t="str">
        <f>_xlfn.XLOOKUP(A362,'Model Modeshare by TAZ'!A:A,'Model Modeshare by TAZ'!B:B)</f>
        <v>Mountain View</v>
      </c>
      <c r="C362" s="38" t="str">
        <f>_xlfn.XLOOKUP(A362,'Model Modeshare by TAZ'!A:A,'Model Modeshare by TAZ'!D:D)</f>
        <v>NO</v>
      </c>
      <c r="D362" s="6">
        <v>3</v>
      </c>
      <c r="E362" s="6">
        <v>26</v>
      </c>
      <c r="F362" s="6">
        <v>60</v>
      </c>
      <c r="G362" s="6">
        <v>60</v>
      </c>
      <c r="H362" s="6">
        <v>39</v>
      </c>
      <c r="I362" s="6">
        <v>6</v>
      </c>
      <c r="J362" s="6">
        <v>20</v>
      </c>
      <c r="K362" s="40">
        <v>8</v>
      </c>
      <c r="L362" s="40">
        <v>43</v>
      </c>
      <c r="M362" s="40">
        <v>1627</v>
      </c>
      <c r="N362" s="40">
        <v>59</v>
      </c>
      <c r="O362" s="40">
        <v>556</v>
      </c>
      <c r="P362" s="40">
        <v>179</v>
      </c>
      <c r="Q362" s="40">
        <v>36</v>
      </c>
      <c r="R362" s="40">
        <v>696</v>
      </c>
      <c r="S362" s="40">
        <v>101</v>
      </c>
    </row>
    <row r="363" spans="1:19" x14ac:dyDescent="0.35">
      <c r="A363" s="38">
        <v>360</v>
      </c>
      <c r="B363" s="38" t="str">
        <f>_xlfn.XLOOKUP(A363,'Model Modeshare by TAZ'!A:A,'Model Modeshare by TAZ'!B:B)</f>
        <v>Mountain View</v>
      </c>
      <c r="C363" s="38" t="str">
        <f>_xlfn.XLOOKUP(A363,'Model Modeshare by TAZ'!A:A,'Model Modeshare by TAZ'!D:D)</f>
        <v>NO</v>
      </c>
      <c r="D363" s="6">
        <v>3</v>
      </c>
      <c r="E363" s="6">
        <v>182</v>
      </c>
      <c r="F363" s="6">
        <v>374</v>
      </c>
      <c r="G363" s="6">
        <v>374</v>
      </c>
      <c r="H363" s="6">
        <v>255</v>
      </c>
      <c r="I363" s="6">
        <v>59</v>
      </c>
      <c r="J363" s="6">
        <v>123</v>
      </c>
      <c r="K363" s="40">
        <v>13</v>
      </c>
      <c r="L363" s="40">
        <v>1</v>
      </c>
      <c r="M363" s="40">
        <v>5</v>
      </c>
      <c r="N363" s="40">
        <v>0</v>
      </c>
      <c r="O363" s="40">
        <v>0</v>
      </c>
      <c r="P363" s="40">
        <v>0</v>
      </c>
      <c r="Q363" s="40">
        <v>5</v>
      </c>
      <c r="R363" s="40">
        <v>0</v>
      </c>
      <c r="S363" s="40">
        <v>0</v>
      </c>
    </row>
    <row r="364" spans="1:19" x14ac:dyDescent="0.35">
      <c r="A364" s="38">
        <v>361</v>
      </c>
      <c r="B364" s="38" t="str">
        <f>_xlfn.XLOOKUP(A364,'Model Modeshare by TAZ'!A:A,'Model Modeshare by TAZ'!B:B)</f>
        <v>Mountain View</v>
      </c>
      <c r="C364" s="38" t="str">
        <f>_xlfn.XLOOKUP(A364,'Model Modeshare by TAZ'!A:A,'Model Modeshare by TAZ'!D:D)</f>
        <v>NO</v>
      </c>
      <c r="D364" s="6">
        <v>3</v>
      </c>
      <c r="E364" s="6">
        <v>0</v>
      </c>
      <c r="F364" s="6">
        <v>0</v>
      </c>
      <c r="G364" s="6">
        <v>0</v>
      </c>
      <c r="H364" s="6">
        <v>0</v>
      </c>
      <c r="I364" s="6">
        <v>0</v>
      </c>
      <c r="J364" s="6">
        <v>0</v>
      </c>
      <c r="K364" s="40">
        <v>0</v>
      </c>
      <c r="L364" s="40">
        <v>133</v>
      </c>
      <c r="M364" s="40">
        <v>6119</v>
      </c>
      <c r="N364" s="40">
        <v>181</v>
      </c>
      <c r="O364" s="40">
        <v>929</v>
      </c>
      <c r="P364" s="40">
        <v>761</v>
      </c>
      <c r="Q364" s="40">
        <v>0</v>
      </c>
      <c r="R364" s="40">
        <v>3767</v>
      </c>
      <c r="S364" s="40">
        <v>481</v>
      </c>
    </row>
    <row r="365" spans="1:19" x14ac:dyDescent="0.35">
      <c r="A365" s="38">
        <v>362</v>
      </c>
      <c r="B365" s="38" t="str">
        <f>_xlfn.XLOOKUP(A365,'Model Modeshare by TAZ'!A:A,'Model Modeshare by TAZ'!B:B)</f>
        <v>Mountain View</v>
      </c>
      <c r="C365" s="38" t="str">
        <f>_xlfn.XLOOKUP(A365,'Model Modeshare by TAZ'!A:A,'Model Modeshare by TAZ'!D:D)</f>
        <v>NO</v>
      </c>
      <c r="D365" s="6">
        <v>3</v>
      </c>
      <c r="E365" s="6">
        <v>1517</v>
      </c>
      <c r="F365" s="6">
        <v>3723</v>
      </c>
      <c r="G365" s="6">
        <v>3726</v>
      </c>
      <c r="H365" s="6">
        <v>2260</v>
      </c>
      <c r="I365" s="6">
        <v>403</v>
      </c>
      <c r="J365" s="6">
        <v>1114</v>
      </c>
      <c r="K365" s="40">
        <v>34</v>
      </c>
      <c r="L365" s="40">
        <v>113</v>
      </c>
      <c r="M365" s="40">
        <v>3870</v>
      </c>
      <c r="N365" s="40">
        <v>757</v>
      </c>
      <c r="O365" s="40">
        <v>1380</v>
      </c>
      <c r="P365" s="40">
        <v>1358</v>
      </c>
      <c r="Q365" s="40">
        <v>4</v>
      </c>
      <c r="R365" s="40">
        <v>344</v>
      </c>
      <c r="S365" s="40">
        <v>27</v>
      </c>
    </row>
    <row r="366" spans="1:19" x14ac:dyDescent="0.35">
      <c r="A366" s="38">
        <v>363</v>
      </c>
      <c r="B366" s="38" t="str">
        <f>_xlfn.XLOOKUP(A366,'Model Modeshare by TAZ'!A:A,'Model Modeshare by TAZ'!B:B)</f>
        <v>Mountain View</v>
      </c>
      <c r="C366" s="38" t="str">
        <f>_xlfn.XLOOKUP(A366,'Model Modeshare by TAZ'!A:A,'Model Modeshare by TAZ'!D:D)</f>
        <v>NO</v>
      </c>
      <c r="D366" s="6">
        <v>3</v>
      </c>
      <c r="E366" s="6">
        <v>849</v>
      </c>
      <c r="F366" s="6">
        <v>1715</v>
      </c>
      <c r="G366" s="6">
        <v>1717</v>
      </c>
      <c r="H366" s="6">
        <v>1137</v>
      </c>
      <c r="I366" s="6">
        <v>262</v>
      </c>
      <c r="J366" s="6">
        <v>587</v>
      </c>
      <c r="K366" s="40">
        <v>38</v>
      </c>
      <c r="L366" s="40">
        <v>31</v>
      </c>
      <c r="M366" s="40">
        <v>903</v>
      </c>
      <c r="N366" s="40">
        <v>139</v>
      </c>
      <c r="O366" s="40">
        <v>507</v>
      </c>
      <c r="P366" s="40">
        <v>207</v>
      </c>
      <c r="Q366" s="40">
        <v>6</v>
      </c>
      <c r="R366" s="40">
        <v>28</v>
      </c>
      <c r="S366" s="40">
        <v>16</v>
      </c>
    </row>
    <row r="367" spans="1:19" x14ac:dyDescent="0.35">
      <c r="A367" s="38">
        <v>364</v>
      </c>
      <c r="B367" s="38" t="str">
        <f>_xlfn.XLOOKUP(A367,'Model Modeshare by TAZ'!A:A,'Model Modeshare by TAZ'!B:B)</f>
        <v>Mountain View</v>
      </c>
      <c r="C367" s="38" t="str">
        <f>_xlfn.XLOOKUP(A367,'Model Modeshare by TAZ'!A:A,'Model Modeshare by TAZ'!D:D)</f>
        <v>NO</v>
      </c>
      <c r="D367" s="6">
        <v>3</v>
      </c>
      <c r="E367" s="6">
        <v>985</v>
      </c>
      <c r="F367" s="6">
        <v>1989</v>
      </c>
      <c r="G367" s="6">
        <v>1989</v>
      </c>
      <c r="H367" s="6">
        <v>1316</v>
      </c>
      <c r="I367" s="6">
        <v>188</v>
      </c>
      <c r="J367" s="6">
        <v>797</v>
      </c>
      <c r="K367" s="40">
        <v>75</v>
      </c>
      <c r="L367" s="40">
        <v>9</v>
      </c>
      <c r="M367" s="40">
        <v>206</v>
      </c>
      <c r="N367" s="40">
        <v>22</v>
      </c>
      <c r="O367" s="40">
        <v>147</v>
      </c>
      <c r="P367" s="40">
        <v>24</v>
      </c>
      <c r="Q367" s="40">
        <v>4</v>
      </c>
      <c r="R367" s="40">
        <v>8</v>
      </c>
      <c r="S367" s="40">
        <v>1</v>
      </c>
    </row>
    <row r="368" spans="1:19" x14ac:dyDescent="0.35">
      <c r="A368" s="38">
        <v>365</v>
      </c>
      <c r="B368" s="38" t="str">
        <f>_xlfn.XLOOKUP(A368,'Model Modeshare by TAZ'!A:A,'Model Modeshare by TAZ'!B:B)</f>
        <v>Mountain View</v>
      </c>
      <c r="C368" s="38" t="str">
        <f>_xlfn.XLOOKUP(A368,'Model Modeshare by TAZ'!A:A,'Model Modeshare by TAZ'!D:D)</f>
        <v>NO</v>
      </c>
      <c r="D368" s="6">
        <v>3</v>
      </c>
      <c r="E368" s="6">
        <v>474</v>
      </c>
      <c r="F368" s="6">
        <v>1180</v>
      </c>
      <c r="G368" s="6">
        <v>1193</v>
      </c>
      <c r="H368" s="6">
        <v>645</v>
      </c>
      <c r="I368" s="6">
        <v>342</v>
      </c>
      <c r="J368" s="6">
        <v>132</v>
      </c>
      <c r="K368" s="40">
        <v>93</v>
      </c>
      <c r="L368" s="40">
        <v>3</v>
      </c>
      <c r="M368" s="40">
        <v>0</v>
      </c>
      <c r="N368" s="40">
        <v>0</v>
      </c>
      <c r="O368" s="40">
        <v>0</v>
      </c>
      <c r="P368" s="40">
        <v>0</v>
      </c>
      <c r="Q368" s="40">
        <v>0</v>
      </c>
      <c r="R368" s="40">
        <v>0</v>
      </c>
      <c r="S368" s="40">
        <v>0</v>
      </c>
    </row>
    <row r="369" spans="1:19" x14ac:dyDescent="0.35">
      <c r="A369" s="38">
        <v>366</v>
      </c>
      <c r="B369" s="38" t="str">
        <f>_xlfn.XLOOKUP(A369,'Model Modeshare by TAZ'!A:A,'Model Modeshare by TAZ'!B:B)</f>
        <v>Mountain View</v>
      </c>
      <c r="C369" s="38" t="str">
        <f>_xlfn.XLOOKUP(A369,'Model Modeshare by TAZ'!A:A,'Model Modeshare by TAZ'!D:D)</f>
        <v>NO</v>
      </c>
      <c r="D369" s="6">
        <v>3</v>
      </c>
      <c r="E369" s="6">
        <v>604</v>
      </c>
      <c r="F369" s="6">
        <v>1504</v>
      </c>
      <c r="G369" s="6">
        <v>1511</v>
      </c>
      <c r="H369" s="6">
        <v>822</v>
      </c>
      <c r="I369" s="6">
        <v>435</v>
      </c>
      <c r="J369" s="6">
        <v>169</v>
      </c>
      <c r="K369" s="40">
        <v>75</v>
      </c>
      <c r="L369" s="40">
        <v>27</v>
      </c>
      <c r="M369" s="40">
        <v>268</v>
      </c>
      <c r="N369" s="40">
        <v>42</v>
      </c>
      <c r="O369" s="40">
        <v>193</v>
      </c>
      <c r="P369" s="40">
        <v>20</v>
      </c>
      <c r="Q369" s="40">
        <v>1</v>
      </c>
      <c r="R369" s="40">
        <v>0</v>
      </c>
      <c r="S369" s="40">
        <v>12</v>
      </c>
    </row>
    <row r="370" spans="1:19" x14ac:dyDescent="0.35">
      <c r="A370" s="38">
        <v>367</v>
      </c>
      <c r="B370" s="38" t="str">
        <f>_xlfn.XLOOKUP(A370,'Model Modeshare by TAZ'!A:A,'Model Modeshare by TAZ'!B:B)</f>
        <v>Mountain View</v>
      </c>
      <c r="C370" s="38" t="str">
        <f>_xlfn.XLOOKUP(A370,'Model Modeshare by TAZ'!A:A,'Model Modeshare by TAZ'!D:D)</f>
        <v>NO</v>
      </c>
      <c r="D370" s="6">
        <v>3</v>
      </c>
      <c r="E370" s="6">
        <v>285</v>
      </c>
      <c r="F370" s="6">
        <v>618</v>
      </c>
      <c r="G370" s="6">
        <v>618</v>
      </c>
      <c r="H370" s="6">
        <v>382</v>
      </c>
      <c r="I370" s="6">
        <v>142</v>
      </c>
      <c r="J370" s="6">
        <v>143</v>
      </c>
      <c r="K370" s="40">
        <v>27</v>
      </c>
      <c r="L370" s="40">
        <v>13</v>
      </c>
      <c r="M370" s="40">
        <v>297</v>
      </c>
      <c r="N370" s="40">
        <v>43</v>
      </c>
      <c r="O370" s="40">
        <v>62</v>
      </c>
      <c r="P370" s="40">
        <v>151</v>
      </c>
      <c r="Q370" s="40">
        <v>0</v>
      </c>
      <c r="R370" s="40">
        <v>12</v>
      </c>
      <c r="S370" s="40">
        <v>29</v>
      </c>
    </row>
    <row r="371" spans="1:19" x14ac:dyDescent="0.35">
      <c r="A371" s="38">
        <v>368</v>
      </c>
      <c r="B371" s="38" t="str">
        <f>_xlfn.XLOOKUP(A371,'Model Modeshare by TAZ'!A:A,'Model Modeshare by TAZ'!B:B)</f>
        <v>Mountain View</v>
      </c>
      <c r="C371" s="38" t="str">
        <f>_xlfn.XLOOKUP(A371,'Model Modeshare by TAZ'!A:A,'Model Modeshare by TAZ'!D:D)</f>
        <v>NO</v>
      </c>
      <c r="D371" s="6">
        <v>3</v>
      </c>
      <c r="E371" s="6">
        <v>0</v>
      </c>
      <c r="F371" s="6">
        <v>0</v>
      </c>
      <c r="G371" s="6">
        <v>0</v>
      </c>
      <c r="H371" s="6">
        <v>0</v>
      </c>
      <c r="I371" s="6">
        <v>0</v>
      </c>
      <c r="J371" s="6">
        <v>0</v>
      </c>
      <c r="K371" s="40">
        <v>0</v>
      </c>
      <c r="L371" s="40">
        <v>19</v>
      </c>
      <c r="M371" s="40">
        <v>1602</v>
      </c>
      <c r="N371" s="40">
        <v>19</v>
      </c>
      <c r="O371" s="40">
        <v>200</v>
      </c>
      <c r="P371" s="40">
        <v>250</v>
      </c>
      <c r="Q371" s="40">
        <v>11</v>
      </c>
      <c r="R371" s="40">
        <v>994</v>
      </c>
      <c r="S371" s="40">
        <v>128</v>
      </c>
    </row>
    <row r="372" spans="1:19" x14ac:dyDescent="0.35">
      <c r="A372" s="38">
        <v>369</v>
      </c>
      <c r="B372" s="38" t="str">
        <f>_xlfn.XLOOKUP(A372,'Model Modeshare by TAZ'!A:A,'Model Modeshare by TAZ'!B:B)</f>
        <v>Unincorporated</v>
      </c>
      <c r="C372" s="38" t="str">
        <f>_xlfn.XLOOKUP(A372,'Model Modeshare by TAZ'!A:A,'Model Modeshare by TAZ'!D:D)</f>
        <v>NO</v>
      </c>
      <c r="D372" s="6">
        <v>3</v>
      </c>
      <c r="E372" s="6">
        <v>9</v>
      </c>
      <c r="F372" s="6">
        <v>21</v>
      </c>
      <c r="G372" s="6">
        <v>21</v>
      </c>
      <c r="H372" s="6">
        <v>12</v>
      </c>
      <c r="I372" s="6">
        <v>0</v>
      </c>
      <c r="J372" s="6">
        <v>9</v>
      </c>
      <c r="K372" s="40">
        <v>1</v>
      </c>
      <c r="L372" s="40">
        <v>300</v>
      </c>
      <c r="M372" s="40">
        <v>8337</v>
      </c>
      <c r="N372" s="40">
        <v>362</v>
      </c>
      <c r="O372" s="40">
        <v>1406</v>
      </c>
      <c r="P372" s="40">
        <v>1403</v>
      </c>
      <c r="Q372" s="40">
        <v>35</v>
      </c>
      <c r="R372" s="40">
        <v>4603</v>
      </c>
      <c r="S372" s="40">
        <v>528</v>
      </c>
    </row>
    <row r="373" spans="1:19" x14ac:dyDescent="0.35">
      <c r="A373" s="38">
        <v>370</v>
      </c>
      <c r="B373" s="38" t="str">
        <f>_xlfn.XLOOKUP(A373,'Model Modeshare by TAZ'!A:A,'Model Modeshare by TAZ'!B:B)</f>
        <v>Mountain View</v>
      </c>
      <c r="C373" s="38" t="str">
        <f>_xlfn.XLOOKUP(A373,'Model Modeshare by TAZ'!A:A,'Model Modeshare by TAZ'!D:D)</f>
        <v>NO</v>
      </c>
      <c r="D373" s="6">
        <v>3</v>
      </c>
      <c r="E373" s="6">
        <v>5</v>
      </c>
      <c r="F373" s="6">
        <v>12</v>
      </c>
      <c r="G373" s="6">
        <v>12</v>
      </c>
      <c r="H373" s="6">
        <v>6</v>
      </c>
      <c r="I373" s="6">
        <v>0</v>
      </c>
      <c r="J373" s="6">
        <v>5</v>
      </c>
      <c r="K373" s="40">
        <v>2</v>
      </c>
      <c r="L373" s="40">
        <v>273</v>
      </c>
      <c r="M373" s="40">
        <v>8493</v>
      </c>
      <c r="N373" s="40">
        <v>447</v>
      </c>
      <c r="O373" s="40">
        <v>1926</v>
      </c>
      <c r="P373" s="40">
        <v>1579</v>
      </c>
      <c r="Q373" s="40">
        <v>29</v>
      </c>
      <c r="R373" s="40">
        <v>4065</v>
      </c>
      <c r="S373" s="40">
        <v>447</v>
      </c>
    </row>
    <row r="374" spans="1:19" x14ac:dyDescent="0.35">
      <c r="A374" s="38">
        <v>371</v>
      </c>
      <c r="B374" s="38" t="str">
        <f>_xlfn.XLOOKUP(A374,'Model Modeshare by TAZ'!A:A,'Model Modeshare by TAZ'!B:B)</f>
        <v>Mountain View</v>
      </c>
      <c r="C374" s="38" t="str">
        <f>_xlfn.XLOOKUP(A374,'Model Modeshare by TAZ'!A:A,'Model Modeshare by TAZ'!D:D)</f>
        <v>NO</v>
      </c>
      <c r="D374" s="6">
        <v>3</v>
      </c>
      <c r="E374" s="6">
        <v>124</v>
      </c>
      <c r="F374" s="6">
        <v>253</v>
      </c>
      <c r="G374" s="6">
        <v>255</v>
      </c>
      <c r="H374" s="6">
        <v>183</v>
      </c>
      <c r="I374" s="6">
        <v>47</v>
      </c>
      <c r="J374" s="6">
        <v>77</v>
      </c>
      <c r="K374" s="40">
        <v>19</v>
      </c>
      <c r="L374" s="40">
        <v>6</v>
      </c>
      <c r="M374" s="40">
        <v>229</v>
      </c>
      <c r="N374" s="40">
        <v>44</v>
      </c>
      <c r="O374" s="40">
        <v>127</v>
      </c>
      <c r="P374" s="40">
        <v>43</v>
      </c>
      <c r="Q374" s="40">
        <v>2</v>
      </c>
      <c r="R374" s="40">
        <v>7</v>
      </c>
      <c r="S374" s="40">
        <v>6</v>
      </c>
    </row>
    <row r="375" spans="1:19" x14ac:dyDescent="0.35">
      <c r="A375" s="38">
        <v>372</v>
      </c>
      <c r="B375" s="38" t="str">
        <f>_xlfn.XLOOKUP(A375,'Model Modeshare by TAZ'!A:A,'Model Modeshare by TAZ'!B:B)</f>
        <v>Mountain View</v>
      </c>
      <c r="C375" s="38" t="str">
        <f>_xlfn.XLOOKUP(A375,'Model Modeshare by TAZ'!A:A,'Model Modeshare by TAZ'!D:D)</f>
        <v>NO</v>
      </c>
      <c r="D375" s="6">
        <v>3</v>
      </c>
      <c r="E375" s="6">
        <v>142</v>
      </c>
      <c r="F375" s="6">
        <v>308</v>
      </c>
      <c r="G375" s="6">
        <v>308</v>
      </c>
      <c r="H375" s="6">
        <v>191</v>
      </c>
      <c r="I375" s="6">
        <v>70</v>
      </c>
      <c r="J375" s="6">
        <v>72</v>
      </c>
      <c r="K375" s="40">
        <v>20</v>
      </c>
      <c r="L375" s="40">
        <v>7</v>
      </c>
      <c r="M375" s="40">
        <v>40</v>
      </c>
      <c r="N375" s="40">
        <v>18</v>
      </c>
      <c r="O375" s="40">
        <v>14</v>
      </c>
      <c r="P375" s="40">
        <v>8</v>
      </c>
      <c r="Q375" s="40">
        <v>0</v>
      </c>
      <c r="R375" s="40">
        <v>0</v>
      </c>
      <c r="S375" s="40">
        <v>0</v>
      </c>
    </row>
    <row r="376" spans="1:19" x14ac:dyDescent="0.35">
      <c r="A376" s="38">
        <v>373</v>
      </c>
      <c r="B376" s="38" t="str">
        <f>_xlfn.XLOOKUP(A376,'Model Modeshare by TAZ'!A:A,'Model Modeshare by TAZ'!B:B)</f>
        <v>Mountain View</v>
      </c>
      <c r="C376" s="38" t="str">
        <f>_xlfn.XLOOKUP(A376,'Model Modeshare by TAZ'!A:A,'Model Modeshare by TAZ'!D:D)</f>
        <v>NO</v>
      </c>
      <c r="D376" s="6">
        <v>3</v>
      </c>
      <c r="E376" s="6">
        <v>274</v>
      </c>
      <c r="F376" s="6">
        <v>595</v>
      </c>
      <c r="G376" s="6">
        <v>595</v>
      </c>
      <c r="H376" s="6">
        <v>368</v>
      </c>
      <c r="I376" s="6">
        <v>137</v>
      </c>
      <c r="J376" s="6">
        <v>137</v>
      </c>
      <c r="K376" s="40">
        <v>41</v>
      </c>
      <c r="L376" s="40">
        <v>3</v>
      </c>
      <c r="M376" s="40">
        <v>10</v>
      </c>
      <c r="N376" s="40">
        <v>1</v>
      </c>
      <c r="O376" s="40">
        <v>1</v>
      </c>
      <c r="P376" s="40">
        <v>8</v>
      </c>
      <c r="Q376" s="40">
        <v>0</v>
      </c>
      <c r="R376" s="40">
        <v>0</v>
      </c>
      <c r="S376" s="40">
        <v>0</v>
      </c>
    </row>
    <row r="377" spans="1:19" x14ac:dyDescent="0.35">
      <c r="A377" s="38">
        <v>374</v>
      </c>
      <c r="B377" s="38" t="str">
        <f>_xlfn.XLOOKUP(A377,'Model Modeshare by TAZ'!A:A,'Model Modeshare by TAZ'!B:B)</f>
        <v>Mountain View</v>
      </c>
      <c r="C377" s="38" t="str">
        <f>_xlfn.XLOOKUP(A377,'Model Modeshare by TAZ'!A:A,'Model Modeshare by TAZ'!D:D)</f>
        <v>NO</v>
      </c>
      <c r="D377" s="6">
        <v>3</v>
      </c>
      <c r="E377" s="6">
        <v>0</v>
      </c>
      <c r="F377" s="6">
        <v>0</v>
      </c>
      <c r="G377" s="6">
        <v>0</v>
      </c>
      <c r="H377" s="6">
        <v>0</v>
      </c>
      <c r="I377" s="6">
        <v>0</v>
      </c>
      <c r="J377" s="6">
        <v>0</v>
      </c>
      <c r="K377" s="40">
        <v>0</v>
      </c>
      <c r="L377" s="40">
        <v>27</v>
      </c>
      <c r="M377" s="40">
        <v>851</v>
      </c>
      <c r="N377" s="40">
        <v>25</v>
      </c>
      <c r="O377" s="40">
        <v>133</v>
      </c>
      <c r="P377" s="40">
        <v>113</v>
      </c>
      <c r="Q377" s="40">
        <v>0</v>
      </c>
      <c r="R377" s="40">
        <v>511</v>
      </c>
      <c r="S377" s="40">
        <v>69</v>
      </c>
    </row>
    <row r="378" spans="1:19" x14ac:dyDescent="0.35">
      <c r="A378" s="38">
        <v>375</v>
      </c>
      <c r="B378" s="38" t="str">
        <f>_xlfn.XLOOKUP(A378,'Model Modeshare by TAZ'!A:A,'Model Modeshare by TAZ'!B:B)</f>
        <v>Mountain View</v>
      </c>
      <c r="C378" s="38" t="str">
        <f>_xlfn.XLOOKUP(A378,'Model Modeshare by TAZ'!A:A,'Model Modeshare by TAZ'!D:D)</f>
        <v>NO</v>
      </c>
      <c r="D378" s="6">
        <v>3</v>
      </c>
      <c r="E378" s="6">
        <v>758</v>
      </c>
      <c r="F378" s="6">
        <v>1629</v>
      </c>
      <c r="G378" s="6">
        <v>1630</v>
      </c>
      <c r="H378" s="6">
        <v>1037</v>
      </c>
      <c r="I378" s="6">
        <v>192</v>
      </c>
      <c r="J378" s="6">
        <v>566</v>
      </c>
      <c r="K378" s="40">
        <v>79</v>
      </c>
      <c r="L378" s="40">
        <v>3</v>
      </c>
      <c r="M378" s="40">
        <v>217</v>
      </c>
      <c r="N378" s="40">
        <v>24</v>
      </c>
      <c r="O378" s="40">
        <v>44</v>
      </c>
      <c r="P378" s="40">
        <v>111</v>
      </c>
      <c r="Q378" s="40">
        <v>0</v>
      </c>
      <c r="R378" s="40">
        <v>7</v>
      </c>
      <c r="S378" s="40">
        <v>31</v>
      </c>
    </row>
    <row r="379" spans="1:19" x14ac:dyDescent="0.35">
      <c r="A379" s="38">
        <v>376</v>
      </c>
      <c r="B379" s="38" t="str">
        <f>_xlfn.XLOOKUP(A379,'Model Modeshare by TAZ'!A:A,'Model Modeshare by TAZ'!B:B)</f>
        <v>Mountain View</v>
      </c>
      <c r="C379" s="38" t="str">
        <f>_xlfn.XLOOKUP(A379,'Model Modeshare by TAZ'!A:A,'Model Modeshare by TAZ'!D:D)</f>
        <v>NO</v>
      </c>
      <c r="D379" s="6">
        <v>3</v>
      </c>
      <c r="E379" s="6">
        <v>1236</v>
      </c>
      <c r="F379" s="6">
        <v>2856</v>
      </c>
      <c r="G379" s="6">
        <v>2856</v>
      </c>
      <c r="H379" s="6">
        <v>1855</v>
      </c>
      <c r="I379" s="6">
        <v>659</v>
      </c>
      <c r="J379" s="6">
        <v>577</v>
      </c>
      <c r="K379" s="40">
        <v>99</v>
      </c>
      <c r="L379" s="40">
        <v>32</v>
      </c>
      <c r="M379" s="40">
        <v>241</v>
      </c>
      <c r="N379" s="40">
        <v>16</v>
      </c>
      <c r="O379" s="40">
        <v>58</v>
      </c>
      <c r="P379" s="40">
        <v>79</v>
      </c>
      <c r="Q379" s="40">
        <v>16</v>
      </c>
      <c r="R379" s="40">
        <v>30</v>
      </c>
      <c r="S379" s="40">
        <v>42</v>
      </c>
    </row>
    <row r="380" spans="1:19" x14ac:dyDescent="0.35">
      <c r="A380" s="38">
        <v>377</v>
      </c>
      <c r="B380" s="38" t="str">
        <f>_xlfn.XLOOKUP(A380,'Model Modeshare by TAZ'!A:A,'Model Modeshare by TAZ'!B:B)</f>
        <v>Mountain View</v>
      </c>
      <c r="C380" s="38" t="str">
        <f>_xlfn.XLOOKUP(A380,'Model Modeshare by TAZ'!A:A,'Model Modeshare by TAZ'!D:D)</f>
        <v>NO</v>
      </c>
      <c r="D380" s="6">
        <v>3</v>
      </c>
      <c r="E380" s="6">
        <v>936</v>
      </c>
      <c r="F380" s="6">
        <v>2180</v>
      </c>
      <c r="G380" s="6">
        <v>2180</v>
      </c>
      <c r="H380" s="6">
        <v>1299</v>
      </c>
      <c r="I380" s="6">
        <v>373</v>
      </c>
      <c r="J380" s="6">
        <v>563</v>
      </c>
      <c r="K380" s="40">
        <v>115</v>
      </c>
      <c r="L380" s="40">
        <v>1</v>
      </c>
      <c r="M380" s="40">
        <v>115</v>
      </c>
      <c r="N380" s="40">
        <v>13</v>
      </c>
      <c r="O380" s="40">
        <v>41</v>
      </c>
      <c r="P380" s="40">
        <v>5</v>
      </c>
      <c r="Q380" s="40">
        <v>3</v>
      </c>
      <c r="R380" s="40">
        <v>47</v>
      </c>
      <c r="S380" s="40">
        <v>6</v>
      </c>
    </row>
    <row r="381" spans="1:19" x14ac:dyDescent="0.35">
      <c r="A381" s="38">
        <v>378</v>
      </c>
      <c r="B381" s="38" t="str">
        <f>_xlfn.XLOOKUP(A381,'Model Modeshare by TAZ'!A:A,'Model Modeshare by TAZ'!B:B)</f>
        <v>Mountain View</v>
      </c>
      <c r="C381" s="38" t="str">
        <f>_xlfn.XLOOKUP(A381,'Model Modeshare by TAZ'!A:A,'Model Modeshare by TAZ'!D:D)</f>
        <v>NO</v>
      </c>
      <c r="D381" s="6">
        <v>3</v>
      </c>
      <c r="E381" s="6">
        <v>280</v>
      </c>
      <c r="F381" s="6">
        <v>571</v>
      </c>
      <c r="G381" s="6">
        <v>572</v>
      </c>
      <c r="H381" s="6">
        <v>414</v>
      </c>
      <c r="I381" s="6">
        <v>107</v>
      </c>
      <c r="J381" s="6">
        <v>173</v>
      </c>
      <c r="K381" s="40">
        <v>24</v>
      </c>
      <c r="L381" s="40">
        <v>21</v>
      </c>
      <c r="M381" s="40">
        <v>1429</v>
      </c>
      <c r="N381" s="40">
        <v>361</v>
      </c>
      <c r="O381" s="40">
        <v>708</v>
      </c>
      <c r="P381" s="40">
        <v>291</v>
      </c>
      <c r="Q381" s="40">
        <v>3</v>
      </c>
      <c r="R381" s="40">
        <v>39</v>
      </c>
      <c r="S381" s="40">
        <v>27</v>
      </c>
    </row>
    <row r="382" spans="1:19" x14ac:dyDescent="0.35">
      <c r="A382" s="38">
        <v>379</v>
      </c>
      <c r="B382" s="38" t="str">
        <f>_xlfn.XLOOKUP(A382,'Model Modeshare by TAZ'!A:A,'Model Modeshare by TAZ'!B:B)</f>
        <v>Mountain View</v>
      </c>
      <c r="C382" s="38" t="str">
        <f>_xlfn.XLOOKUP(A382,'Model Modeshare by TAZ'!A:A,'Model Modeshare by TAZ'!D:D)</f>
        <v>NO</v>
      </c>
      <c r="D382" s="6">
        <v>3</v>
      </c>
      <c r="E382" s="6">
        <v>113</v>
      </c>
      <c r="F382" s="6">
        <v>231</v>
      </c>
      <c r="G382" s="6">
        <v>231</v>
      </c>
      <c r="H382" s="6">
        <v>168</v>
      </c>
      <c r="I382" s="6">
        <v>43</v>
      </c>
      <c r="J382" s="6">
        <v>70</v>
      </c>
      <c r="K382" s="40">
        <v>22</v>
      </c>
      <c r="L382" s="40">
        <v>10</v>
      </c>
      <c r="M382" s="40">
        <v>2610</v>
      </c>
      <c r="N382" s="40">
        <v>154</v>
      </c>
      <c r="O382" s="40">
        <v>921</v>
      </c>
      <c r="P382" s="40">
        <v>1416</v>
      </c>
      <c r="Q382" s="40">
        <v>2</v>
      </c>
      <c r="R382" s="40">
        <v>70</v>
      </c>
      <c r="S382" s="40">
        <v>47</v>
      </c>
    </row>
    <row r="383" spans="1:19" x14ac:dyDescent="0.35">
      <c r="A383" s="38">
        <v>380</v>
      </c>
      <c r="B383" s="38" t="str">
        <f>_xlfn.XLOOKUP(A383,'Model Modeshare by TAZ'!A:A,'Model Modeshare by TAZ'!B:B)</f>
        <v>Mountain View</v>
      </c>
      <c r="C383" s="38" t="str">
        <f>_xlfn.XLOOKUP(A383,'Model Modeshare by TAZ'!A:A,'Model Modeshare by TAZ'!D:D)</f>
        <v>NO</v>
      </c>
      <c r="D383" s="6">
        <v>3</v>
      </c>
      <c r="E383" s="6">
        <v>525</v>
      </c>
      <c r="F383" s="6">
        <v>1071</v>
      </c>
      <c r="G383" s="6">
        <v>1076</v>
      </c>
      <c r="H383" s="6">
        <v>779</v>
      </c>
      <c r="I383" s="6">
        <v>200</v>
      </c>
      <c r="J383" s="6">
        <v>325</v>
      </c>
      <c r="K383" s="40">
        <v>20</v>
      </c>
      <c r="L383" s="40">
        <v>11</v>
      </c>
      <c r="M383" s="40">
        <v>1212</v>
      </c>
      <c r="N383" s="40">
        <v>148</v>
      </c>
      <c r="O383" s="40">
        <v>680</v>
      </c>
      <c r="P383" s="40">
        <v>299</v>
      </c>
      <c r="Q383" s="40">
        <v>2</v>
      </c>
      <c r="R383" s="40">
        <v>50</v>
      </c>
      <c r="S383" s="40">
        <v>33</v>
      </c>
    </row>
    <row r="384" spans="1:19" x14ac:dyDescent="0.35">
      <c r="A384" s="38">
        <v>381</v>
      </c>
      <c r="B384" s="38" t="str">
        <f>_xlfn.XLOOKUP(A384,'Model Modeshare by TAZ'!A:A,'Model Modeshare by TAZ'!B:B)</f>
        <v>Mountain View</v>
      </c>
      <c r="C384" s="38" t="str">
        <f>_xlfn.XLOOKUP(A384,'Model Modeshare by TAZ'!A:A,'Model Modeshare by TAZ'!D:D)</f>
        <v>NO</v>
      </c>
      <c r="D384" s="6">
        <v>3</v>
      </c>
      <c r="E384" s="6">
        <v>341</v>
      </c>
      <c r="F384" s="6">
        <v>811</v>
      </c>
      <c r="G384" s="6">
        <v>813</v>
      </c>
      <c r="H384" s="6">
        <v>434</v>
      </c>
      <c r="I384" s="6">
        <v>25</v>
      </c>
      <c r="J384" s="6">
        <v>316</v>
      </c>
      <c r="K384" s="40">
        <v>142</v>
      </c>
      <c r="L384" s="40">
        <v>24</v>
      </c>
      <c r="M384" s="40">
        <v>9349</v>
      </c>
      <c r="N384" s="40">
        <v>384</v>
      </c>
      <c r="O384" s="40">
        <v>1368</v>
      </c>
      <c r="P384" s="40">
        <v>1994</v>
      </c>
      <c r="Q384" s="40">
        <v>15</v>
      </c>
      <c r="R384" s="40">
        <v>5012</v>
      </c>
      <c r="S384" s="40">
        <v>576</v>
      </c>
    </row>
    <row r="385" spans="1:19" x14ac:dyDescent="0.35">
      <c r="A385" s="38">
        <v>382</v>
      </c>
      <c r="B385" s="38" t="str">
        <f>_xlfn.XLOOKUP(A385,'Model Modeshare by TAZ'!A:A,'Model Modeshare by TAZ'!B:B)</f>
        <v>Mountain View</v>
      </c>
      <c r="C385" s="38" t="str">
        <f>_xlfn.XLOOKUP(A385,'Model Modeshare by TAZ'!A:A,'Model Modeshare by TAZ'!D:D)</f>
        <v>NO</v>
      </c>
      <c r="D385" s="6">
        <v>3</v>
      </c>
      <c r="E385" s="6">
        <v>1171</v>
      </c>
      <c r="F385" s="6">
        <v>2908</v>
      </c>
      <c r="G385" s="6">
        <v>2926</v>
      </c>
      <c r="H385" s="6">
        <v>1791</v>
      </c>
      <c r="I385" s="6">
        <v>387</v>
      </c>
      <c r="J385" s="6">
        <v>784</v>
      </c>
      <c r="K385" s="40">
        <v>95</v>
      </c>
      <c r="L385" s="40">
        <v>17</v>
      </c>
      <c r="M385" s="40">
        <v>505</v>
      </c>
      <c r="N385" s="40">
        <v>13</v>
      </c>
      <c r="O385" s="40">
        <v>362</v>
      </c>
      <c r="P385" s="40">
        <v>46</v>
      </c>
      <c r="Q385" s="40">
        <v>0</v>
      </c>
      <c r="R385" s="40">
        <v>83</v>
      </c>
      <c r="S385" s="40">
        <v>1</v>
      </c>
    </row>
    <row r="386" spans="1:19" x14ac:dyDescent="0.35">
      <c r="A386" s="38">
        <v>383</v>
      </c>
      <c r="B386" s="38" t="str">
        <f>_xlfn.XLOOKUP(A386,'Model Modeshare by TAZ'!A:A,'Model Modeshare by TAZ'!B:B)</f>
        <v>Mountain View</v>
      </c>
      <c r="C386" s="38" t="str">
        <f>_xlfn.XLOOKUP(A386,'Model Modeshare by TAZ'!A:A,'Model Modeshare by TAZ'!D:D)</f>
        <v>NO</v>
      </c>
      <c r="D386" s="6">
        <v>3</v>
      </c>
      <c r="E386" s="6">
        <v>589</v>
      </c>
      <c r="F386" s="6">
        <v>1463</v>
      </c>
      <c r="G386" s="6">
        <v>1469</v>
      </c>
      <c r="H386" s="6">
        <v>902</v>
      </c>
      <c r="I386" s="6">
        <v>196</v>
      </c>
      <c r="J386" s="6">
        <v>393</v>
      </c>
      <c r="K386" s="40">
        <v>40</v>
      </c>
      <c r="L386" s="40">
        <v>11</v>
      </c>
      <c r="M386" s="40">
        <v>388</v>
      </c>
      <c r="N386" s="40">
        <v>74</v>
      </c>
      <c r="O386" s="40">
        <v>264</v>
      </c>
      <c r="P386" s="40">
        <v>47</v>
      </c>
      <c r="Q386" s="40">
        <v>0</v>
      </c>
      <c r="R386" s="40">
        <v>3</v>
      </c>
      <c r="S386" s="40">
        <v>0</v>
      </c>
    </row>
    <row r="387" spans="1:19" x14ac:dyDescent="0.35">
      <c r="A387" s="38">
        <v>384</v>
      </c>
      <c r="B387" s="38" t="str">
        <f>_xlfn.XLOOKUP(A387,'Model Modeshare by TAZ'!A:A,'Model Modeshare by TAZ'!B:B)</f>
        <v>Mountain View</v>
      </c>
      <c r="C387" s="38" t="str">
        <f>_xlfn.XLOOKUP(A387,'Model Modeshare by TAZ'!A:A,'Model Modeshare by TAZ'!D:D)</f>
        <v>NO</v>
      </c>
      <c r="D387" s="6">
        <v>3</v>
      </c>
      <c r="E387" s="6">
        <v>1082</v>
      </c>
      <c r="F387" s="6">
        <v>2749</v>
      </c>
      <c r="G387" s="6">
        <v>2749</v>
      </c>
      <c r="H387" s="6">
        <v>1409</v>
      </c>
      <c r="I387" s="6">
        <v>29</v>
      </c>
      <c r="J387" s="6">
        <v>1053</v>
      </c>
      <c r="K387" s="40">
        <v>43</v>
      </c>
      <c r="L387" s="40">
        <v>17</v>
      </c>
      <c r="M387" s="40">
        <v>501</v>
      </c>
      <c r="N387" s="40">
        <v>102</v>
      </c>
      <c r="O387" s="40">
        <v>196</v>
      </c>
      <c r="P387" s="40">
        <v>169</v>
      </c>
      <c r="Q387" s="40">
        <v>0</v>
      </c>
      <c r="R387" s="40">
        <v>29</v>
      </c>
      <c r="S387" s="40">
        <v>5</v>
      </c>
    </row>
    <row r="388" spans="1:19" x14ac:dyDescent="0.35">
      <c r="A388" s="38">
        <v>385</v>
      </c>
      <c r="B388" s="38" t="str">
        <f>_xlfn.XLOOKUP(A388,'Model Modeshare by TAZ'!A:A,'Model Modeshare by TAZ'!B:B)</f>
        <v>Mountain View</v>
      </c>
      <c r="C388" s="38" t="str">
        <f>_xlfn.XLOOKUP(A388,'Model Modeshare by TAZ'!A:A,'Model Modeshare by TAZ'!D:D)</f>
        <v>NO</v>
      </c>
      <c r="D388" s="6">
        <v>3</v>
      </c>
      <c r="E388" s="6">
        <v>411</v>
      </c>
      <c r="F388" s="6">
        <v>980</v>
      </c>
      <c r="G388" s="6">
        <v>980</v>
      </c>
      <c r="H388" s="6">
        <v>619</v>
      </c>
      <c r="I388" s="6">
        <v>98</v>
      </c>
      <c r="J388" s="6">
        <v>313</v>
      </c>
      <c r="K388" s="40">
        <v>46</v>
      </c>
      <c r="L388" s="40">
        <v>2</v>
      </c>
      <c r="M388" s="40">
        <v>594</v>
      </c>
      <c r="N388" s="40">
        <v>19</v>
      </c>
      <c r="O388" s="40">
        <v>223</v>
      </c>
      <c r="P388" s="40">
        <v>55</v>
      </c>
      <c r="Q388" s="40">
        <v>0</v>
      </c>
      <c r="R388" s="40">
        <v>233</v>
      </c>
      <c r="S388" s="40">
        <v>64</v>
      </c>
    </row>
    <row r="389" spans="1:19" x14ac:dyDescent="0.35">
      <c r="A389" s="38">
        <v>386</v>
      </c>
      <c r="B389" s="38" t="str">
        <f>_xlfn.XLOOKUP(A389,'Model Modeshare by TAZ'!A:A,'Model Modeshare by TAZ'!B:B)</f>
        <v>Mountain View</v>
      </c>
      <c r="C389" s="38" t="str">
        <f>_xlfn.XLOOKUP(A389,'Model Modeshare by TAZ'!A:A,'Model Modeshare by TAZ'!D:D)</f>
        <v>NO</v>
      </c>
      <c r="D389" s="6">
        <v>3</v>
      </c>
      <c r="E389" s="6">
        <v>377</v>
      </c>
      <c r="F389" s="6">
        <v>897</v>
      </c>
      <c r="G389" s="6">
        <v>897</v>
      </c>
      <c r="H389" s="6">
        <v>566</v>
      </c>
      <c r="I389" s="6">
        <v>94</v>
      </c>
      <c r="J389" s="6">
        <v>283</v>
      </c>
      <c r="K389" s="40">
        <v>45</v>
      </c>
      <c r="L389" s="40">
        <v>2</v>
      </c>
      <c r="M389" s="40">
        <v>582</v>
      </c>
      <c r="N389" s="40">
        <v>61</v>
      </c>
      <c r="O389" s="40">
        <v>194</v>
      </c>
      <c r="P389" s="40">
        <v>80</v>
      </c>
      <c r="Q389" s="40">
        <v>0</v>
      </c>
      <c r="R389" s="40">
        <v>202</v>
      </c>
      <c r="S389" s="40">
        <v>45</v>
      </c>
    </row>
    <row r="390" spans="1:19" x14ac:dyDescent="0.35">
      <c r="A390" s="38">
        <v>387</v>
      </c>
      <c r="B390" s="38" t="str">
        <f>_xlfn.XLOOKUP(A390,'Model Modeshare by TAZ'!A:A,'Model Modeshare by TAZ'!B:B)</f>
        <v>Mountain View</v>
      </c>
      <c r="C390" s="38" t="str">
        <f>_xlfn.XLOOKUP(A390,'Model Modeshare by TAZ'!A:A,'Model Modeshare by TAZ'!D:D)</f>
        <v>NO</v>
      </c>
      <c r="D390" s="6">
        <v>3</v>
      </c>
      <c r="E390" s="6">
        <v>341</v>
      </c>
      <c r="F390" s="6">
        <v>813</v>
      </c>
      <c r="G390" s="6">
        <v>813</v>
      </c>
      <c r="H390" s="6">
        <v>513</v>
      </c>
      <c r="I390" s="6">
        <v>81</v>
      </c>
      <c r="J390" s="6">
        <v>260</v>
      </c>
      <c r="K390" s="40">
        <v>43</v>
      </c>
      <c r="L390" s="40">
        <v>32</v>
      </c>
      <c r="M390" s="40">
        <v>947</v>
      </c>
      <c r="N390" s="40">
        <v>29</v>
      </c>
      <c r="O390" s="40">
        <v>292</v>
      </c>
      <c r="P390" s="40">
        <v>156</v>
      </c>
      <c r="Q390" s="40">
        <v>1</v>
      </c>
      <c r="R390" s="40">
        <v>398</v>
      </c>
      <c r="S390" s="40">
        <v>71</v>
      </c>
    </row>
    <row r="391" spans="1:19" x14ac:dyDescent="0.35">
      <c r="A391" s="38">
        <v>388</v>
      </c>
      <c r="B391" s="38" t="str">
        <f>_xlfn.XLOOKUP(A391,'Model Modeshare by TAZ'!A:A,'Model Modeshare by TAZ'!B:B)</f>
        <v>Mountain View</v>
      </c>
      <c r="C391" s="38" t="str">
        <f>_xlfn.XLOOKUP(A391,'Model Modeshare by TAZ'!A:A,'Model Modeshare by TAZ'!D:D)</f>
        <v>NO</v>
      </c>
      <c r="D391" s="6">
        <v>3</v>
      </c>
      <c r="E391" s="6">
        <v>190</v>
      </c>
      <c r="F391" s="6">
        <v>490</v>
      </c>
      <c r="G391" s="6">
        <v>498</v>
      </c>
      <c r="H391" s="6">
        <v>229</v>
      </c>
      <c r="I391" s="6">
        <v>140</v>
      </c>
      <c r="J391" s="6">
        <v>50</v>
      </c>
      <c r="K391" s="40">
        <v>19</v>
      </c>
      <c r="L391" s="40">
        <v>32</v>
      </c>
      <c r="M391" s="40">
        <v>932</v>
      </c>
      <c r="N391" s="40">
        <v>427</v>
      </c>
      <c r="O391" s="40">
        <v>174</v>
      </c>
      <c r="P391" s="40">
        <v>234</v>
      </c>
      <c r="Q391" s="40">
        <v>0</v>
      </c>
      <c r="R391" s="40">
        <v>77</v>
      </c>
      <c r="S391" s="40">
        <v>20</v>
      </c>
    </row>
    <row r="392" spans="1:19" x14ac:dyDescent="0.35">
      <c r="A392" s="38">
        <v>389</v>
      </c>
      <c r="B392" s="38" t="str">
        <f>_xlfn.XLOOKUP(A392,'Model Modeshare by TAZ'!A:A,'Model Modeshare by TAZ'!B:B)</f>
        <v>Mountain View</v>
      </c>
      <c r="C392" s="38" t="str">
        <f>_xlfn.XLOOKUP(A392,'Model Modeshare by TAZ'!A:A,'Model Modeshare by TAZ'!D:D)</f>
        <v>NO</v>
      </c>
      <c r="D392" s="6">
        <v>3</v>
      </c>
      <c r="E392" s="6">
        <v>204</v>
      </c>
      <c r="F392" s="6">
        <v>495</v>
      </c>
      <c r="G392" s="6">
        <v>498</v>
      </c>
      <c r="H392" s="6">
        <v>273</v>
      </c>
      <c r="I392" s="6">
        <v>132</v>
      </c>
      <c r="J392" s="6">
        <v>72</v>
      </c>
      <c r="K392" s="40">
        <v>23</v>
      </c>
      <c r="L392" s="40">
        <v>4</v>
      </c>
      <c r="M392" s="40">
        <v>304</v>
      </c>
      <c r="N392" s="40">
        <v>9</v>
      </c>
      <c r="O392" s="40">
        <v>155</v>
      </c>
      <c r="P392" s="40">
        <v>82</v>
      </c>
      <c r="Q392" s="40">
        <v>0</v>
      </c>
      <c r="R392" s="40">
        <v>55</v>
      </c>
      <c r="S392" s="40">
        <v>3</v>
      </c>
    </row>
    <row r="393" spans="1:19" x14ac:dyDescent="0.35">
      <c r="A393" s="38">
        <v>390</v>
      </c>
      <c r="B393" s="38" t="str">
        <f>_xlfn.XLOOKUP(A393,'Model Modeshare by TAZ'!A:A,'Model Modeshare by TAZ'!B:B)</f>
        <v>Mountain View</v>
      </c>
      <c r="C393" s="38" t="str">
        <f>_xlfn.XLOOKUP(A393,'Model Modeshare by TAZ'!A:A,'Model Modeshare by TAZ'!D:D)</f>
        <v>NO</v>
      </c>
      <c r="D393" s="6">
        <v>3</v>
      </c>
      <c r="E393" s="6">
        <v>721</v>
      </c>
      <c r="F393" s="6">
        <v>1748</v>
      </c>
      <c r="G393" s="6">
        <v>1749</v>
      </c>
      <c r="H393" s="6">
        <v>968</v>
      </c>
      <c r="I393" s="6">
        <v>465</v>
      </c>
      <c r="J393" s="6">
        <v>256</v>
      </c>
      <c r="K393" s="40">
        <v>105</v>
      </c>
      <c r="L393" s="40">
        <v>4</v>
      </c>
      <c r="M393" s="40">
        <v>627</v>
      </c>
      <c r="N393" s="40">
        <v>264</v>
      </c>
      <c r="O393" s="40">
        <v>337</v>
      </c>
      <c r="P393" s="40">
        <v>10</v>
      </c>
      <c r="Q393" s="40">
        <v>0</v>
      </c>
      <c r="R393" s="40">
        <v>16</v>
      </c>
      <c r="S393" s="40">
        <v>0</v>
      </c>
    </row>
    <row r="394" spans="1:19" x14ac:dyDescent="0.35">
      <c r="A394" s="38">
        <v>391</v>
      </c>
      <c r="B394" s="38" t="str">
        <f>_xlfn.XLOOKUP(A394,'Model Modeshare by TAZ'!A:A,'Model Modeshare by TAZ'!B:B)</f>
        <v>Mountain View</v>
      </c>
      <c r="C394" s="38" t="str">
        <f>_xlfn.XLOOKUP(A394,'Model Modeshare by TAZ'!A:A,'Model Modeshare by TAZ'!D:D)</f>
        <v>NO</v>
      </c>
      <c r="D394" s="6">
        <v>3</v>
      </c>
      <c r="E394" s="6">
        <v>651</v>
      </c>
      <c r="F394" s="6">
        <v>1682</v>
      </c>
      <c r="G394" s="6">
        <v>1730</v>
      </c>
      <c r="H394" s="6">
        <v>785</v>
      </c>
      <c r="I394" s="6">
        <v>484</v>
      </c>
      <c r="J394" s="6">
        <v>167</v>
      </c>
      <c r="K394" s="40">
        <v>128</v>
      </c>
      <c r="L394" s="40">
        <v>45</v>
      </c>
      <c r="M394" s="40">
        <v>387</v>
      </c>
      <c r="N394" s="40">
        <v>67</v>
      </c>
      <c r="O394" s="40">
        <v>70</v>
      </c>
      <c r="P394" s="40">
        <v>173</v>
      </c>
      <c r="Q394" s="40">
        <v>5</v>
      </c>
      <c r="R394" s="40">
        <v>58</v>
      </c>
      <c r="S394" s="40">
        <v>14</v>
      </c>
    </row>
    <row r="395" spans="1:19" x14ac:dyDescent="0.35">
      <c r="A395" s="38">
        <v>392</v>
      </c>
      <c r="B395" s="38" t="str">
        <f>_xlfn.XLOOKUP(A395,'Model Modeshare by TAZ'!A:A,'Model Modeshare by TAZ'!B:B)</f>
        <v>Mountain View</v>
      </c>
      <c r="C395" s="38" t="str">
        <f>_xlfn.XLOOKUP(A395,'Model Modeshare by TAZ'!A:A,'Model Modeshare by TAZ'!D:D)</f>
        <v>NO</v>
      </c>
      <c r="D395" s="6">
        <v>3</v>
      </c>
      <c r="E395" s="6">
        <v>454</v>
      </c>
      <c r="F395" s="6">
        <v>930</v>
      </c>
      <c r="G395" s="6">
        <v>930</v>
      </c>
      <c r="H395" s="6">
        <v>634</v>
      </c>
      <c r="I395" s="6">
        <v>150</v>
      </c>
      <c r="J395" s="6">
        <v>304</v>
      </c>
      <c r="K395" s="40">
        <v>64</v>
      </c>
      <c r="L395" s="40">
        <v>80</v>
      </c>
      <c r="M395" s="40">
        <v>1851</v>
      </c>
      <c r="N395" s="40">
        <v>140</v>
      </c>
      <c r="O395" s="40">
        <v>323</v>
      </c>
      <c r="P395" s="40">
        <v>567</v>
      </c>
      <c r="Q395" s="40">
        <v>9</v>
      </c>
      <c r="R395" s="40">
        <v>650</v>
      </c>
      <c r="S395" s="40">
        <v>162</v>
      </c>
    </row>
    <row r="396" spans="1:19" x14ac:dyDescent="0.35">
      <c r="A396" s="38">
        <v>393</v>
      </c>
      <c r="B396" s="38" t="str">
        <f>_xlfn.XLOOKUP(A396,'Model Modeshare by TAZ'!A:A,'Model Modeshare by TAZ'!B:B)</f>
        <v>Mountain View</v>
      </c>
      <c r="C396" s="38" t="str">
        <f>_xlfn.XLOOKUP(A396,'Model Modeshare by TAZ'!A:A,'Model Modeshare by TAZ'!D:D)</f>
        <v>NO</v>
      </c>
      <c r="D396" s="6">
        <v>3</v>
      </c>
      <c r="E396" s="6">
        <v>304</v>
      </c>
      <c r="F396" s="6">
        <v>784</v>
      </c>
      <c r="G396" s="6">
        <v>794</v>
      </c>
      <c r="H396" s="6">
        <v>345</v>
      </c>
      <c r="I396" s="6">
        <v>283</v>
      </c>
      <c r="J396" s="6">
        <v>21</v>
      </c>
      <c r="K396" s="40">
        <v>97</v>
      </c>
      <c r="L396" s="40">
        <v>52</v>
      </c>
      <c r="M396" s="40">
        <v>3311</v>
      </c>
      <c r="N396" s="40">
        <v>38</v>
      </c>
      <c r="O396" s="40">
        <v>2004</v>
      </c>
      <c r="P396" s="40">
        <v>1268</v>
      </c>
      <c r="Q396" s="40">
        <v>1</v>
      </c>
      <c r="R396" s="40">
        <v>0</v>
      </c>
      <c r="S396" s="40">
        <v>0</v>
      </c>
    </row>
    <row r="397" spans="1:19" x14ac:dyDescent="0.35">
      <c r="A397" s="38">
        <v>394</v>
      </c>
      <c r="B397" s="38" t="str">
        <f>_xlfn.XLOOKUP(A397,'Model Modeshare by TAZ'!A:A,'Model Modeshare by TAZ'!B:B)</f>
        <v>Mountain View</v>
      </c>
      <c r="C397" s="38" t="str">
        <f>_xlfn.XLOOKUP(A397,'Model Modeshare by TAZ'!A:A,'Model Modeshare by TAZ'!D:D)</f>
        <v>NO</v>
      </c>
      <c r="D397" s="6">
        <v>3</v>
      </c>
      <c r="E397" s="6">
        <v>989</v>
      </c>
      <c r="F397" s="6">
        <v>2555</v>
      </c>
      <c r="G397" s="6">
        <v>2604</v>
      </c>
      <c r="H397" s="6">
        <v>1192</v>
      </c>
      <c r="I397" s="6">
        <v>730</v>
      </c>
      <c r="J397" s="6">
        <v>259</v>
      </c>
      <c r="K397" s="40">
        <v>273</v>
      </c>
      <c r="L397" s="40">
        <v>18</v>
      </c>
      <c r="M397" s="40">
        <v>10</v>
      </c>
      <c r="N397" s="40">
        <v>0</v>
      </c>
      <c r="O397" s="40">
        <v>0</v>
      </c>
      <c r="P397" s="40">
        <v>2</v>
      </c>
      <c r="Q397" s="40">
        <v>7</v>
      </c>
      <c r="R397" s="40">
        <v>1</v>
      </c>
      <c r="S397" s="40">
        <v>0</v>
      </c>
    </row>
    <row r="398" spans="1:19" x14ac:dyDescent="0.35">
      <c r="A398" s="38">
        <v>395</v>
      </c>
      <c r="B398" s="38" t="str">
        <f>_xlfn.XLOOKUP(A398,'Model Modeshare by TAZ'!A:A,'Model Modeshare by TAZ'!B:B)</f>
        <v>Mountain View</v>
      </c>
      <c r="C398" s="38" t="str">
        <f>_xlfn.XLOOKUP(A398,'Model Modeshare by TAZ'!A:A,'Model Modeshare by TAZ'!D:D)</f>
        <v>NO</v>
      </c>
      <c r="D398" s="6">
        <v>3</v>
      </c>
      <c r="E398" s="6">
        <v>1365</v>
      </c>
      <c r="F398" s="6">
        <v>2930</v>
      </c>
      <c r="G398" s="6">
        <v>2931</v>
      </c>
      <c r="H398" s="6">
        <v>1865</v>
      </c>
      <c r="I398" s="6">
        <v>342</v>
      </c>
      <c r="J398" s="6">
        <v>1023</v>
      </c>
      <c r="K398" s="40">
        <v>109</v>
      </c>
      <c r="L398" s="40">
        <v>20</v>
      </c>
      <c r="M398" s="40">
        <v>1236</v>
      </c>
      <c r="N398" s="40">
        <v>348</v>
      </c>
      <c r="O398" s="40">
        <v>314</v>
      </c>
      <c r="P398" s="40">
        <v>298</v>
      </c>
      <c r="Q398" s="40">
        <v>0</v>
      </c>
      <c r="R398" s="40">
        <v>46</v>
      </c>
      <c r="S398" s="40">
        <v>230</v>
      </c>
    </row>
    <row r="399" spans="1:19" x14ac:dyDescent="0.35">
      <c r="A399" s="38">
        <v>396</v>
      </c>
      <c r="B399" s="38" t="str">
        <f>_xlfn.XLOOKUP(A399,'Model Modeshare by TAZ'!A:A,'Model Modeshare by TAZ'!B:B)</f>
        <v>Mountain View</v>
      </c>
      <c r="C399" s="38" t="str">
        <f>_xlfn.XLOOKUP(A399,'Model Modeshare by TAZ'!A:A,'Model Modeshare by TAZ'!D:D)</f>
        <v>NO</v>
      </c>
      <c r="D399" s="6">
        <v>3</v>
      </c>
      <c r="E399" s="6">
        <v>847</v>
      </c>
      <c r="F399" s="6">
        <v>1819</v>
      </c>
      <c r="G399" s="6">
        <v>1819</v>
      </c>
      <c r="H399" s="6">
        <v>1158</v>
      </c>
      <c r="I399" s="6">
        <v>217</v>
      </c>
      <c r="J399" s="6">
        <v>630</v>
      </c>
      <c r="K399" s="40">
        <v>92</v>
      </c>
      <c r="L399" s="40">
        <v>14</v>
      </c>
      <c r="M399" s="40">
        <v>871</v>
      </c>
      <c r="N399" s="40">
        <v>341</v>
      </c>
      <c r="O399" s="40">
        <v>97</v>
      </c>
      <c r="P399" s="40">
        <v>169</v>
      </c>
      <c r="Q399" s="40">
        <v>0</v>
      </c>
      <c r="R399" s="40">
        <v>41</v>
      </c>
      <c r="S399" s="40">
        <v>223</v>
      </c>
    </row>
    <row r="400" spans="1:19" x14ac:dyDescent="0.35">
      <c r="A400" s="38">
        <v>397</v>
      </c>
      <c r="B400" s="38" t="str">
        <f>_xlfn.XLOOKUP(A400,'Model Modeshare by TAZ'!A:A,'Model Modeshare by TAZ'!B:B)</f>
        <v>Mountain View</v>
      </c>
      <c r="C400" s="38" t="str">
        <f>_xlfn.XLOOKUP(A400,'Model Modeshare by TAZ'!A:A,'Model Modeshare by TAZ'!D:D)</f>
        <v>NO</v>
      </c>
      <c r="D400" s="6">
        <v>3</v>
      </c>
      <c r="E400" s="6">
        <v>670</v>
      </c>
      <c r="F400" s="6">
        <v>1624</v>
      </c>
      <c r="G400" s="6">
        <v>1624</v>
      </c>
      <c r="H400" s="6">
        <v>902</v>
      </c>
      <c r="I400" s="6">
        <v>431</v>
      </c>
      <c r="J400" s="6">
        <v>239</v>
      </c>
      <c r="K400" s="40">
        <v>111</v>
      </c>
      <c r="L400" s="40">
        <v>9</v>
      </c>
      <c r="M400" s="40">
        <v>661</v>
      </c>
      <c r="N400" s="40">
        <v>70</v>
      </c>
      <c r="O400" s="40">
        <v>430</v>
      </c>
      <c r="P400" s="40">
        <v>109</v>
      </c>
      <c r="Q400" s="40">
        <v>4</v>
      </c>
      <c r="R400" s="40">
        <v>45</v>
      </c>
      <c r="S400" s="40">
        <v>3</v>
      </c>
    </row>
    <row r="401" spans="1:19" x14ac:dyDescent="0.35">
      <c r="A401" s="38">
        <v>398</v>
      </c>
      <c r="B401" s="38" t="str">
        <f>_xlfn.XLOOKUP(A401,'Model Modeshare by TAZ'!A:A,'Model Modeshare by TAZ'!B:B)</f>
        <v>Mountain View</v>
      </c>
      <c r="C401" s="38" t="str">
        <f>_xlfn.XLOOKUP(A401,'Model Modeshare by TAZ'!A:A,'Model Modeshare by TAZ'!D:D)</f>
        <v>NO</v>
      </c>
      <c r="D401" s="6">
        <v>3</v>
      </c>
      <c r="E401" s="6">
        <v>599</v>
      </c>
      <c r="F401" s="6">
        <v>1454</v>
      </c>
      <c r="G401" s="6">
        <v>1455</v>
      </c>
      <c r="H401" s="6">
        <v>806</v>
      </c>
      <c r="I401" s="6">
        <v>388</v>
      </c>
      <c r="J401" s="6">
        <v>211</v>
      </c>
      <c r="K401" s="40">
        <v>157</v>
      </c>
      <c r="L401" s="40">
        <v>1</v>
      </c>
      <c r="M401" s="40">
        <v>11</v>
      </c>
      <c r="N401" s="40">
        <v>0</v>
      </c>
      <c r="O401" s="40">
        <v>1</v>
      </c>
      <c r="P401" s="40">
        <v>0</v>
      </c>
      <c r="Q401" s="40">
        <v>6</v>
      </c>
      <c r="R401" s="40">
        <v>4</v>
      </c>
      <c r="S401" s="40">
        <v>0</v>
      </c>
    </row>
    <row r="402" spans="1:19" x14ac:dyDescent="0.35">
      <c r="A402" s="38">
        <v>399</v>
      </c>
      <c r="B402" s="38" t="str">
        <f>_xlfn.XLOOKUP(A402,'Model Modeshare by TAZ'!A:A,'Model Modeshare by TAZ'!B:B)</f>
        <v>Mountain View</v>
      </c>
      <c r="C402" s="38" t="str">
        <f>_xlfn.XLOOKUP(A402,'Model Modeshare by TAZ'!A:A,'Model Modeshare by TAZ'!D:D)</f>
        <v>NO</v>
      </c>
      <c r="D402" s="6">
        <v>3</v>
      </c>
      <c r="E402" s="6">
        <v>503</v>
      </c>
      <c r="F402" s="6">
        <v>1300</v>
      </c>
      <c r="G402" s="6">
        <v>1315</v>
      </c>
      <c r="H402" s="6">
        <v>570</v>
      </c>
      <c r="I402" s="6">
        <v>471</v>
      </c>
      <c r="J402" s="6">
        <v>32</v>
      </c>
      <c r="K402" s="40">
        <v>137</v>
      </c>
      <c r="L402" s="40">
        <v>7</v>
      </c>
      <c r="M402" s="40">
        <v>429</v>
      </c>
      <c r="N402" s="40">
        <v>222</v>
      </c>
      <c r="O402" s="40">
        <v>51</v>
      </c>
      <c r="P402" s="40">
        <v>155</v>
      </c>
      <c r="Q402" s="40">
        <v>1</v>
      </c>
      <c r="R402" s="40">
        <v>0</v>
      </c>
      <c r="S402" s="40">
        <v>0</v>
      </c>
    </row>
    <row r="403" spans="1:19" x14ac:dyDescent="0.35">
      <c r="A403" s="38">
        <v>400</v>
      </c>
      <c r="B403" s="38" t="str">
        <f>_xlfn.XLOOKUP(A403,'Model Modeshare by TAZ'!A:A,'Model Modeshare by TAZ'!B:B)</f>
        <v>Mountain View</v>
      </c>
      <c r="C403" s="38" t="str">
        <f>_xlfn.XLOOKUP(A403,'Model Modeshare by TAZ'!A:A,'Model Modeshare by TAZ'!D:D)</f>
        <v>NO</v>
      </c>
      <c r="D403" s="6">
        <v>3</v>
      </c>
      <c r="E403" s="6">
        <v>1204</v>
      </c>
      <c r="F403" s="6">
        <v>2959</v>
      </c>
      <c r="G403" s="6">
        <v>2969</v>
      </c>
      <c r="H403" s="6">
        <v>1798</v>
      </c>
      <c r="I403" s="6">
        <v>317</v>
      </c>
      <c r="J403" s="6">
        <v>887</v>
      </c>
      <c r="K403" s="40">
        <v>53</v>
      </c>
      <c r="L403" s="40">
        <v>53</v>
      </c>
      <c r="M403" s="40">
        <v>638</v>
      </c>
      <c r="N403" s="40">
        <v>39</v>
      </c>
      <c r="O403" s="40">
        <v>174</v>
      </c>
      <c r="P403" s="40">
        <v>308</v>
      </c>
      <c r="Q403" s="40">
        <v>3</v>
      </c>
      <c r="R403" s="40">
        <v>107</v>
      </c>
      <c r="S403" s="40">
        <v>7</v>
      </c>
    </row>
    <row r="404" spans="1:19" x14ac:dyDescent="0.35">
      <c r="A404" s="38">
        <v>401</v>
      </c>
      <c r="B404" s="38" t="str">
        <f>_xlfn.XLOOKUP(A404,'Model Modeshare by TAZ'!A:A,'Model Modeshare by TAZ'!B:B)</f>
        <v>Mountain View</v>
      </c>
      <c r="C404" s="38" t="str">
        <f>_xlfn.XLOOKUP(A404,'Model Modeshare by TAZ'!A:A,'Model Modeshare by TAZ'!D:D)</f>
        <v>NO</v>
      </c>
      <c r="D404" s="6">
        <v>3</v>
      </c>
      <c r="E404" s="6">
        <v>138</v>
      </c>
      <c r="F404" s="6">
        <v>343</v>
      </c>
      <c r="G404" s="6">
        <v>345</v>
      </c>
      <c r="H404" s="6">
        <v>203</v>
      </c>
      <c r="I404" s="6">
        <v>74</v>
      </c>
      <c r="J404" s="6">
        <v>64</v>
      </c>
      <c r="K404" s="40">
        <v>33</v>
      </c>
      <c r="L404" s="40">
        <v>74</v>
      </c>
      <c r="M404" s="40">
        <v>2039</v>
      </c>
      <c r="N404" s="40">
        <v>80</v>
      </c>
      <c r="O404" s="40">
        <v>48</v>
      </c>
      <c r="P404" s="40">
        <v>1506</v>
      </c>
      <c r="Q404" s="40">
        <v>9</v>
      </c>
      <c r="R404" s="40">
        <v>315</v>
      </c>
      <c r="S404" s="40">
        <v>81</v>
      </c>
    </row>
    <row r="405" spans="1:19" x14ac:dyDescent="0.35">
      <c r="A405" s="38">
        <v>402</v>
      </c>
      <c r="B405" s="38" t="str">
        <f>_xlfn.XLOOKUP(A405,'Model Modeshare by TAZ'!A:A,'Model Modeshare by TAZ'!B:B)</f>
        <v>Mountain View</v>
      </c>
      <c r="C405" s="38" t="str">
        <f>_xlfn.XLOOKUP(A405,'Model Modeshare by TAZ'!A:A,'Model Modeshare by TAZ'!D:D)</f>
        <v>NO</v>
      </c>
      <c r="D405" s="6">
        <v>3</v>
      </c>
      <c r="E405" s="6">
        <v>0</v>
      </c>
      <c r="F405" s="6">
        <v>0</v>
      </c>
      <c r="G405" s="6">
        <v>0</v>
      </c>
      <c r="H405" s="6">
        <v>0</v>
      </c>
      <c r="I405" s="6">
        <v>0</v>
      </c>
      <c r="J405" s="6">
        <v>0</v>
      </c>
      <c r="K405" s="40">
        <v>0</v>
      </c>
      <c r="L405" s="40">
        <v>35</v>
      </c>
      <c r="M405" s="40">
        <v>1474</v>
      </c>
      <c r="N405" s="40">
        <v>49</v>
      </c>
      <c r="O405" s="40">
        <v>290</v>
      </c>
      <c r="P405" s="40">
        <v>194</v>
      </c>
      <c r="Q405" s="40">
        <v>0</v>
      </c>
      <c r="R405" s="40">
        <v>762</v>
      </c>
      <c r="S405" s="40">
        <v>179</v>
      </c>
    </row>
    <row r="406" spans="1:19" x14ac:dyDescent="0.35">
      <c r="A406" s="38">
        <v>403</v>
      </c>
      <c r="B406" s="38" t="str">
        <f>_xlfn.XLOOKUP(A406,'Model Modeshare by TAZ'!A:A,'Model Modeshare by TAZ'!B:B)</f>
        <v>Mountain View</v>
      </c>
      <c r="C406" s="38" t="str">
        <f>_xlfn.XLOOKUP(A406,'Model Modeshare by TAZ'!A:A,'Model Modeshare by TAZ'!D:D)</f>
        <v>NO</v>
      </c>
      <c r="D406" s="6">
        <v>3</v>
      </c>
      <c r="E406" s="6">
        <v>0</v>
      </c>
      <c r="F406" s="6">
        <v>0</v>
      </c>
      <c r="G406" s="6">
        <v>0</v>
      </c>
      <c r="H406" s="6">
        <v>0</v>
      </c>
      <c r="I406" s="6">
        <v>0</v>
      </c>
      <c r="J406" s="6">
        <v>0</v>
      </c>
      <c r="K406" s="40">
        <v>0</v>
      </c>
      <c r="L406" s="40">
        <v>99</v>
      </c>
      <c r="M406" s="40">
        <v>3459</v>
      </c>
      <c r="N406" s="40">
        <v>107</v>
      </c>
      <c r="O406" s="40">
        <v>533</v>
      </c>
      <c r="P406" s="40">
        <v>452</v>
      </c>
      <c r="Q406" s="40">
        <v>26</v>
      </c>
      <c r="R406" s="40">
        <v>2060</v>
      </c>
      <c r="S406" s="40">
        <v>281</v>
      </c>
    </row>
    <row r="407" spans="1:19" x14ac:dyDescent="0.35">
      <c r="A407" s="38">
        <v>404</v>
      </c>
      <c r="B407" s="38" t="str">
        <f>_xlfn.XLOOKUP(A407,'Model Modeshare by TAZ'!A:A,'Model Modeshare by TAZ'!B:B)</f>
        <v>Mountain View</v>
      </c>
      <c r="C407" s="38" t="str">
        <f>_xlfn.XLOOKUP(A407,'Model Modeshare by TAZ'!A:A,'Model Modeshare by TAZ'!D:D)</f>
        <v>NO</v>
      </c>
      <c r="D407" s="6">
        <v>3</v>
      </c>
      <c r="E407" s="6">
        <v>145</v>
      </c>
      <c r="F407" s="6">
        <v>296</v>
      </c>
      <c r="G407" s="6">
        <v>296</v>
      </c>
      <c r="H407" s="6">
        <v>201</v>
      </c>
      <c r="I407" s="6">
        <v>48</v>
      </c>
      <c r="J407" s="6">
        <v>97</v>
      </c>
      <c r="K407" s="40">
        <v>21</v>
      </c>
      <c r="L407" s="40">
        <v>15</v>
      </c>
      <c r="M407" s="40">
        <v>206</v>
      </c>
      <c r="N407" s="40">
        <v>12</v>
      </c>
      <c r="O407" s="40">
        <v>62</v>
      </c>
      <c r="P407" s="40">
        <v>96</v>
      </c>
      <c r="Q407" s="40">
        <v>12</v>
      </c>
      <c r="R407" s="40">
        <v>19</v>
      </c>
      <c r="S407" s="40">
        <v>5</v>
      </c>
    </row>
    <row r="408" spans="1:19" x14ac:dyDescent="0.35">
      <c r="A408" s="38">
        <v>405</v>
      </c>
      <c r="B408" s="38" t="str">
        <f>_xlfn.XLOOKUP(A408,'Model Modeshare by TAZ'!A:A,'Model Modeshare by TAZ'!B:B)</f>
        <v>Mountain View</v>
      </c>
      <c r="C408" s="38" t="str">
        <f>_xlfn.XLOOKUP(A408,'Model Modeshare by TAZ'!A:A,'Model Modeshare by TAZ'!D:D)</f>
        <v>NO</v>
      </c>
      <c r="D408" s="6">
        <v>3</v>
      </c>
      <c r="E408" s="6">
        <v>0</v>
      </c>
      <c r="F408" s="6">
        <v>0</v>
      </c>
      <c r="G408" s="6">
        <v>0</v>
      </c>
      <c r="H408" s="6">
        <v>0</v>
      </c>
      <c r="I408" s="6">
        <v>0</v>
      </c>
      <c r="J408" s="6">
        <v>0</v>
      </c>
      <c r="K408" s="40">
        <v>0</v>
      </c>
      <c r="L408" s="40">
        <v>119</v>
      </c>
      <c r="M408" s="40">
        <v>5727</v>
      </c>
      <c r="N408" s="40">
        <v>196</v>
      </c>
      <c r="O408" s="40">
        <v>1894</v>
      </c>
      <c r="P408" s="40">
        <v>592</v>
      </c>
      <c r="Q408" s="40">
        <v>117</v>
      </c>
      <c r="R408" s="40">
        <v>2548</v>
      </c>
      <c r="S408" s="40">
        <v>380</v>
      </c>
    </row>
    <row r="409" spans="1:19" x14ac:dyDescent="0.35">
      <c r="A409" s="38">
        <v>406</v>
      </c>
      <c r="B409" s="38" t="str">
        <f>_xlfn.XLOOKUP(A409,'Model Modeshare by TAZ'!A:A,'Model Modeshare by TAZ'!B:B)</f>
        <v>Mountain View</v>
      </c>
      <c r="C409" s="38" t="str">
        <f>_xlfn.XLOOKUP(A409,'Model Modeshare by TAZ'!A:A,'Model Modeshare by TAZ'!D:D)</f>
        <v>NO</v>
      </c>
      <c r="D409" s="6">
        <v>3</v>
      </c>
      <c r="E409" s="6">
        <v>598</v>
      </c>
      <c r="F409" s="6">
        <v>1382</v>
      </c>
      <c r="G409" s="6">
        <v>1383</v>
      </c>
      <c r="H409" s="6">
        <v>906</v>
      </c>
      <c r="I409" s="6">
        <v>314</v>
      </c>
      <c r="J409" s="6">
        <v>284</v>
      </c>
      <c r="K409" s="40">
        <v>62</v>
      </c>
      <c r="L409" s="40">
        <v>70</v>
      </c>
      <c r="M409" s="40">
        <v>2036</v>
      </c>
      <c r="N409" s="40">
        <v>64</v>
      </c>
      <c r="O409" s="40">
        <v>652</v>
      </c>
      <c r="P409" s="40">
        <v>263</v>
      </c>
      <c r="Q409" s="40">
        <v>17</v>
      </c>
      <c r="R409" s="40">
        <v>884</v>
      </c>
      <c r="S409" s="40">
        <v>156</v>
      </c>
    </row>
    <row r="410" spans="1:19" x14ac:dyDescent="0.35">
      <c r="A410" s="38">
        <v>407</v>
      </c>
      <c r="B410" s="38" t="str">
        <f>_xlfn.XLOOKUP(A410,'Model Modeshare by TAZ'!A:A,'Model Modeshare by TAZ'!B:B)</f>
        <v>Mountain View</v>
      </c>
      <c r="C410" s="38" t="str">
        <f>_xlfn.XLOOKUP(A410,'Model Modeshare by TAZ'!A:A,'Model Modeshare by TAZ'!D:D)</f>
        <v>NO</v>
      </c>
      <c r="D410" s="6">
        <v>3</v>
      </c>
      <c r="E410" s="6">
        <v>555</v>
      </c>
      <c r="F410" s="6">
        <v>1138</v>
      </c>
      <c r="G410" s="6">
        <v>1138</v>
      </c>
      <c r="H410" s="6">
        <v>777</v>
      </c>
      <c r="I410" s="6">
        <v>182</v>
      </c>
      <c r="J410" s="6">
        <v>373</v>
      </c>
      <c r="K410" s="40">
        <v>60</v>
      </c>
      <c r="L410" s="40">
        <v>15</v>
      </c>
      <c r="M410" s="40">
        <v>467</v>
      </c>
      <c r="N410" s="40">
        <v>68</v>
      </c>
      <c r="O410" s="40">
        <v>140</v>
      </c>
      <c r="P410" s="40">
        <v>139</v>
      </c>
      <c r="Q410" s="40">
        <v>9</v>
      </c>
      <c r="R410" s="40">
        <v>75</v>
      </c>
      <c r="S410" s="40">
        <v>36</v>
      </c>
    </row>
    <row r="411" spans="1:19" x14ac:dyDescent="0.35">
      <c r="A411" s="38">
        <v>408</v>
      </c>
      <c r="B411" s="38" t="str">
        <f>_xlfn.XLOOKUP(A411,'Model Modeshare by TAZ'!A:A,'Model Modeshare by TAZ'!B:B)</f>
        <v>Mountain View</v>
      </c>
      <c r="C411" s="38" t="str">
        <f>_xlfn.XLOOKUP(A411,'Model Modeshare by TAZ'!A:A,'Model Modeshare by TAZ'!D:D)</f>
        <v>NO</v>
      </c>
      <c r="D411" s="6">
        <v>3</v>
      </c>
      <c r="E411" s="6">
        <v>1674</v>
      </c>
      <c r="F411" s="6">
        <v>4157</v>
      </c>
      <c r="G411" s="6">
        <v>4171</v>
      </c>
      <c r="H411" s="6">
        <v>2467</v>
      </c>
      <c r="I411" s="6">
        <v>911</v>
      </c>
      <c r="J411" s="6">
        <v>763</v>
      </c>
      <c r="K411" s="40">
        <v>224</v>
      </c>
      <c r="L411" s="40">
        <v>26</v>
      </c>
      <c r="M411" s="40">
        <v>573</v>
      </c>
      <c r="N411" s="40">
        <v>55</v>
      </c>
      <c r="O411" s="40">
        <v>173</v>
      </c>
      <c r="P411" s="40">
        <v>133</v>
      </c>
      <c r="Q411" s="40">
        <v>3</v>
      </c>
      <c r="R411" s="40">
        <v>180</v>
      </c>
      <c r="S411" s="40">
        <v>29</v>
      </c>
    </row>
    <row r="412" spans="1:19" x14ac:dyDescent="0.35">
      <c r="A412" s="38">
        <v>409</v>
      </c>
      <c r="B412" s="38" t="str">
        <f>_xlfn.XLOOKUP(A412,'Model Modeshare by TAZ'!A:A,'Model Modeshare by TAZ'!B:B)</f>
        <v>Mountain View</v>
      </c>
      <c r="C412" s="38" t="str">
        <f>_xlfn.XLOOKUP(A412,'Model Modeshare by TAZ'!A:A,'Model Modeshare by TAZ'!D:D)</f>
        <v>NO</v>
      </c>
      <c r="D412" s="6">
        <v>3</v>
      </c>
      <c r="E412" s="6">
        <v>1234</v>
      </c>
      <c r="F412" s="6">
        <v>3048</v>
      </c>
      <c r="G412" s="6">
        <v>3055</v>
      </c>
      <c r="H412" s="6">
        <v>1952</v>
      </c>
      <c r="I412" s="6">
        <v>991</v>
      </c>
      <c r="J412" s="6">
        <v>243</v>
      </c>
      <c r="K412" s="40">
        <v>190</v>
      </c>
      <c r="L412" s="40">
        <v>61</v>
      </c>
      <c r="M412" s="40">
        <v>2182</v>
      </c>
      <c r="N412" s="40">
        <v>1263</v>
      </c>
      <c r="O412" s="40">
        <v>172</v>
      </c>
      <c r="P412" s="40">
        <v>421</v>
      </c>
      <c r="Q412" s="40">
        <v>10</v>
      </c>
      <c r="R412" s="40">
        <v>218</v>
      </c>
      <c r="S412" s="40">
        <v>98</v>
      </c>
    </row>
    <row r="413" spans="1:19" x14ac:dyDescent="0.35">
      <c r="A413" s="38">
        <v>410</v>
      </c>
      <c r="B413" s="38" t="str">
        <f>_xlfn.XLOOKUP(A413,'Model Modeshare by TAZ'!A:A,'Model Modeshare by TAZ'!B:B)</f>
        <v>Mountain View</v>
      </c>
      <c r="C413" s="38" t="str">
        <f>_xlfn.XLOOKUP(A413,'Model Modeshare by TAZ'!A:A,'Model Modeshare by TAZ'!D:D)</f>
        <v>NO</v>
      </c>
      <c r="D413" s="6">
        <v>3</v>
      </c>
      <c r="E413" s="6">
        <v>1824</v>
      </c>
      <c r="F413" s="6">
        <v>3699</v>
      </c>
      <c r="G413" s="6">
        <v>3713</v>
      </c>
      <c r="H413" s="6">
        <v>2021</v>
      </c>
      <c r="I413" s="6">
        <v>484</v>
      </c>
      <c r="J413" s="6">
        <v>1340</v>
      </c>
      <c r="K413" s="40">
        <v>131</v>
      </c>
      <c r="L413" s="40">
        <v>6</v>
      </c>
      <c r="M413" s="40">
        <v>0</v>
      </c>
      <c r="N413" s="40">
        <v>0</v>
      </c>
      <c r="O413" s="40">
        <v>0</v>
      </c>
      <c r="P413" s="40">
        <v>0</v>
      </c>
      <c r="Q413" s="40">
        <v>0</v>
      </c>
      <c r="R413" s="40">
        <v>0</v>
      </c>
      <c r="S413" s="40">
        <v>0</v>
      </c>
    </row>
    <row r="414" spans="1:19" x14ac:dyDescent="0.35">
      <c r="A414" s="38">
        <v>411</v>
      </c>
      <c r="B414" s="38" t="str">
        <f>_xlfn.XLOOKUP(A414,'Model Modeshare by TAZ'!A:A,'Model Modeshare by TAZ'!B:B)</f>
        <v>Mountain View</v>
      </c>
      <c r="C414" s="38" t="str">
        <f>_xlfn.XLOOKUP(A414,'Model Modeshare by TAZ'!A:A,'Model Modeshare by TAZ'!D:D)</f>
        <v>NO</v>
      </c>
      <c r="D414" s="6">
        <v>3</v>
      </c>
      <c r="E414" s="6">
        <v>925</v>
      </c>
      <c r="F414" s="6">
        <v>2352</v>
      </c>
      <c r="G414" s="6">
        <v>2353</v>
      </c>
      <c r="H414" s="6">
        <v>1206</v>
      </c>
      <c r="I414" s="6">
        <v>26</v>
      </c>
      <c r="J414" s="6">
        <v>899</v>
      </c>
      <c r="K414" s="40">
        <v>38</v>
      </c>
      <c r="L414" s="40">
        <v>2</v>
      </c>
      <c r="M414" s="40">
        <v>38</v>
      </c>
      <c r="N414" s="40">
        <v>1</v>
      </c>
      <c r="O414" s="40">
        <v>4</v>
      </c>
      <c r="P414" s="40">
        <v>20</v>
      </c>
      <c r="Q414" s="40">
        <v>0</v>
      </c>
      <c r="R414" s="40">
        <v>11</v>
      </c>
      <c r="S414" s="40">
        <v>2</v>
      </c>
    </row>
    <row r="415" spans="1:19" x14ac:dyDescent="0.35">
      <c r="A415" s="38">
        <v>412</v>
      </c>
      <c r="B415" s="38" t="str">
        <f>_xlfn.XLOOKUP(A415,'Model Modeshare by TAZ'!A:A,'Model Modeshare by TAZ'!B:B)</f>
        <v>Mountain View</v>
      </c>
      <c r="C415" s="38" t="str">
        <f>_xlfn.XLOOKUP(A415,'Model Modeshare by TAZ'!A:A,'Model Modeshare by TAZ'!D:D)</f>
        <v>NO</v>
      </c>
      <c r="D415" s="6">
        <v>3</v>
      </c>
      <c r="E415" s="6">
        <v>437</v>
      </c>
      <c r="F415" s="6">
        <v>1083</v>
      </c>
      <c r="G415" s="6">
        <v>1084</v>
      </c>
      <c r="H415" s="6">
        <v>667</v>
      </c>
      <c r="I415" s="6">
        <v>145</v>
      </c>
      <c r="J415" s="6">
        <v>292</v>
      </c>
      <c r="K415" s="40">
        <v>58</v>
      </c>
      <c r="L415" s="40">
        <v>5</v>
      </c>
      <c r="M415" s="40">
        <v>57</v>
      </c>
      <c r="N415" s="40">
        <v>5</v>
      </c>
      <c r="O415" s="40">
        <v>48</v>
      </c>
      <c r="P415" s="40">
        <v>2</v>
      </c>
      <c r="Q415" s="40">
        <v>2</v>
      </c>
      <c r="R415" s="40">
        <v>0</v>
      </c>
      <c r="S415" s="40">
        <v>0</v>
      </c>
    </row>
    <row r="416" spans="1:19" x14ac:dyDescent="0.35">
      <c r="A416" s="38">
        <v>413</v>
      </c>
      <c r="B416" s="38" t="str">
        <f>_xlfn.XLOOKUP(A416,'Model Modeshare by TAZ'!A:A,'Model Modeshare by TAZ'!B:B)</f>
        <v>Mountain View</v>
      </c>
      <c r="C416" s="38" t="str">
        <f>_xlfn.XLOOKUP(A416,'Model Modeshare by TAZ'!A:A,'Model Modeshare by TAZ'!D:D)</f>
        <v>NO</v>
      </c>
      <c r="D416" s="6">
        <v>3</v>
      </c>
      <c r="E416" s="6">
        <v>160</v>
      </c>
      <c r="F416" s="6">
        <v>327</v>
      </c>
      <c r="G416" s="6">
        <v>329</v>
      </c>
      <c r="H416" s="6">
        <v>239</v>
      </c>
      <c r="I416" s="6">
        <v>60</v>
      </c>
      <c r="J416" s="6">
        <v>100</v>
      </c>
      <c r="K416" s="40">
        <v>16</v>
      </c>
      <c r="L416" s="40">
        <v>26</v>
      </c>
      <c r="M416" s="40">
        <v>1459</v>
      </c>
      <c r="N416" s="40">
        <v>372</v>
      </c>
      <c r="O416" s="40">
        <v>725</v>
      </c>
      <c r="P416" s="40">
        <v>292</v>
      </c>
      <c r="Q416" s="40">
        <v>3</v>
      </c>
      <c r="R416" s="40">
        <v>40</v>
      </c>
      <c r="S416" s="40">
        <v>27</v>
      </c>
    </row>
    <row r="417" spans="1:19" x14ac:dyDescent="0.35">
      <c r="A417" s="38">
        <v>414</v>
      </c>
      <c r="B417" s="38" t="str">
        <f>_xlfn.XLOOKUP(A417,'Model Modeshare by TAZ'!A:A,'Model Modeshare by TAZ'!B:B)</f>
        <v>Mountain View</v>
      </c>
      <c r="C417" s="38" t="str">
        <f>_xlfn.XLOOKUP(A417,'Model Modeshare by TAZ'!A:A,'Model Modeshare by TAZ'!D:D)</f>
        <v>NO</v>
      </c>
      <c r="D417" s="6">
        <v>3</v>
      </c>
      <c r="E417" s="6">
        <v>712</v>
      </c>
      <c r="F417" s="6">
        <v>1545</v>
      </c>
      <c r="G417" s="6">
        <v>1545</v>
      </c>
      <c r="H417" s="6">
        <v>956</v>
      </c>
      <c r="I417" s="6">
        <v>355</v>
      </c>
      <c r="J417" s="6">
        <v>357</v>
      </c>
      <c r="K417" s="40">
        <v>66</v>
      </c>
      <c r="L417" s="40">
        <v>19</v>
      </c>
      <c r="M417" s="40">
        <v>53</v>
      </c>
      <c r="N417" s="40">
        <v>10</v>
      </c>
      <c r="O417" s="40">
        <v>8</v>
      </c>
      <c r="P417" s="40">
        <v>31</v>
      </c>
      <c r="Q417" s="40">
        <v>0</v>
      </c>
      <c r="R417" s="40">
        <v>4</v>
      </c>
      <c r="S417" s="40">
        <v>0</v>
      </c>
    </row>
    <row r="418" spans="1:19" x14ac:dyDescent="0.35">
      <c r="A418" s="38">
        <v>415</v>
      </c>
      <c r="B418" s="38" t="str">
        <f>_xlfn.XLOOKUP(A418,'Model Modeshare by TAZ'!A:A,'Model Modeshare by TAZ'!B:B)</f>
        <v>Mountain View</v>
      </c>
      <c r="C418" s="38" t="str">
        <f>_xlfn.XLOOKUP(A418,'Model Modeshare by TAZ'!A:A,'Model Modeshare by TAZ'!D:D)</f>
        <v>NO</v>
      </c>
      <c r="D418" s="6">
        <v>3</v>
      </c>
      <c r="E418" s="6">
        <v>0</v>
      </c>
      <c r="F418" s="6">
        <v>0</v>
      </c>
      <c r="G418" s="6">
        <v>0</v>
      </c>
      <c r="H418" s="6">
        <v>0</v>
      </c>
      <c r="I418" s="6">
        <v>0</v>
      </c>
      <c r="J418" s="6">
        <v>0</v>
      </c>
      <c r="K418" s="40">
        <v>1</v>
      </c>
      <c r="L418" s="40">
        <v>70</v>
      </c>
      <c r="M418" s="40">
        <v>1785</v>
      </c>
      <c r="N418" s="40">
        <v>71</v>
      </c>
      <c r="O418" s="40">
        <v>370</v>
      </c>
      <c r="P418" s="40">
        <v>195</v>
      </c>
      <c r="Q418" s="40">
        <v>9</v>
      </c>
      <c r="R418" s="40">
        <v>999</v>
      </c>
      <c r="S418" s="40">
        <v>141</v>
      </c>
    </row>
    <row r="419" spans="1:19" x14ac:dyDescent="0.35">
      <c r="A419" s="38">
        <v>416</v>
      </c>
      <c r="B419" s="38" t="str">
        <f>_xlfn.XLOOKUP(A419,'Model Modeshare by TAZ'!A:A,'Model Modeshare by TAZ'!B:B)</f>
        <v>Mountain View</v>
      </c>
      <c r="C419" s="38" t="str">
        <f>_xlfn.XLOOKUP(A419,'Model Modeshare by TAZ'!A:A,'Model Modeshare by TAZ'!D:D)</f>
        <v>NO</v>
      </c>
      <c r="D419" s="6">
        <v>3</v>
      </c>
      <c r="E419" s="6">
        <v>1123</v>
      </c>
      <c r="F419" s="6">
        <v>2300</v>
      </c>
      <c r="G419" s="6">
        <v>2302</v>
      </c>
      <c r="H419" s="6">
        <v>1571</v>
      </c>
      <c r="I419" s="6">
        <v>369</v>
      </c>
      <c r="J419" s="6">
        <v>754</v>
      </c>
      <c r="K419" s="40">
        <v>109</v>
      </c>
      <c r="L419" s="40">
        <v>18</v>
      </c>
      <c r="M419" s="40">
        <v>251</v>
      </c>
      <c r="N419" s="40">
        <v>71</v>
      </c>
      <c r="O419" s="40">
        <v>80</v>
      </c>
      <c r="P419" s="40">
        <v>41</v>
      </c>
      <c r="Q419" s="40">
        <v>15</v>
      </c>
      <c r="R419" s="40">
        <v>35</v>
      </c>
      <c r="S419" s="40">
        <v>9</v>
      </c>
    </row>
    <row r="420" spans="1:19" x14ac:dyDescent="0.35">
      <c r="A420" s="38">
        <v>417</v>
      </c>
      <c r="B420" s="38" t="str">
        <f>_xlfn.XLOOKUP(A420,'Model Modeshare by TAZ'!A:A,'Model Modeshare by TAZ'!B:B)</f>
        <v>Mountain View</v>
      </c>
      <c r="C420" s="38" t="str">
        <f>_xlfn.XLOOKUP(A420,'Model Modeshare by TAZ'!A:A,'Model Modeshare by TAZ'!D:D)</f>
        <v>NO</v>
      </c>
      <c r="D420" s="6">
        <v>3</v>
      </c>
      <c r="E420" s="6">
        <v>1036</v>
      </c>
      <c r="F420" s="6">
        <v>2413</v>
      </c>
      <c r="G420" s="6">
        <v>2413</v>
      </c>
      <c r="H420" s="6">
        <v>1438</v>
      </c>
      <c r="I420" s="6">
        <v>405</v>
      </c>
      <c r="J420" s="6">
        <v>631</v>
      </c>
      <c r="K420" s="40">
        <v>137</v>
      </c>
      <c r="L420" s="40">
        <v>5</v>
      </c>
      <c r="M420" s="40">
        <v>287</v>
      </c>
      <c r="N420" s="40">
        <v>32</v>
      </c>
      <c r="O420" s="40">
        <v>44</v>
      </c>
      <c r="P420" s="40">
        <v>205</v>
      </c>
      <c r="Q420" s="40">
        <v>3</v>
      </c>
      <c r="R420" s="40">
        <v>3</v>
      </c>
      <c r="S420" s="40">
        <v>0</v>
      </c>
    </row>
    <row r="421" spans="1:19" x14ac:dyDescent="0.35">
      <c r="A421" s="38">
        <v>418</v>
      </c>
      <c r="B421" s="38" t="str">
        <f>_xlfn.XLOOKUP(A421,'Model Modeshare by TAZ'!A:A,'Model Modeshare by TAZ'!B:B)</f>
        <v>Mountain View</v>
      </c>
      <c r="C421" s="38" t="str">
        <f>_xlfn.XLOOKUP(A421,'Model Modeshare by TAZ'!A:A,'Model Modeshare by TAZ'!D:D)</f>
        <v>NO</v>
      </c>
      <c r="D421" s="6">
        <v>3</v>
      </c>
      <c r="E421" s="6">
        <v>398</v>
      </c>
      <c r="F421" s="6">
        <v>811</v>
      </c>
      <c r="G421" s="6">
        <v>815</v>
      </c>
      <c r="H421" s="6">
        <v>591</v>
      </c>
      <c r="I421" s="6">
        <v>149</v>
      </c>
      <c r="J421" s="6">
        <v>249</v>
      </c>
      <c r="K421" s="40">
        <v>21</v>
      </c>
      <c r="L421" s="40">
        <v>3</v>
      </c>
      <c r="M421" s="40">
        <v>163</v>
      </c>
      <c r="N421" s="40">
        <v>17</v>
      </c>
      <c r="O421" s="40">
        <v>31</v>
      </c>
      <c r="P421" s="40">
        <v>94</v>
      </c>
      <c r="Q421" s="40">
        <v>2</v>
      </c>
      <c r="R421" s="40">
        <v>14</v>
      </c>
      <c r="S421" s="40">
        <v>5</v>
      </c>
    </row>
    <row r="422" spans="1:19" x14ac:dyDescent="0.35">
      <c r="A422" s="38">
        <v>419</v>
      </c>
      <c r="B422" s="38" t="str">
        <f>_xlfn.XLOOKUP(A422,'Model Modeshare by TAZ'!A:A,'Model Modeshare by TAZ'!B:B)</f>
        <v>Mountain View</v>
      </c>
      <c r="C422" s="38" t="str">
        <f>_xlfn.XLOOKUP(A422,'Model Modeshare by TAZ'!A:A,'Model Modeshare by TAZ'!D:D)</f>
        <v>NO</v>
      </c>
      <c r="D422" s="6">
        <v>3</v>
      </c>
      <c r="E422" s="6">
        <v>121</v>
      </c>
      <c r="F422" s="6">
        <v>246</v>
      </c>
      <c r="G422" s="6">
        <v>262</v>
      </c>
      <c r="H422" s="6">
        <v>179</v>
      </c>
      <c r="I422" s="6">
        <v>46</v>
      </c>
      <c r="J422" s="6">
        <v>75</v>
      </c>
      <c r="K422" s="40">
        <v>27</v>
      </c>
      <c r="L422" s="40">
        <v>5</v>
      </c>
      <c r="M422" s="40">
        <v>416</v>
      </c>
      <c r="N422" s="40">
        <v>28</v>
      </c>
      <c r="O422" s="40">
        <v>289</v>
      </c>
      <c r="P422" s="40">
        <v>76</v>
      </c>
      <c r="Q422" s="40">
        <v>1</v>
      </c>
      <c r="R422" s="40">
        <v>13</v>
      </c>
      <c r="S422" s="40">
        <v>9</v>
      </c>
    </row>
    <row r="423" spans="1:19" x14ac:dyDescent="0.35">
      <c r="A423" s="38">
        <v>420</v>
      </c>
      <c r="B423" s="38" t="str">
        <f>_xlfn.XLOOKUP(A423,'Model Modeshare by TAZ'!A:A,'Model Modeshare by TAZ'!B:B)</f>
        <v>Palo Alto</v>
      </c>
      <c r="C423" s="38" t="str">
        <f>_xlfn.XLOOKUP(A423,'Model Modeshare by TAZ'!A:A,'Model Modeshare by TAZ'!D:D)</f>
        <v>NO</v>
      </c>
      <c r="D423" s="6">
        <v>3</v>
      </c>
      <c r="E423" s="6">
        <v>1231</v>
      </c>
      <c r="F423" s="6">
        <v>2214</v>
      </c>
      <c r="G423" s="6">
        <v>2841</v>
      </c>
      <c r="H423" s="6">
        <v>1793</v>
      </c>
      <c r="I423" s="6">
        <v>1231</v>
      </c>
      <c r="J423" s="6">
        <v>0</v>
      </c>
      <c r="K423" s="40">
        <v>72</v>
      </c>
      <c r="L423" s="40">
        <v>0.5</v>
      </c>
      <c r="M423" s="40">
        <v>36</v>
      </c>
      <c r="N423" s="40">
        <v>0</v>
      </c>
      <c r="O423" s="40">
        <v>0</v>
      </c>
      <c r="P423" s="40">
        <v>31</v>
      </c>
      <c r="Q423" s="40">
        <v>0</v>
      </c>
      <c r="R423" s="40">
        <v>0</v>
      </c>
      <c r="S423" s="40">
        <v>5</v>
      </c>
    </row>
    <row r="424" spans="1:19" x14ac:dyDescent="0.35">
      <c r="A424" s="38">
        <v>421</v>
      </c>
      <c r="B424" s="38" t="str">
        <f>_xlfn.XLOOKUP(A424,'Model Modeshare by TAZ'!A:A,'Model Modeshare by TAZ'!B:B)</f>
        <v>Palo Alto</v>
      </c>
      <c r="C424" s="38" t="str">
        <f>_xlfn.XLOOKUP(A424,'Model Modeshare by TAZ'!A:A,'Model Modeshare by TAZ'!D:D)</f>
        <v>NO</v>
      </c>
      <c r="D424" s="6">
        <v>3</v>
      </c>
      <c r="E424" s="6">
        <v>0</v>
      </c>
      <c r="F424" s="6">
        <v>0</v>
      </c>
      <c r="G424" s="6">
        <v>0</v>
      </c>
      <c r="H424" s="6">
        <v>0</v>
      </c>
      <c r="I424" s="6">
        <v>0</v>
      </c>
      <c r="J424" s="6">
        <v>0</v>
      </c>
      <c r="K424" s="40">
        <v>0</v>
      </c>
      <c r="L424" s="40">
        <v>48</v>
      </c>
      <c r="M424" s="40">
        <v>17547</v>
      </c>
      <c r="N424" s="40">
        <v>1025</v>
      </c>
      <c r="O424" s="40">
        <v>8355</v>
      </c>
      <c r="P424" s="40">
        <v>48</v>
      </c>
      <c r="Q424" s="40">
        <v>41</v>
      </c>
      <c r="R424" s="40">
        <v>6768</v>
      </c>
      <c r="S424" s="40">
        <v>1310</v>
      </c>
    </row>
    <row r="425" spans="1:19" x14ac:dyDescent="0.35">
      <c r="A425" s="38">
        <v>422</v>
      </c>
      <c r="B425" s="38" t="str">
        <f>_xlfn.XLOOKUP(A425,'Model Modeshare by TAZ'!A:A,'Model Modeshare by TAZ'!B:B)</f>
        <v>Palo Alto</v>
      </c>
      <c r="C425" s="38" t="str">
        <f>_xlfn.XLOOKUP(A425,'Model Modeshare by TAZ'!A:A,'Model Modeshare by TAZ'!D:D)</f>
        <v>NO</v>
      </c>
      <c r="D425" s="6">
        <v>3</v>
      </c>
      <c r="E425" s="6">
        <v>13</v>
      </c>
      <c r="F425" s="6">
        <v>32</v>
      </c>
      <c r="G425" s="6">
        <v>32</v>
      </c>
      <c r="H425" s="6">
        <v>17</v>
      </c>
      <c r="I425" s="6">
        <v>13</v>
      </c>
      <c r="J425" s="6">
        <v>0</v>
      </c>
      <c r="K425" s="40">
        <v>0</v>
      </c>
      <c r="L425" s="40">
        <v>24</v>
      </c>
      <c r="M425" s="40">
        <v>1827</v>
      </c>
      <c r="N425" s="40">
        <v>102</v>
      </c>
      <c r="O425" s="40">
        <v>1282</v>
      </c>
      <c r="P425" s="40">
        <v>12</v>
      </c>
      <c r="Q425" s="40">
        <v>9</v>
      </c>
      <c r="R425" s="40">
        <v>354</v>
      </c>
      <c r="S425" s="40">
        <v>68</v>
      </c>
    </row>
    <row r="426" spans="1:19" x14ac:dyDescent="0.35">
      <c r="A426" s="38">
        <v>423</v>
      </c>
      <c r="B426" s="38" t="str">
        <f>_xlfn.XLOOKUP(A426,'Model Modeshare by TAZ'!A:A,'Model Modeshare by TAZ'!B:B)</f>
        <v>Palo Alto</v>
      </c>
      <c r="C426" s="38" t="str">
        <f>_xlfn.XLOOKUP(A426,'Model Modeshare by TAZ'!A:A,'Model Modeshare by TAZ'!D:D)</f>
        <v>NO</v>
      </c>
      <c r="D426" s="6">
        <v>3</v>
      </c>
      <c r="E426" s="6">
        <v>0</v>
      </c>
      <c r="F426" s="6">
        <v>0</v>
      </c>
      <c r="G426" s="6">
        <v>0</v>
      </c>
      <c r="H426" s="6">
        <v>0</v>
      </c>
      <c r="I426" s="6">
        <v>0</v>
      </c>
      <c r="J426" s="6">
        <v>0</v>
      </c>
      <c r="K426" s="40">
        <v>9</v>
      </c>
      <c r="L426" s="40">
        <v>26</v>
      </c>
      <c r="M426" s="40">
        <v>2000</v>
      </c>
      <c r="N426" s="40">
        <v>114</v>
      </c>
      <c r="O426" s="40">
        <v>1231</v>
      </c>
      <c r="P426" s="40">
        <v>13</v>
      </c>
      <c r="Q426" s="40">
        <v>9</v>
      </c>
      <c r="R426" s="40">
        <v>528</v>
      </c>
      <c r="S426" s="40">
        <v>105</v>
      </c>
    </row>
    <row r="427" spans="1:19" x14ac:dyDescent="0.35">
      <c r="A427" s="38">
        <v>424</v>
      </c>
      <c r="B427" s="38" t="str">
        <f>_xlfn.XLOOKUP(A427,'Model Modeshare by TAZ'!A:A,'Model Modeshare by TAZ'!B:B)</f>
        <v>Palo Alto</v>
      </c>
      <c r="C427" s="38" t="str">
        <f>_xlfn.XLOOKUP(A427,'Model Modeshare by TAZ'!A:A,'Model Modeshare by TAZ'!D:D)</f>
        <v>NO</v>
      </c>
      <c r="D427" s="6">
        <v>3</v>
      </c>
      <c r="E427" s="6">
        <v>29</v>
      </c>
      <c r="F427" s="6">
        <v>52</v>
      </c>
      <c r="G427" s="6">
        <v>64</v>
      </c>
      <c r="H427" s="6">
        <v>41</v>
      </c>
      <c r="I427" s="6">
        <v>29</v>
      </c>
      <c r="J427" s="6">
        <v>0</v>
      </c>
      <c r="K427" s="40">
        <v>1</v>
      </c>
      <c r="L427" s="40">
        <v>25</v>
      </c>
      <c r="M427" s="40">
        <v>3644</v>
      </c>
      <c r="N427" s="40">
        <v>150</v>
      </c>
      <c r="O427" s="40">
        <v>2434</v>
      </c>
      <c r="P427" s="40">
        <v>0</v>
      </c>
      <c r="Q427" s="40">
        <v>0</v>
      </c>
      <c r="R427" s="40">
        <v>864</v>
      </c>
      <c r="S427" s="40">
        <v>196</v>
      </c>
    </row>
    <row r="428" spans="1:19" x14ac:dyDescent="0.35">
      <c r="A428" s="38">
        <v>425</v>
      </c>
      <c r="B428" s="38" t="str">
        <f>_xlfn.XLOOKUP(A428,'Model Modeshare by TAZ'!A:A,'Model Modeshare by TAZ'!B:B)</f>
        <v>Palo Alto</v>
      </c>
      <c r="C428" s="38" t="str">
        <f>_xlfn.XLOOKUP(A428,'Model Modeshare by TAZ'!A:A,'Model Modeshare by TAZ'!D:D)</f>
        <v>NO</v>
      </c>
      <c r="D428" s="6">
        <v>3</v>
      </c>
      <c r="E428" s="6">
        <v>0</v>
      </c>
      <c r="F428" s="6">
        <v>0</v>
      </c>
      <c r="G428" s="6">
        <v>0</v>
      </c>
      <c r="H428" s="6">
        <v>0</v>
      </c>
      <c r="I428" s="6">
        <v>0</v>
      </c>
      <c r="J428" s="6">
        <v>0</v>
      </c>
      <c r="K428" s="40">
        <v>2</v>
      </c>
      <c r="L428" s="40">
        <v>30</v>
      </c>
      <c r="M428" s="40">
        <v>1016</v>
      </c>
      <c r="N428" s="40">
        <v>0</v>
      </c>
      <c r="O428" s="40">
        <v>8</v>
      </c>
      <c r="P428" s="40">
        <v>1000</v>
      </c>
      <c r="Q428" s="40">
        <v>8</v>
      </c>
      <c r="R428" s="40">
        <v>0</v>
      </c>
      <c r="S428" s="40">
        <v>0</v>
      </c>
    </row>
    <row r="429" spans="1:19" x14ac:dyDescent="0.35">
      <c r="A429" s="38">
        <v>426</v>
      </c>
      <c r="B429" s="38" t="str">
        <f>_xlfn.XLOOKUP(A429,'Model Modeshare by TAZ'!A:A,'Model Modeshare by TAZ'!B:B)</f>
        <v>Palo Alto</v>
      </c>
      <c r="C429" s="38" t="str">
        <f>_xlfn.XLOOKUP(A429,'Model Modeshare by TAZ'!A:A,'Model Modeshare by TAZ'!D:D)</f>
        <v>NO</v>
      </c>
      <c r="D429" s="6">
        <v>3</v>
      </c>
      <c r="E429" s="6">
        <v>2</v>
      </c>
      <c r="F429" s="6">
        <v>4</v>
      </c>
      <c r="G429" s="6">
        <v>4</v>
      </c>
      <c r="H429" s="6">
        <v>2</v>
      </c>
      <c r="I429" s="6">
        <v>0</v>
      </c>
      <c r="J429" s="6">
        <v>2</v>
      </c>
      <c r="K429" s="40">
        <v>3</v>
      </c>
      <c r="L429" s="40">
        <v>3</v>
      </c>
      <c r="M429" s="40">
        <v>695</v>
      </c>
      <c r="N429" s="40">
        <v>266</v>
      </c>
      <c r="O429" s="40">
        <v>262</v>
      </c>
      <c r="P429" s="40">
        <v>77</v>
      </c>
      <c r="Q429" s="40">
        <v>1</v>
      </c>
      <c r="R429" s="40">
        <v>69</v>
      </c>
      <c r="S429" s="40">
        <v>20</v>
      </c>
    </row>
    <row r="430" spans="1:19" x14ac:dyDescent="0.35">
      <c r="A430" s="38">
        <v>427</v>
      </c>
      <c r="B430" s="38" t="str">
        <f>_xlfn.XLOOKUP(A430,'Model Modeshare by TAZ'!A:A,'Model Modeshare by TAZ'!B:B)</f>
        <v>Palo Alto</v>
      </c>
      <c r="C430" s="38" t="str">
        <f>_xlfn.XLOOKUP(A430,'Model Modeshare by TAZ'!A:A,'Model Modeshare by TAZ'!D:D)</f>
        <v>NO</v>
      </c>
      <c r="D430" s="6">
        <v>3</v>
      </c>
      <c r="E430" s="6">
        <v>65</v>
      </c>
      <c r="F430" s="6">
        <v>121</v>
      </c>
      <c r="G430" s="6">
        <v>124</v>
      </c>
      <c r="H430" s="6">
        <v>66</v>
      </c>
      <c r="I430" s="6">
        <v>65</v>
      </c>
      <c r="J430" s="6">
        <v>0</v>
      </c>
      <c r="K430" s="40">
        <v>3</v>
      </c>
      <c r="L430" s="40">
        <v>3</v>
      </c>
      <c r="M430" s="40">
        <v>590</v>
      </c>
      <c r="N430" s="40">
        <v>176</v>
      </c>
      <c r="O430" s="40">
        <v>231</v>
      </c>
      <c r="P430" s="40">
        <v>86</v>
      </c>
      <c r="Q430" s="40">
        <v>1</v>
      </c>
      <c r="R430" s="40">
        <v>75</v>
      </c>
      <c r="S430" s="40">
        <v>21</v>
      </c>
    </row>
    <row r="431" spans="1:19" x14ac:dyDescent="0.35">
      <c r="A431" s="38">
        <v>428</v>
      </c>
      <c r="B431" s="38" t="str">
        <f>_xlfn.XLOOKUP(A431,'Model Modeshare by TAZ'!A:A,'Model Modeshare by TAZ'!B:B)</f>
        <v>Unincorporated</v>
      </c>
      <c r="C431" s="38" t="str">
        <f>_xlfn.XLOOKUP(A431,'Model Modeshare by TAZ'!A:A,'Model Modeshare by TAZ'!D:D)</f>
        <v>NO</v>
      </c>
      <c r="D431" s="6">
        <v>3</v>
      </c>
      <c r="E431" s="6">
        <v>228</v>
      </c>
      <c r="F431" s="6">
        <v>313</v>
      </c>
      <c r="G431" s="6">
        <v>771</v>
      </c>
      <c r="H431" s="6">
        <v>332</v>
      </c>
      <c r="I431" s="6">
        <v>3</v>
      </c>
      <c r="J431" s="6">
        <v>225</v>
      </c>
      <c r="K431" s="40">
        <v>45</v>
      </c>
      <c r="L431" s="40">
        <v>14</v>
      </c>
      <c r="M431" s="40">
        <v>1021</v>
      </c>
      <c r="N431" s="40">
        <v>7</v>
      </c>
      <c r="O431" s="40">
        <v>5</v>
      </c>
      <c r="P431" s="40">
        <v>993</v>
      </c>
      <c r="Q431" s="40">
        <v>0</v>
      </c>
      <c r="R431" s="40">
        <v>13</v>
      </c>
      <c r="S431" s="40">
        <v>3</v>
      </c>
    </row>
    <row r="432" spans="1:19" x14ac:dyDescent="0.35">
      <c r="A432" s="38">
        <v>429</v>
      </c>
      <c r="B432" s="38" t="str">
        <f>_xlfn.XLOOKUP(A432,'Model Modeshare by TAZ'!A:A,'Model Modeshare by TAZ'!B:B)</f>
        <v>Palo Alto</v>
      </c>
      <c r="C432" s="38" t="str">
        <f>_xlfn.XLOOKUP(A432,'Model Modeshare by TAZ'!A:A,'Model Modeshare by TAZ'!D:D)</f>
        <v>NO</v>
      </c>
      <c r="D432" s="6">
        <v>3</v>
      </c>
      <c r="E432" s="6">
        <v>0</v>
      </c>
      <c r="F432" s="6">
        <v>0</v>
      </c>
      <c r="G432" s="6">
        <v>0</v>
      </c>
      <c r="H432" s="6">
        <v>0</v>
      </c>
      <c r="I432" s="6">
        <v>0</v>
      </c>
      <c r="J432" s="6">
        <v>0</v>
      </c>
      <c r="K432" s="40">
        <v>0</v>
      </c>
      <c r="L432" s="40">
        <v>55</v>
      </c>
      <c r="M432" s="40">
        <v>2538</v>
      </c>
      <c r="N432" s="40">
        <v>1321</v>
      </c>
      <c r="O432" s="40">
        <v>1144</v>
      </c>
      <c r="P432" s="40">
        <v>0</v>
      </c>
      <c r="Q432" s="40">
        <v>0</v>
      </c>
      <c r="R432" s="40">
        <v>0</v>
      </c>
      <c r="S432" s="40">
        <v>73</v>
      </c>
    </row>
    <row r="433" spans="1:19" x14ac:dyDescent="0.35">
      <c r="A433" s="38">
        <v>430</v>
      </c>
      <c r="B433" s="38" t="str">
        <f>_xlfn.XLOOKUP(A433,'Model Modeshare by TAZ'!A:A,'Model Modeshare by TAZ'!B:B)</f>
        <v>Palo Alto</v>
      </c>
      <c r="C433" s="38" t="str">
        <f>_xlfn.XLOOKUP(A433,'Model Modeshare by TAZ'!A:A,'Model Modeshare by TAZ'!D:D)</f>
        <v>NO</v>
      </c>
      <c r="D433" s="6">
        <v>3</v>
      </c>
      <c r="E433" s="6">
        <v>46</v>
      </c>
      <c r="F433" s="6">
        <v>84</v>
      </c>
      <c r="G433" s="6">
        <v>87</v>
      </c>
      <c r="H433" s="6">
        <v>48</v>
      </c>
      <c r="I433" s="6">
        <v>46</v>
      </c>
      <c r="J433" s="6">
        <v>0</v>
      </c>
      <c r="K433" s="40">
        <v>1</v>
      </c>
      <c r="L433" s="40">
        <v>3</v>
      </c>
      <c r="M433" s="40">
        <v>2277</v>
      </c>
      <c r="N433" s="40">
        <v>352</v>
      </c>
      <c r="O433" s="40">
        <v>929</v>
      </c>
      <c r="P433" s="40">
        <v>405</v>
      </c>
      <c r="Q433" s="40">
        <v>3</v>
      </c>
      <c r="R433" s="40">
        <v>490</v>
      </c>
      <c r="S433" s="40">
        <v>98</v>
      </c>
    </row>
    <row r="434" spans="1:19" x14ac:dyDescent="0.35">
      <c r="A434" s="38">
        <v>431</v>
      </c>
      <c r="B434" s="38" t="str">
        <f>_xlfn.XLOOKUP(A434,'Model Modeshare by TAZ'!A:A,'Model Modeshare by TAZ'!B:B)</f>
        <v>Palo Alto</v>
      </c>
      <c r="C434" s="38" t="str">
        <f>_xlfn.XLOOKUP(A434,'Model Modeshare by TAZ'!A:A,'Model Modeshare by TAZ'!D:D)</f>
        <v>NO</v>
      </c>
      <c r="D434" s="6">
        <v>3</v>
      </c>
      <c r="E434" s="6">
        <v>2</v>
      </c>
      <c r="F434" s="6">
        <v>3</v>
      </c>
      <c r="G434" s="6">
        <v>4</v>
      </c>
      <c r="H434" s="6">
        <v>2</v>
      </c>
      <c r="I434" s="6">
        <v>2</v>
      </c>
      <c r="J434" s="6">
        <v>0</v>
      </c>
      <c r="K434" s="40">
        <v>1</v>
      </c>
      <c r="L434" s="40">
        <v>4</v>
      </c>
      <c r="M434" s="40">
        <v>590</v>
      </c>
      <c r="N434" s="40">
        <v>136</v>
      </c>
      <c r="O434" s="40">
        <v>240</v>
      </c>
      <c r="P434" s="40">
        <v>100</v>
      </c>
      <c r="Q434" s="40">
        <v>1</v>
      </c>
      <c r="R434" s="40">
        <v>89</v>
      </c>
      <c r="S434" s="40">
        <v>24</v>
      </c>
    </row>
    <row r="435" spans="1:19" x14ac:dyDescent="0.35">
      <c r="A435" s="38">
        <v>432</v>
      </c>
      <c r="B435" s="38" t="str">
        <f>_xlfn.XLOOKUP(A435,'Model Modeshare by TAZ'!A:A,'Model Modeshare by TAZ'!B:B)</f>
        <v>Palo Alto</v>
      </c>
      <c r="C435" s="38" t="str">
        <f>_xlfn.XLOOKUP(A435,'Model Modeshare by TAZ'!A:A,'Model Modeshare by TAZ'!D:D)</f>
        <v>NO</v>
      </c>
      <c r="D435" s="6">
        <v>3</v>
      </c>
      <c r="E435" s="6">
        <v>2</v>
      </c>
      <c r="F435" s="6">
        <v>4</v>
      </c>
      <c r="G435" s="6">
        <v>4</v>
      </c>
      <c r="H435" s="6">
        <v>2</v>
      </c>
      <c r="I435" s="6">
        <v>2</v>
      </c>
      <c r="J435" s="6">
        <v>0</v>
      </c>
      <c r="K435" s="40">
        <v>2</v>
      </c>
      <c r="L435" s="40">
        <v>3</v>
      </c>
      <c r="M435" s="40">
        <v>1014</v>
      </c>
      <c r="N435" s="40">
        <v>555</v>
      </c>
      <c r="O435" s="40">
        <v>351</v>
      </c>
      <c r="P435" s="40">
        <v>49</v>
      </c>
      <c r="Q435" s="40">
        <v>3</v>
      </c>
      <c r="R435" s="40">
        <v>43</v>
      </c>
      <c r="S435" s="40">
        <v>13</v>
      </c>
    </row>
    <row r="436" spans="1:19" x14ac:dyDescent="0.35">
      <c r="A436" s="38">
        <v>433</v>
      </c>
      <c r="B436" s="38" t="str">
        <f>_xlfn.XLOOKUP(A436,'Model Modeshare by TAZ'!A:A,'Model Modeshare by TAZ'!B:B)</f>
        <v>Palo Alto</v>
      </c>
      <c r="C436" s="38" t="str">
        <f>_xlfn.XLOOKUP(A436,'Model Modeshare by TAZ'!A:A,'Model Modeshare by TAZ'!D:D)</f>
        <v>NO</v>
      </c>
      <c r="D436" s="6">
        <v>3</v>
      </c>
      <c r="E436" s="6">
        <v>29</v>
      </c>
      <c r="F436" s="6">
        <v>53</v>
      </c>
      <c r="G436" s="6">
        <v>54</v>
      </c>
      <c r="H436" s="6">
        <v>30</v>
      </c>
      <c r="I436" s="6">
        <v>29</v>
      </c>
      <c r="J436" s="6">
        <v>0</v>
      </c>
      <c r="K436" s="40">
        <v>3</v>
      </c>
      <c r="L436" s="40">
        <v>2</v>
      </c>
      <c r="M436" s="40">
        <v>436</v>
      </c>
      <c r="N436" s="40">
        <v>78</v>
      </c>
      <c r="O436" s="40">
        <v>143</v>
      </c>
      <c r="P436" s="40">
        <v>157</v>
      </c>
      <c r="Q436" s="40">
        <v>1</v>
      </c>
      <c r="R436" s="40">
        <v>42</v>
      </c>
      <c r="S436" s="40">
        <v>15</v>
      </c>
    </row>
    <row r="437" spans="1:19" x14ac:dyDescent="0.35">
      <c r="A437" s="38">
        <v>434</v>
      </c>
      <c r="B437" s="38" t="str">
        <f>_xlfn.XLOOKUP(A437,'Model Modeshare by TAZ'!A:A,'Model Modeshare by TAZ'!B:B)</f>
        <v>Palo Alto</v>
      </c>
      <c r="C437" s="38" t="str">
        <f>_xlfn.XLOOKUP(A437,'Model Modeshare by TAZ'!A:A,'Model Modeshare by TAZ'!D:D)</f>
        <v>NO</v>
      </c>
      <c r="D437" s="6">
        <v>3</v>
      </c>
      <c r="E437" s="6">
        <v>8</v>
      </c>
      <c r="F437" s="6">
        <v>15</v>
      </c>
      <c r="G437" s="6">
        <v>15</v>
      </c>
      <c r="H437" s="6">
        <v>8</v>
      </c>
      <c r="I437" s="6">
        <v>8</v>
      </c>
      <c r="J437" s="6">
        <v>0</v>
      </c>
      <c r="K437" s="40">
        <v>5</v>
      </c>
      <c r="L437" s="40">
        <v>2</v>
      </c>
      <c r="M437" s="40">
        <v>557</v>
      </c>
      <c r="N437" s="40">
        <v>122</v>
      </c>
      <c r="O437" s="40">
        <v>227</v>
      </c>
      <c r="P437" s="40">
        <v>98</v>
      </c>
      <c r="Q437" s="40">
        <v>1</v>
      </c>
      <c r="R437" s="40">
        <v>85</v>
      </c>
      <c r="S437" s="40">
        <v>24</v>
      </c>
    </row>
    <row r="438" spans="1:19" x14ac:dyDescent="0.35">
      <c r="A438" s="38">
        <v>435</v>
      </c>
      <c r="B438" s="38" t="str">
        <f>_xlfn.XLOOKUP(A438,'Model Modeshare by TAZ'!A:A,'Model Modeshare by TAZ'!B:B)</f>
        <v>Palo Alto</v>
      </c>
      <c r="C438" s="38" t="str">
        <f>_xlfn.XLOOKUP(A438,'Model Modeshare by TAZ'!A:A,'Model Modeshare by TAZ'!D:D)</f>
        <v>NO</v>
      </c>
      <c r="D438" s="6">
        <v>3</v>
      </c>
      <c r="E438" s="6">
        <v>8</v>
      </c>
      <c r="F438" s="6">
        <v>15</v>
      </c>
      <c r="G438" s="6">
        <v>15</v>
      </c>
      <c r="H438" s="6">
        <v>8</v>
      </c>
      <c r="I438" s="6">
        <v>8</v>
      </c>
      <c r="J438" s="6">
        <v>0</v>
      </c>
      <c r="K438" s="40">
        <v>3</v>
      </c>
      <c r="L438" s="40">
        <v>3</v>
      </c>
      <c r="M438" s="40">
        <v>543</v>
      </c>
      <c r="N438" s="40">
        <v>200</v>
      </c>
      <c r="O438" s="40">
        <v>206</v>
      </c>
      <c r="P438" s="40">
        <v>62</v>
      </c>
      <c r="Q438" s="40">
        <v>2</v>
      </c>
      <c r="R438" s="40">
        <v>56</v>
      </c>
      <c r="S438" s="40">
        <v>17</v>
      </c>
    </row>
    <row r="439" spans="1:19" x14ac:dyDescent="0.35">
      <c r="A439" s="38">
        <v>436</v>
      </c>
      <c r="B439" s="38" t="str">
        <f>_xlfn.XLOOKUP(A439,'Model Modeshare by TAZ'!A:A,'Model Modeshare by TAZ'!B:B)</f>
        <v>Palo Alto</v>
      </c>
      <c r="C439" s="38" t="str">
        <f>_xlfn.XLOOKUP(A439,'Model Modeshare by TAZ'!A:A,'Model Modeshare by TAZ'!D:D)</f>
        <v>NO</v>
      </c>
      <c r="D439" s="6">
        <v>3</v>
      </c>
      <c r="E439" s="6">
        <v>380</v>
      </c>
      <c r="F439" s="6">
        <v>696</v>
      </c>
      <c r="G439" s="6">
        <v>782</v>
      </c>
      <c r="H439" s="6">
        <v>391</v>
      </c>
      <c r="I439" s="6">
        <v>380</v>
      </c>
      <c r="J439" s="6">
        <v>0</v>
      </c>
      <c r="K439" s="40">
        <v>5</v>
      </c>
      <c r="L439" s="40">
        <v>6</v>
      </c>
      <c r="M439" s="40">
        <v>874</v>
      </c>
      <c r="N439" s="40">
        <v>74</v>
      </c>
      <c r="O439" s="40">
        <v>450</v>
      </c>
      <c r="P439" s="40">
        <v>164</v>
      </c>
      <c r="Q439" s="40">
        <v>1</v>
      </c>
      <c r="R439" s="40">
        <v>145</v>
      </c>
      <c r="S439" s="40">
        <v>40</v>
      </c>
    </row>
    <row r="440" spans="1:19" x14ac:dyDescent="0.35">
      <c r="A440" s="38">
        <v>437</v>
      </c>
      <c r="B440" s="38" t="str">
        <f>_xlfn.XLOOKUP(A440,'Model Modeshare by TAZ'!A:A,'Model Modeshare by TAZ'!B:B)</f>
        <v>Palo Alto</v>
      </c>
      <c r="C440" s="38" t="str">
        <f>_xlfn.XLOOKUP(A440,'Model Modeshare by TAZ'!A:A,'Model Modeshare by TAZ'!D:D)</f>
        <v>NO</v>
      </c>
      <c r="D440" s="6">
        <v>3</v>
      </c>
      <c r="E440" s="6">
        <v>62</v>
      </c>
      <c r="F440" s="6">
        <v>113</v>
      </c>
      <c r="G440" s="6">
        <v>132</v>
      </c>
      <c r="H440" s="6">
        <v>63</v>
      </c>
      <c r="I440" s="6">
        <v>62</v>
      </c>
      <c r="J440" s="6">
        <v>0</v>
      </c>
      <c r="K440" s="40">
        <v>1</v>
      </c>
      <c r="L440" s="40">
        <v>4</v>
      </c>
      <c r="M440" s="40">
        <v>650</v>
      </c>
      <c r="N440" s="40">
        <v>98</v>
      </c>
      <c r="O440" s="40">
        <v>273</v>
      </c>
      <c r="P440" s="40">
        <v>133</v>
      </c>
      <c r="Q440" s="40">
        <v>1</v>
      </c>
      <c r="R440" s="40">
        <v>114</v>
      </c>
      <c r="S440" s="40">
        <v>31</v>
      </c>
    </row>
    <row r="441" spans="1:19" x14ac:dyDescent="0.35">
      <c r="A441" s="38">
        <v>438</v>
      </c>
      <c r="B441" s="38" t="str">
        <f>_xlfn.XLOOKUP(A441,'Model Modeshare by TAZ'!A:A,'Model Modeshare by TAZ'!B:B)</f>
        <v>Palo Alto</v>
      </c>
      <c r="C441" s="38" t="str">
        <f>_xlfn.XLOOKUP(A441,'Model Modeshare by TAZ'!A:A,'Model Modeshare by TAZ'!D:D)</f>
        <v>NO</v>
      </c>
      <c r="D441" s="6">
        <v>3</v>
      </c>
      <c r="E441" s="6">
        <v>1</v>
      </c>
      <c r="F441" s="6">
        <v>1</v>
      </c>
      <c r="G441" s="6">
        <v>1</v>
      </c>
      <c r="H441" s="6">
        <v>1</v>
      </c>
      <c r="I441" s="6">
        <v>0</v>
      </c>
      <c r="J441" s="6">
        <v>1</v>
      </c>
      <c r="K441" s="40">
        <v>4</v>
      </c>
      <c r="L441" s="40">
        <v>91</v>
      </c>
      <c r="M441" s="40">
        <v>1873</v>
      </c>
      <c r="N441" s="40">
        <v>113</v>
      </c>
      <c r="O441" s="40">
        <v>853</v>
      </c>
      <c r="P441" s="40">
        <v>256</v>
      </c>
      <c r="Q441" s="40">
        <v>13</v>
      </c>
      <c r="R441" s="40">
        <v>572</v>
      </c>
      <c r="S441" s="40">
        <v>66</v>
      </c>
    </row>
    <row r="442" spans="1:19" x14ac:dyDescent="0.35">
      <c r="A442" s="38">
        <v>439</v>
      </c>
      <c r="B442" s="38" t="str">
        <f>_xlfn.XLOOKUP(A442,'Model Modeshare by TAZ'!A:A,'Model Modeshare by TAZ'!B:B)</f>
        <v>Palo Alto</v>
      </c>
      <c r="C442" s="38" t="str">
        <f>_xlfn.XLOOKUP(A442,'Model Modeshare by TAZ'!A:A,'Model Modeshare by TAZ'!D:D)</f>
        <v>NO</v>
      </c>
      <c r="D442" s="6">
        <v>3</v>
      </c>
      <c r="E442" s="6">
        <v>250</v>
      </c>
      <c r="F442" s="6">
        <v>625</v>
      </c>
      <c r="G442" s="6">
        <v>625</v>
      </c>
      <c r="H442" s="6">
        <v>336</v>
      </c>
      <c r="I442" s="6">
        <v>237</v>
      </c>
      <c r="J442" s="6">
        <v>13</v>
      </c>
      <c r="K442" s="40">
        <v>46</v>
      </c>
      <c r="L442" s="40">
        <v>1</v>
      </c>
      <c r="M442" s="40">
        <v>15</v>
      </c>
      <c r="N442" s="40">
        <v>3</v>
      </c>
      <c r="O442" s="40">
        <v>8</v>
      </c>
      <c r="P442" s="40">
        <v>1</v>
      </c>
      <c r="Q442" s="40">
        <v>0</v>
      </c>
      <c r="R442" s="40">
        <v>3</v>
      </c>
      <c r="S442" s="40">
        <v>0</v>
      </c>
    </row>
    <row r="443" spans="1:19" x14ac:dyDescent="0.35">
      <c r="A443" s="38">
        <v>440</v>
      </c>
      <c r="B443" s="38" t="str">
        <f>_xlfn.XLOOKUP(A443,'Model Modeshare by TAZ'!A:A,'Model Modeshare by TAZ'!B:B)</f>
        <v>Palo Alto</v>
      </c>
      <c r="C443" s="38" t="str">
        <f>_xlfn.XLOOKUP(A443,'Model Modeshare by TAZ'!A:A,'Model Modeshare by TAZ'!D:D)</f>
        <v>NO</v>
      </c>
      <c r="D443" s="6">
        <v>3</v>
      </c>
      <c r="E443" s="6">
        <v>26</v>
      </c>
      <c r="F443" s="6">
        <v>60</v>
      </c>
      <c r="G443" s="6">
        <v>64</v>
      </c>
      <c r="H443" s="6">
        <v>35</v>
      </c>
      <c r="I443" s="6">
        <v>24</v>
      </c>
      <c r="J443" s="6">
        <v>2</v>
      </c>
      <c r="K443" s="40">
        <v>2</v>
      </c>
      <c r="L443" s="40">
        <v>6</v>
      </c>
      <c r="M443" s="40">
        <v>386</v>
      </c>
      <c r="N443" s="40">
        <v>58</v>
      </c>
      <c r="O443" s="40">
        <v>189</v>
      </c>
      <c r="P443" s="40">
        <v>17</v>
      </c>
      <c r="Q443" s="40">
        <v>1</v>
      </c>
      <c r="R443" s="40">
        <v>85</v>
      </c>
      <c r="S443" s="40">
        <v>36</v>
      </c>
    </row>
    <row r="444" spans="1:19" x14ac:dyDescent="0.35">
      <c r="A444" s="38">
        <v>441</v>
      </c>
      <c r="B444" s="38" t="str">
        <f>_xlfn.XLOOKUP(A444,'Model Modeshare by TAZ'!A:A,'Model Modeshare by TAZ'!B:B)</f>
        <v>Palo Alto</v>
      </c>
      <c r="C444" s="38" t="str">
        <f>_xlfn.XLOOKUP(A444,'Model Modeshare by TAZ'!A:A,'Model Modeshare by TAZ'!D:D)</f>
        <v>NO</v>
      </c>
      <c r="D444" s="6">
        <v>3</v>
      </c>
      <c r="E444" s="6">
        <v>140</v>
      </c>
      <c r="F444" s="6">
        <v>320</v>
      </c>
      <c r="G444" s="6">
        <v>356</v>
      </c>
      <c r="H444" s="6">
        <v>193</v>
      </c>
      <c r="I444" s="6">
        <v>140</v>
      </c>
      <c r="J444" s="6">
        <v>0</v>
      </c>
      <c r="K444" s="40">
        <v>1</v>
      </c>
      <c r="L444" s="40">
        <v>5</v>
      </c>
      <c r="M444" s="40">
        <v>170</v>
      </c>
      <c r="N444" s="40">
        <v>21</v>
      </c>
      <c r="O444" s="40">
        <v>88</v>
      </c>
      <c r="P444" s="40">
        <v>8</v>
      </c>
      <c r="Q444" s="40">
        <v>1</v>
      </c>
      <c r="R444" s="40">
        <v>37</v>
      </c>
      <c r="S444" s="40">
        <v>15</v>
      </c>
    </row>
    <row r="445" spans="1:19" x14ac:dyDescent="0.35">
      <c r="A445" s="38">
        <v>442</v>
      </c>
      <c r="B445" s="38" t="str">
        <f>_xlfn.XLOOKUP(A445,'Model Modeshare by TAZ'!A:A,'Model Modeshare by TAZ'!B:B)</f>
        <v>Palo Alto</v>
      </c>
      <c r="C445" s="38" t="str">
        <f>_xlfn.XLOOKUP(A445,'Model Modeshare by TAZ'!A:A,'Model Modeshare by TAZ'!D:D)</f>
        <v>NO</v>
      </c>
      <c r="D445" s="6">
        <v>3</v>
      </c>
      <c r="E445" s="6">
        <v>36</v>
      </c>
      <c r="F445" s="6">
        <v>83</v>
      </c>
      <c r="G445" s="6">
        <v>91</v>
      </c>
      <c r="H445" s="6">
        <v>50</v>
      </c>
      <c r="I445" s="6">
        <v>34</v>
      </c>
      <c r="J445" s="6">
        <v>2</v>
      </c>
      <c r="K445" s="40">
        <v>2</v>
      </c>
      <c r="L445" s="40">
        <v>8</v>
      </c>
      <c r="M445" s="40">
        <v>699</v>
      </c>
      <c r="N445" s="40">
        <v>117</v>
      </c>
      <c r="O445" s="40">
        <v>343</v>
      </c>
      <c r="P445" s="40">
        <v>47</v>
      </c>
      <c r="Q445" s="40">
        <v>1</v>
      </c>
      <c r="R445" s="40">
        <v>136</v>
      </c>
      <c r="S445" s="40">
        <v>55</v>
      </c>
    </row>
    <row r="446" spans="1:19" x14ac:dyDescent="0.35">
      <c r="A446" s="38">
        <v>443</v>
      </c>
      <c r="B446" s="38" t="str">
        <f>_xlfn.XLOOKUP(A446,'Model Modeshare by TAZ'!A:A,'Model Modeshare by TAZ'!B:B)</f>
        <v>Palo Alto</v>
      </c>
      <c r="C446" s="38" t="str">
        <f>_xlfn.XLOOKUP(A446,'Model Modeshare by TAZ'!A:A,'Model Modeshare by TAZ'!D:D)</f>
        <v>NO</v>
      </c>
      <c r="D446" s="6">
        <v>3</v>
      </c>
      <c r="E446" s="6">
        <v>97</v>
      </c>
      <c r="F446" s="6">
        <v>173</v>
      </c>
      <c r="G446" s="6">
        <v>222</v>
      </c>
      <c r="H446" s="6">
        <v>141</v>
      </c>
      <c r="I446" s="6">
        <v>97</v>
      </c>
      <c r="J446" s="6">
        <v>0</v>
      </c>
      <c r="K446" s="40">
        <v>19</v>
      </c>
      <c r="L446" s="40">
        <v>35</v>
      </c>
      <c r="M446" s="40">
        <v>1919</v>
      </c>
      <c r="N446" s="40">
        <v>84</v>
      </c>
      <c r="O446" s="40">
        <v>1039</v>
      </c>
      <c r="P446" s="40">
        <v>3</v>
      </c>
      <c r="Q446" s="40">
        <v>0</v>
      </c>
      <c r="R446" s="40">
        <v>683</v>
      </c>
      <c r="S446" s="40">
        <v>110</v>
      </c>
    </row>
    <row r="447" spans="1:19" x14ac:dyDescent="0.35">
      <c r="A447" s="38">
        <v>444</v>
      </c>
      <c r="B447" s="38" t="str">
        <f>_xlfn.XLOOKUP(A447,'Model Modeshare by TAZ'!A:A,'Model Modeshare by TAZ'!B:B)</f>
        <v>Palo Alto</v>
      </c>
      <c r="C447" s="38" t="str">
        <f>_xlfn.XLOOKUP(A447,'Model Modeshare by TAZ'!A:A,'Model Modeshare by TAZ'!D:D)</f>
        <v>NO</v>
      </c>
      <c r="D447" s="6">
        <v>3</v>
      </c>
      <c r="E447" s="6">
        <v>0</v>
      </c>
      <c r="F447" s="6">
        <v>0</v>
      </c>
      <c r="G447" s="6">
        <v>0</v>
      </c>
      <c r="H447" s="6">
        <v>0</v>
      </c>
      <c r="I447" s="6">
        <v>0</v>
      </c>
      <c r="J447" s="6">
        <v>0</v>
      </c>
      <c r="K447" s="40">
        <v>0</v>
      </c>
      <c r="L447" s="40">
        <v>62</v>
      </c>
      <c r="M447" s="40">
        <v>8863</v>
      </c>
      <c r="N447" s="40">
        <v>14</v>
      </c>
      <c r="O447" s="40">
        <v>2274</v>
      </c>
      <c r="P447" s="40">
        <v>5751</v>
      </c>
      <c r="Q447" s="40">
        <v>0</v>
      </c>
      <c r="R447" s="40">
        <v>667</v>
      </c>
      <c r="S447" s="40">
        <v>157</v>
      </c>
    </row>
    <row r="448" spans="1:19" x14ac:dyDescent="0.35">
      <c r="A448" s="38">
        <v>445</v>
      </c>
      <c r="B448" s="38" t="str">
        <f>_xlfn.XLOOKUP(A448,'Model Modeshare by TAZ'!A:A,'Model Modeshare by TAZ'!B:B)</f>
        <v>Unincorporated</v>
      </c>
      <c r="C448" s="38" t="str">
        <f>_xlfn.XLOOKUP(A448,'Model Modeshare by TAZ'!A:A,'Model Modeshare by TAZ'!D:D)</f>
        <v>NO</v>
      </c>
      <c r="D448" s="6">
        <v>3</v>
      </c>
      <c r="E448" s="6">
        <v>0</v>
      </c>
      <c r="F448" s="6">
        <v>0</v>
      </c>
      <c r="G448" s="6">
        <v>0</v>
      </c>
      <c r="H448" s="6">
        <v>0</v>
      </c>
      <c r="I448" s="6">
        <v>0</v>
      </c>
      <c r="J448" s="6">
        <v>0</v>
      </c>
      <c r="K448" s="40">
        <v>34</v>
      </c>
      <c r="L448" s="40">
        <v>21</v>
      </c>
      <c r="M448" s="40">
        <v>3642</v>
      </c>
      <c r="N448" s="40">
        <v>0</v>
      </c>
      <c r="O448" s="40">
        <v>164</v>
      </c>
      <c r="P448" s="40">
        <v>3456</v>
      </c>
      <c r="Q448" s="40">
        <v>6</v>
      </c>
      <c r="R448" s="40">
        <v>0</v>
      </c>
      <c r="S448" s="40">
        <v>16</v>
      </c>
    </row>
    <row r="449" spans="1:19" x14ac:dyDescent="0.35">
      <c r="A449" s="38">
        <v>446</v>
      </c>
      <c r="B449" s="38" t="str">
        <f>_xlfn.XLOOKUP(A449,'Model Modeshare by TAZ'!A:A,'Model Modeshare by TAZ'!B:B)</f>
        <v>Unincorporated</v>
      </c>
      <c r="C449" s="38" t="str">
        <f>_xlfn.XLOOKUP(A449,'Model Modeshare by TAZ'!A:A,'Model Modeshare by TAZ'!D:D)</f>
        <v>NO</v>
      </c>
      <c r="D449" s="6">
        <v>3</v>
      </c>
      <c r="E449" s="6">
        <v>0</v>
      </c>
      <c r="F449" s="6">
        <v>0</v>
      </c>
      <c r="G449" s="6">
        <v>0</v>
      </c>
      <c r="H449" s="6">
        <v>0</v>
      </c>
      <c r="I449" s="6">
        <v>0</v>
      </c>
      <c r="J449" s="6">
        <v>0</v>
      </c>
      <c r="K449" s="40">
        <v>14</v>
      </c>
      <c r="L449" s="40">
        <v>7</v>
      </c>
      <c r="M449" s="40">
        <v>19</v>
      </c>
      <c r="N449" s="40">
        <v>0</v>
      </c>
      <c r="O449" s="40">
        <v>0</v>
      </c>
      <c r="P449" s="40">
        <v>0</v>
      </c>
      <c r="Q449" s="40">
        <v>6</v>
      </c>
      <c r="R449" s="40">
        <v>0</v>
      </c>
      <c r="S449" s="40">
        <v>13</v>
      </c>
    </row>
    <row r="450" spans="1:19" x14ac:dyDescent="0.35">
      <c r="A450" s="38">
        <v>447</v>
      </c>
      <c r="B450" s="38" t="str">
        <f>_xlfn.XLOOKUP(A450,'Model Modeshare by TAZ'!A:A,'Model Modeshare by TAZ'!B:B)</f>
        <v>Unincorporated</v>
      </c>
      <c r="C450" s="38" t="str">
        <f>_xlfn.XLOOKUP(A450,'Model Modeshare by TAZ'!A:A,'Model Modeshare by TAZ'!D:D)</f>
        <v>NO</v>
      </c>
      <c r="D450" s="6">
        <v>3</v>
      </c>
      <c r="E450" s="6">
        <v>14</v>
      </c>
      <c r="F450" s="6">
        <v>27</v>
      </c>
      <c r="G450" s="6">
        <v>35</v>
      </c>
      <c r="H450" s="6">
        <v>20</v>
      </c>
      <c r="I450" s="6">
        <v>0</v>
      </c>
      <c r="J450" s="6">
        <v>14</v>
      </c>
      <c r="K450" s="40">
        <v>45</v>
      </c>
      <c r="L450" s="40">
        <v>26</v>
      </c>
      <c r="M450" s="40">
        <v>3401</v>
      </c>
      <c r="N450" s="40">
        <v>0</v>
      </c>
      <c r="O450" s="40">
        <v>74</v>
      </c>
      <c r="P450" s="40">
        <v>3311</v>
      </c>
      <c r="Q450" s="40">
        <v>3</v>
      </c>
      <c r="R450" s="40">
        <v>0</v>
      </c>
      <c r="S450" s="40">
        <v>13</v>
      </c>
    </row>
    <row r="451" spans="1:19" x14ac:dyDescent="0.35">
      <c r="A451" s="38">
        <v>448</v>
      </c>
      <c r="B451" s="38" t="str">
        <f>_xlfn.XLOOKUP(A451,'Model Modeshare by TAZ'!A:A,'Model Modeshare by TAZ'!B:B)</f>
        <v>Unincorporated</v>
      </c>
      <c r="C451" s="38" t="str">
        <f>_xlfn.XLOOKUP(A451,'Model Modeshare by TAZ'!A:A,'Model Modeshare by TAZ'!D:D)</f>
        <v>NO</v>
      </c>
      <c r="D451" s="6">
        <v>3</v>
      </c>
      <c r="E451" s="6">
        <v>2</v>
      </c>
      <c r="F451" s="6">
        <v>3</v>
      </c>
      <c r="G451" s="6">
        <v>5</v>
      </c>
      <c r="H451" s="6">
        <v>3</v>
      </c>
      <c r="I451" s="6">
        <v>0</v>
      </c>
      <c r="J451" s="6">
        <v>2</v>
      </c>
      <c r="K451" s="40">
        <v>86</v>
      </c>
      <c r="L451" s="40">
        <v>1</v>
      </c>
      <c r="M451" s="40">
        <v>2107</v>
      </c>
      <c r="N451" s="40">
        <v>10</v>
      </c>
      <c r="O451" s="40">
        <v>0</v>
      </c>
      <c r="P451" s="40">
        <v>2076</v>
      </c>
      <c r="Q451" s="40">
        <v>0</v>
      </c>
      <c r="R451" s="40">
        <v>18</v>
      </c>
      <c r="S451" s="40">
        <v>3</v>
      </c>
    </row>
    <row r="452" spans="1:19" x14ac:dyDescent="0.35">
      <c r="A452" s="38">
        <v>449</v>
      </c>
      <c r="B452" s="38" t="str">
        <f>_xlfn.XLOOKUP(A452,'Model Modeshare by TAZ'!A:A,'Model Modeshare by TAZ'!B:B)</f>
        <v>Unincorporated</v>
      </c>
      <c r="C452" s="38" t="str">
        <f>_xlfn.XLOOKUP(A452,'Model Modeshare by TAZ'!A:A,'Model Modeshare by TAZ'!D:D)</f>
        <v>NO</v>
      </c>
      <c r="D452" s="6">
        <v>3</v>
      </c>
      <c r="E452" s="6">
        <v>3</v>
      </c>
      <c r="F452" s="6">
        <v>4</v>
      </c>
      <c r="G452" s="6">
        <v>7</v>
      </c>
      <c r="H452" s="6">
        <v>4</v>
      </c>
      <c r="I452" s="6">
        <v>0</v>
      </c>
      <c r="J452" s="6">
        <v>3</v>
      </c>
      <c r="K452" s="40">
        <v>0</v>
      </c>
      <c r="L452" s="40">
        <v>37</v>
      </c>
      <c r="M452" s="40">
        <v>50</v>
      </c>
      <c r="N452" s="40">
        <v>7</v>
      </c>
      <c r="O452" s="40">
        <v>28</v>
      </c>
      <c r="P452" s="40">
        <v>0</v>
      </c>
      <c r="Q452" s="40">
        <v>0</v>
      </c>
      <c r="R452" s="40">
        <v>12</v>
      </c>
      <c r="S452" s="40">
        <v>3</v>
      </c>
    </row>
    <row r="453" spans="1:19" x14ac:dyDescent="0.35">
      <c r="A453" s="38">
        <v>450</v>
      </c>
      <c r="B453" s="38" t="str">
        <f>_xlfn.XLOOKUP(A453,'Model Modeshare by TAZ'!A:A,'Model Modeshare by TAZ'!B:B)</f>
        <v>Unincorporated</v>
      </c>
      <c r="C453" s="38" t="str">
        <f>_xlfn.XLOOKUP(A453,'Model Modeshare by TAZ'!A:A,'Model Modeshare by TAZ'!D:D)</f>
        <v>NO</v>
      </c>
      <c r="D453" s="6">
        <v>3</v>
      </c>
      <c r="E453" s="6">
        <v>0</v>
      </c>
      <c r="F453" s="6">
        <v>0</v>
      </c>
      <c r="G453" s="6">
        <v>0</v>
      </c>
      <c r="H453" s="6">
        <v>0</v>
      </c>
      <c r="I453" s="6">
        <v>0</v>
      </c>
      <c r="J453" s="6">
        <v>0</v>
      </c>
      <c r="K453" s="40">
        <v>1</v>
      </c>
      <c r="L453" s="40">
        <v>28</v>
      </c>
      <c r="M453" s="40">
        <v>1381</v>
      </c>
      <c r="N453" s="40">
        <v>7</v>
      </c>
      <c r="O453" s="40">
        <v>925</v>
      </c>
      <c r="P453" s="40">
        <v>433</v>
      </c>
      <c r="Q453" s="40">
        <v>0</v>
      </c>
      <c r="R453" s="40">
        <v>13</v>
      </c>
      <c r="S453" s="40">
        <v>3</v>
      </c>
    </row>
    <row r="454" spans="1:19" x14ac:dyDescent="0.35">
      <c r="A454" s="38">
        <v>451</v>
      </c>
      <c r="B454" s="38" t="str">
        <f>_xlfn.XLOOKUP(A454,'Model Modeshare by TAZ'!A:A,'Model Modeshare by TAZ'!B:B)</f>
        <v>Los Altos Hills</v>
      </c>
      <c r="C454" s="38" t="str">
        <f>_xlfn.XLOOKUP(A454,'Model Modeshare by TAZ'!A:A,'Model Modeshare by TAZ'!D:D)</f>
        <v>NO</v>
      </c>
      <c r="D454" s="6">
        <v>3</v>
      </c>
      <c r="E454" s="6">
        <v>824</v>
      </c>
      <c r="F454" s="6">
        <v>2172</v>
      </c>
      <c r="G454" s="6">
        <v>2229</v>
      </c>
      <c r="H454" s="6">
        <v>1252</v>
      </c>
      <c r="I454" s="6">
        <v>759</v>
      </c>
      <c r="J454" s="6">
        <v>65</v>
      </c>
      <c r="K454" s="40">
        <v>1228</v>
      </c>
      <c r="L454" s="40">
        <v>2</v>
      </c>
      <c r="M454" s="40">
        <v>32</v>
      </c>
      <c r="N454" s="40">
        <v>0</v>
      </c>
      <c r="O454" s="40">
        <v>27</v>
      </c>
      <c r="P454" s="40">
        <v>0</v>
      </c>
      <c r="Q454" s="40">
        <v>5</v>
      </c>
      <c r="R454" s="40">
        <v>0</v>
      </c>
      <c r="S454" s="40">
        <v>0</v>
      </c>
    </row>
    <row r="455" spans="1:19" x14ac:dyDescent="0.35">
      <c r="A455" s="38">
        <v>452</v>
      </c>
      <c r="B455" s="38" t="str">
        <f>_xlfn.XLOOKUP(A455,'Model Modeshare by TAZ'!A:A,'Model Modeshare by TAZ'!B:B)</f>
        <v>Los Altos Hills</v>
      </c>
      <c r="C455" s="38" t="str">
        <f>_xlfn.XLOOKUP(A455,'Model Modeshare by TAZ'!A:A,'Model Modeshare by TAZ'!D:D)</f>
        <v>NO</v>
      </c>
      <c r="D455" s="6">
        <v>3</v>
      </c>
      <c r="E455" s="6">
        <v>44</v>
      </c>
      <c r="F455" s="6">
        <v>117</v>
      </c>
      <c r="G455" s="6">
        <v>120</v>
      </c>
      <c r="H455" s="6">
        <v>66</v>
      </c>
      <c r="I455" s="6">
        <v>41</v>
      </c>
      <c r="J455" s="6">
        <v>3</v>
      </c>
      <c r="K455" s="40">
        <v>49</v>
      </c>
      <c r="L455" s="40">
        <v>2</v>
      </c>
      <c r="M455" s="40">
        <v>1000</v>
      </c>
      <c r="N455" s="40">
        <v>0</v>
      </c>
      <c r="O455" s="40">
        <v>29</v>
      </c>
      <c r="P455" s="40">
        <v>957</v>
      </c>
      <c r="Q455" s="40">
        <v>0</v>
      </c>
      <c r="R455" s="40">
        <v>12</v>
      </c>
      <c r="S455" s="40">
        <v>0</v>
      </c>
    </row>
    <row r="456" spans="1:19" x14ac:dyDescent="0.35">
      <c r="A456" s="38">
        <v>453</v>
      </c>
      <c r="B456" s="38" t="str">
        <f>_xlfn.XLOOKUP(A456,'Model Modeshare by TAZ'!A:A,'Model Modeshare by TAZ'!B:B)</f>
        <v>Los Altos Hills</v>
      </c>
      <c r="C456" s="38" t="str">
        <f>_xlfn.XLOOKUP(A456,'Model Modeshare by TAZ'!A:A,'Model Modeshare by TAZ'!D:D)</f>
        <v>NO</v>
      </c>
      <c r="D456" s="6">
        <v>3</v>
      </c>
      <c r="E456" s="6">
        <v>262</v>
      </c>
      <c r="F456" s="6">
        <v>739</v>
      </c>
      <c r="G456" s="6">
        <v>740</v>
      </c>
      <c r="H456" s="6">
        <v>419</v>
      </c>
      <c r="I456" s="6">
        <v>255</v>
      </c>
      <c r="J456" s="6">
        <v>7</v>
      </c>
      <c r="K456" s="40">
        <v>397</v>
      </c>
      <c r="L456" s="40">
        <v>1</v>
      </c>
      <c r="M456" s="40">
        <v>124</v>
      </c>
      <c r="N456" s="40">
        <v>2</v>
      </c>
      <c r="O456" s="40">
        <v>113</v>
      </c>
      <c r="P456" s="40">
        <v>3</v>
      </c>
      <c r="Q456" s="40">
        <v>3</v>
      </c>
      <c r="R456" s="40">
        <v>2</v>
      </c>
      <c r="S456" s="40">
        <v>1</v>
      </c>
    </row>
    <row r="457" spans="1:19" x14ac:dyDescent="0.35">
      <c r="A457" s="38">
        <v>454</v>
      </c>
      <c r="B457" s="38" t="str">
        <f>_xlfn.XLOOKUP(A457,'Model Modeshare by TAZ'!A:A,'Model Modeshare by TAZ'!B:B)</f>
        <v>Los Altos Hills</v>
      </c>
      <c r="C457" s="38" t="str">
        <f>_xlfn.XLOOKUP(A457,'Model Modeshare by TAZ'!A:A,'Model Modeshare by TAZ'!D:D)</f>
        <v>NO</v>
      </c>
      <c r="D457" s="6">
        <v>3</v>
      </c>
      <c r="E457" s="6">
        <v>355</v>
      </c>
      <c r="F457" s="6">
        <v>1005</v>
      </c>
      <c r="G457" s="6">
        <v>1007</v>
      </c>
      <c r="H457" s="6">
        <v>567</v>
      </c>
      <c r="I457" s="6">
        <v>347</v>
      </c>
      <c r="J457" s="6">
        <v>8</v>
      </c>
      <c r="K457" s="40">
        <v>490</v>
      </c>
      <c r="L457" s="40">
        <v>1</v>
      </c>
      <c r="M457" s="40">
        <v>410</v>
      </c>
      <c r="N457" s="40">
        <v>2</v>
      </c>
      <c r="O457" s="40">
        <v>195</v>
      </c>
      <c r="P457" s="40">
        <v>207</v>
      </c>
      <c r="Q457" s="40">
        <v>3</v>
      </c>
      <c r="R457" s="40">
        <v>2</v>
      </c>
      <c r="S457" s="40">
        <v>1</v>
      </c>
    </row>
    <row r="458" spans="1:19" x14ac:dyDescent="0.35">
      <c r="A458" s="38">
        <v>455</v>
      </c>
      <c r="B458" s="38" t="str">
        <f>_xlfn.XLOOKUP(A458,'Model Modeshare by TAZ'!A:A,'Model Modeshare by TAZ'!B:B)</f>
        <v>Los Altos Hills</v>
      </c>
      <c r="C458" s="38" t="str">
        <f>_xlfn.XLOOKUP(A458,'Model Modeshare by TAZ'!A:A,'Model Modeshare by TAZ'!D:D)</f>
        <v>NO</v>
      </c>
      <c r="D458" s="6">
        <v>3</v>
      </c>
      <c r="E458" s="6">
        <v>498</v>
      </c>
      <c r="F458" s="6">
        <v>1411</v>
      </c>
      <c r="G458" s="6">
        <v>1414</v>
      </c>
      <c r="H458" s="6">
        <v>798</v>
      </c>
      <c r="I458" s="6">
        <v>357</v>
      </c>
      <c r="J458" s="6">
        <v>141</v>
      </c>
      <c r="K458" s="40">
        <v>455</v>
      </c>
      <c r="L458" s="40">
        <v>1</v>
      </c>
      <c r="M458" s="40">
        <v>373</v>
      </c>
      <c r="N458" s="40">
        <v>5</v>
      </c>
      <c r="O458" s="40">
        <v>275</v>
      </c>
      <c r="P458" s="40">
        <v>76</v>
      </c>
      <c r="Q458" s="40">
        <v>7</v>
      </c>
      <c r="R458" s="40">
        <v>5</v>
      </c>
      <c r="S458" s="40">
        <v>5</v>
      </c>
    </row>
    <row r="459" spans="1:19" x14ac:dyDescent="0.35">
      <c r="A459" s="38">
        <v>456</v>
      </c>
      <c r="B459" s="38" t="str">
        <f>_xlfn.XLOOKUP(A459,'Model Modeshare by TAZ'!A:A,'Model Modeshare by TAZ'!B:B)</f>
        <v>Mountain View</v>
      </c>
      <c r="C459" s="38" t="str">
        <f>_xlfn.XLOOKUP(A459,'Model Modeshare by TAZ'!A:A,'Model Modeshare by TAZ'!D:D)</f>
        <v>NO</v>
      </c>
      <c r="D459" s="6">
        <v>3</v>
      </c>
      <c r="E459" s="6">
        <v>126</v>
      </c>
      <c r="F459" s="6">
        <v>300</v>
      </c>
      <c r="G459" s="6">
        <v>300</v>
      </c>
      <c r="H459" s="6">
        <v>189</v>
      </c>
      <c r="I459" s="6">
        <v>35</v>
      </c>
      <c r="J459" s="6">
        <v>91</v>
      </c>
      <c r="K459" s="40">
        <v>27</v>
      </c>
      <c r="L459" s="40">
        <v>128</v>
      </c>
      <c r="M459" s="40">
        <v>4627</v>
      </c>
      <c r="N459" s="40">
        <v>933</v>
      </c>
      <c r="O459" s="40">
        <v>1141</v>
      </c>
      <c r="P459" s="40">
        <v>706</v>
      </c>
      <c r="Q459" s="40">
        <v>13</v>
      </c>
      <c r="R459" s="40">
        <v>1435</v>
      </c>
      <c r="S459" s="40">
        <v>399</v>
      </c>
    </row>
    <row r="460" spans="1:19" x14ac:dyDescent="0.35">
      <c r="A460" s="38">
        <v>457</v>
      </c>
      <c r="B460" s="38" t="str">
        <f>_xlfn.XLOOKUP(A460,'Model Modeshare by TAZ'!A:A,'Model Modeshare by TAZ'!B:B)</f>
        <v>Palo Alto</v>
      </c>
      <c r="C460" s="38" t="str">
        <f>_xlfn.XLOOKUP(A460,'Model Modeshare by TAZ'!A:A,'Model Modeshare by TAZ'!D:D)</f>
        <v>NO</v>
      </c>
      <c r="D460" s="6">
        <v>3</v>
      </c>
      <c r="E460" s="6">
        <v>0</v>
      </c>
      <c r="F460" s="6">
        <v>0</v>
      </c>
      <c r="G460" s="6">
        <v>0</v>
      </c>
      <c r="H460" s="6">
        <v>0</v>
      </c>
      <c r="I460" s="6">
        <v>0</v>
      </c>
      <c r="J460" s="6">
        <v>0</v>
      </c>
      <c r="K460" s="40">
        <v>2</v>
      </c>
      <c r="L460" s="40">
        <v>9</v>
      </c>
      <c r="M460" s="40">
        <v>755</v>
      </c>
      <c r="N460" s="40">
        <v>44</v>
      </c>
      <c r="O460" s="40">
        <v>242</v>
      </c>
      <c r="P460" s="40">
        <v>208</v>
      </c>
      <c r="Q460" s="40">
        <v>4</v>
      </c>
      <c r="R460" s="40">
        <v>218</v>
      </c>
      <c r="S460" s="40">
        <v>39</v>
      </c>
    </row>
    <row r="461" spans="1:19" x14ac:dyDescent="0.35">
      <c r="A461" s="38">
        <v>458</v>
      </c>
      <c r="B461" s="38" t="str">
        <f>_xlfn.XLOOKUP(A461,'Model Modeshare by TAZ'!A:A,'Model Modeshare by TAZ'!B:B)</f>
        <v>Palo Alto</v>
      </c>
      <c r="C461" s="38" t="str">
        <f>_xlfn.XLOOKUP(A461,'Model Modeshare by TAZ'!A:A,'Model Modeshare by TAZ'!D:D)</f>
        <v>NO</v>
      </c>
      <c r="D461" s="6">
        <v>3</v>
      </c>
      <c r="E461" s="6">
        <v>1</v>
      </c>
      <c r="F461" s="6">
        <v>3</v>
      </c>
      <c r="G461" s="6">
        <v>3</v>
      </c>
      <c r="H461" s="6">
        <v>1</v>
      </c>
      <c r="I461" s="6">
        <v>1</v>
      </c>
      <c r="J461" s="6">
        <v>0</v>
      </c>
      <c r="K461" s="40">
        <v>0</v>
      </c>
      <c r="L461" s="40">
        <v>24</v>
      </c>
      <c r="M461" s="40">
        <v>1544</v>
      </c>
      <c r="N461" s="40">
        <v>74</v>
      </c>
      <c r="O461" s="40">
        <v>938</v>
      </c>
      <c r="P461" s="40">
        <v>10</v>
      </c>
      <c r="Q461" s="40">
        <v>0</v>
      </c>
      <c r="R461" s="40">
        <v>436</v>
      </c>
      <c r="S461" s="40">
        <v>86</v>
      </c>
    </row>
    <row r="462" spans="1:19" x14ac:dyDescent="0.35">
      <c r="A462" s="38">
        <v>459</v>
      </c>
      <c r="B462" s="38" t="str">
        <f>_xlfn.XLOOKUP(A462,'Model Modeshare by TAZ'!A:A,'Model Modeshare by TAZ'!B:B)</f>
        <v>Unincorporated</v>
      </c>
      <c r="C462" s="38" t="str">
        <f>_xlfn.XLOOKUP(A462,'Model Modeshare by TAZ'!A:A,'Model Modeshare by TAZ'!D:D)</f>
        <v>NO</v>
      </c>
      <c r="D462" s="6">
        <v>3</v>
      </c>
      <c r="E462" s="6">
        <v>0</v>
      </c>
      <c r="F462" s="6">
        <v>0</v>
      </c>
      <c r="G462" s="6">
        <v>0</v>
      </c>
      <c r="H462" s="6">
        <v>0</v>
      </c>
      <c r="I462" s="6">
        <v>0</v>
      </c>
      <c r="J462" s="6">
        <v>0</v>
      </c>
      <c r="K462" s="40">
        <v>17</v>
      </c>
      <c r="L462" s="40">
        <v>11</v>
      </c>
      <c r="M462" s="40">
        <v>19</v>
      </c>
      <c r="N462" s="40">
        <v>0</v>
      </c>
      <c r="O462" s="40">
        <v>0</v>
      </c>
      <c r="P462" s="40">
        <v>0</v>
      </c>
      <c r="Q462" s="40">
        <v>3</v>
      </c>
      <c r="R462" s="40">
        <v>0</v>
      </c>
      <c r="S462" s="40">
        <v>16</v>
      </c>
    </row>
    <row r="463" spans="1:19" x14ac:dyDescent="0.35">
      <c r="A463" s="38">
        <v>460</v>
      </c>
      <c r="B463" s="38" t="str">
        <f>_xlfn.XLOOKUP(A463,'Model Modeshare by TAZ'!A:A,'Model Modeshare by TAZ'!B:B)</f>
        <v>Palo Alto</v>
      </c>
      <c r="C463" s="38" t="str">
        <f>_xlfn.XLOOKUP(A463,'Model Modeshare by TAZ'!A:A,'Model Modeshare by TAZ'!D:D)</f>
        <v>NO</v>
      </c>
      <c r="D463" s="6">
        <v>3</v>
      </c>
      <c r="E463" s="6">
        <v>574</v>
      </c>
      <c r="F463" s="6">
        <v>1053</v>
      </c>
      <c r="G463" s="6">
        <v>1084</v>
      </c>
      <c r="H463" s="6">
        <v>593</v>
      </c>
      <c r="I463" s="6">
        <v>373</v>
      </c>
      <c r="J463" s="6">
        <v>201</v>
      </c>
      <c r="K463" s="40">
        <v>40</v>
      </c>
      <c r="L463" s="40">
        <v>1</v>
      </c>
      <c r="M463" s="40">
        <v>121</v>
      </c>
      <c r="N463" s="40">
        <v>9</v>
      </c>
      <c r="O463" s="40">
        <v>44</v>
      </c>
      <c r="P463" s="40">
        <v>42</v>
      </c>
      <c r="Q463" s="40">
        <v>1</v>
      </c>
      <c r="R463" s="40">
        <v>20</v>
      </c>
      <c r="S463" s="40">
        <v>5</v>
      </c>
    </row>
    <row r="464" spans="1:19" x14ac:dyDescent="0.35">
      <c r="A464" s="38">
        <v>461</v>
      </c>
      <c r="B464" s="38" t="str">
        <f>_xlfn.XLOOKUP(A464,'Model Modeshare by TAZ'!A:A,'Model Modeshare by TAZ'!B:B)</f>
        <v>Unincorporated</v>
      </c>
      <c r="C464" s="38" t="str">
        <f>_xlfn.XLOOKUP(A464,'Model Modeshare by TAZ'!A:A,'Model Modeshare by TAZ'!D:D)</f>
        <v>NO</v>
      </c>
      <c r="D464" s="6">
        <v>3</v>
      </c>
      <c r="E464" s="6">
        <v>445</v>
      </c>
      <c r="F464" s="6">
        <v>611</v>
      </c>
      <c r="G464" s="6">
        <v>2891</v>
      </c>
      <c r="H464" s="6">
        <v>648</v>
      </c>
      <c r="I464" s="6">
        <v>5</v>
      </c>
      <c r="J464" s="6">
        <v>440</v>
      </c>
      <c r="K464" s="40">
        <v>6</v>
      </c>
      <c r="L464" s="40">
        <v>53</v>
      </c>
      <c r="M464" s="40">
        <v>456</v>
      </c>
      <c r="N464" s="40">
        <v>7</v>
      </c>
      <c r="O464" s="40">
        <v>0</v>
      </c>
      <c r="P464" s="40">
        <v>433</v>
      </c>
      <c r="Q464" s="40">
        <v>0</v>
      </c>
      <c r="R464" s="40">
        <v>13</v>
      </c>
      <c r="S464" s="40">
        <v>3</v>
      </c>
    </row>
    <row r="465" spans="1:19" x14ac:dyDescent="0.35">
      <c r="A465" s="38">
        <v>462</v>
      </c>
      <c r="B465" s="38" t="str">
        <f>_xlfn.XLOOKUP(A465,'Model Modeshare by TAZ'!A:A,'Model Modeshare by TAZ'!B:B)</f>
        <v>Unincorporated</v>
      </c>
      <c r="C465" s="38" t="str">
        <f>_xlfn.XLOOKUP(A465,'Model Modeshare by TAZ'!A:A,'Model Modeshare by TAZ'!D:D)</f>
        <v>NO</v>
      </c>
      <c r="D465" s="6">
        <v>3</v>
      </c>
      <c r="E465" s="6">
        <v>99</v>
      </c>
      <c r="F465" s="6">
        <v>177</v>
      </c>
      <c r="G465" s="6">
        <v>1511</v>
      </c>
      <c r="H465" s="6">
        <v>144</v>
      </c>
      <c r="I465" s="6">
        <v>3</v>
      </c>
      <c r="J465" s="6">
        <v>96</v>
      </c>
      <c r="K465" s="40">
        <v>61</v>
      </c>
      <c r="L465" s="40">
        <v>37</v>
      </c>
      <c r="M465" s="40">
        <v>19</v>
      </c>
      <c r="N465" s="40">
        <v>0</v>
      </c>
      <c r="O465" s="40">
        <v>0</v>
      </c>
      <c r="P465" s="40">
        <v>0</v>
      </c>
      <c r="Q465" s="40">
        <v>3</v>
      </c>
      <c r="R465" s="40">
        <v>0</v>
      </c>
      <c r="S465" s="40">
        <v>16</v>
      </c>
    </row>
    <row r="466" spans="1:19" x14ac:dyDescent="0.35">
      <c r="A466" s="38">
        <v>463</v>
      </c>
      <c r="B466" s="38" t="str">
        <f>_xlfn.XLOOKUP(A466,'Model Modeshare by TAZ'!A:A,'Model Modeshare by TAZ'!B:B)</f>
        <v>Unincorporated</v>
      </c>
      <c r="C466" s="38" t="str">
        <f>_xlfn.XLOOKUP(A466,'Model Modeshare by TAZ'!A:A,'Model Modeshare by TAZ'!D:D)</f>
        <v>NO</v>
      </c>
      <c r="D466" s="6">
        <v>3</v>
      </c>
      <c r="E466" s="6">
        <v>0</v>
      </c>
      <c r="F466" s="6">
        <v>0</v>
      </c>
      <c r="G466" s="6">
        <v>0</v>
      </c>
      <c r="H466" s="6">
        <v>0</v>
      </c>
      <c r="I466" s="6">
        <v>0</v>
      </c>
      <c r="J466" s="6">
        <v>0</v>
      </c>
      <c r="K466" s="40">
        <v>29</v>
      </c>
      <c r="L466" s="40">
        <v>18</v>
      </c>
      <c r="M466" s="40">
        <v>16</v>
      </c>
      <c r="N466" s="40">
        <v>0</v>
      </c>
      <c r="O466" s="40">
        <v>0</v>
      </c>
      <c r="P466" s="40">
        <v>0</v>
      </c>
      <c r="Q466" s="40">
        <v>0</v>
      </c>
      <c r="R466" s="40">
        <v>0</v>
      </c>
      <c r="S466" s="40">
        <v>16</v>
      </c>
    </row>
    <row r="467" spans="1:19" x14ac:dyDescent="0.35">
      <c r="A467" s="38">
        <v>464</v>
      </c>
      <c r="B467" s="38" t="str">
        <f>_xlfn.XLOOKUP(A467,'Model Modeshare by TAZ'!A:A,'Model Modeshare by TAZ'!B:B)</f>
        <v>Unincorporated</v>
      </c>
      <c r="C467" s="38" t="str">
        <f>_xlfn.XLOOKUP(A467,'Model Modeshare by TAZ'!A:A,'Model Modeshare by TAZ'!D:D)</f>
        <v>NO</v>
      </c>
      <c r="D467" s="6">
        <v>3</v>
      </c>
      <c r="E467" s="6">
        <v>0</v>
      </c>
      <c r="F467" s="6">
        <v>0</v>
      </c>
      <c r="G467" s="6">
        <v>0</v>
      </c>
      <c r="H467" s="6">
        <v>0</v>
      </c>
      <c r="I467" s="6">
        <v>0</v>
      </c>
      <c r="J467" s="6">
        <v>0</v>
      </c>
      <c r="K467" s="40">
        <v>32</v>
      </c>
      <c r="L467" s="40">
        <v>67</v>
      </c>
      <c r="M467" s="40">
        <v>26</v>
      </c>
      <c r="N467" s="40">
        <v>0</v>
      </c>
      <c r="O467" s="40">
        <v>0</v>
      </c>
      <c r="P467" s="40">
        <v>0</v>
      </c>
      <c r="Q467" s="40">
        <v>12</v>
      </c>
      <c r="R467" s="40">
        <v>0</v>
      </c>
      <c r="S467" s="40">
        <v>14</v>
      </c>
    </row>
    <row r="468" spans="1:19" x14ac:dyDescent="0.35">
      <c r="A468" s="38">
        <v>465</v>
      </c>
      <c r="B468" s="38" t="str">
        <f>_xlfn.XLOOKUP(A468,'Model Modeshare by TAZ'!A:A,'Model Modeshare by TAZ'!B:B)</f>
        <v>Palo Alto</v>
      </c>
      <c r="C468" s="38" t="str">
        <f>_xlfn.XLOOKUP(A468,'Model Modeshare by TAZ'!A:A,'Model Modeshare by TAZ'!D:D)</f>
        <v>NO</v>
      </c>
      <c r="D468" s="6">
        <v>3</v>
      </c>
      <c r="E468" s="6">
        <v>466</v>
      </c>
      <c r="F468" s="6">
        <v>837</v>
      </c>
      <c r="G468" s="6">
        <v>1036</v>
      </c>
      <c r="H468" s="6">
        <v>679</v>
      </c>
      <c r="I468" s="6">
        <v>466</v>
      </c>
      <c r="J468" s="6">
        <v>0</v>
      </c>
      <c r="K468" s="40">
        <v>27</v>
      </c>
      <c r="L468" s="40">
        <v>20</v>
      </c>
      <c r="M468" s="40">
        <v>357</v>
      </c>
      <c r="N468" s="40">
        <v>41</v>
      </c>
      <c r="O468" s="40">
        <v>143</v>
      </c>
      <c r="P468" s="40">
        <v>59</v>
      </c>
      <c r="Q468" s="40">
        <v>2</v>
      </c>
      <c r="R468" s="40">
        <v>91</v>
      </c>
      <c r="S468" s="40">
        <v>21</v>
      </c>
    </row>
    <row r="469" spans="1:19" x14ac:dyDescent="0.35">
      <c r="A469" s="38">
        <v>466</v>
      </c>
      <c r="B469" s="38" t="str">
        <f>_xlfn.XLOOKUP(A469,'Model Modeshare by TAZ'!A:A,'Model Modeshare by TAZ'!B:B)</f>
        <v>Palo Alto</v>
      </c>
      <c r="C469" s="38" t="str">
        <f>_xlfn.XLOOKUP(A469,'Model Modeshare by TAZ'!A:A,'Model Modeshare by TAZ'!D:D)</f>
        <v>NO</v>
      </c>
      <c r="D469" s="6">
        <v>3</v>
      </c>
      <c r="E469" s="6">
        <v>881</v>
      </c>
      <c r="F469" s="6">
        <v>1613</v>
      </c>
      <c r="G469" s="6">
        <v>1660</v>
      </c>
      <c r="H469" s="6">
        <v>907</v>
      </c>
      <c r="I469" s="6">
        <v>661</v>
      </c>
      <c r="J469" s="6">
        <v>220</v>
      </c>
      <c r="K469" s="40">
        <v>35</v>
      </c>
      <c r="L469" s="40">
        <v>17</v>
      </c>
      <c r="M469" s="40">
        <v>1624</v>
      </c>
      <c r="N469" s="40">
        <v>243</v>
      </c>
      <c r="O469" s="40">
        <v>670</v>
      </c>
      <c r="P469" s="40">
        <v>292</v>
      </c>
      <c r="Q469" s="40">
        <v>6</v>
      </c>
      <c r="R469" s="40">
        <v>345</v>
      </c>
      <c r="S469" s="40">
        <v>68</v>
      </c>
    </row>
    <row r="470" spans="1:19" x14ac:dyDescent="0.35">
      <c r="A470" s="38">
        <v>467</v>
      </c>
      <c r="B470" s="38" t="str">
        <f>_xlfn.XLOOKUP(A470,'Model Modeshare by TAZ'!A:A,'Model Modeshare by TAZ'!B:B)</f>
        <v>Palo Alto</v>
      </c>
      <c r="C470" s="38" t="str">
        <f>_xlfn.XLOOKUP(A470,'Model Modeshare by TAZ'!A:A,'Model Modeshare by TAZ'!D:D)</f>
        <v>NO</v>
      </c>
      <c r="D470" s="6">
        <v>3</v>
      </c>
      <c r="E470" s="6">
        <v>400</v>
      </c>
      <c r="F470" s="6">
        <v>1068</v>
      </c>
      <c r="G470" s="6">
        <v>1068</v>
      </c>
      <c r="H470" s="6">
        <v>603</v>
      </c>
      <c r="I470" s="6">
        <v>140</v>
      </c>
      <c r="J470" s="6">
        <v>260</v>
      </c>
      <c r="K470" s="40">
        <v>77</v>
      </c>
      <c r="L470" s="40">
        <v>18</v>
      </c>
      <c r="M470" s="40">
        <v>112</v>
      </c>
      <c r="N470" s="40">
        <v>11</v>
      </c>
      <c r="O470" s="40">
        <v>77</v>
      </c>
      <c r="P470" s="40">
        <v>23</v>
      </c>
      <c r="Q470" s="40">
        <v>1</v>
      </c>
      <c r="R470" s="40">
        <v>0</v>
      </c>
      <c r="S470" s="40">
        <v>0</v>
      </c>
    </row>
    <row r="471" spans="1:19" x14ac:dyDescent="0.35">
      <c r="A471" s="38">
        <v>468</v>
      </c>
      <c r="B471" s="38" t="str">
        <f>_xlfn.XLOOKUP(A471,'Model Modeshare by TAZ'!A:A,'Model Modeshare by TAZ'!B:B)</f>
        <v>Palo Alto</v>
      </c>
      <c r="C471" s="38" t="str">
        <f>_xlfn.XLOOKUP(A471,'Model Modeshare by TAZ'!A:A,'Model Modeshare by TAZ'!D:D)</f>
        <v>NO</v>
      </c>
      <c r="D471" s="6">
        <v>3</v>
      </c>
      <c r="E471" s="6">
        <v>330</v>
      </c>
      <c r="F471" s="6">
        <v>882</v>
      </c>
      <c r="G471" s="6">
        <v>882</v>
      </c>
      <c r="H471" s="6">
        <v>498</v>
      </c>
      <c r="I471" s="6">
        <v>66</v>
      </c>
      <c r="J471" s="6">
        <v>264</v>
      </c>
      <c r="K471" s="40">
        <v>89</v>
      </c>
      <c r="L471" s="40">
        <v>2</v>
      </c>
      <c r="M471" s="40">
        <v>39</v>
      </c>
      <c r="N471" s="40">
        <v>3</v>
      </c>
      <c r="O471" s="40">
        <v>23</v>
      </c>
      <c r="P471" s="40">
        <v>3</v>
      </c>
      <c r="Q471" s="40">
        <v>10</v>
      </c>
      <c r="R471" s="40">
        <v>0</v>
      </c>
      <c r="S471" s="40">
        <v>0</v>
      </c>
    </row>
    <row r="472" spans="1:19" x14ac:dyDescent="0.35">
      <c r="A472" s="38">
        <v>469</v>
      </c>
      <c r="B472" s="38" t="str">
        <f>_xlfn.XLOOKUP(A472,'Model Modeshare by TAZ'!A:A,'Model Modeshare by TAZ'!B:B)</f>
        <v>Palo Alto</v>
      </c>
      <c r="C472" s="38" t="str">
        <f>_xlfn.XLOOKUP(A472,'Model Modeshare by TAZ'!A:A,'Model Modeshare by TAZ'!D:D)</f>
        <v>NO</v>
      </c>
      <c r="D472" s="6">
        <v>3</v>
      </c>
      <c r="E472" s="6">
        <v>676</v>
      </c>
      <c r="F472" s="6">
        <v>1771</v>
      </c>
      <c r="G472" s="6">
        <v>1779</v>
      </c>
      <c r="H472" s="6">
        <v>975</v>
      </c>
      <c r="I472" s="6">
        <v>237</v>
      </c>
      <c r="J472" s="6">
        <v>439</v>
      </c>
      <c r="K472" s="40">
        <v>97</v>
      </c>
      <c r="L472" s="40">
        <v>10</v>
      </c>
      <c r="M472" s="40">
        <v>119</v>
      </c>
      <c r="N472" s="40">
        <v>0</v>
      </c>
      <c r="O472" s="40">
        <v>24</v>
      </c>
      <c r="P472" s="40">
        <v>69</v>
      </c>
      <c r="Q472" s="40">
        <v>20</v>
      </c>
      <c r="R472" s="40">
        <v>3</v>
      </c>
      <c r="S472" s="40">
        <v>3</v>
      </c>
    </row>
    <row r="473" spans="1:19" x14ac:dyDescent="0.35">
      <c r="A473" s="38">
        <v>470</v>
      </c>
      <c r="B473" s="38" t="str">
        <f>_xlfn.XLOOKUP(A473,'Model Modeshare by TAZ'!A:A,'Model Modeshare by TAZ'!B:B)</f>
        <v>Palo Alto</v>
      </c>
      <c r="C473" s="38" t="str">
        <f>_xlfn.XLOOKUP(A473,'Model Modeshare by TAZ'!A:A,'Model Modeshare by TAZ'!D:D)</f>
        <v>NO</v>
      </c>
      <c r="D473" s="6">
        <v>3</v>
      </c>
      <c r="E473" s="6">
        <v>119</v>
      </c>
      <c r="F473" s="6">
        <v>313</v>
      </c>
      <c r="G473" s="6">
        <v>314</v>
      </c>
      <c r="H473" s="6">
        <v>171</v>
      </c>
      <c r="I473" s="6">
        <v>12</v>
      </c>
      <c r="J473" s="6">
        <v>107</v>
      </c>
      <c r="K473" s="40">
        <v>20</v>
      </c>
      <c r="L473" s="40">
        <v>6</v>
      </c>
      <c r="M473" s="40">
        <v>9</v>
      </c>
      <c r="N473" s="40">
        <v>0</v>
      </c>
      <c r="O473" s="40">
        <v>3</v>
      </c>
      <c r="P473" s="40">
        <v>3</v>
      </c>
      <c r="Q473" s="40">
        <v>3</v>
      </c>
      <c r="R473" s="40">
        <v>0</v>
      </c>
      <c r="S473" s="40">
        <v>0</v>
      </c>
    </row>
    <row r="474" spans="1:19" x14ac:dyDescent="0.35">
      <c r="A474" s="38">
        <v>471</v>
      </c>
      <c r="B474" s="38" t="str">
        <f>_xlfn.XLOOKUP(A474,'Model Modeshare by TAZ'!A:A,'Model Modeshare by TAZ'!B:B)</f>
        <v>Palo Alto</v>
      </c>
      <c r="C474" s="38" t="str">
        <f>_xlfn.XLOOKUP(A474,'Model Modeshare by TAZ'!A:A,'Model Modeshare by TAZ'!D:D)</f>
        <v>NO</v>
      </c>
      <c r="D474" s="6">
        <v>3</v>
      </c>
      <c r="E474" s="6">
        <v>343</v>
      </c>
      <c r="F474" s="6">
        <v>900</v>
      </c>
      <c r="G474" s="6">
        <v>907</v>
      </c>
      <c r="H474" s="6">
        <v>494</v>
      </c>
      <c r="I474" s="6">
        <v>69</v>
      </c>
      <c r="J474" s="6">
        <v>274</v>
      </c>
      <c r="K474" s="40">
        <v>52</v>
      </c>
      <c r="L474" s="40">
        <v>5</v>
      </c>
      <c r="M474" s="40">
        <v>20</v>
      </c>
      <c r="N474" s="40">
        <v>0</v>
      </c>
      <c r="O474" s="40">
        <v>10</v>
      </c>
      <c r="P474" s="40">
        <v>5</v>
      </c>
      <c r="Q474" s="40">
        <v>3</v>
      </c>
      <c r="R474" s="40">
        <v>1</v>
      </c>
      <c r="S474" s="40">
        <v>1</v>
      </c>
    </row>
    <row r="475" spans="1:19" x14ac:dyDescent="0.35">
      <c r="A475" s="38">
        <v>472</v>
      </c>
      <c r="B475" s="38" t="str">
        <f>_xlfn.XLOOKUP(A475,'Model Modeshare by TAZ'!A:A,'Model Modeshare by TAZ'!B:B)</f>
        <v>Palo Alto</v>
      </c>
      <c r="C475" s="38" t="str">
        <f>_xlfn.XLOOKUP(A475,'Model Modeshare by TAZ'!A:A,'Model Modeshare by TAZ'!D:D)</f>
        <v>NO</v>
      </c>
      <c r="D475" s="6">
        <v>3</v>
      </c>
      <c r="E475" s="6">
        <v>405</v>
      </c>
      <c r="F475" s="6">
        <v>1012</v>
      </c>
      <c r="G475" s="6">
        <v>1012</v>
      </c>
      <c r="H475" s="6">
        <v>542</v>
      </c>
      <c r="I475" s="6">
        <v>202</v>
      </c>
      <c r="J475" s="6">
        <v>203</v>
      </c>
      <c r="K475" s="40">
        <v>45</v>
      </c>
      <c r="L475" s="40">
        <v>1</v>
      </c>
      <c r="M475" s="40">
        <v>102</v>
      </c>
      <c r="N475" s="40">
        <v>30</v>
      </c>
      <c r="O475" s="40">
        <v>55</v>
      </c>
      <c r="P475" s="40">
        <v>1</v>
      </c>
      <c r="Q475" s="40">
        <v>0</v>
      </c>
      <c r="R475" s="40">
        <v>16</v>
      </c>
      <c r="S475" s="40">
        <v>0</v>
      </c>
    </row>
    <row r="476" spans="1:19" x14ac:dyDescent="0.35">
      <c r="A476" s="38">
        <v>473</v>
      </c>
      <c r="B476" s="38" t="str">
        <f>_xlfn.XLOOKUP(A476,'Model Modeshare by TAZ'!A:A,'Model Modeshare by TAZ'!B:B)</f>
        <v>Palo Alto</v>
      </c>
      <c r="C476" s="38" t="str">
        <f>_xlfn.XLOOKUP(A476,'Model Modeshare by TAZ'!A:A,'Model Modeshare by TAZ'!D:D)</f>
        <v>NO</v>
      </c>
      <c r="D476" s="6">
        <v>3</v>
      </c>
      <c r="E476" s="6">
        <v>349</v>
      </c>
      <c r="F476" s="6">
        <v>954</v>
      </c>
      <c r="G476" s="6">
        <v>954</v>
      </c>
      <c r="H476" s="6">
        <v>468</v>
      </c>
      <c r="I476" s="6">
        <v>210</v>
      </c>
      <c r="J476" s="6">
        <v>139</v>
      </c>
      <c r="K476" s="40">
        <v>66</v>
      </c>
      <c r="L476" s="40">
        <v>65</v>
      </c>
      <c r="M476" s="40">
        <v>2017</v>
      </c>
      <c r="N476" s="40">
        <v>146</v>
      </c>
      <c r="O476" s="40">
        <v>486</v>
      </c>
      <c r="P476" s="40">
        <v>170</v>
      </c>
      <c r="Q476" s="40">
        <v>0</v>
      </c>
      <c r="R476" s="40">
        <v>1096</v>
      </c>
      <c r="S476" s="40">
        <v>119</v>
      </c>
    </row>
    <row r="477" spans="1:19" x14ac:dyDescent="0.35">
      <c r="A477" s="38">
        <v>474</v>
      </c>
      <c r="B477" s="38" t="str">
        <f>_xlfn.XLOOKUP(A477,'Model Modeshare by TAZ'!A:A,'Model Modeshare by TAZ'!B:B)</f>
        <v>Palo Alto</v>
      </c>
      <c r="C477" s="38" t="str">
        <f>_xlfn.XLOOKUP(A477,'Model Modeshare by TAZ'!A:A,'Model Modeshare by TAZ'!D:D)</f>
        <v>NO</v>
      </c>
      <c r="D477" s="6">
        <v>3</v>
      </c>
      <c r="E477" s="6">
        <v>420</v>
      </c>
      <c r="F477" s="6">
        <v>1130</v>
      </c>
      <c r="G477" s="6">
        <v>1130</v>
      </c>
      <c r="H477" s="6">
        <v>609</v>
      </c>
      <c r="I477" s="6">
        <v>126</v>
      </c>
      <c r="J477" s="6">
        <v>294</v>
      </c>
      <c r="K477" s="40">
        <v>94</v>
      </c>
      <c r="L477" s="40">
        <v>2</v>
      </c>
      <c r="M477" s="40">
        <v>58</v>
      </c>
      <c r="N477" s="40">
        <v>1</v>
      </c>
      <c r="O477" s="40">
        <v>1</v>
      </c>
      <c r="P477" s="40">
        <v>4</v>
      </c>
      <c r="Q477" s="40">
        <v>0</v>
      </c>
      <c r="R477" s="40">
        <v>27</v>
      </c>
      <c r="S477" s="40">
        <v>25</v>
      </c>
    </row>
    <row r="478" spans="1:19" x14ac:dyDescent="0.35">
      <c r="A478" s="38">
        <v>475</v>
      </c>
      <c r="B478" s="38" t="str">
        <f>_xlfn.XLOOKUP(A478,'Model Modeshare by TAZ'!A:A,'Model Modeshare by TAZ'!B:B)</f>
        <v>Palo Alto</v>
      </c>
      <c r="C478" s="38" t="str">
        <f>_xlfn.XLOOKUP(A478,'Model Modeshare by TAZ'!A:A,'Model Modeshare by TAZ'!D:D)</f>
        <v>NO</v>
      </c>
      <c r="D478" s="6">
        <v>3</v>
      </c>
      <c r="E478" s="6">
        <v>912</v>
      </c>
      <c r="F478" s="6">
        <v>2452</v>
      </c>
      <c r="G478" s="6">
        <v>2452</v>
      </c>
      <c r="H478" s="6">
        <v>1323</v>
      </c>
      <c r="I478" s="6">
        <v>319</v>
      </c>
      <c r="J478" s="6">
        <v>593</v>
      </c>
      <c r="K478" s="40">
        <v>159</v>
      </c>
      <c r="L478" s="40">
        <v>3</v>
      </c>
      <c r="M478" s="40">
        <v>259</v>
      </c>
      <c r="N478" s="40">
        <v>19</v>
      </c>
      <c r="O478" s="40">
        <v>80</v>
      </c>
      <c r="P478" s="40">
        <v>134</v>
      </c>
      <c r="Q478" s="40">
        <v>0</v>
      </c>
      <c r="R478" s="40">
        <v>17</v>
      </c>
      <c r="S478" s="40">
        <v>9</v>
      </c>
    </row>
    <row r="479" spans="1:19" x14ac:dyDescent="0.35">
      <c r="A479" s="38">
        <v>476</v>
      </c>
      <c r="B479" s="38" t="str">
        <f>_xlfn.XLOOKUP(A479,'Model Modeshare by TAZ'!A:A,'Model Modeshare by TAZ'!B:B)</f>
        <v>Palo Alto</v>
      </c>
      <c r="C479" s="38" t="str">
        <f>_xlfn.XLOOKUP(A479,'Model Modeshare by TAZ'!A:A,'Model Modeshare by TAZ'!D:D)</f>
        <v>NO</v>
      </c>
      <c r="D479" s="6">
        <v>3</v>
      </c>
      <c r="E479" s="6">
        <v>70</v>
      </c>
      <c r="F479" s="6">
        <v>197</v>
      </c>
      <c r="G479" s="6">
        <v>198</v>
      </c>
      <c r="H479" s="6">
        <v>112</v>
      </c>
      <c r="I479" s="6">
        <v>0</v>
      </c>
      <c r="J479" s="6">
        <v>70</v>
      </c>
      <c r="K479" s="40">
        <v>35</v>
      </c>
      <c r="L479" s="40">
        <v>23</v>
      </c>
      <c r="M479" s="40">
        <v>5</v>
      </c>
      <c r="N479" s="40">
        <v>1</v>
      </c>
      <c r="O479" s="40">
        <v>0</v>
      </c>
      <c r="P479" s="40">
        <v>0</v>
      </c>
      <c r="Q479" s="40">
        <v>2</v>
      </c>
      <c r="R479" s="40">
        <v>1</v>
      </c>
      <c r="S479" s="40">
        <v>1</v>
      </c>
    </row>
    <row r="480" spans="1:19" x14ac:dyDescent="0.35">
      <c r="A480" s="38">
        <v>477</v>
      </c>
      <c r="B480" s="38" t="str">
        <f>_xlfn.XLOOKUP(A480,'Model Modeshare by TAZ'!A:A,'Model Modeshare by TAZ'!B:B)</f>
        <v>Palo Alto</v>
      </c>
      <c r="C480" s="38" t="str">
        <f>_xlfn.XLOOKUP(A480,'Model Modeshare by TAZ'!A:A,'Model Modeshare by TAZ'!D:D)</f>
        <v>NO</v>
      </c>
      <c r="D480" s="6">
        <v>3</v>
      </c>
      <c r="E480" s="6">
        <v>0</v>
      </c>
      <c r="F480" s="6">
        <v>0</v>
      </c>
      <c r="G480" s="6">
        <v>0</v>
      </c>
      <c r="H480" s="6">
        <v>0</v>
      </c>
      <c r="I480" s="6">
        <v>0</v>
      </c>
      <c r="J480" s="6">
        <v>0</v>
      </c>
      <c r="K480" s="40">
        <v>0</v>
      </c>
      <c r="L480" s="40">
        <v>63</v>
      </c>
      <c r="M480" s="40">
        <v>1795</v>
      </c>
      <c r="N480" s="40">
        <v>60</v>
      </c>
      <c r="O480" s="40">
        <v>374</v>
      </c>
      <c r="P480" s="40">
        <v>300</v>
      </c>
      <c r="Q480" s="40">
        <v>0</v>
      </c>
      <c r="R480" s="40">
        <v>925</v>
      </c>
      <c r="S480" s="40">
        <v>136</v>
      </c>
    </row>
    <row r="481" spans="1:19" x14ac:dyDescent="0.35">
      <c r="A481" s="38">
        <v>478</v>
      </c>
      <c r="B481" s="38" t="str">
        <f>_xlfn.XLOOKUP(A481,'Model Modeshare by TAZ'!A:A,'Model Modeshare by TAZ'!B:B)</f>
        <v>Unincorporated</v>
      </c>
      <c r="C481" s="38" t="str">
        <f>_xlfn.XLOOKUP(A481,'Model Modeshare by TAZ'!A:A,'Model Modeshare by TAZ'!D:D)</f>
        <v>NO</v>
      </c>
      <c r="D481" s="6">
        <v>3</v>
      </c>
      <c r="E481" s="6">
        <v>67</v>
      </c>
      <c r="F481" s="6">
        <v>176</v>
      </c>
      <c r="G481" s="6">
        <v>181</v>
      </c>
      <c r="H481" s="6">
        <v>88</v>
      </c>
      <c r="I481" s="6">
        <v>62</v>
      </c>
      <c r="J481" s="6">
        <v>5</v>
      </c>
      <c r="K481" s="40">
        <v>75</v>
      </c>
      <c r="L481" s="40">
        <v>2</v>
      </c>
      <c r="M481" s="40">
        <v>138</v>
      </c>
      <c r="N481" s="40">
        <v>19</v>
      </c>
      <c r="O481" s="40">
        <v>46</v>
      </c>
      <c r="P481" s="40">
        <v>10</v>
      </c>
      <c r="Q481" s="40">
        <v>0</v>
      </c>
      <c r="R481" s="40">
        <v>49</v>
      </c>
      <c r="S481" s="40">
        <v>14</v>
      </c>
    </row>
    <row r="482" spans="1:19" x14ac:dyDescent="0.35">
      <c r="A482" s="38">
        <v>479</v>
      </c>
      <c r="B482" s="38" t="str">
        <f>_xlfn.XLOOKUP(A482,'Model Modeshare by TAZ'!A:A,'Model Modeshare by TAZ'!B:B)</f>
        <v>Palo Alto</v>
      </c>
      <c r="C482" s="38" t="str">
        <f>_xlfn.XLOOKUP(A482,'Model Modeshare by TAZ'!A:A,'Model Modeshare by TAZ'!D:D)</f>
        <v>NO</v>
      </c>
      <c r="D482" s="6">
        <v>3</v>
      </c>
      <c r="E482" s="6">
        <v>118</v>
      </c>
      <c r="F482" s="6">
        <v>310</v>
      </c>
      <c r="G482" s="6">
        <v>319</v>
      </c>
      <c r="H482" s="6">
        <v>155</v>
      </c>
      <c r="I482" s="6">
        <v>0</v>
      </c>
      <c r="J482" s="6">
        <v>118</v>
      </c>
      <c r="K482" s="40">
        <v>474</v>
      </c>
      <c r="L482" s="40">
        <v>12</v>
      </c>
      <c r="M482" s="40">
        <v>144</v>
      </c>
      <c r="N482" s="40">
        <v>6</v>
      </c>
      <c r="O482" s="40">
        <v>123</v>
      </c>
      <c r="P482" s="40">
        <v>0</v>
      </c>
      <c r="Q482" s="40">
        <v>0</v>
      </c>
      <c r="R482" s="40">
        <v>13</v>
      </c>
      <c r="S482" s="40">
        <v>2</v>
      </c>
    </row>
    <row r="483" spans="1:19" x14ac:dyDescent="0.35">
      <c r="A483" s="38">
        <v>480</v>
      </c>
      <c r="B483" s="38" t="str">
        <f>_xlfn.XLOOKUP(A483,'Model Modeshare by TAZ'!A:A,'Model Modeshare by TAZ'!B:B)</f>
        <v>Palo Alto</v>
      </c>
      <c r="C483" s="38" t="str">
        <f>_xlfn.XLOOKUP(A483,'Model Modeshare by TAZ'!A:A,'Model Modeshare by TAZ'!D:D)</f>
        <v>NO</v>
      </c>
      <c r="D483" s="6">
        <v>3</v>
      </c>
      <c r="E483" s="6">
        <v>0</v>
      </c>
      <c r="F483" s="6">
        <v>0</v>
      </c>
      <c r="G483" s="6">
        <v>0</v>
      </c>
      <c r="H483" s="6">
        <v>0</v>
      </c>
      <c r="I483" s="6">
        <v>0</v>
      </c>
      <c r="J483" s="6">
        <v>0</v>
      </c>
      <c r="K483" s="40">
        <v>23</v>
      </c>
      <c r="L483" s="40">
        <v>174</v>
      </c>
      <c r="M483" s="40">
        <v>3330</v>
      </c>
      <c r="N483" s="40">
        <v>179</v>
      </c>
      <c r="O483" s="40">
        <v>1941</v>
      </c>
      <c r="P483" s="40">
        <v>11</v>
      </c>
      <c r="Q483" s="40">
        <v>7</v>
      </c>
      <c r="R483" s="40">
        <v>1005</v>
      </c>
      <c r="S483" s="40">
        <v>187</v>
      </c>
    </row>
    <row r="484" spans="1:19" x14ac:dyDescent="0.35">
      <c r="A484" s="38">
        <v>481</v>
      </c>
      <c r="B484" s="38" t="str">
        <f>_xlfn.XLOOKUP(A484,'Model Modeshare by TAZ'!A:A,'Model Modeshare by TAZ'!B:B)</f>
        <v>Unincorporated</v>
      </c>
      <c r="C484" s="38" t="str">
        <f>_xlfn.XLOOKUP(A484,'Model Modeshare by TAZ'!A:A,'Model Modeshare by TAZ'!D:D)</f>
        <v>NO</v>
      </c>
      <c r="D484" s="6">
        <v>3</v>
      </c>
      <c r="E484" s="6">
        <v>67</v>
      </c>
      <c r="F484" s="6">
        <v>177</v>
      </c>
      <c r="G484" s="6">
        <v>182</v>
      </c>
      <c r="H484" s="6">
        <v>122</v>
      </c>
      <c r="I484" s="6">
        <v>62</v>
      </c>
      <c r="J484" s="6">
        <v>5</v>
      </c>
      <c r="K484" s="40">
        <v>45</v>
      </c>
      <c r="L484" s="40">
        <v>12</v>
      </c>
      <c r="M484" s="40">
        <v>50</v>
      </c>
      <c r="N484" s="40">
        <v>0</v>
      </c>
      <c r="O484" s="40">
        <v>24</v>
      </c>
      <c r="P484" s="40">
        <v>0</v>
      </c>
      <c r="Q484" s="40">
        <v>0</v>
      </c>
      <c r="R484" s="40">
        <v>26</v>
      </c>
      <c r="S484" s="40">
        <v>0</v>
      </c>
    </row>
    <row r="485" spans="1:19" x14ac:dyDescent="0.35">
      <c r="A485" s="38">
        <v>482</v>
      </c>
      <c r="B485" s="38" t="str">
        <f>_xlfn.XLOOKUP(A485,'Model Modeshare by TAZ'!A:A,'Model Modeshare by TAZ'!B:B)</f>
        <v>Palo Alto</v>
      </c>
      <c r="C485" s="38" t="str">
        <f>_xlfn.XLOOKUP(A485,'Model Modeshare by TAZ'!A:A,'Model Modeshare by TAZ'!D:D)</f>
        <v>NO</v>
      </c>
      <c r="D485" s="6">
        <v>3</v>
      </c>
      <c r="E485" s="6">
        <v>451</v>
      </c>
      <c r="F485" s="6">
        <v>1233</v>
      </c>
      <c r="G485" s="6">
        <v>1233</v>
      </c>
      <c r="H485" s="6">
        <v>607</v>
      </c>
      <c r="I485" s="6">
        <v>361</v>
      </c>
      <c r="J485" s="6">
        <v>90</v>
      </c>
      <c r="K485" s="40">
        <v>42</v>
      </c>
      <c r="L485" s="40">
        <v>21</v>
      </c>
      <c r="M485" s="40">
        <v>328</v>
      </c>
      <c r="N485" s="40">
        <v>25</v>
      </c>
      <c r="O485" s="40">
        <v>110</v>
      </c>
      <c r="P485" s="40">
        <v>23</v>
      </c>
      <c r="Q485" s="40">
        <v>0</v>
      </c>
      <c r="R485" s="40">
        <v>152</v>
      </c>
      <c r="S485" s="40">
        <v>18</v>
      </c>
    </row>
    <row r="486" spans="1:19" x14ac:dyDescent="0.35">
      <c r="A486" s="38">
        <v>483</v>
      </c>
      <c r="B486" s="38" t="str">
        <f>_xlfn.XLOOKUP(A486,'Model Modeshare by TAZ'!A:A,'Model Modeshare by TAZ'!B:B)</f>
        <v>Palo Alto</v>
      </c>
      <c r="C486" s="38" t="str">
        <f>_xlfn.XLOOKUP(A486,'Model Modeshare by TAZ'!A:A,'Model Modeshare by TAZ'!D:D)</f>
        <v>NO</v>
      </c>
      <c r="D486" s="6">
        <v>3</v>
      </c>
      <c r="E486" s="6">
        <v>435</v>
      </c>
      <c r="F486" s="6">
        <v>1136</v>
      </c>
      <c r="G486" s="6">
        <v>1140</v>
      </c>
      <c r="H486" s="6">
        <v>562</v>
      </c>
      <c r="I486" s="6">
        <v>109</v>
      </c>
      <c r="J486" s="6">
        <v>326</v>
      </c>
      <c r="K486" s="40">
        <v>106</v>
      </c>
      <c r="L486" s="40">
        <v>1</v>
      </c>
      <c r="M486" s="40">
        <v>60</v>
      </c>
      <c r="N486" s="40">
        <v>0</v>
      </c>
      <c r="O486" s="40">
        <v>0</v>
      </c>
      <c r="P486" s="40">
        <v>21</v>
      </c>
      <c r="Q486" s="40">
        <v>0</v>
      </c>
      <c r="R486" s="40">
        <v>39</v>
      </c>
      <c r="S486" s="40">
        <v>0</v>
      </c>
    </row>
    <row r="487" spans="1:19" x14ac:dyDescent="0.35">
      <c r="A487" s="38">
        <v>484</v>
      </c>
      <c r="B487" s="38" t="str">
        <f>_xlfn.XLOOKUP(A487,'Model Modeshare by TAZ'!A:A,'Model Modeshare by TAZ'!B:B)</f>
        <v>Palo Alto</v>
      </c>
      <c r="C487" s="38" t="str">
        <f>_xlfn.XLOOKUP(A487,'Model Modeshare by TAZ'!A:A,'Model Modeshare by TAZ'!D:D)</f>
        <v>NO</v>
      </c>
      <c r="D487" s="6">
        <v>3</v>
      </c>
      <c r="E487" s="6">
        <v>0</v>
      </c>
      <c r="F487" s="6">
        <v>0</v>
      </c>
      <c r="G487" s="6">
        <v>0</v>
      </c>
      <c r="H487" s="6">
        <v>0</v>
      </c>
      <c r="I487" s="6">
        <v>0</v>
      </c>
      <c r="J487" s="6">
        <v>0</v>
      </c>
      <c r="K487" s="40">
        <v>36</v>
      </c>
      <c r="L487" s="40">
        <v>22</v>
      </c>
      <c r="M487" s="40">
        <v>719</v>
      </c>
      <c r="N487" s="40">
        <v>0</v>
      </c>
      <c r="O487" s="40">
        <v>27</v>
      </c>
      <c r="P487" s="40">
        <v>674</v>
      </c>
      <c r="Q487" s="40">
        <v>0</v>
      </c>
      <c r="R487" s="40">
        <v>18</v>
      </c>
      <c r="S487" s="40">
        <v>0</v>
      </c>
    </row>
    <row r="488" spans="1:19" x14ac:dyDescent="0.35">
      <c r="A488" s="38">
        <v>485</v>
      </c>
      <c r="B488" s="38" t="str">
        <f>_xlfn.XLOOKUP(A488,'Model Modeshare by TAZ'!A:A,'Model Modeshare by TAZ'!B:B)</f>
        <v>Palo Alto</v>
      </c>
      <c r="C488" s="38" t="str">
        <f>_xlfn.XLOOKUP(A488,'Model Modeshare by TAZ'!A:A,'Model Modeshare by TAZ'!D:D)</f>
        <v>NO</v>
      </c>
      <c r="D488" s="6">
        <v>3</v>
      </c>
      <c r="E488" s="6">
        <v>417</v>
      </c>
      <c r="F488" s="6">
        <v>1040</v>
      </c>
      <c r="G488" s="6">
        <v>1040</v>
      </c>
      <c r="H488" s="6">
        <v>559</v>
      </c>
      <c r="I488" s="6">
        <v>0</v>
      </c>
      <c r="J488" s="6">
        <v>417</v>
      </c>
      <c r="K488" s="40">
        <v>73</v>
      </c>
      <c r="L488" s="40">
        <v>1</v>
      </c>
      <c r="M488" s="40">
        <v>10</v>
      </c>
      <c r="N488" s="40">
        <v>0</v>
      </c>
      <c r="O488" s="40">
        <v>6</v>
      </c>
      <c r="P488" s="40">
        <v>0</v>
      </c>
      <c r="Q488" s="40">
        <v>0</v>
      </c>
      <c r="R488" s="40">
        <v>4</v>
      </c>
      <c r="S488" s="40">
        <v>0</v>
      </c>
    </row>
    <row r="489" spans="1:19" x14ac:dyDescent="0.35">
      <c r="A489" s="38">
        <v>486</v>
      </c>
      <c r="B489" s="38" t="str">
        <f>_xlfn.XLOOKUP(A489,'Model Modeshare by TAZ'!A:A,'Model Modeshare by TAZ'!B:B)</f>
        <v>Palo Alto</v>
      </c>
      <c r="C489" s="38" t="str">
        <f>_xlfn.XLOOKUP(A489,'Model Modeshare by TAZ'!A:A,'Model Modeshare by TAZ'!D:D)</f>
        <v>NO</v>
      </c>
      <c r="D489" s="6">
        <v>3</v>
      </c>
      <c r="E489" s="6">
        <v>350</v>
      </c>
      <c r="F489" s="6">
        <v>957</v>
      </c>
      <c r="G489" s="6">
        <v>958</v>
      </c>
      <c r="H489" s="6">
        <v>471</v>
      </c>
      <c r="I489" s="6">
        <v>35</v>
      </c>
      <c r="J489" s="6">
        <v>315</v>
      </c>
      <c r="K489" s="40">
        <v>87</v>
      </c>
      <c r="L489" s="40">
        <v>1</v>
      </c>
      <c r="M489" s="40">
        <v>10</v>
      </c>
      <c r="N489" s="40">
        <v>0</v>
      </c>
      <c r="O489" s="40">
        <v>0</v>
      </c>
      <c r="P489" s="40">
        <v>10</v>
      </c>
      <c r="Q489" s="40">
        <v>0</v>
      </c>
      <c r="R489" s="40">
        <v>0</v>
      </c>
      <c r="S489" s="40">
        <v>0</v>
      </c>
    </row>
    <row r="490" spans="1:19" x14ac:dyDescent="0.35">
      <c r="A490" s="38">
        <v>487</v>
      </c>
      <c r="B490" s="38" t="str">
        <f>_xlfn.XLOOKUP(A490,'Model Modeshare by TAZ'!A:A,'Model Modeshare by TAZ'!B:B)</f>
        <v>Palo Alto</v>
      </c>
      <c r="C490" s="38" t="str">
        <f>_xlfn.XLOOKUP(A490,'Model Modeshare by TAZ'!A:A,'Model Modeshare by TAZ'!D:D)</f>
        <v>NO</v>
      </c>
      <c r="D490" s="6">
        <v>3</v>
      </c>
      <c r="E490" s="6">
        <v>553</v>
      </c>
      <c r="F490" s="6">
        <v>1511</v>
      </c>
      <c r="G490" s="6">
        <v>1515</v>
      </c>
      <c r="H490" s="6">
        <v>743</v>
      </c>
      <c r="I490" s="6">
        <v>138</v>
      </c>
      <c r="J490" s="6">
        <v>415</v>
      </c>
      <c r="K490" s="40">
        <v>143</v>
      </c>
      <c r="L490" s="40">
        <v>7</v>
      </c>
      <c r="M490" s="40">
        <v>206</v>
      </c>
      <c r="N490" s="40">
        <v>0</v>
      </c>
      <c r="O490" s="40">
        <v>34</v>
      </c>
      <c r="P490" s="40">
        <v>116</v>
      </c>
      <c r="Q490" s="40">
        <v>0</v>
      </c>
      <c r="R490" s="40">
        <v>0</v>
      </c>
      <c r="S490" s="40">
        <v>56</v>
      </c>
    </row>
    <row r="491" spans="1:19" x14ac:dyDescent="0.35">
      <c r="A491" s="38">
        <v>488</v>
      </c>
      <c r="B491" s="38" t="str">
        <f>_xlfn.XLOOKUP(A491,'Model Modeshare by TAZ'!A:A,'Model Modeshare by TAZ'!B:B)</f>
        <v>Palo Alto</v>
      </c>
      <c r="C491" s="38" t="str">
        <f>_xlfn.XLOOKUP(A491,'Model Modeshare by TAZ'!A:A,'Model Modeshare by TAZ'!D:D)</f>
        <v>NO</v>
      </c>
      <c r="D491" s="6">
        <v>3</v>
      </c>
      <c r="E491" s="6">
        <v>650</v>
      </c>
      <c r="F491" s="6">
        <v>1749</v>
      </c>
      <c r="G491" s="6">
        <v>1752</v>
      </c>
      <c r="H491" s="6">
        <v>943</v>
      </c>
      <c r="I491" s="6">
        <v>195</v>
      </c>
      <c r="J491" s="6">
        <v>455</v>
      </c>
      <c r="K491" s="40">
        <v>104</v>
      </c>
      <c r="L491" s="40">
        <v>3</v>
      </c>
      <c r="M491" s="40">
        <v>234</v>
      </c>
      <c r="N491" s="40">
        <v>101</v>
      </c>
      <c r="O491" s="40">
        <v>99</v>
      </c>
      <c r="P491" s="40">
        <v>14</v>
      </c>
      <c r="Q491" s="40">
        <v>0</v>
      </c>
      <c r="R491" s="40">
        <v>13</v>
      </c>
      <c r="S491" s="40">
        <v>7</v>
      </c>
    </row>
    <row r="492" spans="1:19" x14ac:dyDescent="0.35">
      <c r="A492" s="38">
        <v>489</v>
      </c>
      <c r="B492" s="38" t="str">
        <f>_xlfn.XLOOKUP(A492,'Model Modeshare by TAZ'!A:A,'Model Modeshare by TAZ'!B:B)</f>
        <v>Palo Alto</v>
      </c>
      <c r="C492" s="38" t="str">
        <f>_xlfn.XLOOKUP(A492,'Model Modeshare by TAZ'!A:A,'Model Modeshare by TAZ'!D:D)</f>
        <v>NO</v>
      </c>
      <c r="D492" s="6">
        <v>3</v>
      </c>
      <c r="E492" s="6">
        <v>490</v>
      </c>
      <c r="F492" s="6">
        <v>1316</v>
      </c>
      <c r="G492" s="6">
        <v>1317</v>
      </c>
      <c r="H492" s="6">
        <v>709</v>
      </c>
      <c r="I492" s="6">
        <v>98</v>
      </c>
      <c r="J492" s="6">
        <v>392</v>
      </c>
      <c r="K492" s="40">
        <v>97</v>
      </c>
      <c r="L492" s="40">
        <v>2</v>
      </c>
      <c r="M492" s="40">
        <v>284</v>
      </c>
      <c r="N492" s="40">
        <v>121</v>
      </c>
      <c r="O492" s="40">
        <v>111</v>
      </c>
      <c r="P492" s="40">
        <v>31</v>
      </c>
      <c r="Q492" s="40">
        <v>0</v>
      </c>
      <c r="R492" s="40">
        <v>13</v>
      </c>
      <c r="S492" s="40">
        <v>8</v>
      </c>
    </row>
    <row r="493" spans="1:19" x14ac:dyDescent="0.35">
      <c r="A493" s="38">
        <v>490</v>
      </c>
      <c r="B493" s="38" t="str">
        <f>_xlfn.XLOOKUP(A493,'Model Modeshare by TAZ'!A:A,'Model Modeshare by TAZ'!B:B)</f>
        <v>Palo Alto</v>
      </c>
      <c r="C493" s="38" t="str">
        <f>_xlfn.XLOOKUP(A493,'Model Modeshare by TAZ'!A:A,'Model Modeshare by TAZ'!D:D)</f>
        <v>NO</v>
      </c>
      <c r="D493" s="6">
        <v>3</v>
      </c>
      <c r="E493" s="6">
        <v>257</v>
      </c>
      <c r="F493" s="6">
        <v>673</v>
      </c>
      <c r="G493" s="6">
        <v>677</v>
      </c>
      <c r="H493" s="6">
        <v>370</v>
      </c>
      <c r="I493" s="6">
        <v>51</v>
      </c>
      <c r="J493" s="6">
        <v>206</v>
      </c>
      <c r="K493" s="40">
        <v>58</v>
      </c>
      <c r="L493" s="40">
        <v>7</v>
      </c>
      <c r="M493" s="40">
        <v>40</v>
      </c>
      <c r="N493" s="40">
        <v>0</v>
      </c>
      <c r="O493" s="40">
        <v>23</v>
      </c>
      <c r="P493" s="40">
        <v>11</v>
      </c>
      <c r="Q493" s="40">
        <v>2</v>
      </c>
      <c r="R493" s="40">
        <v>2</v>
      </c>
      <c r="S493" s="40">
        <v>2</v>
      </c>
    </row>
    <row r="494" spans="1:19" x14ac:dyDescent="0.35">
      <c r="A494" s="38">
        <v>491</v>
      </c>
      <c r="B494" s="38" t="str">
        <f>_xlfn.XLOOKUP(A494,'Model Modeshare by TAZ'!A:A,'Model Modeshare by TAZ'!B:B)</f>
        <v>Palo Alto</v>
      </c>
      <c r="C494" s="38" t="str">
        <f>_xlfn.XLOOKUP(A494,'Model Modeshare by TAZ'!A:A,'Model Modeshare by TAZ'!D:D)</f>
        <v>NO</v>
      </c>
      <c r="D494" s="6">
        <v>3</v>
      </c>
      <c r="E494" s="6">
        <v>491</v>
      </c>
      <c r="F494" s="6">
        <v>1290</v>
      </c>
      <c r="G494" s="6">
        <v>1339</v>
      </c>
      <c r="H494" s="6">
        <v>708</v>
      </c>
      <c r="I494" s="6">
        <v>98</v>
      </c>
      <c r="J494" s="6">
        <v>393</v>
      </c>
      <c r="K494" s="40">
        <v>72</v>
      </c>
      <c r="L494" s="40">
        <v>19</v>
      </c>
      <c r="M494" s="40">
        <v>124</v>
      </c>
      <c r="N494" s="40">
        <v>3</v>
      </c>
      <c r="O494" s="40">
        <v>87</v>
      </c>
      <c r="P494" s="40">
        <v>29</v>
      </c>
      <c r="Q494" s="40">
        <v>3</v>
      </c>
      <c r="R494" s="40">
        <v>1</v>
      </c>
      <c r="S494" s="40">
        <v>1</v>
      </c>
    </row>
    <row r="495" spans="1:19" x14ac:dyDescent="0.35">
      <c r="A495" s="38">
        <v>492</v>
      </c>
      <c r="B495" s="38" t="str">
        <f>_xlfn.XLOOKUP(A495,'Model Modeshare by TAZ'!A:A,'Model Modeshare by TAZ'!B:B)</f>
        <v>Palo Alto</v>
      </c>
      <c r="C495" s="38" t="str">
        <f>_xlfn.XLOOKUP(A495,'Model Modeshare by TAZ'!A:A,'Model Modeshare by TAZ'!D:D)</f>
        <v>NO</v>
      </c>
      <c r="D495" s="6">
        <v>3</v>
      </c>
      <c r="E495" s="6">
        <v>461</v>
      </c>
      <c r="F495" s="6">
        <v>1125</v>
      </c>
      <c r="G495" s="6">
        <v>1126</v>
      </c>
      <c r="H495" s="6">
        <v>606</v>
      </c>
      <c r="I495" s="6">
        <v>300</v>
      </c>
      <c r="J495" s="6">
        <v>161</v>
      </c>
      <c r="K495" s="40">
        <v>40</v>
      </c>
      <c r="L495" s="40">
        <v>24</v>
      </c>
      <c r="M495" s="40">
        <v>149</v>
      </c>
      <c r="N495" s="40">
        <v>84</v>
      </c>
      <c r="O495" s="40">
        <v>19</v>
      </c>
      <c r="P495" s="40">
        <v>37</v>
      </c>
      <c r="Q495" s="40">
        <v>9</v>
      </c>
      <c r="R495" s="40">
        <v>0</v>
      </c>
      <c r="S495" s="40">
        <v>0</v>
      </c>
    </row>
    <row r="496" spans="1:19" x14ac:dyDescent="0.35">
      <c r="A496" s="38">
        <v>493</v>
      </c>
      <c r="B496" s="38" t="str">
        <f>_xlfn.XLOOKUP(A496,'Model Modeshare by TAZ'!A:A,'Model Modeshare by TAZ'!B:B)</f>
        <v>Palo Alto</v>
      </c>
      <c r="C496" s="38" t="str">
        <f>_xlfn.XLOOKUP(A496,'Model Modeshare by TAZ'!A:A,'Model Modeshare by TAZ'!D:D)</f>
        <v>NO</v>
      </c>
      <c r="D496" s="6">
        <v>3</v>
      </c>
      <c r="E496" s="6">
        <v>639</v>
      </c>
      <c r="F496" s="6">
        <v>1665</v>
      </c>
      <c r="G496" s="6">
        <v>1665</v>
      </c>
      <c r="H496" s="6">
        <v>867</v>
      </c>
      <c r="I496" s="6">
        <v>160</v>
      </c>
      <c r="J496" s="6">
        <v>479</v>
      </c>
      <c r="K496" s="40">
        <v>88</v>
      </c>
      <c r="L496" s="40">
        <v>11</v>
      </c>
      <c r="M496" s="40">
        <v>114</v>
      </c>
      <c r="N496" s="40">
        <v>27</v>
      </c>
      <c r="O496" s="40">
        <v>79</v>
      </c>
      <c r="P496" s="40">
        <v>4</v>
      </c>
      <c r="Q496" s="40">
        <v>1</v>
      </c>
      <c r="R496" s="40">
        <v>2</v>
      </c>
      <c r="S496" s="40">
        <v>1</v>
      </c>
    </row>
    <row r="497" spans="1:19" x14ac:dyDescent="0.35">
      <c r="A497" s="38">
        <v>494</v>
      </c>
      <c r="B497" s="38" t="str">
        <f>_xlfn.XLOOKUP(A497,'Model Modeshare by TAZ'!A:A,'Model Modeshare by TAZ'!B:B)</f>
        <v>Unincorporated</v>
      </c>
      <c r="C497" s="38" t="str">
        <f>_xlfn.XLOOKUP(A497,'Model Modeshare by TAZ'!A:A,'Model Modeshare by TAZ'!D:D)</f>
        <v>NO</v>
      </c>
      <c r="D497" s="6">
        <v>3</v>
      </c>
      <c r="E497" s="6">
        <v>0</v>
      </c>
      <c r="F497" s="6">
        <v>0</v>
      </c>
      <c r="G497" s="6">
        <v>0</v>
      </c>
      <c r="H497" s="6">
        <v>0</v>
      </c>
      <c r="I497" s="6">
        <v>0</v>
      </c>
      <c r="J497" s="6">
        <v>0</v>
      </c>
      <c r="K497" s="40">
        <v>18</v>
      </c>
      <c r="L497" s="40">
        <v>24</v>
      </c>
      <c r="M497" s="40">
        <v>821</v>
      </c>
      <c r="N497" s="40">
        <v>0</v>
      </c>
      <c r="O497" s="40">
        <v>580</v>
      </c>
      <c r="P497" s="40">
        <v>1</v>
      </c>
      <c r="Q497" s="40">
        <v>0</v>
      </c>
      <c r="R497" s="40">
        <v>145</v>
      </c>
      <c r="S497" s="40">
        <v>95</v>
      </c>
    </row>
    <row r="498" spans="1:19" x14ac:dyDescent="0.35">
      <c r="A498" s="38">
        <v>495</v>
      </c>
      <c r="B498" s="38" t="str">
        <f>_xlfn.XLOOKUP(A498,'Model Modeshare by TAZ'!A:A,'Model Modeshare by TAZ'!B:B)</f>
        <v>Palo Alto</v>
      </c>
      <c r="C498" s="38" t="str">
        <f>_xlfn.XLOOKUP(A498,'Model Modeshare by TAZ'!A:A,'Model Modeshare by TAZ'!D:D)</f>
        <v>NO</v>
      </c>
      <c r="D498" s="6">
        <v>3</v>
      </c>
      <c r="E498" s="6">
        <v>201</v>
      </c>
      <c r="F498" s="6">
        <v>369</v>
      </c>
      <c r="G498" s="6">
        <v>380</v>
      </c>
      <c r="H498" s="6">
        <v>248</v>
      </c>
      <c r="I498" s="6">
        <v>30</v>
      </c>
      <c r="J498" s="6">
        <v>171</v>
      </c>
      <c r="K498" s="40">
        <v>27</v>
      </c>
      <c r="L498" s="40">
        <v>1</v>
      </c>
      <c r="M498" s="40">
        <v>96</v>
      </c>
      <c r="N498" s="40">
        <v>59</v>
      </c>
      <c r="O498" s="40">
        <v>30</v>
      </c>
      <c r="P498" s="40">
        <v>0</v>
      </c>
      <c r="Q498" s="40">
        <v>7</v>
      </c>
      <c r="R498" s="40">
        <v>0</v>
      </c>
      <c r="S498" s="40">
        <v>0</v>
      </c>
    </row>
    <row r="499" spans="1:19" x14ac:dyDescent="0.35">
      <c r="A499" s="38">
        <v>496</v>
      </c>
      <c r="B499" s="38" t="str">
        <f>_xlfn.XLOOKUP(A499,'Model Modeshare by TAZ'!A:A,'Model Modeshare by TAZ'!B:B)</f>
        <v>Palo Alto</v>
      </c>
      <c r="C499" s="38" t="str">
        <f>_xlfn.XLOOKUP(A499,'Model Modeshare by TAZ'!A:A,'Model Modeshare by TAZ'!D:D)</f>
        <v>NO</v>
      </c>
      <c r="D499" s="6">
        <v>3</v>
      </c>
      <c r="E499" s="6">
        <v>310</v>
      </c>
      <c r="F499" s="6">
        <v>568</v>
      </c>
      <c r="G499" s="6">
        <v>584</v>
      </c>
      <c r="H499" s="6">
        <v>382</v>
      </c>
      <c r="I499" s="6">
        <v>31</v>
      </c>
      <c r="J499" s="6">
        <v>279</v>
      </c>
      <c r="K499" s="40">
        <v>54</v>
      </c>
      <c r="L499" s="40">
        <v>1</v>
      </c>
      <c r="M499" s="40">
        <v>251</v>
      </c>
      <c r="N499" s="40">
        <v>0</v>
      </c>
      <c r="O499" s="40">
        <v>0</v>
      </c>
      <c r="P499" s="40">
        <v>247</v>
      </c>
      <c r="Q499" s="40">
        <v>4</v>
      </c>
      <c r="R499" s="40">
        <v>0</v>
      </c>
      <c r="S499" s="40">
        <v>0</v>
      </c>
    </row>
    <row r="500" spans="1:19" x14ac:dyDescent="0.35">
      <c r="A500" s="38">
        <v>497</v>
      </c>
      <c r="B500" s="38" t="str">
        <f>_xlfn.XLOOKUP(A500,'Model Modeshare by TAZ'!A:A,'Model Modeshare by TAZ'!B:B)</f>
        <v>Palo Alto</v>
      </c>
      <c r="C500" s="38" t="str">
        <f>_xlfn.XLOOKUP(A500,'Model Modeshare by TAZ'!A:A,'Model Modeshare by TAZ'!D:D)</f>
        <v>NO</v>
      </c>
      <c r="D500" s="6">
        <v>3</v>
      </c>
      <c r="E500" s="6">
        <v>249</v>
      </c>
      <c r="F500" s="6">
        <v>685</v>
      </c>
      <c r="G500" s="6">
        <v>685</v>
      </c>
      <c r="H500" s="6">
        <v>389</v>
      </c>
      <c r="I500" s="6">
        <v>25</v>
      </c>
      <c r="J500" s="6">
        <v>224</v>
      </c>
      <c r="K500" s="40">
        <v>57</v>
      </c>
      <c r="L500" s="40">
        <v>10</v>
      </c>
      <c r="M500" s="40">
        <v>55</v>
      </c>
      <c r="N500" s="40">
        <v>1</v>
      </c>
      <c r="O500" s="40">
        <v>23</v>
      </c>
      <c r="P500" s="40">
        <v>28</v>
      </c>
      <c r="Q500" s="40">
        <v>1</v>
      </c>
      <c r="R500" s="40">
        <v>1</v>
      </c>
      <c r="S500" s="40">
        <v>1</v>
      </c>
    </row>
    <row r="501" spans="1:19" x14ac:dyDescent="0.35">
      <c r="A501" s="38">
        <v>498</v>
      </c>
      <c r="B501" s="38" t="str">
        <f>_xlfn.XLOOKUP(A501,'Model Modeshare by TAZ'!A:A,'Model Modeshare by TAZ'!B:B)</f>
        <v>Palo Alto</v>
      </c>
      <c r="C501" s="38" t="str">
        <f>_xlfn.XLOOKUP(A501,'Model Modeshare by TAZ'!A:A,'Model Modeshare by TAZ'!D:D)</f>
        <v>NO</v>
      </c>
      <c r="D501" s="6">
        <v>3</v>
      </c>
      <c r="E501" s="6">
        <v>606</v>
      </c>
      <c r="F501" s="6">
        <v>1664</v>
      </c>
      <c r="G501" s="6">
        <v>1668</v>
      </c>
      <c r="H501" s="6">
        <v>950</v>
      </c>
      <c r="I501" s="6">
        <v>91</v>
      </c>
      <c r="J501" s="6">
        <v>515</v>
      </c>
      <c r="K501" s="40">
        <v>130</v>
      </c>
      <c r="L501" s="40">
        <v>9</v>
      </c>
      <c r="M501" s="40">
        <v>129</v>
      </c>
      <c r="N501" s="40">
        <v>2</v>
      </c>
      <c r="O501" s="40">
        <v>48</v>
      </c>
      <c r="P501" s="40">
        <v>76</v>
      </c>
      <c r="Q501" s="40">
        <v>0</v>
      </c>
      <c r="R501" s="40">
        <v>1</v>
      </c>
      <c r="S501" s="40">
        <v>2</v>
      </c>
    </row>
    <row r="502" spans="1:19" x14ac:dyDescent="0.35">
      <c r="A502" s="38">
        <v>499</v>
      </c>
      <c r="B502" s="38" t="str">
        <f>_xlfn.XLOOKUP(A502,'Model Modeshare by TAZ'!A:A,'Model Modeshare by TAZ'!B:B)</f>
        <v>Palo Alto</v>
      </c>
      <c r="C502" s="38" t="str">
        <f>_xlfn.XLOOKUP(A502,'Model Modeshare by TAZ'!A:A,'Model Modeshare by TAZ'!D:D)</f>
        <v>NO</v>
      </c>
      <c r="D502" s="6">
        <v>3</v>
      </c>
      <c r="E502" s="6">
        <v>510</v>
      </c>
      <c r="F502" s="6">
        <v>1401</v>
      </c>
      <c r="G502" s="6">
        <v>1401</v>
      </c>
      <c r="H502" s="6">
        <v>800</v>
      </c>
      <c r="I502" s="6">
        <v>26</v>
      </c>
      <c r="J502" s="6">
        <v>484</v>
      </c>
      <c r="K502" s="40">
        <v>160</v>
      </c>
      <c r="L502" s="40">
        <v>5</v>
      </c>
      <c r="M502" s="40">
        <v>132</v>
      </c>
      <c r="N502" s="40">
        <v>0</v>
      </c>
      <c r="O502" s="40">
        <v>4</v>
      </c>
      <c r="P502" s="40">
        <v>120</v>
      </c>
      <c r="Q502" s="40">
        <v>8</v>
      </c>
      <c r="R502" s="40">
        <v>0</v>
      </c>
      <c r="S502" s="40">
        <v>0</v>
      </c>
    </row>
    <row r="503" spans="1:19" x14ac:dyDescent="0.35">
      <c r="A503" s="38">
        <v>500</v>
      </c>
      <c r="B503" s="38" t="str">
        <f>_xlfn.XLOOKUP(A503,'Model Modeshare by TAZ'!A:A,'Model Modeshare by TAZ'!B:B)</f>
        <v>Palo Alto</v>
      </c>
      <c r="C503" s="38" t="str">
        <f>_xlfn.XLOOKUP(A503,'Model Modeshare by TAZ'!A:A,'Model Modeshare by TAZ'!D:D)</f>
        <v>NO</v>
      </c>
      <c r="D503" s="6">
        <v>3</v>
      </c>
      <c r="E503" s="6">
        <v>459</v>
      </c>
      <c r="F503" s="6">
        <v>1259</v>
      </c>
      <c r="G503" s="6">
        <v>1260</v>
      </c>
      <c r="H503" s="6">
        <v>719</v>
      </c>
      <c r="I503" s="6">
        <v>23</v>
      </c>
      <c r="J503" s="6">
        <v>436</v>
      </c>
      <c r="K503" s="40">
        <v>95</v>
      </c>
      <c r="L503" s="40">
        <v>12</v>
      </c>
      <c r="M503" s="40">
        <v>184</v>
      </c>
      <c r="N503" s="40">
        <v>2</v>
      </c>
      <c r="O503" s="40">
        <v>55</v>
      </c>
      <c r="P503" s="40">
        <v>119</v>
      </c>
      <c r="Q503" s="40">
        <v>4</v>
      </c>
      <c r="R503" s="40">
        <v>2</v>
      </c>
      <c r="S503" s="40">
        <v>2</v>
      </c>
    </row>
    <row r="504" spans="1:19" x14ac:dyDescent="0.35">
      <c r="A504" s="38">
        <v>501</v>
      </c>
      <c r="B504" s="38" t="str">
        <f>_xlfn.XLOOKUP(A504,'Model Modeshare by TAZ'!A:A,'Model Modeshare by TAZ'!B:B)</f>
        <v>Palo Alto</v>
      </c>
      <c r="C504" s="38" t="str">
        <f>_xlfn.XLOOKUP(A504,'Model Modeshare by TAZ'!A:A,'Model Modeshare by TAZ'!D:D)</f>
        <v>NO</v>
      </c>
      <c r="D504" s="6">
        <v>3</v>
      </c>
      <c r="E504" s="6">
        <v>495</v>
      </c>
      <c r="F504" s="6">
        <v>1431</v>
      </c>
      <c r="G504" s="6">
        <v>1432</v>
      </c>
      <c r="H504" s="6">
        <v>721</v>
      </c>
      <c r="I504" s="6">
        <v>25</v>
      </c>
      <c r="J504" s="6">
        <v>470</v>
      </c>
      <c r="K504" s="40">
        <v>135</v>
      </c>
      <c r="L504" s="40">
        <v>16</v>
      </c>
      <c r="M504" s="40">
        <v>167</v>
      </c>
      <c r="N504" s="40">
        <v>43</v>
      </c>
      <c r="O504" s="40">
        <v>74</v>
      </c>
      <c r="P504" s="40">
        <v>29</v>
      </c>
      <c r="Q504" s="40">
        <v>3</v>
      </c>
      <c r="R504" s="40">
        <v>7</v>
      </c>
      <c r="S504" s="40">
        <v>11</v>
      </c>
    </row>
    <row r="505" spans="1:19" x14ac:dyDescent="0.35">
      <c r="A505" s="38">
        <v>502</v>
      </c>
      <c r="B505" s="38" t="str">
        <f>_xlfn.XLOOKUP(A505,'Model Modeshare by TAZ'!A:A,'Model Modeshare by TAZ'!B:B)</f>
        <v>Palo Alto</v>
      </c>
      <c r="C505" s="38" t="str">
        <f>_xlfn.XLOOKUP(A505,'Model Modeshare by TAZ'!A:A,'Model Modeshare by TAZ'!D:D)</f>
        <v>NO</v>
      </c>
      <c r="D505" s="6">
        <v>3</v>
      </c>
      <c r="E505" s="6">
        <v>392</v>
      </c>
      <c r="F505" s="6">
        <v>1131</v>
      </c>
      <c r="G505" s="6">
        <v>1142</v>
      </c>
      <c r="H505" s="6">
        <v>570</v>
      </c>
      <c r="I505" s="6">
        <v>20</v>
      </c>
      <c r="J505" s="6">
        <v>372</v>
      </c>
      <c r="K505" s="40">
        <v>94</v>
      </c>
      <c r="L505" s="40">
        <v>6</v>
      </c>
      <c r="M505" s="40">
        <v>44</v>
      </c>
      <c r="N505" s="40">
        <v>14</v>
      </c>
      <c r="O505" s="40">
        <v>23</v>
      </c>
      <c r="P505" s="40">
        <v>1</v>
      </c>
      <c r="Q505" s="40">
        <v>1</v>
      </c>
      <c r="R505" s="40">
        <v>2</v>
      </c>
      <c r="S505" s="40">
        <v>3</v>
      </c>
    </row>
    <row r="506" spans="1:19" x14ac:dyDescent="0.35">
      <c r="A506" s="38">
        <v>503</v>
      </c>
      <c r="B506" s="38" t="str">
        <f>_xlfn.XLOOKUP(A506,'Model Modeshare by TAZ'!A:A,'Model Modeshare by TAZ'!B:B)</f>
        <v>Palo Alto</v>
      </c>
      <c r="C506" s="38" t="str">
        <f>_xlfn.XLOOKUP(A506,'Model Modeshare by TAZ'!A:A,'Model Modeshare by TAZ'!D:D)</f>
        <v>NO</v>
      </c>
      <c r="D506" s="6">
        <v>3</v>
      </c>
      <c r="E506" s="6">
        <v>215</v>
      </c>
      <c r="F506" s="6">
        <v>563</v>
      </c>
      <c r="G506" s="6">
        <v>568</v>
      </c>
      <c r="H506" s="6">
        <v>308</v>
      </c>
      <c r="I506" s="6">
        <v>22</v>
      </c>
      <c r="J506" s="6">
        <v>193</v>
      </c>
      <c r="K506" s="40">
        <v>46</v>
      </c>
      <c r="L506" s="40">
        <v>7</v>
      </c>
      <c r="M506" s="40">
        <v>162</v>
      </c>
      <c r="N506" s="40">
        <v>4</v>
      </c>
      <c r="O506" s="40">
        <v>103</v>
      </c>
      <c r="P506" s="40">
        <v>45</v>
      </c>
      <c r="Q506" s="40">
        <v>3</v>
      </c>
      <c r="R506" s="40">
        <v>3</v>
      </c>
      <c r="S506" s="40">
        <v>4</v>
      </c>
    </row>
    <row r="507" spans="1:19" x14ac:dyDescent="0.35">
      <c r="A507" s="38">
        <v>504</v>
      </c>
      <c r="B507" s="38" t="str">
        <f>_xlfn.XLOOKUP(A507,'Model Modeshare by TAZ'!A:A,'Model Modeshare by TAZ'!B:B)</f>
        <v>Palo Alto</v>
      </c>
      <c r="C507" s="38" t="str">
        <f>_xlfn.XLOOKUP(A507,'Model Modeshare by TAZ'!A:A,'Model Modeshare by TAZ'!D:D)</f>
        <v>NO</v>
      </c>
      <c r="D507" s="6">
        <v>3</v>
      </c>
      <c r="E507" s="6">
        <v>528</v>
      </c>
      <c r="F507" s="6">
        <v>1408</v>
      </c>
      <c r="G507" s="6">
        <v>1408</v>
      </c>
      <c r="H507" s="6">
        <v>795</v>
      </c>
      <c r="I507" s="6">
        <v>79</v>
      </c>
      <c r="J507" s="6">
        <v>449</v>
      </c>
      <c r="K507" s="40">
        <v>137</v>
      </c>
      <c r="L507" s="40">
        <v>3</v>
      </c>
      <c r="M507" s="40">
        <v>72</v>
      </c>
      <c r="N507" s="40">
        <v>2</v>
      </c>
      <c r="O507" s="40">
        <v>37</v>
      </c>
      <c r="P507" s="40">
        <v>21</v>
      </c>
      <c r="Q507" s="40">
        <v>12</v>
      </c>
      <c r="R507" s="40">
        <v>0</v>
      </c>
      <c r="S507" s="40">
        <v>0</v>
      </c>
    </row>
    <row r="508" spans="1:19" x14ac:dyDescent="0.35">
      <c r="A508" s="38">
        <v>505</v>
      </c>
      <c r="B508" s="38" t="str">
        <f>_xlfn.XLOOKUP(A508,'Model Modeshare by TAZ'!A:A,'Model Modeshare by TAZ'!B:B)</f>
        <v>Palo Alto</v>
      </c>
      <c r="C508" s="38" t="str">
        <f>_xlfn.XLOOKUP(A508,'Model Modeshare by TAZ'!A:A,'Model Modeshare by TAZ'!D:D)</f>
        <v>NO</v>
      </c>
      <c r="D508" s="6">
        <v>3</v>
      </c>
      <c r="E508" s="6">
        <v>174</v>
      </c>
      <c r="F508" s="6">
        <v>465</v>
      </c>
      <c r="G508" s="6">
        <v>465</v>
      </c>
      <c r="H508" s="6">
        <v>262</v>
      </c>
      <c r="I508" s="6">
        <v>26</v>
      </c>
      <c r="J508" s="6">
        <v>148</v>
      </c>
      <c r="K508" s="40">
        <v>34</v>
      </c>
      <c r="L508" s="40">
        <v>15</v>
      </c>
      <c r="M508" s="40">
        <v>180</v>
      </c>
      <c r="N508" s="40">
        <v>8</v>
      </c>
      <c r="O508" s="40">
        <v>98</v>
      </c>
      <c r="P508" s="40">
        <v>33</v>
      </c>
      <c r="Q508" s="40">
        <v>41</v>
      </c>
      <c r="R508" s="40">
        <v>0</v>
      </c>
      <c r="S508" s="40">
        <v>0</v>
      </c>
    </row>
    <row r="509" spans="1:19" x14ac:dyDescent="0.35">
      <c r="A509" s="38">
        <v>506</v>
      </c>
      <c r="B509" s="38" t="str">
        <f>_xlfn.XLOOKUP(A509,'Model Modeshare by TAZ'!A:A,'Model Modeshare by TAZ'!B:B)</f>
        <v>Palo Alto</v>
      </c>
      <c r="C509" s="38" t="str">
        <f>_xlfn.XLOOKUP(A509,'Model Modeshare by TAZ'!A:A,'Model Modeshare by TAZ'!D:D)</f>
        <v>NO</v>
      </c>
      <c r="D509" s="6">
        <v>3</v>
      </c>
      <c r="E509" s="6">
        <v>502</v>
      </c>
      <c r="F509" s="6">
        <v>1142</v>
      </c>
      <c r="G509" s="6">
        <v>1273</v>
      </c>
      <c r="H509" s="6">
        <v>687</v>
      </c>
      <c r="I509" s="6">
        <v>502</v>
      </c>
      <c r="J509" s="6">
        <v>0</v>
      </c>
      <c r="K509" s="40">
        <v>14</v>
      </c>
      <c r="L509" s="40">
        <v>11</v>
      </c>
      <c r="M509" s="40">
        <v>990</v>
      </c>
      <c r="N509" s="40">
        <v>234</v>
      </c>
      <c r="O509" s="40">
        <v>483</v>
      </c>
      <c r="P509" s="40">
        <v>43</v>
      </c>
      <c r="Q509" s="40">
        <v>1</v>
      </c>
      <c r="R509" s="40">
        <v>163</v>
      </c>
      <c r="S509" s="40">
        <v>66</v>
      </c>
    </row>
    <row r="510" spans="1:19" x14ac:dyDescent="0.35">
      <c r="A510" s="38">
        <v>507</v>
      </c>
      <c r="B510" s="38" t="str">
        <f>_xlfn.XLOOKUP(A510,'Model Modeshare by TAZ'!A:A,'Model Modeshare by TAZ'!B:B)</f>
        <v>Palo Alto</v>
      </c>
      <c r="C510" s="38" t="str">
        <f>_xlfn.XLOOKUP(A510,'Model Modeshare by TAZ'!A:A,'Model Modeshare by TAZ'!D:D)</f>
        <v>NO</v>
      </c>
      <c r="D510" s="6">
        <v>3</v>
      </c>
      <c r="E510" s="6">
        <v>61</v>
      </c>
      <c r="F510" s="6">
        <v>139</v>
      </c>
      <c r="G510" s="6">
        <v>158</v>
      </c>
      <c r="H510" s="6">
        <v>83</v>
      </c>
      <c r="I510" s="6">
        <v>58</v>
      </c>
      <c r="J510" s="6">
        <v>3</v>
      </c>
      <c r="K510" s="40">
        <v>5</v>
      </c>
      <c r="L510" s="40">
        <v>6</v>
      </c>
      <c r="M510" s="40">
        <v>415</v>
      </c>
      <c r="N510" s="40">
        <v>94</v>
      </c>
      <c r="O510" s="40">
        <v>201</v>
      </c>
      <c r="P510" s="40">
        <v>15</v>
      </c>
      <c r="Q510" s="40">
        <v>1</v>
      </c>
      <c r="R510" s="40">
        <v>74</v>
      </c>
      <c r="S510" s="40">
        <v>30</v>
      </c>
    </row>
    <row r="511" spans="1:19" x14ac:dyDescent="0.35">
      <c r="A511" s="38">
        <v>508</v>
      </c>
      <c r="B511" s="38" t="str">
        <f>_xlfn.XLOOKUP(A511,'Model Modeshare by TAZ'!A:A,'Model Modeshare by TAZ'!B:B)</f>
        <v>Palo Alto</v>
      </c>
      <c r="C511" s="38" t="str">
        <f>_xlfn.XLOOKUP(A511,'Model Modeshare by TAZ'!A:A,'Model Modeshare by TAZ'!D:D)</f>
        <v>NO</v>
      </c>
      <c r="D511" s="6">
        <v>3</v>
      </c>
      <c r="E511" s="6">
        <v>835</v>
      </c>
      <c r="F511" s="6">
        <v>1899</v>
      </c>
      <c r="G511" s="6">
        <v>2070</v>
      </c>
      <c r="H511" s="6">
        <v>1145</v>
      </c>
      <c r="I511" s="6">
        <v>209</v>
      </c>
      <c r="J511" s="6">
        <v>626</v>
      </c>
      <c r="K511" s="40">
        <v>128</v>
      </c>
      <c r="L511" s="40">
        <v>4</v>
      </c>
      <c r="M511" s="40">
        <v>890</v>
      </c>
      <c r="N511" s="40">
        <v>138</v>
      </c>
      <c r="O511" s="40">
        <v>383</v>
      </c>
      <c r="P511" s="40">
        <v>46</v>
      </c>
      <c r="Q511" s="40">
        <v>1</v>
      </c>
      <c r="R511" s="40">
        <v>221</v>
      </c>
      <c r="S511" s="40">
        <v>101</v>
      </c>
    </row>
    <row r="512" spans="1:19" x14ac:dyDescent="0.35">
      <c r="A512" s="38">
        <v>509</v>
      </c>
      <c r="B512" s="38" t="str">
        <f>_xlfn.XLOOKUP(A512,'Model Modeshare by TAZ'!A:A,'Model Modeshare by TAZ'!B:B)</f>
        <v>Unincorporated</v>
      </c>
      <c r="C512" s="38" t="str">
        <f>_xlfn.XLOOKUP(A512,'Model Modeshare by TAZ'!A:A,'Model Modeshare by TAZ'!D:D)</f>
        <v>NO</v>
      </c>
      <c r="D512" s="6">
        <v>3</v>
      </c>
      <c r="E512" s="6">
        <v>1681</v>
      </c>
      <c r="F512" s="6">
        <v>3148</v>
      </c>
      <c r="G512" s="6">
        <v>3150</v>
      </c>
      <c r="H512" s="6">
        <v>2019</v>
      </c>
      <c r="I512" s="6">
        <v>218</v>
      </c>
      <c r="J512" s="6">
        <v>1463</v>
      </c>
      <c r="K512" s="40">
        <v>102</v>
      </c>
      <c r="L512" s="40">
        <v>23</v>
      </c>
      <c r="M512" s="40">
        <v>217</v>
      </c>
      <c r="N512" s="40">
        <v>8</v>
      </c>
      <c r="O512" s="40">
        <v>135</v>
      </c>
      <c r="P512" s="40">
        <v>49</v>
      </c>
      <c r="Q512" s="40">
        <v>0</v>
      </c>
      <c r="R512" s="40">
        <v>22</v>
      </c>
      <c r="S512" s="40">
        <v>3</v>
      </c>
    </row>
    <row r="513" spans="1:19" x14ac:dyDescent="0.35">
      <c r="A513" s="38">
        <v>510</v>
      </c>
      <c r="B513" s="38" t="str">
        <f>_xlfn.XLOOKUP(A513,'Model Modeshare by TAZ'!A:A,'Model Modeshare by TAZ'!B:B)</f>
        <v>Unincorporated</v>
      </c>
      <c r="C513" s="38" t="str">
        <f>_xlfn.XLOOKUP(A513,'Model Modeshare by TAZ'!A:A,'Model Modeshare by TAZ'!D:D)</f>
        <v>NO</v>
      </c>
      <c r="D513" s="6">
        <v>3</v>
      </c>
      <c r="E513" s="6">
        <v>400</v>
      </c>
      <c r="F513" s="6">
        <v>923</v>
      </c>
      <c r="G513" s="6">
        <v>1271</v>
      </c>
      <c r="H513" s="6">
        <v>532</v>
      </c>
      <c r="I513" s="6">
        <v>19</v>
      </c>
      <c r="J513" s="6">
        <v>381</v>
      </c>
      <c r="K513" s="40">
        <v>18</v>
      </c>
      <c r="L513" s="40">
        <v>24</v>
      </c>
      <c r="M513" s="40">
        <v>93</v>
      </c>
      <c r="N513" s="40">
        <v>4</v>
      </c>
      <c r="O513" s="40">
        <v>38</v>
      </c>
      <c r="P513" s="40">
        <v>43</v>
      </c>
      <c r="Q513" s="40">
        <v>0</v>
      </c>
      <c r="R513" s="40">
        <v>7</v>
      </c>
      <c r="S513" s="40">
        <v>1</v>
      </c>
    </row>
    <row r="514" spans="1:19" x14ac:dyDescent="0.35">
      <c r="A514" s="38">
        <v>511</v>
      </c>
      <c r="B514" s="38" t="str">
        <f>_xlfn.XLOOKUP(A514,'Model Modeshare by TAZ'!A:A,'Model Modeshare by TAZ'!B:B)</f>
        <v>Unincorporated</v>
      </c>
      <c r="C514" s="38" t="str">
        <f>_xlfn.XLOOKUP(A514,'Model Modeshare by TAZ'!A:A,'Model Modeshare by TAZ'!D:D)</f>
        <v>NO</v>
      </c>
      <c r="D514" s="6">
        <v>3</v>
      </c>
      <c r="E514" s="6">
        <v>516</v>
      </c>
      <c r="F514" s="6">
        <v>1173</v>
      </c>
      <c r="G514" s="6">
        <v>1507</v>
      </c>
      <c r="H514" s="6">
        <v>733</v>
      </c>
      <c r="I514" s="6">
        <v>294</v>
      </c>
      <c r="J514" s="6">
        <v>222</v>
      </c>
      <c r="K514" s="40">
        <v>209</v>
      </c>
      <c r="L514" s="40">
        <v>93</v>
      </c>
      <c r="M514" s="40">
        <v>288</v>
      </c>
      <c r="N514" s="40">
        <v>24</v>
      </c>
      <c r="O514" s="40">
        <v>41</v>
      </c>
      <c r="P514" s="40">
        <v>65</v>
      </c>
      <c r="Q514" s="40">
        <v>3</v>
      </c>
      <c r="R514" s="40">
        <v>103</v>
      </c>
      <c r="S514" s="40">
        <v>52</v>
      </c>
    </row>
    <row r="515" spans="1:19" x14ac:dyDescent="0.35">
      <c r="A515" s="38">
        <v>512</v>
      </c>
      <c r="B515" s="38" t="str">
        <f>_xlfn.XLOOKUP(A515,'Model Modeshare by TAZ'!A:A,'Model Modeshare by TAZ'!B:B)</f>
        <v>Unincorporated</v>
      </c>
      <c r="C515" s="38" t="str">
        <f>_xlfn.XLOOKUP(A515,'Model Modeshare by TAZ'!A:A,'Model Modeshare by TAZ'!D:D)</f>
        <v>NO</v>
      </c>
      <c r="D515" s="6">
        <v>3</v>
      </c>
      <c r="E515" s="6">
        <v>382</v>
      </c>
      <c r="F515" s="6">
        <v>813</v>
      </c>
      <c r="G515" s="6">
        <v>813</v>
      </c>
      <c r="H515" s="6">
        <v>543</v>
      </c>
      <c r="I515" s="6">
        <v>215</v>
      </c>
      <c r="J515" s="6">
        <v>167</v>
      </c>
      <c r="K515" s="40">
        <v>157</v>
      </c>
      <c r="L515" s="40">
        <v>10</v>
      </c>
      <c r="M515" s="40">
        <v>9214</v>
      </c>
      <c r="N515" s="40">
        <v>871</v>
      </c>
      <c r="O515" s="40">
        <v>2675</v>
      </c>
      <c r="P515" s="40">
        <v>683</v>
      </c>
      <c r="Q515" s="40">
        <v>9</v>
      </c>
      <c r="R515" s="40">
        <v>3530</v>
      </c>
      <c r="S515" s="40">
        <v>1446</v>
      </c>
    </row>
    <row r="516" spans="1:19" x14ac:dyDescent="0.35">
      <c r="A516" s="38">
        <v>513</v>
      </c>
      <c r="B516" s="38" t="str">
        <f>_xlfn.XLOOKUP(A516,'Model Modeshare by TAZ'!A:A,'Model Modeshare by TAZ'!B:B)</f>
        <v>Palo Alto</v>
      </c>
      <c r="C516" s="38" t="str">
        <f>_xlfn.XLOOKUP(A516,'Model Modeshare by TAZ'!A:A,'Model Modeshare by TAZ'!D:D)</f>
        <v>NO</v>
      </c>
      <c r="D516" s="6">
        <v>3</v>
      </c>
      <c r="E516" s="6">
        <v>497</v>
      </c>
      <c r="F516" s="6">
        <v>1294</v>
      </c>
      <c r="G516" s="6">
        <v>1294</v>
      </c>
      <c r="H516" s="6">
        <v>671</v>
      </c>
      <c r="I516" s="6">
        <v>323</v>
      </c>
      <c r="J516" s="6">
        <v>174</v>
      </c>
      <c r="K516" s="40">
        <v>67</v>
      </c>
      <c r="L516" s="40">
        <v>38</v>
      </c>
      <c r="M516" s="40">
        <v>610</v>
      </c>
      <c r="N516" s="40">
        <v>133</v>
      </c>
      <c r="O516" s="40">
        <v>398</v>
      </c>
      <c r="P516" s="40">
        <v>68</v>
      </c>
      <c r="Q516" s="40">
        <v>2</v>
      </c>
      <c r="R516" s="40">
        <v>7</v>
      </c>
      <c r="S516" s="40">
        <v>2</v>
      </c>
    </row>
    <row r="517" spans="1:19" x14ac:dyDescent="0.35">
      <c r="A517" s="38">
        <v>514</v>
      </c>
      <c r="B517" s="38" t="str">
        <f>_xlfn.XLOOKUP(A517,'Model Modeshare by TAZ'!A:A,'Model Modeshare by TAZ'!B:B)</f>
        <v>Palo Alto</v>
      </c>
      <c r="C517" s="38" t="str">
        <f>_xlfn.XLOOKUP(A517,'Model Modeshare by TAZ'!A:A,'Model Modeshare by TAZ'!D:D)</f>
        <v>NO</v>
      </c>
      <c r="D517" s="6">
        <v>3</v>
      </c>
      <c r="E517" s="6">
        <v>143</v>
      </c>
      <c r="F517" s="6">
        <v>361</v>
      </c>
      <c r="G517" s="6">
        <v>361</v>
      </c>
      <c r="H517" s="6">
        <v>215</v>
      </c>
      <c r="I517" s="6">
        <v>0</v>
      </c>
      <c r="J517" s="6">
        <v>143</v>
      </c>
      <c r="K517" s="40">
        <v>192</v>
      </c>
      <c r="L517" s="40">
        <v>42</v>
      </c>
      <c r="M517" s="40">
        <v>3285</v>
      </c>
      <c r="N517" s="40">
        <v>169</v>
      </c>
      <c r="O517" s="40">
        <v>2171</v>
      </c>
      <c r="P517" s="40">
        <v>9</v>
      </c>
      <c r="Q517" s="40">
        <v>7</v>
      </c>
      <c r="R517" s="40">
        <v>781</v>
      </c>
      <c r="S517" s="40">
        <v>148</v>
      </c>
    </row>
    <row r="518" spans="1:19" x14ac:dyDescent="0.35">
      <c r="A518" s="38">
        <v>515</v>
      </c>
      <c r="B518" s="38" t="str">
        <f>_xlfn.XLOOKUP(A518,'Model Modeshare by TAZ'!A:A,'Model Modeshare by TAZ'!B:B)</f>
        <v>Palo Alto</v>
      </c>
      <c r="C518" s="38" t="str">
        <f>_xlfn.XLOOKUP(A518,'Model Modeshare by TAZ'!A:A,'Model Modeshare by TAZ'!D:D)</f>
        <v>NO</v>
      </c>
      <c r="D518" s="6">
        <v>3</v>
      </c>
      <c r="E518" s="6">
        <v>432</v>
      </c>
      <c r="F518" s="6">
        <v>1123</v>
      </c>
      <c r="G518" s="6">
        <v>1123</v>
      </c>
      <c r="H518" s="6">
        <v>584</v>
      </c>
      <c r="I518" s="6">
        <v>65</v>
      </c>
      <c r="J518" s="6">
        <v>367</v>
      </c>
      <c r="K518" s="40">
        <v>107</v>
      </c>
      <c r="L518" s="40">
        <v>2</v>
      </c>
      <c r="M518" s="40">
        <v>427</v>
      </c>
      <c r="N518" s="40">
        <v>0</v>
      </c>
      <c r="O518" s="40">
        <v>29</v>
      </c>
      <c r="P518" s="40">
        <v>310</v>
      </c>
      <c r="Q518" s="40">
        <v>29</v>
      </c>
      <c r="R518" s="40">
        <v>44</v>
      </c>
      <c r="S518" s="40">
        <v>15</v>
      </c>
    </row>
    <row r="519" spans="1:19" x14ac:dyDescent="0.35">
      <c r="A519" s="38">
        <v>516</v>
      </c>
      <c r="B519" s="38" t="str">
        <f>_xlfn.XLOOKUP(A519,'Model Modeshare by TAZ'!A:A,'Model Modeshare by TAZ'!B:B)</f>
        <v>Palo Alto</v>
      </c>
      <c r="C519" s="38" t="str">
        <f>_xlfn.XLOOKUP(A519,'Model Modeshare by TAZ'!A:A,'Model Modeshare by TAZ'!D:D)</f>
        <v>NO</v>
      </c>
      <c r="D519" s="6">
        <v>3</v>
      </c>
      <c r="E519" s="6">
        <v>426</v>
      </c>
      <c r="F519" s="6">
        <v>1041</v>
      </c>
      <c r="G519" s="6">
        <v>1042</v>
      </c>
      <c r="H519" s="6">
        <v>560</v>
      </c>
      <c r="I519" s="6">
        <v>256</v>
      </c>
      <c r="J519" s="6">
        <v>170</v>
      </c>
      <c r="K519" s="40">
        <v>43</v>
      </c>
      <c r="L519" s="40">
        <v>16</v>
      </c>
      <c r="M519" s="40">
        <v>242</v>
      </c>
      <c r="N519" s="40">
        <v>41</v>
      </c>
      <c r="O519" s="40">
        <v>28</v>
      </c>
      <c r="P519" s="40">
        <v>8</v>
      </c>
      <c r="Q519" s="40">
        <v>5</v>
      </c>
      <c r="R519" s="40">
        <v>147</v>
      </c>
      <c r="S519" s="40">
        <v>13</v>
      </c>
    </row>
    <row r="520" spans="1:19" x14ac:dyDescent="0.35">
      <c r="A520" s="38">
        <v>517</v>
      </c>
      <c r="B520" s="38" t="str">
        <f>_xlfn.XLOOKUP(A520,'Model Modeshare by TAZ'!A:A,'Model Modeshare by TAZ'!B:B)</f>
        <v>Palo Alto</v>
      </c>
      <c r="C520" s="38" t="str">
        <f>_xlfn.XLOOKUP(A520,'Model Modeshare by TAZ'!A:A,'Model Modeshare by TAZ'!D:D)</f>
        <v>NO</v>
      </c>
      <c r="D520" s="6">
        <v>3</v>
      </c>
      <c r="E520" s="6">
        <v>190</v>
      </c>
      <c r="F520" s="6">
        <v>465</v>
      </c>
      <c r="G520" s="6">
        <v>468</v>
      </c>
      <c r="H520" s="6">
        <v>250</v>
      </c>
      <c r="I520" s="6">
        <v>123</v>
      </c>
      <c r="J520" s="6">
        <v>67</v>
      </c>
      <c r="K520" s="40">
        <v>25</v>
      </c>
      <c r="L520" s="40">
        <v>78</v>
      </c>
      <c r="M520" s="40">
        <v>2052</v>
      </c>
      <c r="N520" s="40">
        <v>103</v>
      </c>
      <c r="O520" s="40">
        <v>142</v>
      </c>
      <c r="P520" s="40">
        <v>80</v>
      </c>
      <c r="Q520" s="40">
        <v>2</v>
      </c>
      <c r="R520" s="40">
        <v>1610</v>
      </c>
      <c r="S520" s="40">
        <v>115</v>
      </c>
    </row>
    <row r="521" spans="1:19" x14ac:dyDescent="0.35">
      <c r="A521" s="38">
        <v>518</v>
      </c>
      <c r="B521" s="38" t="str">
        <f>_xlfn.XLOOKUP(A521,'Model Modeshare by TAZ'!A:A,'Model Modeshare by TAZ'!B:B)</f>
        <v>Palo Alto</v>
      </c>
      <c r="C521" s="38" t="str">
        <f>_xlfn.XLOOKUP(A521,'Model Modeshare by TAZ'!A:A,'Model Modeshare by TAZ'!D:D)</f>
        <v>NO</v>
      </c>
      <c r="D521" s="6">
        <v>3</v>
      </c>
      <c r="E521" s="6">
        <v>1027</v>
      </c>
      <c r="F521" s="6">
        <v>2508</v>
      </c>
      <c r="G521" s="6">
        <v>2512</v>
      </c>
      <c r="H521" s="6">
        <v>1348</v>
      </c>
      <c r="I521" s="6">
        <v>719</v>
      </c>
      <c r="J521" s="6">
        <v>308</v>
      </c>
      <c r="K521" s="40">
        <v>74</v>
      </c>
      <c r="L521" s="40">
        <v>26</v>
      </c>
      <c r="M521" s="40">
        <v>808</v>
      </c>
      <c r="N521" s="40">
        <v>202</v>
      </c>
      <c r="O521" s="40">
        <v>290</v>
      </c>
      <c r="P521" s="40">
        <v>167</v>
      </c>
      <c r="Q521" s="40">
        <v>18</v>
      </c>
      <c r="R521" s="40">
        <v>105</v>
      </c>
      <c r="S521" s="40">
        <v>26</v>
      </c>
    </row>
    <row r="522" spans="1:19" x14ac:dyDescent="0.35">
      <c r="A522" s="38">
        <v>519</v>
      </c>
      <c r="B522" s="38" t="str">
        <f>_xlfn.XLOOKUP(A522,'Model Modeshare by TAZ'!A:A,'Model Modeshare by TAZ'!B:B)</f>
        <v>Palo Alto</v>
      </c>
      <c r="C522" s="38" t="str">
        <f>_xlfn.XLOOKUP(A522,'Model Modeshare by TAZ'!A:A,'Model Modeshare by TAZ'!D:D)</f>
        <v>NO</v>
      </c>
      <c r="D522" s="6">
        <v>3</v>
      </c>
      <c r="E522" s="6">
        <v>0</v>
      </c>
      <c r="F522" s="6">
        <v>0</v>
      </c>
      <c r="G522" s="6">
        <v>0</v>
      </c>
      <c r="H522" s="6">
        <v>0</v>
      </c>
      <c r="I522" s="6">
        <v>0</v>
      </c>
      <c r="J522" s="6">
        <v>0</v>
      </c>
      <c r="K522" s="40">
        <v>12</v>
      </c>
      <c r="L522" s="40">
        <v>8</v>
      </c>
      <c r="M522" s="40">
        <v>58</v>
      </c>
      <c r="N522" s="40">
        <v>2</v>
      </c>
      <c r="O522" s="40">
        <v>47</v>
      </c>
      <c r="P522" s="40">
        <v>0</v>
      </c>
      <c r="Q522" s="40">
        <v>0</v>
      </c>
      <c r="R522" s="40">
        <v>0</v>
      </c>
      <c r="S522" s="40">
        <v>9</v>
      </c>
    </row>
    <row r="523" spans="1:19" x14ac:dyDescent="0.35">
      <c r="A523" s="38">
        <v>520</v>
      </c>
      <c r="B523" s="38" t="str">
        <f>_xlfn.XLOOKUP(A523,'Model Modeshare by TAZ'!A:A,'Model Modeshare by TAZ'!B:B)</f>
        <v>Palo Alto</v>
      </c>
      <c r="C523" s="38" t="str">
        <f>_xlfn.XLOOKUP(A523,'Model Modeshare by TAZ'!A:A,'Model Modeshare by TAZ'!D:D)</f>
        <v>NO</v>
      </c>
      <c r="D523" s="6">
        <v>3</v>
      </c>
      <c r="E523" s="6">
        <v>0</v>
      </c>
      <c r="F523" s="6">
        <v>0</v>
      </c>
      <c r="G523" s="6">
        <v>0</v>
      </c>
      <c r="H523" s="6">
        <v>0</v>
      </c>
      <c r="I523" s="6">
        <v>0</v>
      </c>
      <c r="J523" s="6">
        <v>0</v>
      </c>
      <c r="K523" s="40">
        <v>1</v>
      </c>
      <c r="L523" s="40">
        <v>16</v>
      </c>
      <c r="M523" s="40">
        <v>597</v>
      </c>
      <c r="N523" s="40">
        <v>26</v>
      </c>
      <c r="O523" s="40">
        <v>534</v>
      </c>
      <c r="P523" s="40">
        <v>0</v>
      </c>
      <c r="Q523" s="40">
        <v>0</v>
      </c>
      <c r="R523" s="40">
        <v>28</v>
      </c>
      <c r="S523" s="40">
        <v>9</v>
      </c>
    </row>
    <row r="524" spans="1:19" x14ac:dyDescent="0.35">
      <c r="A524" s="38">
        <v>521</v>
      </c>
      <c r="B524" s="38" t="str">
        <f>_xlfn.XLOOKUP(A524,'Model Modeshare by TAZ'!A:A,'Model Modeshare by TAZ'!B:B)</f>
        <v>Palo Alto</v>
      </c>
      <c r="C524" s="38" t="str">
        <f>_xlfn.XLOOKUP(A524,'Model Modeshare by TAZ'!A:A,'Model Modeshare by TAZ'!D:D)</f>
        <v>NO</v>
      </c>
      <c r="D524" s="6">
        <v>3</v>
      </c>
      <c r="E524" s="6">
        <v>242</v>
      </c>
      <c r="F524" s="6">
        <v>550</v>
      </c>
      <c r="G524" s="6">
        <v>618</v>
      </c>
      <c r="H524" s="6">
        <v>331</v>
      </c>
      <c r="I524" s="6">
        <v>24</v>
      </c>
      <c r="J524" s="6">
        <v>218</v>
      </c>
      <c r="K524" s="40">
        <v>51</v>
      </c>
      <c r="L524" s="40">
        <v>6</v>
      </c>
      <c r="M524" s="40">
        <v>92</v>
      </c>
      <c r="N524" s="40">
        <v>9</v>
      </c>
      <c r="O524" s="40">
        <v>46</v>
      </c>
      <c r="P524" s="40">
        <v>4</v>
      </c>
      <c r="Q524" s="40">
        <v>1</v>
      </c>
      <c r="R524" s="40">
        <v>23</v>
      </c>
      <c r="S524" s="40">
        <v>9</v>
      </c>
    </row>
    <row r="525" spans="1:19" x14ac:dyDescent="0.35">
      <c r="A525" s="38">
        <v>522</v>
      </c>
      <c r="B525" s="38" t="str">
        <f>_xlfn.XLOOKUP(A525,'Model Modeshare by TAZ'!A:A,'Model Modeshare by TAZ'!B:B)</f>
        <v>Palo Alto</v>
      </c>
      <c r="C525" s="38" t="str">
        <f>_xlfn.XLOOKUP(A525,'Model Modeshare by TAZ'!A:A,'Model Modeshare by TAZ'!D:D)</f>
        <v>NO</v>
      </c>
      <c r="D525" s="6">
        <v>3</v>
      </c>
      <c r="E525" s="6">
        <v>348</v>
      </c>
      <c r="F525" s="6">
        <v>791</v>
      </c>
      <c r="G525" s="6">
        <v>861</v>
      </c>
      <c r="H525" s="6">
        <v>476</v>
      </c>
      <c r="I525" s="6">
        <v>174</v>
      </c>
      <c r="J525" s="6">
        <v>174</v>
      </c>
      <c r="K525" s="40">
        <v>53</v>
      </c>
      <c r="L525" s="40">
        <v>8</v>
      </c>
      <c r="M525" s="40">
        <v>643</v>
      </c>
      <c r="N525" s="40">
        <v>125</v>
      </c>
      <c r="O525" s="40">
        <v>317</v>
      </c>
      <c r="P525" s="40">
        <v>29</v>
      </c>
      <c r="Q525" s="40">
        <v>2</v>
      </c>
      <c r="R525" s="40">
        <v>123</v>
      </c>
      <c r="S525" s="40">
        <v>47</v>
      </c>
    </row>
    <row r="526" spans="1:19" x14ac:dyDescent="0.35">
      <c r="A526" s="38">
        <v>523</v>
      </c>
      <c r="B526" s="38" t="str">
        <f>_xlfn.XLOOKUP(A526,'Model Modeshare by TAZ'!A:A,'Model Modeshare by TAZ'!B:B)</f>
        <v>Palo Alto</v>
      </c>
      <c r="C526" s="38" t="str">
        <f>_xlfn.XLOOKUP(A526,'Model Modeshare by TAZ'!A:A,'Model Modeshare by TAZ'!D:D)</f>
        <v>NO</v>
      </c>
      <c r="D526" s="6">
        <v>3</v>
      </c>
      <c r="E526" s="6">
        <v>0</v>
      </c>
      <c r="F526" s="6">
        <v>0</v>
      </c>
      <c r="G526" s="6">
        <v>0</v>
      </c>
      <c r="H526" s="6">
        <v>0</v>
      </c>
      <c r="I526" s="6">
        <v>0</v>
      </c>
      <c r="J526" s="6">
        <v>0</v>
      </c>
      <c r="K526" s="40">
        <v>0</v>
      </c>
      <c r="L526" s="40">
        <v>49</v>
      </c>
      <c r="M526" s="40">
        <v>1019</v>
      </c>
      <c r="N526" s="40">
        <v>51</v>
      </c>
      <c r="O526" s="40">
        <v>190</v>
      </c>
      <c r="P526" s="40">
        <v>163</v>
      </c>
      <c r="Q526" s="40">
        <v>13</v>
      </c>
      <c r="R526" s="40">
        <v>540</v>
      </c>
      <c r="S526" s="40">
        <v>62</v>
      </c>
    </row>
    <row r="527" spans="1:19" x14ac:dyDescent="0.35">
      <c r="A527" s="38">
        <v>524</v>
      </c>
      <c r="B527" s="38" t="str">
        <f>_xlfn.XLOOKUP(A527,'Model Modeshare by TAZ'!A:A,'Model Modeshare by TAZ'!B:B)</f>
        <v>Palo Alto</v>
      </c>
      <c r="C527" s="38" t="str">
        <f>_xlfn.XLOOKUP(A527,'Model Modeshare by TAZ'!A:A,'Model Modeshare by TAZ'!D:D)</f>
        <v>NO</v>
      </c>
      <c r="D527" s="6">
        <v>3</v>
      </c>
      <c r="E527" s="6">
        <v>492</v>
      </c>
      <c r="F527" s="6">
        <v>1345</v>
      </c>
      <c r="G527" s="6">
        <v>1345</v>
      </c>
      <c r="H527" s="6">
        <v>663</v>
      </c>
      <c r="I527" s="6">
        <v>295</v>
      </c>
      <c r="J527" s="6">
        <v>197</v>
      </c>
      <c r="K527" s="40">
        <v>27</v>
      </c>
      <c r="L527" s="40">
        <v>66</v>
      </c>
      <c r="M527" s="40">
        <v>3413</v>
      </c>
      <c r="N527" s="40">
        <v>183</v>
      </c>
      <c r="O527" s="40">
        <v>362</v>
      </c>
      <c r="P527" s="40">
        <v>424</v>
      </c>
      <c r="Q527" s="40">
        <v>0</v>
      </c>
      <c r="R527" s="40">
        <v>2225</v>
      </c>
      <c r="S527" s="40">
        <v>219</v>
      </c>
    </row>
    <row r="528" spans="1:19" x14ac:dyDescent="0.35">
      <c r="A528" s="38">
        <v>525</v>
      </c>
      <c r="B528" s="38" t="str">
        <f>_xlfn.XLOOKUP(A528,'Model Modeshare by TAZ'!A:A,'Model Modeshare by TAZ'!B:B)</f>
        <v>Palo Alto</v>
      </c>
      <c r="C528" s="38" t="str">
        <f>_xlfn.XLOOKUP(A528,'Model Modeshare by TAZ'!A:A,'Model Modeshare by TAZ'!D:D)</f>
        <v>NO</v>
      </c>
      <c r="D528" s="6">
        <v>3</v>
      </c>
      <c r="E528" s="6">
        <v>0</v>
      </c>
      <c r="F528" s="6">
        <v>0</v>
      </c>
      <c r="G528" s="6">
        <v>0</v>
      </c>
      <c r="H528" s="6">
        <v>0</v>
      </c>
      <c r="I528" s="6">
        <v>0</v>
      </c>
      <c r="J528" s="6">
        <v>0</v>
      </c>
      <c r="K528" s="40">
        <v>0</v>
      </c>
      <c r="L528" s="40">
        <v>48</v>
      </c>
      <c r="M528" s="40">
        <v>948</v>
      </c>
      <c r="N528" s="40">
        <v>51</v>
      </c>
      <c r="O528" s="40">
        <v>429</v>
      </c>
      <c r="P528" s="40">
        <v>107</v>
      </c>
      <c r="Q528" s="40">
        <v>11</v>
      </c>
      <c r="R528" s="40">
        <v>310</v>
      </c>
      <c r="S528" s="40">
        <v>40</v>
      </c>
    </row>
    <row r="529" spans="1:19" x14ac:dyDescent="0.35">
      <c r="A529" s="38">
        <v>526</v>
      </c>
      <c r="B529" s="38" t="str">
        <f>_xlfn.XLOOKUP(A529,'Model Modeshare by TAZ'!A:A,'Model Modeshare by TAZ'!B:B)</f>
        <v>Palo Alto</v>
      </c>
      <c r="C529" s="38" t="str">
        <f>_xlfn.XLOOKUP(A529,'Model Modeshare by TAZ'!A:A,'Model Modeshare by TAZ'!D:D)</f>
        <v>NO</v>
      </c>
      <c r="D529" s="6">
        <v>3</v>
      </c>
      <c r="E529" s="6">
        <v>544</v>
      </c>
      <c r="F529" s="6">
        <v>1571</v>
      </c>
      <c r="G529" s="6">
        <v>1572</v>
      </c>
      <c r="H529" s="6">
        <v>790</v>
      </c>
      <c r="I529" s="6">
        <v>0</v>
      </c>
      <c r="J529" s="6">
        <v>544</v>
      </c>
      <c r="K529" s="40">
        <v>147</v>
      </c>
      <c r="L529" s="40">
        <v>7</v>
      </c>
      <c r="M529" s="40">
        <v>438</v>
      </c>
      <c r="N529" s="40">
        <v>130</v>
      </c>
      <c r="O529" s="40">
        <v>223</v>
      </c>
      <c r="P529" s="40">
        <v>25</v>
      </c>
      <c r="Q529" s="40">
        <v>8</v>
      </c>
      <c r="R529" s="40">
        <v>20</v>
      </c>
      <c r="S529" s="40">
        <v>32</v>
      </c>
    </row>
    <row r="530" spans="1:19" x14ac:dyDescent="0.35">
      <c r="A530" s="38">
        <v>527</v>
      </c>
      <c r="B530" s="38" t="str">
        <f>_xlfn.XLOOKUP(A530,'Model Modeshare by TAZ'!A:A,'Model Modeshare by TAZ'!B:B)</f>
        <v>Palo Alto</v>
      </c>
      <c r="C530" s="38" t="str">
        <f>_xlfn.XLOOKUP(A530,'Model Modeshare by TAZ'!A:A,'Model Modeshare by TAZ'!D:D)</f>
        <v>NO</v>
      </c>
      <c r="D530" s="6">
        <v>3</v>
      </c>
      <c r="E530" s="6">
        <v>515</v>
      </c>
      <c r="F530" s="6">
        <v>1486</v>
      </c>
      <c r="G530" s="6">
        <v>1488</v>
      </c>
      <c r="H530" s="6">
        <v>747</v>
      </c>
      <c r="I530" s="6">
        <v>0</v>
      </c>
      <c r="J530" s="6">
        <v>515</v>
      </c>
      <c r="K530" s="40">
        <v>111</v>
      </c>
      <c r="L530" s="40">
        <v>14</v>
      </c>
      <c r="M530" s="40">
        <v>104</v>
      </c>
      <c r="N530" s="40">
        <v>7</v>
      </c>
      <c r="O530" s="40">
        <v>11</v>
      </c>
      <c r="P530" s="40">
        <v>83</v>
      </c>
      <c r="Q530" s="40">
        <v>0</v>
      </c>
      <c r="R530" s="40">
        <v>1</v>
      </c>
      <c r="S530" s="40">
        <v>2</v>
      </c>
    </row>
    <row r="531" spans="1:19" x14ac:dyDescent="0.35">
      <c r="A531" s="38">
        <v>528</v>
      </c>
      <c r="B531" s="38" t="str">
        <f>_xlfn.XLOOKUP(A531,'Model Modeshare by TAZ'!A:A,'Model Modeshare by TAZ'!B:B)</f>
        <v>Palo Alto</v>
      </c>
      <c r="C531" s="38" t="str">
        <f>_xlfn.XLOOKUP(A531,'Model Modeshare by TAZ'!A:A,'Model Modeshare by TAZ'!D:D)</f>
        <v>NO</v>
      </c>
      <c r="D531" s="6">
        <v>3</v>
      </c>
      <c r="E531" s="6">
        <v>126</v>
      </c>
      <c r="F531" s="6">
        <v>334</v>
      </c>
      <c r="G531" s="6">
        <v>379</v>
      </c>
      <c r="H531" s="6">
        <v>190</v>
      </c>
      <c r="I531" s="6">
        <v>0</v>
      </c>
      <c r="J531" s="6">
        <v>126</v>
      </c>
      <c r="K531" s="40">
        <v>161</v>
      </c>
      <c r="L531" s="40">
        <v>66</v>
      </c>
      <c r="M531" s="40">
        <v>3736</v>
      </c>
      <c r="N531" s="40">
        <v>50</v>
      </c>
      <c r="O531" s="40">
        <v>821</v>
      </c>
      <c r="P531" s="40">
        <v>2504</v>
      </c>
      <c r="Q531" s="40">
        <v>0</v>
      </c>
      <c r="R531" s="40">
        <v>311</v>
      </c>
      <c r="S531" s="40">
        <v>50</v>
      </c>
    </row>
    <row r="532" spans="1:19" x14ac:dyDescent="0.35">
      <c r="A532" s="38">
        <v>529</v>
      </c>
      <c r="B532" s="38" t="str">
        <f>_xlfn.XLOOKUP(A532,'Model Modeshare by TAZ'!A:A,'Model Modeshare by TAZ'!B:B)</f>
        <v>Palo Alto</v>
      </c>
      <c r="C532" s="38" t="str">
        <f>_xlfn.XLOOKUP(A532,'Model Modeshare by TAZ'!A:A,'Model Modeshare by TAZ'!D:D)</f>
        <v>NO</v>
      </c>
      <c r="D532" s="6">
        <v>3</v>
      </c>
      <c r="E532" s="6">
        <v>299</v>
      </c>
      <c r="F532" s="6">
        <v>781</v>
      </c>
      <c r="G532" s="6">
        <v>782</v>
      </c>
      <c r="H532" s="6">
        <v>386</v>
      </c>
      <c r="I532" s="6">
        <v>90</v>
      </c>
      <c r="J532" s="6">
        <v>209</v>
      </c>
      <c r="K532" s="40">
        <v>83</v>
      </c>
      <c r="L532" s="40">
        <v>32</v>
      </c>
      <c r="M532" s="40">
        <v>550</v>
      </c>
      <c r="N532" s="40">
        <v>197</v>
      </c>
      <c r="O532" s="40">
        <v>209</v>
      </c>
      <c r="P532" s="40">
        <v>21</v>
      </c>
      <c r="Q532" s="40">
        <v>0</v>
      </c>
      <c r="R532" s="40">
        <v>123</v>
      </c>
      <c r="S532" s="40">
        <v>0</v>
      </c>
    </row>
    <row r="533" spans="1:19" x14ac:dyDescent="0.35">
      <c r="A533" s="38">
        <v>530</v>
      </c>
      <c r="B533" s="38" t="str">
        <f>_xlfn.XLOOKUP(A533,'Model Modeshare by TAZ'!A:A,'Model Modeshare by TAZ'!B:B)</f>
        <v>Unincorporated</v>
      </c>
      <c r="C533" s="38" t="str">
        <f>_xlfn.XLOOKUP(A533,'Model Modeshare by TAZ'!A:A,'Model Modeshare by TAZ'!D:D)</f>
        <v>NO</v>
      </c>
      <c r="D533" s="6">
        <v>3</v>
      </c>
      <c r="E533" s="6">
        <v>0</v>
      </c>
      <c r="F533" s="6">
        <v>0</v>
      </c>
      <c r="G533" s="6">
        <v>0</v>
      </c>
      <c r="H533" s="6">
        <v>0</v>
      </c>
      <c r="I533" s="6">
        <v>0</v>
      </c>
      <c r="J533" s="6">
        <v>0</v>
      </c>
      <c r="K533" s="40">
        <v>5</v>
      </c>
      <c r="L533" s="40">
        <v>70</v>
      </c>
      <c r="M533" s="40">
        <v>19</v>
      </c>
      <c r="N533" s="40">
        <v>7</v>
      </c>
      <c r="O533" s="40">
        <v>0</v>
      </c>
      <c r="P533" s="40">
        <v>0</v>
      </c>
      <c r="Q533" s="40">
        <v>0</v>
      </c>
      <c r="R533" s="40">
        <v>12</v>
      </c>
      <c r="S533" s="40">
        <v>0</v>
      </c>
    </row>
    <row r="534" spans="1:19" x14ac:dyDescent="0.35">
      <c r="A534" s="38">
        <v>531</v>
      </c>
      <c r="B534" s="38" t="str">
        <f>_xlfn.XLOOKUP(A534,'Model Modeshare by TAZ'!A:A,'Model Modeshare by TAZ'!B:B)</f>
        <v>Unincorporated</v>
      </c>
      <c r="C534" s="38" t="str">
        <f>_xlfn.XLOOKUP(A534,'Model Modeshare by TAZ'!A:A,'Model Modeshare by TAZ'!D:D)</f>
        <v>NO</v>
      </c>
      <c r="D534" s="6">
        <v>3</v>
      </c>
      <c r="E534" s="6">
        <v>1</v>
      </c>
      <c r="F534" s="6">
        <v>1</v>
      </c>
      <c r="G534" s="6">
        <v>2</v>
      </c>
      <c r="H534" s="6">
        <v>1</v>
      </c>
      <c r="I534" s="6">
        <v>0</v>
      </c>
      <c r="J534" s="6">
        <v>1</v>
      </c>
      <c r="K534" s="40">
        <v>1</v>
      </c>
      <c r="L534" s="40">
        <v>156</v>
      </c>
      <c r="M534" s="40">
        <v>34</v>
      </c>
      <c r="N534" s="40">
        <v>7</v>
      </c>
      <c r="O534" s="40">
        <v>0</v>
      </c>
      <c r="P534" s="40">
        <v>3</v>
      </c>
      <c r="Q534" s="40">
        <v>0</v>
      </c>
      <c r="R534" s="40">
        <v>20</v>
      </c>
      <c r="S534" s="40">
        <v>4</v>
      </c>
    </row>
    <row r="535" spans="1:19" x14ac:dyDescent="0.35">
      <c r="A535" s="38">
        <v>532</v>
      </c>
      <c r="B535" s="38" t="str">
        <f>_xlfn.XLOOKUP(A535,'Model Modeshare by TAZ'!A:A,'Model Modeshare by TAZ'!B:B)</f>
        <v>Palo Alto</v>
      </c>
      <c r="C535" s="38" t="str">
        <f>_xlfn.XLOOKUP(A535,'Model Modeshare by TAZ'!A:A,'Model Modeshare by TAZ'!D:D)</f>
        <v>NO</v>
      </c>
      <c r="D535" s="6">
        <v>3</v>
      </c>
      <c r="E535" s="6">
        <v>292</v>
      </c>
      <c r="F535" s="6">
        <v>536</v>
      </c>
      <c r="G535" s="6">
        <v>551</v>
      </c>
      <c r="H535" s="6">
        <v>361</v>
      </c>
      <c r="I535" s="6">
        <v>234</v>
      </c>
      <c r="J535" s="6">
        <v>58</v>
      </c>
      <c r="K535" s="40">
        <v>12</v>
      </c>
      <c r="L535" s="40">
        <v>12</v>
      </c>
      <c r="M535" s="40">
        <v>769</v>
      </c>
      <c r="N535" s="40">
        <v>103</v>
      </c>
      <c r="O535" s="40">
        <v>284</v>
      </c>
      <c r="P535" s="40">
        <v>191</v>
      </c>
      <c r="Q535" s="40">
        <v>1</v>
      </c>
      <c r="R535" s="40">
        <v>138</v>
      </c>
      <c r="S535" s="40">
        <v>52</v>
      </c>
    </row>
    <row r="536" spans="1:19" x14ac:dyDescent="0.35">
      <c r="A536" s="38">
        <v>533</v>
      </c>
      <c r="B536" s="38" t="str">
        <f>_xlfn.XLOOKUP(A536,'Model Modeshare by TAZ'!A:A,'Model Modeshare by TAZ'!B:B)</f>
        <v>Palo Alto</v>
      </c>
      <c r="C536" s="38" t="str">
        <f>_xlfn.XLOOKUP(A536,'Model Modeshare by TAZ'!A:A,'Model Modeshare by TAZ'!D:D)</f>
        <v>NO</v>
      </c>
      <c r="D536" s="6">
        <v>3</v>
      </c>
      <c r="E536" s="6">
        <v>615</v>
      </c>
      <c r="F536" s="6">
        <v>1125</v>
      </c>
      <c r="G536" s="6">
        <v>1158</v>
      </c>
      <c r="H536" s="6">
        <v>756</v>
      </c>
      <c r="I536" s="6">
        <v>307</v>
      </c>
      <c r="J536" s="6">
        <v>308</v>
      </c>
      <c r="K536" s="40">
        <v>21</v>
      </c>
      <c r="L536" s="40">
        <v>5</v>
      </c>
      <c r="M536" s="40">
        <v>361</v>
      </c>
      <c r="N536" s="40">
        <v>25</v>
      </c>
      <c r="O536" s="40">
        <v>218</v>
      </c>
      <c r="P536" s="40">
        <v>54</v>
      </c>
      <c r="Q536" s="40">
        <v>4</v>
      </c>
      <c r="R536" s="40">
        <v>46</v>
      </c>
      <c r="S536" s="40">
        <v>14</v>
      </c>
    </row>
    <row r="537" spans="1:19" x14ac:dyDescent="0.35">
      <c r="A537" s="38">
        <v>534</v>
      </c>
      <c r="B537" s="38" t="str">
        <f>_xlfn.XLOOKUP(A537,'Model Modeshare by TAZ'!A:A,'Model Modeshare by TAZ'!B:B)</f>
        <v>Palo Alto</v>
      </c>
      <c r="C537" s="38" t="str">
        <f>_xlfn.XLOOKUP(A537,'Model Modeshare by TAZ'!A:A,'Model Modeshare by TAZ'!D:D)</f>
        <v>NO</v>
      </c>
      <c r="D537" s="6">
        <v>3</v>
      </c>
      <c r="E537" s="6">
        <v>471</v>
      </c>
      <c r="F537" s="6">
        <v>865</v>
      </c>
      <c r="G537" s="6">
        <v>888</v>
      </c>
      <c r="H537" s="6">
        <v>487</v>
      </c>
      <c r="I537" s="6">
        <v>448</v>
      </c>
      <c r="J537" s="6">
        <v>23</v>
      </c>
      <c r="K537" s="40">
        <v>27</v>
      </c>
      <c r="L537" s="40">
        <v>4</v>
      </c>
      <c r="M537" s="40">
        <v>956</v>
      </c>
      <c r="N537" s="40">
        <v>100</v>
      </c>
      <c r="O537" s="40">
        <v>404</v>
      </c>
      <c r="P537" s="40">
        <v>219</v>
      </c>
      <c r="Q537" s="40">
        <v>1</v>
      </c>
      <c r="R537" s="40">
        <v>182</v>
      </c>
      <c r="S537" s="40">
        <v>50</v>
      </c>
    </row>
    <row r="538" spans="1:19" x14ac:dyDescent="0.35">
      <c r="A538" s="38">
        <v>535</v>
      </c>
      <c r="B538" s="38" t="str">
        <f>_xlfn.XLOOKUP(A538,'Model Modeshare by TAZ'!A:A,'Model Modeshare by TAZ'!B:B)</f>
        <v>Palo Alto</v>
      </c>
      <c r="C538" s="38" t="str">
        <f>_xlfn.XLOOKUP(A538,'Model Modeshare by TAZ'!A:A,'Model Modeshare by TAZ'!D:D)</f>
        <v>NO</v>
      </c>
      <c r="D538" s="6">
        <v>3</v>
      </c>
      <c r="E538" s="6">
        <v>379</v>
      </c>
      <c r="F538" s="6">
        <v>694</v>
      </c>
      <c r="G538" s="6">
        <v>714</v>
      </c>
      <c r="H538" s="6">
        <v>390</v>
      </c>
      <c r="I538" s="6">
        <v>379</v>
      </c>
      <c r="J538" s="6">
        <v>0</v>
      </c>
      <c r="K538" s="40">
        <v>8</v>
      </c>
      <c r="L538" s="40">
        <v>7</v>
      </c>
      <c r="M538" s="40">
        <v>3149</v>
      </c>
      <c r="N538" s="40">
        <v>501</v>
      </c>
      <c r="O538" s="40">
        <v>1444</v>
      </c>
      <c r="P538" s="40">
        <v>536</v>
      </c>
      <c r="Q538" s="40">
        <v>0</v>
      </c>
      <c r="R538" s="40">
        <v>509</v>
      </c>
      <c r="S538" s="40">
        <v>159</v>
      </c>
    </row>
    <row r="539" spans="1:19" x14ac:dyDescent="0.35">
      <c r="A539" s="38">
        <v>536</v>
      </c>
      <c r="B539" s="38" t="str">
        <f>_xlfn.XLOOKUP(A539,'Model Modeshare by TAZ'!A:A,'Model Modeshare by TAZ'!B:B)</f>
        <v>Palo Alto</v>
      </c>
      <c r="C539" s="38" t="str">
        <f>_xlfn.XLOOKUP(A539,'Model Modeshare by TAZ'!A:A,'Model Modeshare by TAZ'!D:D)</f>
        <v>NO</v>
      </c>
      <c r="D539" s="6">
        <v>3</v>
      </c>
      <c r="E539" s="6">
        <v>0</v>
      </c>
      <c r="F539" s="6">
        <v>0</v>
      </c>
      <c r="G539" s="6">
        <v>0</v>
      </c>
      <c r="H539" s="6">
        <v>0</v>
      </c>
      <c r="I539" s="6">
        <v>0</v>
      </c>
      <c r="J539" s="6">
        <v>0</v>
      </c>
      <c r="K539" s="40">
        <v>22</v>
      </c>
      <c r="L539" s="40">
        <v>115</v>
      </c>
      <c r="M539" s="40">
        <v>1373</v>
      </c>
      <c r="N539" s="40">
        <v>61</v>
      </c>
      <c r="O539" s="40">
        <v>953</v>
      </c>
      <c r="P539" s="40">
        <v>9</v>
      </c>
      <c r="Q539" s="40">
        <v>4</v>
      </c>
      <c r="R539" s="40">
        <v>291</v>
      </c>
      <c r="S539" s="40">
        <v>55</v>
      </c>
    </row>
    <row r="540" spans="1:19" x14ac:dyDescent="0.35">
      <c r="A540" s="38">
        <v>537</v>
      </c>
      <c r="B540" s="38" t="str">
        <f>_xlfn.XLOOKUP(A540,'Model Modeshare by TAZ'!A:A,'Model Modeshare by TAZ'!B:B)</f>
        <v>Palo Alto</v>
      </c>
      <c r="C540" s="38" t="str">
        <f>_xlfn.XLOOKUP(A540,'Model Modeshare by TAZ'!A:A,'Model Modeshare by TAZ'!D:D)</f>
        <v>NO</v>
      </c>
      <c r="D540" s="6">
        <v>3</v>
      </c>
      <c r="E540" s="6">
        <v>881</v>
      </c>
      <c r="F540" s="6">
        <v>2295</v>
      </c>
      <c r="G540" s="6">
        <v>2295</v>
      </c>
      <c r="H540" s="6">
        <v>1192</v>
      </c>
      <c r="I540" s="6">
        <v>264</v>
      </c>
      <c r="J540" s="6">
        <v>617</v>
      </c>
      <c r="K540" s="40">
        <v>145</v>
      </c>
      <c r="L540" s="40">
        <v>13</v>
      </c>
      <c r="M540" s="40">
        <v>304</v>
      </c>
      <c r="N540" s="40">
        <v>57</v>
      </c>
      <c r="O540" s="40">
        <v>205</v>
      </c>
      <c r="P540" s="40">
        <v>28</v>
      </c>
      <c r="Q540" s="40">
        <v>2</v>
      </c>
      <c r="R540" s="40">
        <v>10</v>
      </c>
      <c r="S540" s="40">
        <v>2</v>
      </c>
    </row>
    <row r="541" spans="1:19" x14ac:dyDescent="0.35">
      <c r="A541" s="38">
        <v>538</v>
      </c>
      <c r="B541" s="38" t="str">
        <f>_xlfn.XLOOKUP(A541,'Model Modeshare by TAZ'!A:A,'Model Modeshare by TAZ'!B:B)</f>
        <v>San Jose</v>
      </c>
      <c r="C541" s="38" t="str">
        <f>_xlfn.XLOOKUP(A541,'Model Modeshare by TAZ'!A:A,'Model Modeshare by TAZ'!D:D)</f>
        <v>NO</v>
      </c>
      <c r="D541" s="6">
        <v>3</v>
      </c>
      <c r="E541" s="6">
        <v>0</v>
      </c>
      <c r="F541" s="6">
        <v>0</v>
      </c>
      <c r="G541" s="6">
        <v>0</v>
      </c>
      <c r="H541" s="6">
        <v>0</v>
      </c>
      <c r="I541" s="6">
        <v>0</v>
      </c>
      <c r="J541" s="6">
        <v>0</v>
      </c>
      <c r="K541" s="40">
        <v>0</v>
      </c>
      <c r="L541" s="40">
        <v>88</v>
      </c>
      <c r="M541" s="40">
        <v>3034</v>
      </c>
      <c r="N541" s="40">
        <v>256</v>
      </c>
      <c r="O541" s="40">
        <v>779</v>
      </c>
      <c r="P541" s="40">
        <v>542</v>
      </c>
      <c r="Q541" s="40">
        <v>0</v>
      </c>
      <c r="R541" s="40">
        <v>992</v>
      </c>
      <c r="S541" s="40">
        <v>465</v>
      </c>
    </row>
    <row r="542" spans="1:19" x14ac:dyDescent="0.35">
      <c r="A542" s="38">
        <v>539</v>
      </c>
      <c r="B542" s="38" t="str">
        <f>_xlfn.XLOOKUP(A542,'Model Modeshare by TAZ'!A:A,'Model Modeshare by TAZ'!B:B)</f>
        <v>San Jose</v>
      </c>
      <c r="C542" s="38" t="str">
        <f>_xlfn.XLOOKUP(A542,'Model Modeshare by TAZ'!A:A,'Model Modeshare by TAZ'!D:D)</f>
        <v>NO</v>
      </c>
      <c r="D542" s="6">
        <v>3</v>
      </c>
      <c r="E542" s="6">
        <v>0</v>
      </c>
      <c r="F542" s="6">
        <v>0</v>
      </c>
      <c r="G542" s="6">
        <v>0</v>
      </c>
      <c r="H542" s="6">
        <v>0</v>
      </c>
      <c r="I542" s="6">
        <v>0</v>
      </c>
      <c r="J542" s="6">
        <v>0</v>
      </c>
      <c r="K542" s="40">
        <v>0</v>
      </c>
      <c r="L542" s="40">
        <v>126</v>
      </c>
      <c r="M542" s="40">
        <v>2994</v>
      </c>
      <c r="N542" s="40">
        <v>225</v>
      </c>
      <c r="O542" s="40">
        <v>681</v>
      </c>
      <c r="P542" s="40">
        <v>478</v>
      </c>
      <c r="Q542" s="40">
        <v>0</v>
      </c>
      <c r="R542" s="40">
        <v>1102</v>
      </c>
      <c r="S542" s="40">
        <v>508</v>
      </c>
    </row>
    <row r="543" spans="1:19" x14ac:dyDescent="0.35">
      <c r="A543" s="38">
        <v>540</v>
      </c>
      <c r="B543" s="38" t="str">
        <f>_xlfn.XLOOKUP(A543,'Model Modeshare by TAZ'!A:A,'Model Modeshare by TAZ'!B:B)</f>
        <v>San Jose</v>
      </c>
      <c r="C543" s="38" t="str">
        <f>_xlfn.XLOOKUP(A543,'Model Modeshare by TAZ'!A:A,'Model Modeshare by TAZ'!D:D)</f>
        <v>NO</v>
      </c>
      <c r="D543" s="6">
        <v>3</v>
      </c>
      <c r="E543" s="6">
        <v>0</v>
      </c>
      <c r="F543" s="6">
        <v>0</v>
      </c>
      <c r="G543" s="6">
        <v>0</v>
      </c>
      <c r="H543" s="6">
        <v>0</v>
      </c>
      <c r="I543" s="6">
        <v>0</v>
      </c>
      <c r="J543" s="6">
        <v>0</v>
      </c>
      <c r="K543" s="40">
        <v>0</v>
      </c>
      <c r="L543" s="40">
        <v>69</v>
      </c>
      <c r="M543" s="40">
        <v>1738</v>
      </c>
      <c r="N543" s="40">
        <v>128</v>
      </c>
      <c r="O543" s="40">
        <v>371</v>
      </c>
      <c r="P543" s="40">
        <v>280</v>
      </c>
      <c r="Q543" s="40">
        <v>0</v>
      </c>
      <c r="R543" s="40">
        <v>651</v>
      </c>
      <c r="S543" s="40">
        <v>308</v>
      </c>
    </row>
    <row r="544" spans="1:19" x14ac:dyDescent="0.35">
      <c r="A544" s="38">
        <v>541</v>
      </c>
      <c r="B544" s="38" t="str">
        <f>_xlfn.XLOOKUP(A544,'Model Modeshare by TAZ'!A:A,'Model Modeshare by TAZ'!B:B)</f>
        <v>San Jose</v>
      </c>
      <c r="C544" s="38" t="str">
        <f>_xlfn.XLOOKUP(A544,'Model Modeshare by TAZ'!A:A,'Model Modeshare by TAZ'!D:D)</f>
        <v>NO</v>
      </c>
      <c r="D544" s="6">
        <v>3</v>
      </c>
      <c r="E544" s="6">
        <v>1</v>
      </c>
      <c r="F544" s="6">
        <v>3</v>
      </c>
      <c r="G544" s="6">
        <v>3</v>
      </c>
      <c r="H544" s="6">
        <v>2</v>
      </c>
      <c r="I544" s="6">
        <v>0</v>
      </c>
      <c r="J544" s="6">
        <v>1</v>
      </c>
      <c r="K544" s="40">
        <v>1</v>
      </c>
      <c r="L544" s="40">
        <v>1</v>
      </c>
      <c r="M544" s="40">
        <v>94</v>
      </c>
      <c r="N544" s="40">
        <v>4</v>
      </c>
      <c r="O544" s="40">
        <v>16</v>
      </c>
      <c r="P544" s="40">
        <v>29</v>
      </c>
      <c r="Q544" s="40">
        <v>0</v>
      </c>
      <c r="R544" s="40">
        <v>42</v>
      </c>
      <c r="S544" s="40">
        <v>3</v>
      </c>
    </row>
    <row r="545" spans="1:19" x14ac:dyDescent="0.35">
      <c r="A545" s="38">
        <v>542</v>
      </c>
      <c r="B545" s="38" t="str">
        <f>_xlfn.XLOOKUP(A545,'Model Modeshare by TAZ'!A:A,'Model Modeshare by TAZ'!B:B)</f>
        <v>San Jose</v>
      </c>
      <c r="C545" s="38" t="str">
        <f>_xlfn.XLOOKUP(A545,'Model Modeshare by TAZ'!A:A,'Model Modeshare by TAZ'!D:D)</f>
        <v>NO</v>
      </c>
      <c r="D545" s="6">
        <v>3</v>
      </c>
      <c r="E545" s="6">
        <v>0</v>
      </c>
      <c r="F545" s="6">
        <v>0</v>
      </c>
      <c r="G545" s="6">
        <v>0</v>
      </c>
      <c r="H545" s="6">
        <v>0</v>
      </c>
      <c r="I545" s="6">
        <v>0</v>
      </c>
      <c r="J545" s="6">
        <v>0</v>
      </c>
      <c r="K545" s="40">
        <v>0</v>
      </c>
      <c r="L545" s="40">
        <v>34</v>
      </c>
      <c r="M545" s="40">
        <v>251</v>
      </c>
      <c r="N545" s="40">
        <v>8</v>
      </c>
      <c r="O545" s="40">
        <v>39</v>
      </c>
      <c r="P545" s="40">
        <v>135</v>
      </c>
      <c r="Q545" s="40">
        <v>0</v>
      </c>
      <c r="R545" s="40">
        <v>22</v>
      </c>
      <c r="S545" s="40">
        <v>47</v>
      </c>
    </row>
    <row r="546" spans="1:19" x14ac:dyDescent="0.35">
      <c r="A546" s="38">
        <v>543</v>
      </c>
      <c r="B546" s="38" t="str">
        <f>_xlfn.XLOOKUP(A546,'Model Modeshare by TAZ'!A:A,'Model Modeshare by TAZ'!B:B)</f>
        <v>San Jose</v>
      </c>
      <c r="C546" s="38" t="str">
        <f>_xlfn.XLOOKUP(A546,'Model Modeshare by TAZ'!A:A,'Model Modeshare by TAZ'!D:D)</f>
        <v>NO</v>
      </c>
      <c r="D546" s="6">
        <v>3</v>
      </c>
      <c r="E546" s="6">
        <v>0</v>
      </c>
      <c r="F546" s="6">
        <v>0</v>
      </c>
      <c r="G546" s="6">
        <v>0</v>
      </c>
      <c r="H546" s="6">
        <v>0</v>
      </c>
      <c r="I546" s="6">
        <v>0</v>
      </c>
      <c r="J546" s="6">
        <v>0</v>
      </c>
      <c r="K546" s="40">
        <v>13</v>
      </c>
      <c r="L546" s="40">
        <v>64</v>
      </c>
      <c r="M546" s="40">
        <v>505</v>
      </c>
      <c r="N546" s="40">
        <v>24</v>
      </c>
      <c r="O546" s="40">
        <v>18</v>
      </c>
      <c r="P546" s="40">
        <v>217</v>
      </c>
      <c r="Q546" s="40">
        <v>6</v>
      </c>
      <c r="R546" s="40">
        <v>204</v>
      </c>
      <c r="S546" s="40">
        <v>36</v>
      </c>
    </row>
    <row r="547" spans="1:19" x14ac:dyDescent="0.35">
      <c r="A547" s="38">
        <v>544</v>
      </c>
      <c r="B547" s="38" t="str">
        <f>_xlfn.XLOOKUP(A547,'Model Modeshare by TAZ'!A:A,'Model Modeshare by TAZ'!B:B)</f>
        <v>San Jose</v>
      </c>
      <c r="C547" s="38" t="str">
        <f>_xlfn.XLOOKUP(A547,'Model Modeshare by TAZ'!A:A,'Model Modeshare by TAZ'!D:D)</f>
        <v>NO</v>
      </c>
      <c r="D547" s="6">
        <v>3</v>
      </c>
      <c r="E547" s="6">
        <v>1</v>
      </c>
      <c r="F547" s="6">
        <v>3</v>
      </c>
      <c r="G547" s="6">
        <v>3</v>
      </c>
      <c r="H547" s="6">
        <v>2</v>
      </c>
      <c r="I547" s="6">
        <v>1</v>
      </c>
      <c r="J547" s="6">
        <v>0</v>
      </c>
      <c r="K547" s="40">
        <v>29</v>
      </c>
      <c r="L547" s="40">
        <v>35</v>
      </c>
      <c r="M547" s="40">
        <v>498</v>
      </c>
      <c r="N547" s="40">
        <v>11</v>
      </c>
      <c r="O547" s="40">
        <v>298</v>
      </c>
      <c r="P547" s="40">
        <v>112</v>
      </c>
      <c r="Q547" s="40">
        <v>0</v>
      </c>
      <c r="R547" s="40">
        <v>77</v>
      </c>
      <c r="S547" s="40">
        <v>0</v>
      </c>
    </row>
    <row r="548" spans="1:19" x14ac:dyDescent="0.35">
      <c r="A548" s="38">
        <v>545</v>
      </c>
      <c r="B548" s="38" t="str">
        <f>_xlfn.XLOOKUP(A548,'Model Modeshare by TAZ'!A:A,'Model Modeshare by TAZ'!B:B)</f>
        <v>San Jose</v>
      </c>
      <c r="C548" s="38" t="str">
        <f>_xlfn.XLOOKUP(A548,'Model Modeshare by TAZ'!A:A,'Model Modeshare by TAZ'!D:D)</f>
        <v>NO</v>
      </c>
      <c r="D548" s="6">
        <v>3</v>
      </c>
      <c r="E548" s="6">
        <v>43</v>
      </c>
      <c r="F548" s="6">
        <v>123</v>
      </c>
      <c r="G548" s="6">
        <v>123</v>
      </c>
      <c r="H548" s="6">
        <v>71</v>
      </c>
      <c r="I548" s="6">
        <v>36</v>
      </c>
      <c r="J548" s="6">
        <v>7</v>
      </c>
      <c r="K548" s="40">
        <v>16</v>
      </c>
      <c r="L548" s="40">
        <v>45</v>
      </c>
      <c r="M548" s="40">
        <v>7</v>
      </c>
      <c r="N548" s="40">
        <v>4</v>
      </c>
      <c r="O548" s="40">
        <v>3</v>
      </c>
      <c r="P548" s="40">
        <v>0</v>
      </c>
      <c r="Q548" s="40">
        <v>0</v>
      </c>
      <c r="R548" s="40">
        <v>0</v>
      </c>
      <c r="S548" s="40">
        <v>0</v>
      </c>
    </row>
    <row r="549" spans="1:19" x14ac:dyDescent="0.35">
      <c r="A549" s="38">
        <v>546</v>
      </c>
      <c r="B549" s="38" t="str">
        <f>_xlfn.XLOOKUP(A549,'Model Modeshare by TAZ'!A:A,'Model Modeshare by TAZ'!B:B)</f>
        <v>San Jose</v>
      </c>
      <c r="C549" s="38" t="str">
        <f>_xlfn.XLOOKUP(A549,'Model Modeshare by TAZ'!A:A,'Model Modeshare by TAZ'!D:D)</f>
        <v>NO</v>
      </c>
      <c r="D549" s="6">
        <v>3</v>
      </c>
      <c r="E549" s="6">
        <v>162</v>
      </c>
      <c r="F549" s="6">
        <v>459</v>
      </c>
      <c r="G549" s="6">
        <v>460</v>
      </c>
      <c r="H549" s="6">
        <v>270</v>
      </c>
      <c r="I549" s="6">
        <v>132</v>
      </c>
      <c r="J549" s="6">
        <v>30</v>
      </c>
      <c r="K549" s="40">
        <v>28</v>
      </c>
      <c r="L549" s="40">
        <v>1</v>
      </c>
      <c r="M549" s="40">
        <v>9</v>
      </c>
      <c r="N549" s="40">
        <v>0</v>
      </c>
      <c r="O549" s="40">
        <v>0</v>
      </c>
      <c r="P549" s="40">
        <v>0</v>
      </c>
      <c r="Q549" s="40">
        <v>0</v>
      </c>
      <c r="R549" s="40">
        <v>9</v>
      </c>
      <c r="S549" s="40">
        <v>0</v>
      </c>
    </row>
    <row r="550" spans="1:19" x14ac:dyDescent="0.35">
      <c r="A550" s="38">
        <v>547</v>
      </c>
      <c r="B550" s="38" t="str">
        <f>_xlfn.XLOOKUP(A550,'Model Modeshare by TAZ'!A:A,'Model Modeshare by TAZ'!B:B)</f>
        <v>San Jose</v>
      </c>
      <c r="C550" s="38" t="str">
        <f>_xlfn.XLOOKUP(A550,'Model Modeshare by TAZ'!A:A,'Model Modeshare by TAZ'!D:D)</f>
        <v>NO</v>
      </c>
      <c r="D550" s="6">
        <v>3</v>
      </c>
      <c r="E550" s="6">
        <v>274</v>
      </c>
      <c r="F550" s="6">
        <v>1185</v>
      </c>
      <c r="G550" s="6">
        <v>1208</v>
      </c>
      <c r="H550" s="6">
        <v>608</v>
      </c>
      <c r="I550" s="6">
        <v>209</v>
      </c>
      <c r="J550" s="6">
        <v>65</v>
      </c>
      <c r="K550" s="40">
        <v>77</v>
      </c>
      <c r="L550" s="40">
        <v>13</v>
      </c>
      <c r="M550" s="40">
        <v>203</v>
      </c>
      <c r="N550" s="40">
        <v>32</v>
      </c>
      <c r="O550" s="40">
        <v>108</v>
      </c>
      <c r="P550" s="40">
        <v>56</v>
      </c>
      <c r="Q550" s="40">
        <v>0</v>
      </c>
      <c r="R550" s="40">
        <v>6</v>
      </c>
      <c r="S550" s="40">
        <v>1</v>
      </c>
    </row>
    <row r="551" spans="1:19" x14ac:dyDescent="0.35">
      <c r="A551" s="38">
        <v>548</v>
      </c>
      <c r="B551" s="38" t="str">
        <f>_xlfn.XLOOKUP(A551,'Model Modeshare by TAZ'!A:A,'Model Modeshare by TAZ'!B:B)</f>
        <v>San Jose</v>
      </c>
      <c r="C551" s="38" t="str">
        <f>_xlfn.XLOOKUP(A551,'Model Modeshare by TAZ'!A:A,'Model Modeshare by TAZ'!D:D)</f>
        <v>NO</v>
      </c>
      <c r="D551" s="6">
        <v>3</v>
      </c>
      <c r="E551" s="6">
        <v>7</v>
      </c>
      <c r="F551" s="6">
        <v>28</v>
      </c>
      <c r="G551" s="6">
        <v>28</v>
      </c>
      <c r="H551" s="6">
        <v>15</v>
      </c>
      <c r="I551" s="6">
        <v>5</v>
      </c>
      <c r="J551" s="6">
        <v>2</v>
      </c>
      <c r="K551" s="40">
        <v>1</v>
      </c>
      <c r="L551" s="40">
        <v>29</v>
      </c>
      <c r="M551" s="40">
        <v>568</v>
      </c>
      <c r="N551" s="40">
        <v>480</v>
      </c>
      <c r="O551" s="40">
        <v>46</v>
      </c>
      <c r="P551" s="40">
        <v>32</v>
      </c>
      <c r="Q551" s="40">
        <v>10</v>
      </c>
      <c r="R551" s="40">
        <v>0</v>
      </c>
      <c r="S551" s="40">
        <v>0</v>
      </c>
    </row>
    <row r="552" spans="1:19" x14ac:dyDescent="0.35">
      <c r="A552" s="38">
        <v>549</v>
      </c>
      <c r="B552" s="38" t="str">
        <f>_xlfn.XLOOKUP(A552,'Model Modeshare by TAZ'!A:A,'Model Modeshare by TAZ'!B:B)</f>
        <v>San Jose</v>
      </c>
      <c r="C552" s="38" t="str">
        <f>_xlfn.XLOOKUP(A552,'Model Modeshare by TAZ'!A:A,'Model Modeshare by TAZ'!D:D)</f>
        <v>NO</v>
      </c>
      <c r="D552" s="6">
        <v>3</v>
      </c>
      <c r="E552" s="6">
        <v>19</v>
      </c>
      <c r="F552" s="6">
        <v>53</v>
      </c>
      <c r="G552" s="6">
        <v>55</v>
      </c>
      <c r="H552" s="6">
        <v>31</v>
      </c>
      <c r="I552" s="6">
        <v>19</v>
      </c>
      <c r="J552" s="6">
        <v>0</v>
      </c>
      <c r="K552" s="40">
        <v>1</v>
      </c>
      <c r="L552" s="40">
        <v>26</v>
      </c>
      <c r="M552" s="40">
        <v>388</v>
      </c>
      <c r="N552" s="40">
        <v>295</v>
      </c>
      <c r="O552" s="40">
        <v>63</v>
      </c>
      <c r="P552" s="40">
        <v>20</v>
      </c>
      <c r="Q552" s="40">
        <v>0</v>
      </c>
      <c r="R552" s="40">
        <v>5</v>
      </c>
      <c r="S552" s="40">
        <v>5</v>
      </c>
    </row>
    <row r="553" spans="1:19" x14ac:dyDescent="0.35">
      <c r="A553" s="38">
        <v>550</v>
      </c>
      <c r="B553" s="38" t="str">
        <f>_xlfn.XLOOKUP(A553,'Model Modeshare by TAZ'!A:A,'Model Modeshare by TAZ'!B:B)</f>
        <v>San Jose</v>
      </c>
      <c r="C553" s="38" t="str">
        <f>_xlfn.XLOOKUP(A553,'Model Modeshare by TAZ'!A:A,'Model Modeshare by TAZ'!D:D)</f>
        <v>NO</v>
      </c>
      <c r="D553" s="6">
        <v>3</v>
      </c>
      <c r="E553" s="6">
        <v>311</v>
      </c>
      <c r="F553" s="6">
        <v>899</v>
      </c>
      <c r="G553" s="6">
        <v>901</v>
      </c>
      <c r="H553" s="6">
        <v>447</v>
      </c>
      <c r="I553" s="6">
        <v>125</v>
      </c>
      <c r="J553" s="6">
        <v>186</v>
      </c>
      <c r="K553" s="40">
        <v>21</v>
      </c>
      <c r="L553" s="40">
        <v>54</v>
      </c>
      <c r="M553" s="40">
        <v>322</v>
      </c>
      <c r="N553" s="40">
        <v>31</v>
      </c>
      <c r="O553" s="40">
        <v>106</v>
      </c>
      <c r="P553" s="40">
        <v>0</v>
      </c>
      <c r="Q553" s="40">
        <v>0</v>
      </c>
      <c r="R553" s="40">
        <v>172</v>
      </c>
      <c r="S553" s="40">
        <v>13</v>
      </c>
    </row>
    <row r="554" spans="1:19" x14ac:dyDescent="0.35">
      <c r="A554" s="38">
        <v>551</v>
      </c>
      <c r="B554" s="38" t="str">
        <f>_xlfn.XLOOKUP(A554,'Model Modeshare by TAZ'!A:A,'Model Modeshare by TAZ'!B:B)</f>
        <v>San Jose</v>
      </c>
      <c r="C554" s="38" t="str">
        <f>_xlfn.XLOOKUP(A554,'Model Modeshare by TAZ'!A:A,'Model Modeshare by TAZ'!D:D)</f>
        <v>NO</v>
      </c>
      <c r="D554" s="6">
        <v>3</v>
      </c>
      <c r="E554" s="6">
        <v>7</v>
      </c>
      <c r="F554" s="6">
        <v>24</v>
      </c>
      <c r="G554" s="6">
        <v>24</v>
      </c>
      <c r="H554" s="6">
        <v>10</v>
      </c>
      <c r="I554" s="6">
        <v>5</v>
      </c>
      <c r="J554" s="6">
        <v>2</v>
      </c>
      <c r="K554" s="40">
        <v>1</v>
      </c>
      <c r="L554" s="40">
        <v>1</v>
      </c>
      <c r="M554" s="40">
        <v>141</v>
      </c>
      <c r="N554" s="40">
        <v>8</v>
      </c>
      <c r="O554" s="40">
        <v>21</v>
      </c>
      <c r="P554" s="40">
        <v>94</v>
      </c>
      <c r="Q554" s="40">
        <v>0</v>
      </c>
      <c r="R554" s="40">
        <v>16</v>
      </c>
      <c r="S554" s="40">
        <v>2</v>
      </c>
    </row>
    <row r="555" spans="1:19" x14ac:dyDescent="0.35">
      <c r="A555" s="38">
        <v>552</v>
      </c>
      <c r="B555" s="38" t="str">
        <f>_xlfn.XLOOKUP(A555,'Model Modeshare by TAZ'!A:A,'Model Modeshare by TAZ'!B:B)</f>
        <v>San Jose</v>
      </c>
      <c r="C555" s="38" t="str">
        <f>_xlfn.XLOOKUP(A555,'Model Modeshare by TAZ'!A:A,'Model Modeshare by TAZ'!D:D)</f>
        <v>NO</v>
      </c>
      <c r="D555" s="6">
        <v>3</v>
      </c>
      <c r="E555" s="6">
        <v>38</v>
      </c>
      <c r="F555" s="6">
        <v>167</v>
      </c>
      <c r="G555" s="6">
        <v>167</v>
      </c>
      <c r="H555" s="6">
        <v>79</v>
      </c>
      <c r="I555" s="6">
        <v>9</v>
      </c>
      <c r="J555" s="6">
        <v>29</v>
      </c>
      <c r="K555" s="40">
        <v>2</v>
      </c>
      <c r="L555" s="40">
        <v>76</v>
      </c>
      <c r="M555" s="40">
        <v>636</v>
      </c>
      <c r="N555" s="40">
        <v>130</v>
      </c>
      <c r="O555" s="40">
        <v>300</v>
      </c>
      <c r="P555" s="40">
        <v>205</v>
      </c>
      <c r="Q555" s="40">
        <v>1</v>
      </c>
      <c r="R555" s="40">
        <v>0</v>
      </c>
      <c r="S555" s="40">
        <v>0</v>
      </c>
    </row>
    <row r="556" spans="1:19" x14ac:dyDescent="0.35">
      <c r="A556" s="38">
        <v>553</v>
      </c>
      <c r="B556" s="38" t="str">
        <f>_xlfn.XLOOKUP(A556,'Model Modeshare by TAZ'!A:A,'Model Modeshare by TAZ'!B:B)</f>
        <v>San Jose</v>
      </c>
      <c r="C556" s="38" t="str">
        <f>_xlfn.XLOOKUP(A556,'Model Modeshare by TAZ'!A:A,'Model Modeshare by TAZ'!D:D)</f>
        <v>NO</v>
      </c>
      <c r="D556" s="6">
        <v>3</v>
      </c>
      <c r="E556" s="6">
        <v>3</v>
      </c>
      <c r="F556" s="6">
        <v>8</v>
      </c>
      <c r="G556" s="6">
        <v>8</v>
      </c>
      <c r="H556" s="6">
        <v>3</v>
      </c>
      <c r="I556" s="6">
        <v>2</v>
      </c>
      <c r="J556" s="6">
        <v>1</v>
      </c>
      <c r="K556" s="40">
        <v>1</v>
      </c>
      <c r="L556" s="40">
        <v>51</v>
      </c>
      <c r="M556" s="40">
        <v>723</v>
      </c>
      <c r="N556" s="40">
        <v>660</v>
      </c>
      <c r="O556" s="40">
        <v>33</v>
      </c>
      <c r="P556" s="40">
        <v>28</v>
      </c>
      <c r="Q556" s="40">
        <v>1</v>
      </c>
      <c r="R556" s="40">
        <v>0</v>
      </c>
      <c r="S556" s="40">
        <v>1</v>
      </c>
    </row>
    <row r="557" spans="1:19" x14ac:dyDescent="0.35">
      <c r="A557" s="38">
        <v>554</v>
      </c>
      <c r="B557" s="38" t="str">
        <f>_xlfn.XLOOKUP(A557,'Model Modeshare by TAZ'!A:A,'Model Modeshare by TAZ'!B:B)</f>
        <v>San Jose</v>
      </c>
      <c r="C557" s="38" t="str">
        <f>_xlfn.XLOOKUP(A557,'Model Modeshare by TAZ'!A:A,'Model Modeshare by TAZ'!D:D)</f>
        <v>NO</v>
      </c>
      <c r="D557" s="6">
        <v>3</v>
      </c>
      <c r="E557" s="6">
        <v>0</v>
      </c>
      <c r="F557" s="6">
        <v>0</v>
      </c>
      <c r="G557" s="6">
        <v>0</v>
      </c>
      <c r="H557" s="6">
        <v>0</v>
      </c>
      <c r="I557" s="6">
        <v>0</v>
      </c>
      <c r="J557" s="6">
        <v>0</v>
      </c>
      <c r="K557" s="40">
        <v>0</v>
      </c>
      <c r="L557" s="40">
        <v>153</v>
      </c>
      <c r="M557" s="40">
        <v>1697</v>
      </c>
      <c r="N557" s="40">
        <v>443</v>
      </c>
      <c r="O557" s="40">
        <v>461</v>
      </c>
      <c r="P557" s="40">
        <v>426</v>
      </c>
      <c r="Q557" s="40">
        <v>0</v>
      </c>
      <c r="R557" s="40">
        <v>207</v>
      </c>
      <c r="S557" s="40">
        <v>160</v>
      </c>
    </row>
    <row r="558" spans="1:19" x14ac:dyDescent="0.35">
      <c r="A558" s="38">
        <v>555</v>
      </c>
      <c r="B558" s="38" t="str">
        <f>_xlfn.XLOOKUP(A558,'Model Modeshare by TAZ'!A:A,'Model Modeshare by TAZ'!B:B)</f>
        <v>San Jose</v>
      </c>
      <c r="C558" s="38" t="str">
        <f>_xlfn.XLOOKUP(A558,'Model Modeshare by TAZ'!A:A,'Model Modeshare by TAZ'!D:D)</f>
        <v>NO</v>
      </c>
      <c r="D558" s="6">
        <v>3</v>
      </c>
      <c r="E558" s="6">
        <v>14</v>
      </c>
      <c r="F558" s="6">
        <v>53</v>
      </c>
      <c r="G558" s="6">
        <v>55</v>
      </c>
      <c r="H558" s="6">
        <v>22</v>
      </c>
      <c r="I558" s="6">
        <v>7</v>
      </c>
      <c r="J558" s="6">
        <v>7</v>
      </c>
      <c r="K558" s="40">
        <v>8</v>
      </c>
      <c r="L558" s="40">
        <v>2</v>
      </c>
      <c r="M558" s="40">
        <v>242</v>
      </c>
      <c r="N558" s="40">
        <v>23</v>
      </c>
      <c r="O558" s="40">
        <v>34</v>
      </c>
      <c r="P558" s="40">
        <v>178</v>
      </c>
      <c r="Q558" s="40">
        <v>0</v>
      </c>
      <c r="R558" s="40">
        <v>7</v>
      </c>
      <c r="S558" s="40">
        <v>0</v>
      </c>
    </row>
    <row r="559" spans="1:19" x14ac:dyDescent="0.35">
      <c r="A559" s="38">
        <v>556</v>
      </c>
      <c r="B559" s="38" t="str">
        <f>_xlfn.XLOOKUP(A559,'Model Modeshare by TAZ'!A:A,'Model Modeshare by TAZ'!B:B)</f>
        <v>San Jose</v>
      </c>
      <c r="C559" s="38" t="str">
        <f>_xlfn.XLOOKUP(A559,'Model Modeshare by TAZ'!A:A,'Model Modeshare by TAZ'!D:D)</f>
        <v>NO</v>
      </c>
      <c r="D559" s="6">
        <v>3</v>
      </c>
      <c r="E559" s="6">
        <v>0</v>
      </c>
      <c r="F559" s="6">
        <v>0</v>
      </c>
      <c r="G559" s="6">
        <v>0</v>
      </c>
      <c r="H559" s="6">
        <v>0</v>
      </c>
      <c r="I559" s="6">
        <v>0</v>
      </c>
      <c r="J559" s="6">
        <v>0</v>
      </c>
      <c r="K559" s="40">
        <v>1</v>
      </c>
      <c r="L559" s="40">
        <v>15</v>
      </c>
      <c r="M559" s="40">
        <v>128</v>
      </c>
      <c r="N559" s="40">
        <v>16</v>
      </c>
      <c r="O559" s="40">
        <v>79</v>
      </c>
      <c r="P559" s="40">
        <v>24</v>
      </c>
      <c r="Q559" s="40">
        <v>0</v>
      </c>
      <c r="R559" s="40">
        <v>9</v>
      </c>
      <c r="S559" s="40">
        <v>0</v>
      </c>
    </row>
    <row r="560" spans="1:19" x14ac:dyDescent="0.35">
      <c r="A560" s="38">
        <v>557</v>
      </c>
      <c r="B560" s="38" t="str">
        <f>_xlfn.XLOOKUP(A560,'Model Modeshare by TAZ'!A:A,'Model Modeshare by TAZ'!B:B)</f>
        <v>San Jose</v>
      </c>
      <c r="C560" s="38" t="str">
        <f>_xlfn.XLOOKUP(A560,'Model Modeshare by TAZ'!A:A,'Model Modeshare by TAZ'!D:D)</f>
        <v>NO</v>
      </c>
      <c r="D560" s="6">
        <v>3</v>
      </c>
      <c r="E560" s="6">
        <v>4</v>
      </c>
      <c r="F560" s="6">
        <v>10</v>
      </c>
      <c r="G560" s="6">
        <v>10</v>
      </c>
      <c r="H560" s="6">
        <v>4</v>
      </c>
      <c r="I560" s="6">
        <v>0</v>
      </c>
      <c r="J560" s="6">
        <v>4</v>
      </c>
      <c r="K560" s="40">
        <v>37</v>
      </c>
      <c r="L560" s="40">
        <v>3</v>
      </c>
      <c r="M560" s="40">
        <v>53</v>
      </c>
      <c r="N560" s="40">
        <v>9</v>
      </c>
      <c r="O560" s="40">
        <v>16</v>
      </c>
      <c r="P560" s="40">
        <v>5</v>
      </c>
      <c r="Q560" s="40">
        <v>0</v>
      </c>
      <c r="R560" s="40">
        <v>23</v>
      </c>
      <c r="S560" s="40">
        <v>0</v>
      </c>
    </row>
    <row r="561" spans="1:19" x14ac:dyDescent="0.35">
      <c r="A561" s="38">
        <v>558</v>
      </c>
      <c r="B561" s="38" t="str">
        <f>_xlfn.XLOOKUP(A561,'Model Modeshare by TAZ'!A:A,'Model Modeshare by TAZ'!B:B)</f>
        <v>San Jose</v>
      </c>
      <c r="C561" s="38" t="str">
        <f>_xlfn.XLOOKUP(A561,'Model Modeshare by TAZ'!A:A,'Model Modeshare by TAZ'!D:D)</f>
        <v>NO</v>
      </c>
      <c r="D561" s="6">
        <v>3</v>
      </c>
      <c r="E561" s="6">
        <v>0</v>
      </c>
      <c r="F561" s="6">
        <v>0</v>
      </c>
      <c r="G561" s="6">
        <v>0</v>
      </c>
      <c r="H561" s="6">
        <v>0</v>
      </c>
      <c r="I561" s="6">
        <v>0</v>
      </c>
      <c r="J561" s="6">
        <v>0</v>
      </c>
      <c r="K561" s="40">
        <v>0</v>
      </c>
      <c r="L561" s="40">
        <v>57</v>
      </c>
      <c r="M561" s="40">
        <v>1367</v>
      </c>
      <c r="N561" s="40">
        <v>111</v>
      </c>
      <c r="O561" s="40">
        <v>494</v>
      </c>
      <c r="P561" s="40">
        <v>206</v>
      </c>
      <c r="Q561" s="40">
        <v>0</v>
      </c>
      <c r="R561" s="40">
        <v>379</v>
      </c>
      <c r="S561" s="40">
        <v>177</v>
      </c>
    </row>
    <row r="562" spans="1:19" x14ac:dyDescent="0.35">
      <c r="A562" s="38">
        <v>559</v>
      </c>
      <c r="B562" s="38" t="str">
        <f>_xlfn.XLOOKUP(A562,'Model Modeshare by TAZ'!A:A,'Model Modeshare by TAZ'!B:B)</f>
        <v>San Jose</v>
      </c>
      <c r="C562" s="38" t="str">
        <f>_xlfn.XLOOKUP(A562,'Model Modeshare by TAZ'!A:A,'Model Modeshare by TAZ'!D:D)</f>
        <v>NO</v>
      </c>
      <c r="D562" s="6">
        <v>3</v>
      </c>
      <c r="E562" s="6">
        <v>0</v>
      </c>
      <c r="F562" s="6">
        <v>0</v>
      </c>
      <c r="G562" s="6">
        <v>0</v>
      </c>
      <c r="H562" s="6">
        <v>0</v>
      </c>
      <c r="I562" s="6">
        <v>0</v>
      </c>
      <c r="J562" s="6">
        <v>0</v>
      </c>
      <c r="K562" s="40">
        <v>0</v>
      </c>
      <c r="L562" s="40">
        <v>0</v>
      </c>
      <c r="M562" s="40">
        <v>0</v>
      </c>
      <c r="N562" s="40">
        <v>0</v>
      </c>
      <c r="O562" s="40">
        <v>0</v>
      </c>
      <c r="P562" s="40">
        <v>0</v>
      </c>
      <c r="Q562" s="40">
        <v>0</v>
      </c>
      <c r="R562" s="40">
        <v>0</v>
      </c>
      <c r="S562" s="40">
        <v>0</v>
      </c>
    </row>
    <row r="563" spans="1:19" x14ac:dyDescent="0.35">
      <c r="A563" s="38">
        <v>560</v>
      </c>
      <c r="B563" s="38" t="str">
        <f>_xlfn.XLOOKUP(A563,'Model Modeshare by TAZ'!A:A,'Model Modeshare by TAZ'!B:B)</f>
        <v>San Jose</v>
      </c>
      <c r="C563" s="38" t="str">
        <f>_xlfn.XLOOKUP(A563,'Model Modeshare by TAZ'!A:A,'Model Modeshare by TAZ'!D:D)</f>
        <v>NO</v>
      </c>
      <c r="D563" s="6">
        <v>3</v>
      </c>
      <c r="E563" s="6">
        <v>2</v>
      </c>
      <c r="F563" s="6">
        <v>6</v>
      </c>
      <c r="G563" s="6">
        <v>7</v>
      </c>
      <c r="H563" s="6">
        <v>3</v>
      </c>
      <c r="I563" s="6">
        <v>2</v>
      </c>
      <c r="J563" s="6">
        <v>0</v>
      </c>
      <c r="K563" s="40">
        <v>1</v>
      </c>
      <c r="L563" s="40">
        <v>0</v>
      </c>
      <c r="M563" s="40">
        <v>0</v>
      </c>
      <c r="N563" s="40">
        <v>0</v>
      </c>
      <c r="O563" s="40">
        <v>0</v>
      </c>
      <c r="P563" s="40">
        <v>0</v>
      </c>
      <c r="Q563" s="40">
        <v>0</v>
      </c>
      <c r="R563" s="40">
        <v>0</v>
      </c>
      <c r="S563" s="40">
        <v>0</v>
      </c>
    </row>
    <row r="564" spans="1:19" x14ac:dyDescent="0.35">
      <c r="A564" s="38">
        <v>561</v>
      </c>
      <c r="B564" s="38" t="str">
        <f>_xlfn.XLOOKUP(A564,'Model Modeshare by TAZ'!A:A,'Model Modeshare by TAZ'!B:B)</f>
        <v>San Jose</v>
      </c>
      <c r="C564" s="38" t="str">
        <f>_xlfn.XLOOKUP(A564,'Model Modeshare by TAZ'!A:A,'Model Modeshare by TAZ'!D:D)</f>
        <v>NO</v>
      </c>
      <c r="D564" s="6">
        <v>3</v>
      </c>
      <c r="E564" s="6">
        <v>2</v>
      </c>
      <c r="F564" s="6">
        <v>6</v>
      </c>
      <c r="G564" s="6">
        <v>7</v>
      </c>
      <c r="H564" s="6">
        <v>3</v>
      </c>
      <c r="I564" s="6">
        <v>2</v>
      </c>
      <c r="J564" s="6">
        <v>0</v>
      </c>
      <c r="K564" s="40">
        <v>1</v>
      </c>
      <c r="L564" s="40">
        <v>0</v>
      </c>
      <c r="M564" s="40">
        <v>0</v>
      </c>
      <c r="N564" s="40">
        <v>0</v>
      </c>
      <c r="O564" s="40">
        <v>0</v>
      </c>
      <c r="P564" s="40">
        <v>0</v>
      </c>
      <c r="Q564" s="40">
        <v>0</v>
      </c>
      <c r="R564" s="40">
        <v>0</v>
      </c>
      <c r="S564" s="40">
        <v>0</v>
      </c>
    </row>
    <row r="565" spans="1:19" x14ac:dyDescent="0.35">
      <c r="A565" s="38">
        <v>562</v>
      </c>
      <c r="B565" s="38" t="str">
        <f>_xlfn.XLOOKUP(A565,'Model Modeshare by TAZ'!A:A,'Model Modeshare by TAZ'!B:B)</f>
        <v>San Jose</v>
      </c>
      <c r="C565" s="38" t="str">
        <f>_xlfn.XLOOKUP(A565,'Model Modeshare by TAZ'!A:A,'Model Modeshare by TAZ'!D:D)</f>
        <v>NO</v>
      </c>
      <c r="D565" s="6">
        <v>3</v>
      </c>
      <c r="E565" s="6">
        <v>2</v>
      </c>
      <c r="F565" s="6">
        <v>6</v>
      </c>
      <c r="G565" s="6">
        <v>7</v>
      </c>
      <c r="H565" s="6">
        <v>3</v>
      </c>
      <c r="I565" s="6">
        <v>2</v>
      </c>
      <c r="J565" s="6">
        <v>0</v>
      </c>
      <c r="K565" s="40">
        <v>1</v>
      </c>
      <c r="L565" s="40">
        <v>0</v>
      </c>
      <c r="M565" s="40">
        <v>0</v>
      </c>
      <c r="N565" s="40">
        <v>0</v>
      </c>
      <c r="O565" s="40">
        <v>0</v>
      </c>
      <c r="P565" s="40">
        <v>0</v>
      </c>
      <c r="Q565" s="40">
        <v>0</v>
      </c>
      <c r="R565" s="40">
        <v>0</v>
      </c>
      <c r="S565" s="40">
        <v>0</v>
      </c>
    </row>
    <row r="566" spans="1:19" x14ac:dyDescent="0.35">
      <c r="A566" s="38">
        <v>563</v>
      </c>
      <c r="B566" s="38" t="str">
        <f>_xlfn.XLOOKUP(A566,'Model Modeshare by TAZ'!A:A,'Model Modeshare by TAZ'!B:B)</f>
        <v>San Jose</v>
      </c>
      <c r="C566" s="38" t="str">
        <f>_xlfn.XLOOKUP(A566,'Model Modeshare by TAZ'!A:A,'Model Modeshare by TAZ'!D:D)</f>
        <v>NO</v>
      </c>
      <c r="D566" s="6">
        <v>3</v>
      </c>
      <c r="E566" s="6">
        <v>0</v>
      </c>
      <c r="F566" s="6">
        <v>0</v>
      </c>
      <c r="G566" s="6">
        <v>0</v>
      </c>
      <c r="H566" s="6">
        <v>0</v>
      </c>
      <c r="I566" s="6">
        <v>0</v>
      </c>
      <c r="J566" s="6">
        <v>0</v>
      </c>
      <c r="K566" s="40">
        <v>0</v>
      </c>
      <c r="L566" s="40">
        <v>0</v>
      </c>
      <c r="M566" s="40">
        <v>0</v>
      </c>
      <c r="N566" s="40">
        <v>0</v>
      </c>
      <c r="O566" s="40">
        <v>0</v>
      </c>
      <c r="P566" s="40">
        <v>0</v>
      </c>
      <c r="Q566" s="40">
        <v>0</v>
      </c>
      <c r="R566" s="40">
        <v>0</v>
      </c>
      <c r="S566" s="40">
        <v>0</v>
      </c>
    </row>
    <row r="567" spans="1:19" x14ac:dyDescent="0.35">
      <c r="A567" s="38">
        <v>564</v>
      </c>
      <c r="B567" s="38" t="str">
        <f>_xlfn.XLOOKUP(A567,'Model Modeshare by TAZ'!A:A,'Model Modeshare by TAZ'!B:B)</f>
        <v>San Jose</v>
      </c>
      <c r="C567" s="38" t="str">
        <f>_xlfn.XLOOKUP(A567,'Model Modeshare by TAZ'!A:A,'Model Modeshare by TAZ'!D:D)</f>
        <v>NO</v>
      </c>
      <c r="D567" s="6">
        <v>3</v>
      </c>
      <c r="E567" s="6">
        <v>0</v>
      </c>
      <c r="F567" s="6">
        <v>0</v>
      </c>
      <c r="G567" s="6">
        <v>0</v>
      </c>
      <c r="H567" s="6">
        <v>0</v>
      </c>
      <c r="I567" s="6">
        <v>0</v>
      </c>
      <c r="J567" s="6">
        <v>0</v>
      </c>
      <c r="K567" s="40">
        <v>1</v>
      </c>
      <c r="L567" s="40">
        <v>0</v>
      </c>
      <c r="M567" s="40">
        <v>0</v>
      </c>
      <c r="N567" s="40">
        <v>0</v>
      </c>
      <c r="O567" s="40">
        <v>0</v>
      </c>
      <c r="P567" s="40">
        <v>0</v>
      </c>
      <c r="Q567" s="40">
        <v>0</v>
      </c>
      <c r="R567" s="40">
        <v>0</v>
      </c>
      <c r="S567" s="40">
        <v>0</v>
      </c>
    </row>
    <row r="568" spans="1:19" x14ac:dyDescent="0.35">
      <c r="A568" s="38">
        <v>565</v>
      </c>
      <c r="B568" s="38" t="str">
        <f>_xlfn.XLOOKUP(A568,'Model Modeshare by TAZ'!A:A,'Model Modeshare by TAZ'!B:B)</f>
        <v>Unincorporated</v>
      </c>
      <c r="C568" s="38" t="str">
        <f>_xlfn.XLOOKUP(A568,'Model Modeshare by TAZ'!A:A,'Model Modeshare by TAZ'!D:D)</f>
        <v>NO</v>
      </c>
      <c r="D568" s="6">
        <v>3</v>
      </c>
      <c r="E568" s="6">
        <v>2</v>
      </c>
      <c r="F568" s="6">
        <v>6</v>
      </c>
      <c r="G568" s="6">
        <v>7</v>
      </c>
      <c r="H568" s="6">
        <v>3</v>
      </c>
      <c r="I568" s="6">
        <v>2</v>
      </c>
      <c r="J568" s="6">
        <v>0</v>
      </c>
      <c r="K568" s="40">
        <v>1</v>
      </c>
      <c r="L568" s="40">
        <v>0</v>
      </c>
      <c r="M568" s="40">
        <v>0</v>
      </c>
      <c r="N568" s="40">
        <v>0</v>
      </c>
      <c r="O568" s="40">
        <v>0</v>
      </c>
      <c r="P568" s="40">
        <v>0</v>
      </c>
      <c r="Q568" s="40">
        <v>0</v>
      </c>
      <c r="R568" s="40">
        <v>0</v>
      </c>
      <c r="S568" s="40">
        <v>0</v>
      </c>
    </row>
    <row r="569" spans="1:19" x14ac:dyDescent="0.35">
      <c r="A569" s="38">
        <v>566</v>
      </c>
      <c r="B569" s="38" t="str">
        <f>_xlfn.XLOOKUP(A569,'Model Modeshare by TAZ'!A:A,'Model Modeshare by TAZ'!B:B)</f>
        <v>Unincorporated</v>
      </c>
      <c r="C569" s="38" t="str">
        <f>_xlfn.XLOOKUP(A569,'Model Modeshare by TAZ'!A:A,'Model Modeshare by TAZ'!D:D)</f>
        <v>NO</v>
      </c>
      <c r="D569" s="6">
        <v>3</v>
      </c>
      <c r="E569" s="6">
        <v>4</v>
      </c>
      <c r="F569" s="6">
        <v>12</v>
      </c>
      <c r="G569" s="6">
        <v>13</v>
      </c>
      <c r="H569" s="6">
        <v>5</v>
      </c>
      <c r="I569" s="6">
        <v>3</v>
      </c>
      <c r="J569" s="6">
        <v>1</v>
      </c>
      <c r="K569" s="40">
        <v>1</v>
      </c>
      <c r="L569" s="40">
        <v>0</v>
      </c>
      <c r="M569" s="40">
        <v>0</v>
      </c>
      <c r="N569" s="40">
        <v>0</v>
      </c>
      <c r="O569" s="40">
        <v>0</v>
      </c>
      <c r="P569" s="40">
        <v>0</v>
      </c>
      <c r="Q569" s="40">
        <v>0</v>
      </c>
      <c r="R569" s="40">
        <v>0</v>
      </c>
      <c r="S569" s="40">
        <v>0</v>
      </c>
    </row>
    <row r="570" spans="1:19" x14ac:dyDescent="0.35">
      <c r="A570" s="38">
        <v>567</v>
      </c>
      <c r="B570" s="38" t="str">
        <f>_xlfn.XLOOKUP(A570,'Model Modeshare by TAZ'!A:A,'Model Modeshare by TAZ'!B:B)</f>
        <v>San Jose</v>
      </c>
      <c r="C570" s="38" t="str">
        <f>_xlfn.XLOOKUP(A570,'Model Modeshare by TAZ'!A:A,'Model Modeshare by TAZ'!D:D)</f>
        <v>NO</v>
      </c>
      <c r="D570" s="6">
        <v>3</v>
      </c>
      <c r="E570" s="6">
        <v>2</v>
      </c>
      <c r="F570" s="6">
        <v>6</v>
      </c>
      <c r="G570" s="6">
        <v>7</v>
      </c>
      <c r="H570" s="6">
        <v>3</v>
      </c>
      <c r="I570" s="6">
        <v>2</v>
      </c>
      <c r="J570" s="6">
        <v>0</v>
      </c>
      <c r="K570" s="40">
        <v>1</v>
      </c>
      <c r="L570" s="40">
        <v>0</v>
      </c>
      <c r="M570" s="40">
        <v>0</v>
      </c>
      <c r="N570" s="40">
        <v>0</v>
      </c>
      <c r="O570" s="40">
        <v>0</v>
      </c>
      <c r="P570" s="40">
        <v>0</v>
      </c>
      <c r="Q570" s="40">
        <v>0</v>
      </c>
      <c r="R570" s="40">
        <v>0</v>
      </c>
      <c r="S570" s="40">
        <v>0</v>
      </c>
    </row>
    <row r="571" spans="1:19" x14ac:dyDescent="0.35">
      <c r="A571" s="38">
        <v>568</v>
      </c>
      <c r="B571" s="38" t="str">
        <f>_xlfn.XLOOKUP(A571,'Model Modeshare by TAZ'!A:A,'Model Modeshare by TAZ'!B:B)</f>
        <v>San Jose</v>
      </c>
      <c r="C571" s="38" t="str">
        <f>_xlfn.XLOOKUP(A571,'Model Modeshare by TAZ'!A:A,'Model Modeshare by TAZ'!D:D)</f>
        <v>NO</v>
      </c>
      <c r="D571" s="6">
        <v>3</v>
      </c>
      <c r="E571" s="6">
        <v>2</v>
      </c>
      <c r="F571" s="6">
        <v>6</v>
      </c>
      <c r="G571" s="6">
        <v>7</v>
      </c>
      <c r="H571" s="6">
        <v>3</v>
      </c>
      <c r="I571" s="6">
        <v>2</v>
      </c>
      <c r="J571" s="6">
        <v>0</v>
      </c>
      <c r="K571" s="40">
        <v>1</v>
      </c>
      <c r="L571" s="40">
        <v>0</v>
      </c>
      <c r="M571" s="40">
        <v>0</v>
      </c>
      <c r="N571" s="40">
        <v>0</v>
      </c>
      <c r="O571" s="40">
        <v>0</v>
      </c>
      <c r="P571" s="40">
        <v>0</v>
      </c>
      <c r="Q571" s="40">
        <v>0</v>
      </c>
      <c r="R571" s="40">
        <v>0</v>
      </c>
      <c r="S571" s="40">
        <v>0</v>
      </c>
    </row>
    <row r="572" spans="1:19" x14ac:dyDescent="0.35">
      <c r="A572" s="38">
        <v>569</v>
      </c>
      <c r="B572" s="38" t="str">
        <f>_xlfn.XLOOKUP(A572,'Model Modeshare by TAZ'!A:A,'Model Modeshare by TAZ'!B:B)</f>
        <v>San Jose</v>
      </c>
      <c r="C572" s="38" t="str">
        <f>_xlfn.XLOOKUP(A572,'Model Modeshare by TAZ'!A:A,'Model Modeshare by TAZ'!D:D)</f>
        <v>NO</v>
      </c>
      <c r="D572" s="6">
        <v>3</v>
      </c>
      <c r="E572" s="6">
        <v>3</v>
      </c>
      <c r="F572" s="6">
        <v>9</v>
      </c>
      <c r="G572" s="6">
        <v>10</v>
      </c>
      <c r="H572" s="6">
        <v>4</v>
      </c>
      <c r="I572" s="6">
        <v>2</v>
      </c>
      <c r="J572" s="6">
        <v>1</v>
      </c>
      <c r="K572" s="40">
        <v>1</v>
      </c>
      <c r="L572" s="40">
        <v>0</v>
      </c>
      <c r="M572" s="40">
        <v>0</v>
      </c>
      <c r="N572" s="40">
        <v>0</v>
      </c>
      <c r="O572" s="40">
        <v>0</v>
      </c>
      <c r="P572" s="40">
        <v>0</v>
      </c>
      <c r="Q572" s="40">
        <v>0</v>
      </c>
      <c r="R572" s="40">
        <v>0</v>
      </c>
      <c r="S572" s="40">
        <v>0</v>
      </c>
    </row>
    <row r="573" spans="1:19" x14ac:dyDescent="0.35">
      <c r="A573" s="38">
        <v>570</v>
      </c>
      <c r="B573" s="38" t="str">
        <f>_xlfn.XLOOKUP(A573,'Model Modeshare by TAZ'!A:A,'Model Modeshare by TAZ'!B:B)</f>
        <v>Unincorporated</v>
      </c>
      <c r="C573" s="38" t="str">
        <f>_xlfn.XLOOKUP(A573,'Model Modeshare by TAZ'!A:A,'Model Modeshare by TAZ'!D:D)</f>
        <v>NO</v>
      </c>
      <c r="D573" s="6">
        <v>3</v>
      </c>
      <c r="E573" s="6">
        <v>3</v>
      </c>
      <c r="F573" s="6">
        <v>10</v>
      </c>
      <c r="G573" s="6">
        <v>10</v>
      </c>
      <c r="H573" s="6">
        <v>5</v>
      </c>
      <c r="I573" s="6">
        <v>2</v>
      </c>
      <c r="J573" s="6">
        <v>1</v>
      </c>
      <c r="K573" s="40">
        <v>1</v>
      </c>
      <c r="L573" s="40">
        <v>0</v>
      </c>
      <c r="M573" s="40">
        <v>0</v>
      </c>
      <c r="N573" s="40">
        <v>0</v>
      </c>
      <c r="O573" s="40">
        <v>0</v>
      </c>
      <c r="P573" s="40">
        <v>0</v>
      </c>
      <c r="Q573" s="40">
        <v>0</v>
      </c>
      <c r="R573" s="40">
        <v>0</v>
      </c>
      <c r="S573" s="40">
        <v>0</v>
      </c>
    </row>
    <row r="574" spans="1:19" x14ac:dyDescent="0.35">
      <c r="A574" s="38">
        <v>571</v>
      </c>
      <c r="B574" s="38" t="str">
        <f>_xlfn.XLOOKUP(A574,'Model Modeshare by TAZ'!A:A,'Model Modeshare by TAZ'!B:B)</f>
        <v>Unincorporated</v>
      </c>
      <c r="C574" s="38" t="str">
        <f>_xlfn.XLOOKUP(A574,'Model Modeshare by TAZ'!A:A,'Model Modeshare by TAZ'!D:D)</f>
        <v>NO</v>
      </c>
      <c r="D574" s="6">
        <v>3</v>
      </c>
      <c r="E574" s="6">
        <v>0</v>
      </c>
      <c r="F574" s="6">
        <v>0</v>
      </c>
      <c r="G574" s="6">
        <v>0</v>
      </c>
      <c r="H574" s="6">
        <v>0</v>
      </c>
      <c r="I574" s="6">
        <v>0</v>
      </c>
      <c r="J574" s="6">
        <v>0</v>
      </c>
      <c r="K574" s="40">
        <v>1</v>
      </c>
      <c r="L574" s="40">
        <v>1</v>
      </c>
      <c r="M574" s="40">
        <v>3</v>
      </c>
      <c r="N574" s="40">
        <v>0</v>
      </c>
      <c r="O574" s="40">
        <v>0</v>
      </c>
      <c r="P574" s="40">
        <v>0</v>
      </c>
      <c r="Q574" s="40">
        <v>3</v>
      </c>
      <c r="R574" s="40">
        <v>0</v>
      </c>
      <c r="S574" s="40">
        <v>0</v>
      </c>
    </row>
    <row r="575" spans="1:19" x14ac:dyDescent="0.35">
      <c r="A575" s="38">
        <v>572</v>
      </c>
      <c r="B575" s="38" t="str">
        <f>_xlfn.XLOOKUP(A575,'Model Modeshare by TAZ'!A:A,'Model Modeshare by TAZ'!B:B)</f>
        <v>Unincorporated</v>
      </c>
      <c r="C575" s="38" t="str">
        <f>_xlfn.XLOOKUP(A575,'Model Modeshare by TAZ'!A:A,'Model Modeshare by TAZ'!D:D)</f>
        <v>NO</v>
      </c>
      <c r="D575" s="6">
        <v>3</v>
      </c>
      <c r="E575" s="6">
        <v>0</v>
      </c>
      <c r="F575" s="6">
        <v>0</v>
      </c>
      <c r="G575" s="6">
        <v>0</v>
      </c>
      <c r="H575" s="6">
        <v>0</v>
      </c>
      <c r="I575" s="6">
        <v>0</v>
      </c>
      <c r="J575" s="6">
        <v>0</v>
      </c>
      <c r="K575" s="40">
        <v>1</v>
      </c>
      <c r="L575" s="40">
        <v>0</v>
      </c>
      <c r="M575" s="40">
        <v>0</v>
      </c>
      <c r="N575" s="40">
        <v>0</v>
      </c>
      <c r="O575" s="40">
        <v>0</v>
      </c>
      <c r="P575" s="40">
        <v>0</v>
      </c>
      <c r="Q575" s="40">
        <v>0</v>
      </c>
      <c r="R575" s="40">
        <v>0</v>
      </c>
      <c r="S575" s="40">
        <v>0</v>
      </c>
    </row>
    <row r="576" spans="1:19" x14ac:dyDescent="0.35">
      <c r="A576" s="38">
        <v>573</v>
      </c>
      <c r="B576" s="38" t="str">
        <f>_xlfn.XLOOKUP(A576,'Model Modeshare by TAZ'!A:A,'Model Modeshare by TAZ'!B:B)</f>
        <v>San Jose</v>
      </c>
      <c r="C576" s="38" t="str">
        <f>_xlfn.XLOOKUP(A576,'Model Modeshare by TAZ'!A:A,'Model Modeshare by TAZ'!D:D)</f>
        <v>NO</v>
      </c>
      <c r="D576" s="6">
        <v>3</v>
      </c>
      <c r="E576" s="6">
        <v>2</v>
      </c>
      <c r="F576" s="6">
        <v>6</v>
      </c>
      <c r="G576" s="6">
        <v>7</v>
      </c>
      <c r="H576" s="6">
        <v>3</v>
      </c>
      <c r="I576" s="6">
        <v>2</v>
      </c>
      <c r="J576" s="6">
        <v>0</v>
      </c>
      <c r="K576" s="40">
        <v>1</v>
      </c>
      <c r="L576" s="40">
        <v>0</v>
      </c>
      <c r="M576" s="40">
        <v>0</v>
      </c>
      <c r="N576" s="40">
        <v>0</v>
      </c>
      <c r="O576" s="40">
        <v>0</v>
      </c>
      <c r="P576" s="40">
        <v>0</v>
      </c>
      <c r="Q576" s="40">
        <v>0</v>
      </c>
      <c r="R576" s="40">
        <v>0</v>
      </c>
      <c r="S576" s="40">
        <v>0</v>
      </c>
    </row>
    <row r="577" spans="1:19" x14ac:dyDescent="0.35">
      <c r="A577" s="38">
        <v>574</v>
      </c>
      <c r="B577" s="38" t="str">
        <f>_xlfn.XLOOKUP(A577,'Model Modeshare by TAZ'!A:A,'Model Modeshare by TAZ'!B:B)</f>
        <v>Unincorporated</v>
      </c>
      <c r="C577" s="38" t="str">
        <f>_xlfn.XLOOKUP(A577,'Model Modeshare by TAZ'!A:A,'Model Modeshare by TAZ'!D:D)</f>
        <v>NO</v>
      </c>
      <c r="D577" s="6">
        <v>3</v>
      </c>
      <c r="E577" s="6">
        <v>0</v>
      </c>
      <c r="F577" s="6">
        <v>0</v>
      </c>
      <c r="G577" s="6">
        <v>0</v>
      </c>
      <c r="H577" s="6">
        <v>0</v>
      </c>
      <c r="I577" s="6">
        <v>0</v>
      </c>
      <c r="J577" s="6">
        <v>0</v>
      </c>
      <c r="K577" s="40">
        <v>1</v>
      </c>
      <c r="L577" s="40">
        <v>0</v>
      </c>
      <c r="M577" s="40">
        <v>0</v>
      </c>
      <c r="N577" s="40">
        <v>0</v>
      </c>
      <c r="O577" s="40">
        <v>0</v>
      </c>
      <c r="P577" s="40">
        <v>0</v>
      </c>
      <c r="Q577" s="40">
        <v>0</v>
      </c>
      <c r="R577" s="40">
        <v>0</v>
      </c>
      <c r="S577" s="40">
        <v>0</v>
      </c>
    </row>
    <row r="578" spans="1:19" x14ac:dyDescent="0.35">
      <c r="A578" s="38">
        <v>575</v>
      </c>
      <c r="B578" s="38" t="str">
        <f>_xlfn.XLOOKUP(A578,'Model Modeshare by TAZ'!A:A,'Model Modeshare by TAZ'!B:B)</f>
        <v>San Jose</v>
      </c>
      <c r="C578" s="38" t="str">
        <f>_xlfn.XLOOKUP(A578,'Model Modeshare by TAZ'!A:A,'Model Modeshare by TAZ'!D:D)</f>
        <v>NO</v>
      </c>
      <c r="D578" s="6">
        <v>3</v>
      </c>
      <c r="E578" s="6">
        <v>0</v>
      </c>
      <c r="F578" s="6">
        <v>0</v>
      </c>
      <c r="G578" s="6">
        <v>0</v>
      </c>
      <c r="H578" s="6">
        <v>0</v>
      </c>
      <c r="I578" s="6">
        <v>0</v>
      </c>
      <c r="J578" s="6">
        <v>0</v>
      </c>
      <c r="K578" s="40">
        <v>1</v>
      </c>
      <c r="L578" s="40">
        <v>4</v>
      </c>
      <c r="M578" s="40">
        <v>108</v>
      </c>
      <c r="N578" s="40">
        <v>15</v>
      </c>
      <c r="O578" s="40">
        <v>39</v>
      </c>
      <c r="P578" s="40">
        <v>29</v>
      </c>
      <c r="Q578" s="40">
        <v>1</v>
      </c>
      <c r="R578" s="40">
        <v>18</v>
      </c>
      <c r="S578" s="40">
        <v>6</v>
      </c>
    </row>
    <row r="579" spans="1:19" x14ac:dyDescent="0.35">
      <c r="A579" s="38">
        <v>576</v>
      </c>
      <c r="B579" s="38" t="str">
        <f>_xlfn.XLOOKUP(A579,'Model Modeshare by TAZ'!A:A,'Model Modeshare by TAZ'!B:B)</f>
        <v>San Jose</v>
      </c>
      <c r="C579" s="38" t="str">
        <f>_xlfn.XLOOKUP(A579,'Model Modeshare by TAZ'!A:A,'Model Modeshare by TAZ'!D:D)</f>
        <v>NO</v>
      </c>
      <c r="D579" s="6">
        <v>3</v>
      </c>
      <c r="E579" s="6">
        <v>14</v>
      </c>
      <c r="F579" s="6">
        <v>31</v>
      </c>
      <c r="G579" s="6">
        <v>34</v>
      </c>
      <c r="H579" s="6">
        <v>17</v>
      </c>
      <c r="I579" s="6">
        <v>3</v>
      </c>
      <c r="J579" s="6">
        <v>11</v>
      </c>
      <c r="K579" s="40">
        <v>1</v>
      </c>
      <c r="L579" s="40">
        <v>9</v>
      </c>
      <c r="M579" s="40">
        <v>1536</v>
      </c>
      <c r="N579" s="40">
        <v>625</v>
      </c>
      <c r="O579" s="40">
        <v>312</v>
      </c>
      <c r="P579" s="40">
        <v>128</v>
      </c>
      <c r="Q579" s="40">
        <v>0</v>
      </c>
      <c r="R579" s="40">
        <v>402</v>
      </c>
      <c r="S579" s="40">
        <v>69</v>
      </c>
    </row>
    <row r="580" spans="1:19" x14ac:dyDescent="0.35">
      <c r="A580" s="38">
        <v>577</v>
      </c>
      <c r="B580" s="38" t="str">
        <f>_xlfn.XLOOKUP(A580,'Model Modeshare by TAZ'!A:A,'Model Modeshare by TAZ'!B:B)</f>
        <v>San Jose</v>
      </c>
      <c r="C580" s="38" t="str">
        <f>_xlfn.XLOOKUP(A580,'Model Modeshare by TAZ'!A:A,'Model Modeshare by TAZ'!D:D)</f>
        <v>NO</v>
      </c>
      <c r="D580" s="6">
        <v>3</v>
      </c>
      <c r="E580" s="6">
        <v>10</v>
      </c>
      <c r="F580" s="6">
        <v>18</v>
      </c>
      <c r="G580" s="6">
        <v>18</v>
      </c>
      <c r="H580" s="6">
        <v>10</v>
      </c>
      <c r="I580" s="6">
        <v>3</v>
      </c>
      <c r="J580" s="6">
        <v>7</v>
      </c>
      <c r="K580" s="40">
        <v>1</v>
      </c>
      <c r="L580" s="40">
        <v>27</v>
      </c>
      <c r="M580" s="40">
        <v>3502</v>
      </c>
      <c r="N580" s="40">
        <v>360</v>
      </c>
      <c r="O580" s="40">
        <v>1719</v>
      </c>
      <c r="P580" s="40">
        <v>1040</v>
      </c>
      <c r="Q580" s="40">
        <v>0</v>
      </c>
      <c r="R580" s="40">
        <v>345</v>
      </c>
      <c r="S580" s="40">
        <v>38</v>
      </c>
    </row>
    <row r="581" spans="1:19" x14ac:dyDescent="0.35">
      <c r="A581" s="38">
        <v>578</v>
      </c>
      <c r="B581" s="38" t="str">
        <f>_xlfn.XLOOKUP(A581,'Model Modeshare by TAZ'!A:A,'Model Modeshare by TAZ'!B:B)</f>
        <v>San Jose</v>
      </c>
      <c r="C581" s="38" t="str">
        <f>_xlfn.XLOOKUP(A581,'Model Modeshare by TAZ'!A:A,'Model Modeshare by TAZ'!D:D)</f>
        <v>NO</v>
      </c>
      <c r="D581" s="6">
        <v>3</v>
      </c>
      <c r="E581" s="6">
        <v>226</v>
      </c>
      <c r="F581" s="6">
        <v>450</v>
      </c>
      <c r="G581" s="6">
        <v>451</v>
      </c>
      <c r="H581" s="6">
        <v>289</v>
      </c>
      <c r="I581" s="6">
        <v>74</v>
      </c>
      <c r="J581" s="6">
        <v>152</v>
      </c>
      <c r="K581" s="40">
        <v>3</v>
      </c>
      <c r="L581" s="40">
        <v>16</v>
      </c>
      <c r="M581" s="40">
        <v>1713</v>
      </c>
      <c r="N581" s="40">
        <v>315</v>
      </c>
      <c r="O581" s="40">
        <v>886</v>
      </c>
      <c r="P581" s="40">
        <v>338</v>
      </c>
      <c r="Q581" s="40">
        <v>0</v>
      </c>
      <c r="R581" s="40">
        <v>157</v>
      </c>
      <c r="S581" s="40">
        <v>17</v>
      </c>
    </row>
    <row r="582" spans="1:19" x14ac:dyDescent="0.35">
      <c r="A582" s="38">
        <v>579</v>
      </c>
      <c r="B582" s="38" t="str">
        <f>_xlfn.XLOOKUP(A582,'Model Modeshare by TAZ'!A:A,'Model Modeshare by TAZ'!B:B)</f>
        <v>San Jose</v>
      </c>
      <c r="C582" s="38" t="str">
        <f>_xlfn.XLOOKUP(A582,'Model Modeshare by TAZ'!A:A,'Model Modeshare by TAZ'!D:D)</f>
        <v>NO</v>
      </c>
      <c r="D582" s="6">
        <v>3</v>
      </c>
      <c r="E582" s="6">
        <v>28</v>
      </c>
      <c r="F582" s="6">
        <v>56</v>
      </c>
      <c r="G582" s="6">
        <v>56</v>
      </c>
      <c r="H582" s="6">
        <v>36</v>
      </c>
      <c r="I582" s="6">
        <v>10</v>
      </c>
      <c r="J582" s="6">
        <v>18</v>
      </c>
      <c r="K582" s="40">
        <v>1</v>
      </c>
      <c r="L582" s="40">
        <v>8</v>
      </c>
      <c r="M582" s="40">
        <v>308</v>
      </c>
      <c r="N582" s="40">
        <v>27</v>
      </c>
      <c r="O582" s="40">
        <v>128</v>
      </c>
      <c r="P582" s="40">
        <v>101</v>
      </c>
      <c r="Q582" s="40">
        <v>22</v>
      </c>
      <c r="R582" s="40">
        <v>27</v>
      </c>
      <c r="S582" s="40">
        <v>3</v>
      </c>
    </row>
    <row r="583" spans="1:19" x14ac:dyDescent="0.35">
      <c r="A583" s="38">
        <v>580</v>
      </c>
      <c r="B583" s="38" t="str">
        <f>_xlfn.XLOOKUP(A583,'Model Modeshare by TAZ'!A:A,'Model Modeshare by TAZ'!B:B)</f>
        <v>San Jose</v>
      </c>
      <c r="C583" s="38" t="str">
        <f>_xlfn.XLOOKUP(A583,'Model Modeshare by TAZ'!A:A,'Model Modeshare by TAZ'!D:D)</f>
        <v>NO</v>
      </c>
      <c r="D583" s="6">
        <v>3</v>
      </c>
      <c r="E583" s="6">
        <v>217</v>
      </c>
      <c r="F583" s="6">
        <v>836</v>
      </c>
      <c r="G583" s="6">
        <v>857</v>
      </c>
      <c r="H583" s="6">
        <v>375</v>
      </c>
      <c r="I583" s="6">
        <v>111</v>
      </c>
      <c r="J583" s="6">
        <v>106</v>
      </c>
      <c r="K583" s="40">
        <v>26</v>
      </c>
      <c r="L583" s="40">
        <v>10</v>
      </c>
      <c r="M583" s="40">
        <v>476</v>
      </c>
      <c r="N583" s="40">
        <v>131</v>
      </c>
      <c r="O583" s="40">
        <v>194</v>
      </c>
      <c r="P583" s="40">
        <v>106</v>
      </c>
      <c r="Q583" s="40">
        <v>1</v>
      </c>
      <c r="R583" s="40">
        <v>42</v>
      </c>
      <c r="S583" s="40">
        <v>2</v>
      </c>
    </row>
    <row r="584" spans="1:19" x14ac:dyDescent="0.35">
      <c r="A584" s="38">
        <v>581</v>
      </c>
      <c r="B584" s="38" t="str">
        <f>_xlfn.XLOOKUP(A584,'Model Modeshare by TAZ'!A:A,'Model Modeshare by TAZ'!B:B)</f>
        <v>San Jose</v>
      </c>
      <c r="C584" s="38" t="str">
        <f>_xlfn.XLOOKUP(A584,'Model Modeshare by TAZ'!A:A,'Model Modeshare by TAZ'!D:D)</f>
        <v>NO</v>
      </c>
      <c r="D584" s="6">
        <v>3</v>
      </c>
      <c r="E584" s="6">
        <v>549</v>
      </c>
      <c r="F584" s="6">
        <v>2115</v>
      </c>
      <c r="G584" s="6">
        <v>2250</v>
      </c>
      <c r="H584" s="6">
        <v>945</v>
      </c>
      <c r="I584" s="6">
        <v>281</v>
      </c>
      <c r="J584" s="6">
        <v>268</v>
      </c>
      <c r="K584" s="40">
        <v>72</v>
      </c>
      <c r="L584" s="40">
        <v>4</v>
      </c>
      <c r="M584" s="40">
        <v>282</v>
      </c>
      <c r="N584" s="40">
        <v>99</v>
      </c>
      <c r="O584" s="40">
        <v>42</v>
      </c>
      <c r="P584" s="40">
        <v>119</v>
      </c>
      <c r="Q584" s="40">
        <v>0</v>
      </c>
      <c r="R584" s="40">
        <v>22</v>
      </c>
      <c r="S584" s="40">
        <v>0</v>
      </c>
    </row>
    <row r="585" spans="1:19" x14ac:dyDescent="0.35">
      <c r="A585" s="38">
        <v>582</v>
      </c>
      <c r="B585" s="38" t="str">
        <f>_xlfn.XLOOKUP(A585,'Model Modeshare by TAZ'!A:A,'Model Modeshare by TAZ'!B:B)</f>
        <v>San Jose</v>
      </c>
      <c r="C585" s="38" t="str">
        <f>_xlfn.XLOOKUP(A585,'Model Modeshare by TAZ'!A:A,'Model Modeshare by TAZ'!D:D)</f>
        <v>NO</v>
      </c>
      <c r="D585" s="6">
        <v>3</v>
      </c>
      <c r="E585" s="6">
        <v>488</v>
      </c>
      <c r="F585" s="6">
        <v>1874</v>
      </c>
      <c r="G585" s="6">
        <v>1897</v>
      </c>
      <c r="H585" s="6">
        <v>841</v>
      </c>
      <c r="I585" s="6">
        <v>256</v>
      </c>
      <c r="J585" s="6">
        <v>232</v>
      </c>
      <c r="K585" s="40">
        <v>62</v>
      </c>
      <c r="L585" s="40">
        <v>1</v>
      </c>
      <c r="M585" s="40">
        <v>442</v>
      </c>
      <c r="N585" s="40">
        <v>63</v>
      </c>
      <c r="O585" s="40">
        <v>159</v>
      </c>
      <c r="P585" s="40">
        <v>121</v>
      </c>
      <c r="Q585" s="40">
        <v>3</v>
      </c>
      <c r="R585" s="40">
        <v>73</v>
      </c>
      <c r="S585" s="40">
        <v>23</v>
      </c>
    </row>
    <row r="586" spans="1:19" x14ac:dyDescent="0.35">
      <c r="A586" s="38">
        <v>583</v>
      </c>
      <c r="B586" s="38" t="str">
        <f>_xlfn.XLOOKUP(A586,'Model Modeshare by TAZ'!A:A,'Model Modeshare by TAZ'!B:B)</f>
        <v>San Jose</v>
      </c>
      <c r="C586" s="38" t="str">
        <f>_xlfn.XLOOKUP(A586,'Model Modeshare by TAZ'!A:A,'Model Modeshare by TAZ'!D:D)</f>
        <v>NO</v>
      </c>
      <c r="D586" s="6">
        <v>3</v>
      </c>
      <c r="E586" s="6">
        <v>657</v>
      </c>
      <c r="F586" s="6">
        <v>2424</v>
      </c>
      <c r="G586" s="6">
        <v>2503</v>
      </c>
      <c r="H586" s="6">
        <v>1153</v>
      </c>
      <c r="I586" s="6">
        <v>383</v>
      </c>
      <c r="J586" s="6">
        <v>274</v>
      </c>
      <c r="K586" s="40">
        <v>61</v>
      </c>
      <c r="L586" s="40">
        <v>23</v>
      </c>
      <c r="M586" s="40">
        <v>221</v>
      </c>
      <c r="N586" s="40">
        <v>54</v>
      </c>
      <c r="O586" s="40">
        <v>72</v>
      </c>
      <c r="P586" s="40">
        <v>86</v>
      </c>
      <c r="Q586" s="40">
        <v>0</v>
      </c>
      <c r="R586" s="40">
        <v>7</v>
      </c>
      <c r="S586" s="40">
        <v>2</v>
      </c>
    </row>
    <row r="587" spans="1:19" x14ac:dyDescent="0.35">
      <c r="A587" s="38">
        <v>584</v>
      </c>
      <c r="B587" s="38" t="str">
        <f>_xlfn.XLOOKUP(A587,'Model Modeshare by TAZ'!A:A,'Model Modeshare by TAZ'!B:B)</f>
        <v>San Jose</v>
      </c>
      <c r="C587" s="38" t="str">
        <f>_xlfn.XLOOKUP(A587,'Model Modeshare by TAZ'!A:A,'Model Modeshare by TAZ'!D:D)</f>
        <v>NO</v>
      </c>
      <c r="D587" s="6">
        <v>3</v>
      </c>
      <c r="E587" s="6">
        <v>588</v>
      </c>
      <c r="F587" s="6">
        <v>2168</v>
      </c>
      <c r="G587" s="6">
        <v>2186</v>
      </c>
      <c r="H587" s="6">
        <v>1034</v>
      </c>
      <c r="I587" s="6">
        <v>344</v>
      </c>
      <c r="J587" s="6">
        <v>244</v>
      </c>
      <c r="K587" s="40">
        <v>44</v>
      </c>
      <c r="L587" s="40">
        <v>9</v>
      </c>
      <c r="M587" s="40">
        <v>385</v>
      </c>
      <c r="N587" s="40">
        <v>45</v>
      </c>
      <c r="O587" s="40">
        <v>87</v>
      </c>
      <c r="P587" s="40">
        <v>141</v>
      </c>
      <c r="Q587" s="40">
        <v>0</v>
      </c>
      <c r="R587" s="40">
        <v>90</v>
      </c>
      <c r="S587" s="40">
        <v>22</v>
      </c>
    </row>
    <row r="588" spans="1:19" x14ac:dyDescent="0.35">
      <c r="A588" s="38">
        <v>585</v>
      </c>
      <c r="B588" s="38" t="str">
        <f>_xlfn.XLOOKUP(A588,'Model Modeshare by TAZ'!A:A,'Model Modeshare by TAZ'!B:B)</f>
        <v>San Jose</v>
      </c>
      <c r="C588" s="38" t="str">
        <f>_xlfn.XLOOKUP(A588,'Model Modeshare by TAZ'!A:A,'Model Modeshare by TAZ'!D:D)</f>
        <v>NO</v>
      </c>
      <c r="D588" s="6">
        <v>3</v>
      </c>
      <c r="E588" s="6">
        <v>2134</v>
      </c>
      <c r="F588" s="6">
        <v>4816</v>
      </c>
      <c r="G588" s="6">
        <v>4819</v>
      </c>
      <c r="H588" s="6">
        <v>1554</v>
      </c>
      <c r="I588" s="6">
        <v>1750</v>
      </c>
      <c r="J588" s="6">
        <v>384</v>
      </c>
      <c r="K588" s="40">
        <v>608</v>
      </c>
      <c r="L588" s="40">
        <v>1</v>
      </c>
      <c r="M588" s="40">
        <v>187</v>
      </c>
      <c r="N588" s="40">
        <v>5</v>
      </c>
      <c r="O588" s="40">
        <v>42</v>
      </c>
      <c r="P588" s="40">
        <v>138</v>
      </c>
      <c r="Q588" s="40">
        <v>2</v>
      </c>
      <c r="R588" s="40">
        <v>0</v>
      </c>
      <c r="S588" s="40">
        <v>0</v>
      </c>
    </row>
    <row r="589" spans="1:19" x14ac:dyDescent="0.35">
      <c r="A589" s="38">
        <v>586</v>
      </c>
      <c r="B589" s="38" t="str">
        <f>_xlfn.XLOOKUP(A589,'Model Modeshare by TAZ'!A:A,'Model Modeshare by TAZ'!B:B)</f>
        <v>San Jose</v>
      </c>
      <c r="C589" s="38" t="str">
        <f>_xlfn.XLOOKUP(A589,'Model Modeshare by TAZ'!A:A,'Model Modeshare by TAZ'!D:D)</f>
        <v>NO</v>
      </c>
      <c r="D589" s="6">
        <v>3</v>
      </c>
      <c r="E589" s="6">
        <v>1615</v>
      </c>
      <c r="F589" s="6">
        <v>3646</v>
      </c>
      <c r="G589" s="6">
        <v>3649</v>
      </c>
      <c r="H589" s="6">
        <v>1813</v>
      </c>
      <c r="I589" s="6">
        <v>1325</v>
      </c>
      <c r="J589" s="6">
        <v>290</v>
      </c>
      <c r="K589" s="40">
        <v>243</v>
      </c>
      <c r="L589" s="40">
        <v>1</v>
      </c>
      <c r="M589" s="40">
        <v>405</v>
      </c>
      <c r="N589" s="40">
        <v>44</v>
      </c>
      <c r="O589" s="40">
        <v>337</v>
      </c>
      <c r="P589" s="40">
        <v>7</v>
      </c>
      <c r="Q589" s="40">
        <v>17</v>
      </c>
      <c r="R589" s="40">
        <v>0</v>
      </c>
      <c r="S589" s="40">
        <v>0</v>
      </c>
    </row>
    <row r="590" spans="1:19" x14ac:dyDescent="0.35">
      <c r="A590" s="38">
        <v>587</v>
      </c>
      <c r="B590" s="38" t="str">
        <f>_xlfn.XLOOKUP(A590,'Model Modeshare by TAZ'!A:A,'Model Modeshare by TAZ'!B:B)</f>
        <v>San Jose</v>
      </c>
      <c r="C590" s="38" t="str">
        <f>_xlfn.XLOOKUP(A590,'Model Modeshare by TAZ'!A:A,'Model Modeshare by TAZ'!D:D)</f>
        <v>NO</v>
      </c>
      <c r="D590" s="6">
        <v>3</v>
      </c>
      <c r="E590" s="6">
        <v>695</v>
      </c>
      <c r="F590" s="6">
        <v>2466</v>
      </c>
      <c r="G590" s="6">
        <v>2471</v>
      </c>
      <c r="H590" s="6">
        <v>1258</v>
      </c>
      <c r="I590" s="6">
        <v>657</v>
      </c>
      <c r="J590" s="6">
        <v>38</v>
      </c>
      <c r="K590" s="40">
        <v>92</v>
      </c>
      <c r="L590" s="40">
        <v>1</v>
      </c>
      <c r="M590" s="40">
        <v>241</v>
      </c>
      <c r="N590" s="40">
        <v>0</v>
      </c>
      <c r="O590" s="40">
        <v>201</v>
      </c>
      <c r="P590" s="40">
        <v>36</v>
      </c>
      <c r="Q590" s="40">
        <v>2</v>
      </c>
      <c r="R590" s="40">
        <v>2</v>
      </c>
      <c r="S590" s="40">
        <v>0</v>
      </c>
    </row>
    <row r="591" spans="1:19" x14ac:dyDescent="0.35">
      <c r="A591" s="38">
        <v>588</v>
      </c>
      <c r="B591" s="38" t="str">
        <f>_xlfn.XLOOKUP(A591,'Model Modeshare by TAZ'!A:A,'Model Modeshare by TAZ'!B:B)</f>
        <v>San Jose</v>
      </c>
      <c r="C591" s="38" t="str">
        <f>_xlfn.XLOOKUP(A591,'Model Modeshare by TAZ'!A:A,'Model Modeshare by TAZ'!D:D)</f>
        <v>NO</v>
      </c>
      <c r="D591" s="6">
        <v>3</v>
      </c>
      <c r="E591" s="6">
        <v>350</v>
      </c>
      <c r="F591" s="6">
        <v>1243</v>
      </c>
      <c r="G591" s="6">
        <v>1252</v>
      </c>
      <c r="H591" s="6">
        <v>634</v>
      </c>
      <c r="I591" s="6">
        <v>330</v>
      </c>
      <c r="J591" s="6">
        <v>20</v>
      </c>
      <c r="K591" s="40">
        <v>66</v>
      </c>
      <c r="L591" s="40">
        <v>1</v>
      </c>
      <c r="M591" s="40">
        <v>66</v>
      </c>
      <c r="N591" s="40">
        <v>0</v>
      </c>
      <c r="O591" s="40">
        <v>25</v>
      </c>
      <c r="P591" s="40">
        <v>40</v>
      </c>
      <c r="Q591" s="40">
        <v>1</v>
      </c>
      <c r="R591" s="40">
        <v>0</v>
      </c>
      <c r="S591" s="40">
        <v>0</v>
      </c>
    </row>
    <row r="592" spans="1:19" x14ac:dyDescent="0.35">
      <c r="A592" s="38">
        <v>589</v>
      </c>
      <c r="B592" s="38" t="str">
        <f>_xlfn.XLOOKUP(A592,'Model Modeshare by TAZ'!A:A,'Model Modeshare by TAZ'!B:B)</f>
        <v>San Jose</v>
      </c>
      <c r="C592" s="38" t="str">
        <f>_xlfn.XLOOKUP(A592,'Model Modeshare by TAZ'!A:A,'Model Modeshare by TAZ'!D:D)</f>
        <v>NO</v>
      </c>
      <c r="D592" s="6">
        <v>3</v>
      </c>
      <c r="E592" s="6">
        <v>410</v>
      </c>
      <c r="F592" s="6">
        <v>1455</v>
      </c>
      <c r="G592" s="6">
        <v>1456</v>
      </c>
      <c r="H592" s="6">
        <v>741</v>
      </c>
      <c r="I592" s="6">
        <v>387</v>
      </c>
      <c r="J592" s="6">
        <v>23</v>
      </c>
      <c r="K592" s="40">
        <v>123</v>
      </c>
      <c r="L592" s="40">
        <v>1</v>
      </c>
      <c r="M592" s="40">
        <v>299</v>
      </c>
      <c r="N592" s="40">
        <v>269</v>
      </c>
      <c r="O592" s="40">
        <v>3</v>
      </c>
      <c r="P592" s="40">
        <v>25</v>
      </c>
      <c r="Q592" s="40">
        <v>0</v>
      </c>
      <c r="R592" s="40">
        <v>2</v>
      </c>
      <c r="S592" s="40">
        <v>0</v>
      </c>
    </row>
    <row r="593" spans="1:19" x14ac:dyDescent="0.35">
      <c r="A593" s="38">
        <v>590</v>
      </c>
      <c r="B593" s="38" t="str">
        <f>_xlfn.XLOOKUP(A593,'Model Modeshare by TAZ'!A:A,'Model Modeshare by TAZ'!B:B)</f>
        <v>San Jose</v>
      </c>
      <c r="C593" s="38" t="str">
        <f>_xlfn.XLOOKUP(A593,'Model Modeshare by TAZ'!A:A,'Model Modeshare by TAZ'!D:D)</f>
        <v>NO</v>
      </c>
      <c r="D593" s="6">
        <v>3</v>
      </c>
      <c r="E593" s="6">
        <v>359</v>
      </c>
      <c r="F593" s="6">
        <v>1275</v>
      </c>
      <c r="G593" s="6">
        <v>1278</v>
      </c>
      <c r="H593" s="6">
        <v>650</v>
      </c>
      <c r="I593" s="6">
        <v>339</v>
      </c>
      <c r="J593" s="6">
        <v>20</v>
      </c>
      <c r="K593" s="40">
        <v>176</v>
      </c>
      <c r="L593" s="40">
        <v>1</v>
      </c>
      <c r="M593" s="40">
        <v>193</v>
      </c>
      <c r="N593" s="40">
        <v>0</v>
      </c>
      <c r="O593" s="40">
        <v>140</v>
      </c>
      <c r="P593" s="40">
        <v>51</v>
      </c>
      <c r="Q593" s="40">
        <v>1</v>
      </c>
      <c r="R593" s="40">
        <v>1</v>
      </c>
      <c r="S593" s="40">
        <v>0</v>
      </c>
    </row>
    <row r="594" spans="1:19" x14ac:dyDescent="0.35">
      <c r="A594" s="38">
        <v>591</v>
      </c>
      <c r="B594" s="38" t="str">
        <f>_xlfn.XLOOKUP(A594,'Model Modeshare by TAZ'!A:A,'Model Modeshare by TAZ'!B:B)</f>
        <v>San Jose</v>
      </c>
      <c r="C594" s="38" t="str">
        <f>_xlfn.XLOOKUP(A594,'Model Modeshare by TAZ'!A:A,'Model Modeshare by TAZ'!D:D)</f>
        <v>NO</v>
      </c>
      <c r="D594" s="6">
        <v>3</v>
      </c>
      <c r="E594" s="6">
        <v>795</v>
      </c>
      <c r="F594" s="6">
        <v>2820</v>
      </c>
      <c r="G594" s="6">
        <v>2823</v>
      </c>
      <c r="H594" s="6">
        <v>1436</v>
      </c>
      <c r="I594" s="6">
        <v>750</v>
      </c>
      <c r="J594" s="6">
        <v>45</v>
      </c>
      <c r="K594" s="40">
        <v>53</v>
      </c>
      <c r="L594" s="40">
        <v>1</v>
      </c>
      <c r="M594" s="40">
        <v>135</v>
      </c>
      <c r="N594" s="40">
        <v>0</v>
      </c>
      <c r="O594" s="40">
        <v>31</v>
      </c>
      <c r="P594" s="40">
        <v>103</v>
      </c>
      <c r="Q594" s="40">
        <v>1</v>
      </c>
      <c r="R594" s="40">
        <v>0</v>
      </c>
      <c r="S594" s="40">
        <v>0</v>
      </c>
    </row>
    <row r="595" spans="1:19" x14ac:dyDescent="0.35">
      <c r="A595" s="38">
        <v>592</v>
      </c>
      <c r="B595" s="38" t="str">
        <f>_xlfn.XLOOKUP(A595,'Model Modeshare by TAZ'!A:A,'Model Modeshare by TAZ'!B:B)</f>
        <v>Unincorporated</v>
      </c>
      <c r="C595" s="38" t="str">
        <f>_xlfn.XLOOKUP(A595,'Model Modeshare by TAZ'!A:A,'Model Modeshare by TAZ'!D:D)</f>
        <v>NO</v>
      </c>
      <c r="D595" s="6">
        <v>3</v>
      </c>
      <c r="E595" s="6">
        <v>8</v>
      </c>
      <c r="F595" s="6">
        <v>28</v>
      </c>
      <c r="G595" s="6">
        <v>28</v>
      </c>
      <c r="H595" s="6">
        <v>12</v>
      </c>
      <c r="I595" s="6">
        <v>8</v>
      </c>
      <c r="J595" s="6">
        <v>0</v>
      </c>
      <c r="K595" s="40">
        <v>2</v>
      </c>
      <c r="L595" s="40">
        <v>0</v>
      </c>
      <c r="M595" s="40">
        <v>0</v>
      </c>
      <c r="N595" s="40">
        <v>0</v>
      </c>
      <c r="O595" s="40">
        <v>0</v>
      </c>
      <c r="P595" s="40">
        <v>0</v>
      </c>
      <c r="Q595" s="40">
        <v>0</v>
      </c>
      <c r="R595" s="40">
        <v>0</v>
      </c>
      <c r="S595" s="40">
        <v>0</v>
      </c>
    </row>
    <row r="596" spans="1:19" x14ac:dyDescent="0.35">
      <c r="A596" s="38">
        <v>593</v>
      </c>
      <c r="B596" s="38" t="str">
        <f>_xlfn.XLOOKUP(A596,'Model Modeshare by TAZ'!A:A,'Model Modeshare by TAZ'!B:B)</f>
        <v>San Jose</v>
      </c>
      <c r="C596" s="38" t="str">
        <f>_xlfn.XLOOKUP(A596,'Model Modeshare by TAZ'!A:A,'Model Modeshare by TAZ'!D:D)</f>
        <v>NO</v>
      </c>
      <c r="D596" s="6">
        <v>3</v>
      </c>
      <c r="E596" s="6">
        <v>457</v>
      </c>
      <c r="F596" s="6">
        <v>1811</v>
      </c>
      <c r="G596" s="6">
        <v>1829</v>
      </c>
      <c r="H596" s="6">
        <v>889</v>
      </c>
      <c r="I596" s="6">
        <v>454</v>
      </c>
      <c r="J596" s="6">
        <v>3</v>
      </c>
      <c r="K596" s="40">
        <v>89</v>
      </c>
      <c r="L596" s="40">
        <v>3</v>
      </c>
      <c r="M596" s="40">
        <v>13</v>
      </c>
      <c r="N596" s="40">
        <v>4</v>
      </c>
      <c r="O596" s="40">
        <v>0</v>
      </c>
      <c r="P596" s="40">
        <v>9</v>
      </c>
      <c r="Q596" s="40">
        <v>0</v>
      </c>
      <c r="R596" s="40">
        <v>0</v>
      </c>
      <c r="S596" s="40">
        <v>0</v>
      </c>
    </row>
    <row r="597" spans="1:19" x14ac:dyDescent="0.35">
      <c r="A597" s="38">
        <v>594</v>
      </c>
      <c r="B597" s="38" t="str">
        <f>_xlfn.XLOOKUP(A597,'Model Modeshare by TAZ'!A:A,'Model Modeshare by TAZ'!B:B)</f>
        <v>San Jose</v>
      </c>
      <c r="C597" s="38" t="str">
        <f>_xlfn.XLOOKUP(A597,'Model Modeshare by TAZ'!A:A,'Model Modeshare by TAZ'!D:D)</f>
        <v>NO</v>
      </c>
      <c r="D597" s="6">
        <v>3</v>
      </c>
      <c r="E597" s="6">
        <v>410</v>
      </c>
      <c r="F597" s="6">
        <v>1628</v>
      </c>
      <c r="G597" s="6">
        <v>1647</v>
      </c>
      <c r="H597" s="6">
        <v>799</v>
      </c>
      <c r="I597" s="6">
        <v>407</v>
      </c>
      <c r="J597" s="6">
        <v>3</v>
      </c>
      <c r="K597" s="40">
        <v>82</v>
      </c>
      <c r="L597" s="40">
        <v>1</v>
      </c>
      <c r="M597" s="40">
        <v>21</v>
      </c>
      <c r="N597" s="40">
        <v>21</v>
      </c>
      <c r="O597" s="40">
        <v>0</v>
      </c>
      <c r="P597" s="40">
        <v>0</v>
      </c>
      <c r="Q597" s="40">
        <v>0</v>
      </c>
      <c r="R597" s="40">
        <v>0</v>
      </c>
      <c r="S597" s="40">
        <v>0</v>
      </c>
    </row>
    <row r="598" spans="1:19" x14ac:dyDescent="0.35">
      <c r="A598" s="38">
        <v>595</v>
      </c>
      <c r="B598" s="38" t="str">
        <f>_xlfn.XLOOKUP(A598,'Model Modeshare by TAZ'!A:A,'Model Modeshare by TAZ'!B:B)</f>
        <v>San Jose</v>
      </c>
      <c r="C598" s="38" t="str">
        <f>_xlfn.XLOOKUP(A598,'Model Modeshare by TAZ'!A:A,'Model Modeshare by TAZ'!D:D)</f>
        <v>NO</v>
      </c>
      <c r="D598" s="6">
        <v>3</v>
      </c>
      <c r="E598" s="6">
        <v>522</v>
      </c>
      <c r="F598" s="6">
        <v>2529</v>
      </c>
      <c r="G598" s="6">
        <v>2533</v>
      </c>
      <c r="H598" s="6">
        <v>1077</v>
      </c>
      <c r="I598" s="6">
        <v>511</v>
      </c>
      <c r="J598" s="6">
        <v>11</v>
      </c>
      <c r="K598" s="40">
        <v>98</v>
      </c>
      <c r="L598" s="40">
        <v>42</v>
      </c>
      <c r="M598" s="40">
        <v>508</v>
      </c>
      <c r="N598" s="40">
        <v>29</v>
      </c>
      <c r="O598" s="40">
        <v>168</v>
      </c>
      <c r="P598" s="40">
        <v>159</v>
      </c>
      <c r="Q598" s="40">
        <v>0</v>
      </c>
      <c r="R598" s="40">
        <v>151</v>
      </c>
      <c r="S598" s="40">
        <v>1</v>
      </c>
    </row>
    <row r="599" spans="1:19" x14ac:dyDescent="0.35">
      <c r="A599" s="38">
        <v>596</v>
      </c>
      <c r="B599" s="38" t="str">
        <f>_xlfn.XLOOKUP(A599,'Model Modeshare by TAZ'!A:A,'Model Modeshare by TAZ'!B:B)</f>
        <v>San Jose</v>
      </c>
      <c r="C599" s="38" t="str">
        <f>_xlfn.XLOOKUP(A599,'Model Modeshare by TAZ'!A:A,'Model Modeshare by TAZ'!D:D)</f>
        <v>NO</v>
      </c>
      <c r="D599" s="6">
        <v>3</v>
      </c>
      <c r="E599" s="6">
        <v>441</v>
      </c>
      <c r="F599" s="6">
        <v>2130</v>
      </c>
      <c r="G599" s="6">
        <v>2133</v>
      </c>
      <c r="H599" s="6">
        <v>909</v>
      </c>
      <c r="I599" s="6">
        <v>431</v>
      </c>
      <c r="J599" s="6">
        <v>10</v>
      </c>
      <c r="K599" s="40">
        <v>98</v>
      </c>
      <c r="L599" s="40">
        <v>12</v>
      </c>
      <c r="M599" s="40">
        <v>84</v>
      </c>
      <c r="N599" s="40">
        <v>9</v>
      </c>
      <c r="O599" s="40">
        <v>2</v>
      </c>
      <c r="P599" s="40">
        <v>30</v>
      </c>
      <c r="Q599" s="40">
        <v>0</v>
      </c>
      <c r="R599" s="40">
        <v>43</v>
      </c>
      <c r="S599" s="40">
        <v>0</v>
      </c>
    </row>
    <row r="600" spans="1:19" x14ac:dyDescent="0.35">
      <c r="A600" s="38">
        <v>597</v>
      </c>
      <c r="B600" s="38" t="str">
        <f>_xlfn.XLOOKUP(A600,'Model Modeshare by TAZ'!A:A,'Model Modeshare by TAZ'!B:B)</f>
        <v>San Jose</v>
      </c>
      <c r="C600" s="38" t="str">
        <f>_xlfn.XLOOKUP(A600,'Model Modeshare by TAZ'!A:A,'Model Modeshare by TAZ'!D:D)</f>
        <v>NO</v>
      </c>
      <c r="D600" s="6">
        <v>3</v>
      </c>
      <c r="E600" s="6">
        <v>207</v>
      </c>
      <c r="F600" s="6">
        <v>821</v>
      </c>
      <c r="G600" s="6">
        <v>838</v>
      </c>
      <c r="H600" s="6">
        <v>403</v>
      </c>
      <c r="I600" s="6">
        <v>205</v>
      </c>
      <c r="J600" s="6">
        <v>2</v>
      </c>
      <c r="K600" s="40">
        <v>44</v>
      </c>
      <c r="L600" s="40">
        <v>1</v>
      </c>
      <c r="M600" s="40">
        <v>13</v>
      </c>
      <c r="N600" s="40">
        <v>7</v>
      </c>
      <c r="O600" s="40">
        <v>4</v>
      </c>
      <c r="P600" s="40">
        <v>2</v>
      </c>
      <c r="Q600" s="40">
        <v>0</v>
      </c>
      <c r="R600" s="40">
        <v>0</v>
      </c>
      <c r="S600" s="40">
        <v>0</v>
      </c>
    </row>
    <row r="601" spans="1:19" x14ac:dyDescent="0.35">
      <c r="A601" s="38">
        <v>598</v>
      </c>
      <c r="B601" s="38" t="str">
        <f>_xlfn.XLOOKUP(A601,'Model Modeshare by TAZ'!A:A,'Model Modeshare by TAZ'!B:B)</f>
        <v>San Jose</v>
      </c>
      <c r="C601" s="38" t="str">
        <f>_xlfn.XLOOKUP(A601,'Model Modeshare by TAZ'!A:A,'Model Modeshare by TAZ'!D:D)</f>
        <v>NO</v>
      </c>
      <c r="D601" s="6">
        <v>3</v>
      </c>
      <c r="E601" s="6">
        <v>974</v>
      </c>
      <c r="F601" s="6">
        <v>4362</v>
      </c>
      <c r="G601" s="6">
        <v>4367</v>
      </c>
      <c r="H601" s="6">
        <v>1719</v>
      </c>
      <c r="I601" s="6">
        <v>767</v>
      </c>
      <c r="J601" s="6">
        <v>207</v>
      </c>
      <c r="K601" s="40">
        <v>113</v>
      </c>
      <c r="L601" s="40">
        <v>10</v>
      </c>
      <c r="M601" s="40">
        <v>133</v>
      </c>
      <c r="N601" s="40">
        <v>43</v>
      </c>
      <c r="O601" s="40">
        <v>46</v>
      </c>
      <c r="P601" s="40">
        <v>43</v>
      </c>
      <c r="Q601" s="40">
        <v>0</v>
      </c>
      <c r="R601" s="40">
        <v>0</v>
      </c>
      <c r="S601" s="40">
        <v>1</v>
      </c>
    </row>
    <row r="602" spans="1:19" x14ac:dyDescent="0.35">
      <c r="A602" s="38">
        <v>599</v>
      </c>
      <c r="B602" s="38" t="str">
        <f>_xlfn.XLOOKUP(A602,'Model Modeshare by TAZ'!A:A,'Model Modeshare by TAZ'!B:B)</f>
        <v>San Jose</v>
      </c>
      <c r="C602" s="38" t="str">
        <f>_xlfn.XLOOKUP(A602,'Model Modeshare by TAZ'!A:A,'Model Modeshare by TAZ'!D:D)</f>
        <v>NO</v>
      </c>
      <c r="D602" s="6">
        <v>3</v>
      </c>
      <c r="E602" s="6">
        <v>954</v>
      </c>
      <c r="F602" s="6">
        <v>3890</v>
      </c>
      <c r="G602" s="6">
        <v>3900</v>
      </c>
      <c r="H602" s="6">
        <v>1598</v>
      </c>
      <c r="I602" s="6">
        <v>513</v>
      </c>
      <c r="J602" s="6">
        <v>441</v>
      </c>
      <c r="K602" s="40">
        <v>104</v>
      </c>
      <c r="L602" s="40">
        <v>19</v>
      </c>
      <c r="M602" s="40">
        <v>438</v>
      </c>
      <c r="N602" s="40">
        <v>143</v>
      </c>
      <c r="O602" s="40">
        <v>148</v>
      </c>
      <c r="P602" s="40">
        <v>147</v>
      </c>
      <c r="Q602" s="40">
        <v>0</v>
      </c>
      <c r="R602" s="40">
        <v>0</v>
      </c>
      <c r="S602" s="40">
        <v>0</v>
      </c>
    </row>
    <row r="603" spans="1:19" x14ac:dyDescent="0.35">
      <c r="A603" s="38">
        <v>600</v>
      </c>
      <c r="B603" s="38" t="str">
        <f>_xlfn.XLOOKUP(A603,'Model Modeshare by TAZ'!A:A,'Model Modeshare by TAZ'!B:B)</f>
        <v>Unincorporated</v>
      </c>
      <c r="C603" s="38" t="str">
        <f>_xlfn.XLOOKUP(A603,'Model Modeshare by TAZ'!A:A,'Model Modeshare by TAZ'!D:D)</f>
        <v>NO</v>
      </c>
      <c r="D603" s="6">
        <v>3</v>
      </c>
      <c r="E603" s="6">
        <v>173</v>
      </c>
      <c r="F603" s="6">
        <v>476</v>
      </c>
      <c r="G603" s="6">
        <v>498</v>
      </c>
      <c r="H603" s="6">
        <v>293</v>
      </c>
      <c r="I603" s="6">
        <v>165</v>
      </c>
      <c r="J603" s="6">
        <v>8</v>
      </c>
      <c r="K603" s="40">
        <v>230</v>
      </c>
      <c r="L603" s="40">
        <v>270</v>
      </c>
      <c r="M603" s="40">
        <v>9</v>
      </c>
      <c r="N603" s="40">
        <v>0</v>
      </c>
      <c r="O603" s="40">
        <v>3</v>
      </c>
      <c r="P603" s="40">
        <v>1</v>
      </c>
      <c r="Q603" s="40">
        <v>0</v>
      </c>
      <c r="R603" s="40">
        <v>5</v>
      </c>
      <c r="S603" s="40">
        <v>0</v>
      </c>
    </row>
    <row r="604" spans="1:19" x14ac:dyDescent="0.35">
      <c r="A604" s="38">
        <v>601</v>
      </c>
      <c r="B604" s="38" t="str">
        <f>_xlfn.XLOOKUP(A604,'Model Modeshare by TAZ'!A:A,'Model Modeshare by TAZ'!B:B)</f>
        <v>San Jose</v>
      </c>
      <c r="C604" s="38" t="str">
        <f>_xlfn.XLOOKUP(A604,'Model Modeshare by TAZ'!A:A,'Model Modeshare by TAZ'!D:D)</f>
        <v>NO</v>
      </c>
      <c r="D604" s="6">
        <v>3</v>
      </c>
      <c r="E604" s="6">
        <v>902</v>
      </c>
      <c r="F604" s="6">
        <v>2592</v>
      </c>
      <c r="G604" s="6">
        <v>2603</v>
      </c>
      <c r="H604" s="6">
        <v>1384</v>
      </c>
      <c r="I604" s="6">
        <v>762</v>
      </c>
      <c r="J604" s="6">
        <v>140</v>
      </c>
      <c r="K604" s="40">
        <v>150</v>
      </c>
      <c r="L604" s="40">
        <v>61</v>
      </c>
      <c r="M604" s="40">
        <v>1110</v>
      </c>
      <c r="N604" s="40">
        <v>247</v>
      </c>
      <c r="O604" s="40">
        <v>488</v>
      </c>
      <c r="P604" s="40">
        <v>293</v>
      </c>
      <c r="Q604" s="40">
        <v>27</v>
      </c>
      <c r="R604" s="40">
        <v>37</v>
      </c>
      <c r="S604" s="40">
        <v>18</v>
      </c>
    </row>
    <row r="605" spans="1:19" x14ac:dyDescent="0.35">
      <c r="A605" s="38">
        <v>602</v>
      </c>
      <c r="B605" s="38" t="str">
        <f>_xlfn.XLOOKUP(A605,'Model Modeshare by TAZ'!A:A,'Model Modeshare by TAZ'!B:B)</f>
        <v>San Jose</v>
      </c>
      <c r="C605" s="38" t="str">
        <f>_xlfn.XLOOKUP(A605,'Model Modeshare by TAZ'!A:A,'Model Modeshare by TAZ'!D:D)</f>
        <v>NO</v>
      </c>
      <c r="D605" s="6">
        <v>3</v>
      </c>
      <c r="E605" s="6">
        <v>562</v>
      </c>
      <c r="F605" s="6">
        <v>1611</v>
      </c>
      <c r="G605" s="6">
        <v>1612</v>
      </c>
      <c r="H605" s="6">
        <v>859</v>
      </c>
      <c r="I605" s="6">
        <v>470</v>
      </c>
      <c r="J605" s="6">
        <v>92</v>
      </c>
      <c r="K605" s="40">
        <v>108</v>
      </c>
      <c r="L605" s="40">
        <v>29</v>
      </c>
      <c r="M605" s="40">
        <v>173</v>
      </c>
      <c r="N605" s="40">
        <v>0</v>
      </c>
      <c r="O605" s="40">
        <v>0</v>
      </c>
      <c r="P605" s="40">
        <v>171</v>
      </c>
      <c r="Q605" s="40">
        <v>2</v>
      </c>
      <c r="R605" s="40">
        <v>0</v>
      </c>
      <c r="S605" s="40">
        <v>0</v>
      </c>
    </row>
    <row r="606" spans="1:19" x14ac:dyDescent="0.35">
      <c r="A606" s="38">
        <v>603</v>
      </c>
      <c r="B606" s="38" t="str">
        <f>_xlfn.XLOOKUP(A606,'Model Modeshare by TAZ'!A:A,'Model Modeshare by TAZ'!B:B)</f>
        <v>San Jose</v>
      </c>
      <c r="C606" s="38" t="str">
        <f>_xlfn.XLOOKUP(A606,'Model Modeshare by TAZ'!A:A,'Model Modeshare by TAZ'!D:D)</f>
        <v>NO</v>
      </c>
      <c r="D606" s="6">
        <v>3</v>
      </c>
      <c r="E606" s="6">
        <v>1088</v>
      </c>
      <c r="F606" s="6">
        <v>3124</v>
      </c>
      <c r="G606" s="6">
        <v>3127</v>
      </c>
      <c r="H606" s="6">
        <v>1668</v>
      </c>
      <c r="I606" s="6">
        <v>912</v>
      </c>
      <c r="J606" s="6">
        <v>176</v>
      </c>
      <c r="K606" s="40">
        <v>246</v>
      </c>
      <c r="L606" s="40">
        <v>1</v>
      </c>
      <c r="M606" s="40">
        <v>138</v>
      </c>
      <c r="N606" s="40">
        <v>0</v>
      </c>
      <c r="O606" s="40">
        <v>0</v>
      </c>
      <c r="P606" s="40">
        <v>0</v>
      </c>
      <c r="Q606" s="40">
        <v>138</v>
      </c>
      <c r="R606" s="40">
        <v>0</v>
      </c>
      <c r="S606" s="40">
        <v>0</v>
      </c>
    </row>
    <row r="607" spans="1:19" x14ac:dyDescent="0.35">
      <c r="A607" s="38">
        <v>604</v>
      </c>
      <c r="B607" s="38" t="str">
        <f>_xlfn.XLOOKUP(A607,'Model Modeshare by TAZ'!A:A,'Model Modeshare by TAZ'!B:B)</f>
        <v>San Jose</v>
      </c>
      <c r="C607" s="38" t="str">
        <f>_xlfn.XLOOKUP(A607,'Model Modeshare by TAZ'!A:A,'Model Modeshare by TAZ'!D:D)</f>
        <v>NO</v>
      </c>
      <c r="D607" s="6">
        <v>3</v>
      </c>
      <c r="E607" s="6">
        <v>565</v>
      </c>
      <c r="F607" s="6">
        <v>1751</v>
      </c>
      <c r="G607" s="6">
        <v>1751</v>
      </c>
      <c r="H607" s="6">
        <v>907</v>
      </c>
      <c r="I607" s="6">
        <v>565</v>
      </c>
      <c r="J607" s="6">
        <v>0</v>
      </c>
      <c r="K607" s="40">
        <v>122</v>
      </c>
      <c r="L607" s="40">
        <v>25</v>
      </c>
      <c r="M607" s="40">
        <v>143</v>
      </c>
      <c r="N607" s="40">
        <v>34</v>
      </c>
      <c r="O607" s="40">
        <v>82</v>
      </c>
      <c r="P607" s="40">
        <v>26</v>
      </c>
      <c r="Q607" s="40">
        <v>0</v>
      </c>
      <c r="R607" s="40">
        <v>0</v>
      </c>
      <c r="S607" s="40">
        <v>1</v>
      </c>
    </row>
    <row r="608" spans="1:19" x14ac:dyDescent="0.35">
      <c r="A608" s="38">
        <v>605</v>
      </c>
      <c r="B608" s="38" t="str">
        <f>_xlfn.XLOOKUP(A608,'Model Modeshare by TAZ'!A:A,'Model Modeshare by TAZ'!B:B)</f>
        <v>San Jose</v>
      </c>
      <c r="C608" s="38" t="str">
        <f>_xlfn.XLOOKUP(A608,'Model Modeshare by TAZ'!A:A,'Model Modeshare by TAZ'!D:D)</f>
        <v>NO</v>
      </c>
      <c r="D608" s="6">
        <v>3</v>
      </c>
      <c r="E608" s="6">
        <v>618</v>
      </c>
      <c r="F608" s="6">
        <v>1915</v>
      </c>
      <c r="G608" s="6">
        <v>1915</v>
      </c>
      <c r="H608" s="6">
        <v>990</v>
      </c>
      <c r="I608" s="6">
        <v>618</v>
      </c>
      <c r="J608" s="6">
        <v>0</v>
      </c>
      <c r="K608" s="40">
        <v>124</v>
      </c>
      <c r="L608" s="40">
        <v>37</v>
      </c>
      <c r="M608" s="40">
        <v>199</v>
      </c>
      <c r="N608" s="40">
        <v>16</v>
      </c>
      <c r="O608" s="40">
        <v>114</v>
      </c>
      <c r="P608" s="40">
        <v>68</v>
      </c>
      <c r="Q608" s="40">
        <v>0</v>
      </c>
      <c r="R608" s="40">
        <v>0</v>
      </c>
      <c r="S608" s="40">
        <v>1</v>
      </c>
    </row>
    <row r="609" spans="1:19" x14ac:dyDescent="0.35">
      <c r="A609" s="38">
        <v>606</v>
      </c>
      <c r="B609" s="38" t="str">
        <f>_xlfn.XLOOKUP(A609,'Model Modeshare by TAZ'!A:A,'Model Modeshare by TAZ'!B:B)</f>
        <v>San Jose</v>
      </c>
      <c r="C609" s="38" t="str">
        <f>_xlfn.XLOOKUP(A609,'Model Modeshare by TAZ'!A:A,'Model Modeshare by TAZ'!D:D)</f>
        <v>NO</v>
      </c>
      <c r="D609" s="6">
        <v>3</v>
      </c>
      <c r="E609" s="6">
        <v>1006</v>
      </c>
      <c r="F609" s="6">
        <v>3025</v>
      </c>
      <c r="G609" s="6">
        <v>3025</v>
      </c>
      <c r="H609" s="6">
        <v>1504</v>
      </c>
      <c r="I609" s="6">
        <v>1002</v>
      </c>
      <c r="J609" s="6">
        <v>4</v>
      </c>
      <c r="K609" s="40">
        <v>171</v>
      </c>
      <c r="L609" s="40">
        <v>55</v>
      </c>
      <c r="M609" s="40">
        <v>732</v>
      </c>
      <c r="N609" s="40">
        <v>139</v>
      </c>
      <c r="O609" s="40">
        <v>503</v>
      </c>
      <c r="P609" s="40">
        <v>89</v>
      </c>
      <c r="Q609" s="40">
        <v>0</v>
      </c>
      <c r="R609" s="40">
        <v>0</v>
      </c>
      <c r="S609" s="40">
        <v>1</v>
      </c>
    </row>
    <row r="610" spans="1:19" x14ac:dyDescent="0.35">
      <c r="A610" s="38">
        <v>607</v>
      </c>
      <c r="B610" s="38" t="str">
        <f>_xlfn.XLOOKUP(A610,'Model Modeshare by TAZ'!A:A,'Model Modeshare by TAZ'!B:B)</f>
        <v>San Jose</v>
      </c>
      <c r="C610" s="38" t="str">
        <f>_xlfn.XLOOKUP(A610,'Model Modeshare by TAZ'!A:A,'Model Modeshare by TAZ'!D:D)</f>
        <v>NO</v>
      </c>
      <c r="D610" s="6">
        <v>3</v>
      </c>
      <c r="E610" s="6">
        <v>576</v>
      </c>
      <c r="F610" s="6">
        <v>1729</v>
      </c>
      <c r="G610" s="6">
        <v>1729</v>
      </c>
      <c r="H610" s="6">
        <v>861</v>
      </c>
      <c r="I610" s="6">
        <v>574</v>
      </c>
      <c r="J610" s="6">
        <v>2</v>
      </c>
      <c r="K610" s="40">
        <v>135</v>
      </c>
      <c r="L610" s="40">
        <v>1</v>
      </c>
      <c r="M610" s="40">
        <v>64</v>
      </c>
      <c r="N610" s="40">
        <v>0</v>
      </c>
      <c r="O610" s="40">
        <v>0</v>
      </c>
      <c r="P610" s="40">
        <v>61</v>
      </c>
      <c r="Q610" s="40">
        <v>0</v>
      </c>
      <c r="R610" s="40">
        <v>0</v>
      </c>
      <c r="S610" s="40">
        <v>3</v>
      </c>
    </row>
    <row r="611" spans="1:19" x14ac:dyDescent="0.35">
      <c r="A611" s="38">
        <v>608</v>
      </c>
      <c r="B611" s="38" t="str">
        <f>_xlfn.XLOOKUP(A611,'Model Modeshare by TAZ'!A:A,'Model Modeshare by TAZ'!B:B)</f>
        <v>San Jose</v>
      </c>
      <c r="C611" s="38" t="str">
        <f>_xlfn.XLOOKUP(A611,'Model Modeshare by TAZ'!A:A,'Model Modeshare by TAZ'!D:D)</f>
        <v>NO</v>
      </c>
      <c r="D611" s="6">
        <v>3</v>
      </c>
      <c r="E611" s="6">
        <v>813</v>
      </c>
      <c r="F611" s="6">
        <v>2559</v>
      </c>
      <c r="G611" s="6">
        <v>2563</v>
      </c>
      <c r="H611" s="6">
        <v>1252</v>
      </c>
      <c r="I611" s="6">
        <v>808</v>
      </c>
      <c r="J611" s="6">
        <v>5</v>
      </c>
      <c r="K611" s="40">
        <v>183</v>
      </c>
      <c r="L611" s="40">
        <v>2</v>
      </c>
      <c r="M611" s="40">
        <v>82</v>
      </c>
      <c r="N611" s="40">
        <v>22</v>
      </c>
      <c r="O611" s="40">
        <v>12</v>
      </c>
      <c r="P611" s="40">
        <v>48</v>
      </c>
      <c r="Q611" s="40">
        <v>0</v>
      </c>
      <c r="R611" s="40">
        <v>0</v>
      </c>
      <c r="S611" s="40">
        <v>0</v>
      </c>
    </row>
    <row r="612" spans="1:19" x14ac:dyDescent="0.35">
      <c r="A612" s="38">
        <v>609</v>
      </c>
      <c r="B612" s="38" t="str">
        <f>_xlfn.XLOOKUP(A612,'Model Modeshare by TAZ'!A:A,'Model Modeshare by TAZ'!B:B)</f>
        <v>San Jose</v>
      </c>
      <c r="C612" s="38" t="str">
        <f>_xlfn.XLOOKUP(A612,'Model Modeshare by TAZ'!A:A,'Model Modeshare by TAZ'!D:D)</f>
        <v>NO</v>
      </c>
      <c r="D612" s="6">
        <v>3</v>
      </c>
      <c r="E612" s="6">
        <v>576</v>
      </c>
      <c r="F612" s="6">
        <v>1817</v>
      </c>
      <c r="G612" s="6">
        <v>1818</v>
      </c>
      <c r="H612" s="6">
        <v>888</v>
      </c>
      <c r="I612" s="6">
        <v>573</v>
      </c>
      <c r="J612" s="6">
        <v>3</v>
      </c>
      <c r="K612" s="40">
        <v>139</v>
      </c>
      <c r="L612" s="40">
        <v>3</v>
      </c>
      <c r="M612" s="40">
        <v>126</v>
      </c>
      <c r="N612" s="40">
        <v>45</v>
      </c>
      <c r="O612" s="40">
        <v>56</v>
      </c>
      <c r="P612" s="40">
        <v>25</v>
      </c>
      <c r="Q612" s="40">
        <v>0</v>
      </c>
      <c r="R612" s="40">
        <v>0</v>
      </c>
      <c r="S612" s="40">
        <v>0</v>
      </c>
    </row>
    <row r="613" spans="1:19" x14ac:dyDescent="0.35">
      <c r="A613" s="38">
        <v>610</v>
      </c>
      <c r="B613" s="38" t="str">
        <f>_xlfn.XLOOKUP(A613,'Model Modeshare by TAZ'!A:A,'Model Modeshare by TAZ'!B:B)</f>
        <v>San Jose</v>
      </c>
      <c r="C613" s="38" t="str">
        <f>_xlfn.XLOOKUP(A613,'Model Modeshare by TAZ'!A:A,'Model Modeshare by TAZ'!D:D)</f>
        <v>NO</v>
      </c>
      <c r="D613" s="6">
        <v>3</v>
      </c>
      <c r="E613" s="6">
        <v>433</v>
      </c>
      <c r="F613" s="6">
        <v>1197</v>
      </c>
      <c r="G613" s="6">
        <v>1198</v>
      </c>
      <c r="H613" s="6">
        <v>586</v>
      </c>
      <c r="I613" s="6">
        <v>223</v>
      </c>
      <c r="J613" s="6">
        <v>210</v>
      </c>
      <c r="K613" s="40">
        <v>44</v>
      </c>
      <c r="L613" s="40">
        <v>1</v>
      </c>
      <c r="M613" s="40">
        <v>16</v>
      </c>
      <c r="N613" s="40">
        <v>0</v>
      </c>
      <c r="O613" s="40">
        <v>0</v>
      </c>
      <c r="P613" s="40">
        <v>0</v>
      </c>
      <c r="Q613" s="40">
        <v>16</v>
      </c>
      <c r="R613" s="40">
        <v>0</v>
      </c>
      <c r="S613" s="40">
        <v>0</v>
      </c>
    </row>
    <row r="614" spans="1:19" x14ac:dyDescent="0.35">
      <c r="A614" s="38">
        <v>611</v>
      </c>
      <c r="B614" s="38" t="str">
        <f>_xlfn.XLOOKUP(A614,'Model Modeshare by TAZ'!A:A,'Model Modeshare by TAZ'!B:B)</f>
        <v>San Jose</v>
      </c>
      <c r="C614" s="38" t="str">
        <f>_xlfn.XLOOKUP(A614,'Model Modeshare by TAZ'!A:A,'Model Modeshare by TAZ'!D:D)</f>
        <v>NO</v>
      </c>
      <c r="D614" s="6">
        <v>3</v>
      </c>
      <c r="E614" s="6">
        <v>1321</v>
      </c>
      <c r="F614" s="6">
        <v>3652</v>
      </c>
      <c r="G614" s="6">
        <v>3653</v>
      </c>
      <c r="H614" s="6">
        <v>1786</v>
      </c>
      <c r="I614" s="6">
        <v>681</v>
      </c>
      <c r="J614" s="6">
        <v>640</v>
      </c>
      <c r="K614" s="40">
        <v>113</v>
      </c>
      <c r="L614" s="40">
        <v>66</v>
      </c>
      <c r="M614" s="40">
        <v>615</v>
      </c>
      <c r="N614" s="40">
        <v>204</v>
      </c>
      <c r="O614" s="40">
        <v>277</v>
      </c>
      <c r="P614" s="40">
        <v>124</v>
      </c>
      <c r="Q614" s="40">
        <v>1</v>
      </c>
      <c r="R614" s="40">
        <v>6</v>
      </c>
      <c r="S614" s="40">
        <v>3</v>
      </c>
    </row>
    <row r="615" spans="1:19" x14ac:dyDescent="0.35">
      <c r="A615" s="38">
        <v>612</v>
      </c>
      <c r="B615" s="38" t="str">
        <f>_xlfn.XLOOKUP(A615,'Model Modeshare by TAZ'!A:A,'Model Modeshare by TAZ'!B:B)</f>
        <v>San Jose</v>
      </c>
      <c r="C615" s="38" t="str">
        <f>_xlfn.XLOOKUP(A615,'Model Modeshare by TAZ'!A:A,'Model Modeshare by TAZ'!D:D)</f>
        <v>NO</v>
      </c>
      <c r="D615" s="6">
        <v>3</v>
      </c>
      <c r="E615" s="6">
        <v>514</v>
      </c>
      <c r="F615" s="6">
        <v>1563</v>
      </c>
      <c r="G615" s="6">
        <v>1563</v>
      </c>
      <c r="H615" s="6">
        <v>714</v>
      </c>
      <c r="I615" s="6">
        <v>511</v>
      </c>
      <c r="J615" s="6">
        <v>3</v>
      </c>
      <c r="K615" s="40">
        <v>106</v>
      </c>
      <c r="L615" s="40">
        <v>1</v>
      </c>
      <c r="M615" s="40">
        <v>164</v>
      </c>
      <c r="N615" s="40">
        <v>23</v>
      </c>
      <c r="O615" s="40">
        <v>59</v>
      </c>
      <c r="P615" s="40">
        <v>45</v>
      </c>
      <c r="Q615" s="40">
        <v>1</v>
      </c>
      <c r="R615" s="40">
        <v>27</v>
      </c>
      <c r="S615" s="40">
        <v>9</v>
      </c>
    </row>
    <row r="616" spans="1:19" x14ac:dyDescent="0.35">
      <c r="A616" s="38">
        <v>613</v>
      </c>
      <c r="B616" s="38" t="str">
        <f>_xlfn.XLOOKUP(A616,'Model Modeshare by TAZ'!A:A,'Model Modeshare by TAZ'!B:B)</f>
        <v>San Jose</v>
      </c>
      <c r="C616" s="38" t="str">
        <f>_xlfn.XLOOKUP(A616,'Model Modeshare by TAZ'!A:A,'Model Modeshare by TAZ'!D:D)</f>
        <v>NO</v>
      </c>
      <c r="D616" s="6">
        <v>3</v>
      </c>
      <c r="E616" s="6">
        <v>570</v>
      </c>
      <c r="F616" s="6">
        <v>1661</v>
      </c>
      <c r="G616" s="6">
        <v>1661</v>
      </c>
      <c r="H616" s="6">
        <v>888</v>
      </c>
      <c r="I616" s="6">
        <v>565</v>
      </c>
      <c r="J616" s="6">
        <v>5</v>
      </c>
      <c r="K616" s="40">
        <v>140</v>
      </c>
      <c r="L616" s="40">
        <v>32</v>
      </c>
      <c r="M616" s="40">
        <v>431</v>
      </c>
      <c r="N616" s="40">
        <v>100</v>
      </c>
      <c r="O616" s="40">
        <v>202</v>
      </c>
      <c r="P616" s="40">
        <v>114</v>
      </c>
      <c r="Q616" s="40">
        <v>2</v>
      </c>
      <c r="R616" s="40">
        <v>6</v>
      </c>
      <c r="S616" s="40">
        <v>7</v>
      </c>
    </row>
    <row r="617" spans="1:19" x14ac:dyDescent="0.35">
      <c r="A617" s="38">
        <v>614</v>
      </c>
      <c r="B617" s="38" t="str">
        <f>_xlfn.XLOOKUP(A617,'Model Modeshare by TAZ'!A:A,'Model Modeshare by TAZ'!B:B)</f>
        <v>San Jose</v>
      </c>
      <c r="C617" s="38" t="str">
        <f>_xlfn.XLOOKUP(A617,'Model Modeshare by TAZ'!A:A,'Model Modeshare by TAZ'!D:D)</f>
        <v>NO</v>
      </c>
      <c r="D617" s="6">
        <v>3</v>
      </c>
      <c r="E617" s="6">
        <v>324</v>
      </c>
      <c r="F617" s="6">
        <v>941</v>
      </c>
      <c r="G617" s="6">
        <v>942</v>
      </c>
      <c r="H617" s="6">
        <v>503</v>
      </c>
      <c r="I617" s="6">
        <v>322</v>
      </c>
      <c r="J617" s="6">
        <v>2</v>
      </c>
      <c r="K617" s="40">
        <v>86</v>
      </c>
      <c r="L617" s="40">
        <v>7</v>
      </c>
      <c r="M617" s="40">
        <v>53</v>
      </c>
      <c r="N617" s="40">
        <v>0</v>
      </c>
      <c r="O617" s="40">
        <v>49</v>
      </c>
      <c r="P617" s="40">
        <v>0</v>
      </c>
      <c r="Q617" s="40">
        <v>3</v>
      </c>
      <c r="R617" s="40">
        <v>0</v>
      </c>
      <c r="S617" s="40">
        <v>1</v>
      </c>
    </row>
    <row r="618" spans="1:19" x14ac:dyDescent="0.35">
      <c r="A618" s="38">
        <v>615</v>
      </c>
      <c r="B618" s="38" t="str">
        <f>_xlfn.XLOOKUP(A618,'Model Modeshare by TAZ'!A:A,'Model Modeshare by TAZ'!B:B)</f>
        <v>San Jose</v>
      </c>
      <c r="C618" s="38" t="str">
        <f>_xlfn.XLOOKUP(A618,'Model Modeshare by TAZ'!A:A,'Model Modeshare by TAZ'!D:D)</f>
        <v>NO</v>
      </c>
      <c r="D618" s="6">
        <v>3</v>
      </c>
      <c r="E618" s="6">
        <v>173</v>
      </c>
      <c r="F618" s="6">
        <v>502</v>
      </c>
      <c r="G618" s="6">
        <v>503</v>
      </c>
      <c r="H618" s="6">
        <v>270</v>
      </c>
      <c r="I618" s="6">
        <v>172</v>
      </c>
      <c r="J618" s="6">
        <v>1</v>
      </c>
      <c r="K618" s="40">
        <v>41</v>
      </c>
      <c r="L618" s="40">
        <v>1</v>
      </c>
      <c r="M618" s="40">
        <v>3</v>
      </c>
      <c r="N618" s="40">
        <v>0</v>
      </c>
      <c r="O618" s="40">
        <v>0</v>
      </c>
      <c r="P618" s="40">
        <v>0</v>
      </c>
      <c r="Q618" s="40">
        <v>3</v>
      </c>
      <c r="R618" s="40">
        <v>0</v>
      </c>
      <c r="S618" s="40">
        <v>0</v>
      </c>
    </row>
    <row r="619" spans="1:19" x14ac:dyDescent="0.35">
      <c r="A619" s="38">
        <v>616</v>
      </c>
      <c r="B619" s="38" t="str">
        <f>_xlfn.XLOOKUP(A619,'Model Modeshare by TAZ'!A:A,'Model Modeshare by TAZ'!B:B)</f>
        <v>San Jose</v>
      </c>
      <c r="C619" s="38" t="str">
        <f>_xlfn.XLOOKUP(A619,'Model Modeshare by TAZ'!A:A,'Model Modeshare by TAZ'!D:D)</f>
        <v>NO</v>
      </c>
      <c r="D619" s="6">
        <v>3</v>
      </c>
      <c r="E619" s="6">
        <v>533</v>
      </c>
      <c r="F619" s="6">
        <v>1550</v>
      </c>
      <c r="G619" s="6">
        <v>1551</v>
      </c>
      <c r="H619" s="6">
        <v>829</v>
      </c>
      <c r="I619" s="6">
        <v>528</v>
      </c>
      <c r="J619" s="6">
        <v>5</v>
      </c>
      <c r="K619" s="40">
        <v>123</v>
      </c>
      <c r="L619" s="40">
        <v>8</v>
      </c>
      <c r="M619" s="40">
        <v>573</v>
      </c>
      <c r="N619" s="40">
        <v>398</v>
      </c>
      <c r="O619" s="40">
        <v>132</v>
      </c>
      <c r="P619" s="40">
        <v>34</v>
      </c>
      <c r="Q619" s="40">
        <v>1</v>
      </c>
      <c r="R619" s="40">
        <v>4</v>
      </c>
      <c r="S619" s="40">
        <v>4</v>
      </c>
    </row>
    <row r="620" spans="1:19" x14ac:dyDescent="0.35">
      <c r="A620" s="38">
        <v>617</v>
      </c>
      <c r="B620" s="38" t="str">
        <f>_xlfn.XLOOKUP(A620,'Model Modeshare by TAZ'!A:A,'Model Modeshare by TAZ'!B:B)</f>
        <v>San Jose</v>
      </c>
      <c r="C620" s="38" t="str">
        <f>_xlfn.XLOOKUP(A620,'Model Modeshare by TAZ'!A:A,'Model Modeshare by TAZ'!D:D)</f>
        <v>NO</v>
      </c>
      <c r="D620" s="6">
        <v>3</v>
      </c>
      <c r="E620" s="6">
        <v>654</v>
      </c>
      <c r="F620" s="6">
        <v>1916</v>
      </c>
      <c r="G620" s="6">
        <v>1945</v>
      </c>
      <c r="H620" s="6">
        <v>1041</v>
      </c>
      <c r="I620" s="6">
        <v>651</v>
      </c>
      <c r="J620" s="6">
        <v>3</v>
      </c>
      <c r="K620" s="40">
        <v>142</v>
      </c>
      <c r="L620" s="40">
        <v>1</v>
      </c>
      <c r="M620" s="40">
        <v>92</v>
      </c>
      <c r="N620" s="40">
        <v>0</v>
      </c>
      <c r="O620" s="40">
        <v>0</v>
      </c>
      <c r="P620" s="40">
        <v>92</v>
      </c>
      <c r="Q620" s="40">
        <v>0</v>
      </c>
      <c r="R620" s="40">
        <v>0</v>
      </c>
      <c r="S620" s="40">
        <v>0</v>
      </c>
    </row>
    <row r="621" spans="1:19" x14ac:dyDescent="0.35">
      <c r="A621" s="38">
        <v>618</v>
      </c>
      <c r="B621" s="38" t="str">
        <f>_xlfn.XLOOKUP(A621,'Model Modeshare by TAZ'!A:A,'Model Modeshare by TAZ'!B:B)</f>
        <v>San Jose</v>
      </c>
      <c r="C621" s="38" t="str">
        <f>_xlfn.XLOOKUP(A621,'Model Modeshare by TAZ'!A:A,'Model Modeshare by TAZ'!D:D)</f>
        <v>NO</v>
      </c>
      <c r="D621" s="6">
        <v>3</v>
      </c>
      <c r="E621" s="6">
        <v>294</v>
      </c>
      <c r="F621" s="6">
        <v>862</v>
      </c>
      <c r="G621" s="6">
        <v>873</v>
      </c>
      <c r="H621" s="6">
        <v>468</v>
      </c>
      <c r="I621" s="6">
        <v>293</v>
      </c>
      <c r="J621" s="6">
        <v>1</v>
      </c>
      <c r="K621" s="40">
        <v>69</v>
      </c>
      <c r="L621" s="40">
        <v>6</v>
      </c>
      <c r="M621" s="40">
        <v>46</v>
      </c>
      <c r="N621" s="40">
        <v>0</v>
      </c>
      <c r="O621" s="40">
        <v>0</v>
      </c>
      <c r="P621" s="40">
        <v>45</v>
      </c>
      <c r="Q621" s="40">
        <v>0</v>
      </c>
      <c r="R621" s="40">
        <v>0</v>
      </c>
      <c r="S621" s="40">
        <v>1</v>
      </c>
    </row>
    <row r="622" spans="1:19" x14ac:dyDescent="0.35">
      <c r="A622" s="38">
        <v>619</v>
      </c>
      <c r="B622" s="38" t="str">
        <f>_xlfn.XLOOKUP(A622,'Model Modeshare by TAZ'!A:A,'Model Modeshare by TAZ'!B:B)</f>
        <v>San Jose</v>
      </c>
      <c r="C622" s="38" t="str">
        <f>_xlfn.XLOOKUP(A622,'Model Modeshare by TAZ'!A:A,'Model Modeshare by TAZ'!D:D)</f>
        <v>NO</v>
      </c>
      <c r="D622" s="6">
        <v>3</v>
      </c>
      <c r="E622" s="6">
        <v>557</v>
      </c>
      <c r="F622" s="6">
        <v>1436</v>
      </c>
      <c r="G622" s="6">
        <v>1436</v>
      </c>
      <c r="H622" s="6">
        <v>758</v>
      </c>
      <c r="I622" s="6">
        <v>295</v>
      </c>
      <c r="J622" s="6">
        <v>262</v>
      </c>
      <c r="K622" s="40">
        <v>31</v>
      </c>
      <c r="L622" s="40">
        <v>30</v>
      </c>
      <c r="M622" s="40">
        <v>459</v>
      </c>
      <c r="N622" s="40">
        <v>122</v>
      </c>
      <c r="O622" s="40">
        <v>126</v>
      </c>
      <c r="P622" s="40">
        <v>198</v>
      </c>
      <c r="Q622" s="40">
        <v>0</v>
      </c>
      <c r="R622" s="40">
        <v>7</v>
      </c>
      <c r="S622" s="40">
        <v>6</v>
      </c>
    </row>
    <row r="623" spans="1:19" x14ac:dyDescent="0.35">
      <c r="A623" s="38">
        <v>620</v>
      </c>
      <c r="B623" s="38" t="str">
        <f>_xlfn.XLOOKUP(A623,'Model Modeshare by TAZ'!A:A,'Model Modeshare by TAZ'!B:B)</f>
        <v>San Jose</v>
      </c>
      <c r="C623" s="38" t="str">
        <f>_xlfn.XLOOKUP(A623,'Model Modeshare by TAZ'!A:A,'Model Modeshare by TAZ'!D:D)</f>
        <v>NO</v>
      </c>
      <c r="D623" s="6">
        <v>3</v>
      </c>
      <c r="E623" s="6">
        <v>464</v>
      </c>
      <c r="F623" s="6">
        <v>1167</v>
      </c>
      <c r="G623" s="6">
        <v>1169</v>
      </c>
      <c r="H623" s="6">
        <v>697</v>
      </c>
      <c r="I623" s="6">
        <v>287</v>
      </c>
      <c r="J623" s="6">
        <v>177</v>
      </c>
      <c r="K623" s="40">
        <v>32</v>
      </c>
      <c r="L623" s="40">
        <v>10</v>
      </c>
      <c r="M623" s="40">
        <v>338</v>
      </c>
      <c r="N623" s="40">
        <v>57</v>
      </c>
      <c r="O623" s="40">
        <v>281</v>
      </c>
      <c r="P623" s="40">
        <v>0</v>
      </c>
      <c r="Q623" s="40">
        <v>0</v>
      </c>
      <c r="R623" s="40">
        <v>0</v>
      </c>
      <c r="S623" s="40">
        <v>0</v>
      </c>
    </row>
    <row r="624" spans="1:19" x14ac:dyDescent="0.35">
      <c r="A624" s="38">
        <v>621</v>
      </c>
      <c r="B624" s="38" t="str">
        <f>_xlfn.XLOOKUP(A624,'Model Modeshare by TAZ'!A:A,'Model Modeshare by TAZ'!B:B)</f>
        <v>San Jose</v>
      </c>
      <c r="C624" s="38" t="str">
        <f>_xlfn.XLOOKUP(A624,'Model Modeshare by TAZ'!A:A,'Model Modeshare by TAZ'!D:D)</f>
        <v>NO</v>
      </c>
      <c r="D624" s="6">
        <v>3</v>
      </c>
      <c r="E624" s="6">
        <v>1436</v>
      </c>
      <c r="F624" s="6">
        <v>3701</v>
      </c>
      <c r="G624" s="6">
        <v>3707</v>
      </c>
      <c r="H624" s="6">
        <v>1957</v>
      </c>
      <c r="I624" s="6">
        <v>760</v>
      </c>
      <c r="J624" s="6">
        <v>676</v>
      </c>
      <c r="K624" s="40">
        <v>207</v>
      </c>
      <c r="L624" s="40">
        <v>39</v>
      </c>
      <c r="M624" s="40">
        <v>359</v>
      </c>
      <c r="N624" s="40">
        <v>124</v>
      </c>
      <c r="O624" s="40">
        <v>64</v>
      </c>
      <c r="P624" s="40">
        <v>167</v>
      </c>
      <c r="Q624" s="40">
        <v>0</v>
      </c>
      <c r="R624" s="40">
        <v>2</v>
      </c>
      <c r="S624" s="40">
        <v>2</v>
      </c>
    </row>
    <row r="625" spans="1:19" x14ac:dyDescent="0.35">
      <c r="A625" s="38">
        <v>622</v>
      </c>
      <c r="B625" s="38" t="str">
        <f>_xlfn.XLOOKUP(A625,'Model Modeshare by TAZ'!A:A,'Model Modeshare by TAZ'!B:B)</f>
        <v>San Jose</v>
      </c>
      <c r="C625" s="38" t="str">
        <f>_xlfn.XLOOKUP(A625,'Model Modeshare by TAZ'!A:A,'Model Modeshare by TAZ'!D:D)</f>
        <v>NO</v>
      </c>
      <c r="D625" s="6">
        <v>3</v>
      </c>
      <c r="E625" s="6">
        <v>498</v>
      </c>
      <c r="F625" s="6">
        <v>1398</v>
      </c>
      <c r="G625" s="6">
        <v>1400</v>
      </c>
      <c r="H625" s="6">
        <v>789</v>
      </c>
      <c r="I625" s="6">
        <v>336</v>
      </c>
      <c r="J625" s="6">
        <v>162</v>
      </c>
      <c r="K625" s="40">
        <v>27</v>
      </c>
      <c r="L625" s="40">
        <v>46</v>
      </c>
      <c r="M625" s="40">
        <v>83</v>
      </c>
      <c r="N625" s="40">
        <v>7</v>
      </c>
      <c r="O625" s="40">
        <v>73</v>
      </c>
      <c r="P625" s="40">
        <v>1</v>
      </c>
      <c r="Q625" s="40">
        <v>2</v>
      </c>
      <c r="R625" s="40">
        <v>0</v>
      </c>
      <c r="S625" s="40">
        <v>0</v>
      </c>
    </row>
    <row r="626" spans="1:19" x14ac:dyDescent="0.35">
      <c r="A626" s="38">
        <v>623</v>
      </c>
      <c r="B626" s="38" t="str">
        <f>_xlfn.XLOOKUP(A626,'Model Modeshare by TAZ'!A:A,'Model Modeshare by TAZ'!B:B)</f>
        <v>San Jose</v>
      </c>
      <c r="C626" s="38" t="str">
        <f>_xlfn.XLOOKUP(A626,'Model Modeshare by TAZ'!A:A,'Model Modeshare by TAZ'!D:D)</f>
        <v>NO</v>
      </c>
      <c r="D626" s="6">
        <v>3</v>
      </c>
      <c r="E626" s="6">
        <v>349</v>
      </c>
      <c r="F626" s="6">
        <v>880</v>
      </c>
      <c r="G626" s="6">
        <v>908</v>
      </c>
      <c r="H626" s="6">
        <v>502</v>
      </c>
      <c r="I626" s="6">
        <v>250</v>
      </c>
      <c r="J626" s="6">
        <v>99</v>
      </c>
      <c r="K626" s="40">
        <v>27</v>
      </c>
      <c r="L626" s="40">
        <v>50</v>
      </c>
      <c r="M626" s="40">
        <v>3520</v>
      </c>
      <c r="N626" s="40">
        <v>50</v>
      </c>
      <c r="O626" s="40">
        <v>2238</v>
      </c>
      <c r="P626" s="40">
        <v>1073</v>
      </c>
      <c r="Q626" s="40">
        <v>0</v>
      </c>
      <c r="R626" s="40">
        <v>157</v>
      </c>
      <c r="S626" s="40">
        <v>2</v>
      </c>
    </row>
    <row r="627" spans="1:19" x14ac:dyDescent="0.35">
      <c r="A627" s="38">
        <v>624</v>
      </c>
      <c r="B627" s="38" t="str">
        <f>_xlfn.XLOOKUP(A627,'Model Modeshare by TAZ'!A:A,'Model Modeshare by TAZ'!B:B)</f>
        <v>San Jose</v>
      </c>
      <c r="C627" s="38" t="str">
        <f>_xlfn.XLOOKUP(A627,'Model Modeshare by TAZ'!A:A,'Model Modeshare by TAZ'!D:D)</f>
        <v>NO</v>
      </c>
      <c r="D627" s="6">
        <v>3</v>
      </c>
      <c r="E627" s="6">
        <v>546</v>
      </c>
      <c r="F627" s="6">
        <v>1379</v>
      </c>
      <c r="G627" s="6">
        <v>1413</v>
      </c>
      <c r="H627" s="6">
        <v>788</v>
      </c>
      <c r="I627" s="6">
        <v>392</v>
      </c>
      <c r="J627" s="6">
        <v>154</v>
      </c>
      <c r="K627" s="40">
        <v>127</v>
      </c>
      <c r="L627" s="40">
        <v>37</v>
      </c>
      <c r="M627" s="40">
        <v>1630</v>
      </c>
      <c r="N627" s="40">
        <v>78</v>
      </c>
      <c r="O627" s="40">
        <v>1025</v>
      </c>
      <c r="P627" s="40">
        <v>3</v>
      </c>
      <c r="Q627" s="40">
        <v>4</v>
      </c>
      <c r="R627" s="40">
        <v>515</v>
      </c>
      <c r="S627" s="40">
        <v>5</v>
      </c>
    </row>
    <row r="628" spans="1:19" x14ac:dyDescent="0.35">
      <c r="A628" s="38">
        <v>625</v>
      </c>
      <c r="B628" s="38" t="str">
        <f>_xlfn.XLOOKUP(A628,'Model Modeshare by TAZ'!A:A,'Model Modeshare by TAZ'!B:B)</f>
        <v>San Jose</v>
      </c>
      <c r="C628" s="38" t="str">
        <f>_xlfn.XLOOKUP(A628,'Model Modeshare by TAZ'!A:A,'Model Modeshare by TAZ'!D:D)</f>
        <v>NO</v>
      </c>
      <c r="D628" s="6">
        <v>3</v>
      </c>
      <c r="E628" s="6">
        <v>499</v>
      </c>
      <c r="F628" s="6">
        <v>1260</v>
      </c>
      <c r="G628" s="6">
        <v>1291</v>
      </c>
      <c r="H628" s="6">
        <v>720</v>
      </c>
      <c r="I628" s="6">
        <v>358</v>
      </c>
      <c r="J628" s="6">
        <v>141</v>
      </c>
      <c r="K628" s="40">
        <v>92</v>
      </c>
      <c r="L628" s="40">
        <v>5</v>
      </c>
      <c r="M628" s="40">
        <v>895</v>
      </c>
      <c r="N628" s="40">
        <v>29</v>
      </c>
      <c r="O628" s="40">
        <v>769</v>
      </c>
      <c r="P628" s="40">
        <v>0</v>
      </c>
      <c r="Q628" s="40">
        <v>0</v>
      </c>
      <c r="R628" s="40">
        <v>97</v>
      </c>
      <c r="S628" s="40">
        <v>0</v>
      </c>
    </row>
    <row r="629" spans="1:19" x14ac:dyDescent="0.35">
      <c r="A629" s="38">
        <v>626</v>
      </c>
      <c r="B629" s="38" t="str">
        <f>_xlfn.XLOOKUP(A629,'Model Modeshare by TAZ'!A:A,'Model Modeshare by TAZ'!B:B)</f>
        <v>San Jose</v>
      </c>
      <c r="C629" s="38" t="str">
        <f>_xlfn.XLOOKUP(A629,'Model Modeshare by TAZ'!A:A,'Model Modeshare by TAZ'!D:D)</f>
        <v>NO</v>
      </c>
      <c r="D629" s="6">
        <v>3</v>
      </c>
      <c r="E629" s="6">
        <v>418</v>
      </c>
      <c r="F629" s="6">
        <v>1055</v>
      </c>
      <c r="G629" s="6">
        <v>1081</v>
      </c>
      <c r="H629" s="6">
        <v>603</v>
      </c>
      <c r="I629" s="6">
        <v>300</v>
      </c>
      <c r="J629" s="6">
        <v>118</v>
      </c>
      <c r="K629" s="40">
        <v>67</v>
      </c>
      <c r="L629" s="40">
        <v>11</v>
      </c>
      <c r="M629" s="40">
        <v>572</v>
      </c>
      <c r="N629" s="40">
        <v>35</v>
      </c>
      <c r="O629" s="40">
        <v>382</v>
      </c>
      <c r="P629" s="40">
        <v>118</v>
      </c>
      <c r="Q629" s="40">
        <v>3</v>
      </c>
      <c r="R629" s="40">
        <v>34</v>
      </c>
      <c r="S629" s="40">
        <v>0</v>
      </c>
    </row>
    <row r="630" spans="1:19" x14ac:dyDescent="0.35">
      <c r="A630" s="38">
        <v>627</v>
      </c>
      <c r="B630" s="38" t="str">
        <f>_xlfn.XLOOKUP(A630,'Model Modeshare by TAZ'!A:A,'Model Modeshare by TAZ'!B:B)</f>
        <v>Unincorporated</v>
      </c>
      <c r="C630" s="38" t="str">
        <f>_xlfn.XLOOKUP(A630,'Model Modeshare by TAZ'!A:A,'Model Modeshare by TAZ'!D:D)</f>
        <v>NO</v>
      </c>
      <c r="D630" s="6">
        <v>3</v>
      </c>
      <c r="E630" s="6">
        <v>665</v>
      </c>
      <c r="F630" s="6">
        <v>1972</v>
      </c>
      <c r="G630" s="6">
        <v>1977</v>
      </c>
      <c r="H630" s="6">
        <v>977</v>
      </c>
      <c r="I630" s="6">
        <v>621</v>
      </c>
      <c r="J630" s="6">
        <v>44</v>
      </c>
      <c r="K630" s="40">
        <v>219</v>
      </c>
      <c r="L630" s="40">
        <v>35</v>
      </c>
      <c r="M630" s="40">
        <v>526</v>
      </c>
      <c r="N630" s="40">
        <v>243</v>
      </c>
      <c r="O630" s="40">
        <v>154</v>
      </c>
      <c r="P630" s="40">
        <v>117</v>
      </c>
      <c r="Q630" s="40">
        <v>2</v>
      </c>
      <c r="R630" s="40">
        <v>9</v>
      </c>
      <c r="S630" s="40">
        <v>1</v>
      </c>
    </row>
    <row r="631" spans="1:19" x14ac:dyDescent="0.35">
      <c r="A631" s="38">
        <v>628</v>
      </c>
      <c r="B631" s="38" t="str">
        <f>_xlfn.XLOOKUP(A631,'Model Modeshare by TAZ'!A:A,'Model Modeshare by TAZ'!B:B)</f>
        <v>San Jose</v>
      </c>
      <c r="C631" s="38" t="str">
        <f>_xlfn.XLOOKUP(A631,'Model Modeshare by TAZ'!A:A,'Model Modeshare by TAZ'!D:D)</f>
        <v>NO</v>
      </c>
      <c r="D631" s="6">
        <v>3</v>
      </c>
      <c r="E631" s="6">
        <v>692</v>
      </c>
      <c r="F631" s="6">
        <v>2053</v>
      </c>
      <c r="G631" s="6">
        <v>2059</v>
      </c>
      <c r="H631" s="6">
        <v>1018</v>
      </c>
      <c r="I631" s="6">
        <v>647</v>
      </c>
      <c r="J631" s="6">
        <v>45</v>
      </c>
      <c r="K631" s="40">
        <v>152</v>
      </c>
      <c r="L631" s="40">
        <v>5</v>
      </c>
      <c r="M631" s="40">
        <v>224</v>
      </c>
      <c r="N631" s="40">
        <v>1</v>
      </c>
      <c r="O631" s="40">
        <v>59</v>
      </c>
      <c r="P631" s="40">
        <v>152</v>
      </c>
      <c r="Q631" s="40">
        <v>3</v>
      </c>
      <c r="R631" s="40">
        <v>9</v>
      </c>
      <c r="S631" s="40">
        <v>0</v>
      </c>
    </row>
    <row r="632" spans="1:19" x14ac:dyDescent="0.35">
      <c r="A632" s="38">
        <v>629</v>
      </c>
      <c r="B632" s="38" t="str">
        <f>_xlfn.XLOOKUP(A632,'Model Modeshare by TAZ'!A:A,'Model Modeshare by TAZ'!B:B)</f>
        <v>San Jose</v>
      </c>
      <c r="C632" s="38" t="str">
        <f>_xlfn.XLOOKUP(A632,'Model Modeshare by TAZ'!A:A,'Model Modeshare by TAZ'!D:D)</f>
        <v>NO</v>
      </c>
      <c r="D632" s="6">
        <v>3</v>
      </c>
      <c r="E632" s="6">
        <v>1210</v>
      </c>
      <c r="F632" s="6">
        <v>3494</v>
      </c>
      <c r="G632" s="6">
        <v>3518</v>
      </c>
      <c r="H632" s="6">
        <v>1888</v>
      </c>
      <c r="I632" s="6">
        <v>893</v>
      </c>
      <c r="J632" s="6">
        <v>317</v>
      </c>
      <c r="K632" s="40">
        <v>200</v>
      </c>
      <c r="L632" s="40">
        <v>22</v>
      </c>
      <c r="M632" s="40">
        <v>465</v>
      </c>
      <c r="N632" s="40">
        <v>158</v>
      </c>
      <c r="O632" s="40">
        <v>213</v>
      </c>
      <c r="P632" s="40">
        <v>81</v>
      </c>
      <c r="Q632" s="40">
        <v>5</v>
      </c>
      <c r="R632" s="40">
        <v>6</v>
      </c>
      <c r="S632" s="40">
        <v>2</v>
      </c>
    </row>
    <row r="633" spans="1:19" x14ac:dyDescent="0.35">
      <c r="A633" s="38">
        <v>630</v>
      </c>
      <c r="B633" s="38" t="str">
        <f>_xlfn.XLOOKUP(A633,'Model Modeshare by TAZ'!A:A,'Model Modeshare by TAZ'!B:B)</f>
        <v>San Jose</v>
      </c>
      <c r="C633" s="38" t="str">
        <f>_xlfn.XLOOKUP(A633,'Model Modeshare by TAZ'!A:A,'Model Modeshare by TAZ'!D:D)</f>
        <v>NO</v>
      </c>
      <c r="D633" s="6">
        <v>3</v>
      </c>
      <c r="E633" s="6">
        <v>1127</v>
      </c>
      <c r="F633" s="6">
        <v>3167</v>
      </c>
      <c r="G633" s="6">
        <v>3185</v>
      </c>
      <c r="H633" s="6">
        <v>1789</v>
      </c>
      <c r="I633" s="6">
        <v>759</v>
      </c>
      <c r="J633" s="6">
        <v>368</v>
      </c>
      <c r="K633" s="40">
        <v>263</v>
      </c>
      <c r="L633" s="40">
        <v>27</v>
      </c>
      <c r="M633" s="40">
        <v>488</v>
      </c>
      <c r="N633" s="40">
        <v>4</v>
      </c>
      <c r="O633" s="40">
        <v>368</v>
      </c>
      <c r="P633" s="40">
        <v>113</v>
      </c>
      <c r="Q633" s="40">
        <v>2</v>
      </c>
      <c r="R633" s="40">
        <v>0</v>
      </c>
      <c r="S633" s="40">
        <v>1</v>
      </c>
    </row>
    <row r="634" spans="1:19" x14ac:dyDescent="0.35">
      <c r="A634" s="38">
        <v>631</v>
      </c>
      <c r="B634" s="38" t="str">
        <f>_xlfn.XLOOKUP(A634,'Model Modeshare by TAZ'!A:A,'Model Modeshare by TAZ'!B:B)</f>
        <v>San Jose</v>
      </c>
      <c r="C634" s="38" t="str">
        <f>_xlfn.XLOOKUP(A634,'Model Modeshare by TAZ'!A:A,'Model Modeshare by TAZ'!D:D)</f>
        <v>NO</v>
      </c>
      <c r="D634" s="6">
        <v>3</v>
      </c>
      <c r="E634" s="6">
        <v>896</v>
      </c>
      <c r="F634" s="6">
        <v>2255</v>
      </c>
      <c r="G634" s="6">
        <v>2261</v>
      </c>
      <c r="H634" s="6">
        <v>1346</v>
      </c>
      <c r="I634" s="6">
        <v>553</v>
      </c>
      <c r="J634" s="6">
        <v>343</v>
      </c>
      <c r="K634" s="40">
        <v>167</v>
      </c>
      <c r="L634" s="40">
        <v>11</v>
      </c>
      <c r="M634" s="40">
        <v>243</v>
      </c>
      <c r="N634" s="40">
        <v>35</v>
      </c>
      <c r="O634" s="40">
        <v>52</v>
      </c>
      <c r="P634" s="40">
        <v>156</v>
      </c>
      <c r="Q634" s="40">
        <v>0</v>
      </c>
      <c r="R634" s="40">
        <v>0</v>
      </c>
      <c r="S634" s="40">
        <v>0</v>
      </c>
    </row>
    <row r="635" spans="1:19" x14ac:dyDescent="0.35">
      <c r="A635" s="38">
        <v>632</v>
      </c>
      <c r="B635" s="38" t="str">
        <f>_xlfn.XLOOKUP(A635,'Model Modeshare by TAZ'!A:A,'Model Modeshare by TAZ'!B:B)</f>
        <v>San Jose</v>
      </c>
      <c r="C635" s="38" t="str">
        <f>_xlfn.XLOOKUP(A635,'Model Modeshare by TAZ'!A:A,'Model Modeshare by TAZ'!D:D)</f>
        <v>NO</v>
      </c>
      <c r="D635" s="6">
        <v>3</v>
      </c>
      <c r="E635" s="6">
        <v>1118</v>
      </c>
      <c r="F635" s="6">
        <v>3325</v>
      </c>
      <c r="G635" s="6">
        <v>3331</v>
      </c>
      <c r="H635" s="6">
        <v>1556</v>
      </c>
      <c r="I635" s="6">
        <v>723</v>
      </c>
      <c r="J635" s="6">
        <v>395</v>
      </c>
      <c r="K635" s="40">
        <v>130</v>
      </c>
      <c r="L635" s="40">
        <v>100</v>
      </c>
      <c r="M635" s="40">
        <v>183</v>
      </c>
      <c r="N635" s="40">
        <v>59</v>
      </c>
      <c r="O635" s="40">
        <v>104</v>
      </c>
      <c r="P635" s="40">
        <v>16</v>
      </c>
      <c r="Q635" s="40">
        <v>1</v>
      </c>
      <c r="R635" s="40">
        <v>3</v>
      </c>
      <c r="S635" s="40">
        <v>0</v>
      </c>
    </row>
    <row r="636" spans="1:19" x14ac:dyDescent="0.35">
      <c r="A636" s="38">
        <v>633</v>
      </c>
      <c r="B636" s="38" t="str">
        <f>_xlfn.XLOOKUP(A636,'Model Modeshare by TAZ'!A:A,'Model Modeshare by TAZ'!B:B)</f>
        <v>San Jose</v>
      </c>
      <c r="C636" s="38" t="str">
        <f>_xlfn.XLOOKUP(A636,'Model Modeshare by TAZ'!A:A,'Model Modeshare by TAZ'!D:D)</f>
        <v>NO</v>
      </c>
      <c r="D636" s="6">
        <v>3</v>
      </c>
      <c r="E636" s="6">
        <v>639</v>
      </c>
      <c r="F636" s="6">
        <v>1901</v>
      </c>
      <c r="G636" s="6">
        <v>1919</v>
      </c>
      <c r="H636" s="6">
        <v>1046</v>
      </c>
      <c r="I636" s="6">
        <v>413</v>
      </c>
      <c r="J636" s="6">
        <v>226</v>
      </c>
      <c r="K636" s="40">
        <v>118</v>
      </c>
      <c r="L636" s="40">
        <v>39</v>
      </c>
      <c r="M636" s="40">
        <v>785</v>
      </c>
      <c r="N636" s="40">
        <v>621</v>
      </c>
      <c r="O636" s="40">
        <v>34</v>
      </c>
      <c r="P636" s="40">
        <v>128</v>
      </c>
      <c r="Q636" s="40">
        <v>0</v>
      </c>
      <c r="R636" s="40">
        <v>2</v>
      </c>
      <c r="S636" s="40">
        <v>0</v>
      </c>
    </row>
    <row r="637" spans="1:19" x14ac:dyDescent="0.35">
      <c r="A637" s="38">
        <v>634</v>
      </c>
      <c r="B637" s="38" t="str">
        <f>_xlfn.XLOOKUP(A637,'Model Modeshare by TAZ'!A:A,'Model Modeshare by TAZ'!B:B)</f>
        <v>San Jose</v>
      </c>
      <c r="C637" s="38" t="str">
        <f>_xlfn.XLOOKUP(A637,'Model Modeshare by TAZ'!A:A,'Model Modeshare by TAZ'!D:D)</f>
        <v>NO</v>
      </c>
      <c r="D637" s="6">
        <v>3</v>
      </c>
      <c r="E637" s="6">
        <v>1022</v>
      </c>
      <c r="F637" s="6">
        <v>3038</v>
      </c>
      <c r="G637" s="6">
        <v>3048</v>
      </c>
      <c r="H637" s="6">
        <v>1670</v>
      </c>
      <c r="I637" s="6">
        <v>660</v>
      </c>
      <c r="J637" s="6">
        <v>362</v>
      </c>
      <c r="K637" s="40">
        <v>218</v>
      </c>
      <c r="L637" s="40">
        <v>17</v>
      </c>
      <c r="M637" s="40">
        <v>325</v>
      </c>
      <c r="N637" s="40">
        <v>0</v>
      </c>
      <c r="O637" s="40">
        <v>0</v>
      </c>
      <c r="P637" s="40">
        <v>325</v>
      </c>
      <c r="Q637" s="40">
        <v>0</v>
      </c>
      <c r="R637" s="40">
        <v>0</v>
      </c>
      <c r="S637" s="40">
        <v>0</v>
      </c>
    </row>
    <row r="638" spans="1:19" x14ac:dyDescent="0.35">
      <c r="A638" s="38">
        <v>635</v>
      </c>
      <c r="B638" s="38" t="str">
        <f>_xlfn.XLOOKUP(A638,'Model Modeshare by TAZ'!A:A,'Model Modeshare by TAZ'!B:B)</f>
        <v>San Jose</v>
      </c>
      <c r="C638" s="38" t="str">
        <f>_xlfn.XLOOKUP(A638,'Model Modeshare by TAZ'!A:A,'Model Modeshare by TAZ'!D:D)</f>
        <v>NO</v>
      </c>
      <c r="D638" s="6">
        <v>3</v>
      </c>
      <c r="E638" s="6">
        <v>926</v>
      </c>
      <c r="F638" s="6">
        <v>2704</v>
      </c>
      <c r="G638" s="6">
        <v>2713</v>
      </c>
      <c r="H638" s="6">
        <v>1519</v>
      </c>
      <c r="I638" s="6">
        <v>919</v>
      </c>
      <c r="J638" s="6">
        <v>7</v>
      </c>
      <c r="K638" s="40">
        <v>263</v>
      </c>
      <c r="L638" s="40">
        <v>32</v>
      </c>
      <c r="M638" s="40">
        <v>403</v>
      </c>
      <c r="N638" s="40">
        <v>292</v>
      </c>
      <c r="O638" s="40">
        <v>77</v>
      </c>
      <c r="P638" s="40">
        <v>31</v>
      </c>
      <c r="Q638" s="40">
        <v>0</v>
      </c>
      <c r="R638" s="40">
        <v>0</v>
      </c>
      <c r="S638" s="40">
        <v>3</v>
      </c>
    </row>
    <row r="639" spans="1:19" x14ac:dyDescent="0.35">
      <c r="A639" s="38">
        <v>636</v>
      </c>
      <c r="B639" s="38" t="str">
        <f>_xlfn.XLOOKUP(A639,'Model Modeshare by TAZ'!A:A,'Model Modeshare by TAZ'!B:B)</f>
        <v>San Jose</v>
      </c>
      <c r="C639" s="38" t="str">
        <f>_xlfn.XLOOKUP(A639,'Model Modeshare by TAZ'!A:A,'Model Modeshare by TAZ'!D:D)</f>
        <v>NO</v>
      </c>
      <c r="D639" s="6">
        <v>3</v>
      </c>
      <c r="E639" s="6">
        <v>969</v>
      </c>
      <c r="F639" s="6">
        <v>2829</v>
      </c>
      <c r="G639" s="6">
        <v>2841</v>
      </c>
      <c r="H639" s="6">
        <v>1588</v>
      </c>
      <c r="I639" s="6">
        <v>963</v>
      </c>
      <c r="J639" s="6">
        <v>6</v>
      </c>
      <c r="K639" s="40">
        <v>301</v>
      </c>
      <c r="L639" s="40">
        <v>11</v>
      </c>
      <c r="M639" s="40">
        <v>498</v>
      </c>
      <c r="N639" s="40">
        <v>87</v>
      </c>
      <c r="O639" s="40">
        <v>102</v>
      </c>
      <c r="P639" s="40">
        <v>291</v>
      </c>
      <c r="Q639" s="40">
        <v>12</v>
      </c>
      <c r="R639" s="40">
        <v>1</v>
      </c>
      <c r="S639" s="40">
        <v>5</v>
      </c>
    </row>
    <row r="640" spans="1:19" x14ac:dyDescent="0.35">
      <c r="A640" s="38">
        <v>637</v>
      </c>
      <c r="B640" s="38" t="str">
        <f>_xlfn.XLOOKUP(A640,'Model Modeshare by TAZ'!A:A,'Model Modeshare by TAZ'!B:B)</f>
        <v>San Jose</v>
      </c>
      <c r="C640" s="38" t="str">
        <f>_xlfn.XLOOKUP(A640,'Model Modeshare by TAZ'!A:A,'Model Modeshare by TAZ'!D:D)</f>
        <v>NO</v>
      </c>
      <c r="D640" s="6">
        <v>3</v>
      </c>
      <c r="E640" s="6">
        <v>461</v>
      </c>
      <c r="F640" s="6">
        <v>1392</v>
      </c>
      <c r="G640" s="6">
        <v>1396</v>
      </c>
      <c r="H640" s="6">
        <v>817</v>
      </c>
      <c r="I640" s="6">
        <v>461</v>
      </c>
      <c r="J640" s="6">
        <v>0</v>
      </c>
      <c r="K640" s="40">
        <v>146</v>
      </c>
      <c r="L640" s="40">
        <v>14</v>
      </c>
      <c r="M640" s="40">
        <v>159</v>
      </c>
      <c r="N640" s="40">
        <v>107</v>
      </c>
      <c r="O640" s="40">
        <v>49</v>
      </c>
      <c r="P640" s="40">
        <v>3</v>
      </c>
      <c r="Q640" s="40">
        <v>0</v>
      </c>
      <c r="R640" s="40">
        <v>0</v>
      </c>
      <c r="S640" s="40">
        <v>0</v>
      </c>
    </row>
    <row r="641" spans="1:19" x14ac:dyDescent="0.35">
      <c r="A641" s="38">
        <v>638</v>
      </c>
      <c r="B641" s="38" t="str">
        <f>_xlfn.XLOOKUP(A641,'Model Modeshare by TAZ'!A:A,'Model Modeshare by TAZ'!B:B)</f>
        <v>San Jose</v>
      </c>
      <c r="C641" s="38" t="str">
        <f>_xlfn.XLOOKUP(A641,'Model Modeshare by TAZ'!A:A,'Model Modeshare by TAZ'!D:D)</f>
        <v>NO</v>
      </c>
      <c r="D641" s="6">
        <v>3</v>
      </c>
      <c r="E641" s="6">
        <v>929</v>
      </c>
      <c r="F641" s="6">
        <v>2813</v>
      </c>
      <c r="G641" s="6">
        <v>2819</v>
      </c>
      <c r="H641" s="6">
        <v>1650</v>
      </c>
      <c r="I641" s="6">
        <v>929</v>
      </c>
      <c r="J641" s="6">
        <v>0</v>
      </c>
      <c r="K641" s="40">
        <v>275</v>
      </c>
      <c r="L641" s="40">
        <v>2</v>
      </c>
      <c r="M641" s="40">
        <v>301</v>
      </c>
      <c r="N641" s="40">
        <v>0</v>
      </c>
      <c r="O641" s="40">
        <v>0</v>
      </c>
      <c r="P641" s="40">
        <v>248</v>
      </c>
      <c r="Q641" s="40">
        <v>32</v>
      </c>
      <c r="R641" s="40">
        <v>5</v>
      </c>
      <c r="S641" s="40">
        <v>16</v>
      </c>
    </row>
    <row r="642" spans="1:19" x14ac:dyDescent="0.35">
      <c r="A642" s="38">
        <v>639</v>
      </c>
      <c r="B642" s="38" t="str">
        <f>_xlfn.XLOOKUP(A642,'Model Modeshare by TAZ'!A:A,'Model Modeshare by TAZ'!B:B)</f>
        <v>San Jose</v>
      </c>
      <c r="C642" s="38" t="str">
        <f>_xlfn.XLOOKUP(A642,'Model Modeshare by TAZ'!A:A,'Model Modeshare by TAZ'!D:D)</f>
        <v>NO</v>
      </c>
      <c r="D642" s="6">
        <v>3</v>
      </c>
      <c r="E642" s="6">
        <v>1028</v>
      </c>
      <c r="F642" s="6">
        <v>3011</v>
      </c>
      <c r="G642" s="6">
        <v>3011</v>
      </c>
      <c r="H642" s="6">
        <v>1443</v>
      </c>
      <c r="I642" s="6">
        <v>1008</v>
      </c>
      <c r="J642" s="6">
        <v>20</v>
      </c>
      <c r="K642" s="40">
        <v>314</v>
      </c>
      <c r="L642" s="40">
        <v>13</v>
      </c>
      <c r="M642" s="40">
        <v>851</v>
      </c>
      <c r="N642" s="40">
        <v>185</v>
      </c>
      <c r="O642" s="40">
        <v>478</v>
      </c>
      <c r="P642" s="40">
        <v>180</v>
      </c>
      <c r="Q642" s="40">
        <v>7</v>
      </c>
      <c r="R642" s="40">
        <v>0</v>
      </c>
      <c r="S642" s="40">
        <v>1</v>
      </c>
    </row>
    <row r="643" spans="1:19" x14ac:dyDescent="0.35">
      <c r="A643" s="38">
        <v>640</v>
      </c>
      <c r="B643" s="38" t="str">
        <f>_xlfn.XLOOKUP(A643,'Model Modeshare by TAZ'!A:A,'Model Modeshare by TAZ'!B:B)</f>
        <v>San Jose</v>
      </c>
      <c r="C643" s="38" t="str">
        <f>_xlfn.XLOOKUP(A643,'Model Modeshare by TAZ'!A:A,'Model Modeshare by TAZ'!D:D)</f>
        <v>NO</v>
      </c>
      <c r="D643" s="6">
        <v>3</v>
      </c>
      <c r="E643" s="6">
        <v>605</v>
      </c>
      <c r="F643" s="6">
        <v>1774</v>
      </c>
      <c r="G643" s="6">
        <v>1774</v>
      </c>
      <c r="H643" s="6">
        <v>912</v>
      </c>
      <c r="I643" s="6">
        <v>605</v>
      </c>
      <c r="J643" s="6">
        <v>0</v>
      </c>
      <c r="K643" s="40">
        <v>238</v>
      </c>
      <c r="L643" s="40">
        <v>15</v>
      </c>
      <c r="M643" s="40">
        <v>193</v>
      </c>
      <c r="N643" s="40">
        <v>24</v>
      </c>
      <c r="O643" s="40">
        <v>64</v>
      </c>
      <c r="P643" s="40">
        <v>105</v>
      </c>
      <c r="Q643" s="40">
        <v>0</v>
      </c>
      <c r="R643" s="40">
        <v>0</v>
      </c>
      <c r="S643" s="40">
        <v>0</v>
      </c>
    </row>
    <row r="644" spans="1:19" x14ac:dyDescent="0.35">
      <c r="A644" s="38">
        <v>641</v>
      </c>
      <c r="B644" s="38" t="str">
        <f>_xlfn.XLOOKUP(A644,'Model Modeshare by TAZ'!A:A,'Model Modeshare by TAZ'!B:B)</f>
        <v>San Jose</v>
      </c>
      <c r="C644" s="38" t="str">
        <f>_xlfn.XLOOKUP(A644,'Model Modeshare by TAZ'!A:A,'Model Modeshare by TAZ'!D:D)</f>
        <v>NO</v>
      </c>
      <c r="D644" s="6">
        <v>3</v>
      </c>
      <c r="E644" s="6">
        <v>416</v>
      </c>
      <c r="F644" s="6">
        <v>1221</v>
      </c>
      <c r="G644" s="6">
        <v>1221</v>
      </c>
      <c r="H644" s="6">
        <v>627</v>
      </c>
      <c r="I644" s="6">
        <v>416</v>
      </c>
      <c r="J644" s="6">
        <v>0</v>
      </c>
      <c r="K644" s="40">
        <v>199</v>
      </c>
      <c r="L644" s="40">
        <v>13</v>
      </c>
      <c r="M644" s="40">
        <v>230</v>
      </c>
      <c r="N644" s="40">
        <v>91</v>
      </c>
      <c r="O644" s="40">
        <v>99</v>
      </c>
      <c r="P644" s="40">
        <v>40</v>
      </c>
      <c r="Q644" s="40">
        <v>0</v>
      </c>
      <c r="R644" s="40">
        <v>0</v>
      </c>
      <c r="S644" s="40">
        <v>0</v>
      </c>
    </row>
    <row r="645" spans="1:19" x14ac:dyDescent="0.35">
      <c r="A645" s="38">
        <v>642</v>
      </c>
      <c r="B645" s="38" t="str">
        <f>_xlfn.XLOOKUP(A645,'Model Modeshare by TAZ'!A:A,'Model Modeshare by TAZ'!B:B)</f>
        <v>San Jose</v>
      </c>
      <c r="C645" s="38" t="str">
        <f>_xlfn.XLOOKUP(A645,'Model Modeshare by TAZ'!A:A,'Model Modeshare by TAZ'!D:D)</f>
        <v>NO</v>
      </c>
      <c r="D645" s="6">
        <v>3</v>
      </c>
      <c r="E645" s="6">
        <v>755</v>
      </c>
      <c r="F645" s="6">
        <v>2333</v>
      </c>
      <c r="G645" s="6">
        <v>2333</v>
      </c>
      <c r="H645" s="6">
        <v>1262</v>
      </c>
      <c r="I645" s="6">
        <v>658</v>
      </c>
      <c r="J645" s="6">
        <v>97</v>
      </c>
      <c r="K645" s="40">
        <v>157</v>
      </c>
      <c r="L645" s="40">
        <v>28</v>
      </c>
      <c r="M645" s="40">
        <v>373</v>
      </c>
      <c r="N645" s="40">
        <v>83</v>
      </c>
      <c r="O645" s="40">
        <v>182</v>
      </c>
      <c r="P645" s="40">
        <v>103</v>
      </c>
      <c r="Q645" s="40">
        <v>1</v>
      </c>
      <c r="R645" s="40">
        <v>1</v>
      </c>
      <c r="S645" s="40">
        <v>3</v>
      </c>
    </row>
    <row r="646" spans="1:19" x14ac:dyDescent="0.35">
      <c r="A646" s="38">
        <v>643</v>
      </c>
      <c r="B646" s="38" t="str">
        <f>_xlfn.XLOOKUP(A646,'Model Modeshare by TAZ'!A:A,'Model Modeshare by TAZ'!B:B)</f>
        <v>San Jose</v>
      </c>
      <c r="C646" s="38" t="str">
        <f>_xlfn.XLOOKUP(A646,'Model Modeshare by TAZ'!A:A,'Model Modeshare by TAZ'!D:D)</f>
        <v>NO</v>
      </c>
      <c r="D646" s="6">
        <v>3</v>
      </c>
      <c r="E646" s="6">
        <v>773</v>
      </c>
      <c r="F646" s="6">
        <v>2574</v>
      </c>
      <c r="G646" s="6">
        <v>2574</v>
      </c>
      <c r="H646" s="6">
        <v>1166</v>
      </c>
      <c r="I646" s="6">
        <v>465</v>
      </c>
      <c r="J646" s="6">
        <v>308</v>
      </c>
      <c r="K646" s="40">
        <v>11</v>
      </c>
      <c r="L646" s="40">
        <v>64</v>
      </c>
      <c r="M646" s="40">
        <v>83</v>
      </c>
      <c r="N646" s="40">
        <v>0</v>
      </c>
      <c r="O646" s="40">
        <v>0</v>
      </c>
      <c r="P646" s="40">
        <v>0</v>
      </c>
      <c r="Q646" s="40">
        <v>0</v>
      </c>
      <c r="R646" s="40">
        <v>83</v>
      </c>
      <c r="S646" s="40">
        <v>0</v>
      </c>
    </row>
    <row r="647" spans="1:19" x14ac:dyDescent="0.35">
      <c r="A647" s="38">
        <v>644</v>
      </c>
      <c r="B647" s="38" t="str">
        <f>_xlfn.XLOOKUP(A647,'Model Modeshare by TAZ'!A:A,'Model Modeshare by TAZ'!B:B)</f>
        <v>San Jose</v>
      </c>
      <c r="C647" s="38" t="str">
        <f>_xlfn.XLOOKUP(A647,'Model Modeshare by TAZ'!A:A,'Model Modeshare by TAZ'!D:D)</f>
        <v>NO</v>
      </c>
      <c r="D647" s="6">
        <v>3</v>
      </c>
      <c r="E647" s="6">
        <v>1349</v>
      </c>
      <c r="F647" s="6">
        <v>3625</v>
      </c>
      <c r="G647" s="6">
        <v>3647</v>
      </c>
      <c r="H647" s="6">
        <v>1989</v>
      </c>
      <c r="I647" s="6">
        <v>388</v>
      </c>
      <c r="J647" s="6">
        <v>961</v>
      </c>
      <c r="K647" s="40">
        <v>90</v>
      </c>
      <c r="L647" s="40">
        <v>1</v>
      </c>
      <c r="M647" s="40">
        <v>19</v>
      </c>
      <c r="N647" s="40">
        <v>1</v>
      </c>
      <c r="O647" s="40">
        <v>3</v>
      </c>
      <c r="P647" s="40">
        <v>15</v>
      </c>
      <c r="Q647" s="40">
        <v>0</v>
      </c>
      <c r="R647" s="40">
        <v>0</v>
      </c>
      <c r="S647" s="40">
        <v>0</v>
      </c>
    </row>
    <row r="648" spans="1:19" x14ac:dyDescent="0.35">
      <c r="A648" s="38">
        <v>645</v>
      </c>
      <c r="B648" s="38" t="str">
        <f>_xlfn.XLOOKUP(A648,'Model Modeshare by TAZ'!A:A,'Model Modeshare by TAZ'!B:B)</f>
        <v>San Jose</v>
      </c>
      <c r="C648" s="38" t="str">
        <f>_xlfn.XLOOKUP(A648,'Model Modeshare by TAZ'!A:A,'Model Modeshare by TAZ'!D:D)</f>
        <v>NO</v>
      </c>
      <c r="D648" s="6">
        <v>3</v>
      </c>
      <c r="E648" s="6">
        <v>204</v>
      </c>
      <c r="F648" s="6">
        <v>550</v>
      </c>
      <c r="G648" s="6">
        <v>556</v>
      </c>
      <c r="H648" s="6">
        <v>302</v>
      </c>
      <c r="I648" s="6">
        <v>59</v>
      </c>
      <c r="J648" s="6">
        <v>145</v>
      </c>
      <c r="K648" s="40">
        <v>47</v>
      </c>
      <c r="L648" s="40">
        <v>1</v>
      </c>
      <c r="M648" s="40">
        <v>26</v>
      </c>
      <c r="N648" s="40">
        <v>1</v>
      </c>
      <c r="O648" s="40">
        <v>2</v>
      </c>
      <c r="P648" s="40">
        <v>22</v>
      </c>
      <c r="Q648" s="40">
        <v>0</v>
      </c>
      <c r="R648" s="40">
        <v>0</v>
      </c>
      <c r="S648" s="40">
        <v>1</v>
      </c>
    </row>
    <row r="649" spans="1:19" x14ac:dyDescent="0.35">
      <c r="A649" s="38">
        <v>646</v>
      </c>
      <c r="B649" s="38" t="str">
        <f>_xlfn.XLOOKUP(A649,'Model Modeshare by TAZ'!A:A,'Model Modeshare by TAZ'!B:B)</f>
        <v>San Jose</v>
      </c>
      <c r="C649" s="38" t="str">
        <f>_xlfn.XLOOKUP(A649,'Model Modeshare by TAZ'!A:A,'Model Modeshare by TAZ'!D:D)</f>
        <v>NO</v>
      </c>
      <c r="D649" s="6">
        <v>3</v>
      </c>
      <c r="E649" s="6">
        <v>715</v>
      </c>
      <c r="F649" s="6">
        <v>1923</v>
      </c>
      <c r="G649" s="6">
        <v>1955</v>
      </c>
      <c r="H649" s="6">
        <v>1054</v>
      </c>
      <c r="I649" s="6">
        <v>206</v>
      </c>
      <c r="J649" s="6">
        <v>509</v>
      </c>
      <c r="K649" s="40">
        <v>85</v>
      </c>
      <c r="L649" s="40">
        <v>2</v>
      </c>
      <c r="M649" s="40">
        <v>342</v>
      </c>
      <c r="N649" s="40">
        <v>142</v>
      </c>
      <c r="O649" s="40">
        <v>163</v>
      </c>
      <c r="P649" s="40">
        <v>36</v>
      </c>
      <c r="Q649" s="40">
        <v>0</v>
      </c>
      <c r="R649" s="40">
        <v>0</v>
      </c>
      <c r="S649" s="40">
        <v>1</v>
      </c>
    </row>
    <row r="650" spans="1:19" x14ac:dyDescent="0.35">
      <c r="A650" s="38">
        <v>647</v>
      </c>
      <c r="B650" s="38" t="str">
        <f>_xlfn.XLOOKUP(A650,'Model Modeshare by TAZ'!A:A,'Model Modeshare by TAZ'!B:B)</f>
        <v>San Jose</v>
      </c>
      <c r="C650" s="38" t="str">
        <f>_xlfn.XLOOKUP(A650,'Model Modeshare by TAZ'!A:A,'Model Modeshare by TAZ'!D:D)</f>
        <v>NO</v>
      </c>
      <c r="D650" s="6">
        <v>3</v>
      </c>
      <c r="E650" s="6">
        <v>111</v>
      </c>
      <c r="F650" s="6">
        <v>318</v>
      </c>
      <c r="G650" s="6">
        <v>318</v>
      </c>
      <c r="H650" s="6">
        <v>185</v>
      </c>
      <c r="I650" s="6">
        <v>86</v>
      </c>
      <c r="J650" s="6">
        <v>25</v>
      </c>
      <c r="K650" s="40">
        <v>17</v>
      </c>
      <c r="L650" s="40">
        <v>9</v>
      </c>
      <c r="M650" s="40">
        <v>7</v>
      </c>
      <c r="N650" s="40">
        <v>0</v>
      </c>
      <c r="O650" s="40">
        <v>7</v>
      </c>
      <c r="P650" s="40">
        <v>0</v>
      </c>
      <c r="Q650" s="40">
        <v>0</v>
      </c>
      <c r="R650" s="40">
        <v>0</v>
      </c>
      <c r="S650" s="40">
        <v>0</v>
      </c>
    </row>
    <row r="651" spans="1:19" x14ac:dyDescent="0.35">
      <c r="A651" s="38">
        <v>648</v>
      </c>
      <c r="B651" s="38" t="str">
        <f>_xlfn.XLOOKUP(A651,'Model Modeshare by TAZ'!A:A,'Model Modeshare by TAZ'!B:B)</f>
        <v>San Jose</v>
      </c>
      <c r="C651" s="38" t="str">
        <f>_xlfn.XLOOKUP(A651,'Model Modeshare by TAZ'!A:A,'Model Modeshare by TAZ'!D:D)</f>
        <v>NO</v>
      </c>
      <c r="D651" s="6">
        <v>3</v>
      </c>
      <c r="E651" s="6">
        <v>1330</v>
      </c>
      <c r="F651" s="6">
        <v>3806</v>
      </c>
      <c r="G651" s="6">
        <v>3807</v>
      </c>
      <c r="H651" s="6">
        <v>2212</v>
      </c>
      <c r="I651" s="6">
        <v>1024</v>
      </c>
      <c r="J651" s="6">
        <v>306</v>
      </c>
      <c r="K651" s="40">
        <v>190</v>
      </c>
      <c r="L651" s="40">
        <v>15</v>
      </c>
      <c r="M651" s="40">
        <v>362</v>
      </c>
      <c r="N651" s="40">
        <v>78</v>
      </c>
      <c r="O651" s="40">
        <v>165</v>
      </c>
      <c r="P651" s="40">
        <v>57</v>
      </c>
      <c r="Q651" s="40">
        <v>43</v>
      </c>
      <c r="R651" s="40">
        <v>18</v>
      </c>
      <c r="S651" s="40">
        <v>1</v>
      </c>
    </row>
    <row r="652" spans="1:19" x14ac:dyDescent="0.35">
      <c r="A652" s="38">
        <v>649</v>
      </c>
      <c r="B652" s="38" t="str">
        <f>_xlfn.XLOOKUP(A652,'Model Modeshare by TAZ'!A:A,'Model Modeshare by TAZ'!B:B)</f>
        <v>San Jose</v>
      </c>
      <c r="C652" s="38" t="str">
        <f>_xlfn.XLOOKUP(A652,'Model Modeshare by TAZ'!A:A,'Model Modeshare by TAZ'!D:D)</f>
        <v>NO</v>
      </c>
      <c r="D652" s="6">
        <v>3</v>
      </c>
      <c r="E652" s="6">
        <v>391</v>
      </c>
      <c r="F652" s="6">
        <v>1218</v>
      </c>
      <c r="G652" s="6">
        <v>1230</v>
      </c>
      <c r="H652" s="6">
        <v>674</v>
      </c>
      <c r="I652" s="6">
        <v>287</v>
      </c>
      <c r="J652" s="6">
        <v>104</v>
      </c>
      <c r="K652" s="40">
        <v>26</v>
      </c>
      <c r="L652" s="40">
        <v>5</v>
      </c>
      <c r="M652" s="40">
        <v>34</v>
      </c>
      <c r="N652" s="40">
        <v>3</v>
      </c>
      <c r="O652" s="40">
        <v>10</v>
      </c>
      <c r="P652" s="40">
        <v>20</v>
      </c>
      <c r="Q652" s="40">
        <v>0</v>
      </c>
      <c r="R652" s="40">
        <v>0</v>
      </c>
      <c r="S652" s="40">
        <v>1</v>
      </c>
    </row>
    <row r="653" spans="1:19" x14ac:dyDescent="0.35">
      <c r="A653" s="38">
        <v>650</v>
      </c>
      <c r="B653" s="38" t="str">
        <f>_xlfn.XLOOKUP(A653,'Model Modeshare by TAZ'!A:A,'Model Modeshare by TAZ'!B:B)</f>
        <v>San Jose</v>
      </c>
      <c r="C653" s="38" t="str">
        <f>_xlfn.XLOOKUP(A653,'Model Modeshare by TAZ'!A:A,'Model Modeshare by TAZ'!D:D)</f>
        <v>NO</v>
      </c>
      <c r="D653" s="6">
        <v>3</v>
      </c>
      <c r="E653" s="6">
        <v>27</v>
      </c>
      <c r="F653" s="6">
        <v>78</v>
      </c>
      <c r="G653" s="6">
        <v>78</v>
      </c>
      <c r="H653" s="6">
        <v>38</v>
      </c>
      <c r="I653" s="6">
        <v>11</v>
      </c>
      <c r="J653" s="6">
        <v>16</v>
      </c>
      <c r="K653" s="40">
        <v>5</v>
      </c>
      <c r="L653" s="40">
        <v>32</v>
      </c>
      <c r="M653" s="40">
        <v>287</v>
      </c>
      <c r="N653" s="40">
        <v>57</v>
      </c>
      <c r="O653" s="40">
        <v>229</v>
      </c>
      <c r="P653" s="40">
        <v>0</v>
      </c>
      <c r="Q653" s="40">
        <v>0</v>
      </c>
      <c r="R653" s="40">
        <v>0</v>
      </c>
      <c r="S653" s="40">
        <v>1</v>
      </c>
    </row>
    <row r="654" spans="1:19" x14ac:dyDescent="0.35">
      <c r="A654" s="38">
        <v>651</v>
      </c>
      <c r="B654" s="38" t="str">
        <f>_xlfn.XLOOKUP(A654,'Model Modeshare by TAZ'!A:A,'Model Modeshare by TAZ'!B:B)</f>
        <v>San Jose</v>
      </c>
      <c r="C654" s="38" t="str">
        <f>_xlfn.XLOOKUP(A654,'Model Modeshare by TAZ'!A:A,'Model Modeshare by TAZ'!D:D)</f>
        <v>NO</v>
      </c>
      <c r="D654" s="6">
        <v>3</v>
      </c>
      <c r="E654" s="6">
        <v>643</v>
      </c>
      <c r="F654" s="6">
        <v>2013</v>
      </c>
      <c r="G654" s="6">
        <v>2027</v>
      </c>
      <c r="H654" s="6">
        <v>1132</v>
      </c>
      <c r="I654" s="6">
        <v>598</v>
      </c>
      <c r="J654" s="6">
        <v>45</v>
      </c>
      <c r="K654" s="40">
        <v>147</v>
      </c>
      <c r="L654" s="40">
        <v>1</v>
      </c>
      <c r="M654" s="40">
        <v>501</v>
      </c>
      <c r="N654" s="40">
        <v>0</v>
      </c>
      <c r="O654" s="40">
        <v>0</v>
      </c>
      <c r="P654" s="40">
        <v>205</v>
      </c>
      <c r="Q654" s="40">
        <v>283</v>
      </c>
      <c r="R654" s="40">
        <v>0</v>
      </c>
      <c r="S654" s="40">
        <v>13</v>
      </c>
    </row>
    <row r="655" spans="1:19" x14ac:dyDescent="0.35">
      <c r="A655" s="38">
        <v>652</v>
      </c>
      <c r="B655" s="38" t="str">
        <f>_xlfn.XLOOKUP(A655,'Model Modeshare by TAZ'!A:A,'Model Modeshare by TAZ'!B:B)</f>
        <v>San Jose</v>
      </c>
      <c r="C655" s="38" t="str">
        <f>_xlfn.XLOOKUP(A655,'Model Modeshare by TAZ'!A:A,'Model Modeshare by TAZ'!D:D)</f>
        <v>NO</v>
      </c>
      <c r="D655" s="6">
        <v>3</v>
      </c>
      <c r="E655" s="6">
        <v>215</v>
      </c>
      <c r="F655" s="6">
        <v>676</v>
      </c>
      <c r="G655" s="6">
        <v>683</v>
      </c>
      <c r="H655" s="6">
        <v>379</v>
      </c>
      <c r="I655" s="6">
        <v>200</v>
      </c>
      <c r="J655" s="6">
        <v>15</v>
      </c>
      <c r="K655" s="40">
        <v>39</v>
      </c>
      <c r="L655" s="40">
        <v>22</v>
      </c>
      <c r="M655" s="40">
        <v>101</v>
      </c>
      <c r="N655" s="40">
        <v>65</v>
      </c>
      <c r="O655" s="40">
        <v>36</v>
      </c>
      <c r="P655" s="40">
        <v>0</v>
      </c>
      <c r="Q655" s="40">
        <v>0</v>
      </c>
      <c r="R655" s="40">
        <v>0</v>
      </c>
      <c r="S655" s="40">
        <v>0</v>
      </c>
    </row>
    <row r="656" spans="1:19" x14ac:dyDescent="0.35">
      <c r="A656" s="38">
        <v>653</v>
      </c>
      <c r="B656" s="38" t="str">
        <f>_xlfn.XLOOKUP(A656,'Model Modeshare by TAZ'!A:A,'Model Modeshare by TAZ'!B:B)</f>
        <v>San Jose</v>
      </c>
      <c r="C656" s="38" t="str">
        <f>_xlfn.XLOOKUP(A656,'Model Modeshare by TAZ'!A:A,'Model Modeshare by TAZ'!D:D)</f>
        <v>NO</v>
      </c>
      <c r="D656" s="6">
        <v>3</v>
      </c>
      <c r="E656" s="6">
        <v>372</v>
      </c>
      <c r="F656" s="6">
        <v>1162</v>
      </c>
      <c r="G656" s="6">
        <v>1168</v>
      </c>
      <c r="H656" s="6">
        <v>654</v>
      </c>
      <c r="I656" s="6">
        <v>346</v>
      </c>
      <c r="J656" s="6">
        <v>26</v>
      </c>
      <c r="K656" s="40">
        <v>78</v>
      </c>
      <c r="L656" s="40">
        <v>7</v>
      </c>
      <c r="M656" s="40">
        <v>144</v>
      </c>
      <c r="N656" s="40">
        <v>82</v>
      </c>
      <c r="O656" s="40">
        <v>45</v>
      </c>
      <c r="P656" s="40">
        <v>17</v>
      </c>
      <c r="Q656" s="40">
        <v>0</v>
      </c>
      <c r="R656" s="40">
        <v>0</v>
      </c>
      <c r="S656" s="40">
        <v>0</v>
      </c>
    </row>
    <row r="657" spans="1:19" x14ac:dyDescent="0.35">
      <c r="A657" s="38">
        <v>654</v>
      </c>
      <c r="B657" s="38" t="str">
        <f>_xlfn.XLOOKUP(A657,'Model Modeshare by TAZ'!A:A,'Model Modeshare by TAZ'!B:B)</f>
        <v>San Jose</v>
      </c>
      <c r="C657" s="38" t="str">
        <f>_xlfn.XLOOKUP(A657,'Model Modeshare by TAZ'!A:A,'Model Modeshare by TAZ'!D:D)</f>
        <v>NO</v>
      </c>
      <c r="D657" s="6">
        <v>3</v>
      </c>
      <c r="E657" s="6">
        <v>991</v>
      </c>
      <c r="F657" s="6">
        <v>3103</v>
      </c>
      <c r="G657" s="6">
        <v>3109</v>
      </c>
      <c r="H657" s="6">
        <v>1745</v>
      </c>
      <c r="I657" s="6">
        <v>920</v>
      </c>
      <c r="J657" s="6">
        <v>71</v>
      </c>
      <c r="K657" s="40">
        <v>205</v>
      </c>
      <c r="L657" s="40">
        <v>31</v>
      </c>
      <c r="M657" s="40">
        <v>536</v>
      </c>
      <c r="N657" s="40">
        <v>235</v>
      </c>
      <c r="O657" s="40">
        <v>183</v>
      </c>
      <c r="P657" s="40">
        <v>25</v>
      </c>
      <c r="Q657" s="40">
        <v>4</v>
      </c>
      <c r="R657" s="40">
        <v>0</v>
      </c>
      <c r="S657" s="40">
        <v>89</v>
      </c>
    </row>
    <row r="658" spans="1:19" x14ac:dyDescent="0.35">
      <c r="A658" s="38">
        <v>655</v>
      </c>
      <c r="B658" s="38" t="str">
        <f>_xlfn.XLOOKUP(A658,'Model Modeshare by TAZ'!A:A,'Model Modeshare by TAZ'!B:B)</f>
        <v>San Jose</v>
      </c>
      <c r="C658" s="38" t="str">
        <f>_xlfn.XLOOKUP(A658,'Model Modeshare by TAZ'!A:A,'Model Modeshare by TAZ'!D:D)</f>
        <v>NO</v>
      </c>
      <c r="D658" s="6">
        <v>3</v>
      </c>
      <c r="E658" s="6">
        <v>593</v>
      </c>
      <c r="F658" s="6">
        <v>1680</v>
      </c>
      <c r="G658" s="6">
        <v>1699</v>
      </c>
      <c r="H658" s="6">
        <v>990</v>
      </c>
      <c r="I658" s="6">
        <v>485</v>
      </c>
      <c r="J658" s="6">
        <v>108</v>
      </c>
      <c r="K658" s="40">
        <v>119</v>
      </c>
      <c r="L658" s="40">
        <v>31</v>
      </c>
      <c r="M658" s="40">
        <v>130</v>
      </c>
      <c r="N658" s="40">
        <v>1</v>
      </c>
      <c r="O658" s="40">
        <v>50</v>
      </c>
      <c r="P658" s="40">
        <v>0</v>
      </c>
      <c r="Q658" s="40">
        <v>0</v>
      </c>
      <c r="R658" s="40">
        <v>77</v>
      </c>
      <c r="S658" s="40">
        <v>2</v>
      </c>
    </row>
    <row r="659" spans="1:19" x14ac:dyDescent="0.35">
      <c r="A659" s="38">
        <v>656</v>
      </c>
      <c r="B659" s="38" t="str">
        <f>_xlfn.XLOOKUP(A659,'Model Modeshare by TAZ'!A:A,'Model Modeshare by TAZ'!B:B)</f>
        <v>San Jose</v>
      </c>
      <c r="C659" s="38" t="str">
        <f>_xlfn.XLOOKUP(A659,'Model Modeshare by TAZ'!A:A,'Model Modeshare by TAZ'!D:D)</f>
        <v>NO</v>
      </c>
      <c r="D659" s="6">
        <v>3</v>
      </c>
      <c r="E659" s="6">
        <v>520</v>
      </c>
      <c r="F659" s="6">
        <v>1475</v>
      </c>
      <c r="G659" s="6">
        <v>1478</v>
      </c>
      <c r="H659" s="6">
        <v>869</v>
      </c>
      <c r="I659" s="6">
        <v>426</v>
      </c>
      <c r="J659" s="6">
        <v>94</v>
      </c>
      <c r="K659" s="40">
        <v>61</v>
      </c>
      <c r="L659" s="40">
        <v>7</v>
      </c>
      <c r="M659" s="40">
        <v>126</v>
      </c>
      <c r="N659" s="40">
        <v>2</v>
      </c>
      <c r="O659" s="40">
        <v>29</v>
      </c>
      <c r="P659" s="40">
        <v>93</v>
      </c>
      <c r="Q659" s="40">
        <v>0</v>
      </c>
      <c r="R659" s="40">
        <v>2</v>
      </c>
      <c r="S659" s="40">
        <v>0</v>
      </c>
    </row>
    <row r="660" spans="1:19" x14ac:dyDescent="0.35">
      <c r="A660" s="38">
        <v>657</v>
      </c>
      <c r="B660" s="38" t="str">
        <f>_xlfn.XLOOKUP(A660,'Model Modeshare by TAZ'!A:A,'Model Modeshare by TAZ'!B:B)</f>
        <v>San Jose</v>
      </c>
      <c r="C660" s="38" t="str">
        <f>_xlfn.XLOOKUP(A660,'Model Modeshare by TAZ'!A:A,'Model Modeshare by TAZ'!D:D)</f>
        <v>NO</v>
      </c>
      <c r="D660" s="6">
        <v>3</v>
      </c>
      <c r="E660" s="6">
        <v>785</v>
      </c>
      <c r="F660" s="6">
        <v>3048</v>
      </c>
      <c r="G660" s="6">
        <v>3054</v>
      </c>
      <c r="H660" s="6">
        <v>1438</v>
      </c>
      <c r="I660" s="6">
        <v>402</v>
      </c>
      <c r="J660" s="6">
        <v>383</v>
      </c>
      <c r="K660" s="40">
        <v>121</v>
      </c>
      <c r="L660" s="40">
        <v>4</v>
      </c>
      <c r="M660" s="40">
        <v>132</v>
      </c>
      <c r="N660" s="40">
        <v>9</v>
      </c>
      <c r="O660" s="40">
        <v>42</v>
      </c>
      <c r="P660" s="40">
        <v>69</v>
      </c>
      <c r="Q660" s="40">
        <v>3</v>
      </c>
      <c r="R660" s="40">
        <v>6</v>
      </c>
      <c r="S660" s="40">
        <v>3</v>
      </c>
    </row>
    <row r="661" spans="1:19" x14ac:dyDescent="0.35">
      <c r="A661" s="38">
        <v>658</v>
      </c>
      <c r="B661" s="38" t="str">
        <f>_xlfn.XLOOKUP(A661,'Model Modeshare by TAZ'!A:A,'Model Modeshare by TAZ'!B:B)</f>
        <v>San Jose</v>
      </c>
      <c r="C661" s="38" t="str">
        <f>_xlfn.XLOOKUP(A661,'Model Modeshare by TAZ'!A:A,'Model Modeshare by TAZ'!D:D)</f>
        <v>NO</v>
      </c>
      <c r="D661" s="6">
        <v>3</v>
      </c>
      <c r="E661" s="6">
        <v>1415</v>
      </c>
      <c r="F661" s="6">
        <v>4332</v>
      </c>
      <c r="G661" s="6">
        <v>4350</v>
      </c>
      <c r="H661" s="6">
        <v>2638</v>
      </c>
      <c r="I661" s="6">
        <v>1097</v>
      </c>
      <c r="J661" s="6">
        <v>318</v>
      </c>
      <c r="K661" s="40">
        <v>254</v>
      </c>
      <c r="L661" s="40">
        <v>32</v>
      </c>
      <c r="M661" s="40">
        <v>221</v>
      </c>
      <c r="N661" s="40">
        <v>19</v>
      </c>
      <c r="O661" s="40">
        <v>16</v>
      </c>
      <c r="P661" s="40">
        <v>186</v>
      </c>
      <c r="Q661" s="40">
        <v>0</v>
      </c>
      <c r="R661" s="40">
        <v>0</v>
      </c>
      <c r="S661" s="40">
        <v>0</v>
      </c>
    </row>
    <row r="662" spans="1:19" x14ac:dyDescent="0.35">
      <c r="A662" s="38">
        <v>659</v>
      </c>
      <c r="B662" s="38" t="str">
        <f>_xlfn.XLOOKUP(A662,'Model Modeshare by TAZ'!A:A,'Model Modeshare by TAZ'!B:B)</f>
        <v>San Jose</v>
      </c>
      <c r="C662" s="38" t="str">
        <f>_xlfn.XLOOKUP(A662,'Model Modeshare by TAZ'!A:A,'Model Modeshare by TAZ'!D:D)</f>
        <v>NO</v>
      </c>
      <c r="D662" s="6">
        <v>3</v>
      </c>
      <c r="E662" s="6">
        <v>590</v>
      </c>
      <c r="F662" s="6">
        <v>1807</v>
      </c>
      <c r="G662" s="6">
        <v>1815</v>
      </c>
      <c r="H662" s="6">
        <v>1100</v>
      </c>
      <c r="I662" s="6">
        <v>458</v>
      </c>
      <c r="J662" s="6">
        <v>132</v>
      </c>
      <c r="K662" s="40">
        <v>78</v>
      </c>
      <c r="L662" s="40">
        <v>6</v>
      </c>
      <c r="M662" s="40">
        <v>198</v>
      </c>
      <c r="N662" s="40">
        <v>89</v>
      </c>
      <c r="O662" s="40">
        <v>101</v>
      </c>
      <c r="P662" s="40">
        <v>8</v>
      </c>
      <c r="Q662" s="40">
        <v>0</v>
      </c>
      <c r="R662" s="40">
        <v>0</v>
      </c>
      <c r="S662" s="40">
        <v>0</v>
      </c>
    </row>
    <row r="663" spans="1:19" x14ac:dyDescent="0.35">
      <c r="A663" s="38">
        <v>660</v>
      </c>
      <c r="B663" s="38" t="str">
        <f>_xlfn.XLOOKUP(A663,'Model Modeshare by TAZ'!A:A,'Model Modeshare by TAZ'!B:B)</f>
        <v>San Jose</v>
      </c>
      <c r="C663" s="38" t="str">
        <f>_xlfn.XLOOKUP(A663,'Model Modeshare by TAZ'!A:A,'Model Modeshare by TAZ'!D:D)</f>
        <v>NO</v>
      </c>
      <c r="D663" s="6">
        <v>3</v>
      </c>
      <c r="E663" s="6">
        <v>1862</v>
      </c>
      <c r="F663" s="6">
        <v>5512</v>
      </c>
      <c r="G663" s="6">
        <v>5520</v>
      </c>
      <c r="H663" s="6">
        <v>2905</v>
      </c>
      <c r="I663" s="6">
        <v>756</v>
      </c>
      <c r="J663" s="6">
        <v>1106</v>
      </c>
      <c r="K663" s="40">
        <v>156</v>
      </c>
      <c r="L663" s="40">
        <v>75</v>
      </c>
      <c r="M663" s="40">
        <v>423</v>
      </c>
      <c r="N663" s="40">
        <v>56</v>
      </c>
      <c r="O663" s="40">
        <v>221</v>
      </c>
      <c r="P663" s="40">
        <v>142</v>
      </c>
      <c r="Q663" s="40">
        <v>0</v>
      </c>
      <c r="R663" s="40">
        <v>0</v>
      </c>
      <c r="S663" s="40">
        <v>4</v>
      </c>
    </row>
    <row r="664" spans="1:19" x14ac:dyDescent="0.35">
      <c r="A664" s="38">
        <v>661</v>
      </c>
      <c r="B664" s="38" t="str">
        <f>_xlfn.XLOOKUP(A664,'Model Modeshare by TAZ'!A:A,'Model Modeshare by TAZ'!B:B)</f>
        <v>San Jose</v>
      </c>
      <c r="C664" s="38" t="str">
        <f>_xlfn.XLOOKUP(A664,'Model Modeshare by TAZ'!A:A,'Model Modeshare by TAZ'!D:D)</f>
        <v>NO</v>
      </c>
      <c r="D664" s="6">
        <v>3</v>
      </c>
      <c r="E664" s="6">
        <v>1720</v>
      </c>
      <c r="F664" s="6">
        <v>5342</v>
      </c>
      <c r="G664" s="6">
        <v>5349</v>
      </c>
      <c r="H664" s="6">
        <v>2352</v>
      </c>
      <c r="I664" s="6">
        <v>534</v>
      </c>
      <c r="J664" s="6">
        <v>1186</v>
      </c>
      <c r="K664" s="40">
        <v>213</v>
      </c>
      <c r="L664" s="40">
        <v>32</v>
      </c>
      <c r="M664" s="40">
        <v>324</v>
      </c>
      <c r="N664" s="40">
        <v>97</v>
      </c>
      <c r="O664" s="40">
        <v>136</v>
      </c>
      <c r="P664" s="40">
        <v>80</v>
      </c>
      <c r="Q664" s="40">
        <v>7</v>
      </c>
      <c r="R664" s="40">
        <v>1</v>
      </c>
      <c r="S664" s="40">
        <v>3</v>
      </c>
    </row>
    <row r="665" spans="1:19" x14ac:dyDescent="0.35">
      <c r="A665" s="38">
        <v>662</v>
      </c>
      <c r="B665" s="38" t="str">
        <f>_xlfn.XLOOKUP(A665,'Model Modeshare by TAZ'!A:A,'Model Modeshare by TAZ'!B:B)</f>
        <v>San Jose</v>
      </c>
      <c r="C665" s="38" t="str">
        <f>_xlfn.XLOOKUP(A665,'Model Modeshare by TAZ'!A:A,'Model Modeshare by TAZ'!D:D)</f>
        <v>NO</v>
      </c>
      <c r="D665" s="6">
        <v>3</v>
      </c>
      <c r="E665" s="6">
        <v>452</v>
      </c>
      <c r="F665" s="6">
        <v>1389</v>
      </c>
      <c r="G665" s="6">
        <v>1389</v>
      </c>
      <c r="H665" s="6">
        <v>788</v>
      </c>
      <c r="I665" s="6">
        <v>446</v>
      </c>
      <c r="J665" s="6">
        <v>6</v>
      </c>
      <c r="K665" s="40">
        <v>36</v>
      </c>
      <c r="L665" s="40">
        <v>1.66</v>
      </c>
      <c r="M665" s="40">
        <v>207</v>
      </c>
      <c r="N665" s="40">
        <v>14</v>
      </c>
      <c r="O665" s="40">
        <v>193</v>
      </c>
      <c r="P665" s="40">
        <v>0</v>
      </c>
      <c r="Q665" s="40">
        <v>0</v>
      </c>
      <c r="R665" s="40">
        <v>0</v>
      </c>
      <c r="S665" s="40">
        <v>0</v>
      </c>
    </row>
    <row r="666" spans="1:19" x14ac:dyDescent="0.35">
      <c r="A666" s="38">
        <v>663</v>
      </c>
      <c r="B666" s="38" t="str">
        <f>_xlfn.XLOOKUP(A666,'Model Modeshare by TAZ'!A:A,'Model Modeshare by TAZ'!B:B)</f>
        <v>San Jose</v>
      </c>
      <c r="C666" s="38" t="str">
        <f>_xlfn.XLOOKUP(A666,'Model Modeshare by TAZ'!A:A,'Model Modeshare by TAZ'!D:D)</f>
        <v>NO</v>
      </c>
      <c r="D666" s="6">
        <v>3</v>
      </c>
      <c r="E666" s="6">
        <v>30</v>
      </c>
      <c r="F666" s="6">
        <v>92</v>
      </c>
      <c r="G666" s="6">
        <v>92</v>
      </c>
      <c r="H666" s="6">
        <v>53</v>
      </c>
      <c r="I666" s="6">
        <v>23</v>
      </c>
      <c r="J666" s="6">
        <v>7</v>
      </c>
      <c r="K666" s="40">
        <v>40</v>
      </c>
      <c r="L666" s="40">
        <v>129</v>
      </c>
      <c r="M666" s="40">
        <v>1963</v>
      </c>
      <c r="N666" s="40">
        <v>225</v>
      </c>
      <c r="O666" s="40">
        <v>1094</v>
      </c>
      <c r="P666" s="40">
        <v>33</v>
      </c>
      <c r="Q666" s="40">
        <v>0</v>
      </c>
      <c r="R666" s="40">
        <v>611</v>
      </c>
      <c r="S666" s="40">
        <v>0</v>
      </c>
    </row>
    <row r="667" spans="1:19" x14ac:dyDescent="0.35">
      <c r="A667" s="38">
        <v>664</v>
      </c>
      <c r="B667" s="38" t="str">
        <f>_xlfn.XLOOKUP(A667,'Model Modeshare by TAZ'!A:A,'Model Modeshare by TAZ'!B:B)</f>
        <v>San Jose</v>
      </c>
      <c r="C667" s="38" t="str">
        <f>_xlfn.XLOOKUP(A667,'Model Modeshare by TAZ'!A:A,'Model Modeshare by TAZ'!D:D)</f>
        <v>NO</v>
      </c>
      <c r="D667" s="6">
        <v>3</v>
      </c>
      <c r="E667" s="6">
        <v>423</v>
      </c>
      <c r="F667" s="6">
        <v>1315</v>
      </c>
      <c r="G667" s="6">
        <v>1318</v>
      </c>
      <c r="H667" s="6">
        <v>731</v>
      </c>
      <c r="I667" s="6">
        <v>423</v>
      </c>
      <c r="J667" s="6">
        <v>0</v>
      </c>
      <c r="K667" s="40">
        <v>49</v>
      </c>
      <c r="L667" s="40">
        <v>59</v>
      </c>
      <c r="M667" s="40">
        <v>1794</v>
      </c>
      <c r="N667" s="40">
        <v>59</v>
      </c>
      <c r="O667" s="40">
        <v>650</v>
      </c>
      <c r="P667" s="40">
        <v>45</v>
      </c>
      <c r="Q667" s="40">
        <v>0</v>
      </c>
      <c r="R667" s="40">
        <v>1038</v>
      </c>
      <c r="S667" s="40">
        <v>2</v>
      </c>
    </row>
    <row r="668" spans="1:19" x14ac:dyDescent="0.35">
      <c r="A668" s="38">
        <v>665</v>
      </c>
      <c r="B668" s="38" t="str">
        <f>_xlfn.XLOOKUP(A668,'Model Modeshare by TAZ'!A:A,'Model Modeshare by TAZ'!B:B)</f>
        <v>San Jose</v>
      </c>
      <c r="C668" s="38" t="str">
        <f>_xlfn.XLOOKUP(A668,'Model Modeshare by TAZ'!A:A,'Model Modeshare by TAZ'!D:D)</f>
        <v>NO</v>
      </c>
      <c r="D668" s="6">
        <v>3</v>
      </c>
      <c r="E668" s="6">
        <v>408</v>
      </c>
      <c r="F668" s="6">
        <v>1251</v>
      </c>
      <c r="G668" s="6">
        <v>1251</v>
      </c>
      <c r="H668" s="6">
        <v>707</v>
      </c>
      <c r="I668" s="6">
        <v>322</v>
      </c>
      <c r="J668" s="6">
        <v>86</v>
      </c>
      <c r="K668" s="40">
        <v>74</v>
      </c>
      <c r="L668" s="40">
        <v>46</v>
      </c>
      <c r="M668" s="40">
        <v>1536</v>
      </c>
      <c r="N668" s="40">
        <v>14</v>
      </c>
      <c r="O668" s="40">
        <v>50</v>
      </c>
      <c r="P668" s="40">
        <v>1407</v>
      </c>
      <c r="Q668" s="40">
        <v>0</v>
      </c>
      <c r="R668" s="40">
        <v>65</v>
      </c>
      <c r="S668" s="40">
        <v>0</v>
      </c>
    </row>
    <row r="669" spans="1:19" x14ac:dyDescent="0.35">
      <c r="A669" s="38">
        <v>666</v>
      </c>
      <c r="B669" s="38" t="str">
        <f>_xlfn.XLOOKUP(A669,'Model Modeshare by TAZ'!A:A,'Model Modeshare by TAZ'!B:B)</f>
        <v>San Jose</v>
      </c>
      <c r="C669" s="38" t="str">
        <f>_xlfn.XLOOKUP(A669,'Model Modeshare by TAZ'!A:A,'Model Modeshare by TAZ'!D:D)</f>
        <v>NO</v>
      </c>
      <c r="D669" s="6">
        <v>3</v>
      </c>
      <c r="E669" s="6">
        <v>968</v>
      </c>
      <c r="F669" s="6">
        <v>3272</v>
      </c>
      <c r="G669" s="6">
        <v>3283</v>
      </c>
      <c r="H669" s="6">
        <v>1745</v>
      </c>
      <c r="I669" s="6">
        <v>964</v>
      </c>
      <c r="J669" s="6">
        <v>4</v>
      </c>
      <c r="K669" s="40">
        <v>255</v>
      </c>
      <c r="L669" s="40">
        <v>1</v>
      </c>
      <c r="M669" s="40">
        <v>309</v>
      </c>
      <c r="N669" s="40">
        <v>0</v>
      </c>
      <c r="O669" s="40">
        <v>0</v>
      </c>
      <c r="P669" s="40">
        <v>293</v>
      </c>
      <c r="Q669" s="40">
        <v>16</v>
      </c>
      <c r="R669" s="40">
        <v>0</v>
      </c>
      <c r="S669" s="40">
        <v>0</v>
      </c>
    </row>
    <row r="670" spans="1:19" x14ac:dyDescent="0.35">
      <c r="A670" s="38">
        <v>667</v>
      </c>
      <c r="B670" s="38" t="str">
        <f>_xlfn.XLOOKUP(A670,'Model Modeshare by TAZ'!A:A,'Model Modeshare by TAZ'!B:B)</f>
        <v>San Jose</v>
      </c>
      <c r="C670" s="38" t="str">
        <f>_xlfn.XLOOKUP(A670,'Model Modeshare by TAZ'!A:A,'Model Modeshare by TAZ'!D:D)</f>
        <v>NO</v>
      </c>
      <c r="D670" s="6">
        <v>3</v>
      </c>
      <c r="E670" s="6">
        <v>8</v>
      </c>
      <c r="F670" s="6">
        <v>16</v>
      </c>
      <c r="G670" s="6">
        <v>56</v>
      </c>
      <c r="H670" s="6">
        <v>16</v>
      </c>
      <c r="I670" s="6">
        <v>8</v>
      </c>
      <c r="J670" s="6">
        <v>0</v>
      </c>
      <c r="K670" s="40">
        <v>31</v>
      </c>
      <c r="L670" s="40">
        <v>11.07</v>
      </c>
      <c r="M670" s="40">
        <v>139</v>
      </c>
      <c r="N670" s="40">
        <v>1</v>
      </c>
      <c r="O670" s="40">
        <v>22</v>
      </c>
      <c r="P670" s="40">
        <v>10</v>
      </c>
      <c r="Q670" s="40">
        <v>2</v>
      </c>
      <c r="R670" s="40">
        <v>104</v>
      </c>
      <c r="S670" s="40">
        <v>0</v>
      </c>
    </row>
    <row r="671" spans="1:19" x14ac:dyDescent="0.35">
      <c r="A671" s="38">
        <v>668</v>
      </c>
      <c r="B671" s="38" t="str">
        <f>_xlfn.XLOOKUP(A671,'Model Modeshare by TAZ'!A:A,'Model Modeshare by TAZ'!B:B)</f>
        <v>San Jose</v>
      </c>
      <c r="C671" s="38" t="str">
        <f>_xlfn.XLOOKUP(A671,'Model Modeshare by TAZ'!A:A,'Model Modeshare by TAZ'!D:D)</f>
        <v>NO</v>
      </c>
      <c r="D671" s="6">
        <v>3</v>
      </c>
      <c r="E671" s="6">
        <v>9</v>
      </c>
      <c r="F671" s="6">
        <v>36</v>
      </c>
      <c r="G671" s="6">
        <v>36</v>
      </c>
      <c r="H671" s="6">
        <v>18</v>
      </c>
      <c r="I671" s="6">
        <v>9</v>
      </c>
      <c r="J671" s="6">
        <v>0</v>
      </c>
      <c r="K671" s="40">
        <v>3</v>
      </c>
      <c r="L671" s="40">
        <v>114</v>
      </c>
      <c r="M671" s="40">
        <v>2690</v>
      </c>
      <c r="N671" s="40">
        <v>283</v>
      </c>
      <c r="O671" s="40">
        <v>1197</v>
      </c>
      <c r="P671" s="40">
        <v>397</v>
      </c>
      <c r="Q671" s="40">
        <v>5</v>
      </c>
      <c r="R671" s="40">
        <v>806</v>
      </c>
      <c r="S671" s="40">
        <v>2</v>
      </c>
    </row>
    <row r="672" spans="1:19" x14ac:dyDescent="0.35">
      <c r="A672" s="38">
        <v>669</v>
      </c>
      <c r="B672" s="38" t="str">
        <f>_xlfn.XLOOKUP(A672,'Model Modeshare by TAZ'!A:A,'Model Modeshare by TAZ'!B:B)</f>
        <v>San Jose</v>
      </c>
      <c r="C672" s="38" t="str">
        <f>_xlfn.XLOOKUP(A672,'Model Modeshare by TAZ'!A:A,'Model Modeshare by TAZ'!D:D)</f>
        <v>NO</v>
      </c>
      <c r="D672" s="6">
        <v>3</v>
      </c>
      <c r="E672" s="6">
        <v>284</v>
      </c>
      <c r="F672" s="6">
        <v>882</v>
      </c>
      <c r="G672" s="6">
        <v>882</v>
      </c>
      <c r="H672" s="6">
        <v>444</v>
      </c>
      <c r="I672" s="6">
        <v>262</v>
      </c>
      <c r="J672" s="6">
        <v>22</v>
      </c>
      <c r="K672" s="40">
        <v>16</v>
      </c>
      <c r="L672" s="40">
        <v>0</v>
      </c>
      <c r="M672" s="40">
        <v>0</v>
      </c>
      <c r="N672" s="40">
        <v>0</v>
      </c>
      <c r="O672" s="40">
        <v>0</v>
      </c>
      <c r="P672" s="40">
        <v>0</v>
      </c>
      <c r="Q672" s="40">
        <v>0</v>
      </c>
      <c r="R672" s="40">
        <v>0</v>
      </c>
      <c r="S672" s="40">
        <v>0</v>
      </c>
    </row>
    <row r="673" spans="1:19" x14ac:dyDescent="0.35">
      <c r="A673" s="38">
        <v>670</v>
      </c>
      <c r="B673" s="38" t="str">
        <f>_xlfn.XLOOKUP(A673,'Model Modeshare by TAZ'!A:A,'Model Modeshare by TAZ'!B:B)</f>
        <v>San Jose</v>
      </c>
      <c r="C673" s="38" t="str">
        <f>_xlfn.XLOOKUP(A673,'Model Modeshare by TAZ'!A:A,'Model Modeshare by TAZ'!D:D)</f>
        <v>NO</v>
      </c>
      <c r="D673" s="6">
        <v>3</v>
      </c>
      <c r="E673" s="6">
        <v>730</v>
      </c>
      <c r="F673" s="6">
        <v>2276</v>
      </c>
      <c r="G673" s="6">
        <v>2276</v>
      </c>
      <c r="H673" s="6">
        <v>1145</v>
      </c>
      <c r="I673" s="6">
        <v>674</v>
      </c>
      <c r="J673" s="6">
        <v>56</v>
      </c>
      <c r="K673" s="40">
        <v>118</v>
      </c>
      <c r="L673" s="40">
        <v>76</v>
      </c>
      <c r="M673" s="40">
        <v>530</v>
      </c>
      <c r="N673" s="40">
        <v>219</v>
      </c>
      <c r="O673" s="40">
        <v>200</v>
      </c>
      <c r="P673" s="40">
        <v>67</v>
      </c>
      <c r="Q673" s="40">
        <v>0</v>
      </c>
      <c r="R673" s="40">
        <v>9</v>
      </c>
      <c r="S673" s="40">
        <v>35</v>
      </c>
    </row>
    <row r="674" spans="1:19" x14ac:dyDescent="0.35">
      <c r="A674" s="38">
        <v>671</v>
      </c>
      <c r="B674" s="38" t="str">
        <f>_xlfn.XLOOKUP(A674,'Model Modeshare by TAZ'!A:A,'Model Modeshare by TAZ'!B:B)</f>
        <v>San Jose</v>
      </c>
      <c r="C674" s="38" t="str">
        <f>_xlfn.XLOOKUP(A674,'Model Modeshare by TAZ'!A:A,'Model Modeshare by TAZ'!D:D)</f>
        <v>NO</v>
      </c>
      <c r="D674" s="6">
        <v>3</v>
      </c>
      <c r="E674" s="6">
        <v>640</v>
      </c>
      <c r="F674" s="6">
        <v>2002</v>
      </c>
      <c r="G674" s="6">
        <v>2002</v>
      </c>
      <c r="H674" s="6">
        <v>1143</v>
      </c>
      <c r="I674" s="6">
        <v>609</v>
      </c>
      <c r="J674" s="6">
        <v>31</v>
      </c>
      <c r="K674" s="40">
        <v>122</v>
      </c>
      <c r="L674" s="40">
        <v>1</v>
      </c>
      <c r="M674" s="40">
        <v>37</v>
      </c>
      <c r="N674" s="40">
        <v>12</v>
      </c>
      <c r="O674" s="40">
        <v>14</v>
      </c>
      <c r="P674" s="40">
        <v>6</v>
      </c>
      <c r="Q674" s="40">
        <v>0</v>
      </c>
      <c r="R674" s="40">
        <v>1</v>
      </c>
      <c r="S674" s="40">
        <v>4</v>
      </c>
    </row>
    <row r="675" spans="1:19" x14ac:dyDescent="0.35">
      <c r="A675" s="38">
        <v>672</v>
      </c>
      <c r="B675" s="38" t="str">
        <f>_xlfn.XLOOKUP(A675,'Model Modeshare by TAZ'!A:A,'Model Modeshare by TAZ'!B:B)</f>
        <v>San Jose</v>
      </c>
      <c r="C675" s="38" t="str">
        <f>_xlfn.XLOOKUP(A675,'Model Modeshare by TAZ'!A:A,'Model Modeshare by TAZ'!D:D)</f>
        <v>NO</v>
      </c>
      <c r="D675" s="6">
        <v>3</v>
      </c>
      <c r="E675" s="6">
        <v>694</v>
      </c>
      <c r="F675" s="6">
        <v>2171</v>
      </c>
      <c r="G675" s="6">
        <v>2171</v>
      </c>
      <c r="H675" s="6">
        <v>1238</v>
      </c>
      <c r="I675" s="6">
        <v>660</v>
      </c>
      <c r="J675" s="6">
        <v>34</v>
      </c>
      <c r="K675" s="40">
        <v>145</v>
      </c>
      <c r="L675" s="40">
        <v>5</v>
      </c>
      <c r="M675" s="40">
        <v>43</v>
      </c>
      <c r="N675" s="40">
        <v>21</v>
      </c>
      <c r="O675" s="40">
        <v>15</v>
      </c>
      <c r="P675" s="40">
        <v>6</v>
      </c>
      <c r="Q675" s="40">
        <v>0</v>
      </c>
      <c r="R675" s="40">
        <v>1</v>
      </c>
      <c r="S675" s="40">
        <v>0</v>
      </c>
    </row>
    <row r="676" spans="1:19" x14ac:dyDescent="0.35">
      <c r="A676" s="38">
        <v>673</v>
      </c>
      <c r="B676" s="38" t="str">
        <f>_xlfn.XLOOKUP(A676,'Model Modeshare by TAZ'!A:A,'Model Modeshare by TAZ'!B:B)</f>
        <v>San Jose</v>
      </c>
      <c r="C676" s="38" t="str">
        <f>_xlfn.XLOOKUP(A676,'Model Modeshare by TAZ'!A:A,'Model Modeshare by TAZ'!D:D)</f>
        <v>NO</v>
      </c>
      <c r="D676" s="6">
        <v>3</v>
      </c>
      <c r="E676" s="6">
        <v>227</v>
      </c>
      <c r="F676" s="6">
        <v>755</v>
      </c>
      <c r="G676" s="6">
        <v>755</v>
      </c>
      <c r="H676" s="6">
        <v>341</v>
      </c>
      <c r="I676" s="6">
        <v>136</v>
      </c>
      <c r="J676" s="6">
        <v>91</v>
      </c>
      <c r="K676" s="40">
        <v>23</v>
      </c>
      <c r="L676" s="40">
        <v>27</v>
      </c>
      <c r="M676" s="40">
        <v>561</v>
      </c>
      <c r="N676" s="40">
        <v>183</v>
      </c>
      <c r="O676" s="40">
        <v>288</v>
      </c>
      <c r="P676" s="40">
        <v>12</v>
      </c>
      <c r="Q676" s="40">
        <v>0</v>
      </c>
      <c r="R676" s="40">
        <v>76</v>
      </c>
      <c r="S676" s="40">
        <v>2</v>
      </c>
    </row>
    <row r="677" spans="1:19" x14ac:dyDescent="0.35">
      <c r="A677" s="38">
        <v>674</v>
      </c>
      <c r="B677" s="38" t="str">
        <f>_xlfn.XLOOKUP(A677,'Model Modeshare by TAZ'!A:A,'Model Modeshare by TAZ'!B:B)</f>
        <v>San Jose</v>
      </c>
      <c r="C677" s="38" t="str">
        <f>_xlfn.XLOOKUP(A677,'Model Modeshare by TAZ'!A:A,'Model Modeshare by TAZ'!D:D)</f>
        <v>NO</v>
      </c>
      <c r="D677" s="6">
        <v>3</v>
      </c>
      <c r="E677" s="6">
        <v>718</v>
      </c>
      <c r="F677" s="6">
        <v>2385</v>
      </c>
      <c r="G677" s="6">
        <v>2386</v>
      </c>
      <c r="H677" s="6">
        <v>1293</v>
      </c>
      <c r="I677" s="6">
        <v>470</v>
      </c>
      <c r="J677" s="6">
        <v>248</v>
      </c>
      <c r="K677" s="40">
        <v>99</v>
      </c>
      <c r="L677" s="40">
        <v>6</v>
      </c>
      <c r="M677" s="40">
        <v>483</v>
      </c>
      <c r="N677" s="40">
        <v>0</v>
      </c>
      <c r="O677" s="40">
        <v>173</v>
      </c>
      <c r="P677" s="40">
        <v>293</v>
      </c>
      <c r="Q677" s="40">
        <v>0</v>
      </c>
      <c r="R677" s="40">
        <v>16</v>
      </c>
      <c r="S677" s="40">
        <v>1</v>
      </c>
    </row>
    <row r="678" spans="1:19" x14ac:dyDescent="0.35">
      <c r="A678" s="38">
        <v>675</v>
      </c>
      <c r="B678" s="38" t="str">
        <f>_xlfn.XLOOKUP(A678,'Model Modeshare by TAZ'!A:A,'Model Modeshare by TAZ'!B:B)</f>
        <v>San Jose</v>
      </c>
      <c r="C678" s="38" t="str">
        <f>_xlfn.XLOOKUP(A678,'Model Modeshare by TAZ'!A:A,'Model Modeshare by TAZ'!D:D)</f>
        <v>NO</v>
      </c>
      <c r="D678" s="6">
        <v>3</v>
      </c>
      <c r="E678" s="6">
        <v>714</v>
      </c>
      <c r="F678" s="6">
        <v>2376</v>
      </c>
      <c r="G678" s="6">
        <v>2383</v>
      </c>
      <c r="H678" s="6">
        <v>1286</v>
      </c>
      <c r="I678" s="6">
        <v>430</v>
      </c>
      <c r="J678" s="6">
        <v>284</v>
      </c>
      <c r="K678" s="40">
        <v>156</v>
      </c>
      <c r="L678" s="40">
        <v>11</v>
      </c>
      <c r="M678" s="40">
        <v>42</v>
      </c>
      <c r="N678" s="40">
        <v>0</v>
      </c>
      <c r="O678" s="40">
        <v>0</v>
      </c>
      <c r="P678" s="40">
        <v>0</v>
      </c>
      <c r="Q678" s="40">
        <v>0</v>
      </c>
      <c r="R678" s="40">
        <v>37</v>
      </c>
      <c r="S678" s="40">
        <v>5</v>
      </c>
    </row>
    <row r="679" spans="1:19" x14ac:dyDescent="0.35">
      <c r="A679" s="38">
        <v>676</v>
      </c>
      <c r="B679" s="38" t="str">
        <f>_xlfn.XLOOKUP(A679,'Model Modeshare by TAZ'!A:A,'Model Modeshare by TAZ'!B:B)</f>
        <v>San Jose</v>
      </c>
      <c r="C679" s="38" t="str">
        <f>_xlfn.XLOOKUP(A679,'Model Modeshare by TAZ'!A:A,'Model Modeshare by TAZ'!D:D)</f>
        <v>NO</v>
      </c>
      <c r="D679" s="6">
        <v>3</v>
      </c>
      <c r="E679" s="6">
        <v>1408</v>
      </c>
      <c r="F679" s="6">
        <v>4186</v>
      </c>
      <c r="G679" s="6">
        <v>4201</v>
      </c>
      <c r="H679" s="6">
        <v>2418</v>
      </c>
      <c r="I679" s="6">
        <v>800</v>
      </c>
      <c r="J679" s="6">
        <v>608</v>
      </c>
      <c r="K679" s="40">
        <v>168</v>
      </c>
      <c r="L679" s="40">
        <v>10</v>
      </c>
      <c r="M679" s="40">
        <v>73</v>
      </c>
      <c r="N679" s="40">
        <v>4</v>
      </c>
      <c r="O679" s="40">
        <v>19</v>
      </c>
      <c r="P679" s="40">
        <v>50</v>
      </c>
      <c r="Q679" s="40">
        <v>0</v>
      </c>
      <c r="R679" s="40">
        <v>0</v>
      </c>
      <c r="S679" s="40">
        <v>0</v>
      </c>
    </row>
    <row r="680" spans="1:19" x14ac:dyDescent="0.35">
      <c r="A680" s="38">
        <v>677</v>
      </c>
      <c r="B680" s="38" t="str">
        <f>_xlfn.XLOOKUP(A680,'Model Modeshare by TAZ'!A:A,'Model Modeshare by TAZ'!B:B)</f>
        <v>San Jose</v>
      </c>
      <c r="C680" s="38" t="str">
        <f>_xlfn.XLOOKUP(A680,'Model Modeshare by TAZ'!A:A,'Model Modeshare by TAZ'!D:D)</f>
        <v>NO</v>
      </c>
      <c r="D680" s="6">
        <v>3</v>
      </c>
      <c r="E680" s="6">
        <v>333</v>
      </c>
      <c r="F680" s="6">
        <v>1039</v>
      </c>
      <c r="G680" s="6">
        <v>1045</v>
      </c>
      <c r="H680" s="6">
        <v>596</v>
      </c>
      <c r="I680" s="6">
        <v>330</v>
      </c>
      <c r="J680" s="6">
        <v>3</v>
      </c>
      <c r="K680" s="40">
        <v>83</v>
      </c>
      <c r="L680" s="40">
        <v>18</v>
      </c>
      <c r="M680" s="40">
        <v>188</v>
      </c>
      <c r="N680" s="40">
        <v>86</v>
      </c>
      <c r="O680" s="40">
        <v>59</v>
      </c>
      <c r="P680" s="40">
        <v>38</v>
      </c>
      <c r="Q680" s="40">
        <v>0</v>
      </c>
      <c r="R680" s="40">
        <v>4</v>
      </c>
      <c r="S680" s="40">
        <v>1</v>
      </c>
    </row>
    <row r="681" spans="1:19" x14ac:dyDescent="0.35">
      <c r="A681" s="38">
        <v>678</v>
      </c>
      <c r="B681" s="38" t="str">
        <f>_xlfn.XLOOKUP(A681,'Model Modeshare by TAZ'!A:A,'Model Modeshare by TAZ'!B:B)</f>
        <v>San Jose</v>
      </c>
      <c r="C681" s="38" t="str">
        <f>_xlfn.XLOOKUP(A681,'Model Modeshare by TAZ'!A:A,'Model Modeshare by TAZ'!D:D)</f>
        <v>NO</v>
      </c>
      <c r="D681" s="6">
        <v>3</v>
      </c>
      <c r="E681" s="6">
        <v>854</v>
      </c>
      <c r="F681" s="6">
        <v>2661</v>
      </c>
      <c r="G681" s="6">
        <v>2670</v>
      </c>
      <c r="H681" s="6">
        <v>1531</v>
      </c>
      <c r="I681" s="6">
        <v>845</v>
      </c>
      <c r="J681" s="6">
        <v>9</v>
      </c>
      <c r="K681" s="40">
        <v>201</v>
      </c>
      <c r="L681" s="40">
        <v>1</v>
      </c>
      <c r="M681" s="40">
        <v>168</v>
      </c>
      <c r="N681" s="40">
        <v>18</v>
      </c>
      <c r="O681" s="40">
        <v>91</v>
      </c>
      <c r="P681" s="40">
        <v>58</v>
      </c>
      <c r="Q681" s="40">
        <v>0</v>
      </c>
      <c r="R681" s="40">
        <v>1</v>
      </c>
      <c r="S681" s="40">
        <v>0</v>
      </c>
    </row>
    <row r="682" spans="1:19" x14ac:dyDescent="0.35">
      <c r="A682" s="38">
        <v>679</v>
      </c>
      <c r="B682" s="38" t="str">
        <f>_xlfn.XLOOKUP(A682,'Model Modeshare by TAZ'!A:A,'Model Modeshare by TAZ'!B:B)</f>
        <v>San Jose</v>
      </c>
      <c r="C682" s="38" t="str">
        <f>_xlfn.XLOOKUP(A682,'Model Modeshare by TAZ'!A:A,'Model Modeshare by TAZ'!D:D)</f>
        <v>NO</v>
      </c>
      <c r="D682" s="6">
        <v>3</v>
      </c>
      <c r="E682" s="6">
        <v>963</v>
      </c>
      <c r="F682" s="6">
        <v>3104</v>
      </c>
      <c r="G682" s="6">
        <v>3104</v>
      </c>
      <c r="H682" s="6">
        <v>1745</v>
      </c>
      <c r="I682" s="6">
        <v>955</v>
      </c>
      <c r="J682" s="6">
        <v>8</v>
      </c>
      <c r="K682" s="40">
        <v>265</v>
      </c>
      <c r="L682" s="40">
        <v>52</v>
      </c>
      <c r="M682" s="40">
        <v>284</v>
      </c>
      <c r="N682" s="40">
        <v>3</v>
      </c>
      <c r="O682" s="40">
        <v>142</v>
      </c>
      <c r="P682" s="40">
        <v>134</v>
      </c>
      <c r="Q682" s="40">
        <v>2</v>
      </c>
      <c r="R682" s="40">
        <v>1</v>
      </c>
      <c r="S682" s="40">
        <v>2</v>
      </c>
    </row>
    <row r="683" spans="1:19" x14ac:dyDescent="0.35">
      <c r="A683" s="38">
        <v>680</v>
      </c>
      <c r="B683" s="38" t="str">
        <f>_xlfn.XLOOKUP(A683,'Model Modeshare by TAZ'!A:A,'Model Modeshare by TAZ'!B:B)</f>
        <v>San Jose</v>
      </c>
      <c r="C683" s="38" t="str">
        <f>_xlfn.XLOOKUP(A683,'Model Modeshare by TAZ'!A:A,'Model Modeshare by TAZ'!D:D)</f>
        <v>NO</v>
      </c>
      <c r="D683" s="6">
        <v>3</v>
      </c>
      <c r="E683" s="6">
        <v>647</v>
      </c>
      <c r="F683" s="6">
        <v>2013</v>
      </c>
      <c r="G683" s="6">
        <v>2030</v>
      </c>
      <c r="H683" s="6">
        <v>1158</v>
      </c>
      <c r="I683" s="6">
        <v>640</v>
      </c>
      <c r="J683" s="6">
        <v>7</v>
      </c>
      <c r="K683" s="40">
        <v>146</v>
      </c>
      <c r="L683" s="40">
        <v>8</v>
      </c>
      <c r="M683" s="40">
        <v>120</v>
      </c>
      <c r="N683" s="40">
        <v>0</v>
      </c>
      <c r="O683" s="40">
        <v>0</v>
      </c>
      <c r="P683" s="40">
        <v>109</v>
      </c>
      <c r="Q683" s="40">
        <v>0</v>
      </c>
      <c r="R683" s="40">
        <v>8</v>
      </c>
      <c r="S683" s="40">
        <v>3</v>
      </c>
    </row>
    <row r="684" spans="1:19" x14ac:dyDescent="0.35">
      <c r="A684" s="38">
        <v>681</v>
      </c>
      <c r="B684" s="38" t="str">
        <f>_xlfn.XLOOKUP(A684,'Model Modeshare by TAZ'!A:A,'Model Modeshare by TAZ'!B:B)</f>
        <v>San Jose</v>
      </c>
      <c r="C684" s="38" t="str">
        <f>_xlfn.XLOOKUP(A684,'Model Modeshare by TAZ'!A:A,'Model Modeshare by TAZ'!D:D)</f>
        <v>NO</v>
      </c>
      <c r="D684" s="6">
        <v>3</v>
      </c>
      <c r="E684" s="6">
        <v>413</v>
      </c>
      <c r="F684" s="6">
        <v>1111</v>
      </c>
      <c r="G684" s="6">
        <v>1111</v>
      </c>
      <c r="H684" s="6">
        <v>557</v>
      </c>
      <c r="I684" s="6">
        <v>166</v>
      </c>
      <c r="J684" s="6">
        <v>247</v>
      </c>
      <c r="K684" s="40">
        <v>81</v>
      </c>
      <c r="L684" s="40">
        <v>26</v>
      </c>
      <c r="M684" s="40">
        <v>277</v>
      </c>
      <c r="N684" s="40">
        <v>49</v>
      </c>
      <c r="O684" s="40">
        <v>105</v>
      </c>
      <c r="P684" s="40">
        <v>13</v>
      </c>
      <c r="Q684" s="40">
        <v>0</v>
      </c>
      <c r="R684" s="40">
        <v>107</v>
      </c>
      <c r="S684" s="40">
        <v>3</v>
      </c>
    </row>
    <row r="685" spans="1:19" x14ac:dyDescent="0.35">
      <c r="A685" s="38">
        <v>682</v>
      </c>
      <c r="B685" s="38" t="str">
        <f>_xlfn.XLOOKUP(A685,'Model Modeshare by TAZ'!A:A,'Model Modeshare by TAZ'!B:B)</f>
        <v>San Jose</v>
      </c>
      <c r="C685" s="38" t="str">
        <f>_xlfn.XLOOKUP(A685,'Model Modeshare by TAZ'!A:A,'Model Modeshare by TAZ'!D:D)</f>
        <v>NO</v>
      </c>
      <c r="D685" s="6">
        <v>3</v>
      </c>
      <c r="E685" s="6">
        <v>351</v>
      </c>
      <c r="F685" s="6">
        <v>946</v>
      </c>
      <c r="G685" s="6">
        <v>946</v>
      </c>
      <c r="H685" s="6">
        <v>474</v>
      </c>
      <c r="I685" s="6">
        <v>192</v>
      </c>
      <c r="J685" s="6">
        <v>159</v>
      </c>
      <c r="K685" s="40">
        <v>46</v>
      </c>
      <c r="L685" s="40">
        <v>2</v>
      </c>
      <c r="M685" s="40">
        <v>42</v>
      </c>
      <c r="N685" s="40">
        <v>11</v>
      </c>
      <c r="O685" s="40">
        <v>19</v>
      </c>
      <c r="P685" s="40">
        <v>4</v>
      </c>
      <c r="Q685" s="40">
        <v>0</v>
      </c>
      <c r="R685" s="40">
        <v>8</v>
      </c>
      <c r="S685" s="40">
        <v>0</v>
      </c>
    </row>
    <row r="686" spans="1:19" x14ac:dyDescent="0.35">
      <c r="A686" s="38">
        <v>683</v>
      </c>
      <c r="B686" s="38" t="str">
        <f>_xlfn.XLOOKUP(A686,'Model Modeshare by TAZ'!A:A,'Model Modeshare by TAZ'!B:B)</f>
        <v>San Jose</v>
      </c>
      <c r="C686" s="38" t="str">
        <f>_xlfn.XLOOKUP(A686,'Model Modeshare by TAZ'!A:A,'Model Modeshare by TAZ'!D:D)</f>
        <v>NO</v>
      </c>
      <c r="D686" s="6">
        <v>3</v>
      </c>
      <c r="E686" s="6">
        <v>644</v>
      </c>
      <c r="F686" s="6">
        <v>2076</v>
      </c>
      <c r="G686" s="6">
        <v>2095</v>
      </c>
      <c r="H686" s="6">
        <v>1117</v>
      </c>
      <c r="I686" s="6">
        <v>619</v>
      </c>
      <c r="J686" s="6">
        <v>25</v>
      </c>
      <c r="K686" s="40">
        <v>130</v>
      </c>
      <c r="L686" s="40">
        <v>23</v>
      </c>
      <c r="M686" s="40">
        <v>745</v>
      </c>
      <c r="N686" s="40">
        <v>136</v>
      </c>
      <c r="O686" s="40">
        <v>316</v>
      </c>
      <c r="P686" s="40">
        <v>279</v>
      </c>
      <c r="Q686" s="40">
        <v>3</v>
      </c>
      <c r="R686" s="40">
        <v>6</v>
      </c>
      <c r="S686" s="40">
        <v>5</v>
      </c>
    </row>
    <row r="687" spans="1:19" x14ac:dyDescent="0.35">
      <c r="A687" s="38">
        <v>684</v>
      </c>
      <c r="B687" s="38" t="str">
        <f>_xlfn.XLOOKUP(A687,'Model Modeshare by TAZ'!A:A,'Model Modeshare by TAZ'!B:B)</f>
        <v>San Jose</v>
      </c>
      <c r="C687" s="38" t="str">
        <f>_xlfn.XLOOKUP(A687,'Model Modeshare by TAZ'!A:A,'Model Modeshare by TAZ'!D:D)</f>
        <v>NO</v>
      </c>
      <c r="D687" s="6">
        <v>3</v>
      </c>
      <c r="E687" s="6">
        <v>579</v>
      </c>
      <c r="F687" s="6">
        <v>1866</v>
      </c>
      <c r="G687" s="6">
        <v>1870</v>
      </c>
      <c r="H687" s="6">
        <v>1004</v>
      </c>
      <c r="I687" s="6">
        <v>557</v>
      </c>
      <c r="J687" s="6">
        <v>22</v>
      </c>
      <c r="K687" s="40">
        <v>127</v>
      </c>
      <c r="L687" s="40">
        <v>3</v>
      </c>
      <c r="M687" s="40">
        <v>169</v>
      </c>
      <c r="N687" s="40">
        <v>0</v>
      </c>
      <c r="O687" s="40">
        <v>0</v>
      </c>
      <c r="P687" s="40">
        <v>155</v>
      </c>
      <c r="Q687" s="40">
        <v>14</v>
      </c>
      <c r="R687" s="40">
        <v>0</v>
      </c>
      <c r="S687" s="40">
        <v>0</v>
      </c>
    </row>
    <row r="688" spans="1:19" x14ac:dyDescent="0.35">
      <c r="A688" s="38">
        <v>685</v>
      </c>
      <c r="B688" s="38" t="str">
        <f>_xlfn.XLOOKUP(A688,'Model Modeshare by TAZ'!A:A,'Model Modeshare by TAZ'!B:B)</f>
        <v>San Jose</v>
      </c>
      <c r="C688" s="38" t="str">
        <f>_xlfn.XLOOKUP(A688,'Model Modeshare by TAZ'!A:A,'Model Modeshare by TAZ'!D:D)</f>
        <v>NO</v>
      </c>
      <c r="D688" s="6">
        <v>3</v>
      </c>
      <c r="E688" s="6">
        <v>485</v>
      </c>
      <c r="F688" s="6">
        <v>1562</v>
      </c>
      <c r="G688" s="6">
        <v>1571</v>
      </c>
      <c r="H688" s="6">
        <v>841</v>
      </c>
      <c r="I688" s="6">
        <v>465</v>
      </c>
      <c r="J688" s="6">
        <v>20</v>
      </c>
      <c r="K688" s="40">
        <v>92</v>
      </c>
      <c r="L688" s="40">
        <v>9</v>
      </c>
      <c r="M688" s="40">
        <v>31</v>
      </c>
      <c r="N688" s="40">
        <v>0</v>
      </c>
      <c r="O688" s="40">
        <v>0</v>
      </c>
      <c r="P688" s="40">
        <v>30</v>
      </c>
      <c r="Q688" s="40">
        <v>1</v>
      </c>
      <c r="R688" s="40">
        <v>0</v>
      </c>
      <c r="S688" s="40">
        <v>0</v>
      </c>
    </row>
    <row r="689" spans="1:19" x14ac:dyDescent="0.35">
      <c r="A689" s="38">
        <v>686</v>
      </c>
      <c r="B689" s="38" t="str">
        <f>_xlfn.XLOOKUP(A689,'Model Modeshare by TAZ'!A:A,'Model Modeshare by TAZ'!B:B)</f>
        <v>San Jose</v>
      </c>
      <c r="C689" s="38" t="str">
        <f>_xlfn.XLOOKUP(A689,'Model Modeshare by TAZ'!A:A,'Model Modeshare by TAZ'!D:D)</f>
        <v>NO</v>
      </c>
      <c r="D689" s="6">
        <v>3</v>
      </c>
      <c r="E689" s="6">
        <v>849</v>
      </c>
      <c r="F689" s="6">
        <v>2282</v>
      </c>
      <c r="G689" s="6">
        <v>2282</v>
      </c>
      <c r="H689" s="6">
        <v>1145</v>
      </c>
      <c r="I689" s="6">
        <v>340</v>
      </c>
      <c r="J689" s="6">
        <v>509</v>
      </c>
      <c r="K689" s="40">
        <v>30</v>
      </c>
      <c r="L689" s="40">
        <v>49</v>
      </c>
      <c r="M689" s="40">
        <v>899</v>
      </c>
      <c r="N689" s="40">
        <v>71</v>
      </c>
      <c r="O689" s="40">
        <v>670</v>
      </c>
      <c r="P689" s="40">
        <v>20</v>
      </c>
      <c r="Q689" s="40">
        <v>0</v>
      </c>
      <c r="R689" s="40">
        <v>133</v>
      </c>
      <c r="S689" s="40">
        <v>5</v>
      </c>
    </row>
    <row r="690" spans="1:19" x14ac:dyDescent="0.35">
      <c r="A690" s="38">
        <v>687</v>
      </c>
      <c r="B690" s="38" t="str">
        <f>_xlfn.XLOOKUP(A690,'Model Modeshare by TAZ'!A:A,'Model Modeshare by TAZ'!B:B)</f>
        <v>San Jose</v>
      </c>
      <c r="C690" s="38" t="str">
        <f>_xlfn.XLOOKUP(A690,'Model Modeshare by TAZ'!A:A,'Model Modeshare by TAZ'!D:D)</f>
        <v>NO</v>
      </c>
      <c r="D690" s="6">
        <v>3</v>
      </c>
      <c r="E690" s="6">
        <v>227</v>
      </c>
      <c r="F690" s="6">
        <v>600</v>
      </c>
      <c r="G690" s="6">
        <v>603</v>
      </c>
      <c r="H690" s="6">
        <v>286</v>
      </c>
      <c r="I690" s="6">
        <v>104</v>
      </c>
      <c r="J690" s="6">
        <v>123</v>
      </c>
      <c r="K690" s="40">
        <v>3</v>
      </c>
      <c r="L690" s="40">
        <v>48</v>
      </c>
      <c r="M690" s="40">
        <v>1826</v>
      </c>
      <c r="N690" s="40">
        <v>450</v>
      </c>
      <c r="O690" s="40">
        <v>318</v>
      </c>
      <c r="P690" s="40">
        <v>1020</v>
      </c>
      <c r="Q690" s="40">
        <v>0</v>
      </c>
      <c r="R690" s="40">
        <v>11</v>
      </c>
      <c r="S690" s="40">
        <v>27</v>
      </c>
    </row>
    <row r="691" spans="1:19" x14ac:dyDescent="0.35">
      <c r="A691" s="38">
        <v>688</v>
      </c>
      <c r="B691" s="38" t="str">
        <f>_xlfn.XLOOKUP(A691,'Model Modeshare by TAZ'!A:A,'Model Modeshare by TAZ'!B:B)</f>
        <v>San Jose</v>
      </c>
      <c r="C691" s="38" t="str">
        <f>_xlfn.XLOOKUP(A691,'Model Modeshare by TAZ'!A:A,'Model Modeshare by TAZ'!D:D)</f>
        <v>NO</v>
      </c>
      <c r="D691" s="6">
        <v>3</v>
      </c>
      <c r="E691" s="6">
        <v>8</v>
      </c>
      <c r="F691" s="6">
        <v>21</v>
      </c>
      <c r="G691" s="6">
        <v>21</v>
      </c>
      <c r="H691" s="6">
        <v>10</v>
      </c>
      <c r="I691" s="6">
        <v>3</v>
      </c>
      <c r="J691" s="6">
        <v>5</v>
      </c>
      <c r="K691" s="40">
        <v>5</v>
      </c>
      <c r="L691" s="40">
        <v>77</v>
      </c>
      <c r="M691" s="40">
        <v>1865</v>
      </c>
      <c r="N691" s="40">
        <v>1371</v>
      </c>
      <c r="O691" s="40">
        <v>219</v>
      </c>
      <c r="P691" s="40">
        <v>74</v>
      </c>
      <c r="Q691" s="40">
        <v>0</v>
      </c>
      <c r="R691" s="40">
        <v>195</v>
      </c>
      <c r="S691" s="40">
        <v>6</v>
      </c>
    </row>
    <row r="692" spans="1:19" x14ac:dyDescent="0.35">
      <c r="A692" s="38">
        <v>689</v>
      </c>
      <c r="B692" s="38" t="str">
        <f>_xlfn.XLOOKUP(A692,'Model Modeshare by TAZ'!A:A,'Model Modeshare by TAZ'!B:B)</f>
        <v>San Jose</v>
      </c>
      <c r="C692" s="38" t="str">
        <f>_xlfn.XLOOKUP(A692,'Model Modeshare by TAZ'!A:A,'Model Modeshare by TAZ'!D:D)</f>
        <v>NO</v>
      </c>
      <c r="D692" s="6">
        <v>3</v>
      </c>
      <c r="E692" s="6">
        <v>983</v>
      </c>
      <c r="F692" s="6">
        <v>2602</v>
      </c>
      <c r="G692" s="6">
        <v>2612</v>
      </c>
      <c r="H692" s="6">
        <v>1232</v>
      </c>
      <c r="I692" s="6">
        <v>451</v>
      </c>
      <c r="J692" s="6">
        <v>532</v>
      </c>
      <c r="K692" s="40">
        <v>98</v>
      </c>
      <c r="L692" s="40">
        <v>25</v>
      </c>
      <c r="M692" s="40">
        <v>773</v>
      </c>
      <c r="N692" s="40">
        <v>635</v>
      </c>
      <c r="O692" s="40">
        <v>102</v>
      </c>
      <c r="P692" s="40">
        <v>31</v>
      </c>
      <c r="Q692" s="40">
        <v>0</v>
      </c>
      <c r="R692" s="40">
        <v>4</v>
      </c>
      <c r="S692" s="40">
        <v>1</v>
      </c>
    </row>
    <row r="693" spans="1:19" x14ac:dyDescent="0.35">
      <c r="A693" s="38">
        <v>690</v>
      </c>
      <c r="B693" s="38" t="str">
        <f>_xlfn.XLOOKUP(A693,'Model Modeshare by TAZ'!A:A,'Model Modeshare by TAZ'!B:B)</f>
        <v>San Jose</v>
      </c>
      <c r="C693" s="38" t="str">
        <f>_xlfn.XLOOKUP(A693,'Model Modeshare by TAZ'!A:A,'Model Modeshare by TAZ'!D:D)</f>
        <v>NO</v>
      </c>
      <c r="D693" s="6">
        <v>3</v>
      </c>
      <c r="E693" s="6">
        <v>948</v>
      </c>
      <c r="F693" s="6">
        <v>2507</v>
      </c>
      <c r="G693" s="6">
        <v>2538</v>
      </c>
      <c r="H693" s="6">
        <v>1471</v>
      </c>
      <c r="I693" s="6">
        <v>435</v>
      </c>
      <c r="J693" s="6">
        <v>513</v>
      </c>
      <c r="K693" s="40">
        <v>120</v>
      </c>
      <c r="L693" s="40">
        <v>3</v>
      </c>
      <c r="M693" s="40">
        <v>56</v>
      </c>
      <c r="N693" s="40">
        <v>8</v>
      </c>
      <c r="O693" s="40">
        <v>38</v>
      </c>
      <c r="P693" s="40">
        <v>6</v>
      </c>
      <c r="Q693" s="40">
        <v>0</v>
      </c>
      <c r="R693" s="40">
        <v>0</v>
      </c>
      <c r="S693" s="40">
        <v>4</v>
      </c>
    </row>
    <row r="694" spans="1:19" x14ac:dyDescent="0.35">
      <c r="A694" s="38">
        <v>691</v>
      </c>
      <c r="B694" s="38" t="str">
        <f>_xlfn.XLOOKUP(A694,'Model Modeshare by TAZ'!A:A,'Model Modeshare by TAZ'!B:B)</f>
        <v>San Jose</v>
      </c>
      <c r="C694" s="38" t="str">
        <f>_xlfn.XLOOKUP(A694,'Model Modeshare by TAZ'!A:A,'Model Modeshare by TAZ'!D:D)</f>
        <v>NO</v>
      </c>
      <c r="D694" s="6">
        <v>3</v>
      </c>
      <c r="E694" s="6">
        <v>271</v>
      </c>
      <c r="F694" s="6">
        <v>718</v>
      </c>
      <c r="G694" s="6">
        <v>721</v>
      </c>
      <c r="H694" s="6">
        <v>422</v>
      </c>
      <c r="I694" s="6">
        <v>125</v>
      </c>
      <c r="J694" s="6">
        <v>146</v>
      </c>
      <c r="K694" s="40">
        <v>56</v>
      </c>
      <c r="L694" s="40">
        <v>6</v>
      </c>
      <c r="M694" s="40">
        <v>173</v>
      </c>
      <c r="N694" s="40">
        <v>16</v>
      </c>
      <c r="O694" s="40">
        <v>128</v>
      </c>
      <c r="P694" s="40">
        <v>0</v>
      </c>
      <c r="Q694" s="40">
        <v>0</v>
      </c>
      <c r="R694" s="40">
        <v>7</v>
      </c>
      <c r="S694" s="40">
        <v>22</v>
      </c>
    </row>
    <row r="695" spans="1:19" x14ac:dyDescent="0.35">
      <c r="A695" s="38">
        <v>692</v>
      </c>
      <c r="B695" s="38" t="str">
        <f>_xlfn.XLOOKUP(A695,'Model Modeshare by TAZ'!A:A,'Model Modeshare by TAZ'!B:B)</f>
        <v>San Jose</v>
      </c>
      <c r="C695" s="38" t="str">
        <f>_xlfn.XLOOKUP(A695,'Model Modeshare by TAZ'!A:A,'Model Modeshare by TAZ'!D:D)</f>
        <v>NO</v>
      </c>
      <c r="D695" s="6">
        <v>3</v>
      </c>
      <c r="E695" s="6">
        <v>386</v>
      </c>
      <c r="F695" s="6">
        <v>1020</v>
      </c>
      <c r="G695" s="6">
        <v>1037</v>
      </c>
      <c r="H695" s="6">
        <v>599</v>
      </c>
      <c r="I695" s="6">
        <v>178</v>
      </c>
      <c r="J695" s="6">
        <v>208</v>
      </c>
      <c r="K695" s="40">
        <v>73</v>
      </c>
      <c r="L695" s="40">
        <v>1</v>
      </c>
      <c r="M695" s="40">
        <v>54</v>
      </c>
      <c r="N695" s="40">
        <v>48</v>
      </c>
      <c r="O695" s="40">
        <v>5</v>
      </c>
      <c r="P695" s="40">
        <v>0</v>
      </c>
      <c r="Q695" s="40">
        <v>0</v>
      </c>
      <c r="R695" s="40">
        <v>0</v>
      </c>
      <c r="S695" s="40">
        <v>1</v>
      </c>
    </row>
    <row r="696" spans="1:19" x14ac:dyDescent="0.35">
      <c r="A696" s="38">
        <v>693</v>
      </c>
      <c r="B696" s="38" t="str">
        <f>_xlfn.XLOOKUP(A696,'Model Modeshare by TAZ'!A:A,'Model Modeshare by TAZ'!B:B)</f>
        <v>Unincorporated</v>
      </c>
      <c r="C696" s="38" t="str">
        <f>_xlfn.XLOOKUP(A696,'Model Modeshare by TAZ'!A:A,'Model Modeshare by TAZ'!D:D)</f>
        <v>NO</v>
      </c>
      <c r="D696" s="6">
        <v>3</v>
      </c>
      <c r="E696" s="6">
        <v>137</v>
      </c>
      <c r="F696" s="6">
        <v>365</v>
      </c>
      <c r="G696" s="6">
        <v>367</v>
      </c>
      <c r="H696" s="6">
        <v>205</v>
      </c>
      <c r="I696" s="6">
        <v>100</v>
      </c>
      <c r="J696" s="6">
        <v>37</v>
      </c>
      <c r="K696" s="40">
        <v>310</v>
      </c>
      <c r="L696" s="40">
        <v>10</v>
      </c>
      <c r="M696" s="40">
        <v>172</v>
      </c>
      <c r="N696" s="40">
        <v>14</v>
      </c>
      <c r="O696" s="40">
        <v>37</v>
      </c>
      <c r="P696" s="40">
        <v>3</v>
      </c>
      <c r="Q696" s="40">
        <v>0</v>
      </c>
      <c r="R696" s="40">
        <v>117</v>
      </c>
      <c r="S696" s="40">
        <v>1</v>
      </c>
    </row>
    <row r="697" spans="1:19" x14ac:dyDescent="0.35">
      <c r="A697" s="38">
        <v>694</v>
      </c>
      <c r="B697" s="38" t="str">
        <f>_xlfn.XLOOKUP(A697,'Model Modeshare by TAZ'!A:A,'Model Modeshare by TAZ'!B:B)</f>
        <v>San Jose</v>
      </c>
      <c r="C697" s="38" t="str">
        <f>_xlfn.XLOOKUP(A697,'Model Modeshare by TAZ'!A:A,'Model Modeshare by TAZ'!D:D)</f>
        <v>NO</v>
      </c>
      <c r="D697" s="6">
        <v>3</v>
      </c>
      <c r="E697" s="6">
        <v>296</v>
      </c>
      <c r="F697" s="6">
        <v>789</v>
      </c>
      <c r="G697" s="6">
        <v>793</v>
      </c>
      <c r="H697" s="6">
        <v>446</v>
      </c>
      <c r="I697" s="6">
        <v>216</v>
      </c>
      <c r="J697" s="6">
        <v>80</v>
      </c>
      <c r="K697" s="40">
        <v>218</v>
      </c>
      <c r="L697" s="40">
        <v>15</v>
      </c>
      <c r="M697" s="40">
        <v>261</v>
      </c>
      <c r="N697" s="40">
        <v>0</v>
      </c>
      <c r="O697" s="40">
        <v>0</v>
      </c>
      <c r="P697" s="40">
        <v>10</v>
      </c>
      <c r="Q697" s="40">
        <v>214</v>
      </c>
      <c r="R697" s="40">
        <v>37</v>
      </c>
      <c r="S697" s="40">
        <v>0</v>
      </c>
    </row>
    <row r="698" spans="1:19" x14ac:dyDescent="0.35">
      <c r="A698" s="38">
        <v>695</v>
      </c>
      <c r="B698" s="38" t="str">
        <f>_xlfn.XLOOKUP(A698,'Model Modeshare by TAZ'!A:A,'Model Modeshare by TAZ'!B:B)</f>
        <v>Unincorporated</v>
      </c>
      <c r="C698" s="38" t="str">
        <f>_xlfn.XLOOKUP(A698,'Model Modeshare by TAZ'!A:A,'Model Modeshare by TAZ'!D:D)</f>
        <v>NO</v>
      </c>
      <c r="D698" s="6">
        <v>3</v>
      </c>
      <c r="E698" s="6">
        <v>101</v>
      </c>
      <c r="F698" s="6">
        <v>268</v>
      </c>
      <c r="G698" s="6">
        <v>284</v>
      </c>
      <c r="H698" s="6">
        <v>151</v>
      </c>
      <c r="I698" s="6">
        <v>75</v>
      </c>
      <c r="J698" s="6">
        <v>26</v>
      </c>
      <c r="K698" s="40">
        <v>254</v>
      </c>
      <c r="L698" s="40">
        <v>5</v>
      </c>
      <c r="M698" s="40">
        <v>10</v>
      </c>
      <c r="N698" s="40">
        <v>0</v>
      </c>
      <c r="O698" s="40">
        <v>0</v>
      </c>
      <c r="P698" s="40">
        <v>6</v>
      </c>
      <c r="Q698" s="40">
        <v>1</v>
      </c>
      <c r="R698" s="40">
        <v>3</v>
      </c>
      <c r="S698" s="40">
        <v>0</v>
      </c>
    </row>
    <row r="699" spans="1:19" x14ac:dyDescent="0.35">
      <c r="A699" s="38">
        <v>696</v>
      </c>
      <c r="B699" s="38" t="str">
        <f>_xlfn.XLOOKUP(A699,'Model Modeshare by TAZ'!A:A,'Model Modeshare by TAZ'!B:B)</f>
        <v>Unincorporated</v>
      </c>
      <c r="C699" s="38" t="str">
        <f>_xlfn.XLOOKUP(A699,'Model Modeshare by TAZ'!A:A,'Model Modeshare by TAZ'!D:D)</f>
        <v>NO</v>
      </c>
      <c r="D699" s="6">
        <v>3</v>
      </c>
      <c r="E699" s="6">
        <v>180</v>
      </c>
      <c r="F699" s="6">
        <v>480</v>
      </c>
      <c r="G699" s="6">
        <v>484</v>
      </c>
      <c r="H699" s="6">
        <v>270</v>
      </c>
      <c r="I699" s="6">
        <v>131</v>
      </c>
      <c r="J699" s="6">
        <v>49</v>
      </c>
      <c r="K699" s="40">
        <v>300</v>
      </c>
      <c r="L699" s="40">
        <v>13</v>
      </c>
      <c r="M699" s="40">
        <v>234</v>
      </c>
      <c r="N699" s="40">
        <v>2</v>
      </c>
      <c r="O699" s="40">
        <v>0</v>
      </c>
      <c r="P699" s="40">
        <v>214</v>
      </c>
      <c r="Q699" s="40">
        <v>9</v>
      </c>
      <c r="R699" s="40">
        <v>9</v>
      </c>
      <c r="S699" s="40">
        <v>0</v>
      </c>
    </row>
    <row r="700" spans="1:19" x14ac:dyDescent="0.35">
      <c r="A700" s="38">
        <v>697</v>
      </c>
      <c r="B700" s="38" t="str">
        <f>_xlfn.XLOOKUP(A700,'Model Modeshare by TAZ'!A:A,'Model Modeshare by TAZ'!B:B)</f>
        <v>San Jose</v>
      </c>
      <c r="C700" s="38" t="str">
        <f>_xlfn.XLOOKUP(A700,'Model Modeshare by TAZ'!A:A,'Model Modeshare by TAZ'!D:D)</f>
        <v>NO</v>
      </c>
      <c r="D700" s="6">
        <v>3</v>
      </c>
      <c r="E700" s="6">
        <v>784</v>
      </c>
      <c r="F700" s="6">
        <v>2388</v>
      </c>
      <c r="G700" s="6">
        <v>2388</v>
      </c>
      <c r="H700" s="6">
        <v>1091</v>
      </c>
      <c r="I700" s="6">
        <v>780</v>
      </c>
      <c r="J700" s="6">
        <v>4</v>
      </c>
      <c r="K700" s="40">
        <v>253</v>
      </c>
      <c r="L700" s="40">
        <v>72</v>
      </c>
      <c r="M700" s="40">
        <v>479</v>
      </c>
      <c r="N700" s="40">
        <v>14</v>
      </c>
      <c r="O700" s="40">
        <v>398</v>
      </c>
      <c r="P700" s="40">
        <v>61</v>
      </c>
      <c r="Q700" s="40">
        <v>0</v>
      </c>
      <c r="R700" s="40">
        <v>2</v>
      </c>
      <c r="S700" s="40">
        <v>4</v>
      </c>
    </row>
    <row r="701" spans="1:19" x14ac:dyDescent="0.35">
      <c r="A701" s="38">
        <v>698</v>
      </c>
      <c r="B701" s="38" t="str">
        <f>_xlfn.XLOOKUP(A701,'Model Modeshare by TAZ'!A:A,'Model Modeshare by TAZ'!B:B)</f>
        <v>Unincorporated</v>
      </c>
      <c r="C701" s="38" t="str">
        <f>_xlfn.XLOOKUP(A701,'Model Modeshare by TAZ'!A:A,'Model Modeshare by TAZ'!D:D)</f>
        <v>NO</v>
      </c>
      <c r="D701" s="6">
        <v>3</v>
      </c>
      <c r="E701" s="6">
        <v>7</v>
      </c>
      <c r="F701" s="6">
        <v>24</v>
      </c>
      <c r="G701" s="6">
        <v>42</v>
      </c>
      <c r="H701" s="6">
        <v>12</v>
      </c>
      <c r="I701" s="6">
        <v>2</v>
      </c>
      <c r="J701" s="6">
        <v>5</v>
      </c>
      <c r="K701" s="40">
        <v>11</v>
      </c>
      <c r="L701" s="40">
        <v>101</v>
      </c>
      <c r="M701" s="40">
        <v>344</v>
      </c>
      <c r="N701" s="40">
        <v>102</v>
      </c>
      <c r="O701" s="40">
        <v>170</v>
      </c>
      <c r="P701" s="40">
        <v>46</v>
      </c>
      <c r="Q701" s="40">
        <v>4</v>
      </c>
      <c r="R701" s="40">
        <v>11</v>
      </c>
      <c r="S701" s="40">
        <v>11</v>
      </c>
    </row>
    <row r="702" spans="1:19" x14ac:dyDescent="0.35">
      <c r="A702" s="38">
        <v>699</v>
      </c>
      <c r="B702" s="38" t="str">
        <f>_xlfn.XLOOKUP(A702,'Model Modeshare by TAZ'!A:A,'Model Modeshare by TAZ'!B:B)</f>
        <v>San Jose</v>
      </c>
      <c r="C702" s="38" t="str">
        <f>_xlfn.XLOOKUP(A702,'Model Modeshare by TAZ'!A:A,'Model Modeshare by TAZ'!D:D)</f>
        <v>NO</v>
      </c>
      <c r="D702" s="6">
        <v>3</v>
      </c>
      <c r="E702" s="6">
        <v>359</v>
      </c>
      <c r="F702" s="6">
        <v>1085</v>
      </c>
      <c r="G702" s="6">
        <v>1087</v>
      </c>
      <c r="H702" s="6">
        <v>568</v>
      </c>
      <c r="I702" s="6">
        <v>284</v>
      </c>
      <c r="J702" s="6">
        <v>75</v>
      </c>
      <c r="K702" s="40">
        <v>50</v>
      </c>
      <c r="L702" s="40">
        <v>14</v>
      </c>
      <c r="M702" s="40">
        <v>127</v>
      </c>
      <c r="N702" s="40">
        <v>0</v>
      </c>
      <c r="O702" s="40">
        <v>2</v>
      </c>
      <c r="P702" s="40">
        <v>119</v>
      </c>
      <c r="Q702" s="40">
        <v>6</v>
      </c>
      <c r="R702" s="40">
        <v>0</v>
      </c>
      <c r="S702" s="40">
        <v>0</v>
      </c>
    </row>
    <row r="703" spans="1:19" x14ac:dyDescent="0.35">
      <c r="A703" s="38">
        <v>700</v>
      </c>
      <c r="B703" s="38" t="str">
        <f>_xlfn.XLOOKUP(A703,'Model Modeshare by TAZ'!A:A,'Model Modeshare by TAZ'!B:B)</f>
        <v>San Jose</v>
      </c>
      <c r="C703" s="38" t="str">
        <f>_xlfn.XLOOKUP(A703,'Model Modeshare by TAZ'!A:A,'Model Modeshare by TAZ'!D:D)</f>
        <v>NO</v>
      </c>
      <c r="D703" s="6">
        <v>3</v>
      </c>
      <c r="E703" s="6">
        <v>611</v>
      </c>
      <c r="F703" s="6">
        <v>1847</v>
      </c>
      <c r="G703" s="6">
        <v>1851</v>
      </c>
      <c r="H703" s="6">
        <v>967</v>
      </c>
      <c r="I703" s="6">
        <v>483</v>
      </c>
      <c r="J703" s="6">
        <v>128</v>
      </c>
      <c r="K703" s="40">
        <v>113</v>
      </c>
      <c r="L703" s="40">
        <v>4</v>
      </c>
      <c r="M703" s="40">
        <v>97</v>
      </c>
      <c r="N703" s="40">
        <v>30</v>
      </c>
      <c r="O703" s="40">
        <v>45</v>
      </c>
      <c r="P703" s="40">
        <v>21</v>
      </c>
      <c r="Q703" s="40">
        <v>1</v>
      </c>
      <c r="R703" s="40">
        <v>0</v>
      </c>
      <c r="S703" s="40">
        <v>0</v>
      </c>
    </row>
    <row r="704" spans="1:19" x14ac:dyDescent="0.35">
      <c r="A704" s="38">
        <v>701</v>
      </c>
      <c r="B704" s="38" t="str">
        <f>_xlfn.XLOOKUP(A704,'Model Modeshare by TAZ'!A:A,'Model Modeshare by TAZ'!B:B)</f>
        <v>San Jose</v>
      </c>
      <c r="C704" s="38" t="str">
        <f>_xlfn.XLOOKUP(A704,'Model Modeshare by TAZ'!A:A,'Model Modeshare by TAZ'!D:D)</f>
        <v>NO</v>
      </c>
      <c r="D704" s="6">
        <v>3</v>
      </c>
      <c r="E704" s="6">
        <v>668</v>
      </c>
      <c r="F704" s="6">
        <v>2020</v>
      </c>
      <c r="G704" s="6">
        <v>2023</v>
      </c>
      <c r="H704" s="6">
        <v>1057</v>
      </c>
      <c r="I704" s="6">
        <v>527</v>
      </c>
      <c r="J704" s="6">
        <v>141</v>
      </c>
      <c r="K704" s="40">
        <v>125</v>
      </c>
      <c r="L704" s="40">
        <v>30</v>
      </c>
      <c r="M704" s="40">
        <v>662</v>
      </c>
      <c r="N704" s="40">
        <v>94</v>
      </c>
      <c r="O704" s="40">
        <v>420</v>
      </c>
      <c r="P704" s="40">
        <v>124</v>
      </c>
      <c r="Q704" s="40">
        <v>3</v>
      </c>
      <c r="R704" s="40">
        <v>18</v>
      </c>
      <c r="S704" s="40">
        <v>3</v>
      </c>
    </row>
    <row r="705" spans="1:19" x14ac:dyDescent="0.35">
      <c r="A705" s="38">
        <v>702</v>
      </c>
      <c r="B705" s="38" t="str">
        <f>_xlfn.XLOOKUP(A705,'Model Modeshare by TAZ'!A:A,'Model Modeshare by TAZ'!B:B)</f>
        <v>San Jose</v>
      </c>
      <c r="C705" s="38" t="str">
        <f>_xlfn.XLOOKUP(A705,'Model Modeshare by TAZ'!A:A,'Model Modeshare by TAZ'!D:D)</f>
        <v>NO</v>
      </c>
      <c r="D705" s="6">
        <v>3</v>
      </c>
      <c r="E705" s="6">
        <v>561</v>
      </c>
      <c r="F705" s="6">
        <v>1367</v>
      </c>
      <c r="G705" s="6">
        <v>1368</v>
      </c>
      <c r="H705" s="6">
        <v>794</v>
      </c>
      <c r="I705" s="6">
        <v>486</v>
      </c>
      <c r="J705" s="6">
        <v>75</v>
      </c>
      <c r="K705" s="40">
        <v>82</v>
      </c>
      <c r="L705" s="40">
        <v>7</v>
      </c>
      <c r="M705" s="40">
        <v>1185</v>
      </c>
      <c r="N705" s="40">
        <v>83</v>
      </c>
      <c r="O705" s="40">
        <v>858</v>
      </c>
      <c r="P705" s="40">
        <v>204</v>
      </c>
      <c r="Q705" s="40">
        <v>3</v>
      </c>
      <c r="R705" s="40">
        <v>16</v>
      </c>
      <c r="S705" s="40">
        <v>21</v>
      </c>
    </row>
    <row r="706" spans="1:19" x14ac:dyDescent="0.35">
      <c r="A706" s="38">
        <v>703</v>
      </c>
      <c r="B706" s="38" t="str">
        <f>_xlfn.XLOOKUP(A706,'Model Modeshare by TAZ'!A:A,'Model Modeshare by TAZ'!B:B)</f>
        <v>San Jose</v>
      </c>
      <c r="C706" s="38" t="str">
        <f>_xlfn.XLOOKUP(A706,'Model Modeshare by TAZ'!A:A,'Model Modeshare by TAZ'!D:D)</f>
        <v>NO</v>
      </c>
      <c r="D706" s="6">
        <v>3</v>
      </c>
      <c r="E706" s="6">
        <v>443</v>
      </c>
      <c r="F706" s="6">
        <v>1080</v>
      </c>
      <c r="G706" s="6">
        <v>1081</v>
      </c>
      <c r="H706" s="6">
        <v>628</v>
      </c>
      <c r="I706" s="6">
        <v>384</v>
      </c>
      <c r="J706" s="6">
        <v>59</v>
      </c>
      <c r="K706" s="40">
        <v>85</v>
      </c>
      <c r="L706" s="40">
        <v>36</v>
      </c>
      <c r="M706" s="40">
        <v>195</v>
      </c>
      <c r="N706" s="40">
        <v>38</v>
      </c>
      <c r="O706" s="40">
        <v>130</v>
      </c>
      <c r="P706" s="40">
        <v>11</v>
      </c>
      <c r="Q706" s="40">
        <v>0</v>
      </c>
      <c r="R706" s="40">
        <v>4</v>
      </c>
      <c r="S706" s="40">
        <v>12</v>
      </c>
    </row>
    <row r="707" spans="1:19" x14ac:dyDescent="0.35">
      <c r="A707" s="38">
        <v>704</v>
      </c>
      <c r="B707" s="38" t="str">
        <f>_xlfn.XLOOKUP(A707,'Model Modeshare by TAZ'!A:A,'Model Modeshare by TAZ'!B:B)</f>
        <v>San Jose</v>
      </c>
      <c r="C707" s="38" t="str">
        <f>_xlfn.XLOOKUP(A707,'Model Modeshare by TAZ'!A:A,'Model Modeshare by TAZ'!D:D)</f>
        <v>NO</v>
      </c>
      <c r="D707" s="6">
        <v>3</v>
      </c>
      <c r="E707" s="6">
        <v>638</v>
      </c>
      <c r="F707" s="6">
        <v>1553</v>
      </c>
      <c r="G707" s="6">
        <v>1560</v>
      </c>
      <c r="H707" s="6">
        <v>904</v>
      </c>
      <c r="I707" s="6">
        <v>553</v>
      </c>
      <c r="J707" s="6">
        <v>85</v>
      </c>
      <c r="K707" s="40">
        <v>103</v>
      </c>
      <c r="L707" s="40">
        <v>28</v>
      </c>
      <c r="M707" s="40">
        <v>77</v>
      </c>
      <c r="N707" s="40">
        <v>1</v>
      </c>
      <c r="O707" s="40">
        <v>9</v>
      </c>
      <c r="P707" s="40">
        <v>65</v>
      </c>
      <c r="Q707" s="40">
        <v>1</v>
      </c>
      <c r="R707" s="40">
        <v>0</v>
      </c>
      <c r="S707" s="40">
        <v>1</v>
      </c>
    </row>
    <row r="708" spans="1:19" x14ac:dyDescent="0.35">
      <c r="A708" s="38">
        <v>705</v>
      </c>
      <c r="B708" s="38" t="str">
        <f>_xlfn.XLOOKUP(A708,'Model Modeshare by TAZ'!A:A,'Model Modeshare by TAZ'!B:B)</f>
        <v>San Jose</v>
      </c>
      <c r="C708" s="38" t="str">
        <f>_xlfn.XLOOKUP(A708,'Model Modeshare by TAZ'!A:A,'Model Modeshare by TAZ'!D:D)</f>
        <v>NO</v>
      </c>
      <c r="D708" s="6">
        <v>3</v>
      </c>
      <c r="E708" s="6">
        <v>686</v>
      </c>
      <c r="F708" s="6">
        <v>1669</v>
      </c>
      <c r="G708" s="6">
        <v>1671</v>
      </c>
      <c r="H708" s="6">
        <v>970</v>
      </c>
      <c r="I708" s="6">
        <v>594</v>
      </c>
      <c r="J708" s="6">
        <v>92</v>
      </c>
      <c r="K708" s="40">
        <v>175</v>
      </c>
      <c r="L708" s="40">
        <v>1</v>
      </c>
      <c r="M708" s="40">
        <v>245</v>
      </c>
      <c r="N708" s="40">
        <v>0</v>
      </c>
      <c r="O708" s="40">
        <v>79</v>
      </c>
      <c r="P708" s="40">
        <v>149</v>
      </c>
      <c r="Q708" s="40">
        <v>14</v>
      </c>
      <c r="R708" s="40">
        <v>3</v>
      </c>
      <c r="S708" s="40">
        <v>0</v>
      </c>
    </row>
    <row r="709" spans="1:19" x14ac:dyDescent="0.35">
      <c r="A709" s="38">
        <v>706</v>
      </c>
      <c r="B709" s="38" t="str">
        <f>_xlfn.XLOOKUP(A709,'Model Modeshare by TAZ'!A:A,'Model Modeshare by TAZ'!B:B)</f>
        <v>San Jose</v>
      </c>
      <c r="C709" s="38" t="str">
        <f>_xlfn.XLOOKUP(A709,'Model Modeshare by TAZ'!A:A,'Model Modeshare by TAZ'!D:D)</f>
        <v>NO</v>
      </c>
      <c r="D709" s="6">
        <v>3</v>
      </c>
      <c r="E709" s="6">
        <v>20</v>
      </c>
      <c r="F709" s="6">
        <v>52</v>
      </c>
      <c r="G709" s="6">
        <v>53</v>
      </c>
      <c r="H709" s="6">
        <v>29</v>
      </c>
      <c r="I709" s="6">
        <v>14</v>
      </c>
      <c r="J709" s="6">
        <v>6</v>
      </c>
      <c r="K709" s="40">
        <v>42</v>
      </c>
      <c r="L709" s="40">
        <v>0</v>
      </c>
      <c r="M709" s="40">
        <v>0</v>
      </c>
      <c r="N709" s="40">
        <v>0</v>
      </c>
      <c r="O709" s="40">
        <v>0</v>
      </c>
      <c r="P709" s="40">
        <v>0</v>
      </c>
      <c r="Q709" s="40">
        <v>0</v>
      </c>
      <c r="R709" s="40">
        <v>0</v>
      </c>
      <c r="S709" s="40">
        <v>0</v>
      </c>
    </row>
    <row r="710" spans="1:19" x14ac:dyDescent="0.35">
      <c r="A710" s="38">
        <v>707</v>
      </c>
      <c r="B710" s="38" t="str">
        <f>_xlfn.XLOOKUP(A710,'Model Modeshare by TAZ'!A:A,'Model Modeshare by TAZ'!B:B)</f>
        <v>San Jose</v>
      </c>
      <c r="C710" s="38" t="str">
        <f>_xlfn.XLOOKUP(A710,'Model Modeshare by TAZ'!A:A,'Model Modeshare by TAZ'!D:D)</f>
        <v>NO</v>
      </c>
      <c r="D710" s="6">
        <v>3</v>
      </c>
      <c r="E710" s="6">
        <v>1218</v>
      </c>
      <c r="F710" s="6">
        <v>2879</v>
      </c>
      <c r="G710" s="6">
        <v>2882</v>
      </c>
      <c r="H710" s="6">
        <v>1676</v>
      </c>
      <c r="I710" s="6">
        <v>701</v>
      </c>
      <c r="J710" s="6">
        <v>517</v>
      </c>
      <c r="K710" s="40">
        <v>155</v>
      </c>
      <c r="L710" s="40">
        <v>5</v>
      </c>
      <c r="M710" s="40">
        <v>609</v>
      </c>
      <c r="N710" s="40">
        <v>255</v>
      </c>
      <c r="O710" s="40">
        <v>255</v>
      </c>
      <c r="P710" s="40">
        <v>87</v>
      </c>
      <c r="Q710" s="40">
        <v>6</v>
      </c>
      <c r="R710" s="40">
        <v>3</v>
      </c>
      <c r="S710" s="40">
        <v>3</v>
      </c>
    </row>
    <row r="711" spans="1:19" x14ac:dyDescent="0.35">
      <c r="A711" s="38">
        <v>708</v>
      </c>
      <c r="B711" s="38" t="str">
        <f>_xlfn.XLOOKUP(A711,'Model Modeshare by TAZ'!A:A,'Model Modeshare by TAZ'!B:B)</f>
        <v>San Jose</v>
      </c>
      <c r="C711" s="38" t="str">
        <f>_xlfn.XLOOKUP(A711,'Model Modeshare by TAZ'!A:A,'Model Modeshare by TAZ'!D:D)</f>
        <v>NO</v>
      </c>
      <c r="D711" s="6">
        <v>3</v>
      </c>
      <c r="E711" s="6">
        <v>630</v>
      </c>
      <c r="F711" s="6">
        <v>1490</v>
      </c>
      <c r="G711" s="6">
        <v>1491</v>
      </c>
      <c r="H711" s="6">
        <v>889</v>
      </c>
      <c r="I711" s="6">
        <v>362</v>
      </c>
      <c r="J711" s="6">
        <v>268</v>
      </c>
      <c r="K711" s="40">
        <v>145</v>
      </c>
      <c r="L711" s="40">
        <v>10</v>
      </c>
      <c r="M711" s="40">
        <v>1057</v>
      </c>
      <c r="N711" s="40">
        <v>274</v>
      </c>
      <c r="O711" s="40">
        <v>413</v>
      </c>
      <c r="P711" s="40">
        <v>344</v>
      </c>
      <c r="Q711" s="40">
        <v>2</v>
      </c>
      <c r="R711" s="40">
        <v>14</v>
      </c>
      <c r="S711" s="40">
        <v>10</v>
      </c>
    </row>
    <row r="712" spans="1:19" x14ac:dyDescent="0.35">
      <c r="A712" s="38">
        <v>709</v>
      </c>
      <c r="B712" s="38" t="str">
        <f>_xlfn.XLOOKUP(A712,'Model Modeshare by TAZ'!A:A,'Model Modeshare by TAZ'!B:B)</f>
        <v>San Jose</v>
      </c>
      <c r="C712" s="38" t="str">
        <f>_xlfn.XLOOKUP(A712,'Model Modeshare by TAZ'!A:A,'Model Modeshare by TAZ'!D:D)</f>
        <v>NO</v>
      </c>
      <c r="D712" s="6">
        <v>3</v>
      </c>
      <c r="E712" s="6">
        <v>700</v>
      </c>
      <c r="F712" s="6">
        <v>1654</v>
      </c>
      <c r="G712" s="6">
        <v>1662</v>
      </c>
      <c r="H712" s="6">
        <v>990</v>
      </c>
      <c r="I712" s="6">
        <v>403</v>
      </c>
      <c r="J712" s="6">
        <v>297</v>
      </c>
      <c r="K712" s="40">
        <v>121</v>
      </c>
      <c r="L712" s="40">
        <v>9</v>
      </c>
      <c r="M712" s="40">
        <v>305</v>
      </c>
      <c r="N712" s="40">
        <v>62</v>
      </c>
      <c r="O712" s="40">
        <v>147</v>
      </c>
      <c r="P712" s="40">
        <v>87</v>
      </c>
      <c r="Q712" s="40">
        <v>1</v>
      </c>
      <c r="R712" s="40">
        <v>5</v>
      </c>
      <c r="S712" s="40">
        <v>3</v>
      </c>
    </row>
    <row r="713" spans="1:19" x14ac:dyDescent="0.35">
      <c r="A713" s="38">
        <v>710</v>
      </c>
      <c r="B713" s="38" t="str">
        <f>_xlfn.XLOOKUP(A713,'Model Modeshare by TAZ'!A:A,'Model Modeshare by TAZ'!B:B)</f>
        <v>San Jose</v>
      </c>
      <c r="C713" s="38" t="str">
        <f>_xlfn.XLOOKUP(A713,'Model Modeshare by TAZ'!A:A,'Model Modeshare by TAZ'!D:D)</f>
        <v>NO</v>
      </c>
      <c r="D713" s="6">
        <v>3</v>
      </c>
      <c r="E713" s="6">
        <v>767</v>
      </c>
      <c r="F713" s="6">
        <v>1535</v>
      </c>
      <c r="G713" s="6">
        <v>1612</v>
      </c>
      <c r="H713" s="6">
        <v>988</v>
      </c>
      <c r="I713" s="6">
        <v>442</v>
      </c>
      <c r="J713" s="6">
        <v>325</v>
      </c>
      <c r="K713" s="40">
        <v>79</v>
      </c>
      <c r="L713" s="40">
        <v>16</v>
      </c>
      <c r="M713" s="40">
        <v>1519</v>
      </c>
      <c r="N713" s="40">
        <v>168</v>
      </c>
      <c r="O713" s="40">
        <v>694</v>
      </c>
      <c r="P713" s="40">
        <v>474</v>
      </c>
      <c r="Q713" s="40">
        <v>1</v>
      </c>
      <c r="R713" s="40">
        <v>179</v>
      </c>
      <c r="S713" s="40">
        <v>3</v>
      </c>
    </row>
    <row r="714" spans="1:19" x14ac:dyDescent="0.35">
      <c r="A714" s="38">
        <v>711</v>
      </c>
      <c r="B714" s="38" t="str">
        <f>_xlfn.XLOOKUP(A714,'Model Modeshare by TAZ'!A:A,'Model Modeshare by TAZ'!B:B)</f>
        <v>San Jose</v>
      </c>
      <c r="C714" s="38" t="str">
        <f>_xlfn.XLOOKUP(A714,'Model Modeshare by TAZ'!A:A,'Model Modeshare by TAZ'!D:D)</f>
        <v>NO</v>
      </c>
      <c r="D714" s="6">
        <v>3</v>
      </c>
      <c r="E714" s="6">
        <v>371</v>
      </c>
      <c r="F714" s="6">
        <v>945</v>
      </c>
      <c r="G714" s="6">
        <v>947</v>
      </c>
      <c r="H714" s="6">
        <v>502</v>
      </c>
      <c r="I714" s="6">
        <v>343</v>
      </c>
      <c r="J714" s="6">
        <v>28</v>
      </c>
      <c r="K714" s="40">
        <v>88</v>
      </c>
      <c r="L714" s="40">
        <v>10</v>
      </c>
      <c r="M714" s="40">
        <v>28</v>
      </c>
      <c r="N714" s="40">
        <v>0</v>
      </c>
      <c r="O714" s="40">
        <v>1</v>
      </c>
      <c r="P714" s="40">
        <v>26</v>
      </c>
      <c r="Q714" s="40">
        <v>1</v>
      </c>
      <c r="R714" s="40">
        <v>0</v>
      </c>
      <c r="S714" s="40">
        <v>0</v>
      </c>
    </row>
    <row r="715" spans="1:19" x14ac:dyDescent="0.35">
      <c r="A715" s="38">
        <v>712</v>
      </c>
      <c r="B715" s="38" t="str">
        <f>_xlfn.XLOOKUP(A715,'Model Modeshare by TAZ'!A:A,'Model Modeshare by TAZ'!B:B)</f>
        <v>San Jose</v>
      </c>
      <c r="C715" s="38" t="str">
        <f>_xlfn.XLOOKUP(A715,'Model Modeshare by TAZ'!A:A,'Model Modeshare by TAZ'!D:D)</f>
        <v>NO</v>
      </c>
      <c r="D715" s="6">
        <v>3</v>
      </c>
      <c r="E715" s="6">
        <v>837</v>
      </c>
      <c r="F715" s="6">
        <v>2136</v>
      </c>
      <c r="G715" s="6">
        <v>2142</v>
      </c>
      <c r="H715" s="6">
        <v>1136</v>
      </c>
      <c r="I715" s="6">
        <v>773</v>
      </c>
      <c r="J715" s="6">
        <v>64</v>
      </c>
      <c r="K715" s="40">
        <v>170</v>
      </c>
      <c r="L715" s="40">
        <v>77</v>
      </c>
      <c r="M715" s="40">
        <v>532</v>
      </c>
      <c r="N715" s="40">
        <v>42</v>
      </c>
      <c r="O715" s="40">
        <v>326</v>
      </c>
      <c r="P715" s="40">
        <v>151</v>
      </c>
      <c r="Q715" s="40">
        <v>6</v>
      </c>
      <c r="R715" s="40">
        <v>0</v>
      </c>
      <c r="S715" s="40">
        <v>7</v>
      </c>
    </row>
    <row r="716" spans="1:19" x14ac:dyDescent="0.35">
      <c r="A716" s="38">
        <v>713</v>
      </c>
      <c r="B716" s="38" t="str">
        <f>_xlfn.XLOOKUP(A716,'Model Modeshare by TAZ'!A:A,'Model Modeshare by TAZ'!B:B)</f>
        <v>San Jose</v>
      </c>
      <c r="C716" s="38" t="str">
        <f>_xlfn.XLOOKUP(A716,'Model Modeshare by TAZ'!A:A,'Model Modeshare by TAZ'!D:D)</f>
        <v>NO</v>
      </c>
      <c r="D716" s="6">
        <v>3</v>
      </c>
      <c r="E716" s="6">
        <v>546</v>
      </c>
      <c r="F716" s="6">
        <v>1234</v>
      </c>
      <c r="G716" s="6">
        <v>1235</v>
      </c>
      <c r="H716" s="6">
        <v>543</v>
      </c>
      <c r="I716" s="6">
        <v>406</v>
      </c>
      <c r="J716" s="6">
        <v>140</v>
      </c>
      <c r="K716" s="40">
        <v>110</v>
      </c>
      <c r="L716" s="40">
        <v>32</v>
      </c>
      <c r="M716" s="40">
        <v>584</v>
      </c>
      <c r="N716" s="40">
        <v>119</v>
      </c>
      <c r="O716" s="40">
        <v>189</v>
      </c>
      <c r="P716" s="40">
        <v>276</v>
      </c>
      <c r="Q716" s="40">
        <v>0</v>
      </c>
      <c r="R716" s="40">
        <v>0</v>
      </c>
      <c r="S716" s="40">
        <v>0</v>
      </c>
    </row>
    <row r="717" spans="1:19" x14ac:dyDescent="0.35">
      <c r="A717" s="38">
        <v>714</v>
      </c>
      <c r="B717" s="38" t="str">
        <f>_xlfn.XLOOKUP(A717,'Model Modeshare by TAZ'!A:A,'Model Modeshare by TAZ'!B:B)</f>
        <v>San Jose</v>
      </c>
      <c r="C717" s="38" t="str">
        <f>_xlfn.XLOOKUP(A717,'Model Modeshare by TAZ'!A:A,'Model Modeshare by TAZ'!D:D)</f>
        <v>NO</v>
      </c>
      <c r="D717" s="6">
        <v>3</v>
      </c>
      <c r="E717" s="6">
        <v>261</v>
      </c>
      <c r="F717" s="6">
        <v>654</v>
      </c>
      <c r="G717" s="6">
        <v>671</v>
      </c>
      <c r="H717" s="6">
        <v>324</v>
      </c>
      <c r="I717" s="6">
        <v>246</v>
      </c>
      <c r="J717" s="6">
        <v>15</v>
      </c>
      <c r="K717" s="40">
        <v>49</v>
      </c>
      <c r="L717" s="40">
        <v>13</v>
      </c>
      <c r="M717" s="40">
        <v>57</v>
      </c>
      <c r="N717" s="40">
        <v>7</v>
      </c>
      <c r="O717" s="40">
        <v>42</v>
      </c>
      <c r="P717" s="40">
        <v>3</v>
      </c>
      <c r="Q717" s="40">
        <v>0</v>
      </c>
      <c r="R717" s="40">
        <v>5</v>
      </c>
      <c r="S717" s="40">
        <v>0</v>
      </c>
    </row>
    <row r="718" spans="1:19" x14ac:dyDescent="0.35">
      <c r="A718" s="38">
        <v>715</v>
      </c>
      <c r="B718" s="38" t="str">
        <f>_xlfn.XLOOKUP(A718,'Model Modeshare by TAZ'!A:A,'Model Modeshare by TAZ'!B:B)</f>
        <v>San Jose</v>
      </c>
      <c r="C718" s="38" t="str">
        <f>_xlfn.XLOOKUP(A718,'Model Modeshare by TAZ'!A:A,'Model Modeshare by TAZ'!D:D)</f>
        <v>NO</v>
      </c>
      <c r="D718" s="6">
        <v>3</v>
      </c>
      <c r="E718" s="6">
        <v>613</v>
      </c>
      <c r="F718" s="6">
        <v>1775</v>
      </c>
      <c r="G718" s="6">
        <v>1785</v>
      </c>
      <c r="H718" s="6">
        <v>885</v>
      </c>
      <c r="I718" s="6">
        <v>246</v>
      </c>
      <c r="J718" s="6">
        <v>367</v>
      </c>
      <c r="K718" s="40">
        <v>97</v>
      </c>
      <c r="L718" s="40">
        <v>69</v>
      </c>
      <c r="M718" s="40">
        <v>714</v>
      </c>
      <c r="N718" s="40">
        <v>221</v>
      </c>
      <c r="O718" s="40">
        <v>31</v>
      </c>
      <c r="P718" s="40">
        <v>462</v>
      </c>
      <c r="Q718" s="40">
        <v>0</v>
      </c>
      <c r="R718" s="40">
        <v>0</v>
      </c>
      <c r="S718" s="40">
        <v>0</v>
      </c>
    </row>
    <row r="719" spans="1:19" x14ac:dyDescent="0.35">
      <c r="A719" s="38">
        <v>716</v>
      </c>
      <c r="B719" s="38" t="str">
        <f>_xlfn.XLOOKUP(A719,'Model Modeshare by TAZ'!A:A,'Model Modeshare by TAZ'!B:B)</f>
        <v>San Jose</v>
      </c>
      <c r="C719" s="38" t="str">
        <f>_xlfn.XLOOKUP(A719,'Model Modeshare by TAZ'!A:A,'Model Modeshare by TAZ'!D:D)</f>
        <v>NO</v>
      </c>
      <c r="D719" s="6">
        <v>3</v>
      </c>
      <c r="E719" s="6">
        <v>1151</v>
      </c>
      <c r="F719" s="6">
        <v>3334</v>
      </c>
      <c r="G719" s="6">
        <v>3341</v>
      </c>
      <c r="H719" s="6">
        <v>1662</v>
      </c>
      <c r="I719" s="6">
        <v>462</v>
      </c>
      <c r="J719" s="6">
        <v>689</v>
      </c>
      <c r="K719" s="40">
        <v>182</v>
      </c>
      <c r="L719" s="40">
        <v>20</v>
      </c>
      <c r="M719" s="40">
        <v>103</v>
      </c>
      <c r="N719" s="40">
        <v>0</v>
      </c>
      <c r="O719" s="40">
        <v>30</v>
      </c>
      <c r="P719" s="40">
        <v>57</v>
      </c>
      <c r="Q719" s="40">
        <v>3</v>
      </c>
      <c r="R719" s="40">
        <v>13</v>
      </c>
      <c r="S719" s="40">
        <v>0</v>
      </c>
    </row>
    <row r="720" spans="1:19" x14ac:dyDescent="0.35">
      <c r="A720" s="38">
        <v>717</v>
      </c>
      <c r="B720" s="38" t="str">
        <f>_xlfn.XLOOKUP(A720,'Model Modeshare by TAZ'!A:A,'Model Modeshare by TAZ'!B:B)</f>
        <v>San Jose</v>
      </c>
      <c r="C720" s="38" t="str">
        <f>_xlfn.XLOOKUP(A720,'Model Modeshare by TAZ'!A:A,'Model Modeshare by TAZ'!D:D)</f>
        <v>NO</v>
      </c>
      <c r="D720" s="6">
        <v>3</v>
      </c>
      <c r="E720" s="6">
        <v>554</v>
      </c>
      <c r="F720" s="6">
        <v>1472</v>
      </c>
      <c r="G720" s="6">
        <v>1516</v>
      </c>
      <c r="H720" s="6">
        <v>744</v>
      </c>
      <c r="I720" s="6">
        <v>471</v>
      </c>
      <c r="J720" s="6">
        <v>83</v>
      </c>
      <c r="K720" s="40">
        <v>132</v>
      </c>
      <c r="L720" s="40">
        <v>13</v>
      </c>
      <c r="M720" s="40">
        <v>169</v>
      </c>
      <c r="N720" s="40">
        <v>14</v>
      </c>
      <c r="O720" s="40">
        <v>11</v>
      </c>
      <c r="P720" s="40">
        <v>143</v>
      </c>
      <c r="Q720" s="40">
        <v>1</v>
      </c>
      <c r="R720" s="40">
        <v>0</v>
      </c>
      <c r="S720" s="40">
        <v>0</v>
      </c>
    </row>
    <row r="721" spans="1:19" x14ac:dyDescent="0.35">
      <c r="A721" s="38">
        <v>718</v>
      </c>
      <c r="B721" s="38" t="str">
        <f>_xlfn.XLOOKUP(A721,'Model Modeshare by TAZ'!A:A,'Model Modeshare by TAZ'!B:B)</f>
        <v>San Jose</v>
      </c>
      <c r="C721" s="38" t="str">
        <f>_xlfn.XLOOKUP(A721,'Model Modeshare by TAZ'!A:A,'Model Modeshare by TAZ'!D:D)</f>
        <v>NO</v>
      </c>
      <c r="D721" s="6">
        <v>3</v>
      </c>
      <c r="E721" s="6">
        <v>225</v>
      </c>
      <c r="F721" s="6">
        <v>596</v>
      </c>
      <c r="G721" s="6">
        <v>660</v>
      </c>
      <c r="H721" s="6">
        <v>301</v>
      </c>
      <c r="I721" s="6">
        <v>191</v>
      </c>
      <c r="J721" s="6">
        <v>34</v>
      </c>
      <c r="K721" s="40">
        <v>37</v>
      </c>
      <c r="L721" s="40">
        <v>15</v>
      </c>
      <c r="M721" s="40">
        <v>313</v>
      </c>
      <c r="N721" s="40">
        <v>138</v>
      </c>
      <c r="O721" s="40">
        <v>173</v>
      </c>
      <c r="P721" s="40">
        <v>0</v>
      </c>
      <c r="Q721" s="40">
        <v>2</v>
      </c>
      <c r="R721" s="40">
        <v>0</v>
      </c>
      <c r="S721" s="40">
        <v>0</v>
      </c>
    </row>
    <row r="722" spans="1:19" x14ac:dyDescent="0.35">
      <c r="A722" s="38">
        <v>719</v>
      </c>
      <c r="B722" s="38" t="str">
        <f>_xlfn.XLOOKUP(A722,'Model Modeshare by TAZ'!A:A,'Model Modeshare by TAZ'!B:B)</f>
        <v>San Jose</v>
      </c>
      <c r="C722" s="38" t="str">
        <f>_xlfn.XLOOKUP(A722,'Model Modeshare by TAZ'!A:A,'Model Modeshare by TAZ'!D:D)</f>
        <v>NO</v>
      </c>
      <c r="D722" s="6">
        <v>3</v>
      </c>
      <c r="E722" s="6">
        <v>196</v>
      </c>
      <c r="F722" s="6">
        <v>521</v>
      </c>
      <c r="G722" s="6">
        <v>537</v>
      </c>
      <c r="H722" s="6">
        <v>262</v>
      </c>
      <c r="I722" s="6">
        <v>166</v>
      </c>
      <c r="J722" s="6">
        <v>30</v>
      </c>
      <c r="K722" s="40">
        <v>41</v>
      </c>
      <c r="L722" s="40">
        <v>1</v>
      </c>
      <c r="M722" s="40">
        <v>22</v>
      </c>
      <c r="N722" s="40">
        <v>0</v>
      </c>
      <c r="O722" s="40">
        <v>0</v>
      </c>
      <c r="P722" s="40">
        <v>0</v>
      </c>
      <c r="Q722" s="40">
        <v>22</v>
      </c>
      <c r="R722" s="40">
        <v>0</v>
      </c>
      <c r="S722" s="40">
        <v>0</v>
      </c>
    </row>
    <row r="723" spans="1:19" x14ac:dyDescent="0.35">
      <c r="A723" s="38">
        <v>720</v>
      </c>
      <c r="B723" s="38" t="str">
        <f>_xlfn.XLOOKUP(A723,'Model Modeshare by TAZ'!A:A,'Model Modeshare by TAZ'!B:B)</f>
        <v>San Jose</v>
      </c>
      <c r="C723" s="38" t="str">
        <f>_xlfn.XLOOKUP(A723,'Model Modeshare by TAZ'!A:A,'Model Modeshare by TAZ'!D:D)</f>
        <v>NO</v>
      </c>
      <c r="D723" s="6">
        <v>3</v>
      </c>
      <c r="E723" s="6">
        <v>277</v>
      </c>
      <c r="F723" s="6">
        <v>735</v>
      </c>
      <c r="G723" s="6">
        <v>758</v>
      </c>
      <c r="H723" s="6">
        <v>372</v>
      </c>
      <c r="I723" s="6">
        <v>236</v>
      </c>
      <c r="J723" s="6">
        <v>41</v>
      </c>
      <c r="K723" s="40">
        <v>64</v>
      </c>
      <c r="L723" s="40">
        <v>25</v>
      </c>
      <c r="M723" s="40">
        <v>342</v>
      </c>
      <c r="N723" s="40">
        <v>37</v>
      </c>
      <c r="O723" s="40">
        <v>155</v>
      </c>
      <c r="P723" s="40">
        <v>130</v>
      </c>
      <c r="Q723" s="40">
        <v>1</v>
      </c>
      <c r="R723" s="40">
        <v>17</v>
      </c>
      <c r="S723" s="40">
        <v>2</v>
      </c>
    </row>
    <row r="724" spans="1:19" x14ac:dyDescent="0.35">
      <c r="A724" s="38">
        <v>721</v>
      </c>
      <c r="B724" s="38" t="str">
        <f>_xlfn.XLOOKUP(A724,'Model Modeshare by TAZ'!A:A,'Model Modeshare by TAZ'!B:B)</f>
        <v>San Jose</v>
      </c>
      <c r="C724" s="38" t="str">
        <f>_xlfn.XLOOKUP(A724,'Model Modeshare by TAZ'!A:A,'Model Modeshare by TAZ'!D:D)</f>
        <v>NO</v>
      </c>
      <c r="D724" s="6">
        <v>3</v>
      </c>
      <c r="E724" s="6">
        <v>581</v>
      </c>
      <c r="F724" s="6">
        <v>1423</v>
      </c>
      <c r="G724" s="6">
        <v>1423</v>
      </c>
      <c r="H724" s="6">
        <v>591</v>
      </c>
      <c r="I724" s="6">
        <v>67</v>
      </c>
      <c r="J724" s="6">
        <v>514</v>
      </c>
      <c r="K724" s="40">
        <v>153</v>
      </c>
      <c r="L724" s="40">
        <v>61</v>
      </c>
      <c r="M724" s="40">
        <v>303</v>
      </c>
      <c r="N724" s="40">
        <v>0</v>
      </c>
      <c r="O724" s="40">
        <v>298</v>
      </c>
      <c r="P724" s="40">
        <v>5</v>
      </c>
      <c r="Q724" s="40">
        <v>0</v>
      </c>
      <c r="R724" s="40">
        <v>0</v>
      </c>
      <c r="S724" s="40">
        <v>0</v>
      </c>
    </row>
    <row r="725" spans="1:19" x14ac:dyDescent="0.35">
      <c r="A725" s="38">
        <v>722</v>
      </c>
      <c r="B725" s="38" t="str">
        <f>_xlfn.XLOOKUP(A725,'Model Modeshare by TAZ'!A:A,'Model Modeshare by TAZ'!B:B)</f>
        <v>San Jose</v>
      </c>
      <c r="C725" s="38" t="str">
        <f>_xlfn.XLOOKUP(A725,'Model Modeshare by TAZ'!A:A,'Model Modeshare by TAZ'!D:D)</f>
        <v>NO</v>
      </c>
      <c r="D725" s="6">
        <v>3</v>
      </c>
      <c r="E725" s="6">
        <v>450</v>
      </c>
      <c r="F725" s="6">
        <v>1105</v>
      </c>
      <c r="G725" s="6">
        <v>1105</v>
      </c>
      <c r="H725" s="6">
        <v>458</v>
      </c>
      <c r="I725" s="6">
        <v>51</v>
      </c>
      <c r="J725" s="6">
        <v>399</v>
      </c>
      <c r="K725" s="40">
        <v>36</v>
      </c>
      <c r="L725" s="40">
        <v>0</v>
      </c>
      <c r="M725" s="40">
        <v>0</v>
      </c>
      <c r="N725" s="40">
        <v>0</v>
      </c>
      <c r="O725" s="40">
        <v>0</v>
      </c>
      <c r="P725" s="40">
        <v>0</v>
      </c>
      <c r="Q725" s="40">
        <v>0</v>
      </c>
      <c r="R725" s="40">
        <v>0</v>
      </c>
      <c r="S725" s="40">
        <v>0</v>
      </c>
    </row>
    <row r="726" spans="1:19" x14ac:dyDescent="0.35">
      <c r="A726" s="38">
        <v>723</v>
      </c>
      <c r="B726" s="38" t="str">
        <f>_xlfn.XLOOKUP(A726,'Model Modeshare by TAZ'!A:A,'Model Modeshare by TAZ'!B:B)</f>
        <v>San Jose</v>
      </c>
      <c r="C726" s="38" t="str">
        <f>_xlfn.XLOOKUP(A726,'Model Modeshare by TAZ'!A:A,'Model Modeshare by TAZ'!D:D)</f>
        <v>NO</v>
      </c>
      <c r="D726" s="6">
        <v>3</v>
      </c>
      <c r="E726" s="6">
        <v>14</v>
      </c>
      <c r="F726" s="6">
        <v>34</v>
      </c>
      <c r="G726" s="6">
        <v>34</v>
      </c>
      <c r="H726" s="6">
        <v>14</v>
      </c>
      <c r="I726" s="6">
        <v>2</v>
      </c>
      <c r="J726" s="6">
        <v>12</v>
      </c>
      <c r="K726" s="40">
        <v>1</v>
      </c>
      <c r="L726" s="40">
        <v>32</v>
      </c>
      <c r="M726" s="40">
        <v>502</v>
      </c>
      <c r="N726" s="40">
        <v>55</v>
      </c>
      <c r="O726" s="40">
        <v>87</v>
      </c>
      <c r="P726" s="40">
        <v>92</v>
      </c>
      <c r="Q726" s="40">
        <v>0</v>
      </c>
      <c r="R726" s="40">
        <v>252</v>
      </c>
      <c r="S726" s="40">
        <v>16</v>
      </c>
    </row>
    <row r="727" spans="1:19" x14ac:dyDescent="0.35">
      <c r="A727" s="38">
        <v>724</v>
      </c>
      <c r="B727" s="38" t="str">
        <f>_xlfn.XLOOKUP(A727,'Model Modeshare by TAZ'!A:A,'Model Modeshare by TAZ'!B:B)</f>
        <v>San Jose</v>
      </c>
      <c r="C727" s="38" t="str">
        <f>_xlfn.XLOOKUP(A727,'Model Modeshare by TAZ'!A:A,'Model Modeshare by TAZ'!D:D)</f>
        <v>NO</v>
      </c>
      <c r="D727" s="6">
        <v>3</v>
      </c>
      <c r="E727" s="6">
        <v>434</v>
      </c>
      <c r="F727" s="6">
        <v>1064</v>
      </c>
      <c r="G727" s="6">
        <v>1064</v>
      </c>
      <c r="H727" s="6">
        <v>441</v>
      </c>
      <c r="I727" s="6">
        <v>49</v>
      </c>
      <c r="J727" s="6">
        <v>385</v>
      </c>
      <c r="K727" s="40">
        <v>203</v>
      </c>
      <c r="L727" s="40">
        <v>0</v>
      </c>
      <c r="M727" s="40">
        <v>0</v>
      </c>
      <c r="N727" s="40">
        <v>0</v>
      </c>
      <c r="O727" s="40">
        <v>0</v>
      </c>
      <c r="P727" s="40">
        <v>0</v>
      </c>
      <c r="Q727" s="40">
        <v>0</v>
      </c>
      <c r="R727" s="40">
        <v>0</v>
      </c>
      <c r="S727" s="40">
        <v>0</v>
      </c>
    </row>
    <row r="728" spans="1:19" x14ac:dyDescent="0.35">
      <c r="A728" s="38">
        <v>725</v>
      </c>
      <c r="B728" s="38" t="str">
        <f>_xlfn.XLOOKUP(A728,'Model Modeshare by TAZ'!A:A,'Model Modeshare by TAZ'!B:B)</f>
        <v>San Jose</v>
      </c>
      <c r="C728" s="38" t="str">
        <f>_xlfn.XLOOKUP(A728,'Model Modeshare by TAZ'!A:A,'Model Modeshare by TAZ'!D:D)</f>
        <v>NO</v>
      </c>
      <c r="D728" s="6">
        <v>3</v>
      </c>
      <c r="E728" s="6">
        <v>699</v>
      </c>
      <c r="F728" s="6">
        <v>1733</v>
      </c>
      <c r="G728" s="6">
        <v>1733</v>
      </c>
      <c r="H728" s="6">
        <v>938</v>
      </c>
      <c r="I728" s="6">
        <v>209</v>
      </c>
      <c r="J728" s="6">
        <v>490</v>
      </c>
      <c r="K728" s="40">
        <v>40</v>
      </c>
      <c r="L728" s="40">
        <v>12</v>
      </c>
      <c r="M728" s="40">
        <v>1716</v>
      </c>
      <c r="N728" s="40">
        <v>341</v>
      </c>
      <c r="O728" s="40">
        <v>376</v>
      </c>
      <c r="P728" s="40">
        <v>380</v>
      </c>
      <c r="Q728" s="40">
        <v>0</v>
      </c>
      <c r="R728" s="40">
        <v>594</v>
      </c>
      <c r="S728" s="40">
        <v>25</v>
      </c>
    </row>
    <row r="729" spans="1:19" x14ac:dyDescent="0.35">
      <c r="A729" s="38">
        <v>726</v>
      </c>
      <c r="B729" s="38" t="str">
        <f>_xlfn.XLOOKUP(A729,'Model Modeshare by TAZ'!A:A,'Model Modeshare by TAZ'!B:B)</f>
        <v>San Jose</v>
      </c>
      <c r="C729" s="38" t="str">
        <f>_xlfn.XLOOKUP(A729,'Model Modeshare by TAZ'!A:A,'Model Modeshare by TAZ'!D:D)</f>
        <v>NO</v>
      </c>
      <c r="D729" s="6">
        <v>3</v>
      </c>
      <c r="E729" s="6">
        <v>530</v>
      </c>
      <c r="F729" s="6">
        <v>1315</v>
      </c>
      <c r="G729" s="6">
        <v>1315</v>
      </c>
      <c r="H729" s="6">
        <v>711</v>
      </c>
      <c r="I729" s="6">
        <v>158</v>
      </c>
      <c r="J729" s="6">
        <v>372</v>
      </c>
      <c r="K729" s="40">
        <v>59</v>
      </c>
      <c r="L729" s="40">
        <v>3</v>
      </c>
      <c r="M729" s="40">
        <v>440</v>
      </c>
      <c r="N729" s="40">
        <v>177</v>
      </c>
      <c r="O729" s="40">
        <v>263</v>
      </c>
      <c r="P729" s="40">
        <v>0</v>
      </c>
      <c r="Q729" s="40">
        <v>0</v>
      </c>
      <c r="R729" s="40">
        <v>0</v>
      </c>
      <c r="S729" s="40">
        <v>0</v>
      </c>
    </row>
    <row r="730" spans="1:19" x14ac:dyDescent="0.35">
      <c r="A730" s="38">
        <v>727</v>
      </c>
      <c r="B730" s="38" t="str">
        <f>_xlfn.XLOOKUP(A730,'Model Modeshare by TAZ'!A:A,'Model Modeshare by TAZ'!B:B)</f>
        <v>San Jose</v>
      </c>
      <c r="C730" s="38" t="str">
        <f>_xlfn.XLOOKUP(A730,'Model Modeshare by TAZ'!A:A,'Model Modeshare by TAZ'!D:D)</f>
        <v>NO</v>
      </c>
      <c r="D730" s="6">
        <v>3</v>
      </c>
      <c r="E730" s="6">
        <v>504</v>
      </c>
      <c r="F730" s="6">
        <v>1250</v>
      </c>
      <c r="G730" s="6">
        <v>1250</v>
      </c>
      <c r="H730" s="6">
        <v>676</v>
      </c>
      <c r="I730" s="6">
        <v>151</v>
      </c>
      <c r="J730" s="6">
        <v>353</v>
      </c>
      <c r="K730" s="40">
        <v>86</v>
      </c>
      <c r="L730" s="40">
        <v>9</v>
      </c>
      <c r="M730" s="40">
        <v>152</v>
      </c>
      <c r="N730" s="40">
        <v>12</v>
      </c>
      <c r="O730" s="40">
        <v>32</v>
      </c>
      <c r="P730" s="40">
        <v>32</v>
      </c>
      <c r="Q730" s="40">
        <v>0</v>
      </c>
      <c r="R730" s="40">
        <v>72</v>
      </c>
      <c r="S730" s="40">
        <v>4</v>
      </c>
    </row>
    <row r="731" spans="1:19" x14ac:dyDescent="0.35">
      <c r="A731" s="38">
        <v>728</v>
      </c>
      <c r="B731" s="38" t="str">
        <f>_xlfn.XLOOKUP(A731,'Model Modeshare by TAZ'!A:A,'Model Modeshare by TAZ'!B:B)</f>
        <v>San Jose</v>
      </c>
      <c r="C731" s="38" t="str">
        <f>_xlfn.XLOOKUP(A731,'Model Modeshare by TAZ'!A:A,'Model Modeshare by TAZ'!D:D)</f>
        <v>NO</v>
      </c>
      <c r="D731" s="6">
        <v>3</v>
      </c>
      <c r="E731" s="6">
        <v>375</v>
      </c>
      <c r="F731" s="6">
        <v>1001</v>
      </c>
      <c r="G731" s="6">
        <v>1007</v>
      </c>
      <c r="H731" s="6">
        <v>504</v>
      </c>
      <c r="I731" s="6">
        <v>371</v>
      </c>
      <c r="J731" s="6">
        <v>4</v>
      </c>
      <c r="K731" s="40">
        <v>108</v>
      </c>
      <c r="L731" s="40">
        <v>1</v>
      </c>
      <c r="M731" s="40">
        <v>71</v>
      </c>
      <c r="N731" s="40">
        <v>0</v>
      </c>
      <c r="O731" s="40">
        <v>0</v>
      </c>
      <c r="P731" s="40">
        <v>70</v>
      </c>
      <c r="Q731" s="40">
        <v>0</v>
      </c>
      <c r="R731" s="40">
        <v>0</v>
      </c>
      <c r="S731" s="40">
        <v>1</v>
      </c>
    </row>
    <row r="732" spans="1:19" x14ac:dyDescent="0.35">
      <c r="A732" s="38">
        <v>729</v>
      </c>
      <c r="B732" s="38" t="str">
        <f>_xlfn.XLOOKUP(A732,'Model Modeshare by TAZ'!A:A,'Model Modeshare by TAZ'!B:B)</f>
        <v>San Jose</v>
      </c>
      <c r="C732" s="38" t="str">
        <f>_xlfn.XLOOKUP(A732,'Model Modeshare by TAZ'!A:A,'Model Modeshare by TAZ'!D:D)</f>
        <v>NO</v>
      </c>
      <c r="D732" s="6">
        <v>3</v>
      </c>
      <c r="E732" s="6">
        <v>380</v>
      </c>
      <c r="F732" s="6">
        <v>1012</v>
      </c>
      <c r="G732" s="6">
        <v>1013</v>
      </c>
      <c r="H732" s="6">
        <v>510</v>
      </c>
      <c r="I732" s="6">
        <v>377</v>
      </c>
      <c r="J732" s="6">
        <v>3</v>
      </c>
      <c r="K732" s="40">
        <v>67</v>
      </c>
      <c r="L732" s="40">
        <v>1</v>
      </c>
      <c r="M732" s="40">
        <v>24</v>
      </c>
      <c r="N732" s="40">
        <v>0</v>
      </c>
      <c r="O732" s="40">
        <v>0</v>
      </c>
      <c r="P732" s="40">
        <v>24</v>
      </c>
      <c r="Q732" s="40">
        <v>0</v>
      </c>
      <c r="R732" s="40">
        <v>0</v>
      </c>
      <c r="S732" s="40">
        <v>0</v>
      </c>
    </row>
    <row r="733" spans="1:19" x14ac:dyDescent="0.35">
      <c r="A733" s="38">
        <v>730</v>
      </c>
      <c r="B733" s="38" t="str">
        <f>_xlfn.XLOOKUP(A733,'Model Modeshare by TAZ'!A:A,'Model Modeshare by TAZ'!B:B)</f>
        <v>San Jose</v>
      </c>
      <c r="C733" s="38" t="str">
        <f>_xlfn.XLOOKUP(A733,'Model Modeshare by TAZ'!A:A,'Model Modeshare by TAZ'!D:D)</f>
        <v>NO</v>
      </c>
      <c r="D733" s="6">
        <v>3</v>
      </c>
      <c r="E733" s="6">
        <v>520</v>
      </c>
      <c r="F733" s="6">
        <v>1459</v>
      </c>
      <c r="G733" s="6">
        <v>1464</v>
      </c>
      <c r="H733" s="6">
        <v>765</v>
      </c>
      <c r="I733" s="6">
        <v>473</v>
      </c>
      <c r="J733" s="6">
        <v>47</v>
      </c>
      <c r="K733" s="40">
        <v>163</v>
      </c>
      <c r="L733" s="40">
        <v>1</v>
      </c>
      <c r="M733" s="40">
        <v>87</v>
      </c>
      <c r="N733" s="40">
        <v>0</v>
      </c>
      <c r="O733" s="40">
        <v>0</v>
      </c>
      <c r="P733" s="40">
        <v>70</v>
      </c>
      <c r="Q733" s="40">
        <v>17</v>
      </c>
      <c r="R733" s="40">
        <v>0</v>
      </c>
      <c r="S733" s="40">
        <v>0</v>
      </c>
    </row>
    <row r="734" spans="1:19" x14ac:dyDescent="0.35">
      <c r="A734" s="38">
        <v>731</v>
      </c>
      <c r="B734" s="38" t="str">
        <f>_xlfn.XLOOKUP(A734,'Model Modeshare by TAZ'!A:A,'Model Modeshare by TAZ'!B:B)</f>
        <v>San Jose</v>
      </c>
      <c r="C734" s="38" t="str">
        <f>_xlfn.XLOOKUP(A734,'Model Modeshare by TAZ'!A:A,'Model Modeshare by TAZ'!D:D)</f>
        <v>NO</v>
      </c>
      <c r="D734" s="6">
        <v>3</v>
      </c>
      <c r="E734" s="6">
        <v>604</v>
      </c>
      <c r="F734" s="6">
        <v>1692</v>
      </c>
      <c r="G734" s="6">
        <v>1698</v>
      </c>
      <c r="H734" s="6">
        <v>888</v>
      </c>
      <c r="I734" s="6">
        <v>503</v>
      </c>
      <c r="J734" s="6">
        <v>101</v>
      </c>
      <c r="K734" s="40">
        <v>94</v>
      </c>
      <c r="L734" s="40">
        <v>61</v>
      </c>
      <c r="M734" s="40">
        <v>775</v>
      </c>
      <c r="N734" s="40">
        <v>0</v>
      </c>
      <c r="O734" s="40">
        <v>559</v>
      </c>
      <c r="P734" s="40">
        <v>194</v>
      </c>
      <c r="Q734" s="40">
        <v>6</v>
      </c>
      <c r="R734" s="40">
        <v>8</v>
      </c>
      <c r="S734" s="40">
        <v>8</v>
      </c>
    </row>
    <row r="735" spans="1:19" x14ac:dyDescent="0.35">
      <c r="A735" s="38">
        <v>732</v>
      </c>
      <c r="B735" s="38" t="str">
        <f>_xlfn.XLOOKUP(A735,'Model Modeshare by TAZ'!A:A,'Model Modeshare by TAZ'!B:B)</f>
        <v>San Jose</v>
      </c>
      <c r="C735" s="38" t="str">
        <f>_xlfn.XLOOKUP(A735,'Model Modeshare by TAZ'!A:A,'Model Modeshare by TAZ'!D:D)</f>
        <v>NO</v>
      </c>
      <c r="D735" s="6">
        <v>3</v>
      </c>
      <c r="E735" s="6">
        <v>259</v>
      </c>
      <c r="F735" s="6">
        <v>651</v>
      </c>
      <c r="G735" s="6">
        <v>653</v>
      </c>
      <c r="H735" s="6">
        <v>367</v>
      </c>
      <c r="I735" s="6">
        <v>169</v>
      </c>
      <c r="J735" s="6">
        <v>90</v>
      </c>
      <c r="K735" s="40">
        <v>46</v>
      </c>
      <c r="L735" s="40">
        <v>32</v>
      </c>
      <c r="M735" s="40">
        <v>1345</v>
      </c>
      <c r="N735" s="40">
        <v>919</v>
      </c>
      <c r="O735" s="40">
        <v>134</v>
      </c>
      <c r="P735" s="40">
        <v>244</v>
      </c>
      <c r="Q735" s="40">
        <v>31</v>
      </c>
      <c r="R735" s="40">
        <v>14</v>
      </c>
      <c r="S735" s="40">
        <v>3</v>
      </c>
    </row>
    <row r="736" spans="1:19" x14ac:dyDescent="0.35">
      <c r="A736" s="38">
        <v>733</v>
      </c>
      <c r="B736" s="38" t="str">
        <f>_xlfn.XLOOKUP(A736,'Model Modeshare by TAZ'!A:A,'Model Modeshare by TAZ'!B:B)</f>
        <v>San Jose</v>
      </c>
      <c r="C736" s="38" t="str">
        <f>_xlfn.XLOOKUP(A736,'Model Modeshare by TAZ'!A:A,'Model Modeshare by TAZ'!D:D)</f>
        <v>NO</v>
      </c>
      <c r="D736" s="6">
        <v>3</v>
      </c>
      <c r="E736" s="6">
        <v>302</v>
      </c>
      <c r="F736" s="6">
        <v>759</v>
      </c>
      <c r="G736" s="6">
        <v>764</v>
      </c>
      <c r="H736" s="6">
        <v>429</v>
      </c>
      <c r="I736" s="6">
        <v>197</v>
      </c>
      <c r="J736" s="6">
        <v>105</v>
      </c>
      <c r="K736" s="40">
        <v>59</v>
      </c>
      <c r="L736" s="40">
        <v>19</v>
      </c>
      <c r="M736" s="40">
        <v>489</v>
      </c>
      <c r="N736" s="40">
        <v>167</v>
      </c>
      <c r="O736" s="40">
        <v>220</v>
      </c>
      <c r="P736" s="40">
        <v>46</v>
      </c>
      <c r="Q736" s="40">
        <v>4</v>
      </c>
      <c r="R736" s="40">
        <v>48</v>
      </c>
      <c r="S736" s="40">
        <v>4</v>
      </c>
    </row>
    <row r="737" spans="1:19" x14ac:dyDescent="0.35">
      <c r="A737" s="38">
        <v>734</v>
      </c>
      <c r="B737" s="38" t="str">
        <f>_xlfn.XLOOKUP(A737,'Model Modeshare by TAZ'!A:A,'Model Modeshare by TAZ'!B:B)</f>
        <v>Unincorporated</v>
      </c>
      <c r="C737" s="38" t="str">
        <f>_xlfn.XLOOKUP(A737,'Model Modeshare by TAZ'!A:A,'Model Modeshare by TAZ'!D:D)</f>
        <v>NO</v>
      </c>
      <c r="D737" s="6">
        <v>3</v>
      </c>
      <c r="E737" s="6">
        <v>14</v>
      </c>
      <c r="F737" s="6">
        <v>44</v>
      </c>
      <c r="G737" s="6">
        <v>46</v>
      </c>
      <c r="H737" s="6">
        <v>21</v>
      </c>
      <c r="I737" s="6">
        <v>12</v>
      </c>
      <c r="J737" s="6">
        <v>2</v>
      </c>
      <c r="K737" s="40">
        <v>2</v>
      </c>
      <c r="L737" s="40">
        <v>1</v>
      </c>
      <c r="M737" s="40">
        <v>54</v>
      </c>
      <c r="N737" s="40">
        <v>0</v>
      </c>
      <c r="O737" s="40">
        <v>0</v>
      </c>
      <c r="P737" s="40">
        <v>54</v>
      </c>
      <c r="Q737" s="40">
        <v>0</v>
      </c>
      <c r="R737" s="40">
        <v>0</v>
      </c>
      <c r="S737" s="40">
        <v>0</v>
      </c>
    </row>
    <row r="738" spans="1:19" x14ac:dyDescent="0.35">
      <c r="A738" s="38">
        <v>735</v>
      </c>
      <c r="B738" s="38" t="str">
        <f>_xlfn.XLOOKUP(A738,'Model Modeshare by TAZ'!A:A,'Model Modeshare by TAZ'!B:B)</f>
        <v>San Jose</v>
      </c>
      <c r="C738" s="38" t="str">
        <f>_xlfn.XLOOKUP(A738,'Model Modeshare by TAZ'!A:A,'Model Modeshare by TAZ'!D:D)</f>
        <v>NO</v>
      </c>
      <c r="D738" s="6">
        <v>3</v>
      </c>
      <c r="E738" s="6">
        <v>662</v>
      </c>
      <c r="F738" s="6">
        <v>2267</v>
      </c>
      <c r="G738" s="6">
        <v>2274</v>
      </c>
      <c r="H738" s="6">
        <v>1259</v>
      </c>
      <c r="I738" s="6">
        <v>641</v>
      </c>
      <c r="J738" s="6">
        <v>21</v>
      </c>
      <c r="K738" s="40">
        <v>80</v>
      </c>
      <c r="L738" s="40">
        <v>1</v>
      </c>
      <c r="M738" s="40">
        <v>40</v>
      </c>
      <c r="N738" s="40">
        <v>0</v>
      </c>
      <c r="O738" s="40">
        <v>0</v>
      </c>
      <c r="P738" s="40">
        <v>37</v>
      </c>
      <c r="Q738" s="40">
        <v>3</v>
      </c>
      <c r="R738" s="40">
        <v>0</v>
      </c>
      <c r="S738" s="40">
        <v>0</v>
      </c>
    </row>
    <row r="739" spans="1:19" x14ac:dyDescent="0.35">
      <c r="A739" s="38">
        <v>736</v>
      </c>
      <c r="B739" s="38" t="str">
        <f>_xlfn.XLOOKUP(A739,'Model Modeshare by TAZ'!A:A,'Model Modeshare by TAZ'!B:B)</f>
        <v>Unincorporated</v>
      </c>
      <c r="C739" s="38" t="str">
        <f>_xlfn.XLOOKUP(A739,'Model Modeshare by TAZ'!A:A,'Model Modeshare by TAZ'!D:D)</f>
        <v>NO</v>
      </c>
      <c r="D739" s="6">
        <v>3</v>
      </c>
      <c r="E739" s="6">
        <v>0</v>
      </c>
      <c r="F739" s="6">
        <v>0</v>
      </c>
      <c r="G739" s="6">
        <v>0</v>
      </c>
      <c r="H739" s="6">
        <v>0</v>
      </c>
      <c r="I739" s="6">
        <v>0</v>
      </c>
      <c r="J739" s="6">
        <v>0</v>
      </c>
      <c r="K739" s="40">
        <v>4</v>
      </c>
      <c r="L739" s="40">
        <v>0</v>
      </c>
      <c r="M739" s="40">
        <v>0</v>
      </c>
      <c r="N739" s="40">
        <v>0</v>
      </c>
      <c r="O739" s="40">
        <v>0</v>
      </c>
      <c r="P739" s="40">
        <v>0</v>
      </c>
      <c r="Q739" s="40">
        <v>0</v>
      </c>
      <c r="R739" s="40">
        <v>0</v>
      </c>
      <c r="S739" s="40">
        <v>0</v>
      </c>
    </row>
    <row r="740" spans="1:19" x14ac:dyDescent="0.35">
      <c r="A740" s="38">
        <v>737</v>
      </c>
      <c r="B740" s="38" t="str">
        <f>_xlfn.XLOOKUP(A740,'Model Modeshare by TAZ'!A:A,'Model Modeshare by TAZ'!B:B)</f>
        <v>San Jose</v>
      </c>
      <c r="C740" s="38" t="str">
        <f>_xlfn.XLOOKUP(A740,'Model Modeshare by TAZ'!A:A,'Model Modeshare by TAZ'!D:D)</f>
        <v>NO</v>
      </c>
      <c r="D740" s="6">
        <v>3</v>
      </c>
      <c r="E740" s="6">
        <v>849</v>
      </c>
      <c r="F740" s="6">
        <v>2905</v>
      </c>
      <c r="G740" s="6">
        <v>2927</v>
      </c>
      <c r="H740" s="6">
        <v>1614</v>
      </c>
      <c r="I740" s="6">
        <v>822</v>
      </c>
      <c r="J740" s="6">
        <v>27</v>
      </c>
      <c r="K740" s="40">
        <v>107</v>
      </c>
      <c r="L740" s="40">
        <v>2</v>
      </c>
      <c r="M740" s="40">
        <v>73</v>
      </c>
      <c r="N740" s="40">
        <v>0</v>
      </c>
      <c r="O740" s="40">
        <v>0</v>
      </c>
      <c r="P740" s="40">
        <v>0</v>
      </c>
      <c r="Q740" s="40">
        <v>73</v>
      </c>
      <c r="R740" s="40">
        <v>0</v>
      </c>
      <c r="S740" s="40">
        <v>0</v>
      </c>
    </row>
    <row r="741" spans="1:19" x14ac:dyDescent="0.35">
      <c r="A741" s="38">
        <v>738</v>
      </c>
      <c r="B741" s="38" t="str">
        <f>_xlfn.XLOOKUP(A741,'Model Modeshare by TAZ'!A:A,'Model Modeshare by TAZ'!B:B)</f>
        <v>San Jose</v>
      </c>
      <c r="C741" s="38" t="str">
        <f>_xlfn.XLOOKUP(A741,'Model Modeshare by TAZ'!A:A,'Model Modeshare by TAZ'!D:D)</f>
        <v>NO</v>
      </c>
      <c r="D741" s="6">
        <v>3</v>
      </c>
      <c r="E741" s="6">
        <v>3</v>
      </c>
      <c r="F741" s="6">
        <v>10</v>
      </c>
      <c r="G741" s="6">
        <v>10</v>
      </c>
      <c r="H741" s="6">
        <v>5</v>
      </c>
      <c r="I741" s="6">
        <v>3</v>
      </c>
      <c r="J741" s="6">
        <v>0</v>
      </c>
      <c r="K741" s="40">
        <v>1</v>
      </c>
      <c r="L741" s="40">
        <v>185</v>
      </c>
      <c r="M741" s="40">
        <v>1619</v>
      </c>
      <c r="N741" s="40">
        <v>94</v>
      </c>
      <c r="O741" s="40">
        <v>685</v>
      </c>
      <c r="P741" s="40">
        <v>15</v>
      </c>
      <c r="Q741" s="40">
        <v>1</v>
      </c>
      <c r="R741" s="40">
        <v>818</v>
      </c>
      <c r="S741" s="40">
        <v>6</v>
      </c>
    </row>
    <row r="742" spans="1:19" x14ac:dyDescent="0.35">
      <c r="A742" s="38">
        <v>739</v>
      </c>
      <c r="B742" s="38" t="str">
        <f>_xlfn.XLOOKUP(A742,'Model Modeshare by TAZ'!A:A,'Model Modeshare by TAZ'!B:B)</f>
        <v>San Jose</v>
      </c>
      <c r="C742" s="38" t="str">
        <f>_xlfn.XLOOKUP(A742,'Model Modeshare by TAZ'!A:A,'Model Modeshare by TAZ'!D:D)</f>
        <v>NO</v>
      </c>
      <c r="D742" s="6">
        <v>3</v>
      </c>
      <c r="E742" s="6">
        <v>63</v>
      </c>
      <c r="F742" s="6">
        <v>216</v>
      </c>
      <c r="G742" s="6">
        <v>216</v>
      </c>
      <c r="H742" s="6">
        <v>121</v>
      </c>
      <c r="I742" s="6">
        <v>61</v>
      </c>
      <c r="J742" s="6">
        <v>2</v>
      </c>
      <c r="K742" s="40">
        <v>24</v>
      </c>
      <c r="L742" s="40">
        <v>51</v>
      </c>
      <c r="M742" s="40">
        <v>100</v>
      </c>
      <c r="N742" s="40">
        <v>5</v>
      </c>
      <c r="O742" s="40">
        <v>48</v>
      </c>
      <c r="P742" s="40">
        <v>1</v>
      </c>
      <c r="Q742" s="40">
        <v>0</v>
      </c>
      <c r="R742" s="40">
        <v>46</v>
      </c>
      <c r="S742" s="40">
        <v>0</v>
      </c>
    </row>
    <row r="743" spans="1:19" x14ac:dyDescent="0.35">
      <c r="A743" s="38">
        <v>740</v>
      </c>
      <c r="B743" s="38" t="str">
        <f>_xlfn.XLOOKUP(A743,'Model Modeshare by TAZ'!A:A,'Model Modeshare by TAZ'!B:B)</f>
        <v>Unincorporated</v>
      </c>
      <c r="C743" s="38" t="str">
        <f>_xlfn.XLOOKUP(A743,'Model Modeshare by TAZ'!A:A,'Model Modeshare by TAZ'!D:D)</f>
        <v>NO</v>
      </c>
      <c r="D743" s="6">
        <v>3</v>
      </c>
      <c r="E743" s="6">
        <v>184</v>
      </c>
      <c r="F743" s="6">
        <v>631</v>
      </c>
      <c r="G743" s="6">
        <v>632</v>
      </c>
      <c r="H743" s="6">
        <v>352</v>
      </c>
      <c r="I743" s="6">
        <v>179</v>
      </c>
      <c r="J743" s="6">
        <v>5</v>
      </c>
      <c r="K743" s="40">
        <v>41</v>
      </c>
      <c r="L743" s="40">
        <v>3</v>
      </c>
      <c r="M743" s="40">
        <v>123</v>
      </c>
      <c r="N743" s="40">
        <v>0</v>
      </c>
      <c r="O743" s="40">
        <v>16</v>
      </c>
      <c r="P743" s="40">
        <v>0</v>
      </c>
      <c r="Q743" s="40">
        <v>25</v>
      </c>
      <c r="R743" s="40">
        <v>82</v>
      </c>
      <c r="S743" s="40">
        <v>0</v>
      </c>
    </row>
    <row r="744" spans="1:19" x14ac:dyDescent="0.35">
      <c r="A744" s="38">
        <v>741</v>
      </c>
      <c r="B744" s="38" t="str">
        <f>_xlfn.XLOOKUP(A744,'Model Modeshare by TAZ'!A:A,'Model Modeshare by TAZ'!B:B)</f>
        <v>San Jose</v>
      </c>
      <c r="C744" s="38" t="str">
        <f>_xlfn.XLOOKUP(A744,'Model Modeshare by TAZ'!A:A,'Model Modeshare by TAZ'!D:D)</f>
        <v>NO</v>
      </c>
      <c r="D744" s="6">
        <v>3</v>
      </c>
      <c r="E744" s="6">
        <v>16</v>
      </c>
      <c r="F744" s="6">
        <v>53</v>
      </c>
      <c r="G744" s="6">
        <v>53</v>
      </c>
      <c r="H744" s="6">
        <v>28</v>
      </c>
      <c r="I744" s="6">
        <v>15</v>
      </c>
      <c r="J744" s="6">
        <v>1</v>
      </c>
      <c r="K744" s="40">
        <v>16</v>
      </c>
      <c r="L744" s="40">
        <v>168</v>
      </c>
      <c r="M744" s="40">
        <v>1193</v>
      </c>
      <c r="N744" s="40">
        <v>68</v>
      </c>
      <c r="O744" s="40">
        <v>549</v>
      </c>
      <c r="P744" s="40">
        <v>8</v>
      </c>
      <c r="Q744" s="40">
        <v>0</v>
      </c>
      <c r="R744" s="40">
        <v>564</v>
      </c>
      <c r="S744" s="40">
        <v>4</v>
      </c>
    </row>
    <row r="745" spans="1:19" x14ac:dyDescent="0.35">
      <c r="A745" s="38">
        <v>742</v>
      </c>
      <c r="B745" s="38" t="str">
        <f>_xlfn.XLOOKUP(A745,'Model Modeshare by TAZ'!A:A,'Model Modeshare by TAZ'!B:B)</f>
        <v>San Jose</v>
      </c>
      <c r="C745" s="38" t="str">
        <f>_xlfn.XLOOKUP(A745,'Model Modeshare by TAZ'!A:A,'Model Modeshare by TAZ'!D:D)</f>
        <v>NO</v>
      </c>
      <c r="D745" s="6">
        <v>3</v>
      </c>
      <c r="E745" s="6">
        <v>157</v>
      </c>
      <c r="F745" s="6">
        <v>557</v>
      </c>
      <c r="G745" s="6">
        <v>558</v>
      </c>
      <c r="H745" s="6">
        <v>282</v>
      </c>
      <c r="I745" s="6">
        <v>149</v>
      </c>
      <c r="J745" s="6">
        <v>8</v>
      </c>
      <c r="K745" s="40">
        <v>31</v>
      </c>
      <c r="L745" s="40">
        <v>1</v>
      </c>
      <c r="M745" s="40">
        <v>257</v>
      </c>
      <c r="N745" s="40">
        <v>0</v>
      </c>
      <c r="O745" s="40">
        <v>216</v>
      </c>
      <c r="P745" s="40">
        <v>25</v>
      </c>
      <c r="Q745" s="40">
        <v>8</v>
      </c>
      <c r="R745" s="40">
        <v>8</v>
      </c>
      <c r="S745" s="40">
        <v>0</v>
      </c>
    </row>
    <row r="746" spans="1:19" x14ac:dyDescent="0.35">
      <c r="A746" s="38">
        <v>743</v>
      </c>
      <c r="B746" s="38" t="str">
        <f>_xlfn.XLOOKUP(A746,'Model Modeshare by TAZ'!A:A,'Model Modeshare by TAZ'!B:B)</f>
        <v>San Jose</v>
      </c>
      <c r="C746" s="38" t="str">
        <f>_xlfn.XLOOKUP(A746,'Model Modeshare by TAZ'!A:A,'Model Modeshare by TAZ'!D:D)</f>
        <v>NO</v>
      </c>
      <c r="D746" s="6">
        <v>3</v>
      </c>
      <c r="E746" s="6">
        <v>956</v>
      </c>
      <c r="F746" s="6">
        <v>2178</v>
      </c>
      <c r="G746" s="6">
        <v>2210</v>
      </c>
      <c r="H746" s="6">
        <v>1243</v>
      </c>
      <c r="I746" s="6">
        <v>267</v>
      </c>
      <c r="J746" s="6">
        <v>689</v>
      </c>
      <c r="K746" s="40">
        <v>169</v>
      </c>
      <c r="L746" s="40">
        <v>37</v>
      </c>
      <c r="M746" s="40">
        <v>770</v>
      </c>
      <c r="N746" s="40">
        <v>186</v>
      </c>
      <c r="O746" s="40">
        <v>521</v>
      </c>
      <c r="P746" s="40">
        <v>58</v>
      </c>
      <c r="Q746" s="40">
        <v>2</v>
      </c>
      <c r="R746" s="40">
        <v>1</v>
      </c>
      <c r="S746" s="40">
        <v>2</v>
      </c>
    </row>
    <row r="747" spans="1:19" x14ac:dyDescent="0.35">
      <c r="A747" s="38">
        <v>744</v>
      </c>
      <c r="B747" s="38" t="str">
        <f>_xlfn.XLOOKUP(A747,'Model Modeshare by TAZ'!A:A,'Model Modeshare by TAZ'!B:B)</f>
        <v>San Jose</v>
      </c>
      <c r="C747" s="38" t="str">
        <f>_xlfn.XLOOKUP(A747,'Model Modeshare by TAZ'!A:A,'Model Modeshare by TAZ'!D:D)</f>
        <v>NO</v>
      </c>
      <c r="D747" s="6">
        <v>3</v>
      </c>
      <c r="E747" s="6">
        <v>1362</v>
      </c>
      <c r="F747" s="6">
        <v>3100</v>
      </c>
      <c r="G747" s="6">
        <v>3150</v>
      </c>
      <c r="H747" s="6">
        <v>1766</v>
      </c>
      <c r="I747" s="6">
        <v>382</v>
      </c>
      <c r="J747" s="6">
        <v>980</v>
      </c>
      <c r="K747" s="40">
        <v>83</v>
      </c>
      <c r="L747" s="40">
        <v>25</v>
      </c>
      <c r="M747" s="40">
        <v>1241</v>
      </c>
      <c r="N747" s="40">
        <v>237</v>
      </c>
      <c r="O747" s="40">
        <v>600</v>
      </c>
      <c r="P747" s="40">
        <v>401</v>
      </c>
      <c r="Q747" s="40">
        <v>1</v>
      </c>
      <c r="R747" s="40">
        <v>1</v>
      </c>
      <c r="S747" s="40">
        <v>1</v>
      </c>
    </row>
    <row r="748" spans="1:19" x14ac:dyDescent="0.35">
      <c r="A748" s="38">
        <v>745</v>
      </c>
      <c r="B748" s="38" t="str">
        <f>_xlfn.XLOOKUP(A748,'Model Modeshare by TAZ'!A:A,'Model Modeshare by TAZ'!B:B)</f>
        <v>San Jose</v>
      </c>
      <c r="C748" s="38" t="str">
        <f>_xlfn.XLOOKUP(A748,'Model Modeshare by TAZ'!A:A,'Model Modeshare by TAZ'!D:D)</f>
        <v>NO</v>
      </c>
      <c r="D748" s="6">
        <v>3</v>
      </c>
      <c r="E748" s="6">
        <v>31</v>
      </c>
      <c r="F748" s="6">
        <v>78</v>
      </c>
      <c r="G748" s="6">
        <v>78</v>
      </c>
      <c r="H748" s="6">
        <v>40</v>
      </c>
      <c r="I748" s="6">
        <v>6</v>
      </c>
      <c r="J748" s="6">
        <v>25</v>
      </c>
      <c r="K748" s="40">
        <v>1</v>
      </c>
      <c r="L748" s="40">
        <v>9</v>
      </c>
      <c r="M748" s="40">
        <v>472</v>
      </c>
      <c r="N748" s="40">
        <v>170</v>
      </c>
      <c r="O748" s="40">
        <v>256</v>
      </c>
      <c r="P748" s="40">
        <v>42</v>
      </c>
      <c r="Q748" s="40">
        <v>1</v>
      </c>
      <c r="R748" s="40">
        <v>2</v>
      </c>
      <c r="S748" s="40">
        <v>1</v>
      </c>
    </row>
    <row r="749" spans="1:19" x14ac:dyDescent="0.35">
      <c r="A749" s="38">
        <v>746</v>
      </c>
      <c r="B749" s="38" t="str">
        <f>_xlfn.XLOOKUP(A749,'Model Modeshare by TAZ'!A:A,'Model Modeshare by TAZ'!B:B)</f>
        <v>San Jose</v>
      </c>
      <c r="C749" s="38" t="str">
        <f>_xlfn.XLOOKUP(A749,'Model Modeshare by TAZ'!A:A,'Model Modeshare by TAZ'!D:D)</f>
        <v>NO</v>
      </c>
      <c r="D749" s="6">
        <v>3</v>
      </c>
      <c r="E749" s="6">
        <v>952</v>
      </c>
      <c r="F749" s="6">
        <v>2443</v>
      </c>
      <c r="G749" s="6">
        <v>2443</v>
      </c>
      <c r="H749" s="6">
        <v>1269</v>
      </c>
      <c r="I749" s="6">
        <v>169</v>
      </c>
      <c r="J749" s="6">
        <v>783</v>
      </c>
      <c r="K749" s="40">
        <v>89</v>
      </c>
      <c r="L749" s="40">
        <v>8</v>
      </c>
      <c r="M749" s="40">
        <v>528</v>
      </c>
      <c r="N749" s="40">
        <v>229</v>
      </c>
      <c r="O749" s="40">
        <v>201</v>
      </c>
      <c r="P749" s="40">
        <v>92</v>
      </c>
      <c r="Q749" s="40">
        <v>1</v>
      </c>
      <c r="R749" s="40">
        <v>4</v>
      </c>
      <c r="S749" s="40">
        <v>1</v>
      </c>
    </row>
    <row r="750" spans="1:19" x14ac:dyDescent="0.35">
      <c r="A750" s="38">
        <v>747</v>
      </c>
      <c r="B750" s="38" t="str">
        <f>_xlfn.XLOOKUP(A750,'Model Modeshare by TAZ'!A:A,'Model Modeshare by TAZ'!B:B)</f>
        <v>San Jose</v>
      </c>
      <c r="C750" s="38" t="str">
        <f>_xlfn.XLOOKUP(A750,'Model Modeshare by TAZ'!A:A,'Model Modeshare by TAZ'!D:D)</f>
        <v>NO</v>
      </c>
      <c r="D750" s="6">
        <v>3</v>
      </c>
      <c r="E750" s="6">
        <v>740</v>
      </c>
      <c r="F750" s="6">
        <v>1976</v>
      </c>
      <c r="G750" s="6">
        <v>1976</v>
      </c>
      <c r="H750" s="6">
        <v>1001</v>
      </c>
      <c r="I750" s="6">
        <v>451</v>
      </c>
      <c r="J750" s="6">
        <v>289</v>
      </c>
      <c r="K750" s="40">
        <v>122</v>
      </c>
      <c r="L750" s="40">
        <v>26</v>
      </c>
      <c r="M750" s="40">
        <v>305</v>
      </c>
      <c r="N750" s="40">
        <v>48</v>
      </c>
      <c r="O750" s="40">
        <v>166</v>
      </c>
      <c r="P750" s="40">
        <v>84</v>
      </c>
      <c r="Q750" s="40">
        <v>1</v>
      </c>
      <c r="R750" s="40">
        <v>0</v>
      </c>
      <c r="S750" s="40">
        <v>6</v>
      </c>
    </row>
    <row r="751" spans="1:19" x14ac:dyDescent="0.35">
      <c r="A751" s="38">
        <v>748</v>
      </c>
      <c r="B751" s="38" t="str">
        <f>_xlfn.XLOOKUP(A751,'Model Modeshare by TAZ'!A:A,'Model Modeshare by TAZ'!B:B)</f>
        <v>San Jose</v>
      </c>
      <c r="C751" s="38" t="str">
        <f>_xlfn.XLOOKUP(A751,'Model Modeshare by TAZ'!A:A,'Model Modeshare by TAZ'!D:D)</f>
        <v>NO</v>
      </c>
      <c r="D751" s="6">
        <v>3</v>
      </c>
      <c r="E751" s="6">
        <v>924</v>
      </c>
      <c r="F751" s="6">
        <v>2463</v>
      </c>
      <c r="G751" s="6">
        <v>2464</v>
      </c>
      <c r="H751" s="6">
        <v>1250</v>
      </c>
      <c r="I751" s="6">
        <v>514</v>
      </c>
      <c r="J751" s="6">
        <v>410</v>
      </c>
      <c r="K751" s="40">
        <v>123</v>
      </c>
      <c r="L751" s="40">
        <v>45</v>
      </c>
      <c r="M751" s="40">
        <v>529</v>
      </c>
      <c r="N751" s="40">
        <v>24</v>
      </c>
      <c r="O751" s="40">
        <v>248</v>
      </c>
      <c r="P751" s="40">
        <v>230</v>
      </c>
      <c r="Q751" s="40">
        <v>3</v>
      </c>
      <c r="R751" s="40">
        <v>3</v>
      </c>
      <c r="S751" s="40">
        <v>21</v>
      </c>
    </row>
    <row r="752" spans="1:19" x14ac:dyDescent="0.35">
      <c r="A752" s="38">
        <v>749</v>
      </c>
      <c r="B752" s="38" t="str">
        <f>_xlfn.XLOOKUP(A752,'Model Modeshare by TAZ'!A:A,'Model Modeshare by TAZ'!B:B)</f>
        <v>San Jose</v>
      </c>
      <c r="C752" s="38" t="str">
        <f>_xlfn.XLOOKUP(A752,'Model Modeshare by TAZ'!A:A,'Model Modeshare by TAZ'!D:D)</f>
        <v>NO</v>
      </c>
      <c r="D752" s="6">
        <v>3</v>
      </c>
      <c r="E752" s="6">
        <v>994</v>
      </c>
      <c r="F752" s="6">
        <v>2874</v>
      </c>
      <c r="G752" s="6">
        <v>2883</v>
      </c>
      <c r="H752" s="6">
        <v>1457</v>
      </c>
      <c r="I752" s="6">
        <v>777</v>
      </c>
      <c r="J752" s="6">
        <v>217</v>
      </c>
      <c r="K752" s="40">
        <v>119</v>
      </c>
      <c r="L752" s="40">
        <v>67</v>
      </c>
      <c r="M752" s="40">
        <v>382</v>
      </c>
      <c r="N752" s="40">
        <v>62</v>
      </c>
      <c r="O752" s="40">
        <v>152</v>
      </c>
      <c r="P752" s="40">
        <v>163</v>
      </c>
      <c r="Q752" s="40">
        <v>0</v>
      </c>
      <c r="R752" s="40">
        <v>1</v>
      </c>
      <c r="S752" s="40">
        <v>4</v>
      </c>
    </row>
    <row r="753" spans="1:19" x14ac:dyDescent="0.35">
      <c r="A753" s="38">
        <v>750</v>
      </c>
      <c r="B753" s="38" t="str">
        <f>_xlfn.XLOOKUP(A753,'Model Modeshare by TAZ'!A:A,'Model Modeshare by TAZ'!B:B)</f>
        <v>San Jose</v>
      </c>
      <c r="C753" s="38" t="str">
        <f>_xlfn.XLOOKUP(A753,'Model Modeshare by TAZ'!A:A,'Model Modeshare by TAZ'!D:D)</f>
        <v>NO</v>
      </c>
      <c r="D753" s="6">
        <v>3</v>
      </c>
      <c r="E753" s="6">
        <v>446</v>
      </c>
      <c r="F753" s="6">
        <v>1208</v>
      </c>
      <c r="G753" s="6">
        <v>1295</v>
      </c>
      <c r="H753" s="6">
        <v>613</v>
      </c>
      <c r="I753" s="6">
        <v>318</v>
      </c>
      <c r="J753" s="6">
        <v>128</v>
      </c>
      <c r="K753" s="40">
        <v>40</v>
      </c>
      <c r="L753" s="40">
        <v>22</v>
      </c>
      <c r="M753" s="40">
        <v>305</v>
      </c>
      <c r="N753" s="40">
        <v>0</v>
      </c>
      <c r="O753" s="40">
        <v>303</v>
      </c>
      <c r="P753" s="40">
        <v>1</v>
      </c>
      <c r="Q753" s="40">
        <v>0</v>
      </c>
      <c r="R753" s="40">
        <v>0</v>
      </c>
      <c r="S753" s="40">
        <v>1</v>
      </c>
    </row>
    <row r="754" spans="1:19" x14ac:dyDescent="0.35">
      <c r="A754" s="38">
        <v>751</v>
      </c>
      <c r="B754" s="38" t="str">
        <f>_xlfn.XLOOKUP(A754,'Model Modeshare by TAZ'!A:A,'Model Modeshare by TAZ'!B:B)</f>
        <v>San Jose</v>
      </c>
      <c r="C754" s="38" t="str">
        <f>_xlfn.XLOOKUP(A754,'Model Modeshare by TAZ'!A:A,'Model Modeshare by TAZ'!D:D)</f>
        <v>NO</v>
      </c>
      <c r="D754" s="6">
        <v>3</v>
      </c>
      <c r="E754" s="6">
        <v>639</v>
      </c>
      <c r="F754" s="6">
        <v>1732</v>
      </c>
      <c r="G754" s="6">
        <v>1780</v>
      </c>
      <c r="H754" s="6">
        <v>880</v>
      </c>
      <c r="I754" s="6">
        <v>455</v>
      </c>
      <c r="J754" s="6">
        <v>184</v>
      </c>
      <c r="K754" s="40">
        <v>140</v>
      </c>
      <c r="L754" s="40">
        <v>65</v>
      </c>
      <c r="M754" s="40">
        <v>732</v>
      </c>
      <c r="N754" s="40">
        <v>147</v>
      </c>
      <c r="O754" s="40">
        <v>311</v>
      </c>
      <c r="P754" s="40">
        <v>256</v>
      </c>
      <c r="Q754" s="40">
        <v>1</v>
      </c>
      <c r="R754" s="40">
        <v>4</v>
      </c>
      <c r="S754" s="40">
        <v>13</v>
      </c>
    </row>
    <row r="755" spans="1:19" x14ac:dyDescent="0.35">
      <c r="A755" s="38">
        <v>752</v>
      </c>
      <c r="B755" s="38" t="str">
        <f>_xlfn.XLOOKUP(A755,'Model Modeshare by TAZ'!A:A,'Model Modeshare by TAZ'!B:B)</f>
        <v>San Jose</v>
      </c>
      <c r="C755" s="38" t="str">
        <f>_xlfn.XLOOKUP(A755,'Model Modeshare by TAZ'!A:A,'Model Modeshare by TAZ'!D:D)</f>
        <v>NO</v>
      </c>
      <c r="D755" s="6">
        <v>3</v>
      </c>
      <c r="E755" s="6">
        <v>1091</v>
      </c>
      <c r="F755" s="6">
        <v>2956</v>
      </c>
      <c r="G755" s="6">
        <v>3037</v>
      </c>
      <c r="H755" s="6">
        <v>1500</v>
      </c>
      <c r="I755" s="6">
        <v>777</v>
      </c>
      <c r="J755" s="6">
        <v>314</v>
      </c>
      <c r="K755" s="40">
        <v>211</v>
      </c>
      <c r="L755" s="40">
        <v>8</v>
      </c>
      <c r="M755" s="40">
        <v>179</v>
      </c>
      <c r="N755" s="40">
        <v>11</v>
      </c>
      <c r="O755" s="40">
        <v>11</v>
      </c>
      <c r="P755" s="40">
        <v>142</v>
      </c>
      <c r="Q755" s="40">
        <v>4</v>
      </c>
      <c r="R755" s="40">
        <v>0</v>
      </c>
      <c r="S755" s="40">
        <v>11</v>
      </c>
    </row>
    <row r="756" spans="1:19" x14ac:dyDescent="0.35">
      <c r="A756" s="38">
        <v>753</v>
      </c>
      <c r="B756" s="38" t="str">
        <f>_xlfn.XLOOKUP(A756,'Model Modeshare by TAZ'!A:A,'Model Modeshare by TAZ'!B:B)</f>
        <v>San Jose</v>
      </c>
      <c r="C756" s="38" t="str">
        <f>_xlfn.XLOOKUP(A756,'Model Modeshare by TAZ'!A:A,'Model Modeshare by TAZ'!D:D)</f>
        <v>NO</v>
      </c>
      <c r="D756" s="6">
        <v>3</v>
      </c>
      <c r="E756" s="6">
        <v>325</v>
      </c>
      <c r="F756" s="6">
        <v>881</v>
      </c>
      <c r="G756" s="6">
        <v>905</v>
      </c>
      <c r="H756" s="6">
        <v>448</v>
      </c>
      <c r="I756" s="6">
        <v>232</v>
      </c>
      <c r="J756" s="6">
        <v>93</v>
      </c>
      <c r="K756" s="40">
        <v>58</v>
      </c>
      <c r="L756" s="40">
        <v>51</v>
      </c>
      <c r="M756" s="40">
        <v>1021</v>
      </c>
      <c r="N756" s="40">
        <v>442</v>
      </c>
      <c r="O756" s="40">
        <v>295</v>
      </c>
      <c r="P756" s="40">
        <v>258</v>
      </c>
      <c r="Q756" s="40">
        <v>1</v>
      </c>
      <c r="R756" s="40">
        <v>5</v>
      </c>
      <c r="S756" s="40">
        <v>20</v>
      </c>
    </row>
    <row r="757" spans="1:19" x14ac:dyDescent="0.35">
      <c r="A757" s="38">
        <v>754</v>
      </c>
      <c r="B757" s="38" t="str">
        <f>_xlfn.XLOOKUP(A757,'Model Modeshare by TAZ'!A:A,'Model Modeshare by TAZ'!B:B)</f>
        <v>San Jose</v>
      </c>
      <c r="C757" s="38" t="str">
        <f>_xlfn.XLOOKUP(A757,'Model Modeshare by TAZ'!A:A,'Model Modeshare by TAZ'!D:D)</f>
        <v>NO</v>
      </c>
      <c r="D757" s="6">
        <v>3</v>
      </c>
      <c r="E757" s="6">
        <v>988</v>
      </c>
      <c r="F757" s="6">
        <v>2373</v>
      </c>
      <c r="G757" s="6">
        <v>3043</v>
      </c>
      <c r="H757" s="6">
        <v>2395</v>
      </c>
      <c r="I757" s="6">
        <v>612</v>
      </c>
      <c r="J757" s="6">
        <v>376</v>
      </c>
      <c r="K757" s="40">
        <v>78</v>
      </c>
      <c r="L757" s="40">
        <v>48</v>
      </c>
      <c r="M757" s="40">
        <v>1629</v>
      </c>
      <c r="N757" s="40">
        <v>139</v>
      </c>
      <c r="O757" s="40">
        <v>1114</v>
      </c>
      <c r="P757" s="40">
        <v>4</v>
      </c>
      <c r="Q757" s="40">
        <v>0</v>
      </c>
      <c r="R757" s="40">
        <v>213</v>
      </c>
      <c r="S757" s="40">
        <v>159</v>
      </c>
    </row>
    <row r="758" spans="1:19" x14ac:dyDescent="0.35">
      <c r="A758" s="38">
        <v>755</v>
      </c>
      <c r="B758" s="38" t="str">
        <f>_xlfn.XLOOKUP(A758,'Model Modeshare by TAZ'!A:A,'Model Modeshare by TAZ'!B:B)</f>
        <v>San Jose</v>
      </c>
      <c r="C758" s="38" t="str">
        <f>_xlfn.XLOOKUP(A758,'Model Modeshare by TAZ'!A:A,'Model Modeshare by TAZ'!D:D)</f>
        <v>NO</v>
      </c>
      <c r="D758" s="6">
        <v>3</v>
      </c>
      <c r="E758" s="6">
        <v>10</v>
      </c>
      <c r="F758" s="6">
        <v>25</v>
      </c>
      <c r="G758" s="6">
        <v>25</v>
      </c>
      <c r="H758" s="6">
        <v>20</v>
      </c>
      <c r="I758" s="6">
        <v>6</v>
      </c>
      <c r="J758" s="6">
        <v>4</v>
      </c>
      <c r="K758" s="40">
        <v>16</v>
      </c>
      <c r="L758" s="40">
        <v>44</v>
      </c>
      <c r="M758" s="40">
        <v>58</v>
      </c>
      <c r="N758" s="40">
        <v>1</v>
      </c>
      <c r="O758" s="40">
        <v>32</v>
      </c>
      <c r="P758" s="40">
        <v>6</v>
      </c>
      <c r="Q758" s="40">
        <v>0</v>
      </c>
      <c r="R758" s="40">
        <v>14</v>
      </c>
      <c r="S758" s="40">
        <v>5</v>
      </c>
    </row>
    <row r="759" spans="1:19" x14ac:dyDescent="0.35">
      <c r="A759" s="38">
        <v>756</v>
      </c>
      <c r="B759" s="38" t="str">
        <f>_xlfn.XLOOKUP(A759,'Model Modeshare by TAZ'!A:A,'Model Modeshare by TAZ'!B:B)</f>
        <v>San Jose</v>
      </c>
      <c r="C759" s="38" t="str">
        <f>_xlfn.XLOOKUP(A759,'Model Modeshare by TAZ'!A:A,'Model Modeshare by TAZ'!D:D)</f>
        <v>NO</v>
      </c>
      <c r="D759" s="6">
        <v>3</v>
      </c>
      <c r="E759" s="6">
        <v>127</v>
      </c>
      <c r="F759" s="6">
        <v>272</v>
      </c>
      <c r="G759" s="6">
        <v>272</v>
      </c>
      <c r="H759" s="6">
        <v>220</v>
      </c>
      <c r="I759" s="6">
        <v>80</v>
      </c>
      <c r="J759" s="6">
        <v>47</v>
      </c>
      <c r="K759" s="40">
        <v>10</v>
      </c>
      <c r="L759" s="40">
        <v>29</v>
      </c>
      <c r="M759" s="40">
        <v>615</v>
      </c>
      <c r="N759" s="40">
        <v>30</v>
      </c>
      <c r="O759" s="40">
        <v>277</v>
      </c>
      <c r="P759" s="40">
        <v>144</v>
      </c>
      <c r="Q759" s="40">
        <v>0</v>
      </c>
      <c r="R759" s="40">
        <v>144</v>
      </c>
      <c r="S759" s="40">
        <v>20</v>
      </c>
    </row>
    <row r="760" spans="1:19" x14ac:dyDescent="0.35">
      <c r="A760" s="38">
        <v>757</v>
      </c>
      <c r="B760" s="38" t="str">
        <f>_xlfn.XLOOKUP(A760,'Model Modeshare by TAZ'!A:A,'Model Modeshare by TAZ'!B:B)</f>
        <v>San Jose</v>
      </c>
      <c r="C760" s="38" t="str">
        <f>_xlfn.XLOOKUP(A760,'Model Modeshare by TAZ'!A:A,'Model Modeshare by TAZ'!D:D)</f>
        <v>NO</v>
      </c>
      <c r="D760" s="6">
        <v>3</v>
      </c>
      <c r="E760" s="6">
        <v>8</v>
      </c>
      <c r="F760" s="6">
        <v>21</v>
      </c>
      <c r="G760" s="6">
        <v>21</v>
      </c>
      <c r="H760" s="6">
        <v>16</v>
      </c>
      <c r="I760" s="6">
        <v>5</v>
      </c>
      <c r="J760" s="6">
        <v>3</v>
      </c>
      <c r="K760" s="40">
        <v>15</v>
      </c>
      <c r="L760" s="40">
        <v>44</v>
      </c>
      <c r="M760" s="40">
        <v>97</v>
      </c>
      <c r="N760" s="40">
        <v>3</v>
      </c>
      <c r="O760" s="40">
        <v>55</v>
      </c>
      <c r="P760" s="40">
        <v>21</v>
      </c>
      <c r="Q760" s="40">
        <v>0</v>
      </c>
      <c r="R760" s="40">
        <v>15</v>
      </c>
      <c r="S760" s="40">
        <v>3</v>
      </c>
    </row>
    <row r="761" spans="1:19" x14ac:dyDescent="0.35">
      <c r="A761" s="38">
        <v>758</v>
      </c>
      <c r="B761" s="38" t="str">
        <f>_xlfn.XLOOKUP(A761,'Model Modeshare by TAZ'!A:A,'Model Modeshare by TAZ'!B:B)</f>
        <v>San Jose</v>
      </c>
      <c r="C761" s="38" t="str">
        <f>_xlfn.XLOOKUP(A761,'Model Modeshare by TAZ'!A:A,'Model Modeshare by TAZ'!D:D)</f>
        <v>NO</v>
      </c>
      <c r="D761" s="6">
        <v>3</v>
      </c>
      <c r="E761" s="6">
        <v>17</v>
      </c>
      <c r="F761" s="6">
        <v>42</v>
      </c>
      <c r="G761" s="6">
        <v>42</v>
      </c>
      <c r="H761" s="6">
        <v>35</v>
      </c>
      <c r="I761" s="6">
        <v>11</v>
      </c>
      <c r="J761" s="6">
        <v>6</v>
      </c>
      <c r="K761" s="40">
        <v>11</v>
      </c>
      <c r="L761" s="40">
        <v>43</v>
      </c>
      <c r="M761" s="40">
        <v>280</v>
      </c>
      <c r="N761" s="40">
        <v>14</v>
      </c>
      <c r="O761" s="40">
        <v>121</v>
      </c>
      <c r="P761" s="40">
        <v>71</v>
      </c>
      <c r="Q761" s="40">
        <v>0</v>
      </c>
      <c r="R761" s="40">
        <v>61</v>
      </c>
      <c r="S761" s="40">
        <v>13</v>
      </c>
    </row>
    <row r="762" spans="1:19" x14ac:dyDescent="0.35">
      <c r="A762" s="38">
        <v>759</v>
      </c>
      <c r="B762" s="38" t="str">
        <f>_xlfn.XLOOKUP(A762,'Model Modeshare by TAZ'!A:A,'Model Modeshare by TAZ'!B:B)</f>
        <v>San Jose</v>
      </c>
      <c r="C762" s="38" t="str">
        <f>_xlfn.XLOOKUP(A762,'Model Modeshare by TAZ'!A:A,'Model Modeshare by TAZ'!D:D)</f>
        <v>NO</v>
      </c>
      <c r="D762" s="6">
        <v>3</v>
      </c>
      <c r="E762" s="6">
        <v>74</v>
      </c>
      <c r="F762" s="6">
        <v>166</v>
      </c>
      <c r="G762" s="6">
        <v>166</v>
      </c>
      <c r="H762" s="6">
        <v>127</v>
      </c>
      <c r="I762" s="6">
        <v>47</v>
      </c>
      <c r="J762" s="6">
        <v>27</v>
      </c>
      <c r="K762" s="40">
        <v>12</v>
      </c>
      <c r="L762" s="40">
        <v>31</v>
      </c>
      <c r="M762" s="40">
        <v>619</v>
      </c>
      <c r="N762" s="40">
        <v>24</v>
      </c>
      <c r="O762" s="40">
        <v>202</v>
      </c>
      <c r="P762" s="40">
        <v>228</v>
      </c>
      <c r="Q762" s="40">
        <v>0</v>
      </c>
      <c r="R762" s="40">
        <v>135</v>
      </c>
      <c r="S762" s="40">
        <v>30</v>
      </c>
    </row>
    <row r="763" spans="1:19" x14ac:dyDescent="0.35">
      <c r="A763" s="38">
        <v>760</v>
      </c>
      <c r="B763" s="38" t="str">
        <f>_xlfn.XLOOKUP(A763,'Model Modeshare by TAZ'!A:A,'Model Modeshare by TAZ'!B:B)</f>
        <v>San Jose</v>
      </c>
      <c r="C763" s="38" t="str">
        <f>_xlfn.XLOOKUP(A763,'Model Modeshare by TAZ'!A:A,'Model Modeshare by TAZ'!D:D)</f>
        <v>NO</v>
      </c>
      <c r="D763" s="6">
        <v>3</v>
      </c>
      <c r="E763" s="6">
        <v>243</v>
      </c>
      <c r="F763" s="6">
        <v>590</v>
      </c>
      <c r="G763" s="6">
        <v>614</v>
      </c>
      <c r="H763" s="6">
        <v>363</v>
      </c>
      <c r="I763" s="6">
        <v>125</v>
      </c>
      <c r="J763" s="6">
        <v>118</v>
      </c>
      <c r="K763" s="40">
        <v>31</v>
      </c>
      <c r="L763" s="40">
        <v>17</v>
      </c>
      <c r="M763" s="40">
        <v>821</v>
      </c>
      <c r="N763" s="40">
        <v>71</v>
      </c>
      <c r="O763" s="40">
        <v>539</v>
      </c>
      <c r="P763" s="40">
        <v>179</v>
      </c>
      <c r="Q763" s="40">
        <v>0</v>
      </c>
      <c r="R763" s="40">
        <v>26</v>
      </c>
      <c r="S763" s="40">
        <v>6</v>
      </c>
    </row>
    <row r="764" spans="1:19" x14ac:dyDescent="0.35">
      <c r="A764" s="38">
        <v>761</v>
      </c>
      <c r="B764" s="38" t="str">
        <f>_xlfn.XLOOKUP(A764,'Model Modeshare by TAZ'!A:A,'Model Modeshare by TAZ'!B:B)</f>
        <v>San Jose</v>
      </c>
      <c r="C764" s="38" t="str">
        <f>_xlfn.XLOOKUP(A764,'Model Modeshare by TAZ'!A:A,'Model Modeshare by TAZ'!D:D)</f>
        <v>NO</v>
      </c>
      <c r="D764" s="6">
        <v>3</v>
      </c>
      <c r="E764" s="6">
        <v>250</v>
      </c>
      <c r="F764" s="6">
        <v>607</v>
      </c>
      <c r="G764" s="6">
        <v>626</v>
      </c>
      <c r="H764" s="6">
        <v>374</v>
      </c>
      <c r="I764" s="6">
        <v>128</v>
      </c>
      <c r="J764" s="6">
        <v>122</v>
      </c>
      <c r="K764" s="40">
        <v>52</v>
      </c>
      <c r="L764" s="40">
        <v>24</v>
      </c>
      <c r="M764" s="40">
        <v>593</v>
      </c>
      <c r="N764" s="40">
        <v>74</v>
      </c>
      <c r="O764" s="40">
        <v>315</v>
      </c>
      <c r="P764" s="40">
        <v>189</v>
      </c>
      <c r="Q764" s="40">
        <v>0</v>
      </c>
      <c r="R764" s="40">
        <v>13</v>
      </c>
      <c r="S764" s="40">
        <v>2</v>
      </c>
    </row>
    <row r="765" spans="1:19" x14ac:dyDescent="0.35">
      <c r="A765" s="38">
        <v>762</v>
      </c>
      <c r="B765" s="38" t="str">
        <f>_xlfn.XLOOKUP(A765,'Model Modeshare by TAZ'!A:A,'Model Modeshare by TAZ'!B:B)</f>
        <v>San Jose</v>
      </c>
      <c r="C765" s="38" t="str">
        <f>_xlfn.XLOOKUP(A765,'Model Modeshare by TAZ'!A:A,'Model Modeshare by TAZ'!D:D)</f>
        <v>NO</v>
      </c>
      <c r="D765" s="6">
        <v>3</v>
      </c>
      <c r="E765" s="6">
        <v>226</v>
      </c>
      <c r="F765" s="6">
        <v>549</v>
      </c>
      <c r="G765" s="6">
        <v>566</v>
      </c>
      <c r="H765" s="6">
        <v>337</v>
      </c>
      <c r="I765" s="6">
        <v>116</v>
      </c>
      <c r="J765" s="6">
        <v>110</v>
      </c>
      <c r="K765" s="40">
        <v>41</v>
      </c>
      <c r="L765" s="40">
        <v>4</v>
      </c>
      <c r="M765" s="40">
        <v>141</v>
      </c>
      <c r="N765" s="40">
        <v>14</v>
      </c>
      <c r="O765" s="40">
        <v>112</v>
      </c>
      <c r="P765" s="40">
        <v>11</v>
      </c>
      <c r="Q765" s="40">
        <v>0</v>
      </c>
      <c r="R765" s="40">
        <v>3</v>
      </c>
      <c r="S765" s="40">
        <v>1</v>
      </c>
    </row>
    <row r="766" spans="1:19" x14ac:dyDescent="0.35">
      <c r="A766" s="38">
        <v>763</v>
      </c>
      <c r="B766" s="38" t="str">
        <f>_xlfn.XLOOKUP(A766,'Model Modeshare by TAZ'!A:A,'Model Modeshare by TAZ'!B:B)</f>
        <v>San Jose</v>
      </c>
      <c r="C766" s="38" t="str">
        <f>_xlfn.XLOOKUP(A766,'Model Modeshare by TAZ'!A:A,'Model Modeshare by TAZ'!D:D)</f>
        <v>NO</v>
      </c>
      <c r="D766" s="6">
        <v>3</v>
      </c>
      <c r="E766" s="6">
        <v>272</v>
      </c>
      <c r="F766" s="6">
        <v>661</v>
      </c>
      <c r="G766" s="6">
        <v>692</v>
      </c>
      <c r="H766" s="6">
        <v>408</v>
      </c>
      <c r="I766" s="6">
        <v>139</v>
      </c>
      <c r="J766" s="6">
        <v>133</v>
      </c>
      <c r="K766" s="40">
        <v>66</v>
      </c>
      <c r="L766" s="40">
        <v>3</v>
      </c>
      <c r="M766" s="40">
        <v>419</v>
      </c>
      <c r="N766" s="40">
        <v>55</v>
      </c>
      <c r="O766" s="40">
        <v>319</v>
      </c>
      <c r="P766" s="40">
        <v>33</v>
      </c>
      <c r="Q766" s="40">
        <v>0</v>
      </c>
      <c r="R766" s="40">
        <v>10</v>
      </c>
      <c r="S766" s="40">
        <v>2</v>
      </c>
    </row>
    <row r="767" spans="1:19" x14ac:dyDescent="0.35">
      <c r="A767" s="38">
        <v>764</v>
      </c>
      <c r="B767" s="38" t="str">
        <f>_xlfn.XLOOKUP(A767,'Model Modeshare by TAZ'!A:A,'Model Modeshare by TAZ'!B:B)</f>
        <v>San Jose</v>
      </c>
      <c r="C767" s="38" t="str">
        <f>_xlfn.XLOOKUP(A767,'Model Modeshare by TAZ'!A:A,'Model Modeshare by TAZ'!D:D)</f>
        <v>NO</v>
      </c>
      <c r="D767" s="6">
        <v>3</v>
      </c>
      <c r="E767" s="6">
        <v>53</v>
      </c>
      <c r="F767" s="6">
        <v>125</v>
      </c>
      <c r="G767" s="6">
        <v>162</v>
      </c>
      <c r="H767" s="6">
        <v>90</v>
      </c>
      <c r="I767" s="6">
        <v>34</v>
      </c>
      <c r="J767" s="6">
        <v>19</v>
      </c>
      <c r="K767" s="40">
        <v>10</v>
      </c>
      <c r="L767" s="40">
        <v>44</v>
      </c>
      <c r="M767" s="40">
        <v>1367</v>
      </c>
      <c r="N767" s="40">
        <v>55</v>
      </c>
      <c r="O767" s="40">
        <v>536</v>
      </c>
      <c r="P767" s="40">
        <v>419</v>
      </c>
      <c r="Q767" s="40">
        <v>0</v>
      </c>
      <c r="R767" s="40">
        <v>302</v>
      </c>
      <c r="S767" s="40">
        <v>55</v>
      </c>
    </row>
    <row r="768" spans="1:19" x14ac:dyDescent="0.35">
      <c r="A768" s="38">
        <v>765</v>
      </c>
      <c r="B768" s="38" t="str">
        <f>_xlfn.XLOOKUP(A768,'Model Modeshare by TAZ'!A:A,'Model Modeshare by TAZ'!B:B)</f>
        <v>San Jose</v>
      </c>
      <c r="C768" s="38" t="str">
        <f>_xlfn.XLOOKUP(A768,'Model Modeshare by TAZ'!A:A,'Model Modeshare by TAZ'!D:D)</f>
        <v>NO</v>
      </c>
      <c r="D768" s="6">
        <v>3</v>
      </c>
      <c r="E768" s="6">
        <v>54</v>
      </c>
      <c r="F768" s="6">
        <v>130</v>
      </c>
      <c r="G768" s="6">
        <v>410</v>
      </c>
      <c r="H768" s="6">
        <v>94</v>
      </c>
      <c r="I768" s="6">
        <v>35</v>
      </c>
      <c r="J768" s="6">
        <v>19</v>
      </c>
      <c r="K768" s="40">
        <v>2</v>
      </c>
      <c r="L768" s="40">
        <v>125</v>
      </c>
      <c r="M768" s="40">
        <v>862</v>
      </c>
      <c r="N768" s="40">
        <v>105</v>
      </c>
      <c r="O768" s="40">
        <v>304</v>
      </c>
      <c r="P768" s="40">
        <v>330</v>
      </c>
      <c r="Q768" s="40">
        <v>2</v>
      </c>
      <c r="R768" s="40">
        <v>98</v>
      </c>
      <c r="S768" s="40">
        <v>23</v>
      </c>
    </row>
    <row r="769" spans="1:19" x14ac:dyDescent="0.35">
      <c r="A769" s="38">
        <v>766</v>
      </c>
      <c r="B769" s="38" t="str">
        <f>_xlfn.XLOOKUP(A769,'Model Modeshare by TAZ'!A:A,'Model Modeshare by TAZ'!B:B)</f>
        <v>San Jose</v>
      </c>
      <c r="C769" s="38" t="str">
        <f>_xlfn.XLOOKUP(A769,'Model Modeshare by TAZ'!A:A,'Model Modeshare by TAZ'!D:D)</f>
        <v>NO</v>
      </c>
      <c r="D769" s="6">
        <v>3</v>
      </c>
      <c r="E769" s="6">
        <v>37</v>
      </c>
      <c r="F769" s="6">
        <v>60</v>
      </c>
      <c r="G769" s="6">
        <v>60</v>
      </c>
      <c r="H769" s="6">
        <v>38</v>
      </c>
      <c r="I769" s="6">
        <v>3</v>
      </c>
      <c r="J769" s="6">
        <v>34</v>
      </c>
      <c r="K769" s="40">
        <v>1</v>
      </c>
      <c r="L769" s="40">
        <v>5</v>
      </c>
      <c r="M769" s="40">
        <v>235</v>
      </c>
      <c r="N769" s="40">
        <v>24</v>
      </c>
      <c r="O769" s="40">
        <v>182</v>
      </c>
      <c r="P769" s="40">
        <v>1</v>
      </c>
      <c r="Q769" s="40">
        <v>0</v>
      </c>
      <c r="R769" s="40">
        <v>26</v>
      </c>
      <c r="S769" s="40">
        <v>2</v>
      </c>
    </row>
    <row r="770" spans="1:19" x14ac:dyDescent="0.35">
      <c r="A770" s="38">
        <v>767</v>
      </c>
      <c r="B770" s="38" t="str">
        <f>_xlfn.XLOOKUP(A770,'Model Modeshare by TAZ'!A:A,'Model Modeshare by TAZ'!B:B)</f>
        <v>San Jose</v>
      </c>
      <c r="C770" s="38" t="str">
        <f>_xlfn.XLOOKUP(A770,'Model Modeshare by TAZ'!A:A,'Model Modeshare by TAZ'!D:D)</f>
        <v>NO</v>
      </c>
      <c r="D770" s="6">
        <v>3</v>
      </c>
      <c r="E770" s="6">
        <v>159</v>
      </c>
      <c r="F770" s="6">
        <v>376</v>
      </c>
      <c r="G770" s="6">
        <v>402</v>
      </c>
      <c r="H770" s="6">
        <v>241</v>
      </c>
      <c r="I770" s="6">
        <v>101</v>
      </c>
      <c r="J770" s="6">
        <v>58</v>
      </c>
      <c r="K770" s="40">
        <v>55</v>
      </c>
      <c r="L770" s="40">
        <v>32</v>
      </c>
      <c r="M770" s="40">
        <v>899</v>
      </c>
      <c r="N770" s="40">
        <v>52</v>
      </c>
      <c r="O770" s="40">
        <v>430</v>
      </c>
      <c r="P770" s="40">
        <v>256</v>
      </c>
      <c r="Q770" s="40">
        <v>2</v>
      </c>
      <c r="R770" s="40">
        <v>137</v>
      </c>
      <c r="S770" s="40">
        <v>22</v>
      </c>
    </row>
    <row r="771" spans="1:19" x14ac:dyDescent="0.35">
      <c r="A771" s="38">
        <v>768</v>
      </c>
      <c r="B771" s="38" t="str">
        <f>_xlfn.XLOOKUP(A771,'Model Modeshare by TAZ'!A:A,'Model Modeshare by TAZ'!B:B)</f>
        <v>San Jose</v>
      </c>
      <c r="C771" s="38" t="str">
        <f>_xlfn.XLOOKUP(A771,'Model Modeshare by TAZ'!A:A,'Model Modeshare by TAZ'!D:D)</f>
        <v>NO</v>
      </c>
      <c r="D771" s="6">
        <v>3</v>
      </c>
      <c r="E771" s="6">
        <v>429</v>
      </c>
      <c r="F771" s="6">
        <v>942</v>
      </c>
      <c r="G771" s="6">
        <v>949</v>
      </c>
      <c r="H771" s="6">
        <v>582</v>
      </c>
      <c r="I771" s="6">
        <v>245</v>
      </c>
      <c r="J771" s="6">
        <v>184</v>
      </c>
      <c r="K771" s="40">
        <v>43</v>
      </c>
      <c r="L771" s="40">
        <v>22</v>
      </c>
      <c r="M771" s="40">
        <v>1102</v>
      </c>
      <c r="N771" s="40">
        <v>71</v>
      </c>
      <c r="O771" s="40">
        <v>607</v>
      </c>
      <c r="P771" s="40">
        <v>324</v>
      </c>
      <c r="Q771" s="40">
        <v>2</v>
      </c>
      <c r="R771" s="40">
        <v>59</v>
      </c>
      <c r="S771" s="40">
        <v>39</v>
      </c>
    </row>
    <row r="772" spans="1:19" x14ac:dyDescent="0.35">
      <c r="A772" s="38">
        <v>769</v>
      </c>
      <c r="B772" s="38" t="str">
        <f>_xlfn.XLOOKUP(A772,'Model Modeshare by TAZ'!A:A,'Model Modeshare by TAZ'!B:B)</f>
        <v>San Jose</v>
      </c>
      <c r="C772" s="38" t="str">
        <f>_xlfn.XLOOKUP(A772,'Model Modeshare by TAZ'!A:A,'Model Modeshare by TAZ'!D:D)</f>
        <v>NO</v>
      </c>
      <c r="D772" s="6">
        <v>3</v>
      </c>
      <c r="E772" s="6">
        <v>322</v>
      </c>
      <c r="F772" s="6">
        <v>708</v>
      </c>
      <c r="G772" s="6">
        <v>716</v>
      </c>
      <c r="H772" s="6">
        <v>437</v>
      </c>
      <c r="I772" s="6">
        <v>184</v>
      </c>
      <c r="J772" s="6">
        <v>138</v>
      </c>
      <c r="K772" s="40">
        <v>59</v>
      </c>
      <c r="L772" s="40">
        <v>15</v>
      </c>
      <c r="M772" s="40">
        <v>900</v>
      </c>
      <c r="N772" s="40">
        <v>54</v>
      </c>
      <c r="O772" s="40">
        <v>471</v>
      </c>
      <c r="P772" s="40">
        <v>296</v>
      </c>
      <c r="Q772" s="40">
        <v>6</v>
      </c>
      <c r="R772" s="40">
        <v>43</v>
      </c>
      <c r="S772" s="40">
        <v>30</v>
      </c>
    </row>
    <row r="773" spans="1:19" x14ac:dyDescent="0.35">
      <c r="A773" s="38">
        <v>770</v>
      </c>
      <c r="B773" s="38" t="str">
        <f>_xlfn.XLOOKUP(A773,'Model Modeshare by TAZ'!A:A,'Model Modeshare by TAZ'!B:B)</f>
        <v>San Jose</v>
      </c>
      <c r="C773" s="38" t="str">
        <f>_xlfn.XLOOKUP(A773,'Model Modeshare by TAZ'!A:A,'Model Modeshare by TAZ'!D:D)</f>
        <v>NO</v>
      </c>
      <c r="D773" s="6">
        <v>3</v>
      </c>
      <c r="E773" s="6">
        <v>876</v>
      </c>
      <c r="F773" s="6">
        <v>1924</v>
      </c>
      <c r="G773" s="6">
        <v>1963</v>
      </c>
      <c r="H773" s="6">
        <v>1191</v>
      </c>
      <c r="I773" s="6">
        <v>357</v>
      </c>
      <c r="J773" s="6">
        <v>519</v>
      </c>
      <c r="K773" s="40">
        <v>40</v>
      </c>
      <c r="L773" s="40">
        <v>39</v>
      </c>
      <c r="M773" s="40">
        <v>1729</v>
      </c>
      <c r="N773" s="40">
        <v>283</v>
      </c>
      <c r="O773" s="40">
        <v>630</v>
      </c>
      <c r="P773" s="40">
        <v>673</v>
      </c>
      <c r="Q773" s="40">
        <v>27</v>
      </c>
      <c r="R773" s="40">
        <v>77</v>
      </c>
      <c r="S773" s="40">
        <v>39</v>
      </c>
    </row>
    <row r="774" spans="1:19" x14ac:dyDescent="0.35">
      <c r="A774" s="38">
        <v>771</v>
      </c>
      <c r="B774" s="38" t="str">
        <f>_xlfn.XLOOKUP(A774,'Model Modeshare by TAZ'!A:A,'Model Modeshare by TAZ'!B:B)</f>
        <v>San Jose</v>
      </c>
      <c r="C774" s="38" t="str">
        <f>_xlfn.XLOOKUP(A774,'Model Modeshare by TAZ'!A:A,'Model Modeshare by TAZ'!D:D)</f>
        <v>NO</v>
      </c>
      <c r="D774" s="6">
        <v>3</v>
      </c>
      <c r="E774" s="6">
        <v>479</v>
      </c>
      <c r="F774" s="6">
        <v>1053</v>
      </c>
      <c r="G774" s="6">
        <v>1061</v>
      </c>
      <c r="H774" s="6">
        <v>651</v>
      </c>
      <c r="I774" s="6">
        <v>273</v>
      </c>
      <c r="J774" s="6">
        <v>206</v>
      </c>
      <c r="K774" s="40">
        <v>86</v>
      </c>
      <c r="L774" s="40">
        <v>12</v>
      </c>
      <c r="M774" s="40">
        <v>321</v>
      </c>
      <c r="N774" s="40">
        <v>77</v>
      </c>
      <c r="O774" s="40">
        <v>144</v>
      </c>
      <c r="P774" s="40">
        <v>87</v>
      </c>
      <c r="Q774" s="40">
        <v>1</v>
      </c>
      <c r="R774" s="40">
        <v>6</v>
      </c>
      <c r="S774" s="40">
        <v>6</v>
      </c>
    </row>
    <row r="775" spans="1:19" x14ac:dyDescent="0.35">
      <c r="A775" s="38">
        <v>772</v>
      </c>
      <c r="B775" s="38" t="str">
        <f>_xlfn.XLOOKUP(A775,'Model Modeshare by TAZ'!A:A,'Model Modeshare by TAZ'!B:B)</f>
        <v>San Jose</v>
      </c>
      <c r="C775" s="38" t="str">
        <f>_xlfn.XLOOKUP(A775,'Model Modeshare by TAZ'!A:A,'Model Modeshare by TAZ'!D:D)</f>
        <v>NO</v>
      </c>
      <c r="D775" s="6">
        <v>3</v>
      </c>
      <c r="E775" s="6">
        <v>289</v>
      </c>
      <c r="F775" s="6">
        <v>745</v>
      </c>
      <c r="G775" s="6">
        <v>767</v>
      </c>
      <c r="H775" s="6">
        <v>375</v>
      </c>
      <c r="I775" s="6">
        <v>232</v>
      </c>
      <c r="J775" s="6">
        <v>57</v>
      </c>
      <c r="K775" s="40">
        <v>51</v>
      </c>
      <c r="L775" s="40">
        <v>8</v>
      </c>
      <c r="M775" s="40">
        <v>59</v>
      </c>
      <c r="N775" s="40">
        <v>10</v>
      </c>
      <c r="O775" s="40">
        <v>48</v>
      </c>
      <c r="P775" s="40">
        <v>0</v>
      </c>
      <c r="Q775" s="40">
        <v>0</v>
      </c>
      <c r="R775" s="40">
        <v>0</v>
      </c>
      <c r="S775" s="40">
        <v>1</v>
      </c>
    </row>
    <row r="776" spans="1:19" x14ac:dyDescent="0.35">
      <c r="A776" s="38">
        <v>773</v>
      </c>
      <c r="B776" s="38" t="str">
        <f>_xlfn.XLOOKUP(A776,'Model Modeshare by TAZ'!A:A,'Model Modeshare by TAZ'!B:B)</f>
        <v>San Jose</v>
      </c>
      <c r="C776" s="38" t="str">
        <f>_xlfn.XLOOKUP(A776,'Model Modeshare by TAZ'!A:A,'Model Modeshare by TAZ'!D:D)</f>
        <v>NO</v>
      </c>
      <c r="D776" s="6">
        <v>3</v>
      </c>
      <c r="E776" s="6">
        <v>332</v>
      </c>
      <c r="F776" s="6">
        <v>855</v>
      </c>
      <c r="G776" s="6">
        <v>880</v>
      </c>
      <c r="H776" s="6">
        <v>430</v>
      </c>
      <c r="I776" s="6">
        <v>266</v>
      </c>
      <c r="J776" s="6">
        <v>66</v>
      </c>
      <c r="K776" s="40">
        <v>85</v>
      </c>
      <c r="L776" s="40">
        <v>18</v>
      </c>
      <c r="M776" s="40">
        <v>180</v>
      </c>
      <c r="N776" s="40">
        <v>15</v>
      </c>
      <c r="O776" s="40">
        <v>156</v>
      </c>
      <c r="P776" s="40">
        <v>7</v>
      </c>
      <c r="Q776" s="40">
        <v>0</v>
      </c>
      <c r="R776" s="40">
        <v>1</v>
      </c>
      <c r="S776" s="40">
        <v>1</v>
      </c>
    </row>
    <row r="777" spans="1:19" x14ac:dyDescent="0.35">
      <c r="A777" s="38">
        <v>774</v>
      </c>
      <c r="B777" s="38" t="str">
        <f>_xlfn.XLOOKUP(A777,'Model Modeshare by TAZ'!A:A,'Model Modeshare by TAZ'!B:B)</f>
        <v>San Jose</v>
      </c>
      <c r="C777" s="38" t="str">
        <f>_xlfn.XLOOKUP(A777,'Model Modeshare by TAZ'!A:A,'Model Modeshare by TAZ'!D:D)</f>
        <v>NO</v>
      </c>
      <c r="D777" s="6">
        <v>3</v>
      </c>
      <c r="E777" s="6">
        <v>130</v>
      </c>
      <c r="F777" s="6">
        <v>336</v>
      </c>
      <c r="G777" s="6">
        <v>346</v>
      </c>
      <c r="H777" s="6">
        <v>168</v>
      </c>
      <c r="I777" s="6">
        <v>104</v>
      </c>
      <c r="J777" s="6">
        <v>26</v>
      </c>
      <c r="K777" s="40">
        <v>23</v>
      </c>
      <c r="L777" s="40">
        <v>6</v>
      </c>
      <c r="M777" s="40">
        <v>51</v>
      </c>
      <c r="N777" s="40">
        <v>3</v>
      </c>
      <c r="O777" s="40">
        <v>48</v>
      </c>
      <c r="P777" s="40">
        <v>0</v>
      </c>
      <c r="Q777" s="40">
        <v>0</v>
      </c>
      <c r="R777" s="40">
        <v>0</v>
      </c>
      <c r="S777" s="40">
        <v>0</v>
      </c>
    </row>
    <row r="778" spans="1:19" x14ac:dyDescent="0.35">
      <c r="A778" s="38">
        <v>775</v>
      </c>
      <c r="B778" s="38" t="str">
        <f>_xlfn.XLOOKUP(A778,'Model Modeshare by TAZ'!A:A,'Model Modeshare by TAZ'!B:B)</f>
        <v>San Jose</v>
      </c>
      <c r="C778" s="38" t="str">
        <f>_xlfn.XLOOKUP(A778,'Model Modeshare by TAZ'!A:A,'Model Modeshare by TAZ'!D:D)</f>
        <v>NO</v>
      </c>
      <c r="D778" s="6">
        <v>3</v>
      </c>
      <c r="E778" s="6">
        <v>192</v>
      </c>
      <c r="F778" s="6">
        <v>495</v>
      </c>
      <c r="G778" s="6">
        <v>595</v>
      </c>
      <c r="H778" s="6">
        <v>249</v>
      </c>
      <c r="I778" s="6">
        <v>154</v>
      </c>
      <c r="J778" s="6">
        <v>38</v>
      </c>
      <c r="K778" s="40">
        <v>29</v>
      </c>
      <c r="L778" s="40">
        <v>42</v>
      </c>
      <c r="M778" s="40">
        <v>2195</v>
      </c>
      <c r="N778" s="40">
        <v>106</v>
      </c>
      <c r="O778" s="40">
        <v>1154</v>
      </c>
      <c r="P778" s="40">
        <v>923</v>
      </c>
      <c r="Q778" s="40">
        <v>3</v>
      </c>
      <c r="R778" s="40">
        <v>3</v>
      </c>
      <c r="S778" s="40">
        <v>6</v>
      </c>
    </row>
    <row r="779" spans="1:19" x14ac:dyDescent="0.35">
      <c r="A779" s="38">
        <v>776</v>
      </c>
      <c r="B779" s="38" t="str">
        <f>_xlfn.XLOOKUP(A779,'Model Modeshare by TAZ'!A:A,'Model Modeshare by TAZ'!B:B)</f>
        <v>San Jose</v>
      </c>
      <c r="C779" s="38" t="str">
        <f>_xlfn.XLOOKUP(A779,'Model Modeshare by TAZ'!A:A,'Model Modeshare by TAZ'!D:D)</f>
        <v>NO</v>
      </c>
      <c r="D779" s="6">
        <v>3</v>
      </c>
      <c r="E779" s="6">
        <v>184</v>
      </c>
      <c r="F779" s="6">
        <v>472</v>
      </c>
      <c r="G779" s="6">
        <v>487</v>
      </c>
      <c r="H779" s="6">
        <v>238</v>
      </c>
      <c r="I779" s="6">
        <v>148</v>
      </c>
      <c r="J779" s="6">
        <v>36</v>
      </c>
      <c r="K779" s="40">
        <v>35</v>
      </c>
      <c r="L779" s="40">
        <v>10</v>
      </c>
      <c r="M779" s="40">
        <v>163</v>
      </c>
      <c r="N779" s="40">
        <v>33</v>
      </c>
      <c r="O779" s="40">
        <v>60</v>
      </c>
      <c r="P779" s="40">
        <v>69</v>
      </c>
      <c r="Q779" s="40">
        <v>0</v>
      </c>
      <c r="R779" s="40">
        <v>0</v>
      </c>
      <c r="S779" s="40">
        <v>1</v>
      </c>
    </row>
    <row r="780" spans="1:19" x14ac:dyDescent="0.35">
      <c r="A780" s="38">
        <v>777</v>
      </c>
      <c r="B780" s="38" t="str">
        <f>_xlfn.XLOOKUP(A780,'Model Modeshare by TAZ'!A:A,'Model Modeshare by TAZ'!B:B)</f>
        <v>San Jose</v>
      </c>
      <c r="C780" s="38" t="str">
        <f>_xlfn.XLOOKUP(A780,'Model Modeshare by TAZ'!A:A,'Model Modeshare by TAZ'!D:D)</f>
        <v>NO</v>
      </c>
      <c r="D780" s="6">
        <v>3</v>
      </c>
      <c r="E780" s="6">
        <v>168</v>
      </c>
      <c r="F780" s="6">
        <v>434</v>
      </c>
      <c r="G780" s="6">
        <v>447</v>
      </c>
      <c r="H780" s="6">
        <v>218</v>
      </c>
      <c r="I780" s="6">
        <v>135</v>
      </c>
      <c r="J780" s="6">
        <v>33</v>
      </c>
      <c r="K780" s="40">
        <v>32</v>
      </c>
      <c r="L780" s="40">
        <v>22</v>
      </c>
      <c r="M780" s="40">
        <v>202</v>
      </c>
      <c r="N780" s="40">
        <v>21</v>
      </c>
      <c r="O780" s="40">
        <v>146</v>
      </c>
      <c r="P780" s="40">
        <v>34</v>
      </c>
      <c r="Q780" s="40">
        <v>0</v>
      </c>
      <c r="R780" s="40">
        <v>0</v>
      </c>
      <c r="S780" s="40">
        <v>1</v>
      </c>
    </row>
    <row r="781" spans="1:19" x14ac:dyDescent="0.35">
      <c r="A781" s="38">
        <v>778</v>
      </c>
      <c r="B781" s="38" t="str">
        <f>_xlfn.XLOOKUP(A781,'Model Modeshare by TAZ'!A:A,'Model Modeshare by TAZ'!B:B)</f>
        <v>San Jose</v>
      </c>
      <c r="C781" s="38" t="str">
        <f>_xlfn.XLOOKUP(A781,'Model Modeshare by TAZ'!A:A,'Model Modeshare by TAZ'!D:D)</f>
        <v>NO</v>
      </c>
      <c r="D781" s="6">
        <v>3</v>
      </c>
      <c r="E781" s="6">
        <v>504</v>
      </c>
      <c r="F781" s="6">
        <v>1297</v>
      </c>
      <c r="G781" s="6">
        <v>1337</v>
      </c>
      <c r="H781" s="6">
        <v>653</v>
      </c>
      <c r="I781" s="6">
        <v>328</v>
      </c>
      <c r="J781" s="6">
        <v>176</v>
      </c>
      <c r="K781" s="40">
        <v>43</v>
      </c>
      <c r="L781" s="40">
        <v>24</v>
      </c>
      <c r="M781" s="40">
        <v>357</v>
      </c>
      <c r="N781" s="40">
        <v>38</v>
      </c>
      <c r="O781" s="40">
        <v>301</v>
      </c>
      <c r="P781" s="40">
        <v>6</v>
      </c>
      <c r="Q781" s="40">
        <v>1</v>
      </c>
      <c r="R781" s="40">
        <v>2</v>
      </c>
      <c r="S781" s="40">
        <v>9</v>
      </c>
    </row>
    <row r="782" spans="1:19" x14ac:dyDescent="0.35">
      <c r="A782" s="38">
        <v>779</v>
      </c>
      <c r="B782" s="38" t="str">
        <f>_xlfn.XLOOKUP(A782,'Model Modeshare by TAZ'!A:A,'Model Modeshare by TAZ'!B:B)</f>
        <v>San Jose</v>
      </c>
      <c r="C782" s="38" t="str">
        <f>_xlfn.XLOOKUP(A782,'Model Modeshare by TAZ'!A:A,'Model Modeshare by TAZ'!D:D)</f>
        <v>NO</v>
      </c>
      <c r="D782" s="6">
        <v>3</v>
      </c>
      <c r="E782" s="6">
        <v>543</v>
      </c>
      <c r="F782" s="6">
        <v>1348</v>
      </c>
      <c r="G782" s="6">
        <v>1348</v>
      </c>
      <c r="H782" s="6">
        <v>780</v>
      </c>
      <c r="I782" s="6">
        <v>449</v>
      </c>
      <c r="J782" s="6">
        <v>94</v>
      </c>
      <c r="K782" s="40">
        <v>118</v>
      </c>
      <c r="L782" s="40">
        <v>5</v>
      </c>
      <c r="M782" s="40">
        <v>57</v>
      </c>
      <c r="N782" s="40">
        <v>0</v>
      </c>
      <c r="O782" s="40">
        <v>23</v>
      </c>
      <c r="P782" s="40">
        <v>30</v>
      </c>
      <c r="Q782" s="40">
        <v>0</v>
      </c>
      <c r="R782" s="40">
        <v>3</v>
      </c>
      <c r="S782" s="40">
        <v>1</v>
      </c>
    </row>
    <row r="783" spans="1:19" x14ac:dyDescent="0.35">
      <c r="A783" s="38">
        <v>780</v>
      </c>
      <c r="B783" s="38" t="str">
        <f>_xlfn.XLOOKUP(A783,'Model Modeshare by TAZ'!A:A,'Model Modeshare by TAZ'!B:B)</f>
        <v>San Jose</v>
      </c>
      <c r="C783" s="38" t="str">
        <f>_xlfn.XLOOKUP(A783,'Model Modeshare by TAZ'!A:A,'Model Modeshare by TAZ'!D:D)</f>
        <v>NO</v>
      </c>
      <c r="D783" s="6">
        <v>3</v>
      </c>
      <c r="E783" s="6">
        <v>686</v>
      </c>
      <c r="F783" s="6">
        <v>1706</v>
      </c>
      <c r="G783" s="6">
        <v>1707</v>
      </c>
      <c r="H783" s="6">
        <v>986</v>
      </c>
      <c r="I783" s="6">
        <v>568</v>
      </c>
      <c r="J783" s="6">
        <v>118</v>
      </c>
      <c r="K783" s="40">
        <v>110</v>
      </c>
      <c r="L783" s="40">
        <v>19</v>
      </c>
      <c r="M783" s="40">
        <v>337</v>
      </c>
      <c r="N783" s="40">
        <v>5</v>
      </c>
      <c r="O783" s="40">
        <v>87</v>
      </c>
      <c r="P783" s="40">
        <v>226</v>
      </c>
      <c r="Q783" s="40">
        <v>0</v>
      </c>
      <c r="R783" s="40">
        <v>14</v>
      </c>
      <c r="S783" s="40">
        <v>5</v>
      </c>
    </row>
    <row r="784" spans="1:19" x14ac:dyDescent="0.35">
      <c r="A784" s="38">
        <v>781</v>
      </c>
      <c r="B784" s="38" t="str">
        <f>_xlfn.XLOOKUP(A784,'Model Modeshare by TAZ'!A:A,'Model Modeshare by TAZ'!B:B)</f>
        <v>San Jose</v>
      </c>
      <c r="C784" s="38" t="str">
        <f>_xlfn.XLOOKUP(A784,'Model Modeshare by TAZ'!A:A,'Model Modeshare by TAZ'!D:D)</f>
        <v>NO</v>
      </c>
      <c r="D784" s="6">
        <v>3</v>
      </c>
      <c r="E784" s="6">
        <v>171</v>
      </c>
      <c r="F784" s="6">
        <v>429</v>
      </c>
      <c r="G784" s="6">
        <v>429</v>
      </c>
      <c r="H784" s="6">
        <v>248</v>
      </c>
      <c r="I784" s="6">
        <v>141</v>
      </c>
      <c r="J784" s="6">
        <v>30</v>
      </c>
      <c r="K784" s="40">
        <v>16</v>
      </c>
      <c r="L784" s="40">
        <v>4</v>
      </c>
      <c r="M784" s="40">
        <v>0</v>
      </c>
      <c r="N784" s="40">
        <v>0</v>
      </c>
      <c r="O784" s="40">
        <v>0</v>
      </c>
      <c r="P784" s="40">
        <v>0</v>
      </c>
      <c r="Q784" s="40">
        <v>0</v>
      </c>
      <c r="R784" s="40">
        <v>0</v>
      </c>
      <c r="S784" s="40">
        <v>0</v>
      </c>
    </row>
    <row r="785" spans="1:19" x14ac:dyDescent="0.35">
      <c r="A785" s="38">
        <v>782</v>
      </c>
      <c r="B785" s="38" t="str">
        <f>_xlfn.XLOOKUP(A785,'Model Modeshare by TAZ'!A:A,'Model Modeshare by TAZ'!B:B)</f>
        <v>San Jose</v>
      </c>
      <c r="C785" s="38" t="str">
        <f>_xlfn.XLOOKUP(A785,'Model Modeshare by TAZ'!A:A,'Model Modeshare by TAZ'!D:D)</f>
        <v>NO</v>
      </c>
      <c r="D785" s="6">
        <v>3</v>
      </c>
      <c r="E785" s="6">
        <v>264</v>
      </c>
      <c r="F785" s="6">
        <v>654</v>
      </c>
      <c r="G785" s="6">
        <v>660</v>
      </c>
      <c r="H785" s="6">
        <v>379</v>
      </c>
      <c r="I785" s="6">
        <v>218</v>
      </c>
      <c r="J785" s="6">
        <v>46</v>
      </c>
      <c r="K785" s="40">
        <v>44</v>
      </c>
      <c r="L785" s="40">
        <v>8.65</v>
      </c>
      <c r="M785" s="40">
        <v>365</v>
      </c>
      <c r="N785" s="40">
        <v>4</v>
      </c>
      <c r="O785" s="40">
        <v>98</v>
      </c>
      <c r="P785" s="40">
        <v>228</v>
      </c>
      <c r="Q785" s="40">
        <v>0</v>
      </c>
      <c r="R785" s="40">
        <v>23</v>
      </c>
      <c r="S785" s="40">
        <v>12</v>
      </c>
    </row>
    <row r="786" spans="1:19" x14ac:dyDescent="0.35">
      <c r="A786" s="38">
        <v>783</v>
      </c>
      <c r="B786" s="38" t="str">
        <f>_xlfn.XLOOKUP(A786,'Model Modeshare by TAZ'!A:A,'Model Modeshare by TAZ'!B:B)</f>
        <v>San Jose</v>
      </c>
      <c r="C786" s="38" t="str">
        <f>_xlfn.XLOOKUP(A786,'Model Modeshare by TAZ'!A:A,'Model Modeshare by TAZ'!D:D)</f>
        <v>NO</v>
      </c>
      <c r="D786" s="6">
        <v>3</v>
      </c>
      <c r="E786" s="6">
        <v>92</v>
      </c>
      <c r="F786" s="6">
        <v>237</v>
      </c>
      <c r="G786" s="6">
        <v>237</v>
      </c>
      <c r="H786" s="6">
        <v>136</v>
      </c>
      <c r="I786" s="6">
        <v>76</v>
      </c>
      <c r="J786" s="6">
        <v>16</v>
      </c>
      <c r="K786" s="40">
        <v>1</v>
      </c>
      <c r="L786" s="40">
        <v>87</v>
      </c>
      <c r="M786" s="40">
        <v>3228</v>
      </c>
      <c r="N786" s="40">
        <v>2011</v>
      </c>
      <c r="O786" s="40">
        <v>319</v>
      </c>
      <c r="P786" s="40">
        <v>780</v>
      </c>
      <c r="Q786" s="40">
        <v>0</v>
      </c>
      <c r="R786" s="40">
        <v>78</v>
      </c>
      <c r="S786" s="40">
        <v>40</v>
      </c>
    </row>
    <row r="787" spans="1:19" x14ac:dyDescent="0.35">
      <c r="A787" s="38">
        <v>784</v>
      </c>
      <c r="B787" s="38" t="str">
        <f>_xlfn.XLOOKUP(A787,'Model Modeshare by TAZ'!A:A,'Model Modeshare by TAZ'!B:B)</f>
        <v>San Jose</v>
      </c>
      <c r="C787" s="38" t="str">
        <f>_xlfn.XLOOKUP(A787,'Model Modeshare by TAZ'!A:A,'Model Modeshare by TAZ'!D:D)</f>
        <v>NO</v>
      </c>
      <c r="D787" s="6">
        <v>3</v>
      </c>
      <c r="E787" s="6">
        <v>381</v>
      </c>
      <c r="F787" s="6">
        <v>978</v>
      </c>
      <c r="G787" s="6">
        <v>983</v>
      </c>
      <c r="H787" s="6">
        <v>518</v>
      </c>
      <c r="I787" s="6">
        <v>239</v>
      </c>
      <c r="J787" s="6">
        <v>142</v>
      </c>
      <c r="K787" s="40">
        <v>27</v>
      </c>
      <c r="L787" s="40">
        <v>41</v>
      </c>
      <c r="M787" s="40">
        <v>1087</v>
      </c>
      <c r="N787" s="40">
        <v>80</v>
      </c>
      <c r="O787" s="40">
        <v>621</v>
      </c>
      <c r="P787" s="40">
        <v>363</v>
      </c>
      <c r="Q787" s="40">
        <v>0</v>
      </c>
      <c r="R787" s="40">
        <v>9</v>
      </c>
      <c r="S787" s="40">
        <v>14</v>
      </c>
    </row>
    <row r="788" spans="1:19" x14ac:dyDescent="0.35">
      <c r="A788" s="38">
        <v>785</v>
      </c>
      <c r="B788" s="38" t="str">
        <f>_xlfn.XLOOKUP(A788,'Model Modeshare by TAZ'!A:A,'Model Modeshare by TAZ'!B:B)</f>
        <v>Unincorporated</v>
      </c>
      <c r="C788" s="38" t="str">
        <f>_xlfn.XLOOKUP(A788,'Model Modeshare by TAZ'!A:A,'Model Modeshare by TAZ'!D:D)</f>
        <v>NO</v>
      </c>
      <c r="D788" s="6">
        <v>3</v>
      </c>
      <c r="E788" s="6">
        <v>456</v>
      </c>
      <c r="F788" s="6">
        <v>1170</v>
      </c>
      <c r="G788" s="6">
        <v>1170</v>
      </c>
      <c r="H788" s="6">
        <v>621</v>
      </c>
      <c r="I788" s="6">
        <v>286</v>
      </c>
      <c r="J788" s="6">
        <v>170</v>
      </c>
      <c r="K788" s="40">
        <v>32</v>
      </c>
      <c r="L788" s="40">
        <v>8</v>
      </c>
      <c r="M788" s="40">
        <v>165</v>
      </c>
      <c r="N788" s="40">
        <v>34</v>
      </c>
      <c r="O788" s="40">
        <v>90</v>
      </c>
      <c r="P788" s="40">
        <v>38</v>
      </c>
      <c r="Q788" s="40">
        <v>0</v>
      </c>
      <c r="R788" s="40">
        <v>1</v>
      </c>
      <c r="S788" s="40">
        <v>2</v>
      </c>
    </row>
    <row r="789" spans="1:19" x14ac:dyDescent="0.35">
      <c r="A789" s="38">
        <v>786</v>
      </c>
      <c r="B789" s="38" t="str">
        <f>_xlfn.XLOOKUP(A789,'Model Modeshare by TAZ'!A:A,'Model Modeshare by TAZ'!B:B)</f>
        <v>Unincorporated</v>
      </c>
      <c r="C789" s="38" t="str">
        <f>_xlfn.XLOOKUP(A789,'Model Modeshare by TAZ'!A:A,'Model Modeshare by TAZ'!D:D)</f>
        <v>NO</v>
      </c>
      <c r="D789" s="6">
        <v>3</v>
      </c>
      <c r="E789" s="6">
        <v>421</v>
      </c>
      <c r="F789" s="6">
        <v>1078</v>
      </c>
      <c r="G789" s="6">
        <v>1079</v>
      </c>
      <c r="H789" s="6">
        <v>571</v>
      </c>
      <c r="I789" s="6">
        <v>263</v>
      </c>
      <c r="J789" s="6">
        <v>158</v>
      </c>
      <c r="K789" s="40">
        <v>30</v>
      </c>
      <c r="L789" s="40">
        <v>10</v>
      </c>
      <c r="M789" s="40">
        <v>295</v>
      </c>
      <c r="N789" s="40">
        <v>97</v>
      </c>
      <c r="O789" s="40">
        <v>144</v>
      </c>
      <c r="P789" s="40">
        <v>51</v>
      </c>
      <c r="Q789" s="40">
        <v>0</v>
      </c>
      <c r="R789" s="40">
        <v>3</v>
      </c>
      <c r="S789" s="40">
        <v>0</v>
      </c>
    </row>
    <row r="790" spans="1:19" x14ac:dyDescent="0.35">
      <c r="A790" s="38">
        <v>787</v>
      </c>
      <c r="B790" s="38" t="str">
        <f>_xlfn.XLOOKUP(A790,'Model Modeshare by TAZ'!A:A,'Model Modeshare by TAZ'!B:B)</f>
        <v>Unincorporated</v>
      </c>
      <c r="C790" s="38" t="str">
        <f>_xlfn.XLOOKUP(A790,'Model Modeshare by TAZ'!A:A,'Model Modeshare by TAZ'!D:D)</f>
        <v>NO</v>
      </c>
      <c r="D790" s="6">
        <v>3</v>
      </c>
      <c r="E790" s="6">
        <v>423</v>
      </c>
      <c r="F790" s="6">
        <v>1083</v>
      </c>
      <c r="G790" s="6">
        <v>1084</v>
      </c>
      <c r="H790" s="6">
        <v>574</v>
      </c>
      <c r="I790" s="6">
        <v>266</v>
      </c>
      <c r="J790" s="6">
        <v>157</v>
      </c>
      <c r="K790" s="40">
        <v>31</v>
      </c>
      <c r="L790" s="40">
        <v>3</v>
      </c>
      <c r="M790" s="40">
        <v>20</v>
      </c>
      <c r="N790" s="40">
        <v>4</v>
      </c>
      <c r="O790" s="40">
        <v>13</v>
      </c>
      <c r="P790" s="40">
        <v>3</v>
      </c>
      <c r="Q790" s="40">
        <v>0</v>
      </c>
      <c r="R790" s="40">
        <v>0</v>
      </c>
      <c r="S790" s="40">
        <v>0</v>
      </c>
    </row>
    <row r="791" spans="1:19" x14ac:dyDescent="0.35">
      <c r="A791" s="38">
        <v>788</v>
      </c>
      <c r="B791" s="38" t="str">
        <f>_xlfn.XLOOKUP(A791,'Model Modeshare by TAZ'!A:A,'Model Modeshare by TAZ'!B:B)</f>
        <v>Unincorporated</v>
      </c>
      <c r="C791" s="38" t="str">
        <f>_xlfn.XLOOKUP(A791,'Model Modeshare by TAZ'!A:A,'Model Modeshare by TAZ'!D:D)</f>
        <v>NO</v>
      </c>
      <c r="D791" s="6">
        <v>3</v>
      </c>
      <c r="E791" s="6">
        <v>342</v>
      </c>
      <c r="F791" s="6">
        <v>1092</v>
      </c>
      <c r="G791" s="6">
        <v>1093</v>
      </c>
      <c r="H791" s="6">
        <v>513</v>
      </c>
      <c r="I791" s="6">
        <v>171</v>
      </c>
      <c r="J791" s="6">
        <v>171</v>
      </c>
      <c r="K791" s="40">
        <v>36</v>
      </c>
      <c r="L791" s="40">
        <v>2</v>
      </c>
      <c r="M791" s="40">
        <v>24</v>
      </c>
      <c r="N791" s="40">
        <v>1</v>
      </c>
      <c r="O791" s="40">
        <v>21</v>
      </c>
      <c r="P791" s="40">
        <v>0</v>
      </c>
      <c r="Q791" s="40">
        <v>0</v>
      </c>
      <c r="R791" s="40">
        <v>1</v>
      </c>
      <c r="S791" s="40">
        <v>1</v>
      </c>
    </row>
    <row r="792" spans="1:19" x14ac:dyDescent="0.35">
      <c r="A792" s="38">
        <v>789</v>
      </c>
      <c r="B792" s="38" t="str">
        <f>_xlfn.XLOOKUP(A792,'Model Modeshare by TAZ'!A:A,'Model Modeshare by TAZ'!B:B)</f>
        <v>San Jose</v>
      </c>
      <c r="C792" s="38" t="str">
        <f>_xlfn.XLOOKUP(A792,'Model Modeshare by TAZ'!A:A,'Model Modeshare by TAZ'!D:D)</f>
        <v>NO</v>
      </c>
      <c r="D792" s="6">
        <v>3</v>
      </c>
      <c r="E792" s="6">
        <v>790</v>
      </c>
      <c r="F792" s="6">
        <v>2224</v>
      </c>
      <c r="G792" s="6">
        <v>2279</v>
      </c>
      <c r="H792" s="6">
        <v>1227</v>
      </c>
      <c r="I792" s="6">
        <v>302</v>
      </c>
      <c r="J792" s="6">
        <v>488</v>
      </c>
      <c r="K792" s="40">
        <v>96</v>
      </c>
      <c r="L792" s="40">
        <v>10</v>
      </c>
      <c r="M792" s="40">
        <v>36</v>
      </c>
      <c r="N792" s="40">
        <v>8</v>
      </c>
      <c r="O792" s="40">
        <v>24</v>
      </c>
      <c r="P792" s="40">
        <v>3</v>
      </c>
      <c r="Q792" s="40">
        <v>0</v>
      </c>
      <c r="R792" s="40">
        <v>0</v>
      </c>
      <c r="S792" s="40">
        <v>1</v>
      </c>
    </row>
    <row r="793" spans="1:19" x14ac:dyDescent="0.35">
      <c r="A793" s="38">
        <v>790</v>
      </c>
      <c r="B793" s="38" t="str">
        <f>_xlfn.XLOOKUP(A793,'Model Modeshare by TAZ'!A:A,'Model Modeshare by TAZ'!B:B)</f>
        <v>San Jose</v>
      </c>
      <c r="C793" s="38" t="str">
        <f>_xlfn.XLOOKUP(A793,'Model Modeshare by TAZ'!A:A,'Model Modeshare by TAZ'!D:D)</f>
        <v>NO</v>
      </c>
      <c r="D793" s="6">
        <v>3</v>
      </c>
      <c r="E793" s="6">
        <v>1412</v>
      </c>
      <c r="F793" s="6">
        <v>3240</v>
      </c>
      <c r="G793" s="6">
        <v>3246</v>
      </c>
      <c r="H793" s="6">
        <v>1938</v>
      </c>
      <c r="I793" s="6">
        <v>153</v>
      </c>
      <c r="J793" s="6">
        <v>1259</v>
      </c>
      <c r="K793" s="40">
        <v>48</v>
      </c>
      <c r="L793" s="40">
        <v>78</v>
      </c>
      <c r="M793" s="40">
        <v>4837</v>
      </c>
      <c r="N793" s="40">
        <v>986</v>
      </c>
      <c r="O793" s="40">
        <v>2367</v>
      </c>
      <c r="P793" s="40">
        <v>1456</v>
      </c>
      <c r="Q793" s="40">
        <v>0</v>
      </c>
      <c r="R793" s="40">
        <v>9</v>
      </c>
      <c r="S793" s="40">
        <v>19</v>
      </c>
    </row>
    <row r="794" spans="1:19" x14ac:dyDescent="0.35">
      <c r="A794" s="38">
        <v>791</v>
      </c>
      <c r="B794" s="38" t="str">
        <f>_xlfn.XLOOKUP(A794,'Model Modeshare by TAZ'!A:A,'Model Modeshare by TAZ'!B:B)</f>
        <v>San Jose</v>
      </c>
      <c r="C794" s="38" t="str">
        <f>_xlfn.XLOOKUP(A794,'Model Modeshare by TAZ'!A:A,'Model Modeshare by TAZ'!D:D)</f>
        <v>NO</v>
      </c>
      <c r="D794" s="6">
        <v>3</v>
      </c>
      <c r="E794" s="6">
        <v>1570</v>
      </c>
      <c r="F794" s="6">
        <v>5015</v>
      </c>
      <c r="G794" s="6">
        <v>5041</v>
      </c>
      <c r="H794" s="6">
        <v>2347</v>
      </c>
      <c r="I794" s="6">
        <v>677</v>
      </c>
      <c r="J794" s="6">
        <v>893</v>
      </c>
      <c r="K794" s="40">
        <v>103</v>
      </c>
      <c r="L794" s="40">
        <v>23</v>
      </c>
      <c r="M794" s="40">
        <v>1106</v>
      </c>
      <c r="N794" s="40">
        <v>181</v>
      </c>
      <c r="O794" s="40">
        <v>584</v>
      </c>
      <c r="P794" s="40">
        <v>323</v>
      </c>
      <c r="Q794" s="40">
        <v>0</v>
      </c>
      <c r="R794" s="40">
        <v>9</v>
      </c>
      <c r="S794" s="40">
        <v>9</v>
      </c>
    </row>
    <row r="795" spans="1:19" x14ac:dyDescent="0.35">
      <c r="A795" s="38">
        <v>792</v>
      </c>
      <c r="B795" s="38" t="str">
        <f>_xlfn.XLOOKUP(A795,'Model Modeshare by TAZ'!A:A,'Model Modeshare by TAZ'!B:B)</f>
        <v>San Jose</v>
      </c>
      <c r="C795" s="38" t="str">
        <f>_xlfn.XLOOKUP(A795,'Model Modeshare by TAZ'!A:A,'Model Modeshare by TAZ'!D:D)</f>
        <v>NO</v>
      </c>
      <c r="D795" s="6">
        <v>3</v>
      </c>
      <c r="E795" s="6">
        <v>192</v>
      </c>
      <c r="F795" s="6">
        <v>540</v>
      </c>
      <c r="G795" s="6">
        <v>554</v>
      </c>
      <c r="H795" s="6">
        <v>299</v>
      </c>
      <c r="I795" s="6">
        <v>73</v>
      </c>
      <c r="J795" s="6">
        <v>119</v>
      </c>
      <c r="K795" s="40">
        <v>23</v>
      </c>
      <c r="L795" s="40">
        <v>3</v>
      </c>
      <c r="M795" s="40">
        <v>0</v>
      </c>
      <c r="N795" s="40">
        <v>0</v>
      </c>
      <c r="O795" s="40">
        <v>0</v>
      </c>
      <c r="P795" s="40">
        <v>0</v>
      </c>
      <c r="Q795" s="40">
        <v>0</v>
      </c>
      <c r="R795" s="40">
        <v>0</v>
      </c>
      <c r="S795" s="40">
        <v>0</v>
      </c>
    </row>
    <row r="796" spans="1:19" x14ac:dyDescent="0.35">
      <c r="A796" s="38">
        <v>793</v>
      </c>
      <c r="B796" s="38" t="str">
        <f>_xlfn.XLOOKUP(A796,'Model Modeshare by TAZ'!A:A,'Model Modeshare by TAZ'!B:B)</f>
        <v>San Jose</v>
      </c>
      <c r="C796" s="38" t="str">
        <f>_xlfn.XLOOKUP(A796,'Model Modeshare by TAZ'!A:A,'Model Modeshare by TAZ'!D:D)</f>
        <v>NO</v>
      </c>
      <c r="D796" s="6">
        <v>3</v>
      </c>
      <c r="E796" s="6">
        <v>585</v>
      </c>
      <c r="F796" s="6">
        <v>1646</v>
      </c>
      <c r="G796" s="6">
        <v>1688</v>
      </c>
      <c r="H796" s="6">
        <v>909</v>
      </c>
      <c r="I796" s="6">
        <v>224</v>
      </c>
      <c r="J796" s="6">
        <v>361</v>
      </c>
      <c r="K796" s="40">
        <v>41</v>
      </c>
      <c r="L796" s="40">
        <v>78</v>
      </c>
      <c r="M796" s="40">
        <v>1327</v>
      </c>
      <c r="N796" s="40">
        <v>59</v>
      </c>
      <c r="O796" s="40">
        <v>176</v>
      </c>
      <c r="P796" s="40">
        <v>1078</v>
      </c>
      <c r="Q796" s="40">
        <v>1</v>
      </c>
      <c r="R796" s="40">
        <v>2</v>
      </c>
      <c r="S796" s="40">
        <v>11</v>
      </c>
    </row>
    <row r="797" spans="1:19" x14ac:dyDescent="0.35">
      <c r="A797" s="38">
        <v>794</v>
      </c>
      <c r="B797" s="38" t="str">
        <f>_xlfn.XLOOKUP(A797,'Model Modeshare by TAZ'!A:A,'Model Modeshare by TAZ'!B:B)</f>
        <v>San Jose</v>
      </c>
      <c r="C797" s="38" t="str">
        <f>_xlfn.XLOOKUP(A797,'Model Modeshare by TAZ'!A:A,'Model Modeshare by TAZ'!D:D)</f>
        <v>NO</v>
      </c>
      <c r="D797" s="6">
        <v>3</v>
      </c>
      <c r="E797" s="6">
        <v>920</v>
      </c>
      <c r="F797" s="6">
        <v>2590</v>
      </c>
      <c r="G797" s="6">
        <v>2695</v>
      </c>
      <c r="H797" s="6">
        <v>1431</v>
      </c>
      <c r="I797" s="6">
        <v>352</v>
      </c>
      <c r="J797" s="6">
        <v>568</v>
      </c>
      <c r="K797" s="40">
        <v>84</v>
      </c>
      <c r="L797" s="40">
        <v>112</v>
      </c>
      <c r="M797" s="40">
        <v>2051</v>
      </c>
      <c r="N797" s="40">
        <v>424</v>
      </c>
      <c r="O797" s="40">
        <v>1377</v>
      </c>
      <c r="P797" s="40">
        <v>153</v>
      </c>
      <c r="Q797" s="40">
        <v>7</v>
      </c>
      <c r="R797" s="40">
        <v>14</v>
      </c>
      <c r="S797" s="40">
        <v>76</v>
      </c>
    </row>
    <row r="798" spans="1:19" x14ac:dyDescent="0.35">
      <c r="A798" s="38">
        <v>795</v>
      </c>
      <c r="B798" s="38" t="str">
        <f>_xlfn.XLOOKUP(A798,'Model Modeshare by TAZ'!A:A,'Model Modeshare by TAZ'!B:B)</f>
        <v>Unincorporated</v>
      </c>
      <c r="C798" s="38" t="str">
        <f>_xlfn.XLOOKUP(A798,'Model Modeshare by TAZ'!A:A,'Model Modeshare by TAZ'!D:D)</f>
        <v>NO</v>
      </c>
      <c r="D798" s="6">
        <v>3</v>
      </c>
      <c r="E798" s="6">
        <v>892</v>
      </c>
      <c r="F798" s="6">
        <v>2190</v>
      </c>
      <c r="G798" s="6">
        <v>2270</v>
      </c>
      <c r="H798" s="6">
        <v>1303</v>
      </c>
      <c r="I798" s="6">
        <v>493</v>
      </c>
      <c r="J798" s="6">
        <v>399</v>
      </c>
      <c r="K798" s="40">
        <v>142</v>
      </c>
      <c r="L798" s="40">
        <v>61</v>
      </c>
      <c r="M798" s="40">
        <v>4558</v>
      </c>
      <c r="N798" s="40">
        <v>65</v>
      </c>
      <c r="O798" s="40">
        <v>1537</v>
      </c>
      <c r="P798" s="40">
        <v>2876</v>
      </c>
      <c r="Q798" s="40">
        <v>15</v>
      </c>
      <c r="R798" s="40">
        <v>6</v>
      </c>
      <c r="S798" s="40">
        <v>59</v>
      </c>
    </row>
    <row r="799" spans="1:19" x14ac:dyDescent="0.35">
      <c r="A799" s="38">
        <v>796</v>
      </c>
      <c r="B799" s="38" t="str">
        <f>_xlfn.XLOOKUP(A799,'Model Modeshare by TAZ'!A:A,'Model Modeshare by TAZ'!B:B)</f>
        <v>San Jose</v>
      </c>
      <c r="C799" s="38" t="str">
        <f>_xlfn.XLOOKUP(A799,'Model Modeshare by TAZ'!A:A,'Model Modeshare by TAZ'!D:D)</f>
        <v>NO</v>
      </c>
      <c r="D799" s="6">
        <v>3</v>
      </c>
      <c r="E799" s="6">
        <v>1022</v>
      </c>
      <c r="F799" s="6">
        <v>2506</v>
      </c>
      <c r="G799" s="6">
        <v>2592</v>
      </c>
      <c r="H799" s="6">
        <v>1491</v>
      </c>
      <c r="I799" s="6">
        <v>566</v>
      </c>
      <c r="J799" s="6">
        <v>456</v>
      </c>
      <c r="K799" s="40">
        <v>212</v>
      </c>
      <c r="L799" s="40">
        <v>10</v>
      </c>
      <c r="M799" s="40">
        <v>1118</v>
      </c>
      <c r="N799" s="40">
        <v>57</v>
      </c>
      <c r="O799" s="40">
        <v>1023</v>
      </c>
      <c r="P799" s="40">
        <v>10</v>
      </c>
      <c r="Q799" s="40">
        <v>4</v>
      </c>
      <c r="R799" s="40">
        <v>4</v>
      </c>
      <c r="S799" s="40">
        <v>20</v>
      </c>
    </row>
    <row r="800" spans="1:19" x14ac:dyDescent="0.35">
      <c r="A800" s="38">
        <v>797</v>
      </c>
      <c r="B800" s="38" t="str">
        <f>_xlfn.XLOOKUP(A800,'Model Modeshare by TAZ'!A:A,'Model Modeshare by TAZ'!B:B)</f>
        <v>Unincorporated</v>
      </c>
      <c r="C800" s="38" t="str">
        <f>_xlfn.XLOOKUP(A800,'Model Modeshare by TAZ'!A:A,'Model Modeshare by TAZ'!D:D)</f>
        <v>NO</v>
      </c>
      <c r="D800" s="6">
        <v>3</v>
      </c>
      <c r="E800" s="6">
        <v>843</v>
      </c>
      <c r="F800" s="6">
        <v>2390</v>
      </c>
      <c r="G800" s="6">
        <v>2390</v>
      </c>
      <c r="H800" s="6">
        <v>1277</v>
      </c>
      <c r="I800" s="6">
        <v>717</v>
      </c>
      <c r="J800" s="6">
        <v>126</v>
      </c>
      <c r="K800" s="40">
        <v>1531</v>
      </c>
      <c r="L800" s="40">
        <v>11</v>
      </c>
      <c r="M800" s="40">
        <v>570</v>
      </c>
      <c r="N800" s="40">
        <v>36</v>
      </c>
      <c r="O800" s="40">
        <v>229</v>
      </c>
      <c r="P800" s="40">
        <v>97</v>
      </c>
      <c r="Q800" s="40">
        <v>115</v>
      </c>
      <c r="R800" s="40">
        <v>47</v>
      </c>
      <c r="S800" s="40">
        <v>46</v>
      </c>
    </row>
    <row r="801" spans="1:19" x14ac:dyDescent="0.35">
      <c r="A801" s="38">
        <v>798</v>
      </c>
      <c r="B801" s="38" t="str">
        <f>_xlfn.XLOOKUP(A801,'Model Modeshare by TAZ'!A:A,'Model Modeshare by TAZ'!B:B)</f>
        <v>San Jose</v>
      </c>
      <c r="C801" s="38" t="str">
        <f>_xlfn.XLOOKUP(A801,'Model Modeshare by TAZ'!A:A,'Model Modeshare by TAZ'!D:D)</f>
        <v>NO</v>
      </c>
      <c r="D801" s="6">
        <v>3</v>
      </c>
      <c r="E801" s="6">
        <v>636</v>
      </c>
      <c r="F801" s="6">
        <v>1439</v>
      </c>
      <c r="G801" s="6">
        <v>1444</v>
      </c>
      <c r="H801" s="6">
        <v>633</v>
      </c>
      <c r="I801" s="6">
        <v>473</v>
      </c>
      <c r="J801" s="6">
        <v>163</v>
      </c>
      <c r="K801" s="40">
        <v>213</v>
      </c>
      <c r="L801" s="40">
        <v>6</v>
      </c>
      <c r="M801" s="40">
        <v>480</v>
      </c>
      <c r="N801" s="40">
        <v>98</v>
      </c>
      <c r="O801" s="40">
        <v>193</v>
      </c>
      <c r="P801" s="40">
        <v>178</v>
      </c>
      <c r="Q801" s="40">
        <v>0</v>
      </c>
      <c r="R801" s="40">
        <v>9</v>
      </c>
      <c r="S801" s="40">
        <v>2</v>
      </c>
    </row>
    <row r="802" spans="1:19" x14ac:dyDescent="0.35">
      <c r="A802" s="38">
        <v>799</v>
      </c>
      <c r="B802" s="38" t="str">
        <f>_xlfn.XLOOKUP(A802,'Model Modeshare by TAZ'!A:A,'Model Modeshare by TAZ'!B:B)</f>
        <v>Campbell</v>
      </c>
      <c r="C802" s="38" t="str">
        <f>_xlfn.XLOOKUP(A802,'Model Modeshare by TAZ'!A:A,'Model Modeshare by TAZ'!D:D)</f>
        <v>NO</v>
      </c>
      <c r="D802" s="6">
        <v>3</v>
      </c>
      <c r="E802" s="6">
        <v>626</v>
      </c>
      <c r="F802" s="6">
        <v>1576</v>
      </c>
      <c r="G802" s="6">
        <v>1581</v>
      </c>
      <c r="H802" s="6">
        <v>889</v>
      </c>
      <c r="I802" s="6">
        <v>407</v>
      </c>
      <c r="J802" s="6">
        <v>219</v>
      </c>
      <c r="K802" s="40">
        <v>67</v>
      </c>
      <c r="L802" s="40">
        <v>24</v>
      </c>
      <c r="M802" s="40">
        <v>354</v>
      </c>
      <c r="N802" s="40">
        <v>107</v>
      </c>
      <c r="O802" s="40">
        <v>158</v>
      </c>
      <c r="P802" s="40">
        <v>37</v>
      </c>
      <c r="Q802" s="40">
        <v>2</v>
      </c>
      <c r="R802" s="40">
        <v>40</v>
      </c>
      <c r="S802" s="40">
        <v>10</v>
      </c>
    </row>
    <row r="803" spans="1:19" x14ac:dyDescent="0.35">
      <c r="A803" s="38">
        <v>800</v>
      </c>
      <c r="B803" s="38" t="str">
        <f>_xlfn.XLOOKUP(A803,'Model Modeshare by TAZ'!A:A,'Model Modeshare by TAZ'!B:B)</f>
        <v>San Jose</v>
      </c>
      <c r="C803" s="38" t="str">
        <f>_xlfn.XLOOKUP(A803,'Model Modeshare by TAZ'!A:A,'Model Modeshare by TAZ'!D:D)</f>
        <v>NO</v>
      </c>
      <c r="D803" s="6">
        <v>3</v>
      </c>
      <c r="E803" s="6">
        <v>3235</v>
      </c>
      <c r="F803" s="6">
        <v>6481</v>
      </c>
      <c r="G803" s="6">
        <v>6489</v>
      </c>
      <c r="H803" s="6">
        <v>4968</v>
      </c>
      <c r="I803" s="6">
        <v>461</v>
      </c>
      <c r="J803" s="6">
        <v>2774</v>
      </c>
      <c r="K803" s="40">
        <v>124</v>
      </c>
      <c r="L803" s="40">
        <v>22</v>
      </c>
      <c r="M803" s="40">
        <v>2048</v>
      </c>
      <c r="N803" s="40">
        <v>148</v>
      </c>
      <c r="O803" s="40">
        <v>699</v>
      </c>
      <c r="P803" s="40">
        <v>367</v>
      </c>
      <c r="Q803" s="40">
        <v>0</v>
      </c>
      <c r="R803" s="40">
        <v>569</v>
      </c>
      <c r="S803" s="40">
        <v>265</v>
      </c>
    </row>
    <row r="804" spans="1:19" x14ac:dyDescent="0.35">
      <c r="A804" s="38">
        <v>801</v>
      </c>
      <c r="B804" s="38" t="str">
        <f>_xlfn.XLOOKUP(A804,'Model Modeshare by TAZ'!A:A,'Model Modeshare by TAZ'!B:B)</f>
        <v>San Jose</v>
      </c>
      <c r="C804" s="38" t="str">
        <f>_xlfn.XLOOKUP(A804,'Model Modeshare by TAZ'!A:A,'Model Modeshare by TAZ'!D:D)</f>
        <v>NO</v>
      </c>
      <c r="D804" s="6">
        <v>3</v>
      </c>
      <c r="E804" s="6">
        <v>0</v>
      </c>
      <c r="F804" s="6">
        <v>0</v>
      </c>
      <c r="G804" s="6">
        <v>0</v>
      </c>
      <c r="H804" s="6">
        <v>0</v>
      </c>
      <c r="I804" s="6">
        <v>0</v>
      </c>
      <c r="J804" s="6">
        <v>0</v>
      </c>
      <c r="K804" s="40">
        <v>0</v>
      </c>
      <c r="L804" s="40">
        <v>150</v>
      </c>
      <c r="M804" s="40">
        <v>892</v>
      </c>
      <c r="N804" s="40">
        <v>60</v>
      </c>
      <c r="O804" s="40">
        <v>185</v>
      </c>
      <c r="P804" s="40">
        <v>154</v>
      </c>
      <c r="Q804" s="40">
        <v>0</v>
      </c>
      <c r="R804" s="40">
        <v>327</v>
      </c>
      <c r="S804" s="40">
        <v>166</v>
      </c>
    </row>
    <row r="805" spans="1:19" x14ac:dyDescent="0.35">
      <c r="A805" s="38">
        <v>802</v>
      </c>
      <c r="B805" s="38" t="str">
        <f>_xlfn.XLOOKUP(A805,'Model Modeshare by TAZ'!A:A,'Model Modeshare by TAZ'!B:B)</f>
        <v>San Jose</v>
      </c>
      <c r="C805" s="38" t="str">
        <f>_xlfn.XLOOKUP(A805,'Model Modeshare by TAZ'!A:A,'Model Modeshare by TAZ'!D:D)</f>
        <v>NO</v>
      </c>
      <c r="D805" s="6">
        <v>3</v>
      </c>
      <c r="E805" s="6">
        <v>10</v>
      </c>
      <c r="F805" s="6">
        <v>22</v>
      </c>
      <c r="G805" s="6">
        <v>22</v>
      </c>
      <c r="H805" s="6">
        <v>14</v>
      </c>
      <c r="I805" s="6">
        <v>6</v>
      </c>
      <c r="J805" s="6">
        <v>4</v>
      </c>
      <c r="K805" s="40">
        <v>0</v>
      </c>
      <c r="L805" s="40">
        <v>82</v>
      </c>
      <c r="M805" s="40">
        <v>3918</v>
      </c>
      <c r="N805" s="40">
        <v>284</v>
      </c>
      <c r="O805" s="40">
        <v>1908</v>
      </c>
      <c r="P805" s="40">
        <v>1253</v>
      </c>
      <c r="Q805" s="40">
        <v>1</v>
      </c>
      <c r="R805" s="40">
        <v>151</v>
      </c>
      <c r="S805" s="40">
        <v>321</v>
      </c>
    </row>
    <row r="806" spans="1:19" x14ac:dyDescent="0.35">
      <c r="A806" s="38">
        <v>803</v>
      </c>
      <c r="B806" s="38" t="str">
        <f>_xlfn.XLOOKUP(A806,'Model Modeshare by TAZ'!A:A,'Model Modeshare by TAZ'!B:B)</f>
        <v>San Jose</v>
      </c>
      <c r="C806" s="38" t="str">
        <f>_xlfn.XLOOKUP(A806,'Model Modeshare by TAZ'!A:A,'Model Modeshare by TAZ'!D:D)</f>
        <v>NO</v>
      </c>
      <c r="D806" s="6">
        <v>3</v>
      </c>
      <c r="E806" s="6">
        <v>104</v>
      </c>
      <c r="F806" s="6">
        <v>301</v>
      </c>
      <c r="G806" s="6">
        <v>301</v>
      </c>
      <c r="H806" s="6">
        <v>147</v>
      </c>
      <c r="I806" s="6">
        <v>53</v>
      </c>
      <c r="J806" s="6">
        <v>51</v>
      </c>
      <c r="K806" s="40">
        <v>12</v>
      </c>
      <c r="L806" s="40">
        <v>61</v>
      </c>
      <c r="M806" s="40">
        <v>1344</v>
      </c>
      <c r="N806" s="40">
        <v>66</v>
      </c>
      <c r="O806" s="40">
        <v>293</v>
      </c>
      <c r="P806" s="40">
        <v>387</v>
      </c>
      <c r="Q806" s="40">
        <v>10</v>
      </c>
      <c r="R806" s="40">
        <v>425</v>
      </c>
      <c r="S806" s="40">
        <v>163</v>
      </c>
    </row>
    <row r="807" spans="1:19" x14ac:dyDescent="0.35">
      <c r="A807" s="38">
        <v>804</v>
      </c>
      <c r="B807" s="38" t="str">
        <f>_xlfn.XLOOKUP(A807,'Model Modeshare by TAZ'!A:A,'Model Modeshare by TAZ'!B:B)</f>
        <v>San Jose</v>
      </c>
      <c r="C807" s="38" t="str">
        <f>_xlfn.XLOOKUP(A807,'Model Modeshare by TAZ'!A:A,'Model Modeshare by TAZ'!D:D)</f>
        <v>NO</v>
      </c>
      <c r="D807" s="6">
        <v>3</v>
      </c>
      <c r="E807" s="6">
        <v>1186</v>
      </c>
      <c r="F807" s="6">
        <v>3440</v>
      </c>
      <c r="G807" s="6">
        <v>3446</v>
      </c>
      <c r="H807" s="6">
        <v>1677</v>
      </c>
      <c r="I807" s="6">
        <v>602</v>
      </c>
      <c r="J807" s="6">
        <v>584</v>
      </c>
      <c r="K807" s="40">
        <v>50</v>
      </c>
      <c r="L807" s="40">
        <v>3</v>
      </c>
      <c r="M807" s="40">
        <v>411</v>
      </c>
      <c r="N807" s="40">
        <v>298</v>
      </c>
      <c r="O807" s="40">
        <v>0</v>
      </c>
      <c r="P807" s="40">
        <v>12</v>
      </c>
      <c r="Q807" s="40">
        <v>101</v>
      </c>
      <c r="R807" s="40">
        <v>0</v>
      </c>
      <c r="S807" s="40">
        <v>0</v>
      </c>
    </row>
    <row r="808" spans="1:19" x14ac:dyDescent="0.35">
      <c r="A808" s="38">
        <v>805</v>
      </c>
      <c r="B808" s="38" t="str">
        <f>_xlfn.XLOOKUP(A808,'Model Modeshare by TAZ'!A:A,'Model Modeshare by TAZ'!B:B)</f>
        <v>San Jose</v>
      </c>
      <c r="C808" s="38" t="str">
        <f>_xlfn.XLOOKUP(A808,'Model Modeshare by TAZ'!A:A,'Model Modeshare by TAZ'!D:D)</f>
        <v>NO</v>
      </c>
      <c r="D808" s="6">
        <v>3</v>
      </c>
      <c r="E808" s="6">
        <v>826</v>
      </c>
      <c r="F808" s="6">
        <v>3291</v>
      </c>
      <c r="G808" s="6">
        <v>3291</v>
      </c>
      <c r="H808" s="6">
        <v>1508</v>
      </c>
      <c r="I808" s="6">
        <v>826</v>
      </c>
      <c r="J808" s="6">
        <v>0</v>
      </c>
      <c r="K808" s="40">
        <v>50</v>
      </c>
      <c r="L808" s="40">
        <v>2</v>
      </c>
      <c r="M808" s="40">
        <v>145</v>
      </c>
      <c r="N808" s="40">
        <v>2</v>
      </c>
      <c r="O808" s="40">
        <v>75</v>
      </c>
      <c r="P808" s="40">
        <v>1</v>
      </c>
      <c r="Q808" s="40">
        <v>0</v>
      </c>
      <c r="R808" s="40">
        <v>67</v>
      </c>
      <c r="S808" s="40">
        <v>0</v>
      </c>
    </row>
    <row r="809" spans="1:19" x14ac:dyDescent="0.35">
      <c r="A809" s="38">
        <v>806</v>
      </c>
      <c r="B809" s="38" t="str">
        <f>_xlfn.XLOOKUP(A809,'Model Modeshare by TAZ'!A:A,'Model Modeshare by TAZ'!B:B)</f>
        <v>San Jose</v>
      </c>
      <c r="C809" s="38" t="str">
        <f>_xlfn.XLOOKUP(A809,'Model Modeshare by TAZ'!A:A,'Model Modeshare by TAZ'!D:D)</f>
        <v>NO</v>
      </c>
      <c r="D809" s="6">
        <v>3</v>
      </c>
      <c r="E809" s="6">
        <v>261</v>
      </c>
      <c r="F809" s="6">
        <v>974</v>
      </c>
      <c r="G809" s="6">
        <v>979</v>
      </c>
      <c r="H809" s="6">
        <v>537</v>
      </c>
      <c r="I809" s="6">
        <v>260</v>
      </c>
      <c r="J809" s="6">
        <v>1</v>
      </c>
      <c r="K809" s="40">
        <v>81</v>
      </c>
      <c r="L809" s="40">
        <v>6</v>
      </c>
      <c r="M809" s="40">
        <v>62</v>
      </c>
      <c r="N809" s="40">
        <v>33</v>
      </c>
      <c r="O809" s="40">
        <v>1</v>
      </c>
      <c r="P809" s="40">
        <v>28</v>
      </c>
      <c r="Q809" s="40">
        <v>0</v>
      </c>
      <c r="R809" s="40">
        <v>0</v>
      </c>
      <c r="S809" s="40">
        <v>0</v>
      </c>
    </row>
    <row r="810" spans="1:19" x14ac:dyDescent="0.35">
      <c r="A810" s="38">
        <v>807</v>
      </c>
      <c r="B810" s="38" t="str">
        <f>_xlfn.XLOOKUP(A810,'Model Modeshare by TAZ'!A:A,'Model Modeshare by TAZ'!B:B)</f>
        <v>San Jose</v>
      </c>
      <c r="C810" s="38" t="str">
        <f>_xlfn.XLOOKUP(A810,'Model Modeshare by TAZ'!A:A,'Model Modeshare by TAZ'!D:D)</f>
        <v>NO</v>
      </c>
      <c r="D810" s="6">
        <v>3</v>
      </c>
      <c r="E810" s="6">
        <v>92</v>
      </c>
      <c r="F810" s="6">
        <v>368</v>
      </c>
      <c r="G810" s="6">
        <v>368</v>
      </c>
      <c r="H810" s="6">
        <v>192</v>
      </c>
      <c r="I810" s="6">
        <v>91</v>
      </c>
      <c r="J810" s="6">
        <v>1</v>
      </c>
      <c r="K810" s="40">
        <v>5</v>
      </c>
      <c r="L810" s="40">
        <v>41</v>
      </c>
      <c r="M810" s="40">
        <v>400</v>
      </c>
      <c r="N810" s="40">
        <v>36</v>
      </c>
      <c r="O810" s="40">
        <v>326</v>
      </c>
      <c r="P810" s="40">
        <v>9</v>
      </c>
      <c r="Q810" s="40">
        <v>0</v>
      </c>
      <c r="R810" s="40">
        <v>28</v>
      </c>
      <c r="S810" s="40">
        <v>1</v>
      </c>
    </row>
    <row r="811" spans="1:19" x14ac:dyDescent="0.35">
      <c r="A811" s="38">
        <v>808</v>
      </c>
      <c r="B811" s="38" t="str">
        <f>_xlfn.XLOOKUP(A811,'Model Modeshare by TAZ'!A:A,'Model Modeshare by TAZ'!B:B)</f>
        <v>San Jose</v>
      </c>
      <c r="C811" s="38" t="str">
        <f>_xlfn.XLOOKUP(A811,'Model Modeshare by TAZ'!A:A,'Model Modeshare by TAZ'!D:D)</f>
        <v>NO</v>
      </c>
      <c r="D811" s="6">
        <v>3</v>
      </c>
      <c r="E811" s="6">
        <v>8</v>
      </c>
      <c r="F811" s="6">
        <v>16</v>
      </c>
      <c r="G811" s="6">
        <v>16</v>
      </c>
      <c r="H811" s="6">
        <v>16</v>
      </c>
      <c r="I811" s="6">
        <v>8</v>
      </c>
      <c r="J811" s="6">
        <v>0</v>
      </c>
      <c r="K811" s="40">
        <v>7</v>
      </c>
      <c r="L811" s="40">
        <v>83</v>
      </c>
      <c r="M811" s="40">
        <v>2036</v>
      </c>
      <c r="N811" s="40">
        <v>101</v>
      </c>
      <c r="O811" s="40">
        <v>772</v>
      </c>
      <c r="P811" s="40">
        <v>429</v>
      </c>
      <c r="Q811" s="40">
        <v>2</v>
      </c>
      <c r="R811" s="40">
        <v>730</v>
      </c>
      <c r="S811" s="40">
        <v>2</v>
      </c>
    </row>
    <row r="812" spans="1:19" x14ac:dyDescent="0.35">
      <c r="A812" s="38">
        <v>809</v>
      </c>
      <c r="B812" s="38" t="str">
        <f>_xlfn.XLOOKUP(A812,'Model Modeshare by TAZ'!A:A,'Model Modeshare by TAZ'!B:B)</f>
        <v>San Jose</v>
      </c>
      <c r="C812" s="38" t="str">
        <f>_xlfn.XLOOKUP(A812,'Model Modeshare by TAZ'!A:A,'Model Modeshare by TAZ'!D:D)</f>
        <v>NO</v>
      </c>
      <c r="D812" s="6">
        <v>3</v>
      </c>
      <c r="E812" s="6">
        <v>8</v>
      </c>
      <c r="F812" s="6">
        <v>16</v>
      </c>
      <c r="G812" s="6">
        <v>16</v>
      </c>
      <c r="H812" s="6">
        <v>16</v>
      </c>
      <c r="I812" s="6">
        <v>8</v>
      </c>
      <c r="J812" s="6">
        <v>0</v>
      </c>
      <c r="K812" s="40">
        <v>14</v>
      </c>
      <c r="L812" s="40">
        <v>36</v>
      </c>
      <c r="M812" s="40">
        <v>1529</v>
      </c>
      <c r="N812" s="40">
        <v>47</v>
      </c>
      <c r="O812" s="40">
        <v>765</v>
      </c>
      <c r="P812" s="40">
        <v>306</v>
      </c>
      <c r="Q812" s="40">
        <v>4</v>
      </c>
      <c r="R812" s="40">
        <v>406</v>
      </c>
      <c r="S812" s="40">
        <v>1</v>
      </c>
    </row>
    <row r="813" spans="1:19" x14ac:dyDescent="0.35">
      <c r="A813" s="38">
        <v>810</v>
      </c>
      <c r="B813" s="38" t="str">
        <f>_xlfn.XLOOKUP(A813,'Model Modeshare by TAZ'!A:A,'Model Modeshare by TAZ'!B:B)</f>
        <v>Unincorporated</v>
      </c>
      <c r="C813" s="38" t="str">
        <f>_xlfn.XLOOKUP(A813,'Model Modeshare by TAZ'!A:A,'Model Modeshare by TAZ'!D:D)</f>
        <v>NO</v>
      </c>
      <c r="D813" s="6">
        <v>3</v>
      </c>
      <c r="E813" s="6">
        <v>4</v>
      </c>
      <c r="F813" s="6">
        <v>10</v>
      </c>
      <c r="G813" s="6">
        <v>10</v>
      </c>
      <c r="H813" s="6">
        <v>6</v>
      </c>
      <c r="I813" s="6">
        <v>3</v>
      </c>
      <c r="J813" s="6">
        <v>1</v>
      </c>
      <c r="K813" s="40">
        <v>468</v>
      </c>
      <c r="L813" s="40">
        <v>0</v>
      </c>
      <c r="M813" s="40">
        <v>0</v>
      </c>
      <c r="N813" s="40">
        <v>0</v>
      </c>
      <c r="O813" s="40">
        <v>0</v>
      </c>
      <c r="P813" s="40">
        <v>0</v>
      </c>
      <c r="Q813" s="40">
        <v>0</v>
      </c>
      <c r="R813" s="40">
        <v>0</v>
      </c>
      <c r="S813" s="40">
        <v>0</v>
      </c>
    </row>
    <row r="814" spans="1:19" x14ac:dyDescent="0.35">
      <c r="A814" s="38">
        <v>811</v>
      </c>
      <c r="B814" s="38" t="str">
        <f>_xlfn.XLOOKUP(A814,'Model Modeshare by TAZ'!A:A,'Model Modeshare by TAZ'!B:B)</f>
        <v>San Jose</v>
      </c>
      <c r="C814" s="38" t="str">
        <f>_xlfn.XLOOKUP(A814,'Model Modeshare by TAZ'!A:A,'Model Modeshare by TAZ'!D:D)</f>
        <v>NO</v>
      </c>
      <c r="D814" s="6">
        <v>3</v>
      </c>
      <c r="E814" s="6">
        <v>421</v>
      </c>
      <c r="F814" s="6">
        <v>1114</v>
      </c>
      <c r="G814" s="6">
        <v>1121</v>
      </c>
      <c r="H814" s="6">
        <v>527</v>
      </c>
      <c r="I814" s="6">
        <v>193</v>
      </c>
      <c r="J814" s="6">
        <v>228</v>
      </c>
      <c r="K814" s="40">
        <v>52</v>
      </c>
      <c r="L814" s="40">
        <v>31</v>
      </c>
      <c r="M814" s="40">
        <v>271</v>
      </c>
      <c r="N814" s="40">
        <v>234</v>
      </c>
      <c r="O814" s="40">
        <v>8</v>
      </c>
      <c r="P814" s="40">
        <v>28</v>
      </c>
      <c r="Q814" s="40">
        <v>0</v>
      </c>
      <c r="R814" s="40">
        <v>1</v>
      </c>
      <c r="S814" s="40">
        <v>0</v>
      </c>
    </row>
    <row r="815" spans="1:19" x14ac:dyDescent="0.35">
      <c r="A815" s="38">
        <v>812</v>
      </c>
      <c r="B815" s="38" t="str">
        <f>_xlfn.XLOOKUP(A815,'Model Modeshare by TAZ'!A:A,'Model Modeshare by TAZ'!B:B)</f>
        <v>Los Gatos</v>
      </c>
      <c r="C815" s="38" t="str">
        <f>_xlfn.XLOOKUP(A815,'Model Modeshare by TAZ'!A:A,'Model Modeshare by TAZ'!D:D)</f>
        <v>NO</v>
      </c>
      <c r="D815" s="6">
        <v>3</v>
      </c>
      <c r="E815" s="6">
        <v>25</v>
      </c>
      <c r="F815" s="6">
        <v>71</v>
      </c>
      <c r="G815" s="6">
        <v>71</v>
      </c>
      <c r="H815" s="6">
        <v>35</v>
      </c>
      <c r="I815" s="6">
        <v>22</v>
      </c>
      <c r="J815" s="6">
        <v>3</v>
      </c>
      <c r="K815" s="40">
        <v>107</v>
      </c>
      <c r="L815" s="40">
        <v>1</v>
      </c>
      <c r="M815" s="40">
        <v>46</v>
      </c>
      <c r="N815" s="40">
        <v>7</v>
      </c>
      <c r="O815" s="40">
        <v>17</v>
      </c>
      <c r="P815" s="40">
        <v>12</v>
      </c>
      <c r="Q815" s="40">
        <v>0</v>
      </c>
      <c r="R815" s="40">
        <v>8</v>
      </c>
      <c r="S815" s="40">
        <v>2</v>
      </c>
    </row>
    <row r="816" spans="1:19" x14ac:dyDescent="0.35">
      <c r="A816" s="38">
        <v>813</v>
      </c>
      <c r="B816" s="38" t="str">
        <f>_xlfn.XLOOKUP(A816,'Model Modeshare by TAZ'!A:A,'Model Modeshare by TAZ'!B:B)</f>
        <v>San Jose</v>
      </c>
      <c r="C816" s="38" t="str">
        <f>_xlfn.XLOOKUP(A816,'Model Modeshare by TAZ'!A:A,'Model Modeshare by TAZ'!D:D)</f>
        <v>NO</v>
      </c>
      <c r="D816" s="6">
        <v>3</v>
      </c>
      <c r="E816" s="6">
        <v>212</v>
      </c>
      <c r="F816" s="6">
        <v>552</v>
      </c>
      <c r="G816" s="6">
        <v>724</v>
      </c>
      <c r="H816" s="6">
        <v>320</v>
      </c>
      <c r="I816" s="6">
        <v>60</v>
      </c>
      <c r="J816" s="6">
        <v>152</v>
      </c>
      <c r="K816" s="40">
        <v>67</v>
      </c>
      <c r="L816" s="40">
        <v>73</v>
      </c>
      <c r="M816" s="40">
        <v>2031</v>
      </c>
      <c r="N816" s="40">
        <v>105</v>
      </c>
      <c r="O816" s="40">
        <v>706</v>
      </c>
      <c r="P816" s="40">
        <v>678</v>
      </c>
      <c r="Q816" s="40">
        <v>6</v>
      </c>
      <c r="R816" s="40">
        <v>309</v>
      </c>
      <c r="S816" s="40">
        <v>227</v>
      </c>
    </row>
    <row r="817" spans="1:19" x14ac:dyDescent="0.35">
      <c r="A817" s="38">
        <v>814</v>
      </c>
      <c r="B817" s="38" t="str">
        <f>_xlfn.XLOOKUP(A817,'Model Modeshare by TAZ'!A:A,'Model Modeshare by TAZ'!B:B)</f>
        <v>San Jose</v>
      </c>
      <c r="C817" s="38" t="str">
        <f>_xlfn.XLOOKUP(A817,'Model Modeshare by TAZ'!A:A,'Model Modeshare by TAZ'!D:D)</f>
        <v>NO</v>
      </c>
      <c r="D817" s="6">
        <v>3</v>
      </c>
      <c r="E817" s="6">
        <v>0</v>
      </c>
      <c r="F817" s="6">
        <v>0</v>
      </c>
      <c r="G817" s="6">
        <v>0</v>
      </c>
      <c r="H817" s="6">
        <v>0</v>
      </c>
      <c r="I817" s="6">
        <v>0</v>
      </c>
      <c r="J817" s="6">
        <v>0</v>
      </c>
      <c r="K817" s="40">
        <v>0</v>
      </c>
      <c r="L817" s="40">
        <v>66</v>
      </c>
      <c r="M817" s="40">
        <v>1760</v>
      </c>
      <c r="N817" s="40">
        <v>93</v>
      </c>
      <c r="O817" s="40">
        <v>599</v>
      </c>
      <c r="P817" s="40">
        <v>577</v>
      </c>
      <c r="Q817" s="40">
        <v>4</v>
      </c>
      <c r="R817" s="40">
        <v>279</v>
      </c>
      <c r="S817" s="40">
        <v>208</v>
      </c>
    </row>
    <row r="818" spans="1:19" x14ac:dyDescent="0.35">
      <c r="A818" s="38">
        <v>815</v>
      </c>
      <c r="B818" s="38" t="str">
        <f>_xlfn.XLOOKUP(A818,'Model Modeshare by TAZ'!A:A,'Model Modeshare by TAZ'!B:B)</f>
        <v>San Jose</v>
      </c>
      <c r="C818" s="38" t="str">
        <f>_xlfn.XLOOKUP(A818,'Model Modeshare by TAZ'!A:A,'Model Modeshare by TAZ'!D:D)</f>
        <v>NO</v>
      </c>
      <c r="D818" s="6">
        <v>3</v>
      </c>
      <c r="E818" s="6">
        <v>0</v>
      </c>
      <c r="F818" s="6">
        <v>0</v>
      </c>
      <c r="G818" s="6">
        <v>0</v>
      </c>
      <c r="H818" s="6">
        <v>0</v>
      </c>
      <c r="I818" s="6">
        <v>0</v>
      </c>
      <c r="J818" s="6">
        <v>0</v>
      </c>
      <c r="K818" s="40">
        <v>0</v>
      </c>
      <c r="L818" s="40">
        <v>45</v>
      </c>
      <c r="M818" s="40">
        <v>302</v>
      </c>
      <c r="N818" s="40">
        <v>23</v>
      </c>
      <c r="O818" s="40">
        <v>105</v>
      </c>
      <c r="P818" s="40">
        <v>97</v>
      </c>
      <c r="Q818" s="40">
        <v>1</v>
      </c>
      <c r="R818" s="40">
        <v>44</v>
      </c>
      <c r="S818" s="40">
        <v>32</v>
      </c>
    </row>
    <row r="819" spans="1:19" x14ac:dyDescent="0.35">
      <c r="A819" s="38">
        <v>816</v>
      </c>
      <c r="B819" s="38" t="str">
        <f>_xlfn.XLOOKUP(A819,'Model Modeshare by TAZ'!A:A,'Model Modeshare by TAZ'!B:B)</f>
        <v>San Jose</v>
      </c>
      <c r="C819" s="38" t="str">
        <f>_xlfn.XLOOKUP(A819,'Model Modeshare by TAZ'!A:A,'Model Modeshare by TAZ'!D:D)</f>
        <v>NO</v>
      </c>
      <c r="D819" s="6">
        <v>3</v>
      </c>
      <c r="E819" s="6">
        <v>0</v>
      </c>
      <c r="F819" s="6">
        <v>0</v>
      </c>
      <c r="G819" s="6">
        <v>0</v>
      </c>
      <c r="H819" s="6">
        <v>0</v>
      </c>
      <c r="I819" s="6">
        <v>0</v>
      </c>
      <c r="J819" s="6">
        <v>0</v>
      </c>
      <c r="K819" s="40">
        <v>0</v>
      </c>
      <c r="L819" s="40">
        <v>9</v>
      </c>
      <c r="M819" s="40">
        <v>24</v>
      </c>
      <c r="N819" s="40">
        <v>2</v>
      </c>
      <c r="O819" s="40">
        <v>2</v>
      </c>
      <c r="P819" s="40">
        <v>12</v>
      </c>
      <c r="Q819" s="40">
        <v>0</v>
      </c>
      <c r="R819" s="40">
        <v>5</v>
      </c>
      <c r="S819" s="40">
        <v>3</v>
      </c>
    </row>
    <row r="820" spans="1:19" x14ac:dyDescent="0.35">
      <c r="A820" s="38">
        <v>817</v>
      </c>
      <c r="B820" s="38" t="str">
        <f>_xlfn.XLOOKUP(A820,'Model Modeshare by TAZ'!A:A,'Model Modeshare by TAZ'!B:B)</f>
        <v>San Jose</v>
      </c>
      <c r="C820" s="38" t="str">
        <f>_xlfn.XLOOKUP(A820,'Model Modeshare by TAZ'!A:A,'Model Modeshare by TAZ'!D:D)</f>
        <v>NO</v>
      </c>
      <c r="D820" s="6">
        <v>3</v>
      </c>
      <c r="E820" s="6">
        <v>124</v>
      </c>
      <c r="F820" s="6">
        <v>330</v>
      </c>
      <c r="G820" s="6">
        <v>333</v>
      </c>
      <c r="H820" s="6">
        <v>185</v>
      </c>
      <c r="I820" s="6">
        <v>90</v>
      </c>
      <c r="J820" s="6">
        <v>34</v>
      </c>
      <c r="K820" s="40">
        <v>27</v>
      </c>
      <c r="L820" s="40">
        <v>0</v>
      </c>
      <c r="M820" s="40">
        <v>0</v>
      </c>
      <c r="N820" s="40">
        <v>0</v>
      </c>
      <c r="O820" s="40">
        <v>0</v>
      </c>
      <c r="P820" s="40">
        <v>0</v>
      </c>
      <c r="Q820" s="40">
        <v>0</v>
      </c>
      <c r="R820" s="40">
        <v>0</v>
      </c>
      <c r="S820" s="40">
        <v>0</v>
      </c>
    </row>
    <row r="821" spans="1:19" x14ac:dyDescent="0.35">
      <c r="A821" s="38">
        <v>818</v>
      </c>
      <c r="B821" s="38" t="str">
        <f>_xlfn.XLOOKUP(A821,'Model Modeshare by TAZ'!A:A,'Model Modeshare by TAZ'!B:B)</f>
        <v>San Jose</v>
      </c>
      <c r="C821" s="38" t="str">
        <f>_xlfn.XLOOKUP(A821,'Model Modeshare by TAZ'!A:A,'Model Modeshare by TAZ'!D:D)</f>
        <v>NO</v>
      </c>
      <c r="D821" s="6">
        <v>3</v>
      </c>
      <c r="E821" s="6">
        <v>949</v>
      </c>
      <c r="F821" s="6">
        <v>2527</v>
      </c>
      <c r="G821" s="6">
        <v>2542</v>
      </c>
      <c r="H821" s="6">
        <v>1427</v>
      </c>
      <c r="I821" s="6">
        <v>692</v>
      </c>
      <c r="J821" s="6">
        <v>257</v>
      </c>
      <c r="K821" s="40">
        <v>81</v>
      </c>
      <c r="L821" s="40">
        <v>42</v>
      </c>
      <c r="M821" s="40">
        <v>771</v>
      </c>
      <c r="N821" s="40">
        <v>18</v>
      </c>
      <c r="O821" s="40">
        <v>83</v>
      </c>
      <c r="P821" s="40">
        <v>609</v>
      </c>
      <c r="Q821" s="40">
        <v>14</v>
      </c>
      <c r="R821" s="40">
        <v>47</v>
      </c>
      <c r="S821" s="40">
        <v>0</v>
      </c>
    </row>
    <row r="822" spans="1:19" x14ac:dyDescent="0.35">
      <c r="A822" s="38">
        <v>819</v>
      </c>
      <c r="B822" s="38" t="str">
        <f>_xlfn.XLOOKUP(A822,'Model Modeshare by TAZ'!A:A,'Model Modeshare by TAZ'!B:B)</f>
        <v>Unincorporated</v>
      </c>
      <c r="C822" s="38" t="str">
        <f>_xlfn.XLOOKUP(A822,'Model Modeshare by TAZ'!A:A,'Model Modeshare by TAZ'!D:D)</f>
        <v>NO</v>
      </c>
      <c r="D822" s="6">
        <v>3</v>
      </c>
      <c r="E822" s="6">
        <v>11</v>
      </c>
      <c r="F822" s="6">
        <v>44</v>
      </c>
      <c r="G822" s="6">
        <v>44</v>
      </c>
      <c r="H822" s="6">
        <v>22</v>
      </c>
      <c r="I822" s="6">
        <v>11</v>
      </c>
      <c r="J822" s="6">
        <v>0</v>
      </c>
      <c r="K822" s="40">
        <v>1</v>
      </c>
      <c r="L822" s="40">
        <v>0</v>
      </c>
      <c r="M822" s="40">
        <v>0</v>
      </c>
      <c r="N822" s="40">
        <v>0</v>
      </c>
      <c r="O822" s="40">
        <v>0</v>
      </c>
      <c r="P822" s="40">
        <v>0</v>
      </c>
      <c r="Q822" s="40">
        <v>0</v>
      </c>
      <c r="R822" s="40">
        <v>0</v>
      </c>
      <c r="S822" s="40">
        <v>0</v>
      </c>
    </row>
    <row r="823" spans="1:19" x14ac:dyDescent="0.35">
      <c r="A823" s="38">
        <v>820</v>
      </c>
      <c r="B823" s="38" t="str">
        <f>_xlfn.XLOOKUP(A823,'Model Modeshare by TAZ'!A:A,'Model Modeshare by TAZ'!B:B)</f>
        <v>San Jose</v>
      </c>
      <c r="C823" s="38" t="str">
        <f>_xlfn.XLOOKUP(A823,'Model Modeshare by TAZ'!A:A,'Model Modeshare by TAZ'!D:D)</f>
        <v>NO</v>
      </c>
      <c r="D823" s="6">
        <v>3</v>
      </c>
      <c r="E823" s="6">
        <v>139</v>
      </c>
      <c r="F823" s="6">
        <v>467</v>
      </c>
      <c r="G823" s="6">
        <v>467</v>
      </c>
      <c r="H823" s="6">
        <v>241</v>
      </c>
      <c r="I823" s="6">
        <v>97</v>
      </c>
      <c r="J823" s="6">
        <v>42</v>
      </c>
      <c r="K823" s="40">
        <v>25</v>
      </c>
      <c r="L823" s="40">
        <v>29</v>
      </c>
      <c r="M823" s="40">
        <v>329</v>
      </c>
      <c r="N823" s="40">
        <v>289</v>
      </c>
      <c r="O823" s="40">
        <v>28</v>
      </c>
      <c r="P823" s="40">
        <v>11</v>
      </c>
      <c r="Q823" s="40">
        <v>1</v>
      </c>
      <c r="R823" s="40">
        <v>0</v>
      </c>
      <c r="S823" s="40">
        <v>0</v>
      </c>
    </row>
    <row r="824" spans="1:19" x14ac:dyDescent="0.35">
      <c r="A824" s="38">
        <v>821</v>
      </c>
      <c r="B824" s="38" t="str">
        <f>_xlfn.XLOOKUP(A824,'Model Modeshare by TAZ'!A:A,'Model Modeshare by TAZ'!B:B)</f>
        <v>San Jose</v>
      </c>
      <c r="C824" s="38" t="str">
        <f>_xlfn.XLOOKUP(A824,'Model Modeshare by TAZ'!A:A,'Model Modeshare by TAZ'!D:D)</f>
        <v>NO</v>
      </c>
      <c r="D824" s="6">
        <v>3</v>
      </c>
      <c r="E824" s="6">
        <v>0</v>
      </c>
      <c r="F824" s="6">
        <v>0</v>
      </c>
      <c r="G824" s="6">
        <v>0</v>
      </c>
      <c r="H824" s="6">
        <v>0</v>
      </c>
      <c r="I824" s="6">
        <v>0</v>
      </c>
      <c r="J824" s="6">
        <v>0</v>
      </c>
      <c r="K824" s="40">
        <v>1</v>
      </c>
      <c r="L824" s="40">
        <v>0</v>
      </c>
      <c r="M824" s="40">
        <v>0</v>
      </c>
      <c r="N824" s="40">
        <v>0</v>
      </c>
      <c r="O824" s="40">
        <v>0</v>
      </c>
      <c r="P824" s="40">
        <v>0</v>
      </c>
      <c r="Q824" s="40">
        <v>0</v>
      </c>
      <c r="R824" s="40">
        <v>0</v>
      </c>
      <c r="S824" s="40">
        <v>0</v>
      </c>
    </row>
    <row r="825" spans="1:19" x14ac:dyDescent="0.35">
      <c r="A825" s="38">
        <v>822</v>
      </c>
      <c r="B825" s="38" t="str">
        <f>_xlfn.XLOOKUP(A825,'Model Modeshare by TAZ'!A:A,'Model Modeshare by TAZ'!B:B)</f>
        <v>San Jose</v>
      </c>
      <c r="C825" s="38" t="str">
        <f>_xlfn.XLOOKUP(A825,'Model Modeshare by TAZ'!A:A,'Model Modeshare by TAZ'!D:D)</f>
        <v>NO</v>
      </c>
      <c r="D825" s="6">
        <v>3</v>
      </c>
      <c r="E825" s="6">
        <v>41</v>
      </c>
      <c r="F825" s="6">
        <v>133</v>
      </c>
      <c r="G825" s="6">
        <v>138</v>
      </c>
      <c r="H825" s="6">
        <v>64</v>
      </c>
      <c r="I825" s="6">
        <v>34</v>
      </c>
      <c r="J825" s="6">
        <v>7</v>
      </c>
      <c r="K825" s="40">
        <v>8</v>
      </c>
      <c r="L825" s="40">
        <v>3</v>
      </c>
      <c r="M825" s="40">
        <v>60</v>
      </c>
      <c r="N825" s="40">
        <v>10</v>
      </c>
      <c r="O825" s="40">
        <v>50</v>
      </c>
      <c r="P825" s="40">
        <v>0</v>
      </c>
      <c r="Q825" s="40">
        <v>0</v>
      </c>
      <c r="R825" s="40">
        <v>0</v>
      </c>
      <c r="S825" s="40">
        <v>0</v>
      </c>
    </row>
    <row r="826" spans="1:19" x14ac:dyDescent="0.35">
      <c r="A826" s="38">
        <v>823</v>
      </c>
      <c r="B826" s="38" t="str">
        <f>_xlfn.XLOOKUP(A826,'Model Modeshare by TAZ'!A:A,'Model Modeshare by TAZ'!B:B)</f>
        <v>Unincorporated</v>
      </c>
      <c r="C826" s="38" t="str">
        <f>_xlfn.XLOOKUP(A826,'Model Modeshare by TAZ'!A:A,'Model Modeshare by TAZ'!D:D)</f>
        <v>NO</v>
      </c>
      <c r="D826" s="6">
        <v>3</v>
      </c>
      <c r="E826" s="6">
        <v>30</v>
      </c>
      <c r="F826" s="6">
        <v>94</v>
      </c>
      <c r="G826" s="6">
        <v>98</v>
      </c>
      <c r="H826" s="6">
        <v>47</v>
      </c>
      <c r="I826" s="6">
        <v>25</v>
      </c>
      <c r="J826" s="6">
        <v>5</v>
      </c>
      <c r="K826" s="40">
        <v>2</v>
      </c>
      <c r="L826" s="40">
        <v>4</v>
      </c>
      <c r="M826" s="40">
        <v>23</v>
      </c>
      <c r="N826" s="40">
        <v>1</v>
      </c>
      <c r="O826" s="40">
        <v>11</v>
      </c>
      <c r="P826" s="40">
        <v>3</v>
      </c>
      <c r="Q826" s="40">
        <v>0</v>
      </c>
      <c r="R826" s="40">
        <v>8</v>
      </c>
      <c r="S826" s="40">
        <v>0</v>
      </c>
    </row>
    <row r="827" spans="1:19" x14ac:dyDescent="0.35">
      <c r="A827" s="38">
        <v>824</v>
      </c>
      <c r="B827" s="38" t="str">
        <f>_xlfn.XLOOKUP(A827,'Model Modeshare by TAZ'!A:A,'Model Modeshare by TAZ'!B:B)</f>
        <v>Unincorporated</v>
      </c>
      <c r="C827" s="38" t="str">
        <f>_xlfn.XLOOKUP(A827,'Model Modeshare by TAZ'!A:A,'Model Modeshare by TAZ'!D:D)</f>
        <v>NO</v>
      </c>
      <c r="D827" s="6">
        <v>3</v>
      </c>
      <c r="E827" s="6">
        <v>3</v>
      </c>
      <c r="F827" s="6">
        <v>9</v>
      </c>
      <c r="G827" s="6">
        <v>9</v>
      </c>
      <c r="H827" s="6">
        <v>6</v>
      </c>
      <c r="I827" s="6">
        <v>2</v>
      </c>
      <c r="J827" s="6">
        <v>1</v>
      </c>
      <c r="K827" s="40">
        <v>1</v>
      </c>
      <c r="L827" s="40">
        <v>1</v>
      </c>
      <c r="M827" s="40">
        <v>12</v>
      </c>
      <c r="N827" s="40">
        <v>0</v>
      </c>
      <c r="O827" s="40">
        <v>0</v>
      </c>
      <c r="P827" s="40">
        <v>0</v>
      </c>
      <c r="Q827" s="40">
        <v>12</v>
      </c>
      <c r="R827" s="40">
        <v>0</v>
      </c>
      <c r="S827" s="40">
        <v>0</v>
      </c>
    </row>
    <row r="828" spans="1:19" x14ac:dyDescent="0.35">
      <c r="A828" s="38">
        <v>825</v>
      </c>
      <c r="B828" s="38" t="str">
        <f>_xlfn.XLOOKUP(A828,'Model Modeshare by TAZ'!A:A,'Model Modeshare by TAZ'!B:B)</f>
        <v>San Jose</v>
      </c>
      <c r="C828" s="38" t="str">
        <f>_xlfn.XLOOKUP(A828,'Model Modeshare by TAZ'!A:A,'Model Modeshare by TAZ'!D:D)</f>
        <v>NO</v>
      </c>
      <c r="D828" s="6">
        <v>3</v>
      </c>
      <c r="E828" s="6">
        <v>3</v>
      </c>
      <c r="F828" s="6">
        <v>9</v>
      </c>
      <c r="G828" s="6">
        <v>9</v>
      </c>
      <c r="H828" s="6">
        <v>6</v>
      </c>
      <c r="I828" s="6">
        <v>2</v>
      </c>
      <c r="J828" s="6">
        <v>1</v>
      </c>
      <c r="K828" s="40">
        <v>1</v>
      </c>
      <c r="L828" s="40">
        <v>2</v>
      </c>
      <c r="M828" s="40">
        <v>223</v>
      </c>
      <c r="N828" s="40">
        <v>32</v>
      </c>
      <c r="O828" s="40">
        <v>80</v>
      </c>
      <c r="P828" s="40">
        <v>60</v>
      </c>
      <c r="Q828" s="40">
        <v>2</v>
      </c>
      <c r="R828" s="40">
        <v>37</v>
      </c>
      <c r="S828" s="40">
        <v>12</v>
      </c>
    </row>
    <row r="829" spans="1:19" x14ac:dyDescent="0.35">
      <c r="A829" s="38">
        <v>826</v>
      </c>
      <c r="B829" s="38" t="str">
        <f>_xlfn.XLOOKUP(A829,'Model Modeshare by TAZ'!A:A,'Model Modeshare by TAZ'!B:B)</f>
        <v>Unincorporated</v>
      </c>
      <c r="C829" s="38" t="str">
        <f>_xlfn.XLOOKUP(A829,'Model Modeshare by TAZ'!A:A,'Model Modeshare by TAZ'!D:D)</f>
        <v>NO</v>
      </c>
      <c r="D829" s="6">
        <v>3</v>
      </c>
      <c r="E829" s="6">
        <v>1816</v>
      </c>
      <c r="F829" s="6">
        <v>5617</v>
      </c>
      <c r="G829" s="6">
        <v>5617</v>
      </c>
      <c r="H829" s="6">
        <v>3041</v>
      </c>
      <c r="I829" s="6">
        <v>1797</v>
      </c>
      <c r="J829" s="6">
        <v>19</v>
      </c>
      <c r="K829" s="40">
        <v>630</v>
      </c>
      <c r="L829" s="40">
        <v>1</v>
      </c>
      <c r="M829" s="40">
        <v>454</v>
      </c>
      <c r="N829" s="40">
        <v>0</v>
      </c>
      <c r="O829" s="40">
        <v>0</v>
      </c>
      <c r="P829" s="40">
        <v>441</v>
      </c>
      <c r="Q829" s="40">
        <v>13</v>
      </c>
      <c r="R829" s="40">
        <v>0</v>
      </c>
      <c r="S829" s="40">
        <v>0</v>
      </c>
    </row>
    <row r="830" spans="1:19" x14ac:dyDescent="0.35">
      <c r="A830" s="38">
        <v>827</v>
      </c>
      <c r="B830" s="38" t="str">
        <f>_xlfn.XLOOKUP(A830,'Model Modeshare by TAZ'!A:A,'Model Modeshare by TAZ'!B:B)</f>
        <v>San Jose</v>
      </c>
      <c r="C830" s="38" t="str">
        <f>_xlfn.XLOOKUP(A830,'Model Modeshare by TAZ'!A:A,'Model Modeshare by TAZ'!D:D)</f>
        <v>NO</v>
      </c>
      <c r="D830" s="6">
        <v>3</v>
      </c>
      <c r="E830" s="6">
        <v>8</v>
      </c>
      <c r="F830" s="6">
        <v>24</v>
      </c>
      <c r="G830" s="6">
        <v>24</v>
      </c>
      <c r="H830" s="6">
        <v>12</v>
      </c>
      <c r="I830" s="6">
        <v>8</v>
      </c>
      <c r="J830" s="6">
        <v>0</v>
      </c>
      <c r="K830" s="40">
        <v>6</v>
      </c>
      <c r="L830" s="40">
        <v>15</v>
      </c>
      <c r="M830" s="40">
        <v>481</v>
      </c>
      <c r="N830" s="40">
        <v>38</v>
      </c>
      <c r="O830" s="40">
        <v>171</v>
      </c>
      <c r="P830" s="40">
        <v>79</v>
      </c>
      <c r="Q830" s="40">
        <v>1</v>
      </c>
      <c r="R830" s="40">
        <v>192</v>
      </c>
      <c r="S830" s="40">
        <v>0</v>
      </c>
    </row>
    <row r="831" spans="1:19" x14ac:dyDescent="0.35">
      <c r="A831" s="38">
        <v>828</v>
      </c>
      <c r="B831" s="38" t="str">
        <f>_xlfn.XLOOKUP(A831,'Model Modeshare by TAZ'!A:A,'Model Modeshare by TAZ'!B:B)</f>
        <v>San Jose</v>
      </c>
      <c r="C831" s="38" t="str">
        <f>_xlfn.XLOOKUP(A831,'Model Modeshare by TAZ'!A:A,'Model Modeshare by TAZ'!D:D)</f>
        <v>NO</v>
      </c>
      <c r="D831" s="6">
        <v>3</v>
      </c>
      <c r="E831" s="6">
        <v>5</v>
      </c>
      <c r="F831" s="6">
        <v>11</v>
      </c>
      <c r="G831" s="6">
        <v>12</v>
      </c>
      <c r="H831" s="6">
        <v>7</v>
      </c>
      <c r="I831" s="6">
        <v>1</v>
      </c>
      <c r="J831" s="6">
        <v>4</v>
      </c>
      <c r="K831" s="40">
        <v>4</v>
      </c>
      <c r="L831" s="40">
        <v>329</v>
      </c>
      <c r="M831" s="40">
        <v>1484</v>
      </c>
      <c r="N831" s="40">
        <v>42</v>
      </c>
      <c r="O831" s="40">
        <v>308</v>
      </c>
      <c r="P831" s="40">
        <v>870</v>
      </c>
      <c r="Q831" s="40">
        <v>0</v>
      </c>
      <c r="R831" s="40">
        <v>84</v>
      </c>
      <c r="S831" s="40">
        <v>180</v>
      </c>
    </row>
    <row r="832" spans="1:19" x14ac:dyDescent="0.35">
      <c r="A832" s="38">
        <v>829</v>
      </c>
      <c r="B832" s="38" t="str">
        <f>_xlfn.XLOOKUP(A832,'Model Modeshare by TAZ'!A:A,'Model Modeshare by TAZ'!B:B)</f>
        <v>San Jose</v>
      </c>
      <c r="C832" s="38" t="str">
        <f>_xlfn.XLOOKUP(A832,'Model Modeshare by TAZ'!A:A,'Model Modeshare by TAZ'!D:D)</f>
        <v>NO</v>
      </c>
      <c r="D832" s="6">
        <v>3</v>
      </c>
      <c r="E832" s="6">
        <v>29</v>
      </c>
      <c r="F832" s="6">
        <v>109</v>
      </c>
      <c r="G832" s="6">
        <v>111</v>
      </c>
      <c r="H832" s="6">
        <v>49</v>
      </c>
      <c r="I832" s="6">
        <v>15</v>
      </c>
      <c r="J832" s="6">
        <v>14</v>
      </c>
      <c r="K832" s="40">
        <v>5</v>
      </c>
      <c r="L832" s="40">
        <v>1</v>
      </c>
      <c r="M832" s="40">
        <v>777</v>
      </c>
      <c r="N832" s="40">
        <v>132</v>
      </c>
      <c r="O832" s="40">
        <v>507</v>
      </c>
      <c r="P832" s="40">
        <v>0</v>
      </c>
      <c r="Q832" s="40">
        <v>6</v>
      </c>
      <c r="R832" s="40">
        <v>123</v>
      </c>
      <c r="S832" s="40">
        <v>9</v>
      </c>
    </row>
    <row r="833" spans="1:19" x14ac:dyDescent="0.35">
      <c r="A833" s="38">
        <v>830</v>
      </c>
      <c r="B833" s="38" t="str">
        <f>_xlfn.XLOOKUP(A833,'Model Modeshare by TAZ'!A:A,'Model Modeshare by TAZ'!B:B)</f>
        <v>San Jose</v>
      </c>
      <c r="C833" s="38" t="str">
        <f>_xlfn.XLOOKUP(A833,'Model Modeshare by TAZ'!A:A,'Model Modeshare by TAZ'!D:D)</f>
        <v>NO</v>
      </c>
      <c r="D833" s="6">
        <v>3</v>
      </c>
      <c r="E833" s="6">
        <v>2</v>
      </c>
      <c r="F833" s="6">
        <v>2</v>
      </c>
      <c r="G833" s="6">
        <v>2</v>
      </c>
      <c r="H833" s="6">
        <v>2</v>
      </c>
      <c r="I833" s="6">
        <v>1</v>
      </c>
      <c r="J833" s="6">
        <v>1</v>
      </c>
      <c r="K833" s="40">
        <v>0</v>
      </c>
      <c r="L833" s="40">
        <v>130</v>
      </c>
      <c r="M833" s="40">
        <v>1148</v>
      </c>
      <c r="N833" s="40">
        <v>0</v>
      </c>
      <c r="O833" s="40">
        <v>634</v>
      </c>
      <c r="P833" s="40">
        <v>514</v>
      </c>
      <c r="Q833" s="40">
        <v>0</v>
      </c>
      <c r="R833" s="40">
        <v>0</v>
      </c>
      <c r="S833" s="40">
        <v>0</v>
      </c>
    </row>
    <row r="834" spans="1:19" x14ac:dyDescent="0.35">
      <c r="A834" s="38">
        <v>831</v>
      </c>
      <c r="B834" s="38" t="str">
        <f>_xlfn.XLOOKUP(A834,'Model Modeshare by TAZ'!A:A,'Model Modeshare by TAZ'!B:B)</f>
        <v>San Jose</v>
      </c>
      <c r="C834" s="38" t="str">
        <f>_xlfn.XLOOKUP(A834,'Model Modeshare by TAZ'!A:A,'Model Modeshare by TAZ'!D:D)</f>
        <v>NO</v>
      </c>
      <c r="D834" s="6">
        <v>3</v>
      </c>
      <c r="E834" s="6">
        <v>523</v>
      </c>
      <c r="F834" s="6">
        <v>2103</v>
      </c>
      <c r="G834" s="6">
        <v>2130</v>
      </c>
      <c r="H834" s="6">
        <v>941</v>
      </c>
      <c r="I834" s="6">
        <v>519</v>
      </c>
      <c r="J834" s="6">
        <v>4</v>
      </c>
      <c r="K834" s="40">
        <v>125</v>
      </c>
      <c r="L834" s="40">
        <v>1</v>
      </c>
      <c r="M834" s="40">
        <v>51</v>
      </c>
      <c r="N834" s="40">
        <v>0</v>
      </c>
      <c r="O834" s="40">
        <v>0</v>
      </c>
      <c r="P834" s="40">
        <v>51</v>
      </c>
      <c r="Q834" s="40">
        <v>0</v>
      </c>
      <c r="R834" s="40">
        <v>0</v>
      </c>
      <c r="S834" s="40">
        <v>0</v>
      </c>
    </row>
    <row r="835" spans="1:19" x14ac:dyDescent="0.35">
      <c r="A835" s="38">
        <v>832</v>
      </c>
      <c r="B835" s="38" t="str">
        <f>_xlfn.XLOOKUP(A835,'Model Modeshare by TAZ'!A:A,'Model Modeshare by TAZ'!B:B)</f>
        <v>San Jose</v>
      </c>
      <c r="C835" s="38" t="str">
        <f>_xlfn.XLOOKUP(A835,'Model Modeshare by TAZ'!A:A,'Model Modeshare by TAZ'!D:D)</f>
        <v>NO</v>
      </c>
      <c r="D835" s="6">
        <v>3</v>
      </c>
      <c r="E835" s="6">
        <v>395</v>
      </c>
      <c r="F835" s="6">
        <v>1592</v>
      </c>
      <c r="G835" s="6">
        <v>1596</v>
      </c>
      <c r="H835" s="6">
        <v>783</v>
      </c>
      <c r="I835" s="6">
        <v>389</v>
      </c>
      <c r="J835" s="6">
        <v>6</v>
      </c>
      <c r="K835" s="40">
        <v>80</v>
      </c>
      <c r="L835" s="40">
        <v>6</v>
      </c>
      <c r="M835" s="40">
        <v>23</v>
      </c>
      <c r="N835" s="40">
        <v>8</v>
      </c>
      <c r="O835" s="40">
        <v>2</v>
      </c>
      <c r="P835" s="40">
        <v>12</v>
      </c>
      <c r="Q835" s="40">
        <v>0</v>
      </c>
      <c r="R835" s="40">
        <v>0</v>
      </c>
      <c r="S835" s="40">
        <v>1</v>
      </c>
    </row>
    <row r="836" spans="1:19" x14ac:dyDescent="0.35">
      <c r="A836" s="38">
        <v>833</v>
      </c>
      <c r="B836" s="38" t="str">
        <f>_xlfn.XLOOKUP(A836,'Model Modeshare by TAZ'!A:A,'Model Modeshare by TAZ'!B:B)</f>
        <v>San Jose</v>
      </c>
      <c r="C836" s="38" t="str">
        <f>_xlfn.XLOOKUP(A836,'Model Modeshare by TAZ'!A:A,'Model Modeshare by TAZ'!D:D)</f>
        <v>NO</v>
      </c>
      <c r="D836" s="6">
        <v>3</v>
      </c>
      <c r="E836" s="6">
        <v>316</v>
      </c>
      <c r="F836" s="6">
        <v>1323</v>
      </c>
      <c r="G836" s="6">
        <v>1341</v>
      </c>
      <c r="H836" s="6">
        <v>661</v>
      </c>
      <c r="I836" s="6">
        <v>312</v>
      </c>
      <c r="J836" s="6">
        <v>4</v>
      </c>
      <c r="K836" s="40">
        <v>58</v>
      </c>
      <c r="L836" s="40">
        <v>3</v>
      </c>
      <c r="M836" s="40">
        <v>51</v>
      </c>
      <c r="N836" s="40">
        <v>7</v>
      </c>
      <c r="O836" s="40">
        <v>18</v>
      </c>
      <c r="P836" s="40">
        <v>15</v>
      </c>
      <c r="Q836" s="40">
        <v>0</v>
      </c>
      <c r="R836" s="40">
        <v>8</v>
      </c>
      <c r="S836" s="40">
        <v>3</v>
      </c>
    </row>
    <row r="837" spans="1:19" x14ac:dyDescent="0.35">
      <c r="A837" s="38">
        <v>834</v>
      </c>
      <c r="B837" s="38" t="str">
        <f>_xlfn.XLOOKUP(A837,'Model Modeshare by TAZ'!A:A,'Model Modeshare by TAZ'!B:B)</f>
        <v>Unincorporated</v>
      </c>
      <c r="C837" s="38" t="str">
        <f>_xlfn.XLOOKUP(A837,'Model Modeshare by TAZ'!A:A,'Model Modeshare by TAZ'!D:D)</f>
        <v>NO</v>
      </c>
      <c r="D837" s="6">
        <v>3</v>
      </c>
      <c r="E837" s="6">
        <v>316</v>
      </c>
      <c r="F837" s="6">
        <v>1323</v>
      </c>
      <c r="G837" s="6">
        <v>1339</v>
      </c>
      <c r="H837" s="6">
        <v>663</v>
      </c>
      <c r="I837" s="6">
        <v>312</v>
      </c>
      <c r="J837" s="6">
        <v>4</v>
      </c>
      <c r="K837" s="40">
        <v>40</v>
      </c>
      <c r="L837" s="40">
        <v>13</v>
      </c>
      <c r="M837" s="40">
        <v>31</v>
      </c>
      <c r="N837" s="40">
        <v>20</v>
      </c>
      <c r="O837" s="40">
        <v>11</v>
      </c>
      <c r="P837" s="40">
        <v>0</v>
      </c>
      <c r="Q837" s="40">
        <v>0</v>
      </c>
      <c r="R837" s="40">
        <v>0</v>
      </c>
      <c r="S837" s="40">
        <v>0</v>
      </c>
    </row>
    <row r="838" spans="1:19" x14ac:dyDescent="0.35">
      <c r="A838" s="38">
        <v>835</v>
      </c>
      <c r="B838" s="38" t="str">
        <f>_xlfn.XLOOKUP(A838,'Model Modeshare by TAZ'!A:A,'Model Modeshare by TAZ'!B:B)</f>
        <v>San Jose</v>
      </c>
      <c r="C838" s="38" t="str">
        <f>_xlfn.XLOOKUP(A838,'Model Modeshare by TAZ'!A:A,'Model Modeshare by TAZ'!D:D)</f>
        <v>NO</v>
      </c>
      <c r="D838" s="6">
        <v>3</v>
      </c>
      <c r="E838" s="6">
        <v>342</v>
      </c>
      <c r="F838" s="6">
        <v>1494</v>
      </c>
      <c r="G838" s="6">
        <v>1503</v>
      </c>
      <c r="H838" s="6">
        <v>895</v>
      </c>
      <c r="I838" s="6">
        <v>339</v>
      </c>
      <c r="J838" s="6">
        <v>3</v>
      </c>
      <c r="K838" s="40">
        <v>48</v>
      </c>
      <c r="L838" s="40">
        <v>9</v>
      </c>
      <c r="M838" s="40">
        <v>119</v>
      </c>
      <c r="N838" s="40">
        <v>22</v>
      </c>
      <c r="O838" s="40">
        <v>44</v>
      </c>
      <c r="P838" s="40">
        <v>34</v>
      </c>
      <c r="Q838" s="40">
        <v>0</v>
      </c>
      <c r="R838" s="40">
        <v>15</v>
      </c>
      <c r="S838" s="40">
        <v>4</v>
      </c>
    </row>
    <row r="839" spans="1:19" x14ac:dyDescent="0.35">
      <c r="A839" s="38">
        <v>836</v>
      </c>
      <c r="B839" s="38" t="str">
        <f>_xlfn.XLOOKUP(A839,'Model Modeshare by TAZ'!A:A,'Model Modeshare by TAZ'!B:B)</f>
        <v>San Jose</v>
      </c>
      <c r="C839" s="38" t="str">
        <f>_xlfn.XLOOKUP(A839,'Model Modeshare by TAZ'!A:A,'Model Modeshare by TAZ'!D:D)</f>
        <v>NO</v>
      </c>
      <c r="D839" s="6">
        <v>3</v>
      </c>
      <c r="E839" s="6">
        <v>813</v>
      </c>
      <c r="F839" s="6">
        <v>3183</v>
      </c>
      <c r="G839" s="6">
        <v>3198</v>
      </c>
      <c r="H839" s="6">
        <v>1624</v>
      </c>
      <c r="I839" s="6">
        <v>556</v>
      </c>
      <c r="J839" s="6">
        <v>257</v>
      </c>
      <c r="K839" s="40">
        <v>180</v>
      </c>
      <c r="L839" s="40">
        <v>27</v>
      </c>
      <c r="M839" s="40">
        <v>832</v>
      </c>
      <c r="N839" s="40">
        <v>87</v>
      </c>
      <c r="O839" s="40">
        <v>574</v>
      </c>
      <c r="P839" s="40">
        <v>154</v>
      </c>
      <c r="Q839" s="40">
        <v>0</v>
      </c>
      <c r="R839" s="40">
        <v>14</v>
      </c>
      <c r="S839" s="40">
        <v>3</v>
      </c>
    </row>
    <row r="840" spans="1:19" x14ac:dyDescent="0.35">
      <c r="A840" s="38">
        <v>837</v>
      </c>
      <c r="B840" s="38" t="str">
        <f>_xlfn.XLOOKUP(A840,'Model Modeshare by TAZ'!A:A,'Model Modeshare by TAZ'!B:B)</f>
        <v>San Jose</v>
      </c>
      <c r="C840" s="38" t="str">
        <f>_xlfn.XLOOKUP(A840,'Model Modeshare by TAZ'!A:A,'Model Modeshare by TAZ'!D:D)</f>
        <v>NO</v>
      </c>
      <c r="D840" s="6">
        <v>3</v>
      </c>
      <c r="E840" s="6">
        <v>5</v>
      </c>
      <c r="F840" s="6">
        <v>15</v>
      </c>
      <c r="G840" s="6">
        <v>15</v>
      </c>
      <c r="H840" s="6">
        <v>10</v>
      </c>
      <c r="I840" s="6">
        <v>5</v>
      </c>
      <c r="J840" s="6">
        <v>0</v>
      </c>
      <c r="K840" s="40">
        <v>1</v>
      </c>
      <c r="L840" s="40">
        <v>173</v>
      </c>
      <c r="M840" s="40">
        <v>1719</v>
      </c>
      <c r="N840" s="40">
        <v>127</v>
      </c>
      <c r="O840" s="40">
        <v>701</v>
      </c>
      <c r="P840" s="40">
        <v>13</v>
      </c>
      <c r="Q840" s="40">
        <v>5</v>
      </c>
      <c r="R840" s="40">
        <v>862</v>
      </c>
      <c r="S840" s="40">
        <v>11</v>
      </c>
    </row>
    <row r="841" spans="1:19" x14ac:dyDescent="0.35">
      <c r="A841" s="38">
        <v>838</v>
      </c>
      <c r="B841" s="38" t="str">
        <f>_xlfn.XLOOKUP(A841,'Model Modeshare by TAZ'!A:A,'Model Modeshare by TAZ'!B:B)</f>
        <v>San Jose</v>
      </c>
      <c r="C841" s="38" t="str">
        <f>_xlfn.XLOOKUP(A841,'Model Modeshare by TAZ'!A:A,'Model Modeshare by TAZ'!D:D)</f>
        <v>NO</v>
      </c>
      <c r="D841" s="6">
        <v>3</v>
      </c>
      <c r="E841" s="6">
        <v>8</v>
      </c>
      <c r="F841" s="6">
        <v>24</v>
      </c>
      <c r="G841" s="6">
        <v>24</v>
      </c>
      <c r="H841" s="6">
        <v>12</v>
      </c>
      <c r="I841" s="6">
        <v>4</v>
      </c>
      <c r="J841" s="6">
        <v>4</v>
      </c>
      <c r="K841" s="40">
        <v>1</v>
      </c>
      <c r="L841" s="40">
        <v>53</v>
      </c>
      <c r="M841" s="40">
        <v>1234</v>
      </c>
      <c r="N841" s="40">
        <v>54</v>
      </c>
      <c r="O841" s="40">
        <v>234</v>
      </c>
      <c r="P841" s="40">
        <v>347</v>
      </c>
      <c r="Q841" s="40">
        <v>6</v>
      </c>
      <c r="R841" s="40">
        <v>442</v>
      </c>
      <c r="S841" s="40">
        <v>151</v>
      </c>
    </row>
    <row r="842" spans="1:19" x14ac:dyDescent="0.35">
      <c r="A842" s="38">
        <v>839</v>
      </c>
      <c r="B842" s="38" t="str">
        <f>_xlfn.XLOOKUP(A842,'Model Modeshare by TAZ'!A:A,'Model Modeshare by TAZ'!B:B)</f>
        <v>San Jose</v>
      </c>
      <c r="C842" s="38" t="str">
        <f>_xlfn.XLOOKUP(A842,'Model Modeshare by TAZ'!A:A,'Model Modeshare by TAZ'!D:D)</f>
        <v>NO</v>
      </c>
      <c r="D842" s="6">
        <v>3</v>
      </c>
      <c r="E842" s="6">
        <v>1</v>
      </c>
      <c r="F842" s="6">
        <v>2</v>
      </c>
      <c r="G842" s="6">
        <v>2</v>
      </c>
      <c r="H842" s="6">
        <v>2</v>
      </c>
      <c r="I842" s="6">
        <v>0</v>
      </c>
      <c r="J842" s="6">
        <v>1</v>
      </c>
      <c r="K842" s="40">
        <v>0</v>
      </c>
      <c r="L842" s="40">
        <v>138</v>
      </c>
      <c r="M842" s="40">
        <v>1770</v>
      </c>
      <c r="N842" s="40">
        <v>43</v>
      </c>
      <c r="O842" s="40">
        <v>87</v>
      </c>
      <c r="P842" s="40">
        <v>713</v>
      </c>
      <c r="Q842" s="40">
        <v>2</v>
      </c>
      <c r="R842" s="40">
        <v>837</v>
      </c>
      <c r="S842" s="40">
        <v>88</v>
      </c>
    </row>
    <row r="843" spans="1:19" x14ac:dyDescent="0.35">
      <c r="A843" s="38">
        <v>840</v>
      </c>
      <c r="B843" s="38" t="str">
        <f>_xlfn.XLOOKUP(A843,'Model Modeshare by TAZ'!A:A,'Model Modeshare by TAZ'!B:B)</f>
        <v>San Jose</v>
      </c>
      <c r="C843" s="38" t="str">
        <f>_xlfn.XLOOKUP(A843,'Model Modeshare by TAZ'!A:A,'Model Modeshare by TAZ'!D:D)</f>
        <v>NO</v>
      </c>
      <c r="D843" s="6">
        <v>3</v>
      </c>
      <c r="E843" s="6">
        <v>218</v>
      </c>
      <c r="F843" s="6">
        <v>811</v>
      </c>
      <c r="G843" s="6">
        <v>817</v>
      </c>
      <c r="H843" s="6">
        <v>457</v>
      </c>
      <c r="I843" s="6">
        <v>218</v>
      </c>
      <c r="J843" s="6">
        <v>0</v>
      </c>
      <c r="K843" s="40">
        <v>44</v>
      </c>
      <c r="L843" s="40">
        <v>1</v>
      </c>
      <c r="M843" s="40">
        <v>18</v>
      </c>
      <c r="N843" s="40">
        <v>0</v>
      </c>
      <c r="O843" s="40">
        <v>0</v>
      </c>
      <c r="P843" s="40">
        <v>14</v>
      </c>
      <c r="Q843" s="40">
        <v>4</v>
      </c>
      <c r="R843" s="40">
        <v>0</v>
      </c>
      <c r="S843" s="40">
        <v>0</v>
      </c>
    </row>
    <row r="844" spans="1:19" x14ac:dyDescent="0.35">
      <c r="A844" s="38">
        <v>841</v>
      </c>
      <c r="B844" s="38" t="str">
        <f>_xlfn.XLOOKUP(A844,'Model Modeshare by TAZ'!A:A,'Model Modeshare by TAZ'!B:B)</f>
        <v>San Jose</v>
      </c>
      <c r="C844" s="38" t="str">
        <f>_xlfn.XLOOKUP(A844,'Model Modeshare by TAZ'!A:A,'Model Modeshare by TAZ'!D:D)</f>
        <v>NO</v>
      </c>
      <c r="D844" s="6">
        <v>3</v>
      </c>
      <c r="E844" s="6">
        <v>239</v>
      </c>
      <c r="F844" s="6">
        <v>740</v>
      </c>
      <c r="G844" s="6">
        <v>740</v>
      </c>
      <c r="H844" s="6">
        <v>425</v>
      </c>
      <c r="I844" s="6">
        <v>187</v>
      </c>
      <c r="J844" s="6">
        <v>52</v>
      </c>
      <c r="K844" s="40">
        <v>25</v>
      </c>
      <c r="L844" s="40">
        <v>3</v>
      </c>
      <c r="M844" s="40">
        <v>18</v>
      </c>
      <c r="N844" s="40">
        <v>0</v>
      </c>
      <c r="O844" s="40">
        <v>11</v>
      </c>
      <c r="P844" s="40">
        <v>7</v>
      </c>
      <c r="Q844" s="40">
        <v>0</v>
      </c>
      <c r="R844" s="40">
        <v>0</v>
      </c>
      <c r="S844" s="40">
        <v>0</v>
      </c>
    </row>
    <row r="845" spans="1:19" x14ac:dyDescent="0.35">
      <c r="A845" s="38">
        <v>842</v>
      </c>
      <c r="B845" s="38" t="str">
        <f>_xlfn.XLOOKUP(A845,'Model Modeshare by TAZ'!A:A,'Model Modeshare by TAZ'!B:B)</f>
        <v>San Jose</v>
      </c>
      <c r="C845" s="38" t="str">
        <f>_xlfn.XLOOKUP(A845,'Model Modeshare by TAZ'!A:A,'Model Modeshare by TAZ'!D:D)</f>
        <v>NO</v>
      </c>
      <c r="D845" s="6">
        <v>3</v>
      </c>
      <c r="E845" s="6">
        <v>8</v>
      </c>
      <c r="F845" s="6">
        <v>29</v>
      </c>
      <c r="G845" s="6">
        <v>32</v>
      </c>
      <c r="H845" s="6">
        <v>13</v>
      </c>
      <c r="I845" s="6">
        <v>5</v>
      </c>
      <c r="J845" s="6">
        <v>3</v>
      </c>
      <c r="K845" s="40">
        <v>1</v>
      </c>
      <c r="L845" s="40">
        <v>17</v>
      </c>
      <c r="M845" s="40">
        <v>450</v>
      </c>
      <c r="N845" s="40">
        <v>12</v>
      </c>
      <c r="O845" s="40">
        <v>28</v>
      </c>
      <c r="P845" s="40">
        <v>274</v>
      </c>
      <c r="Q845" s="40">
        <v>5</v>
      </c>
      <c r="R845" s="40">
        <v>93</v>
      </c>
      <c r="S845" s="40">
        <v>38</v>
      </c>
    </row>
    <row r="846" spans="1:19" x14ac:dyDescent="0.35">
      <c r="A846" s="38">
        <v>843</v>
      </c>
      <c r="B846" s="38" t="str">
        <f>_xlfn.XLOOKUP(A846,'Model Modeshare by TAZ'!A:A,'Model Modeshare by TAZ'!B:B)</f>
        <v>San Jose</v>
      </c>
      <c r="C846" s="38" t="str">
        <f>_xlfn.XLOOKUP(A846,'Model Modeshare by TAZ'!A:A,'Model Modeshare by TAZ'!D:D)</f>
        <v>NO</v>
      </c>
      <c r="D846" s="6">
        <v>3</v>
      </c>
      <c r="E846" s="6">
        <v>83</v>
      </c>
      <c r="F846" s="6">
        <v>287</v>
      </c>
      <c r="G846" s="6">
        <v>290</v>
      </c>
      <c r="H846" s="6">
        <v>107</v>
      </c>
      <c r="I846" s="6">
        <v>42</v>
      </c>
      <c r="J846" s="6">
        <v>41</v>
      </c>
      <c r="K846" s="40">
        <v>14</v>
      </c>
      <c r="L846" s="40">
        <v>12</v>
      </c>
      <c r="M846" s="40">
        <v>155</v>
      </c>
      <c r="N846" s="40">
        <v>1</v>
      </c>
      <c r="O846" s="40">
        <v>9</v>
      </c>
      <c r="P846" s="40">
        <v>1</v>
      </c>
      <c r="Q846" s="40">
        <v>1</v>
      </c>
      <c r="R846" s="40">
        <v>97</v>
      </c>
      <c r="S846" s="40">
        <v>46</v>
      </c>
    </row>
    <row r="847" spans="1:19" x14ac:dyDescent="0.35">
      <c r="A847" s="38">
        <v>844</v>
      </c>
      <c r="B847" s="38" t="str">
        <f>_xlfn.XLOOKUP(A847,'Model Modeshare by TAZ'!A:A,'Model Modeshare by TAZ'!B:B)</f>
        <v>San Jose</v>
      </c>
      <c r="C847" s="38" t="str">
        <f>_xlfn.XLOOKUP(A847,'Model Modeshare by TAZ'!A:A,'Model Modeshare by TAZ'!D:D)</f>
        <v>NO</v>
      </c>
      <c r="D847" s="6">
        <v>3</v>
      </c>
      <c r="E847" s="6">
        <v>585</v>
      </c>
      <c r="F847" s="6">
        <v>2446</v>
      </c>
      <c r="G847" s="6">
        <v>2446</v>
      </c>
      <c r="H847" s="6">
        <v>1099</v>
      </c>
      <c r="I847" s="6">
        <v>302</v>
      </c>
      <c r="J847" s="6">
        <v>283</v>
      </c>
      <c r="K847" s="40">
        <v>46</v>
      </c>
      <c r="L847" s="40">
        <v>10</v>
      </c>
      <c r="M847" s="40">
        <v>200</v>
      </c>
      <c r="N847" s="40">
        <v>22</v>
      </c>
      <c r="O847" s="40">
        <v>43</v>
      </c>
      <c r="P847" s="40">
        <v>29</v>
      </c>
      <c r="Q847" s="40">
        <v>0</v>
      </c>
      <c r="R847" s="40">
        <v>91</v>
      </c>
      <c r="S847" s="40">
        <v>15</v>
      </c>
    </row>
    <row r="848" spans="1:19" x14ac:dyDescent="0.35">
      <c r="A848" s="38">
        <v>845</v>
      </c>
      <c r="B848" s="38" t="str">
        <f>_xlfn.XLOOKUP(A848,'Model Modeshare by TAZ'!A:A,'Model Modeshare by TAZ'!B:B)</f>
        <v>Unincorporated</v>
      </c>
      <c r="C848" s="38" t="str">
        <f>_xlfn.XLOOKUP(A848,'Model Modeshare by TAZ'!A:A,'Model Modeshare by TAZ'!D:D)</f>
        <v>NO</v>
      </c>
      <c r="D848" s="6">
        <v>3</v>
      </c>
      <c r="E848" s="6">
        <v>610</v>
      </c>
      <c r="F848" s="6">
        <v>1793</v>
      </c>
      <c r="G848" s="6">
        <v>1801</v>
      </c>
      <c r="H848" s="6">
        <v>899</v>
      </c>
      <c r="I848" s="6">
        <v>542</v>
      </c>
      <c r="J848" s="6">
        <v>68</v>
      </c>
      <c r="K848" s="40">
        <v>160</v>
      </c>
      <c r="L848" s="40">
        <v>50</v>
      </c>
      <c r="M848" s="40">
        <v>368</v>
      </c>
      <c r="N848" s="40">
        <v>29</v>
      </c>
      <c r="O848" s="40">
        <v>288</v>
      </c>
      <c r="P848" s="40">
        <v>25</v>
      </c>
      <c r="Q848" s="40">
        <v>10</v>
      </c>
      <c r="R848" s="40">
        <v>4</v>
      </c>
      <c r="S848" s="40">
        <v>12</v>
      </c>
    </row>
    <row r="849" spans="1:19" x14ac:dyDescent="0.35">
      <c r="A849" s="38">
        <v>846</v>
      </c>
      <c r="B849" s="38" t="str">
        <f>_xlfn.XLOOKUP(A849,'Model Modeshare by TAZ'!A:A,'Model Modeshare by TAZ'!B:B)</f>
        <v>San Jose</v>
      </c>
      <c r="C849" s="38" t="str">
        <f>_xlfn.XLOOKUP(A849,'Model Modeshare by TAZ'!A:A,'Model Modeshare by TAZ'!D:D)</f>
        <v>NO</v>
      </c>
      <c r="D849" s="6">
        <v>3</v>
      </c>
      <c r="E849" s="6">
        <v>350</v>
      </c>
      <c r="F849" s="6">
        <v>1025</v>
      </c>
      <c r="G849" s="6">
        <v>1071</v>
      </c>
      <c r="H849" s="6">
        <v>558</v>
      </c>
      <c r="I849" s="6">
        <v>348</v>
      </c>
      <c r="J849" s="6">
        <v>2</v>
      </c>
      <c r="K849" s="40">
        <v>76</v>
      </c>
      <c r="L849" s="40">
        <v>14</v>
      </c>
      <c r="M849" s="40">
        <v>441</v>
      </c>
      <c r="N849" s="40">
        <v>225</v>
      </c>
      <c r="O849" s="40">
        <v>107</v>
      </c>
      <c r="P849" s="40">
        <v>107</v>
      </c>
      <c r="Q849" s="40">
        <v>0</v>
      </c>
      <c r="R849" s="40">
        <v>1</v>
      </c>
      <c r="S849" s="40">
        <v>1</v>
      </c>
    </row>
    <row r="850" spans="1:19" x14ac:dyDescent="0.35">
      <c r="A850" s="38">
        <v>847</v>
      </c>
      <c r="B850" s="38" t="str">
        <f>_xlfn.XLOOKUP(A850,'Model Modeshare by TAZ'!A:A,'Model Modeshare by TAZ'!B:B)</f>
        <v>San Jose</v>
      </c>
      <c r="C850" s="38" t="str">
        <f>_xlfn.XLOOKUP(A850,'Model Modeshare by TAZ'!A:A,'Model Modeshare by TAZ'!D:D)</f>
        <v>NO</v>
      </c>
      <c r="D850" s="6">
        <v>3</v>
      </c>
      <c r="E850" s="6">
        <v>143</v>
      </c>
      <c r="F850" s="6">
        <v>417</v>
      </c>
      <c r="G850" s="6">
        <v>418</v>
      </c>
      <c r="H850" s="6">
        <v>223</v>
      </c>
      <c r="I850" s="6">
        <v>142</v>
      </c>
      <c r="J850" s="6">
        <v>1</v>
      </c>
      <c r="K850" s="40">
        <v>32</v>
      </c>
      <c r="L850" s="40">
        <v>3</v>
      </c>
      <c r="M850" s="40">
        <v>0</v>
      </c>
      <c r="N850" s="40">
        <v>0</v>
      </c>
      <c r="O850" s="40">
        <v>0</v>
      </c>
      <c r="P850" s="40">
        <v>0</v>
      </c>
      <c r="Q850" s="40">
        <v>0</v>
      </c>
      <c r="R850" s="40">
        <v>0</v>
      </c>
      <c r="S850" s="40">
        <v>0</v>
      </c>
    </row>
    <row r="851" spans="1:19" x14ac:dyDescent="0.35">
      <c r="A851" s="38">
        <v>848</v>
      </c>
      <c r="B851" s="38" t="str">
        <f>_xlfn.XLOOKUP(A851,'Model Modeshare by TAZ'!A:A,'Model Modeshare by TAZ'!B:B)</f>
        <v>San Jose</v>
      </c>
      <c r="C851" s="38" t="str">
        <f>_xlfn.XLOOKUP(A851,'Model Modeshare by TAZ'!A:A,'Model Modeshare by TAZ'!D:D)</f>
        <v>NO</v>
      </c>
      <c r="D851" s="6">
        <v>3</v>
      </c>
      <c r="E851" s="6">
        <v>404</v>
      </c>
      <c r="F851" s="6">
        <v>1167</v>
      </c>
      <c r="G851" s="6">
        <v>1173</v>
      </c>
      <c r="H851" s="6">
        <v>630</v>
      </c>
      <c r="I851" s="6">
        <v>297</v>
      </c>
      <c r="J851" s="6">
        <v>107</v>
      </c>
      <c r="K851" s="40">
        <v>98</v>
      </c>
      <c r="L851" s="40">
        <v>7</v>
      </c>
      <c r="M851" s="40">
        <v>154</v>
      </c>
      <c r="N851" s="40">
        <v>0</v>
      </c>
      <c r="O851" s="40">
        <v>147</v>
      </c>
      <c r="P851" s="40">
        <v>0</v>
      </c>
      <c r="Q851" s="40">
        <v>7</v>
      </c>
      <c r="R851" s="40">
        <v>0</v>
      </c>
      <c r="S851" s="40">
        <v>0</v>
      </c>
    </row>
    <row r="852" spans="1:19" x14ac:dyDescent="0.35">
      <c r="A852" s="38">
        <v>849</v>
      </c>
      <c r="B852" s="38" t="str">
        <f>_xlfn.XLOOKUP(A852,'Model Modeshare by TAZ'!A:A,'Model Modeshare by TAZ'!B:B)</f>
        <v>San Jose</v>
      </c>
      <c r="C852" s="38" t="str">
        <f>_xlfn.XLOOKUP(A852,'Model Modeshare by TAZ'!A:A,'Model Modeshare by TAZ'!D:D)</f>
        <v>NO</v>
      </c>
      <c r="D852" s="6">
        <v>3</v>
      </c>
      <c r="E852" s="6">
        <v>32</v>
      </c>
      <c r="F852" s="6">
        <v>64</v>
      </c>
      <c r="G852" s="6">
        <v>64</v>
      </c>
      <c r="H852" s="6">
        <v>24</v>
      </c>
      <c r="I852" s="6">
        <v>10</v>
      </c>
      <c r="J852" s="6">
        <v>22</v>
      </c>
      <c r="K852" s="40">
        <v>0</v>
      </c>
      <c r="L852" s="40">
        <v>38</v>
      </c>
      <c r="M852" s="40">
        <v>1170</v>
      </c>
      <c r="N852" s="40">
        <v>171</v>
      </c>
      <c r="O852" s="40">
        <v>321</v>
      </c>
      <c r="P852" s="40">
        <v>137</v>
      </c>
      <c r="Q852" s="40">
        <v>7</v>
      </c>
      <c r="R852" s="40">
        <v>363</v>
      </c>
      <c r="S852" s="40">
        <v>171</v>
      </c>
    </row>
    <row r="853" spans="1:19" x14ac:dyDescent="0.35">
      <c r="A853" s="38">
        <v>850</v>
      </c>
      <c r="B853" s="38" t="str">
        <f>_xlfn.XLOOKUP(A853,'Model Modeshare by TAZ'!A:A,'Model Modeshare by TAZ'!B:B)</f>
        <v>San Jose</v>
      </c>
      <c r="C853" s="38" t="str">
        <f>_xlfn.XLOOKUP(A853,'Model Modeshare by TAZ'!A:A,'Model Modeshare by TAZ'!D:D)</f>
        <v>NO</v>
      </c>
      <c r="D853" s="6">
        <v>3</v>
      </c>
      <c r="E853" s="6">
        <v>1450</v>
      </c>
      <c r="F853" s="6">
        <v>3725</v>
      </c>
      <c r="G853" s="6">
        <v>3725</v>
      </c>
      <c r="H853" s="6">
        <v>1936</v>
      </c>
      <c r="I853" s="6">
        <v>257</v>
      </c>
      <c r="J853" s="6">
        <v>1193</v>
      </c>
      <c r="K853" s="40">
        <v>78</v>
      </c>
      <c r="L853" s="40">
        <v>11</v>
      </c>
      <c r="M853" s="40">
        <v>1333</v>
      </c>
      <c r="N853" s="40">
        <v>395</v>
      </c>
      <c r="O853" s="40">
        <v>646</v>
      </c>
      <c r="P853" s="40">
        <v>270</v>
      </c>
      <c r="Q853" s="40">
        <v>1</v>
      </c>
      <c r="R853" s="40">
        <v>14</v>
      </c>
      <c r="S853" s="40">
        <v>7</v>
      </c>
    </row>
    <row r="854" spans="1:19" x14ac:dyDescent="0.35">
      <c r="A854" s="38">
        <v>851</v>
      </c>
      <c r="B854" s="38" t="str">
        <f>_xlfn.XLOOKUP(A854,'Model Modeshare by TAZ'!A:A,'Model Modeshare by TAZ'!B:B)</f>
        <v>San Jose</v>
      </c>
      <c r="C854" s="38" t="str">
        <f>_xlfn.XLOOKUP(A854,'Model Modeshare by TAZ'!A:A,'Model Modeshare by TAZ'!D:D)</f>
        <v>NO</v>
      </c>
      <c r="D854" s="6">
        <v>3</v>
      </c>
      <c r="E854" s="6">
        <v>23</v>
      </c>
      <c r="F854" s="6">
        <v>69</v>
      </c>
      <c r="G854" s="6">
        <v>69</v>
      </c>
      <c r="H854" s="6">
        <v>35</v>
      </c>
      <c r="I854" s="6">
        <v>0</v>
      </c>
      <c r="J854" s="6">
        <v>23</v>
      </c>
      <c r="K854" s="40">
        <v>2</v>
      </c>
      <c r="L854" s="40">
        <v>0</v>
      </c>
      <c r="M854" s="40">
        <v>0</v>
      </c>
      <c r="N854" s="40">
        <v>0</v>
      </c>
      <c r="O854" s="40">
        <v>0</v>
      </c>
      <c r="P854" s="40">
        <v>0</v>
      </c>
      <c r="Q854" s="40">
        <v>0</v>
      </c>
      <c r="R854" s="40">
        <v>0</v>
      </c>
      <c r="S854" s="40">
        <v>0</v>
      </c>
    </row>
    <row r="855" spans="1:19" x14ac:dyDescent="0.35">
      <c r="A855" s="38">
        <v>852</v>
      </c>
      <c r="B855" s="38" t="str">
        <f>_xlfn.XLOOKUP(A855,'Model Modeshare by TAZ'!A:A,'Model Modeshare by TAZ'!B:B)</f>
        <v>San Jose</v>
      </c>
      <c r="C855" s="38" t="str">
        <f>_xlfn.XLOOKUP(A855,'Model Modeshare by TAZ'!A:A,'Model Modeshare by TAZ'!D:D)</f>
        <v>NO</v>
      </c>
      <c r="D855" s="6">
        <v>3</v>
      </c>
      <c r="E855" s="6">
        <v>5</v>
      </c>
      <c r="F855" s="6">
        <v>16</v>
      </c>
      <c r="G855" s="6">
        <v>17</v>
      </c>
      <c r="H855" s="6">
        <v>7</v>
      </c>
      <c r="I855" s="6">
        <v>4</v>
      </c>
      <c r="J855" s="6">
        <v>1</v>
      </c>
      <c r="K855" s="40">
        <v>4</v>
      </c>
      <c r="L855" s="40">
        <v>0</v>
      </c>
      <c r="M855" s="40">
        <v>0</v>
      </c>
      <c r="N855" s="40">
        <v>0</v>
      </c>
      <c r="O855" s="40">
        <v>0</v>
      </c>
      <c r="P855" s="40">
        <v>0</v>
      </c>
      <c r="Q855" s="40">
        <v>0</v>
      </c>
      <c r="R855" s="40">
        <v>0</v>
      </c>
      <c r="S855" s="40">
        <v>0</v>
      </c>
    </row>
    <row r="856" spans="1:19" x14ac:dyDescent="0.35">
      <c r="A856" s="38">
        <v>853</v>
      </c>
      <c r="B856" s="38" t="str">
        <f>_xlfn.XLOOKUP(A856,'Model Modeshare by TAZ'!A:A,'Model Modeshare by TAZ'!B:B)</f>
        <v>Unincorporated</v>
      </c>
      <c r="C856" s="38" t="str">
        <f>_xlfn.XLOOKUP(A856,'Model Modeshare by TAZ'!A:A,'Model Modeshare by TAZ'!D:D)</f>
        <v>NO</v>
      </c>
      <c r="D856" s="6">
        <v>3</v>
      </c>
      <c r="E856" s="6">
        <v>5</v>
      </c>
      <c r="F856" s="6">
        <v>15</v>
      </c>
      <c r="G856" s="6">
        <v>16</v>
      </c>
      <c r="H856" s="6">
        <v>7</v>
      </c>
      <c r="I856" s="6">
        <v>4</v>
      </c>
      <c r="J856" s="6">
        <v>1</v>
      </c>
      <c r="K856" s="40">
        <v>2</v>
      </c>
      <c r="L856" s="40">
        <v>0</v>
      </c>
      <c r="M856" s="40">
        <v>0</v>
      </c>
      <c r="N856" s="40">
        <v>0</v>
      </c>
      <c r="O856" s="40">
        <v>0</v>
      </c>
      <c r="P856" s="40">
        <v>0</v>
      </c>
      <c r="Q856" s="40">
        <v>0</v>
      </c>
      <c r="R856" s="40">
        <v>0</v>
      </c>
      <c r="S856" s="40">
        <v>0</v>
      </c>
    </row>
    <row r="857" spans="1:19" x14ac:dyDescent="0.35">
      <c r="A857" s="38">
        <v>854</v>
      </c>
      <c r="B857" s="38" t="str">
        <f>_xlfn.XLOOKUP(A857,'Model Modeshare by TAZ'!A:A,'Model Modeshare by TAZ'!B:B)</f>
        <v>Unincorporated</v>
      </c>
      <c r="C857" s="38" t="str">
        <f>_xlfn.XLOOKUP(A857,'Model Modeshare by TAZ'!A:A,'Model Modeshare by TAZ'!D:D)</f>
        <v>NO</v>
      </c>
      <c r="D857" s="6">
        <v>3</v>
      </c>
      <c r="E857" s="6">
        <v>42</v>
      </c>
      <c r="F857" s="6">
        <v>144</v>
      </c>
      <c r="G857" s="6">
        <v>150</v>
      </c>
      <c r="H857" s="6">
        <v>68</v>
      </c>
      <c r="I857" s="6">
        <v>35</v>
      </c>
      <c r="J857" s="6">
        <v>7</v>
      </c>
      <c r="K857" s="40">
        <v>5</v>
      </c>
      <c r="L857" s="40">
        <v>0</v>
      </c>
      <c r="M857" s="40">
        <v>0</v>
      </c>
      <c r="N857" s="40">
        <v>0</v>
      </c>
      <c r="O857" s="40">
        <v>0</v>
      </c>
      <c r="P857" s="40">
        <v>0</v>
      </c>
      <c r="Q857" s="40">
        <v>0</v>
      </c>
      <c r="R857" s="40">
        <v>0</v>
      </c>
      <c r="S857" s="40">
        <v>0</v>
      </c>
    </row>
    <row r="858" spans="1:19" x14ac:dyDescent="0.35">
      <c r="A858" s="38">
        <v>855</v>
      </c>
      <c r="B858" s="38" t="str">
        <f>_xlfn.XLOOKUP(A858,'Model Modeshare by TAZ'!A:A,'Model Modeshare by TAZ'!B:B)</f>
        <v>San Jose</v>
      </c>
      <c r="C858" s="38" t="str">
        <f>_xlfn.XLOOKUP(A858,'Model Modeshare by TAZ'!A:A,'Model Modeshare by TAZ'!D:D)</f>
        <v>NO</v>
      </c>
      <c r="D858" s="6">
        <v>3</v>
      </c>
      <c r="E858" s="6">
        <v>2</v>
      </c>
      <c r="F858" s="6">
        <v>6</v>
      </c>
      <c r="G858" s="6">
        <v>6</v>
      </c>
      <c r="H858" s="6">
        <v>3</v>
      </c>
      <c r="I858" s="6">
        <v>2</v>
      </c>
      <c r="J858" s="6">
        <v>0</v>
      </c>
      <c r="K858" s="40">
        <v>1</v>
      </c>
      <c r="L858" s="40">
        <v>0</v>
      </c>
      <c r="M858" s="40">
        <v>0</v>
      </c>
      <c r="N858" s="40">
        <v>0</v>
      </c>
      <c r="O858" s="40">
        <v>0</v>
      </c>
      <c r="P858" s="40">
        <v>0</v>
      </c>
      <c r="Q858" s="40">
        <v>0</v>
      </c>
      <c r="R858" s="40">
        <v>0</v>
      </c>
      <c r="S858" s="40">
        <v>0</v>
      </c>
    </row>
    <row r="859" spans="1:19" x14ac:dyDescent="0.35">
      <c r="A859" s="38">
        <v>856</v>
      </c>
      <c r="B859" s="38" t="str">
        <f>_xlfn.XLOOKUP(A859,'Model Modeshare by TAZ'!A:A,'Model Modeshare by TAZ'!B:B)</f>
        <v>San Jose</v>
      </c>
      <c r="C859" s="38" t="str">
        <f>_xlfn.XLOOKUP(A859,'Model Modeshare by TAZ'!A:A,'Model Modeshare by TAZ'!D:D)</f>
        <v>NO</v>
      </c>
      <c r="D859" s="6">
        <v>3</v>
      </c>
      <c r="E859" s="6">
        <v>0</v>
      </c>
      <c r="F859" s="6">
        <v>0</v>
      </c>
      <c r="G859" s="6">
        <v>0</v>
      </c>
      <c r="H859" s="6">
        <v>0</v>
      </c>
      <c r="I859" s="6">
        <v>0</v>
      </c>
      <c r="J859" s="6">
        <v>0</v>
      </c>
      <c r="K859" s="40">
        <v>1</v>
      </c>
      <c r="L859" s="40">
        <v>11</v>
      </c>
      <c r="M859" s="40">
        <v>0</v>
      </c>
      <c r="N859" s="40">
        <v>0</v>
      </c>
      <c r="O859" s="40">
        <v>0</v>
      </c>
      <c r="P859" s="40">
        <v>0</v>
      </c>
      <c r="Q859" s="40">
        <v>0</v>
      </c>
      <c r="R859" s="40">
        <v>0</v>
      </c>
      <c r="S859" s="40">
        <v>0</v>
      </c>
    </row>
    <row r="860" spans="1:19" x14ac:dyDescent="0.35">
      <c r="A860" s="38">
        <v>857</v>
      </c>
      <c r="B860" s="38" t="str">
        <f>_xlfn.XLOOKUP(A860,'Model Modeshare by TAZ'!A:A,'Model Modeshare by TAZ'!B:B)</f>
        <v>San Jose</v>
      </c>
      <c r="C860" s="38" t="str">
        <f>_xlfn.XLOOKUP(A860,'Model Modeshare by TAZ'!A:A,'Model Modeshare by TAZ'!D:D)</f>
        <v>NO</v>
      </c>
      <c r="D860" s="6">
        <v>3</v>
      </c>
      <c r="E860" s="6">
        <v>0</v>
      </c>
      <c r="F860" s="6">
        <v>0</v>
      </c>
      <c r="G860" s="6">
        <v>0</v>
      </c>
      <c r="H860" s="6">
        <v>0</v>
      </c>
      <c r="I860" s="6">
        <v>0</v>
      </c>
      <c r="J860" s="6">
        <v>0</v>
      </c>
      <c r="K860" s="40">
        <v>0</v>
      </c>
      <c r="L860" s="40">
        <v>66</v>
      </c>
      <c r="M860" s="40">
        <v>2520</v>
      </c>
      <c r="N860" s="40">
        <v>96</v>
      </c>
      <c r="O860" s="40">
        <v>1508</v>
      </c>
      <c r="P860" s="40">
        <v>296</v>
      </c>
      <c r="Q860" s="40">
        <v>0</v>
      </c>
      <c r="R860" s="40">
        <v>611</v>
      </c>
      <c r="S860" s="40">
        <v>9</v>
      </c>
    </row>
    <row r="861" spans="1:19" x14ac:dyDescent="0.35">
      <c r="A861" s="38">
        <v>858</v>
      </c>
      <c r="B861" s="38" t="str">
        <f>_xlfn.XLOOKUP(A861,'Model Modeshare by TAZ'!A:A,'Model Modeshare by TAZ'!B:B)</f>
        <v>San Jose</v>
      </c>
      <c r="C861" s="38" t="str">
        <f>_xlfn.XLOOKUP(A861,'Model Modeshare by TAZ'!A:A,'Model Modeshare by TAZ'!D:D)</f>
        <v>NO</v>
      </c>
      <c r="D861" s="6">
        <v>3</v>
      </c>
      <c r="E861" s="6">
        <v>14</v>
      </c>
      <c r="F861" s="6">
        <v>45</v>
      </c>
      <c r="G861" s="6">
        <v>48</v>
      </c>
      <c r="H861" s="6">
        <v>21</v>
      </c>
      <c r="I861" s="6">
        <v>12</v>
      </c>
      <c r="J861" s="6">
        <v>2</v>
      </c>
      <c r="K861" s="40">
        <v>8</v>
      </c>
      <c r="L861" s="40">
        <v>1</v>
      </c>
      <c r="M861" s="40">
        <v>77</v>
      </c>
      <c r="N861" s="40">
        <v>0</v>
      </c>
      <c r="O861" s="40">
        <v>0</v>
      </c>
      <c r="P861" s="40">
        <v>39</v>
      </c>
      <c r="Q861" s="40">
        <v>0</v>
      </c>
      <c r="R861" s="40">
        <v>38</v>
      </c>
      <c r="S861" s="40">
        <v>0</v>
      </c>
    </row>
    <row r="862" spans="1:19" x14ac:dyDescent="0.35">
      <c r="A862" s="38">
        <v>859</v>
      </c>
      <c r="B862" s="38" t="str">
        <f>_xlfn.XLOOKUP(A862,'Model Modeshare by TAZ'!A:A,'Model Modeshare by TAZ'!B:B)</f>
        <v>San Jose</v>
      </c>
      <c r="C862" s="38" t="str">
        <f>_xlfn.XLOOKUP(A862,'Model Modeshare by TAZ'!A:A,'Model Modeshare by TAZ'!D:D)</f>
        <v>NO</v>
      </c>
      <c r="D862" s="6">
        <v>3</v>
      </c>
      <c r="E862" s="6">
        <v>0</v>
      </c>
      <c r="F862" s="6">
        <v>0</v>
      </c>
      <c r="G862" s="6">
        <v>0</v>
      </c>
      <c r="H862" s="6">
        <v>0</v>
      </c>
      <c r="I862" s="6">
        <v>0</v>
      </c>
      <c r="J862" s="6">
        <v>0</v>
      </c>
      <c r="K862" s="40">
        <v>1</v>
      </c>
      <c r="L862" s="40">
        <v>0</v>
      </c>
      <c r="M862" s="40">
        <v>0</v>
      </c>
      <c r="N862" s="40">
        <v>0</v>
      </c>
      <c r="O862" s="40">
        <v>0</v>
      </c>
      <c r="P862" s="40">
        <v>0</v>
      </c>
      <c r="Q862" s="40">
        <v>0</v>
      </c>
      <c r="R862" s="40">
        <v>0</v>
      </c>
      <c r="S862" s="40">
        <v>0</v>
      </c>
    </row>
    <row r="863" spans="1:19" x14ac:dyDescent="0.35">
      <c r="A863" s="38">
        <v>860</v>
      </c>
      <c r="B863" s="38" t="str">
        <f>_xlfn.XLOOKUP(A863,'Model Modeshare by TAZ'!A:A,'Model Modeshare by TAZ'!B:B)</f>
        <v>San Jose</v>
      </c>
      <c r="C863" s="38" t="str">
        <f>_xlfn.XLOOKUP(A863,'Model Modeshare by TAZ'!A:A,'Model Modeshare by TAZ'!D:D)</f>
        <v>NO</v>
      </c>
      <c r="D863" s="6">
        <v>3</v>
      </c>
      <c r="E863" s="6">
        <v>2</v>
      </c>
      <c r="F863" s="6">
        <v>6</v>
      </c>
      <c r="G863" s="6">
        <v>7</v>
      </c>
      <c r="H863" s="6">
        <v>3</v>
      </c>
      <c r="I863" s="6">
        <v>2</v>
      </c>
      <c r="J863" s="6">
        <v>0</v>
      </c>
      <c r="K863" s="40">
        <v>1</v>
      </c>
      <c r="L863" s="40">
        <v>0</v>
      </c>
      <c r="M863" s="40">
        <v>0</v>
      </c>
      <c r="N863" s="40">
        <v>0</v>
      </c>
      <c r="O863" s="40">
        <v>0</v>
      </c>
      <c r="P863" s="40">
        <v>0</v>
      </c>
      <c r="Q863" s="40">
        <v>0</v>
      </c>
      <c r="R863" s="40">
        <v>0</v>
      </c>
      <c r="S863" s="40">
        <v>0</v>
      </c>
    </row>
    <row r="864" spans="1:19" x14ac:dyDescent="0.35">
      <c r="A864" s="38">
        <v>861</v>
      </c>
      <c r="B864" s="38" t="str">
        <f>_xlfn.XLOOKUP(A864,'Model Modeshare by TAZ'!A:A,'Model Modeshare by TAZ'!B:B)</f>
        <v>Unincorporated</v>
      </c>
      <c r="C864" s="38" t="str">
        <f>_xlfn.XLOOKUP(A864,'Model Modeshare by TAZ'!A:A,'Model Modeshare by TAZ'!D:D)</f>
        <v>NO</v>
      </c>
      <c r="D864" s="6">
        <v>3</v>
      </c>
      <c r="E864" s="6">
        <v>3</v>
      </c>
      <c r="F864" s="6">
        <v>9</v>
      </c>
      <c r="G864" s="6">
        <v>10</v>
      </c>
      <c r="H864" s="6">
        <v>4</v>
      </c>
      <c r="I864" s="6">
        <v>2</v>
      </c>
      <c r="J864" s="6">
        <v>1</v>
      </c>
      <c r="K864" s="40">
        <v>12</v>
      </c>
      <c r="L864" s="40">
        <v>0</v>
      </c>
      <c r="M864" s="40">
        <v>0</v>
      </c>
      <c r="N864" s="40">
        <v>0</v>
      </c>
      <c r="O864" s="40">
        <v>0</v>
      </c>
      <c r="P864" s="40">
        <v>0</v>
      </c>
      <c r="Q864" s="40">
        <v>0</v>
      </c>
      <c r="R864" s="40">
        <v>0</v>
      </c>
      <c r="S864" s="40">
        <v>0</v>
      </c>
    </row>
    <row r="865" spans="1:19" x14ac:dyDescent="0.35">
      <c r="A865" s="38">
        <v>862</v>
      </c>
      <c r="B865" s="38" t="str">
        <f>_xlfn.XLOOKUP(A865,'Model Modeshare by TAZ'!A:A,'Model Modeshare by TAZ'!B:B)</f>
        <v>Unincorporated</v>
      </c>
      <c r="C865" s="38" t="str">
        <f>_xlfn.XLOOKUP(A865,'Model Modeshare by TAZ'!A:A,'Model Modeshare by TAZ'!D:D)</f>
        <v>NO</v>
      </c>
      <c r="D865" s="6">
        <v>3</v>
      </c>
      <c r="E865" s="6">
        <v>14</v>
      </c>
      <c r="F865" s="6">
        <v>45</v>
      </c>
      <c r="G865" s="6">
        <v>47</v>
      </c>
      <c r="H865" s="6">
        <v>21</v>
      </c>
      <c r="I865" s="6">
        <v>12</v>
      </c>
      <c r="J865" s="6">
        <v>2</v>
      </c>
      <c r="K865" s="40">
        <v>30</v>
      </c>
      <c r="L865" s="40">
        <v>1</v>
      </c>
      <c r="M865" s="40">
        <v>12</v>
      </c>
      <c r="N865" s="40">
        <v>2</v>
      </c>
      <c r="O865" s="40">
        <v>4</v>
      </c>
      <c r="P865" s="40">
        <v>3</v>
      </c>
      <c r="Q865" s="40">
        <v>0</v>
      </c>
      <c r="R865" s="40">
        <v>2</v>
      </c>
      <c r="S865" s="40">
        <v>1</v>
      </c>
    </row>
    <row r="866" spans="1:19" x14ac:dyDescent="0.35">
      <c r="A866" s="38">
        <v>863</v>
      </c>
      <c r="B866" s="38" t="str">
        <f>_xlfn.XLOOKUP(A866,'Model Modeshare by TAZ'!A:A,'Model Modeshare by TAZ'!B:B)</f>
        <v>Unincorporated</v>
      </c>
      <c r="C866" s="38" t="str">
        <f>_xlfn.XLOOKUP(A866,'Model Modeshare by TAZ'!A:A,'Model Modeshare by TAZ'!D:D)</f>
        <v>NO</v>
      </c>
      <c r="D866" s="6">
        <v>3</v>
      </c>
      <c r="E866" s="6">
        <v>0</v>
      </c>
      <c r="F866" s="6">
        <v>0</v>
      </c>
      <c r="G866" s="6">
        <v>0</v>
      </c>
      <c r="H866" s="6">
        <v>0</v>
      </c>
      <c r="I866" s="6">
        <v>0</v>
      </c>
      <c r="J866" s="6">
        <v>0</v>
      </c>
      <c r="K866" s="40">
        <v>1</v>
      </c>
      <c r="L866" s="40">
        <v>0</v>
      </c>
      <c r="M866" s="40">
        <v>0</v>
      </c>
      <c r="N866" s="40">
        <v>0</v>
      </c>
      <c r="O866" s="40">
        <v>0</v>
      </c>
      <c r="P866" s="40">
        <v>0</v>
      </c>
      <c r="Q866" s="40">
        <v>0</v>
      </c>
      <c r="R866" s="40">
        <v>0</v>
      </c>
      <c r="S866" s="40">
        <v>0</v>
      </c>
    </row>
    <row r="867" spans="1:19" x14ac:dyDescent="0.35">
      <c r="A867" s="38">
        <v>864</v>
      </c>
      <c r="B867" s="38" t="str">
        <f>_xlfn.XLOOKUP(A867,'Model Modeshare by TAZ'!A:A,'Model Modeshare by TAZ'!B:B)</f>
        <v>Unincorporated</v>
      </c>
      <c r="C867" s="38" t="str">
        <f>_xlfn.XLOOKUP(A867,'Model Modeshare by TAZ'!A:A,'Model Modeshare by TAZ'!D:D)</f>
        <v>NO</v>
      </c>
      <c r="D867" s="6">
        <v>3</v>
      </c>
      <c r="E867" s="6">
        <v>74</v>
      </c>
      <c r="F867" s="6">
        <v>235</v>
      </c>
      <c r="G867" s="6">
        <v>245</v>
      </c>
      <c r="H867" s="6">
        <v>116</v>
      </c>
      <c r="I867" s="6">
        <v>62</v>
      </c>
      <c r="J867" s="6">
        <v>12</v>
      </c>
      <c r="K867" s="40">
        <v>39</v>
      </c>
      <c r="L867" s="40">
        <v>9</v>
      </c>
      <c r="M867" s="40">
        <v>712</v>
      </c>
      <c r="N867" s="40">
        <v>0</v>
      </c>
      <c r="O867" s="40">
        <v>0</v>
      </c>
      <c r="P867" s="40">
        <v>0</v>
      </c>
      <c r="Q867" s="40">
        <v>0</v>
      </c>
      <c r="R867" s="40">
        <v>688</v>
      </c>
      <c r="S867" s="40">
        <v>24</v>
      </c>
    </row>
    <row r="868" spans="1:19" x14ac:dyDescent="0.35">
      <c r="A868" s="38">
        <v>865</v>
      </c>
      <c r="B868" s="38" t="str">
        <f>_xlfn.XLOOKUP(A868,'Model Modeshare by TAZ'!A:A,'Model Modeshare by TAZ'!B:B)</f>
        <v>Unincorporated</v>
      </c>
      <c r="C868" s="38" t="str">
        <f>_xlfn.XLOOKUP(A868,'Model Modeshare by TAZ'!A:A,'Model Modeshare by TAZ'!D:D)</f>
        <v>NO</v>
      </c>
      <c r="D868" s="6">
        <v>3</v>
      </c>
      <c r="E868" s="6">
        <v>50</v>
      </c>
      <c r="F868" s="6">
        <v>161</v>
      </c>
      <c r="G868" s="6">
        <v>167</v>
      </c>
      <c r="H868" s="6">
        <v>78</v>
      </c>
      <c r="I868" s="6">
        <v>42</v>
      </c>
      <c r="J868" s="6">
        <v>8</v>
      </c>
      <c r="K868" s="40">
        <v>20</v>
      </c>
      <c r="L868" s="40">
        <v>8</v>
      </c>
      <c r="M868" s="40">
        <v>23</v>
      </c>
      <c r="N868" s="40">
        <v>0</v>
      </c>
      <c r="O868" s="40">
        <v>3</v>
      </c>
      <c r="P868" s="40">
        <v>0</v>
      </c>
      <c r="Q868" s="40">
        <v>0</v>
      </c>
      <c r="R868" s="40">
        <v>20</v>
      </c>
      <c r="S868" s="40">
        <v>0</v>
      </c>
    </row>
    <row r="869" spans="1:19" x14ac:dyDescent="0.35">
      <c r="A869" s="38">
        <v>866</v>
      </c>
      <c r="B869" s="38" t="str">
        <f>_xlfn.XLOOKUP(A869,'Model Modeshare by TAZ'!A:A,'Model Modeshare by TAZ'!B:B)</f>
        <v>Santa Clara</v>
      </c>
      <c r="C869" s="38" t="str">
        <f>_xlfn.XLOOKUP(A869,'Model Modeshare by TAZ'!A:A,'Model Modeshare by TAZ'!D:D)</f>
        <v>NO</v>
      </c>
      <c r="D869" s="6">
        <v>3</v>
      </c>
      <c r="E869" s="6">
        <v>100</v>
      </c>
      <c r="F869" s="6">
        <v>238</v>
      </c>
      <c r="G869" s="6">
        <v>316</v>
      </c>
      <c r="H869" s="6">
        <v>244</v>
      </c>
      <c r="I869" s="6">
        <v>4</v>
      </c>
      <c r="J869" s="6">
        <v>96</v>
      </c>
      <c r="K869" s="40">
        <v>6</v>
      </c>
      <c r="L869" s="40">
        <v>38</v>
      </c>
      <c r="M869" s="40">
        <v>2261</v>
      </c>
      <c r="N869" s="40">
        <v>167</v>
      </c>
      <c r="O869" s="40">
        <v>1635</v>
      </c>
      <c r="P869" s="40">
        <v>37</v>
      </c>
      <c r="Q869" s="40">
        <v>2</v>
      </c>
      <c r="R869" s="40">
        <v>248</v>
      </c>
      <c r="S869" s="40">
        <v>172</v>
      </c>
    </row>
    <row r="870" spans="1:19" x14ac:dyDescent="0.35">
      <c r="A870" s="38">
        <v>867</v>
      </c>
      <c r="B870" s="38" t="str">
        <f>_xlfn.XLOOKUP(A870,'Model Modeshare by TAZ'!A:A,'Model Modeshare by TAZ'!B:B)</f>
        <v>San Jose</v>
      </c>
      <c r="C870" s="38" t="str">
        <f>_xlfn.XLOOKUP(A870,'Model Modeshare by TAZ'!A:A,'Model Modeshare by TAZ'!D:D)</f>
        <v>NO</v>
      </c>
      <c r="D870" s="6">
        <v>3</v>
      </c>
      <c r="E870" s="6">
        <v>302</v>
      </c>
      <c r="F870" s="6">
        <v>672</v>
      </c>
      <c r="G870" s="6">
        <v>674</v>
      </c>
      <c r="H870" s="6">
        <v>320</v>
      </c>
      <c r="I870" s="6">
        <v>74</v>
      </c>
      <c r="J870" s="6">
        <v>228</v>
      </c>
      <c r="K870" s="40">
        <v>6</v>
      </c>
      <c r="L870" s="40">
        <v>28</v>
      </c>
      <c r="M870" s="40">
        <v>632</v>
      </c>
      <c r="N870" s="40">
        <v>229</v>
      </c>
      <c r="O870" s="40">
        <v>128</v>
      </c>
      <c r="P870" s="40">
        <v>104</v>
      </c>
      <c r="Q870" s="40">
        <v>1</v>
      </c>
      <c r="R870" s="40">
        <v>135</v>
      </c>
      <c r="S870" s="40">
        <v>35</v>
      </c>
    </row>
    <row r="871" spans="1:19" x14ac:dyDescent="0.35">
      <c r="A871" s="38">
        <v>868</v>
      </c>
      <c r="B871" s="38" t="str">
        <f>_xlfn.XLOOKUP(A871,'Model Modeshare by TAZ'!A:A,'Model Modeshare by TAZ'!B:B)</f>
        <v>San Jose</v>
      </c>
      <c r="C871" s="38" t="str">
        <f>_xlfn.XLOOKUP(A871,'Model Modeshare by TAZ'!A:A,'Model Modeshare by TAZ'!D:D)</f>
        <v>NO</v>
      </c>
      <c r="D871" s="6">
        <v>3</v>
      </c>
      <c r="E871" s="6">
        <v>46</v>
      </c>
      <c r="F871" s="6">
        <v>103</v>
      </c>
      <c r="G871" s="6">
        <v>103</v>
      </c>
      <c r="H871" s="6">
        <v>49</v>
      </c>
      <c r="I871" s="6">
        <v>12</v>
      </c>
      <c r="J871" s="6">
        <v>34</v>
      </c>
      <c r="K871" s="40">
        <v>2</v>
      </c>
      <c r="L871" s="40">
        <v>51</v>
      </c>
      <c r="M871" s="40">
        <v>319</v>
      </c>
      <c r="N871" s="40">
        <v>31</v>
      </c>
      <c r="O871" s="40">
        <v>86</v>
      </c>
      <c r="P871" s="40">
        <v>86</v>
      </c>
      <c r="Q871" s="40">
        <v>0</v>
      </c>
      <c r="R871" s="40">
        <v>91</v>
      </c>
      <c r="S871" s="40">
        <v>25</v>
      </c>
    </row>
    <row r="872" spans="1:19" x14ac:dyDescent="0.35">
      <c r="A872" s="38">
        <v>869</v>
      </c>
      <c r="B872" s="38" t="str">
        <f>_xlfn.XLOOKUP(A872,'Model Modeshare by TAZ'!A:A,'Model Modeshare by TAZ'!B:B)</f>
        <v>Los Gatos</v>
      </c>
      <c r="C872" s="38" t="str">
        <f>_xlfn.XLOOKUP(A872,'Model Modeshare by TAZ'!A:A,'Model Modeshare by TAZ'!D:D)</f>
        <v>NO</v>
      </c>
      <c r="D872" s="6">
        <v>3</v>
      </c>
      <c r="E872" s="6">
        <v>569</v>
      </c>
      <c r="F872" s="6">
        <v>1545</v>
      </c>
      <c r="G872" s="6">
        <v>1545</v>
      </c>
      <c r="H872" s="6">
        <v>850</v>
      </c>
      <c r="I872" s="6">
        <v>556</v>
      </c>
      <c r="J872" s="6">
        <v>13</v>
      </c>
      <c r="K872" s="40">
        <v>148</v>
      </c>
      <c r="L872" s="40">
        <v>2</v>
      </c>
      <c r="M872" s="40">
        <v>239</v>
      </c>
      <c r="N872" s="40">
        <v>68</v>
      </c>
      <c r="O872" s="40">
        <v>125</v>
      </c>
      <c r="P872" s="40">
        <v>46</v>
      </c>
      <c r="Q872" s="40">
        <v>0</v>
      </c>
      <c r="R872" s="40">
        <v>0</v>
      </c>
      <c r="S872" s="40">
        <v>0</v>
      </c>
    </row>
    <row r="873" spans="1:19" x14ac:dyDescent="0.35">
      <c r="A873" s="38">
        <v>870</v>
      </c>
      <c r="B873" s="38" t="str">
        <f>_xlfn.XLOOKUP(A873,'Model Modeshare by TAZ'!A:A,'Model Modeshare by TAZ'!B:B)</f>
        <v>San Jose</v>
      </c>
      <c r="C873" s="38" t="str">
        <f>_xlfn.XLOOKUP(A873,'Model Modeshare by TAZ'!A:A,'Model Modeshare by TAZ'!D:D)</f>
        <v>NO</v>
      </c>
      <c r="D873" s="6">
        <v>3</v>
      </c>
      <c r="E873" s="6">
        <v>201</v>
      </c>
      <c r="F873" s="6">
        <v>715</v>
      </c>
      <c r="G873" s="6">
        <v>716</v>
      </c>
      <c r="H873" s="6">
        <v>386</v>
      </c>
      <c r="I873" s="6">
        <v>184</v>
      </c>
      <c r="J873" s="6">
        <v>17</v>
      </c>
      <c r="K873" s="40">
        <v>15</v>
      </c>
      <c r="L873" s="40">
        <v>2</v>
      </c>
      <c r="M873" s="40">
        <v>4</v>
      </c>
      <c r="N873" s="40">
        <v>1</v>
      </c>
      <c r="O873" s="40">
        <v>0</v>
      </c>
      <c r="P873" s="40">
        <v>1</v>
      </c>
      <c r="Q873" s="40">
        <v>2</v>
      </c>
      <c r="R873" s="40">
        <v>0</v>
      </c>
      <c r="S873" s="40">
        <v>0</v>
      </c>
    </row>
    <row r="874" spans="1:19" x14ac:dyDescent="0.35">
      <c r="A874" s="38">
        <v>871</v>
      </c>
      <c r="B874" s="38" t="str">
        <f>_xlfn.XLOOKUP(A874,'Model Modeshare by TAZ'!A:A,'Model Modeshare by TAZ'!B:B)</f>
        <v>San Jose</v>
      </c>
      <c r="C874" s="38" t="str">
        <f>_xlfn.XLOOKUP(A874,'Model Modeshare by TAZ'!A:A,'Model Modeshare by TAZ'!D:D)</f>
        <v>NO</v>
      </c>
      <c r="D874" s="6">
        <v>3</v>
      </c>
      <c r="E874" s="6">
        <v>1214</v>
      </c>
      <c r="F874" s="6">
        <v>3270</v>
      </c>
      <c r="G874" s="6">
        <v>3376</v>
      </c>
      <c r="H874" s="6">
        <v>1790</v>
      </c>
      <c r="I874" s="6">
        <v>1048</v>
      </c>
      <c r="J874" s="6">
        <v>166</v>
      </c>
      <c r="K874" s="40">
        <v>275</v>
      </c>
      <c r="L874" s="40">
        <v>43</v>
      </c>
      <c r="M874" s="40">
        <v>1322</v>
      </c>
      <c r="N874" s="40">
        <v>36</v>
      </c>
      <c r="O874" s="40">
        <v>1181</v>
      </c>
      <c r="P874" s="40">
        <v>101</v>
      </c>
      <c r="Q874" s="40">
        <v>0</v>
      </c>
      <c r="R874" s="40">
        <v>2</v>
      </c>
      <c r="S874" s="40">
        <v>2</v>
      </c>
    </row>
    <row r="875" spans="1:19" x14ac:dyDescent="0.35">
      <c r="A875" s="38">
        <v>872</v>
      </c>
      <c r="B875" s="38" t="str">
        <f>_xlfn.XLOOKUP(A875,'Model Modeshare by TAZ'!A:A,'Model Modeshare by TAZ'!B:B)</f>
        <v>Los Gatos</v>
      </c>
      <c r="C875" s="38" t="str">
        <f>_xlfn.XLOOKUP(A875,'Model Modeshare by TAZ'!A:A,'Model Modeshare by TAZ'!D:D)</f>
        <v>NO</v>
      </c>
      <c r="D875" s="6">
        <v>3</v>
      </c>
      <c r="E875" s="6">
        <v>209</v>
      </c>
      <c r="F875" s="6">
        <v>586</v>
      </c>
      <c r="G875" s="6">
        <v>590</v>
      </c>
      <c r="H875" s="6">
        <v>290</v>
      </c>
      <c r="I875" s="6">
        <v>191</v>
      </c>
      <c r="J875" s="6">
        <v>18</v>
      </c>
      <c r="K875" s="40">
        <v>408</v>
      </c>
      <c r="L875" s="40">
        <v>1</v>
      </c>
      <c r="M875" s="40">
        <v>12</v>
      </c>
      <c r="N875" s="40">
        <v>1</v>
      </c>
      <c r="O875" s="40">
        <v>2</v>
      </c>
      <c r="P875" s="40">
        <v>5</v>
      </c>
      <c r="Q875" s="40">
        <v>3</v>
      </c>
      <c r="R875" s="40">
        <v>1</v>
      </c>
      <c r="S875" s="40">
        <v>0</v>
      </c>
    </row>
    <row r="876" spans="1:19" x14ac:dyDescent="0.35">
      <c r="A876" s="38">
        <v>873</v>
      </c>
      <c r="B876" s="38" t="str">
        <f>_xlfn.XLOOKUP(A876,'Model Modeshare by TAZ'!A:A,'Model Modeshare by TAZ'!B:B)</f>
        <v>Los Gatos</v>
      </c>
      <c r="C876" s="38" t="str">
        <f>_xlfn.XLOOKUP(A876,'Model Modeshare by TAZ'!A:A,'Model Modeshare by TAZ'!D:D)</f>
        <v>NO</v>
      </c>
      <c r="D876" s="6">
        <v>3</v>
      </c>
      <c r="E876" s="6">
        <v>734</v>
      </c>
      <c r="F876" s="6">
        <v>1994</v>
      </c>
      <c r="G876" s="6">
        <v>1994</v>
      </c>
      <c r="H876" s="6">
        <v>1098</v>
      </c>
      <c r="I876" s="6">
        <v>718</v>
      </c>
      <c r="J876" s="6">
        <v>16</v>
      </c>
      <c r="K876" s="40">
        <v>203</v>
      </c>
      <c r="L876" s="40">
        <v>26</v>
      </c>
      <c r="M876" s="40">
        <v>125</v>
      </c>
      <c r="N876" s="40">
        <v>4</v>
      </c>
      <c r="O876" s="40">
        <v>22</v>
      </c>
      <c r="P876" s="40">
        <v>99</v>
      </c>
      <c r="Q876" s="40">
        <v>0</v>
      </c>
      <c r="R876" s="40">
        <v>0</v>
      </c>
      <c r="S876" s="40">
        <v>0</v>
      </c>
    </row>
    <row r="877" spans="1:19" x14ac:dyDescent="0.35">
      <c r="A877" s="38">
        <v>874</v>
      </c>
      <c r="B877" s="38" t="str">
        <f>_xlfn.XLOOKUP(A877,'Model Modeshare by TAZ'!A:A,'Model Modeshare by TAZ'!B:B)</f>
        <v>Los Gatos</v>
      </c>
      <c r="C877" s="38" t="str">
        <f>_xlfn.XLOOKUP(A877,'Model Modeshare by TAZ'!A:A,'Model Modeshare by TAZ'!D:D)</f>
        <v>NO</v>
      </c>
      <c r="D877" s="6">
        <v>3</v>
      </c>
      <c r="E877" s="6">
        <v>147</v>
      </c>
      <c r="F877" s="6">
        <v>383</v>
      </c>
      <c r="G877" s="6">
        <v>386</v>
      </c>
      <c r="H877" s="6">
        <v>209</v>
      </c>
      <c r="I877" s="6">
        <v>116</v>
      </c>
      <c r="J877" s="6">
        <v>31</v>
      </c>
      <c r="K877" s="40">
        <v>109</v>
      </c>
      <c r="L877" s="40">
        <v>61</v>
      </c>
      <c r="M877" s="40">
        <v>301</v>
      </c>
      <c r="N877" s="40">
        <v>46</v>
      </c>
      <c r="O877" s="40">
        <v>161</v>
      </c>
      <c r="P877" s="40">
        <v>84</v>
      </c>
      <c r="Q877" s="40">
        <v>0</v>
      </c>
      <c r="R877" s="40">
        <v>2</v>
      </c>
      <c r="S877" s="40">
        <v>8</v>
      </c>
    </row>
    <row r="878" spans="1:19" x14ac:dyDescent="0.35">
      <c r="A878" s="38">
        <v>875</v>
      </c>
      <c r="B878" s="38" t="str">
        <f>_xlfn.XLOOKUP(A878,'Model Modeshare by TAZ'!A:A,'Model Modeshare by TAZ'!B:B)</f>
        <v>San Jose</v>
      </c>
      <c r="C878" s="38" t="str">
        <f>_xlfn.XLOOKUP(A878,'Model Modeshare by TAZ'!A:A,'Model Modeshare by TAZ'!D:D)</f>
        <v>NO</v>
      </c>
      <c r="D878" s="6">
        <v>3</v>
      </c>
      <c r="E878" s="6">
        <v>1501</v>
      </c>
      <c r="F878" s="6">
        <v>4195</v>
      </c>
      <c r="G878" s="6">
        <v>4221</v>
      </c>
      <c r="H878" s="6">
        <v>2072</v>
      </c>
      <c r="I878" s="6">
        <v>1365</v>
      </c>
      <c r="J878" s="6">
        <v>136</v>
      </c>
      <c r="K878" s="40">
        <v>163</v>
      </c>
      <c r="L878" s="40">
        <v>6</v>
      </c>
      <c r="M878" s="40">
        <v>1018</v>
      </c>
      <c r="N878" s="40">
        <v>27</v>
      </c>
      <c r="O878" s="40">
        <v>707</v>
      </c>
      <c r="P878" s="40">
        <v>142</v>
      </c>
      <c r="Q878" s="40">
        <v>3</v>
      </c>
      <c r="R878" s="40">
        <v>94</v>
      </c>
      <c r="S878" s="40">
        <v>45</v>
      </c>
    </row>
    <row r="879" spans="1:19" x14ac:dyDescent="0.35">
      <c r="A879" s="38">
        <v>876</v>
      </c>
      <c r="B879" s="38" t="str">
        <f>_xlfn.XLOOKUP(A879,'Model Modeshare by TAZ'!A:A,'Model Modeshare by TAZ'!B:B)</f>
        <v>Santa Clara</v>
      </c>
      <c r="C879" s="38" t="str">
        <f>_xlfn.XLOOKUP(A879,'Model Modeshare by TAZ'!A:A,'Model Modeshare by TAZ'!D:D)</f>
        <v>NO</v>
      </c>
      <c r="D879" s="6">
        <v>3</v>
      </c>
      <c r="E879" s="6">
        <v>639</v>
      </c>
      <c r="F879" s="6">
        <v>1534</v>
      </c>
      <c r="G879" s="6">
        <v>1534</v>
      </c>
      <c r="H879" s="6">
        <v>954</v>
      </c>
      <c r="I879" s="6">
        <v>312</v>
      </c>
      <c r="J879" s="6">
        <v>327</v>
      </c>
      <c r="K879" s="40">
        <v>98</v>
      </c>
      <c r="L879" s="40">
        <v>5</v>
      </c>
      <c r="M879" s="40">
        <v>582</v>
      </c>
      <c r="N879" s="40">
        <v>102</v>
      </c>
      <c r="O879" s="40">
        <v>227</v>
      </c>
      <c r="P879" s="40">
        <v>162</v>
      </c>
      <c r="Q879" s="40">
        <v>0</v>
      </c>
      <c r="R879" s="40">
        <v>31</v>
      </c>
      <c r="S879" s="40">
        <v>60</v>
      </c>
    </row>
    <row r="880" spans="1:19" x14ac:dyDescent="0.35">
      <c r="A880" s="38">
        <v>877</v>
      </c>
      <c r="B880" s="38" t="str">
        <f>_xlfn.XLOOKUP(A880,'Model Modeshare by TAZ'!A:A,'Model Modeshare by TAZ'!B:B)</f>
        <v>San Jose</v>
      </c>
      <c r="C880" s="38" t="str">
        <f>_xlfn.XLOOKUP(A880,'Model Modeshare by TAZ'!A:A,'Model Modeshare by TAZ'!D:D)</f>
        <v>NO</v>
      </c>
      <c r="D880" s="6">
        <v>3</v>
      </c>
      <c r="E880" s="6">
        <v>0</v>
      </c>
      <c r="F880" s="6">
        <v>0</v>
      </c>
      <c r="G880" s="6">
        <v>0</v>
      </c>
      <c r="H880" s="6">
        <v>0</v>
      </c>
      <c r="I880" s="6">
        <v>0</v>
      </c>
      <c r="J880" s="6">
        <v>0</v>
      </c>
      <c r="K880" s="40">
        <v>0</v>
      </c>
      <c r="L880" s="40">
        <v>118</v>
      </c>
      <c r="M880" s="40">
        <v>5083</v>
      </c>
      <c r="N880" s="40">
        <v>373</v>
      </c>
      <c r="O880" s="40">
        <v>1322</v>
      </c>
      <c r="P880" s="40">
        <v>797</v>
      </c>
      <c r="Q880" s="40">
        <v>4</v>
      </c>
      <c r="R880" s="40">
        <v>1769</v>
      </c>
      <c r="S880" s="40">
        <v>818</v>
      </c>
    </row>
    <row r="881" spans="1:19" x14ac:dyDescent="0.35">
      <c r="A881" s="38">
        <v>878</v>
      </c>
      <c r="B881" s="38" t="str">
        <f>_xlfn.XLOOKUP(A881,'Model Modeshare by TAZ'!A:A,'Model Modeshare by TAZ'!B:B)</f>
        <v>San Jose</v>
      </c>
      <c r="C881" s="38" t="str">
        <f>_xlfn.XLOOKUP(A881,'Model Modeshare by TAZ'!A:A,'Model Modeshare by TAZ'!D:D)</f>
        <v>NO</v>
      </c>
      <c r="D881" s="6">
        <v>3</v>
      </c>
      <c r="E881" s="6">
        <v>24</v>
      </c>
      <c r="F881" s="6">
        <v>62</v>
      </c>
      <c r="G881" s="6">
        <v>62</v>
      </c>
      <c r="H881" s="6">
        <v>36</v>
      </c>
      <c r="I881" s="6">
        <v>14</v>
      </c>
      <c r="J881" s="6">
        <v>10</v>
      </c>
      <c r="K881" s="40">
        <v>24</v>
      </c>
      <c r="L881" s="40">
        <v>31</v>
      </c>
      <c r="M881" s="40">
        <v>1506</v>
      </c>
      <c r="N881" s="40">
        <v>1415</v>
      </c>
      <c r="O881" s="40">
        <v>59</v>
      </c>
      <c r="P881" s="40">
        <v>32</v>
      </c>
      <c r="Q881" s="40">
        <v>0</v>
      </c>
      <c r="R881" s="40">
        <v>0</v>
      </c>
      <c r="S881" s="40">
        <v>0</v>
      </c>
    </row>
    <row r="882" spans="1:19" x14ac:dyDescent="0.35">
      <c r="A882" s="38">
        <v>879</v>
      </c>
      <c r="B882" s="38" t="str">
        <f>_xlfn.XLOOKUP(A882,'Model Modeshare by TAZ'!A:A,'Model Modeshare by TAZ'!B:B)</f>
        <v>San Jose</v>
      </c>
      <c r="C882" s="38" t="str">
        <f>_xlfn.XLOOKUP(A882,'Model Modeshare by TAZ'!A:A,'Model Modeshare by TAZ'!D:D)</f>
        <v>NO</v>
      </c>
      <c r="D882" s="6">
        <v>3</v>
      </c>
      <c r="E882" s="6">
        <v>744</v>
      </c>
      <c r="F882" s="6">
        <v>2870</v>
      </c>
      <c r="G882" s="6">
        <v>2946</v>
      </c>
      <c r="H882" s="6">
        <v>1311</v>
      </c>
      <c r="I882" s="6">
        <v>454</v>
      </c>
      <c r="J882" s="6">
        <v>290</v>
      </c>
      <c r="K882" s="40">
        <v>170</v>
      </c>
      <c r="L882" s="40">
        <v>15</v>
      </c>
      <c r="M882" s="40">
        <v>601</v>
      </c>
      <c r="N882" s="40">
        <v>285</v>
      </c>
      <c r="O882" s="40">
        <v>194</v>
      </c>
      <c r="P882" s="40">
        <v>106</v>
      </c>
      <c r="Q882" s="40">
        <v>2</v>
      </c>
      <c r="R882" s="40">
        <v>2</v>
      </c>
      <c r="S882" s="40">
        <v>12</v>
      </c>
    </row>
    <row r="883" spans="1:19" x14ac:dyDescent="0.35">
      <c r="A883" s="38">
        <v>880</v>
      </c>
      <c r="B883" s="38" t="str">
        <f>_xlfn.XLOOKUP(A883,'Model Modeshare by TAZ'!A:A,'Model Modeshare by TAZ'!B:B)</f>
        <v>San Jose</v>
      </c>
      <c r="C883" s="38" t="str">
        <f>_xlfn.XLOOKUP(A883,'Model Modeshare by TAZ'!A:A,'Model Modeshare by TAZ'!D:D)</f>
        <v>NO</v>
      </c>
      <c r="D883" s="6">
        <v>3</v>
      </c>
      <c r="E883" s="6">
        <v>185</v>
      </c>
      <c r="F883" s="6">
        <v>607</v>
      </c>
      <c r="G883" s="6">
        <v>608</v>
      </c>
      <c r="H883" s="6">
        <v>367</v>
      </c>
      <c r="I883" s="6">
        <v>184</v>
      </c>
      <c r="J883" s="6">
        <v>1</v>
      </c>
      <c r="K883" s="40">
        <v>45</v>
      </c>
      <c r="L883" s="40">
        <v>23</v>
      </c>
      <c r="M883" s="40">
        <v>147</v>
      </c>
      <c r="N883" s="40">
        <v>18</v>
      </c>
      <c r="O883" s="40">
        <v>41</v>
      </c>
      <c r="P883" s="40">
        <v>60</v>
      </c>
      <c r="Q883" s="40">
        <v>0</v>
      </c>
      <c r="R883" s="40">
        <v>28</v>
      </c>
      <c r="S883" s="40">
        <v>0</v>
      </c>
    </row>
    <row r="884" spans="1:19" x14ac:dyDescent="0.35">
      <c r="A884" s="38">
        <v>881</v>
      </c>
      <c r="B884" s="38" t="str">
        <f>_xlfn.XLOOKUP(A884,'Model Modeshare by TAZ'!A:A,'Model Modeshare by TAZ'!B:B)</f>
        <v>San Jose</v>
      </c>
      <c r="C884" s="38" t="str">
        <f>_xlfn.XLOOKUP(A884,'Model Modeshare by TAZ'!A:A,'Model Modeshare by TAZ'!D:D)</f>
        <v>NO</v>
      </c>
      <c r="D884" s="6">
        <v>3</v>
      </c>
      <c r="E884" s="6">
        <v>428</v>
      </c>
      <c r="F884" s="6">
        <v>1880</v>
      </c>
      <c r="G884" s="6">
        <v>1931</v>
      </c>
      <c r="H884" s="6">
        <v>718</v>
      </c>
      <c r="I884" s="6">
        <v>240</v>
      </c>
      <c r="J884" s="6">
        <v>188</v>
      </c>
      <c r="K884" s="40">
        <v>50</v>
      </c>
      <c r="L884" s="40">
        <v>18</v>
      </c>
      <c r="M884" s="40">
        <v>561</v>
      </c>
      <c r="N884" s="40">
        <v>86</v>
      </c>
      <c r="O884" s="40">
        <v>287</v>
      </c>
      <c r="P884" s="40">
        <v>120</v>
      </c>
      <c r="Q884" s="40">
        <v>4</v>
      </c>
      <c r="R884" s="40">
        <v>60</v>
      </c>
      <c r="S884" s="40">
        <v>4</v>
      </c>
    </row>
    <row r="885" spans="1:19" x14ac:dyDescent="0.35">
      <c r="A885" s="38">
        <v>882</v>
      </c>
      <c r="B885" s="38" t="str">
        <f>_xlfn.XLOOKUP(A885,'Model Modeshare by TAZ'!A:A,'Model Modeshare by TAZ'!B:B)</f>
        <v>San Jose</v>
      </c>
      <c r="C885" s="38" t="str">
        <f>_xlfn.XLOOKUP(A885,'Model Modeshare by TAZ'!A:A,'Model Modeshare by TAZ'!D:D)</f>
        <v>NO</v>
      </c>
      <c r="D885" s="6">
        <v>3</v>
      </c>
      <c r="E885" s="6">
        <v>464</v>
      </c>
      <c r="F885" s="6">
        <v>2178</v>
      </c>
      <c r="G885" s="6">
        <v>2181</v>
      </c>
      <c r="H885" s="6">
        <v>912</v>
      </c>
      <c r="I885" s="6">
        <v>271</v>
      </c>
      <c r="J885" s="6">
        <v>193</v>
      </c>
      <c r="K885" s="40">
        <v>49</v>
      </c>
      <c r="L885" s="40">
        <v>2</v>
      </c>
      <c r="M885" s="40">
        <v>114</v>
      </c>
      <c r="N885" s="40">
        <v>0</v>
      </c>
      <c r="O885" s="40">
        <v>0</v>
      </c>
      <c r="P885" s="40">
        <v>108</v>
      </c>
      <c r="Q885" s="40">
        <v>0</v>
      </c>
      <c r="R885" s="40">
        <v>3</v>
      </c>
      <c r="S885" s="40">
        <v>3</v>
      </c>
    </row>
    <row r="886" spans="1:19" x14ac:dyDescent="0.35">
      <c r="A886" s="38">
        <v>883</v>
      </c>
      <c r="B886" s="38" t="str">
        <f>_xlfn.XLOOKUP(A886,'Model Modeshare by TAZ'!A:A,'Model Modeshare by TAZ'!B:B)</f>
        <v>San Jose</v>
      </c>
      <c r="C886" s="38" t="str">
        <f>_xlfn.XLOOKUP(A886,'Model Modeshare by TAZ'!A:A,'Model Modeshare by TAZ'!D:D)</f>
        <v>NO</v>
      </c>
      <c r="D886" s="6">
        <v>3</v>
      </c>
      <c r="E886" s="6">
        <v>206</v>
      </c>
      <c r="F886" s="6">
        <v>531</v>
      </c>
      <c r="G886" s="6">
        <v>547</v>
      </c>
      <c r="H886" s="6">
        <v>267</v>
      </c>
      <c r="I886" s="6">
        <v>165</v>
      </c>
      <c r="J886" s="6">
        <v>41</v>
      </c>
      <c r="K886" s="40">
        <v>30</v>
      </c>
      <c r="L886" s="40">
        <v>44</v>
      </c>
      <c r="M886" s="40">
        <v>394</v>
      </c>
      <c r="N886" s="40">
        <v>95</v>
      </c>
      <c r="O886" s="40">
        <v>235</v>
      </c>
      <c r="P886" s="40">
        <v>62</v>
      </c>
      <c r="Q886" s="40">
        <v>2</v>
      </c>
      <c r="R886" s="40">
        <v>0</v>
      </c>
      <c r="S886" s="40">
        <v>0</v>
      </c>
    </row>
    <row r="887" spans="1:19" x14ac:dyDescent="0.35">
      <c r="A887" s="38">
        <v>884</v>
      </c>
      <c r="B887" s="38" t="str">
        <f>_xlfn.XLOOKUP(A887,'Model Modeshare by TAZ'!A:A,'Model Modeshare by TAZ'!B:B)</f>
        <v>San Jose</v>
      </c>
      <c r="C887" s="38" t="str">
        <f>_xlfn.XLOOKUP(A887,'Model Modeshare by TAZ'!A:A,'Model Modeshare by TAZ'!D:D)</f>
        <v>NO</v>
      </c>
      <c r="D887" s="6">
        <v>3</v>
      </c>
      <c r="E887" s="6">
        <v>152</v>
      </c>
      <c r="F887" s="6">
        <v>337</v>
      </c>
      <c r="G887" s="6">
        <v>338</v>
      </c>
      <c r="H887" s="6">
        <v>160</v>
      </c>
      <c r="I887" s="6">
        <v>38</v>
      </c>
      <c r="J887" s="6">
        <v>114</v>
      </c>
      <c r="K887" s="40">
        <v>12</v>
      </c>
      <c r="L887" s="40">
        <v>17</v>
      </c>
      <c r="M887" s="40">
        <v>379</v>
      </c>
      <c r="N887" s="40">
        <v>132</v>
      </c>
      <c r="O887" s="40">
        <v>139</v>
      </c>
      <c r="P887" s="40">
        <v>72</v>
      </c>
      <c r="Q887" s="40">
        <v>2</v>
      </c>
      <c r="R887" s="40">
        <v>28</v>
      </c>
      <c r="S887" s="40">
        <v>6</v>
      </c>
    </row>
    <row r="888" spans="1:19" x14ac:dyDescent="0.35">
      <c r="A888" s="38">
        <v>885</v>
      </c>
      <c r="B888" s="38" t="str">
        <f>_xlfn.XLOOKUP(A888,'Model Modeshare by TAZ'!A:A,'Model Modeshare by TAZ'!B:B)</f>
        <v>San Jose</v>
      </c>
      <c r="C888" s="38" t="str">
        <f>_xlfn.XLOOKUP(A888,'Model Modeshare by TAZ'!A:A,'Model Modeshare by TAZ'!D:D)</f>
        <v>NO</v>
      </c>
      <c r="D888" s="6">
        <v>3</v>
      </c>
      <c r="E888" s="6">
        <v>125</v>
      </c>
      <c r="F888" s="6">
        <v>278</v>
      </c>
      <c r="G888" s="6">
        <v>280</v>
      </c>
      <c r="H888" s="6">
        <v>133</v>
      </c>
      <c r="I888" s="6">
        <v>31</v>
      </c>
      <c r="J888" s="6">
        <v>94</v>
      </c>
      <c r="K888" s="40">
        <v>11</v>
      </c>
      <c r="L888" s="40">
        <v>25</v>
      </c>
      <c r="M888" s="40">
        <v>329</v>
      </c>
      <c r="N888" s="40">
        <v>59</v>
      </c>
      <c r="O888" s="40">
        <v>89</v>
      </c>
      <c r="P888" s="40">
        <v>76</v>
      </c>
      <c r="Q888" s="40">
        <v>1</v>
      </c>
      <c r="R888" s="40">
        <v>81</v>
      </c>
      <c r="S888" s="40">
        <v>23</v>
      </c>
    </row>
    <row r="889" spans="1:19" x14ac:dyDescent="0.35">
      <c r="A889" s="38">
        <v>886</v>
      </c>
      <c r="B889" s="38" t="str">
        <f>_xlfn.XLOOKUP(A889,'Model Modeshare by TAZ'!A:A,'Model Modeshare by TAZ'!B:B)</f>
        <v>San Jose</v>
      </c>
      <c r="C889" s="38" t="str">
        <f>_xlfn.XLOOKUP(A889,'Model Modeshare by TAZ'!A:A,'Model Modeshare by TAZ'!D:D)</f>
        <v>NO</v>
      </c>
      <c r="D889" s="6">
        <v>3</v>
      </c>
      <c r="E889" s="6">
        <v>464</v>
      </c>
      <c r="F889" s="6">
        <v>1028</v>
      </c>
      <c r="G889" s="6">
        <v>1031</v>
      </c>
      <c r="H889" s="6">
        <v>492</v>
      </c>
      <c r="I889" s="6">
        <v>19</v>
      </c>
      <c r="J889" s="6">
        <v>445</v>
      </c>
      <c r="K889" s="40">
        <v>8</v>
      </c>
      <c r="L889" s="40">
        <v>65</v>
      </c>
      <c r="M889" s="40">
        <v>1559</v>
      </c>
      <c r="N889" s="40">
        <v>148</v>
      </c>
      <c r="O889" s="40">
        <v>665</v>
      </c>
      <c r="P889" s="40">
        <v>337</v>
      </c>
      <c r="Q889" s="40">
        <v>1</v>
      </c>
      <c r="R889" s="40">
        <v>321</v>
      </c>
      <c r="S889" s="40">
        <v>87</v>
      </c>
    </row>
    <row r="890" spans="1:19" x14ac:dyDescent="0.35">
      <c r="A890" s="38">
        <v>887</v>
      </c>
      <c r="B890" s="38" t="str">
        <f>_xlfn.XLOOKUP(A890,'Model Modeshare by TAZ'!A:A,'Model Modeshare by TAZ'!B:B)</f>
        <v>San Jose</v>
      </c>
      <c r="C890" s="38" t="str">
        <f>_xlfn.XLOOKUP(A890,'Model Modeshare by TAZ'!A:A,'Model Modeshare by TAZ'!D:D)</f>
        <v>NO</v>
      </c>
      <c r="D890" s="6">
        <v>3</v>
      </c>
      <c r="E890" s="6">
        <v>5</v>
      </c>
      <c r="F890" s="6">
        <v>11</v>
      </c>
      <c r="G890" s="6">
        <v>11</v>
      </c>
      <c r="H890" s="6">
        <v>5</v>
      </c>
      <c r="I890" s="6">
        <v>1</v>
      </c>
      <c r="J890" s="6">
        <v>4</v>
      </c>
      <c r="K890" s="40">
        <v>5</v>
      </c>
      <c r="L890" s="40">
        <v>23</v>
      </c>
      <c r="M890" s="40">
        <v>428</v>
      </c>
      <c r="N890" s="40">
        <v>67</v>
      </c>
      <c r="O890" s="40">
        <v>139</v>
      </c>
      <c r="P890" s="40">
        <v>82</v>
      </c>
      <c r="Q890" s="40">
        <v>1</v>
      </c>
      <c r="R890" s="40">
        <v>110</v>
      </c>
      <c r="S890" s="40">
        <v>29</v>
      </c>
    </row>
    <row r="891" spans="1:19" x14ac:dyDescent="0.35">
      <c r="A891" s="38">
        <v>888</v>
      </c>
      <c r="B891" s="38" t="str">
        <f>_xlfn.XLOOKUP(A891,'Model Modeshare by TAZ'!A:A,'Model Modeshare by TAZ'!B:B)</f>
        <v>San Jose</v>
      </c>
      <c r="C891" s="38" t="str">
        <f>_xlfn.XLOOKUP(A891,'Model Modeshare by TAZ'!A:A,'Model Modeshare by TAZ'!D:D)</f>
        <v>NO</v>
      </c>
      <c r="D891" s="6">
        <v>3</v>
      </c>
      <c r="E891" s="6">
        <v>6</v>
      </c>
      <c r="F891" s="6">
        <v>11</v>
      </c>
      <c r="G891" s="6">
        <v>19</v>
      </c>
      <c r="H891" s="6">
        <v>6</v>
      </c>
      <c r="I891" s="6">
        <v>1</v>
      </c>
      <c r="J891" s="6">
        <v>5</v>
      </c>
      <c r="K891" s="40">
        <v>1</v>
      </c>
      <c r="L891" s="40">
        <v>28</v>
      </c>
      <c r="M891" s="40">
        <v>292</v>
      </c>
      <c r="N891" s="40">
        <v>27</v>
      </c>
      <c r="O891" s="40">
        <v>55</v>
      </c>
      <c r="P891" s="40">
        <v>42</v>
      </c>
      <c r="Q891" s="40">
        <v>2</v>
      </c>
      <c r="R891" s="40">
        <v>118</v>
      </c>
      <c r="S891" s="40">
        <v>48</v>
      </c>
    </row>
    <row r="892" spans="1:19" x14ac:dyDescent="0.35">
      <c r="A892" s="38">
        <v>889</v>
      </c>
      <c r="B892" s="38" t="str">
        <f>_xlfn.XLOOKUP(A892,'Model Modeshare by TAZ'!A:A,'Model Modeshare by TAZ'!B:B)</f>
        <v>San Jose</v>
      </c>
      <c r="C892" s="38" t="str">
        <f>_xlfn.XLOOKUP(A892,'Model Modeshare by TAZ'!A:A,'Model Modeshare by TAZ'!D:D)</f>
        <v>NO</v>
      </c>
      <c r="D892" s="6">
        <v>3</v>
      </c>
      <c r="E892" s="6">
        <v>864</v>
      </c>
      <c r="F892" s="6">
        <v>1917</v>
      </c>
      <c r="G892" s="6">
        <v>1920</v>
      </c>
      <c r="H892" s="6">
        <v>914</v>
      </c>
      <c r="I892" s="6">
        <v>212</v>
      </c>
      <c r="J892" s="6">
        <v>652</v>
      </c>
      <c r="K892" s="40">
        <v>46</v>
      </c>
      <c r="L892" s="40">
        <v>22</v>
      </c>
      <c r="M892" s="40">
        <v>249</v>
      </c>
      <c r="N892" s="40">
        <v>13</v>
      </c>
      <c r="O892" s="40">
        <v>221</v>
      </c>
      <c r="P892" s="40">
        <v>11</v>
      </c>
      <c r="Q892" s="40">
        <v>2</v>
      </c>
      <c r="R892" s="40">
        <v>2</v>
      </c>
      <c r="S892" s="40">
        <v>0</v>
      </c>
    </row>
    <row r="893" spans="1:19" x14ac:dyDescent="0.35">
      <c r="A893" s="38">
        <v>890</v>
      </c>
      <c r="B893" s="38" t="str">
        <f>_xlfn.XLOOKUP(A893,'Model Modeshare by TAZ'!A:A,'Model Modeshare by TAZ'!B:B)</f>
        <v>San Jose</v>
      </c>
      <c r="C893" s="38" t="str">
        <f>_xlfn.XLOOKUP(A893,'Model Modeshare by TAZ'!A:A,'Model Modeshare by TAZ'!D:D)</f>
        <v>NO</v>
      </c>
      <c r="D893" s="6">
        <v>3</v>
      </c>
      <c r="E893" s="6">
        <v>1112</v>
      </c>
      <c r="F893" s="6">
        <v>2573</v>
      </c>
      <c r="G893" s="6">
        <v>2631</v>
      </c>
      <c r="H893" s="6">
        <v>1464</v>
      </c>
      <c r="I893" s="6">
        <v>195</v>
      </c>
      <c r="J893" s="6">
        <v>917</v>
      </c>
      <c r="K893" s="40">
        <v>70</v>
      </c>
      <c r="L893" s="40">
        <v>5</v>
      </c>
      <c r="M893" s="40">
        <v>152</v>
      </c>
      <c r="N893" s="40">
        <v>56</v>
      </c>
      <c r="O893" s="40">
        <v>18</v>
      </c>
      <c r="P893" s="40">
        <v>73</v>
      </c>
      <c r="Q893" s="40">
        <v>0</v>
      </c>
      <c r="R893" s="40">
        <v>5</v>
      </c>
      <c r="S893" s="40">
        <v>0</v>
      </c>
    </row>
    <row r="894" spans="1:19" x14ac:dyDescent="0.35">
      <c r="A894" s="38">
        <v>891</v>
      </c>
      <c r="B894" s="38" t="str">
        <f>_xlfn.XLOOKUP(A894,'Model Modeshare by TAZ'!A:A,'Model Modeshare by TAZ'!B:B)</f>
        <v>San Jose</v>
      </c>
      <c r="C894" s="38" t="str">
        <f>_xlfn.XLOOKUP(A894,'Model Modeshare by TAZ'!A:A,'Model Modeshare by TAZ'!D:D)</f>
        <v>NO</v>
      </c>
      <c r="D894" s="6">
        <v>3</v>
      </c>
      <c r="E894" s="6">
        <v>1377</v>
      </c>
      <c r="F894" s="6">
        <v>3186</v>
      </c>
      <c r="G894" s="6">
        <v>3259</v>
      </c>
      <c r="H894" s="6">
        <v>1813</v>
      </c>
      <c r="I894" s="6">
        <v>241</v>
      </c>
      <c r="J894" s="6">
        <v>1136</v>
      </c>
      <c r="K894" s="40">
        <v>118</v>
      </c>
      <c r="L894" s="40">
        <v>42</v>
      </c>
      <c r="M894" s="40">
        <v>665</v>
      </c>
      <c r="N894" s="40">
        <v>12</v>
      </c>
      <c r="O894" s="40">
        <v>397</v>
      </c>
      <c r="P894" s="40">
        <v>158</v>
      </c>
      <c r="Q894" s="40">
        <v>0</v>
      </c>
      <c r="R894" s="40">
        <v>96</v>
      </c>
      <c r="S894" s="40">
        <v>2</v>
      </c>
    </row>
    <row r="895" spans="1:19" x14ac:dyDescent="0.35">
      <c r="A895" s="38">
        <v>892</v>
      </c>
      <c r="B895" s="38" t="str">
        <f>_xlfn.XLOOKUP(A895,'Model Modeshare by TAZ'!A:A,'Model Modeshare by TAZ'!B:B)</f>
        <v>San Jose</v>
      </c>
      <c r="C895" s="38" t="str">
        <f>_xlfn.XLOOKUP(A895,'Model Modeshare by TAZ'!A:A,'Model Modeshare by TAZ'!D:D)</f>
        <v>NO</v>
      </c>
      <c r="D895" s="6">
        <v>3</v>
      </c>
      <c r="E895" s="6">
        <v>1152</v>
      </c>
      <c r="F895" s="6">
        <v>3335</v>
      </c>
      <c r="G895" s="6">
        <v>3337</v>
      </c>
      <c r="H895" s="6">
        <v>1692</v>
      </c>
      <c r="I895" s="6">
        <v>900</v>
      </c>
      <c r="J895" s="6">
        <v>252</v>
      </c>
      <c r="K895" s="40">
        <v>243</v>
      </c>
      <c r="L895" s="40">
        <v>8</v>
      </c>
      <c r="M895" s="40">
        <v>269</v>
      </c>
      <c r="N895" s="40">
        <v>121</v>
      </c>
      <c r="O895" s="40">
        <v>56</v>
      </c>
      <c r="P895" s="40">
        <v>90</v>
      </c>
      <c r="Q895" s="40">
        <v>0</v>
      </c>
      <c r="R895" s="40">
        <v>0</v>
      </c>
      <c r="S895" s="40">
        <v>2</v>
      </c>
    </row>
    <row r="896" spans="1:19" x14ac:dyDescent="0.35">
      <c r="A896" s="38">
        <v>893</v>
      </c>
      <c r="B896" s="38" t="str">
        <f>_xlfn.XLOOKUP(A896,'Model Modeshare by TAZ'!A:A,'Model Modeshare by TAZ'!B:B)</f>
        <v>San Jose</v>
      </c>
      <c r="C896" s="38" t="str">
        <f>_xlfn.XLOOKUP(A896,'Model Modeshare by TAZ'!A:A,'Model Modeshare by TAZ'!D:D)</f>
        <v>NO</v>
      </c>
      <c r="D896" s="6">
        <v>3</v>
      </c>
      <c r="E896" s="6">
        <v>1842</v>
      </c>
      <c r="F896" s="6">
        <v>4443</v>
      </c>
      <c r="G896" s="6">
        <v>4443</v>
      </c>
      <c r="H896" s="6">
        <v>2736</v>
      </c>
      <c r="I896" s="6">
        <v>561</v>
      </c>
      <c r="J896" s="6">
        <v>1281</v>
      </c>
      <c r="K896" s="40">
        <v>188</v>
      </c>
      <c r="L896" s="40">
        <v>82</v>
      </c>
      <c r="M896" s="40">
        <v>1657</v>
      </c>
      <c r="N896" s="40">
        <v>140</v>
      </c>
      <c r="O896" s="40">
        <v>636</v>
      </c>
      <c r="P896" s="40">
        <v>778</v>
      </c>
      <c r="Q896" s="40">
        <v>0</v>
      </c>
      <c r="R896" s="40">
        <v>24</v>
      </c>
      <c r="S896" s="40">
        <v>79</v>
      </c>
    </row>
    <row r="897" spans="1:19" x14ac:dyDescent="0.35">
      <c r="A897" s="38">
        <v>894</v>
      </c>
      <c r="B897" s="38" t="str">
        <f>_xlfn.XLOOKUP(A897,'Model Modeshare by TAZ'!A:A,'Model Modeshare by TAZ'!B:B)</f>
        <v>San Jose</v>
      </c>
      <c r="C897" s="38" t="str">
        <f>_xlfn.XLOOKUP(A897,'Model Modeshare by TAZ'!A:A,'Model Modeshare by TAZ'!D:D)</f>
        <v>NO</v>
      </c>
      <c r="D897" s="6">
        <v>3</v>
      </c>
      <c r="E897" s="6">
        <v>1477</v>
      </c>
      <c r="F897" s="6">
        <v>3824</v>
      </c>
      <c r="G897" s="6">
        <v>3824</v>
      </c>
      <c r="H897" s="6">
        <v>2118</v>
      </c>
      <c r="I897" s="6">
        <v>1015</v>
      </c>
      <c r="J897" s="6">
        <v>462</v>
      </c>
      <c r="K897" s="40">
        <v>241</v>
      </c>
      <c r="L897" s="40">
        <v>11</v>
      </c>
      <c r="M897" s="40">
        <v>175</v>
      </c>
      <c r="N897" s="40">
        <v>25</v>
      </c>
      <c r="O897" s="40">
        <v>76</v>
      </c>
      <c r="P897" s="40">
        <v>58</v>
      </c>
      <c r="Q897" s="40">
        <v>1</v>
      </c>
      <c r="R897" s="40">
        <v>14</v>
      </c>
      <c r="S897" s="40">
        <v>1</v>
      </c>
    </row>
    <row r="898" spans="1:19" x14ac:dyDescent="0.35">
      <c r="A898" s="38">
        <v>895</v>
      </c>
      <c r="B898" s="38" t="str">
        <f>_xlfn.XLOOKUP(A898,'Model Modeshare by TAZ'!A:A,'Model Modeshare by TAZ'!B:B)</f>
        <v>San Jose</v>
      </c>
      <c r="C898" s="38" t="str">
        <f>_xlfn.XLOOKUP(A898,'Model Modeshare by TAZ'!A:A,'Model Modeshare by TAZ'!D:D)</f>
        <v>NO</v>
      </c>
      <c r="D898" s="6">
        <v>3</v>
      </c>
      <c r="E898" s="6">
        <v>1122</v>
      </c>
      <c r="F898" s="6">
        <v>2575</v>
      </c>
      <c r="G898" s="6">
        <v>2585</v>
      </c>
      <c r="H898" s="6">
        <v>1540</v>
      </c>
      <c r="I898" s="6">
        <v>511</v>
      </c>
      <c r="J898" s="6">
        <v>611</v>
      </c>
      <c r="K898" s="40">
        <v>141</v>
      </c>
      <c r="L898" s="40">
        <v>18</v>
      </c>
      <c r="M898" s="40">
        <v>1216</v>
      </c>
      <c r="N898" s="40">
        <v>46</v>
      </c>
      <c r="O898" s="40">
        <v>735</v>
      </c>
      <c r="P898" s="40">
        <v>419</v>
      </c>
      <c r="Q898" s="40">
        <v>2</v>
      </c>
      <c r="R898" s="40">
        <v>6</v>
      </c>
      <c r="S898" s="40">
        <v>8</v>
      </c>
    </row>
    <row r="899" spans="1:19" x14ac:dyDescent="0.35">
      <c r="A899" s="38">
        <v>896</v>
      </c>
      <c r="B899" s="38" t="str">
        <f>_xlfn.XLOOKUP(A899,'Model Modeshare by TAZ'!A:A,'Model Modeshare by TAZ'!B:B)</f>
        <v>San Jose</v>
      </c>
      <c r="C899" s="38" t="str">
        <f>_xlfn.XLOOKUP(A899,'Model Modeshare by TAZ'!A:A,'Model Modeshare by TAZ'!D:D)</f>
        <v>NO</v>
      </c>
      <c r="D899" s="6">
        <v>3</v>
      </c>
      <c r="E899" s="6">
        <v>918</v>
      </c>
      <c r="F899" s="6">
        <v>2319</v>
      </c>
      <c r="G899" s="6">
        <v>2414</v>
      </c>
      <c r="H899" s="6">
        <v>1228</v>
      </c>
      <c r="I899" s="6">
        <v>363</v>
      </c>
      <c r="J899" s="6">
        <v>555</v>
      </c>
      <c r="K899" s="40">
        <v>133</v>
      </c>
      <c r="L899" s="40">
        <v>32</v>
      </c>
      <c r="M899" s="40">
        <v>359</v>
      </c>
      <c r="N899" s="40">
        <v>51</v>
      </c>
      <c r="O899" s="40">
        <v>130</v>
      </c>
      <c r="P899" s="40">
        <v>97</v>
      </c>
      <c r="Q899" s="40">
        <v>3</v>
      </c>
      <c r="R899" s="40">
        <v>59</v>
      </c>
      <c r="S899" s="40">
        <v>19</v>
      </c>
    </row>
    <row r="900" spans="1:19" x14ac:dyDescent="0.35">
      <c r="A900" s="38">
        <v>897</v>
      </c>
      <c r="B900" s="38" t="str">
        <f>_xlfn.XLOOKUP(A900,'Model Modeshare by TAZ'!A:A,'Model Modeshare by TAZ'!B:B)</f>
        <v>San Jose</v>
      </c>
      <c r="C900" s="38" t="str">
        <f>_xlfn.XLOOKUP(A900,'Model Modeshare by TAZ'!A:A,'Model Modeshare by TAZ'!D:D)</f>
        <v>NO</v>
      </c>
      <c r="D900" s="6">
        <v>3</v>
      </c>
      <c r="E900" s="6">
        <v>832</v>
      </c>
      <c r="F900" s="6">
        <v>2152</v>
      </c>
      <c r="G900" s="6">
        <v>2152</v>
      </c>
      <c r="H900" s="6">
        <v>1192</v>
      </c>
      <c r="I900" s="6">
        <v>572</v>
      </c>
      <c r="J900" s="6">
        <v>260</v>
      </c>
      <c r="K900" s="40">
        <v>227</v>
      </c>
      <c r="L900" s="40">
        <v>21</v>
      </c>
      <c r="M900" s="40">
        <v>890</v>
      </c>
      <c r="N900" s="40">
        <v>69</v>
      </c>
      <c r="O900" s="40">
        <v>377</v>
      </c>
      <c r="P900" s="40">
        <v>319</v>
      </c>
      <c r="Q900" s="40">
        <v>1</v>
      </c>
      <c r="R900" s="40">
        <v>116</v>
      </c>
      <c r="S900" s="40">
        <v>8</v>
      </c>
    </row>
    <row r="901" spans="1:19" x14ac:dyDescent="0.35">
      <c r="A901" s="38">
        <v>898</v>
      </c>
      <c r="B901" s="38" t="str">
        <f>_xlfn.XLOOKUP(A901,'Model Modeshare by TAZ'!A:A,'Model Modeshare by TAZ'!B:B)</f>
        <v>San Jose</v>
      </c>
      <c r="C901" s="38" t="str">
        <f>_xlfn.XLOOKUP(A901,'Model Modeshare by TAZ'!A:A,'Model Modeshare by TAZ'!D:D)</f>
        <v>NO</v>
      </c>
      <c r="D901" s="6">
        <v>3</v>
      </c>
      <c r="E901" s="6">
        <v>2483</v>
      </c>
      <c r="F901" s="6">
        <v>7217</v>
      </c>
      <c r="G901" s="6">
        <v>7227</v>
      </c>
      <c r="H901" s="6">
        <v>3377</v>
      </c>
      <c r="I901" s="6">
        <v>776</v>
      </c>
      <c r="J901" s="6">
        <v>1707</v>
      </c>
      <c r="K901" s="40">
        <v>204</v>
      </c>
      <c r="L901" s="40">
        <v>57</v>
      </c>
      <c r="M901" s="40">
        <v>613</v>
      </c>
      <c r="N901" s="40">
        <v>132</v>
      </c>
      <c r="O901" s="40">
        <v>364</v>
      </c>
      <c r="P901" s="40">
        <v>111</v>
      </c>
      <c r="Q901" s="40">
        <v>0</v>
      </c>
      <c r="R901" s="40">
        <v>1</v>
      </c>
      <c r="S901" s="40">
        <v>5</v>
      </c>
    </row>
    <row r="902" spans="1:19" x14ac:dyDescent="0.35">
      <c r="A902" s="38">
        <v>899</v>
      </c>
      <c r="B902" s="38" t="str">
        <f>_xlfn.XLOOKUP(A902,'Model Modeshare by TAZ'!A:A,'Model Modeshare by TAZ'!B:B)</f>
        <v>San Jose</v>
      </c>
      <c r="C902" s="38" t="str">
        <f>_xlfn.XLOOKUP(A902,'Model Modeshare by TAZ'!A:A,'Model Modeshare by TAZ'!D:D)</f>
        <v>NO</v>
      </c>
      <c r="D902" s="6">
        <v>3</v>
      </c>
      <c r="E902" s="6">
        <v>1535</v>
      </c>
      <c r="F902" s="6">
        <v>3980</v>
      </c>
      <c r="G902" s="6">
        <v>3989</v>
      </c>
      <c r="H902" s="6">
        <v>2389</v>
      </c>
      <c r="I902" s="6">
        <v>856</v>
      </c>
      <c r="J902" s="6">
        <v>679</v>
      </c>
      <c r="K902" s="40">
        <v>219</v>
      </c>
      <c r="L902" s="40">
        <v>34</v>
      </c>
      <c r="M902" s="40">
        <v>261</v>
      </c>
      <c r="N902" s="40">
        <v>71</v>
      </c>
      <c r="O902" s="40">
        <v>95</v>
      </c>
      <c r="P902" s="40">
        <v>95</v>
      </c>
      <c r="Q902" s="40">
        <v>0</v>
      </c>
      <c r="R902" s="40">
        <v>0</v>
      </c>
      <c r="S902" s="40">
        <v>0</v>
      </c>
    </row>
    <row r="903" spans="1:19" x14ac:dyDescent="0.35">
      <c r="A903" s="38">
        <v>900</v>
      </c>
      <c r="B903" s="38" t="str">
        <f>_xlfn.XLOOKUP(A903,'Model Modeshare by TAZ'!A:A,'Model Modeshare by TAZ'!B:B)</f>
        <v>San Jose</v>
      </c>
      <c r="C903" s="38" t="str">
        <f>_xlfn.XLOOKUP(A903,'Model Modeshare by TAZ'!A:A,'Model Modeshare by TAZ'!D:D)</f>
        <v>NO</v>
      </c>
      <c r="D903" s="6">
        <v>3</v>
      </c>
      <c r="E903" s="6">
        <v>2450</v>
      </c>
      <c r="F903" s="6">
        <v>7496</v>
      </c>
      <c r="G903" s="6">
        <v>7624</v>
      </c>
      <c r="H903" s="6">
        <v>3717</v>
      </c>
      <c r="I903" s="6">
        <v>611</v>
      </c>
      <c r="J903" s="6">
        <v>1839</v>
      </c>
      <c r="K903" s="40">
        <v>178</v>
      </c>
      <c r="L903" s="40">
        <v>33</v>
      </c>
      <c r="M903" s="40">
        <v>1282</v>
      </c>
      <c r="N903" s="40">
        <v>247</v>
      </c>
      <c r="O903" s="40">
        <v>412</v>
      </c>
      <c r="P903" s="40">
        <v>561</v>
      </c>
      <c r="Q903" s="40">
        <v>5</v>
      </c>
      <c r="R903" s="40">
        <v>5</v>
      </c>
      <c r="S903" s="40">
        <v>52</v>
      </c>
    </row>
    <row r="904" spans="1:19" x14ac:dyDescent="0.35">
      <c r="A904" s="38">
        <v>901</v>
      </c>
      <c r="B904" s="38" t="str">
        <f>_xlfn.XLOOKUP(A904,'Model Modeshare by TAZ'!A:A,'Model Modeshare by TAZ'!B:B)</f>
        <v>Unincorporated</v>
      </c>
      <c r="C904" s="38" t="str">
        <f>_xlfn.XLOOKUP(A904,'Model Modeshare by TAZ'!A:A,'Model Modeshare by TAZ'!D:D)</f>
        <v>NO</v>
      </c>
      <c r="D904" s="6">
        <v>3</v>
      </c>
      <c r="E904" s="6">
        <v>378</v>
      </c>
      <c r="F904" s="6">
        <v>968</v>
      </c>
      <c r="G904" s="6">
        <v>969</v>
      </c>
      <c r="H904" s="6">
        <v>514</v>
      </c>
      <c r="I904" s="6">
        <v>238</v>
      </c>
      <c r="J904" s="6">
        <v>140</v>
      </c>
      <c r="K904" s="40">
        <v>70</v>
      </c>
      <c r="L904" s="40">
        <v>15</v>
      </c>
      <c r="M904" s="40">
        <v>265</v>
      </c>
      <c r="N904" s="40">
        <v>84</v>
      </c>
      <c r="O904" s="40">
        <v>130</v>
      </c>
      <c r="P904" s="40">
        <v>47</v>
      </c>
      <c r="Q904" s="40">
        <v>0</v>
      </c>
      <c r="R904" s="40">
        <v>1</v>
      </c>
      <c r="S904" s="40">
        <v>3</v>
      </c>
    </row>
    <row r="905" spans="1:19" x14ac:dyDescent="0.35">
      <c r="A905" s="38">
        <v>902</v>
      </c>
      <c r="B905" s="38" t="str">
        <f>_xlfn.XLOOKUP(A905,'Model Modeshare by TAZ'!A:A,'Model Modeshare by TAZ'!B:B)</f>
        <v>San Jose</v>
      </c>
      <c r="C905" s="38" t="str">
        <f>_xlfn.XLOOKUP(A905,'Model Modeshare by TAZ'!A:A,'Model Modeshare by TAZ'!D:D)</f>
        <v>NO</v>
      </c>
      <c r="D905" s="6">
        <v>3</v>
      </c>
      <c r="E905" s="6">
        <v>501</v>
      </c>
      <c r="F905" s="6">
        <v>1182</v>
      </c>
      <c r="G905" s="6">
        <v>1262</v>
      </c>
      <c r="H905" s="6">
        <v>756</v>
      </c>
      <c r="I905" s="6">
        <v>318</v>
      </c>
      <c r="J905" s="6">
        <v>183</v>
      </c>
      <c r="K905" s="40">
        <v>62</v>
      </c>
      <c r="L905" s="40">
        <v>8</v>
      </c>
      <c r="M905" s="40">
        <v>431</v>
      </c>
      <c r="N905" s="40">
        <v>46</v>
      </c>
      <c r="O905" s="40">
        <v>233</v>
      </c>
      <c r="P905" s="40">
        <v>113</v>
      </c>
      <c r="Q905" s="40">
        <v>3</v>
      </c>
      <c r="R905" s="40">
        <v>30</v>
      </c>
      <c r="S905" s="40">
        <v>6</v>
      </c>
    </row>
    <row r="906" spans="1:19" x14ac:dyDescent="0.35">
      <c r="A906" s="38">
        <v>903</v>
      </c>
      <c r="B906" s="38" t="str">
        <f>_xlfn.XLOOKUP(A906,'Model Modeshare by TAZ'!A:A,'Model Modeshare by TAZ'!B:B)</f>
        <v>San Jose</v>
      </c>
      <c r="C906" s="38" t="str">
        <f>_xlfn.XLOOKUP(A906,'Model Modeshare by TAZ'!A:A,'Model Modeshare by TAZ'!D:D)</f>
        <v>NO</v>
      </c>
      <c r="D906" s="6">
        <v>3</v>
      </c>
      <c r="E906" s="6">
        <v>2</v>
      </c>
      <c r="F906" s="6">
        <v>2</v>
      </c>
      <c r="G906" s="6">
        <v>2</v>
      </c>
      <c r="H906" s="6">
        <v>2</v>
      </c>
      <c r="I906" s="6">
        <v>1</v>
      </c>
      <c r="J906" s="6">
        <v>1</v>
      </c>
      <c r="K906" s="40">
        <v>0</v>
      </c>
      <c r="L906" s="40">
        <v>91</v>
      </c>
      <c r="M906" s="40">
        <v>1527</v>
      </c>
      <c r="N906" s="40">
        <v>216</v>
      </c>
      <c r="O906" s="40">
        <v>550</v>
      </c>
      <c r="P906" s="40">
        <v>418</v>
      </c>
      <c r="Q906" s="40">
        <v>11</v>
      </c>
      <c r="R906" s="40">
        <v>251</v>
      </c>
      <c r="S906" s="40">
        <v>81</v>
      </c>
    </row>
    <row r="907" spans="1:19" x14ac:dyDescent="0.35">
      <c r="A907" s="38">
        <v>904</v>
      </c>
      <c r="B907" s="38" t="str">
        <f>_xlfn.XLOOKUP(A907,'Model Modeshare by TAZ'!A:A,'Model Modeshare by TAZ'!B:B)</f>
        <v>San Jose</v>
      </c>
      <c r="C907" s="38" t="str">
        <f>_xlfn.XLOOKUP(A907,'Model Modeshare by TAZ'!A:A,'Model Modeshare by TAZ'!D:D)</f>
        <v>NO</v>
      </c>
      <c r="D907" s="6">
        <v>3</v>
      </c>
      <c r="E907" s="6">
        <v>442</v>
      </c>
      <c r="F907" s="6">
        <v>1584</v>
      </c>
      <c r="G907" s="6">
        <v>1587</v>
      </c>
      <c r="H907" s="6">
        <v>941</v>
      </c>
      <c r="I907" s="6">
        <v>318</v>
      </c>
      <c r="J907" s="6">
        <v>124</v>
      </c>
      <c r="K907" s="40">
        <v>184</v>
      </c>
      <c r="L907" s="40">
        <v>67</v>
      </c>
      <c r="M907" s="40">
        <v>642</v>
      </c>
      <c r="N907" s="40">
        <v>2</v>
      </c>
      <c r="O907" s="40">
        <v>164</v>
      </c>
      <c r="P907" s="40">
        <v>122</v>
      </c>
      <c r="Q907" s="40">
        <v>0</v>
      </c>
      <c r="R907" s="40">
        <v>327</v>
      </c>
      <c r="S907" s="40">
        <v>27</v>
      </c>
    </row>
    <row r="908" spans="1:19" x14ac:dyDescent="0.35">
      <c r="A908" s="38">
        <v>905</v>
      </c>
      <c r="B908" s="38" t="str">
        <f>_xlfn.XLOOKUP(A908,'Model Modeshare by TAZ'!A:A,'Model Modeshare by TAZ'!B:B)</f>
        <v>San Jose</v>
      </c>
      <c r="C908" s="38" t="str">
        <f>_xlfn.XLOOKUP(A908,'Model Modeshare by TAZ'!A:A,'Model Modeshare by TAZ'!D:D)</f>
        <v>NO</v>
      </c>
      <c r="D908" s="6">
        <v>3</v>
      </c>
      <c r="E908" s="6">
        <v>0</v>
      </c>
      <c r="F908" s="6">
        <v>0</v>
      </c>
      <c r="G908" s="6">
        <v>0</v>
      </c>
      <c r="H908" s="6">
        <v>0</v>
      </c>
      <c r="I908" s="6">
        <v>0</v>
      </c>
      <c r="J908" s="6">
        <v>0</v>
      </c>
      <c r="K908" s="40">
        <v>0</v>
      </c>
      <c r="L908" s="40">
        <v>31</v>
      </c>
      <c r="M908" s="40">
        <v>289</v>
      </c>
      <c r="N908" s="40">
        <v>23</v>
      </c>
      <c r="O908" s="40">
        <v>74</v>
      </c>
      <c r="P908" s="40">
        <v>36</v>
      </c>
      <c r="Q908" s="40">
        <v>0</v>
      </c>
      <c r="R908" s="40">
        <v>106</v>
      </c>
      <c r="S908" s="40">
        <v>50</v>
      </c>
    </row>
    <row r="909" spans="1:19" x14ac:dyDescent="0.35">
      <c r="A909" s="38">
        <v>906</v>
      </c>
      <c r="B909" s="38" t="str">
        <f>_xlfn.XLOOKUP(A909,'Model Modeshare by TAZ'!A:A,'Model Modeshare by TAZ'!B:B)</f>
        <v>San Jose</v>
      </c>
      <c r="C909" s="38" t="str">
        <f>_xlfn.XLOOKUP(A909,'Model Modeshare by TAZ'!A:A,'Model Modeshare by TAZ'!D:D)</f>
        <v>NO</v>
      </c>
      <c r="D909" s="6">
        <v>3</v>
      </c>
      <c r="E909" s="6">
        <v>658</v>
      </c>
      <c r="F909" s="6">
        <v>1317</v>
      </c>
      <c r="G909" s="6">
        <v>1383</v>
      </c>
      <c r="H909" s="6">
        <v>849</v>
      </c>
      <c r="I909" s="6">
        <v>379</v>
      </c>
      <c r="J909" s="6">
        <v>279</v>
      </c>
      <c r="K909" s="40">
        <v>162</v>
      </c>
      <c r="L909" s="40">
        <v>16</v>
      </c>
      <c r="M909" s="40">
        <v>1734</v>
      </c>
      <c r="N909" s="40">
        <v>301</v>
      </c>
      <c r="O909" s="40">
        <v>704</v>
      </c>
      <c r="P909" s="40">
        <v>560</v>
      </c>
      <c r="Q909" s="40">
        <v>0</v>
      </c>
      <c r="R909" s="40">
        <v>167</v>
      </c>
      <c r="S909" s="40">
        <v>2</v>
      </c>
    </row>
    <row r="910" spans="1:19" x14ac:dyDescent="0.35">
      <c r="A910" s="38">
        <v>907</v>
      </c>
      <c r="B910" s="38" t="str">
        <f>_xlfn.XLOOKUP(A910,'Model Modeshare by TAZ'!A:A,'Model Modeshare by TAZ'!B:B)</f>
        <v>Campbell</v>
      </c>
      <c r="C910" s="38" t="str">
        <f>_xlfn.XLOOKUP(A910,'Model Modeshare by TAZ'!A:A,'Model Modeshare by TAZ'!D:D)</f>
        <v>NO</v>
      </c>
      <c r="D910" s="6">
        <v>3</v>
      </c>
      <c r="E910" s="6">
        <v>620</v>
      </c>
      <c r="F910" s="6">
        <v>1559</v>
      </c>
      <c r="G910" s="6">
        <v>1561</v>
      </c>
      <c r="H910" s="6">
        <v>880</v>
      </c>
      <c r="I910" s="6">
        <v>404</v>
      </c>
      <c r="J910" s="6">
        <v>216</v>
      </c>
      <c r="K910" s="40">
        <v>115</v>
      </c>
      <c r="L910" s="40">
        <v>41</v>
      </c>
      <c r="M910" s="40">
        <v>1316</v>
      </c>
      <c r="N910" s="40">
        <v>192</v>
      </c>
      <c r="O910" s="40">
        <v>374</v>
      </c>
      <c r="P910" s="40">
        <v>446</v>
      </c>
      <c r="Q910" s="40">
        <v>2</v>
      </c>
      <c r="R910" s="40">
        <v>266</v>
      </c>
      <c r="S910" s="40">
        <v>36</v>
      </c>
    </row>
    <row r="911" spans="1:19" x14ac:dyDescent="0.35">
      <c r="A911" s="38">
        <v>908</v>
      </c>
      <c r="B911" s="38" t="str">
        <f>_xlfn.XLOOKUP(A911,'Model Modeshare by TAZ'!A:A,'Model Modeshare by TAZ'!B:B)</f>
        <v>San Jose</v>
      </c>
      <c r="C911" s="38" t="str">
        <f>_xlfn.XLOOKUP(A911,'Model Modeshare by TAZ'!A:A,'Model Modeshare by TAZ'!D:D)</f>
        <v>NO</v>
      </c>
      <c r="D911" s="6">
        <v>3</v>
      </c>
      <c r="E911" s="6">
        <v>876</v>
      </c>
      <c r="F911" s="6">
        <v>2369</v>
      </c>
      <c r="G911" s="6">
        <v>2384</v>
      </c>
      <c r="H911" s="6">
        <v>1244</v>
      </c>
      <c r="I911" s="6">
        <v>668</v>
      </c>
      <c r="J911" s="6">
        <v>208</v>
      </c>
      <c r="K911" s="40">
        <v>135</v>
      </c>
      <c r="L911" s="40">
        <v>22</v>
      </c>
      <c r="M911" s="40">
        <v>413</v>
      </c>
      <c r="N911" s="40">
        <v>187</v>
      </c>
      <c r="O911" s="40">
        <v>129</v>
      </c>
      <c r="P911" s="40">
        <v>67</v>
      </c>
      <c r="Q911" s="40">
        <v>2</v>
      </c>
      <c r="R911" s="40">
        <v>7</v>
      </c>
      <c r="S911" s="40">
        <v>21</v>
      </c>
    </row>
    <row r="912" spans="1:19" x14ac:dyDescent="0.35">
      <c r="A912" s="38">
        <v>909</v>
      </c>
      <c r="B912" s="38" t="str">
        <f>_xlfn.XLOOKUP(A912,'Model Modeshare by TAZ'!A:A,'Model Modeshare by TAZ'!B:B)</f>
        <v>San Jose</v>
      </c>
      <c r="C912" s="38" t="str">
        <f>_xlfn.XLOOKUP(A912,'Model Modeshare by TAZ'!A:A,'Model Modeshare by TAZ'!D:D)</f>
        <v>NO</v>
      </c>
      <c r="D912" s="6">
        <v>3</v>
      </c>
      <c r="E912" s="6">
        <v>667</v>
      </c>
      <c r="F912" s="6">
        <v>1805</v>
      </c>
      <c r="G912" s="6">
        <v>1813</v>
      </c>
      <c r="H912" s="6">
        <v>946</v>
      </c>
      <c r="I912" s="6">
        <v>509</v>
      </c>
      <c r="J912" s="6">
        <v>158</v>
      </c>
      <c r="K912" s="40">
        <v>133</v>
      </c>
      <c r="L912" s="40">
        <v>51</v>
      </c>
      <c r="M912" s="40">
        <v>382</v>
      </c>
      <c r="N912" s="40">
        <v>139</v>
      </c>
      <c r="O912" s="40">
        <v>107</v>
      </c>
      <c r="P912" s="40">
        <v>113</v>
      </c>
      <c r="Q912" s="40">
        <v>4</v>
      </c>
      <c r="R912" s="40">
        <v>4</v>
      </c>
      <c r="S912" s="40">
        <v>15</v>
      </c>
    </row>
    <row r="913" spans="1:19" x14ac:dyDescent="0.35">
      <c r="A913" s="38">
        <v>910</v>
      </c>
      <c r="B913" s="38" t="str">
        <f>_xlfn.XLOOKUP(A913,'Model Modeshare by TAZ'!A:A,'Model Modeshare by TAZ'!B:B)</f>
        <v>San Jose</v>
      </c>
      <c r="C913" s="38" t="str">
        <f>_xlfn.XLOOKUP(A913,'Model Modeshare by TAZ'!A:A,'Model Modeshare by TAZ'!D:D)</f>
        <v>NO</v>
      </c>
      <c r="D913" s="6">
        <v>3</v>
      </c>
      <c r="E913" s="6">
        <v>539</v>
      </c>
      <c r="F913" s="6">
        <v>1458</v>
      </c>
      <c r="G913" s="6">
        <v>1468</v>
      </c>
      <c r="H913" s="6">
        <v>765</v>
      </c>
      <c r="I913" s="6">
        <v>411</v>
      </c>
      <c r="J913" s="6">
        <v>128</v>
      </c>
      <c r="K913" s="40">
        <v>98</v>
      </c>
      <c r="L913" s="40">
        <v>23</v>
      </c>
      <c r="M913" s="40">
        <v>143</v>
      </c>
      <c r="N913" s="40">
        <v>64</v>
      </c>
      <c r="O913" s="40">
        <v>44</v>
      </c>
      <c r="P913" s="40">
        <v>21</v>
      </c>
      <c r="Q913" s="40">
        <v>3</v>
      </c>
      <c r="R913" s="40">
        <v>2</v>
      </c>
      <c r="S913" s="40">
        <v>9</v>
      </c>
    </row>
    <row r="914" spans="1:19" x14ac:dyDescent="0.35">
      <c r="A914" s="38">
        <v>911</v>
      </c>
      <c r="B914" s="38" t="str">
        <f>_xlfn.XLOOKUP(A914,'Model Modeshare by TAZ'!A:A,'Model Modeshare by TAZ'!B:B)</f>
        <v>San Jose</v>
      </c>
      <c r="C914" s="38" t="str">
        <f>_xlfn.XLOOKUP(A914,'Model Modeshare by TAZ'!A:A,'Model Modeshare by TAZ'!D:D)</f>
        <v>NO</v>
      </c>
      <c r="D914" s="6">
        <v>3</v>
      </c>
      <c r="E914" s="6">
        <v>1343</v>
      </c>
      <c r="F914" s="6">
        <v>3763</v>
      </c>
      <c r="G914" s="6">
        <v>3789</v>
      </c>
      <c r="H914" s="6">
        <v>1975</v>
      </c>
      <c r="I914" s="6">
        <v>1221</v>
      </c>
      <c r="J914" s="6">
        <v>122</v>
      </c>
      <c r="K914" s="40">
        <v>304</v>
      </c>
      <c r="L914" s="40">
        <v>7</v>
      </c>
      <c r="M914" s="40">
        <v>402</v>
      </c>
      <c r="N914" s="40">
        <v>0</v>
      </c>
      <c r="O914" s="40">
        <v>133</v>
      </c>
      <c r="P914" s="40">
        <v>237</v>
      </c>
      <c r="Q914" s="40">
        <v>10</v>
      </c>
      <c r="R914" s="40">
        <v>10</v>
      </c>
      <c r="S914" s="40">
        <v>12</v>
      </c>
    </row>
    <row r="915" spans="1:19" x14ac:dyDescent="0.35">
      <c r="A915" s="38">
        <v>912</v>
      </c>
      <c r="B915" s="38" t="str">
        <f>_xlfn.XLOOKUP(A915,'Model Modeshare by TAZ'!A:A,'Model Modeshare by TAZ'!B:B)</f>
        <v>San Jose</v>
      </c>
      <c r="C915" s="38" t="str">
        <f>_xlfn.XLOOKUP(A915,'Model Modeshare by TAZ'!A:A,'Model Modeshare by TAZ'!D:D)</f>
        <v>NO</v>
      </c>
      <c r="D915" s="6">
        <v>3</v>
      </c>
      <c r="E915" s="6">
        <v>652</v>
      </c>
      <c r="F915" s="6">
        <v>1756</v>
      </c>
      <c r="G915" s="6">
        <v>1808</v>
      </c>
      <c r="H915" s="6">
        <v>960</v>
      </c>
      <c r="I915" s="6">
        <v>562</v>
      </c>
      <c r="J915" s="6">
        <v>90</v>
      </c>
      <c r="K915" s="40">
        <v>124</v>
      </c>
      <c r="L915" s="40">
        <v>9</v>
      </c>
      <c r="M915" s="40">
        <v>124</v>
      </c>
      <c r="N915" s="40">
        <v>0</v>
      </c>
      <c r="O915" s="40">
        <v>104</v>
      </c>
      <c r="P915" s="40">
        <v>20</v>
      </c>
      <c r="Q915" s="40">
        <v>0</v>
      </c>
      <c r="R915" s="40">
        <v>0</v>
      </c>
      <c r="S915" s="40">
        <v>0</v>
      </c>
    </row>
    <row r="916" spans="1:19" x14ac:dyDescent="0.35">
      <c r="A916" s="38">
        <v>913</v>
      </c>
      <c r="B916" s="38" t="str">
        <f>_xlfn.XLOOKUP(A916,'Model Modeshare by TAZ'!A:A,'Model Modeshare by TAZ'!B:B)</f>
        <v>San Jose</v>
      </c>
      <c r="C916" s="38" t="str">
        <f>_xlfn.XLOOKUP(A916,'Model Modeshare by TAZ'!A:A,'Model Modeshare by TAZ'!D:D)</f>
        <v>NO</v>
      </c>
      <c r="D916" s="6">
        <v>3</v>
      </c>
      <c r="E916" s="6">
        <v>211</v>
      </c>
      <c r="F916" s="6">
        <v>612</v>
      </c>
      <c r="G916" s="6">
        <v>616</v>
      </c>
      <c r="H916" s="6">
        <v>330</v>
      </c>
      <c r="I916" s="6">
        <v>156</v>
      </c>
      <c r="J916" s="6">
        <v>55</v>
      </c>
      <c r="K916" s="40">
        <v>41</v>
      </c>
      <c r="L916" s="40">
        <v>15</v>
      </c>
      <c r="M916" s="40">
        <v>98</v>
      </c>
      <c r="N916" s="40">
        <v>2</v>
      </c>
      <c r="O916" s="40">
        <v>73</v>
      </c>
      <c r="P916" s="40">
        <v>18</v>
      </c>
      <c r="Q916" s="40">
        <v>2</v>
      </c>
      <c r="R916" s="40">
        <v>2</v>
      </c>
      <c r="S916" s="40">
        <v>1</v>
      </c>
    </row>
    <row r="917" spans="1:19" x14ac:dyDescent="0.35">
      <c r="A917" s="38">
        <v>914</v>
      </c>
      <c r="B917" s="38" t="str">
        <f>_xlfn.XLOOKUP(A917,'Model Modeshare by TAZ'!A:A,'Model Modeshare by TAZ'!B:B)</f>
        <v>San Jose</v>
      </c>
      <c r="C917" s="38" t="str">
        <f>_xlfn.XLOOKUP(A917,'Model Modeshare by TAZ'!A:A,'Model Modeshare by TAZ'!D:D)</f>
        <v>NO</v>
      </c>
      <c r="D917" s="6">
        <v>3</v>
      </c>
      <c r="E917" s="6">
        <v>1086</v>
      </c>
      <c r="F917" s="6">
        <v>3089</v>
      </c>
      <c r="G917" s="6">
        <v>3106</v>
      </c>
      <c r="H917" s="6">
        <v>1698</v>
      </c>
      <c r="I917" s="6">
        <v>886</v>
      </c>
      <c r="J917" s="6">
        <v>200</v>
      </c>
      <c r="K917" s="40">
        <v>225</v>
      </c>
      <c r="L917" s="40">
        <v>27</v>
      </c>
      <c r="M917" s="40">
        <v>381</v>
      </c>
      <c r="N917" s="40">
        <v>170</v>
      </c>
      <c r="O917" s="40">
        <v>165</v>
      </c>
      <c r="P917" s="40">
        <v>44</v>
      </c>
      <c r="Q917" s="40">
        <v>1</v>
      </c>
      <c r="R917" s="40">
        <v>0</v>
      </c>
      <c r="S917" s="40">
        <v>1</v>
      </c>
    </row>
    <row r="918" spans="1:19" x14ac:dyDescent="0.35">
      <c r="A918" s="38">
        <v>915</v>
      </c>
      <c r="B918" s="38" t="str">
        <f>_xlfn.XLOOKUP(A918,'Model Modeshare by TAZ'!A:A,'Model Modeshare by TAZ'!B:B)</f>
        <v>San Jose</v>
      </c>
      <c r="C918" s="38" t="str">
        <f>_xlfn.XLOOKUP(A918,'Model Modeshare by TAZ'!A:A,'Model Modeshare by TAZ'!D:D)</f>
        <v>NO</v>
      </c>
      <c r="D918" s="6">
        <v>3</v>
      </c>
      <c r="E918" s="6">
        <v>1226</v>
      </c>
      <c r="F918" s="6">
        <v>3483</v>
      </c>
      <c r="G918" s="6">
        <v>3495</v>
      </c>
      <c r="H918" s="6">
        <v>1917</v>
      </c>
      <c r="I918" s="6">
        <v>1000</v>
      </c>
      <c r="J918" s="6">
        <v>226</v>
      </c>
      <c r="K918" s="40">
        <v>209</v>
      </c>
      <c r="L918" s="40">
        <v>34</v>
      </c>
      <c r="M918" s="40">
        <v>550</v>
      </c>
      <c r="N918" s="40">
        <v>27</v>
      </c>
      <c r="O918" s="40">
        <v>452</v>
      </c>
      <c r="P918" s="40">
        <v>51</v>
      </c>
      <c r="Q918" s="40">
        <v>1</v>
      </c>
      <c r="R918" s="40">
        <v>1</v>
      </c>
      <c r="S918" s="40">
        <v>18</v>
      </c>
    </row>
    <row r="919" spans="1:19" x14ac:dyDescent="0.35">
      <c r="A919" s="38">
        <v>916</v>
      </c>
      <c r="B919" s="38" t="str">
        <f>_xlfn.XLOOKUP(A919,'Model Modeshare by TAZ'!A:A,'Model Modeshare by TAZ'!B:B)</f>
        <v>San Jose</v>
      </c>
      <c r="C919" s="38" t="str">
        <f>_xlfn.XLOOKUP(A919,'Model Modeshare by TAZ'!A:A,'Model Modeshare by TAZ'!D:D)</f>
        <v>NO</v>
      </c>
      <c r="D919" s="6">
        <v>3</v>
      </c>
      <c r="E919" s="6">
        <v>1129</v>
      </c>
      <c r="F919" s="6">
        <v>3007</v>
      </c>
      <c r="G919" s="6">
        <v>3007</v>
      </c>
      <c r="H919" s="6">
        <v>1516</v>
      </c>
      <c r="I919" s="6">
        <v>1118</v>
      </c>
      <c r="J919" s="6">
        <v>11</v>
      </c>
      <c r="K919" s="40">
        <v>239</v>
      </c>
      <c r="L919" s="40">
        <v>31</v>
      </c>
      <c r="M919" s="40">
        <v>155</v>
      </c>
      <c r="N919" s="40">
        <v>65</v>
      </c>
      <c r="O919" s="40">
        <v>71</v>
      </c>
      <c r="P919" s="40">
        <v>18</v>
      </c>
      <c r="Q919" s="40">
        <v>0</v>
      </c>
      <c r="R919" s="40">
        <v>1</v>
      </c>
      <c r="S919" s="40">
        <v>0</v>
      </c>
    </row>
    <row r="920" spans="1:19" x14ac:dyDescent="0.35">
      <c r="A920" s="38">
        <v>917</v>
      </c>
      <c r="B920" s="38" t="str">
        <f>_xlfn.XLOOKUP(A920,'Model Modeshare by TAZ'!A:A,'Model Modeshare by TAZ'!B:B)</f>
        <v>San Jose</v>
      </c>
      <c r="C920" s="38" t="str">
        <f>_xlfn.XLOOKUP(A920,'Model Modeshare by TAZ'!A:A,'Model Modeshare by TAZ'!D:D)</f>
        <v>NO</v>
      </c>
      <c r="D920" s="6">
        <v>3</v>
      </c>
      <c r="E920" s="6">
        <v>489</v>
      </c>
      <c r="F920" s="6">
        <v>1230</v>
      </c>
      <c r="G920" s="6">
        <v>1280</v>
      </c>
      <c r="H920" s="6">
        <v>610</v>
      </c>
      <c r="I920" s="6">
        <v>462</v>
      </c>
      <c r="J920" s="6">
        <v>27</v>
      </c>
      <c r="K920" s="40">
        <v>128</v>
      </c>
      <c r="L920" s="40">
        <v>10</v>
      </c>
      <c r="M920" s="40">
        <v>285</v>
      </c>
      <c r="N920" s="40">
        <v>0</v>
      </c>
      <c r="O920" s="40">
        <v>0</v>
      </c>
      <c r="P920" s="40">
        <v>283</v>
      </c>
      <c r="Q920" s="40">
        <v>2</v>
      </c>
      <c r="R920" s="40">
        <v>0</v>
      </c>
      <c r="S920" s="40">
        <v>0</v>
      </c>
    </row>
    <row r="921" spans="1:19" x14ac:dyDescent="0.35">
      <c r="A921" s="38">
        <v>918</v>
      </c>
      <c r="B921" s="38" t="str">
        <f>_xlfn.XLOOKUP(A921,'Model Modeshare by TAZ'!A:A,'Model Modeshare by TAZ'!B:B)</f>
        <v>San Jose</v>
      </c>
      <c r="C921" s="38" t="str">
        <f>_xlfn.XLOOKUP(A921,'Model Modeshare by TAZ'!A:A,'Model Modeshare by TAZ'!D:D)</f>
        <v>NO</v>
      </c>
      <c r="D921" s="6">
        <v>3</v>
      </c>
      <c r="E921" s="6">
        <v>842</v>
      </c>
      <c r="F921" s="6">
        <v>2116</v>
      </c>
      <c r="G921" s="6">
        <v>2172</v>
      </c>
      <c r="H921" s="6">
        <v>1048</v>
      </c>
      <c r="I921" s="6">
        <v>796</v>
      </c>
      <c r="J921" s="6">
        <v>46</v>
      </c>
      <c r="K921" s="40">
        <v>226</v>
      </c>
      <c r="L921" s="40">
        <v>3</v>
      </c>
      <c r="M921" s="40">
        <v>260</v>
      </c>
      <c r="N921" s="40">
        <v>103</v>
      </c>
      <c r="O921" s="40">
        <v>146</v>
      </c>
      <c r="P921" s="40">
        <v>4</v>
      </c>
      <c r="Q921" s="40">
        <v>2</v>
      </c>
      <c r="R921" s="40">
        <v>5</v>
      </c>
      <c r="S921" s="40">
        <v>0</v>
      </c>
    </row>
    <row r="922" spans="1:19" x14ac:dyDescent="0.35">
      <c r="A922" s="38">
        <v>919</v>
      </c>
      <c r="B922" s="38" t="str">
        <f>_xlfn.XLOOKUP(A922,'Model Modeshare by TAZ'!A:A,'Model Modeshare by TAZ'!B:B)</f>
        <v>San Jose</v>
      </c>
      <c r="C922" s="38" t="str">
        <f>_xlfn.XLOOKUP(A922,'Model Modeshare by TAZ'!A:A,'Model Modeshare by TAZ'!D:D)</f>
        <v>NO</v>
      </c>
      <c r="D922" s="6">
        <v>3</v>
      </c>
      <c r="E922" s="6">
        <v>1181</v>
      </c>
      <c r="F922" s="6">
        <v>3013</v>
      </c>
      <c r="G922" s="6">
        <v>3021</v>
      </c>
      <c r="H922" s="6">
        <v>1603</v>
      </c>
      <c r="I922" s="6">
        <v>1091</v>
      </c>
      <c r="J922" s="6">
        <v>90</v>
      </c>
      <c r="K922" s="40">
        <v>245</v>
      </c>
      <c r="L922" s="40">
        <v>6</v>
      </c>
      <c r="M922" s="40">
        <v>424</v>
      </c>
      <c r="N922" s="40">
        <v>99</v>
      </c>
      <c r="O922" s="40">
        <v>277</v>
      </c>
      <c r="P922" s="40">
        <v>41</v>
      </c>
      <c r="Q922" s="40">
        <v>2</v>
      </c>
      <c r="R922" s="40">
        <v>0</v>
      </c>
      <c r="S922" s="40">
        <v>5</v>
      </c>
    </row>
    <row r="923" spans="1:19" x14ac:dyDescent="0.35">
      <c r="A923" s="38">
        <v>920</v>
      </c>
      <c r="B923" s="38" t="str">
        <f>_xlfn.XLOOKUP(A923,'Model Modeshare by TAZ'!A:A,'Model Modeshare by TAZ'!B:B)</f>
        <v>San Jose</v>
      </c>
      <c r="C923" s="38" t="str">
        <f>_xlfn.XLOOKUP(A923,'Model Modeshare by TAZ'!A:A,'Model Modeshare by TAZ'!D:D)</f>
        <v>NO</v>
      </c>
      <c r="D923" s="6">
        <v>3</v>
      </c>
      <c r="E923" s="6">
        <v>551</v>
      </c>
      <c r="F923" s="6">
        <v>1343</v>
      </c>
      <c r="G923" s="6">
        <v>1344</v>
      </c>
      <c r="H923" s="6">
        <v>780</v>
      </c>
      <c r="I923" s="6">
        <v>478</v>
      </c>
      <c r="J923" s="6">
        <v>73</v>
      </c>
      <c r="K923" s="40">
        <v>118</v>
      </c>
      <c r="L923" s="40">
        <v>10</v>
      </c>
      <c r="M923" s="40">
        <v>355</v>
      </c>
      <c r="N923" s="40">
        <v>206</v>
      </c>
      <c r="O923" s="40">
        <v>105</v>
      </c>
      <c r="P923" s="40">
        <v>36</v>
      </c>
      <c r="Q923" s="40">
        <v>0</v>
      </c>
      <c r="R923" s="40">
        <v>3</v>
      </c>
      <c r="S923" s="40">
        <v>5</v>
      </c>
    </row>
    <row r="924" spans="1:19" x14ac:dyDescent="0.35">
      <c r="A924" s="38">
        <v>921</v>
      </c>
      <c r="B924" s="38" t="str">
        <f>_xlfn.XLOOKUP(A924,'Model Modeshare by TAZ'!A:A,'Model Modeshare by TAZ'!B:B)</f>
        <v>San Jose</v>
      </c>
      <c r="C924" s="38" t="str">
        <f>_xlfn.XLOOKUP(A924,'Model Modeshare by TAZ'!A:A,'Model Modeshare by TAZ'!D:D)</f>
        <v>NO</v>
      </c>
      <c r="D924" s="6">
        <v>3</v>
      </c>
      <c r="E924" s="6">
        <v>1661</v>
      </c>
      <c r="F924" s="6">
        <v>5298</v>
      </c>
      <c r="G924" s="6">
        <v>5306</v>
      </c>
      <c r="H924" s="6">
        <v>2939</v>
      </c>
      <c r="I924" s="6">
        <v>1661</v>
      </c>
      <c r="J924" s="6">
        <v>0</v>
      </c>
      <c r="K924" s="40">
        <v>542</v>
      </c>
      <c r="L924" s="40">
        <v>29</v>
      </c>
      <c r="M924" s="40">
        <v>424</v>
      </c>
      <c r="N924" s="40">
        <v>66</v>
      </c>
      <c r="O924" s="40">
        <v>199</v>
      </c>
      <c r="P924" s="40">
        <v>146</v>
      </c>
      <c r="Q924" s="40">
        <v>0</v>
      </c>
      <c r="R924" s="40">
        <v>8</v>
      </c>
      <c r="S924" s="40">
        <v>5</v>
      </c>
    </row>
    <row r="925" spans="1:19" x14ac:dyDescent="0.35">
      <c r="A925" s="38">
        <v>922</v>
      </c>
      <c r="B925" s="38" t="str">
        <f>_xlfn.XLOOKUP(A925,'Model Modeshare by TAZ'!A:A,'Model Modeshare by TAZ'!B:B)</f>
        <v>San Jose</v>
      </c>
      <c r="C925" s="38" t="str">
        <f>_xlfn.XLOOKUP(A925,'Model Modeshare by TAZ'!A:A,'Model Modeshare by TAZ'!D:D)</f>
        <v>NO</v>
      </c>
      <c r="D925" s="6">
        <v>3</v>
      </c>
      <c r="E925" s="6">
        <v>1636</v>
      </c>
      <c r="F925" s="6">
        <v>5105</v>
      </c>
      <c r="G925" s="6">
        <v>5145</v>
      </c>
      <c r="H925" s="6">
        <v>2814</v>
      </c>
      <c r="I925" s="6">
        <v>1289</v>
      </c>
      <c r="J925" s="6">
        <v>347</v>
      </c>
      <c r="K925" s="40">
        <v>422</v>
      </c>
      <c r="L925" s="40">
        <v>43</v>
      </c>
      <c r="M925" s="40">
        <v>1018</v>
      </c>
      <c r="N925" s="40">
        <v>166</v>
      </c>
      <c r="O925" s="40">
        <v>374</v>
      </c>
      <c r="P925" s="40">
        <v>312</v>
      </c>
      <c r="Q925" s="40">
        <v>0</v>
      </c>
      <c r="R925" s="40">
        <v>166</v>
      </c>
      <c r="S925" s="40">
        <v>0</v>
      </c>
    </row>
    <row r="926" spans="1:19" x14ac:dyDescent="0.35">
      <c r="A926" s="38">
        <v>923</v>
      </c>
      <c r="B926" s="38" t="str">
        <f>_xlfn.XLOOKUP(A926,'Model Modeshare by TAZ'!A:A,'Model Modeshare by TAZ'!B:B)</f>
        <v>San Jose</v>
      </c>
      <c r="C926" s="38" t="str">
        <f>_xlfn.XLOOKUP(A926,'Model Modeshare by TAZ'!A:A,'Model Modeshare by TAZ'!D:D)</f>
        <v>NO</v>
      </c>
      <c r="D926" s="6">
        <v>3</v>
      </c>
      <c r="E926" s="6">
        <v>1370</v>
      </c>
      <c r="F926" s="6">
        <v>4431</v>
      </c>
      <c r="G926" s="6">
        <v>4440</v>
      </c>
      <c r="H926" s="6">
        <v>2334</v>
      </c>
      <c r="I926" s="6">
        <v>1331</v>
      </c>
      <c r="J926" s="6">
        <v>39</v>
      </c>
      <c r="K926" s="40">
        <v>328</v>
      </c>
      <c r="L926" s="40">
        <v>16</v>
      </c>
      <c r="M926" s="40">
        <v>230</v>
      </c>
      <c r="N926" s="40">
        <v>11</v>
      </c>
      <c r="O926" s="40">
        <v>132</v>
      </c>
      <c r="P926" s="40">
        <v>83</v>
      </c>
      <c r="Q926" s="40">
        <v>2</v>
      </c>
      <c r="R926" s="40">
        <v>0</v>
      </c>
      <c r="S926" s="40">
        <v>2</v>
      </c>
    </row>
    <row r="927" spans="1:19" x14ac:dyDescent="0.35">
      <c r="A927" s="38">
        <v>924</v>
      </c>
      <c r="B927" s="38" t="str">
        <f>_xlfn.XLOOKUP(A927,'Model Modeshare by TAZ'!A:A,'Model Modeshare by TAZ'!B:B)</f>
        <v>San Jose</v>
      </c>
      <c r="C927" s="38" t="str">
        <f>_xlfn.XLOOKUP(A927,'Model Modeshare by TAZ'!A:A,'Model Modeshare by TAZ'!D:D)</f>
        <v>NO</v>
      </c>
      <c r="D927" s="6">
        <v>3</v>
      </c>
      <c r="E927" s="6">
        <v>1129</v>
      </c>
      <c r="F927" s="6">
        <v>3353</v>
      </c>
      <c r="G927" s="6">
        <v>3373</v>
      </c>
      <c r="H927" s="6">
        <v>2211</v>
      </c>
      <c r="I927" s="6">
        <v>1129</v>
      </c>
      <c r="J927" s="6">
        <v>0</v>
      </c>
      <c r="K927" s="40">
        <v>182</v>
      </c>
      <c r="L927" s="40">
        <v>30</v>
      </c>
      <c r="M927" s="40">
        <v>294</v>
      </c>
      <c r="N927" s="40">
        <v>17</v>
      </c>
      <c r="O927" s="40">
        <v>233</v>
      </c>
      <c r="P927" s="40">
        <v>43</v>
      </c>
      <c r="Q927" s="40">
        <v>0</v>
      </c>
      <c r="R927" s="40">
        <v>1</v>
      </c>
      <c r="S927" s="40">
        <v>0</v>
      </c>
    </row>
    <row r="928" spans="1:19" x14ac:dyDescent="0.35">
      <c r="A928" s="38">
        <v>925</v>
      </c>
      <c r="B928" s="38" t="str">
        <f>_xlfn.XLOOKUP(A928,'Model Modeshare by TAZ'!A:A,'Model Modeshare by TAZ'!B:B)</f>
        <v>San Jose</v>
      </c>
      <c r="C928" s="38" t="str">
        <f>_xlfn.XLOOKUP(A928,'Model Modeshare by TAZ'!A:A,'Model Modeshare by TAZ'!D:D)</f>
        <v>NO</v>
      </c>
      <c r="D928" s="6">
        <v>3</v>
      </c>
      <c r="E928" s="6">
        <v>787</v>
      </c>
      <c r="F928" s="6">
        <v>2416</v>
      </c>
      <c r="G928" s="6">
        <v>2435</v>
      </c>
      <c r="H928" s="6">
        <v>1352</v>
      </c>
      <c r="I928" s="6">
        <v>636</v>
      </c>
      <c r="J928" s="6">
        <v>151</v>
      </c>
      <c r="K928" s="40">
        <v>156</v>
      </c>
      <c r="L928" s="40">
        <v>11</v>
      </c>
      <c r="M928" s="40">
        <v>88</v>
      </c>
      <c r="N928" s="40">
        <v>7</v>
      </c>
      <c r="O928" s="40">
        <v>6</v>
      </c>
      <c r="P928" s="40">
        <v>13</v>
      </c>
      <c r="Q928" s="40">
        <v>0</v>
      </c>
      <c r="R928" s="40">
        <v>62</v>
      </c>
      <c r="S928" s="40">
        <v>0</v>
      </c>
    </row>
    <row r="929" spans="1:19" x14ac:dyDescent="0.35">
      <c r="A929" s="38">
        <v>926</v>
      </c>
      <c r="B929" s="38" t="str">
        <f>_xlfn.XLOOKUP(A929,'Model Modeshare by TAZ'!A:A,'Model Modeshare by TAZ'!B:B)</f>
        <v>San Jose</v>
      </c>
      <c r="C929" s="38" t="str">
        <f>_xlfn.XLOOKUP(A929,'Model Modeshare by TAZ'!A:A,'Model Modeshare by TAZ'!D:D)</f>
        <v>NO</v>
      </c>
      <c r="D929" s="6">
        <v>3</v>
      </c>
      <c r="E929" s="6">
        <v>1533</v>
      </c>
      <c r="F929" s="6">
        <v>4711</v>
      </c>
      <c r="G929" s="6">
        <v>4746</v>
      </c>
      <c r="H929" s="6">
        <v>2635</v>
      </c>
      <c r="I929" s="6">
        <v>1239</v>
      </c>
      <c r="J929" s="6">
        <v>294</v>
      </c>
      <c r="K929" s="40">
        <v>250</v>
      </c>
      <c r="L929" s="40">
        <v>29</v>
      </c>
      <c r="M929" s="40">
        <v>948</v>
      </c>
      <c r="N929" s="40">
        <v>6</v>
      </c>
      <c r="O929" s="40">
        <v>116</v>
      </c>
      <c r="P929" s="40">
        <v>34</v>
      </c>
      <c r="Q929" s="40">
        <v>2</v>
      </c>
      <c r="R929" s="40">
        <v>789</v>
      </c>
      <c r="S929" s="40">
        <v>1</v>
      </c>
    </row>
    <row r="930" spans="1:19" x14ac:dyDescent="0.35">
      <c r="A930" s="38">
        <v>927</v>
      </c>
      <c r="B930" s="38" t="str">
        <f>_xlfn.XLOOKUP(A930,'Model Modeshare by TAZ'!A:A,'Model Modeshare by TAZ'!B:B)</f>
        <v>San Jose</v>
      </c>
      <c r="C930" s="38" t="str">
        <f>_xlfn.XLOOKUP(A930,'Model Modeshare by TAZ'!A:A,'Model Modeshare by TAZ'!D:D)</f>
        <v>NO</v>
      </c>
      <c r="D930" s="6">
        <v>3</v>
      </c>
      <c r="E930" s="6">
        <v>628</v>
      </c>
      <c r="F930" s="6">
        <v>2063</v>
      </c>
      <c r="G930" s="6">
        <v>2075</v>
      </c>
      <c r="H930" s="6">
        <v>1246</v>
      </c>
      <c r="I930" s="6">
        <v>624</v>
      </c>
      <c r="J930" s="6">
        <v>4</v>
      </c>
      <c r="K930" s="40">
        <v>165</v>
      </c>
      <c r="L930" s="40">
        <v>30</v>
      </c>
      <c r="M930" s="40">
        <v>87</v>
      </c>
      <c r="N930" s="40">
        <v>22</v>
      </c>
      <c r="O930" s="40">
        <v>4</v>
      </c>
      <c r="P930" s="40">
        <v>30</v>
      </c>
      <c r="Q930" s="40">
        <v>0</v>
      </c>
      <c r="R930" s="40">
        <v>31</v>
      </c>
      <c r="S930" s="40">
        <v>0</v>
      </c>
    </row>
    <row r="931" spans="1:19" x14ac:dyDescent="0.35">
      <c r="A931" s="38">
        <v>928</v>
      </c>
      <c r="B931" s="38" t="str">
        <f>_xlfn.XLOOKUP(A931,'Model Modeshare by TAZ'!A:A,'Model Modeshare by TAZ'!B:B)</f>
        <v>San Jose</v>
      </c>
      <c r="C931" s="38" t="str">
        <f>_xlfn.XLOOKUP(A931,'Model Modeshare by TAZ'!A:A,'Model Modeshare by TAZ'!D:D)</f>
        <v>NO</v>
      </c>
      <c r="D931" s="6">
        <v>3</v>
      </c>
      <c r="E931" s="6">
        <v>1134</v>
      </c>
      <c r="F931" s="6">
        <v>3531</v>
      </c>
      <c r="G931" s="6">
        <v>3580</v>
      </c>
      <c r="H931" s="6">
        <v>1952</v>
      </c>
      <c r="I931" s="6">
        <v>832</v>
      </c>
      <c r="J931" s="6">
        <v>302</v>
      </c>
      <c r="K931" s="40">
        <v>215</v>
      </c>
      <c r="L931" s="40">
        <v>2</v>
      </c>
      <c r="M931" s="40">
        <v>539</v>
      </c>
      <c r="N931" s="40">
        <v>125</v>
      </c>
      <c r="O931" s="40">
        <v>194</v>
      </c>
      <c r="P931" s="40">
        <v>220</v>
      </c>
      <c r="Q931" s="40">
        <v>0</v>
      </c>
      <c r="R931" s="40">
        <v>0</v>
      </c>
      <c r="S931" s="40">
        <v>0</v>
      </c>
    </row>
    <row r="932" spans="1:19" x14ac:dyDescent="0.35">
      <c r="A932" s="38">
        <v>929</v>
      </c>
      <c r="B932" s="38" t="str">
        <f>_xlfn.XLOOKUP(A932,'Model Modeshare by TAZ'!A:A,'Model Modeshare by TAZ'!B:B)</f>
        <v>San Jose</v>
      </c>
      <c r="C932" s="38" t="str">
        <f>_xlfn.XLOOKUP(A932,'Model Modeshare by TAZ'!A:A,'Model Modeshare by TAZ'!D:D)</f>
        <v>NO</v>
      </c>
      <c r="D932" s="6">
        <v>3</v>
      </c>
      <c r="E932" s="6">
        <v>1504</v>
      </c>
      <c r="F932" s="6">
        <v>5834</v>
      </c>
      <c r="G932" s="6">
        <v>5846</v>
      </c>
      <c r="H932" s="6">
        <v>2465</v>
      </c>
      <c r="I932" s="6">
        <v>806</v>
      </c>
      <c r="J932" s="6">
        <v>698</v>
      </c>
      <c r="K932" s="40">
        <v>176</v>
      </c>
      <c r="L932" s="40">
        <v>64</v>
      </c>
      <c r="M932" s="40">
        <v>946</v>
      </c>
      <c r="N932" s="40">
        <v>276</v>
      </c>
      <c r="O932" s="40">
        <v>512</v>
      </c>
      <c r="P932" s="40">
        <v>116</v>
      </c>
      <c r="Q932" s="40">
        <v>8</v>
      </c>
      <c r="R932" s="40">
        <v>26</v>
      </c>
      <c r="S932" s="40">
        <v>8</v>
      </c>
    </row>
    <row r="933" spans="1:19" x14ac:dyDescent="0.35">
      <c r="A933" s="38">
        <v>930</v>
      </c>
      <c r="B933" s="38" t="str">
        <f>_xlfn.XLOOKUP(A933,'Model Modeshare by TAZ'!A:A,'Model Modeshare by TAZ'!B:B)</f>
        <v>San Jose</v>
      </c>
      <c r="C933" s="38" t="str">
        <f>_xlfn.XLOOKUP(A933,'Model Modeshare by TAZ'!A:A,'Model Modeshare by TAZ'!D:D)</f>
        <v>NO</v>
      </c>
      <c r="D933" s="6">
        <v>3</v>
      </c>
      <c r="E933" s="6">
        <v>1080</v>
      </c>
      <c r="F933" s="6">
        <v>4037</v>
      </c>
      <c r="G933" s="6">
        <v>4053</v>
      </c>
      <c r="H933" s="6">
        <v>2068</v>
      </c>
      <c r="I933" s="6">
        <v>903</v>
      </c>
      <c r="J933" s="6">
        <v>177</v>
      </c>
      <c r="K933" s="40">
        <v>224</v>
      </c>
      <c r="L933" s="40">
        <v>3</v>
      </c>
      <c r="M933" s="40">
        <v>171</v>
      </c>
      <c r="N933" s="40">
        <v>0</v>
      </c>
      <c r="O933" s="40">
        <v>0</v>
      </c>
      <c r="P933" s="40">
        <v>171</v>
      </c>
      <c r="Q933" s="40">
        <v>0</v>
      </c>
      <c r="R933" s="40">
        <v>0</v>
      </c>
      <c r="S933" s="40">
        <v>0</v>
      </c>
    </row>
    <row r="934" spans="1:19" x14ac:dyDescent="0.35">
      <c r="A934" s="38">
        <v>931</v>
      </c>
      <c r="B934" s="38" t="str">
        <f>_xlfn.XLOOKUP(A934,'Model Modeshare by TAZ'!A:A,'Model Modeshare by TAZ'!B:B)</f>
        <v>San Jose</v>
      </c>
      <c r="C934" s="38" t="str">
        <f>_xlfn.XLOOKUP(A934,'Model Modeshare by TAZ'!A:A,'Model Modeshare by TAZ'!D:D)</f>
        <v>NO</v>
      </c>
      <c r="D934" s="6">
        <v>3</v>
      </c>
      <c r="E934" s="6">
        <v>788</v>
      </c>
      <c r="F934" s="6">
        <v>3739</v>
      </c>
      <c r="G934" s="6">
        <v>3749</v>
      </c>
      <c r="H934" s="6">
        <v>1495</v>
      </c>
      <c r="I934" s="6">
        <v>731</v>
      </c>
      <c r="J934" s="6">
        <v>57</v>
      </c>
      <c r="K934" s="40">
        <v>156</v>
      </c>
      <c r="L934" s="40">
        <v>8</v>
      </c>
      <c r="M934" s="40">
        <v>173</v>
      </c>
      <c r="N934" s="40">
        <v>4</v>
      </c>
      <c r="O934" s="40">
        <v>139</v>
      </c>
      <c r="P934" s="40">
        <v>29</v>
      </c>
      <c r="Q934" s="40">
        <v>0</v>
      </c>
      <c r="R934" s="40">
        <v>0</v>
      </c>
      <c r="S934" s="40">
        <v>1</v>
      </c>
    </row>
    <row r="935" spans="1:19" x14ac:dyDescent="0.35">
      <c r="A935" s="38">
        <v>932</v>
      </c>
      <c r="B935" s="38" t="str">
        <f>_xlfn.XLOOKUP(A935,'Model Modeshare by TAZ'!A:A,'Model Modeshare by TAZ'!B:B)</f>
        <v>San Jose</v>
      </c>
      <c r="C935" s="38" t="str">
        <f>_xlfn.XLOOKUP(A935,'Model Modeshare by TAZ'!A:A,'Model Modeshare by TAZ'!D:D)</f>
        <v>NO</v>
      </c>
      <c r="D935" s="6">
        <v>3</v>
      </c>
      <c r="E935" s="6">
        <v>2849</v>
      </c>
      <c r="F935" s="6">
        <v>6672</v>
      </c>
      <c r="G935" s="6">
        <v>6675</v>
      </c>
      <c r="H935" s="6">
        <v>4498</v>
      </c>
      <c r="I935" s="6">
        <v>520</v>
      </c>
      <c r="J935" s="6">
        <v>2329</v>
      </c>
      <c r="K935" s="40">
        <v>156</v>
      </c>
      <c r="L935" s="40">
        <v>28</v>
      </c>
      <c r="M935" s="40">
        <v>521</v>
      </c>
      <c r="N935" s="40">
        <v>45</v>
      </c>
      <c r="O935" s="40">
        <v>128</v>
      </c>
      <c r="P935" s="40">
        <v>88</v>
      </c>
      <c r="Q935" s="40">
        <v>5</v>
      </c>
      <c r="R935" s="40">
        <v>174</v>
      </c>
      <c r="S935" s="40">
        <v>81</v>
      </c>
    </row>
    <row r="936" spans="1:19" x14ac:dyDescent="0.35">
      <c r="A936" s="38">
        <v>933</v>
      </c>
      <c r="B936" s="38" t="str">
        <f>_xlfn.XLOOKUP(A936,'Model Modeshare by TAZ'!A:A,'Model Modeshare by TAZ'!B:B)</f>
        <v>San Jose</v>
      </c>
      <c r="C936" s="38" t="str">
        <f>_xlfn.XLOOKUP(A936,'Model Modeshare by TAZ'!A:A,'Model Modeshare by TAZ'!D:D)</f>
        <v>NO</v>
      </c>
      <c r="D936" s="6">
        <v>3</v>
      </c>
      <c r="E936" s="6">
        <v>939</v>
      </c>
      <c r="F936" s="6">
        <v>3510</v>
      </c>
      <c r="G936" s="6">
        <v>3517</v>
      </c>
      <c r="H936" s="6">
        <v>1799</v>
      </c>
      <c r="I936" s="6">
        <v>806</v>
      </c>
      <c r="J936" s="6">
        <v>133</v>
      </c>
      <c r="K936" s="40">
        <v>276</v>
      </c>
      <c r="L936" s="40">
        <v>35</v>
      </c>
      <c r="M936" s="40">
        <v>282</v>
      </c>
      <c r="N936" s="40">
        <v>63</v>
      </c>
      <c r="O936" s="40">
        <v>168</v>
      </c>
      <c r="P936" s="40">
        <v>49</v>
      </c>
      <c r="Q936" s="40">
        <v>0</v>
      </c>
      <c r="R936" s="40">
        <v>0</v>
      </c>
      <c r="S936" s="40">
        <v>2</v>
      </c>
    </row>
    <row r="937" spans="1:19" x14ac:dyDescent="0.35">
      <c r="A937" s="38">
        <v>934</v>
      </c>
      <c r="B937" s="38" t="str">
        <f>_xlfn.XLOOKUP(A937,'Model Modeshare by TAZ'!A:A,'Model Modeshare by TAZ'!B:B)</f>
        <v>San Jose</v>
      </c>
      <c r="C937" s="38" t="str">
        <f>_xlfn.XLOOKUP(A937,'Model Modeshare by TAZ'!A:A,'Model Modeshare by TAZ'!D:D)</f>
        <v>NO</v>
      </c>
      <c r="D937" s="6">
        <v>3</v>
      </c>
      <c r="E937" s="6">
        <v>1374</v>
      </c>
      <c r="F937" s="6">
        <v>5294</v>
      </c>
      <c r="G937" s="6">
        <v>5308</v>
      </c>
      <c r="H937" s="6">
        <v>2405</v>
      </c>
      <c r="I937" s="6">
        <v>906</v>
      </c>
      <c r="J937" s="6">
        <v>468</v>
      </c>
      <c r="K937" s="40">
        <v>176</v>
      </c>
      <c r="L937" s="40">
        <v>21</v>
      </c>
      <c r="M937" s="40">
        <v>528</v>
      </c>
      <c r="N937" s="40">
        <v>173</v>
      </c>
      <c r="O937" s="40">
        <v>78</v>
      </c>
      <c r="P937" s="40">
        <v>151</v>
      </c>
      <c r="Q937" s="40">
        <v>1</v>
      </c>
      <c r="R937" s="40">
        <v>63</v>
      </c>
      <c r="S937" s="40">
        <v>62</v>
      </c>
    </row>
    <row r="938" spans="1:19" x14ac:dyDescent="0.35">
      <c r="A938" s="38">
        <v>935</v>
      </c>
      <c r="B938" s="38" t="str">
        <f>_xlfn.XLOOKUP(A938,'Model Modeshare by TAZ'!A:A,'Model Modeshare by TAZ'!B:B)</f>
        <v>San Jose</v>
      </c>
      <c r="C938" s="38" t="str">
        <f>_xlfn.XLOOKUP(A938,'Model Modeshare by TAZ'!A:A,'Model Modeshare by TAZ'!D:D)</f>
        <v>NO</v>
      </c>
      <c r="D938" s="6">
        <v>3</v>
      </c>
      <c r="E938" s="6">
        <v>954</v>
      </c>
      <c r="F938" s="6">
        <v>4180</v>
      </c>
      <c r="G938" s="6">
        <v>4181</v>
      </c>
      <c r="H938" s="6">
        <v>1807</v>
      </c>
      <c r="I938" s="6">
        <v>231</v>
      </c>
      <c r="J938" s="6">
        <v>723</v>
      </c>
      <c r="K938" s="40">
        <v>70</v>
      </c>
      <c r="L938" s="40">
        <v>6</v>
      </c>
      <c r="M938" s="40">
        <v>137</v>
      </c>
      <c r="N938" s="40">
        <v>0</v>
      </c>
      <c r="O938" s="40">
        <v>0</v>
      </c>
      <c r="P938" s="40">
        <v>132</v>
      </c>
      <c r="Q938" s="40">
        <v>5</v>
      </c>
      <c r="R938" s="40">
        <v>0</v>
      </c>
      <c r="S938" s="40">
        <v>0</v>
      </c>
    </row>
    <row r="939" spans="1:19" x14ac:dyDescent="0.35">
      <c r="A939" s="38">
        <v>936</v>
      </c>
      <c r="B939" s="38" t="str">
        <f>_xlfn.XLOOKUP(A939,'Model Modeshare by TAZ'!A:A,'Model Modeshare by TAZ'!B:B)</f>
        <v>San Jose</v>
      </c>
      <c r="C939" s="38" t="str">
        <f>_xlfn.XLOOKUP(A939,'Model Modeshare by TAZ'!A:A,'Model Modeshare by TAZ'!D:D)</f>
        <v>NO</v>
      </c>
      <c r="D939" s="6">
        <v>3</v>
      </c>
      <c r="E939" s="6">
        <v>545</v>
      </c>
      <c r="F939" s="6">
        <v>2563</v>
      </c>
      <c r="G939" s="6">
        <v>2566</v>
      </c>
      <c r="H939" s="6">
        <v>1073</v>
      </c>
      <c r="I939" s="6">
        <v>318</v>
      </c>
      <c r="J939" s="6">
        <v>227</v>
      </c>
      <c r="K939" s="40">
        <v>92</v>
      </c>
      <c r="L939" s="40">
        <v>4</v>
      </c>
      <c r="M939" s="40">
        <v>314</v>
      </c>
      <c r="N939" s="40">
        <v>103</v>
      </c>
      <c r="O939" s="40">
        <v>200</v>
      </c>
      <c r="P939" s="40">
        <v>11</v>
      </c>
      <c r="Q939" s="40">
        <v>0</v>
      </c>
      <c r="R939" s="40">
        <v>0</v>
      </c>
      <c r="S939" s="40">
        <v>0</v>
      </c>
    </row>
    <row r="940" spans="1:19" x14ac:dyDescent="0.35">
      <c r="A940" s="38">
        <v>937</v>
      </c>
      <c r="B940" s="38" t="str">
        <f>_xlfn.XLOOKUP(A940,'Model Modeshare by TAZ'!A:A,'Model Modeshare by TAZ'!B:B)</f>
        <v>San Jose</v>
      </c>
      <c r="C940" s="38" t="str">
        <f>_xlfn.XLOOKUP(A940,'Model Modeshare by TAZ'!A:A,'Model Modeshare by TAZ'!D:D)</f>
        <v>NO</v>
      </c>
      <c r="D940" s="6">
        <v>3</v>
      </c>
      <c r="E940" s="6">
        <v>1141</v>
      </c>
      <c r="F940" s="6">
        <v>4572</v>
      </c>
      <c r="G940" s="6">
        <v>4610</v>
      </c>
      <c r="H940" s="6">
        <v>2524</v>
      </c>
      <c r="I940" s="6">
        <v>1135</v>
      </c>
      <c r="J940" s="6">
        <v>6</v>
      </c>
      <c r="K940" s="40">
        <v>194</v>
      </c>
      <c r="L940" s="40">
        <v>57</v>
      </c>
      <c r="M940" s="40">
        <v>1132</v>
      </c>
      <c r="N940" s="40">
        <v>19</v>
      </c>
      <c r="O940" s="40">
        <v>533</v>
      </c>
      <c r="P940" s="40">
        <v>75</v>
      </c>
      <c r="Q940" s="40">
        <v>1</v>
      </c>
      <c r="R940" s="40">
        <v>504</v>
      </c>
      <c r="S940" s="40">
        <v>0</v>
      </c>
    </row>
    <row r="941" spans="1:19" x14ac:dyDescent="0.35">
      <c r="A941" s="38">
        <v>938</v>
      </c>
      <c r="B941" s="38" t="str">
        <f>_xlfn.XLOOKUP(A941,'Model Modeshare by TAZ'!A:A,'Model Modeshare by TAZ'!B:B)</f>
        <v>San Jose</v>
      </c>
      <c r="C941" s="38" t="str">
        <f>_xlfn.XLOOKUP(A941,'Model Modeshare by TAZ'!A:A,'Model Modeshare by TAZ'!D:D)</f>
        <v>NO</v>
      </c>
      <c r="D941" s="6">
        <v>3</v>
      </c>
      <c r="E941" s="6">
        <v>629</v>
      </c>
      <c r="F941" s="6">
        <v>2528</v>
      </c>
      <c r="G941" s="6">
        <v>2544</v>
      </c>
      <c r="H941" s="6">
        <v>1131</v>
      </c>
      <c r="I941" s="6">
        <v>625</v>
      </c>
      <c r="J941" s="6">
        <v>4</v>
      </c>
      <c r="K941" s="40">
        <v>145</v>
      </c>
      <c r="L941" s="40">
        <v>17</v>
      </c>
      <c r="M941" s="40">
        <v>320</v>
      </c>
      <c r="N941" s="40">
        <v>75</v>
      </c>
      <c r="O941" s="40">
        <v>84</v>
      </c>
      <c r="P941" s="40">
        <v>156</v>
      </c>
      <c r="Q941" s="40">
        <v>0</v>
      </c>
      <c r="R941" s="40">
        <v>4</v>
      </c>
      <c r="S941" s="40">
        <v>1</v>
      </c>
    </row>
    <row r="942" spans="1:19" x14ac:dyDescent="0.35">
      <c r="A942" s="38">
        <v>939</v>
      </c>
      <c r="B942" s="38" t="str">
        <f>_xlfn.XLOOKUP(A942,'Model Modeshare by TAZ'!A:A,'Model Modeshare by TAZ'!B:B)</f>
        <v>San Jose</v>
      </c>
      <c r="C942" s="38" t="str">
        <f>_xlfn.XLOOKUP(A942,'Model Modeshare by TAZ'!A:A,'Model Modeshare by TAZ'!D:D)</f>
        <v>NO</v>
      </c>
      <c r="D942" s="6">
        <v>3</v>
      </c>
      <c r="E942" s="6">
        <v>380</v>
      </c>
      <c r="F942" s="6">
        <v>1589</v>
      </c>
      <c r="G942" s="6">
        <v>1605</v>
      </c>
      <c r="H942" s="6">
        <v>795</v>
      </c>
      <c r="I942" s="6">
        <v>376</v>
      </c>
      <c r="J942" s="6">
        <v>4</v>
      </c>
      <c r="K942" s="40">
        <v>78</v>
      </c>
      <c r="L942" s="40">
        <v>7</v>
      </c>
      <c r="M942" s="40">
        <v>40</v>
      </c>
      <c r="N942" s="40">
        <v>22</v>
      </c>
      <c r="O942" s="40">
        <v>18</v>
      </c>
      <c r="P942" s="40">
        <v>0</v>
      </c>
      <c r="Q942" s="40">
        <v>0</v>
      </c>
      <c r="R942" s="40">
        <v>0</v>
      </c>
      <c r="S942" s="40">
        <v>0</v>
      </c>
    </row>
    <row r="943" spans="1:19" x14ac:dyDescent="0.35">
      <c r="A943" s="38">
        <v>940</v>
      </c>
      <c r="B943" s="38" t="str">
        <f>_xlfn.XLOOKUP(A943,'Model Modeshare by TAZ'!A:A,'Model Modeshare by TAZ'!B:B)</f>
        <v>San Jose</v>
      </c>
      <c r="C943" s="38" t="str">
        <f>_xlfn.XLOOKUP(A943,'Model Modeshare by TAZ'!A:A,'Model Modeshare by TAZ'!D:D)</f>
        <v>NO</v>
      </c>
      <c r="D943" s="6">
        <v>3</v>
      </c>
      <c r="E943" s="6">
        <v>1199</v>
      </c>
      <c r="F943" s="6">
        <v>6079</v>
      </c>
      <c r="G943" s="6">
        <v>6138</v>
      </c>
      <c r="H943" s="6">
        <v>2397</v>
      </c>
      <c r="I943" s="6">
        <v>1130</v>
      </c>
      <c r="J943" s="6">
        <v>69</v>
      </c>
      <c r="K943" s="40">
        <v>206</v>
      </c>
      <c r="L943" s="40">
        <v>30</v>
      </c>
      <c r="M943" s="40">
        <v>145</v>
      </c>
      <c r="N943" s="40">
        <v>35</v>
      </c>
      <c r="O943" s="40">
        <v>77</v>
      </c>
      <c r="P943" s="40">
        <v>31</v>
      </c>
      <c r="Q943" s="40">
        <v>1</v>
      </c>
      <c r="R943" s="40">
        <v>1</v>
      </c>
      <c r="S943" s="40">
        <v>0</v>
      </c>
    </row>
    <row r="944" spans="1:19" x14ac:dyDescent="0.35">
      <c r="A944" s="38">
        <v>941</v>
      </c>
      <c r="B944" s="38" t="str">
        <f>_xlfn.XLOOKUP(A944,'Model Modeshare by TAZ'!A:A,'Model Modeshare by TAZ'!B:B)</f>
        <v>San Jose</v>
      </c>
      <c r="C944" s="38" t="str">
        <f>_xlfn.XLOOKUP(A944,'Model Modeshare by TAZ'!A:A,'Model Modeshare by TAZ'!D:D)</f>
        <v>NO</v>
      </c>
      <c r="D944" s="6">
        <v>3</v>
      </c>
      <c r="E944" s="6">
        <v>856</v>
      </c>
      <c r="F944" s="6">
        <v>4128</v>
      </c>
      <c r="G944" s="6">
        <v>4128</v>
      </c>
      <c r="H944" s="6">
        <v>1825</v>
      </c>
      <c r="I944" s="6">
        <v>856</v>
      </c>
      <c r="J944" s="6">
        <v>0</v>
      </c>
      <c r="K944" s="40">
        <v>165</v>
      </c>
      <c r="L944" s="40">
        <v>87</v>
      </c>
      <c r="M944" s="40">
        <v>543</v>
      </c>
      <c r="N944" s="40">
        <v>91</v>
      </c>
      <c r="O944" s="40">
        <v>203</v>
      </c>
      <c r="P944" s="40">
        <v>247</v>
      </c>
      <c r="Q944" s="40">
        <v>2</v>
      </c>
      <c r="R944" s="40">
        <v>0</v>
      </c>
      <c r="S944" s="40">
        <v>0</v>
      </c>
    </row>
    <row r="945" spans="1:19" x14ac:dyDescent="0.35">
      <c r="A945" s="38">
        <v>942</v>
      </c>
      <c r="B945" s="38" t="str">
        <f>_xlfn.XLOOKUP(A945,'Model Modeshare by TAZ'!A:A,'Model Modeshare by TAZ'!B:B)</f>
        <v>San Jose</v>
      </c>
      <c r="C945" s="38" t="str">
        <f>_xlfn.XLOOKUP(A945,'Model Modeshare by TAZ'!A:A,'Model Modeshare by TAZ'!D:D)</f>
        <v>NO</v>
      </c>
      <c r="D945" s="6">
        <v>3</v>
      </c>
      <c r="E945" s="6">
        <v>2</v>
      </c>
      <c r="F945" s="6">
        <v>4</v>
      </c>
      <c r="G945" s="6">
        <v>4</v>
      </c>
      <c r="H945" s="6">
        <v>3</v>
      </c>
      <c r="I945" s="6">
        <v>1</v>
      </c>
      <c r="J945" s="6">
        <v>1</v>
      </c>
      <c r="K945" s="40">
        <v>1</v>
      </c>
      <c r="L945" s="40">
        <v>305</v>
      </c>
      <c r="M945" s="40">
        <v>332</v>
      </c>
      <c r="N945" s="40">
        <v>0</v>
      </c>
      <c r="O945" s="40">
        <v>0</v>
      </c>
      <c r="P945" s="40">
        <v>0</v>
      </c>
      <c r="Q945" s="40">
        <v>0</v>
      </c>
      <c r="R945" s="40">
        <v>0</v>
      </c>
      <c r="S945" s="40">
        <v>332</v>
      </c>
    </row>
    <row r="946" spans="1:19" x14ac:dyDescent="0.35">
      <c r="A946" s="38">
        <v>943</v>
      </c>
      <c r="B946" s="38" t="str">
        <f>_xlfn.XLOOKUP(A946,'Model Modeshare by TAZ'!A:A,'Model Modeshare by TAZ'!B:B)</f>
        <v>San Jose</v>
      </c>
      <c r="C946" s="38" t="str">
        <f>_xlfn.XLOOKUP(A946,'Model Modeshare by TAZ'!A:A,'Model Modeshare by TAZ'!D:D)</f>
        <v>NO</v>
      </c>
      <c r="D946" s="6">
        <v>3</v>
      </c>
      <c r="E946" s="6">
        <v>614</v>
      </c>
      <c r="F946" s="6">
        <v>2446</v>
      </c>
      <c r="G946" s="6">
        <v>2447</v>
      </c>
      <c r="H946" s="6">
        <v>1120</v>
      </c>
      <c r="I946" s="6">
        <v>614</v>
      </c>
      <c r="J946" s="6">
        <v>0</v>
      </c>
      <c r="K946" s="40">
        <v>140</v>
      </c>
      <c r="L946" s="40">
        <v>2</v>
      </c>
      <c r="M946" s="40">
        <v>10</v>
      </c>
      <c r="N946" s="40">
        <v>0</v>
      </c>
      <c r="O946" s="40">
        <v>1</v>
      </c>
      <c r="P946" s="40">
        <v>8</v>
      </c>
      <c r="Q946" s="40">
        <v>0</v>
      </c>
      <c r="R946" s="40">
        <v>1</v>
      </c>
      <c r="S946" s="40">
        <v>0</v>
      </c>
    </row>
    <row r="947" spans="1:19" x14ac:dyDescent="0.35">
      <c r="A947" s="38">
        <v>944</v>
      </c>
      <c r="B947" s="38" t="str">
        <f>_xlfn.XLOOKUP(A947,'Model Modeshare by TAZ'!A:A,'Model Modeshare by TAZ'!B:B)</f>
        <v>San Jose</v>
      </c>
      <c r="C947" s="38" t="str">
        <f>_xlfn.XLOOKUP(A947,'Model Modeshare by TAZ'!A:A,'Model Modeshare by TAZ'!D:D)</f>
        <v>NO</v>
      </c>
      <c r="D947" s="6">
        <v>3</v>
      </c>
      <c r="E947" s="6">
        <v>1262</v>
      </c>
      <c r="F947" s="6">
        <v>6657</v>
      </c>
      <c r="G947" s="6">
        <v>6668</v>
      </c>
      <c r="H947" s="6">
        <v>2530</v>
      </c>
      <c r="I947" s="6">
        <v>992</v>
      </c>
      <c r="J947" s="6">
        <v>270</v>
      </c>
      <c r="K947" s="40">
        <v>209</v>
      </c>
      <c r="L947" s="40">
        <v>18</v>
      </c>
      <c r="M947" s="40">
        <v>293</v>
      </c>
      <c r="N947" s="40">
        <v>51</v>
      </c>
      <c r="O947" s="40">
        <v>208</v>
      </c>
      <c r="P947" s="40">
        <v>33</v>
      </c>
      <c r="Q947" s="40">
        <v>0</v>
      </c>
      <c r="R947" s="40">
        <v>1</v>
      </c>
      <c r="S947" s="40">
        <v>0</v>
      </c>
    </row>
    <row r="948" spans="1:19" x14ac:dyDescent="0.35">
      <c r="A948" s="38">
        <v>945</v>
      </c>
      <c r="B948" s="38" t="str">
        <f>_xlfn.XLOOKUP(A948,'Model Modeshare by TAZ'!A:A,'Model Modeshare by TAZ'!B:B)</f>
        <v>San Jose</v>
      </c>
      <c r="C948" s="38" t="str">
        <f>_xlfn.XLOOKUP(A948,'Model Modeshare by TAZ'!A:A,'Model Modeshare by TAZ'!D:D)</f>
        <v>NO</v>
      </c>
      <c r="D948" s="6">
        <v>3</v>
      </c>
      <c r="E948" s="6">
        <v>606</v>
      </c>
      <c r="F948" s="6">
        <v>2037</v>
      </c>
      <c r="G948" s="6">
        <v>2040</v>
      </c>
      <c r="H948" s="6">
        <v>1118</v>
      </c>
      <c r="I948" s="6">
        <v>567</v>
      </c>
      <c r="J948" s="6">
        <v>39</v>
      </c>
      <c r="K948" s="40">
        <v>77</v>
      </c>
      <c r="L948" s="40">
        <v>2</v>
      </c>
      <c r="M948" s="40">
        <v>98</v>
      </c>
      <c r="N948" s="40">
        <v>21</v>
      </c>
      <c r="O948" s="40">
        <v>47</v>
      </c>
      <c r="P948" s="40">
        <v>29</v>
      </c>
      <c r="Q948" s="40">
        <v>0</v>
      </c>
      <c r="R948" s="40">
        <v>1</v>
      </c>
      <c r="S948" s="40">
        <v>0</v>
      </c>
    </row>
    <row r="949" spans="1:19" x14ac:dyDescent="0.35">
      <c r="A949" s="38">
        <v>946</v>
      </c>
      <c r="B949" s="38" t="str">
        <f>_xlfn.XLOOKUP(A949,'Model Modeshare by TAZ'!A:A,'Model Modeshare by TAZ'!B:B)</f>
        <v>Unincorporated</v>
      </c>
      <c r="C949" s="38" t="str">
        <f>_xlfn.XLOOKUP(A949,'Model Modeshare by TAZ'!A:A,'Model Modeshare by TAZ'!D:D)</f>
        <v>NO</v>
      </c>
      <c r="D949" s="6">
        <v>3</v>
      </c>
      <c r="E949" s="6">
        <v>250</v>
      </c>
      <c r="F949" s="6">
        <v>779</v>
      </c>
      <c r="G949" s="6">
        <v>794</v>
      </c>
      <c r="H949" s="6">
        <v>436</v>
      </c>
      <c r="I949" s="6">
        <v>249</v>
      </c>
      <c r="J949" s="6">
        <v>1</v>
      </c>
      <c r="K949" s="40">
        <v>186</v>
      </c>
      <c r="L949" s="40">
        <v>1</v>
      </c>
      <c r="M949" s="40">
        <v>33</v>
      </c>
      <c r="N949" s="40">
        <v>11</v>
      </c>
      <c r="O949" s="40">
        <v>0</v>
      </c>
      <c r="P949" s="40">
        <v>13</v>
      </c>
      <c r="Q949" s="40">
        <v>8</v>
      </c>
      <c r="R949" s="40">
        <v>1</v>
      </c>
      <c r="S949" s="40">
        <v>0</v>
      </c>
    </row>
    <row r="950" spans="1:19" x14ac:dyDescent="0.35">
      <c r="A950" s="38">
        <v>947</v>
      </c>
      <c r="B950" s="38" t="str">
        <f>_xlfn.XLOOKUP(A950,'Model Modeshare by TAZ'!A:A,'Model Modeshare by TAZ'!B:B)</f>
        <v>San Jose</v>
      </c>
      <c r="C950" s="38" t="str">
        <f>_xlfn.XLOOKUP(A950,'Model Modeshare by TAZ'!A:A,'Model Modeshare by TAZ'!D:D)</f>
        <v>NO</v>
      </c>
      <c r="D950" s="6">
        <v>3</v>
      </c>
      <c r="E950" s="6">
        <v>911</v>
      </c>
      <c r="F950" s="6">
        <v>2735</v>
      </c>
      <c r="G950" s="6">
        <v>2864</v>
      </c>
      <c r="H950" s="6">
        <v>1094</v>
      </c>
      <c r="I950" s="6">
        <v>296</v>
      </c>
      <c r="J950" s="6">
        <v>615</v>
      </c>
      <c r="K950" s="40">
        <v>78</v>
      </c>
      <c r="L950" s="40">
        <v>14</v>
      </c>
      <c r="M950" s="40">
        <v>50</v>
      </c>
      <c r="N950" s="40">
        <v>6</v>
      </c>
      <c r="O950" s="40">
        <v>20</v>
      </c>
      <c r="P950" s="40">
        <v>7</v>
      </c>
      <c r="Q950" s="40">
        <v>2</v>
      </c>
      <c r="R950" s="40">
        <v>0</v>
      </c>
      <c r="S950" s="40">
        <v>15</v>
      </c>
    </row>
    <row r="951" spans="1:19" x14ac:dyDescent="0.35">
      <c r="A951" s="38">
        <v>948</v>
      </c>
      <c r="B951" s="38" t="str">
        <f>_xlfn.XLOOKUP(A951,'Model Modeshare by TAZ'!A:A,'Model Modeshare by TAZ'!B:B)</f>
        <v>San Jose</v>
      </c>
      <c r="C951" s="38" t="str">
        <f>_xlfn.XLOOKUP(A951,'Model Modeshare by TAZ'!A:A,'Model Modeshare by TAZ'!D:D)</f>
        <v>NO</v>
      </c>
      <c r="D951" s="6">
        <v>3</v>
      </c>
      <c r="E951" s="6">
        <v>53</v>
      </c>
      <c r="F951" s="6">
        <v>180</v>
      </c>
      <c r="G951" s="6">
        <v>192</v>
      </c>
      <c r="H951" s="6">
        <v>67</v>
      </c>
      <c r="I951" s="6">
        <v>27</v>
      </c>
      <c r="J951" s="6">
        <v>26</v>
      </c>
      <c r="K951" s="40">
        <v>10</v>
      </c>
      <c r="L951" s="40">
        <v>12</v>
      </c>
      <c r="M951" s="40">
        <v>100</v>
      </c>
      <c r="N951" s="40">
        <v>9</v>
      </c>
      <c r="O951" s="40">
        <v>70</v>
      </c>
      <c r="P951" s="40">
        <v>13</v>
      </c>
      <c r="Q951" s="40">
        <v>1</v>
      </c>
      <c r="R951" s="40">
        <v>3</v>
      </c>
      <c r="S951" s="40">
        <v>4</v>
      </c>
    </row>
    <row r="952" spans="1:19" x14ac:dyDescent="0.35">
      <c r="A952" s="38">
        <v>949</v>
      </c>
      <c r="B952" s="38" t="str">
        <f>_xlfn.XLOOKUP(A952,'Model Modeshare by TAZ'!A:A,'Model Modeshare by TAZ'!B:B)</f>
        <v>San Jose</v>
      </c>
      <c r="C952" s="38" t="str">
        <f>_xlfn.XLOOKUP(A952,'Model Modeshare by TAZ'!A:A,'Model Modeshare by TAZ'!D:D)</f>
        <v>NO</v>
      </c>
      <c r="D952" s="6">
        <v>3</v>
      </c>
      <c r="E952" s="6">
        <v>61</v>
      </c>
      <c r="F952" s="6">
        <v>199</v>
      </c>
      <c r="G952" s="6">
        <v>220</v>
      </c>
      <c r="H952" s="6">
        <v>91</v>
      </c>
      <c r="I952" s="6">
        <v>2</v>
      </c>
      <c r="J952" s="6">
        <v>59</v>
      </c>
      <c r="K952" s="40">
        <v>17</v>
      </c>
      <c r="L952" s="40">
        <v>96</v>
      </c>
      <c r="M952" s="40">
        <v>1261</v>
      </c>
      <c r="N952" s="40">
        <v>21</v>
      </c>
      <c r="O952" s="40">
        <v>49</v>
      </c>
      <c r="P952" s="40">
        <v>353</v>
      </c>
      <c r="Q952" s="40">
        <v>18</v>
      </c>
      <c r="R952" s="40">
        <v>739</v>
      </c>
      <c r="S952" s="40">
        <v>81</v>
      </c>
    </row>
    <row r="953" spans="1:19" x14ac:dyDescent="0.35">
      <c r="A953" s="38">
        <v>950</v>
      </c>
      <c r="B953" s="38" t="str">
        <f>_xlfn.XLOOKUP(A953,'Model Modeshare by TAZ'!A:A,'Model Modeshare by TAZ'!B:B)</f>
        <v>San Jose</v>
      </c>
      <c r="C953" s="38" t="str">
        <f>_xlfn.XLOOKUP(A953,'Model Modeshare by TAZ'!A:A,'Model Modeshare by TAZ'!D:D)</f>
        <v>NO</v>
      </c>
      <c r="D953" s="6">
        <v>3</v>
      </c>
      <c r="E953" s="6">
        <v>2</v>
      </c>
      <c r="F953" s="6">
        <v>5</v>
      </c>
      <c r="G953" s="6">
        <v>5</v>
      </c>
      <c r="H953" s="6">
        <v>3</v>
      </c>
      <c r="I953" s="6">
        <v>0</v>
      </c>
      <c r="J953" s="6">
        <v>2</v>
      </c>
      <c r="K953" s="40">
        <v>6</v>
      </c>
      <c r="L953" s="40">
        <v>47</v>
      </c>
      <c r="M953" s="40">
        <v>1094</v>
      </c>
      <c r="N953" s="40">
        <v>9</v>
      </c>
      <c r="O953" s="40">
        <v>30</v>
      </c>
      <c r="P953" s="40">
        <v>685</v>
      </c>
      <c r="Q953" s="40">
        <v>3</v>
      </c>
      <c r="R953" s="40">
        <v>328</v>
      </c>
      <c r="S953" s="40">
        <v>39</v>
      </c>
    </row>
    <row r="954" spans="1:19" x14ac:dyDescent="0.35">
      <c r="A954" s="38">
        <v>951</v>
      </c>
      <c r="B954" s="38" t="str">
        <f>_xlfn.XLOOKUP(A954,'Model Modeshare by TAZ'!A:A,'Model Modeshare by TAZ'!B:B)</f>
        <v>San Jose</v>
      </c>
      <c r="C954" s="38" t="str">
        <f>_xlfn.XLOOKUP(A954,'Model Modeshare by TAZ'!A:A,'Model Modeshare by TAZ'!D:D)</f>
        <v>NO</v>
      </c>
      <c r="D954" s="6">
        <v>3</v>
      </c>
      <c r="E954" s="6">
        <v>3</v>
      </c>
      <c r="F954" s="6">
        <v>10</v>
      </c>
      <c r="G954" s="6">
        <v>10</v>
      </c>
      <c r="H954" s="6">
        <v>4</v>
      </c>
      <c r="I954" s="6">
        <v>0</v>
      </c>
      <c r="J954" s="6">
        <v>3</v>
      </c>
      <c r="K954" s="40">
        <v>8</v>
      </c>
      <c r="L954" s="40">
        <v>135</v>
      </c>
      <c r="M954" s="40">
        <v>3413</v>
      </c>
      <c r="N954" s="40">
        <v>54</v>
      </c>
      <c r="O954" s="40">
        <v>145</v>
      </c>
      <c r="P954" s="40">
        <v>1389</v>
      </c>
      <c r="Q954" s="40">
        <v>0</v>
      </c>
      <c r="R954" s="40">
        <v>1654</v>
      </c>
      <c r="S954" s="40">
        <v>171</v>
      </c>
    </row>
    <row r="955" spans="1:19" x14ac:dyDescent="0.35">
      <c r="A955" s="38">
        <v>952</v>
      </c>
      <c r="B955" s="38" t="str">
        <f>_xlfn.XLOOKUP(A955,'Model Modeshare by TAZ'!A:A,'Model Modeshare by TAZ'!B:B)</f>
        <v>San Jose</v>
      </c>
      <c r="C955" s="38" t="str">
        <f>_xlfn.XLOOKUP(A955,'Model Modeshare by TAZ'!A:A,'Model Modeshare by TAZ'!D:D)</f>
        <v>NO</v>
      </c>
      <c r="D955" s="6">
        <v>3</v>
      </c>
      <c r="E955" s="6">
        <v>402</v>
      </c>
      <c r="F955" s="6">
        <v>1169</v>
      </c>
      <c r="G955" s="6">
        <v>1175</v>
      </c>
      <c r="H955" s="6">
        <v>561</v>
      </c>
      <c r="I955" s="6">
        <v>205</v>
      </c>
      <c r="J955" s="6">
        <v>197</v>
      </c>
      <c r="K955" s="40">
        <v>35</v>
      </c>
      <c r="L955" s="40">
        <v>200</v>
      </c>
      <c r="M955" s="40">
        <v>9821</v>
      </c>
      <c r="N955" s="40">
        <v>493</v>
      </c>
      <c r="O955" s="40">
        <v>2137</v>
      </c>
      <c r="P955" s="40">
        <v>2680</v>
      </c>
      <c r="Q955" s="40">
        <v>23</v>
      </c>
      <c r="R955" s="40">
        <v>3214</v>
      </c>
      <c r="S955" s="40">
        <v>1274</v>
      </c>
    </row>
    <row r="956" spans="1:19" x14ac:dyDescent="0.35">
      <c r="A956" s="38">
        <v>953</v>
      </c>
      <c r="B956" s="38" t="str">
        <f>_xlfn.XLOOKUP(A956,'Model Modeshare by TAZ'!A:A,'Model Modeshare by TAZ'!B:B)</f>
        <v>San Jose</v>
      </c>
      <c r="C956" s="38" t="str">
        <f>_xlfn.XLOOKUP(A956,'Model Modeshare by TAZ'!A:A,'Model Modeshare by TAZ'!D:D)</f>
        <v>NO</v>
      </c>
      <c r="D956" s="6">
        <v>3</v>
      </c>
      <c r="E956" s="6">
        <v>1579</v>
      </c>
      <c r="F956" s="6">
        <v>3716</v>
      </c>
      <c r="G956" s="6">
        <v>3716</v>
      </c>
      <c r="H956" s="6">
        <v>2318</v>
      </c>
      <c r="I956" s="6">
        <v>0</v>
      </c>
      <c r="J956" s="6">
        <v>1579</v>
      </c>
      <c r="K956" s="40">
        <v>7</v>
      </c>
      <c r="L956" s="40">
        <v>231</v>
      </c>
      <c r="M956" s="40">
        <v>14494</v>
      </c>
      <c r="N956" s="40">
        <v>1128</v>
      </c>
      <c r="O956" s="40">
        <v>3266</v>
      </c>
      <c r="P956" s="40">
        <v>3497</v>
      </c>
      <c r="Q956" s="40">
        <v>0</v>
      </c>
      <c r="R956" s="40">
        <v>4495</v>
      </c>
      <c r="S956" s="40">
        <v>2108</v>
      </c>
    </row>
    <row r="957" spans="1:19" x14ac:dyDescent="0.35">
      <c r="A957" s="38">
        <v>954</v>
      </c>
      <c r="B957" s="38" t="str">
        <f>_xlfn.XLOOKUP(A957,'Model Modeshare by TAZ'!A:A,'Model Modeshare by TAZ'!B:B)</f>
        <v>San Jose</v>
      </c>
      <c r="C957" s="38" t="str">
        <f>_xlfn.XLOOKUP(A957,'Model Modeshare by TAZ'!A:A,'Model Modeshare by TAZ'!D:D)</f>
        <v>NO</v>
      </c>
      <c r="D957" s="6">
        <v>3</v>
      </c>
      <c r="E957" s="6">
        <v>1492</v>
      </c>
      <c r="F957" s="6">
        <v>5461</v>
      </c>
      <c r="G957" s="6">
        <v>5482</v>
      </c>
      <c r="H957" s="6">
        <v>2998</v>
      </c>
      <c r="I957" s="6">
        <v>1396</v>
      </c>
      <c r="J957" s="6">
        <v>96</v>
      </c>
      <c r="K957" s="40">
        <v>286</v>
      </c>
      <c r="L957" s="40">
        <v>49</v>
      </c>
      <c r="M957" s="40">
        <v>515</v>
      </c>
      <c r="N957" s="40">
        <v>29</v>
      </c>
      <c r="O957" s="40">
        <v>294</v>
      </c>
      <c r="P957" s="40">
        <v>147</v>
      </c>
      <c r="Q957" s="40">
        <v>3</v>
      </c>
      <c r="R957" s="40">
        <v>38</v>
      </c>
      <c r="S957" s="40">
        <v>4</v>
      </c>
    </row>
    <row r="958" spans="1:19" x14ac:dyDescent="0.35">
      <c r="A958" s="38">
        <v>955</v>
      </c>
      <c r="B958" s="38" t="str">
        <f>_xlfn.XLOOKUP(A958,'Model Modeshare by TAZ'!A:A,'Model Modeshare by TAZ'!B:B)</f>
        <v>San Jose</v>
      </c>
      <c r="C958" s="38" t="str">
        <f>_xlfn.XLOOKUP(A958,'Model Modeshare by TAZ'!A:A,'Model Modeshare by TAZ'!D:D)</f>
        <v>NO</v>
      </c>
      <c r="D958" s="6">
        <v>3</v>
      </c>
      <c r="E958" s="6">
        <v>824</v>
      </c>
      <c r="F958" s="6">
        <v>2901</v>
      </c>
      <c r="G958" s="6">
        <v>2931</v>
      </c>
      <c r="H958" s="6">
        <v>1597</v>
      </c>
      <c r="I958" s="6">
        <v>824</v>
      </c>
      <c r="J958" s="6">
        <v>0</v>
      </c>
      <c r="K958" s="40">
        <v>154</v>
      </c>
      <c r="L958" s="40">
        <v>6</v>
      </c>
      <c r="M958" s="40">
        <v>71</v>
      </c>
      <c r="N958" s="40">
        <v>27</v>
      </c>
      <c r="O958" s="40">
        <v>25</v>
      </c>
      <c r="P958" s="40">
        <v>17</v>
      </c>
      <c r="Q958" s="40">
        <v>1</v>
      </c>
      <c r="R958" s="40">
        <v>0</v>
      </c>
      <c r="S958" s="40">
        <v>1</v>
      </c>
    </row>
    <row r="959" spans="1:19" x14ac:dyDescent="0.35">
      <c r="A959" s="38">
        <v>956</v>
      </c>
      <c r="B959" s="38" t="str">
        <f>_xlfn.XLOOKUP(A959,'Model Modeshare by TAZ'!A:A,'Model Modeshare by TAZ'!B:B)</f>
        <v>San Jose</v>
      </c>
      <c r="C959" s="38" t="str">
        <f>_xlfn.XLOOKUP(A959,'Model Modeshare by TAZ'!A:A,'Model Modeshare by TAZ'!D:D)</f>
        <v>NO</v>
      </c>
      <c r="D959" s="6">
        <v>3</v>
      </c>
      <c r="E959" s="6">
        <v>586</v>
      </c>
      <c r="F959" s="6">
        <v>2086</v>
      </c>
      <c r="G959" s="6">
        <v>2091</v>
      </c>
      <c r="H959" s="6">
        <v>1126</v>
      </c>
      <c r="I959" s="6">
        <v>538</v>
      </c>
      <c r="J959" s="6">
        <v>48</v>
      </c>
      <c r="K959" s="40">
        <v>105</v>
      </c>
      <c r="L959" s="40">
        <v>7</v>
      </c>
      <c r="M959" s="40">
        <v>19</v>
      </c>
      <c r="N959" s="40">
        <v>1</v>
      </c>
      <c r="O959" s="40">
        <v>0</v>
      </c>
      <c r="P959" s="40">
        <v>9</v>
      </c>
      <c r="Q959" s="40">
        <v>3</v>
      </c>
      <c r="R959" s="40">
        <v>0</v>
      </c>
      <c r="S959" s="40">
        <v>6</v>
      </c>
    </row>
    <row r="960" spans="1:19" x14ac:dyDescent="0.35">
      <c r="A960" s="38">
        <v>957</v>
      </c>
      <c r="B960" s="38" t="str">
        <f>_xlfn.XLOOKUP(A960,'Model Modeshare by TAZ'!A:A,'Model Modeshare by TAZ'!B:B)</f>
        <v>San Jose</v>
      </c>
      <c r="C960" s="38" t="str">
        <f>_xlfn.XLOOKUP(A960,'Model Modeshare by TAZ'!A:A,'Model Modeshare by TAZ'!D:D)</f>
        <v>NO</v>
      </c>
      <c r="D960" s="6">
        <v>3</v>
      </c>
      <c r="E960" s="6">
        <v>862</v>
      </c>
      <c r="F960" s="6">
        <v>2917</v>
      </c>
      <c r="G960" s="6">
        <v>2924</v>
      </c>
      <c r="H960" s="6">
        <v>1588</v>
      </c>
      <c r="I960" s="6">
        <v>669</v>
      </c>
      <c r="J960" s="6">
        <v>193</v>
      </c>
      <c r="K960" s="40">
        <v>153</v>
      </c>
      <c r="L960" s="40">
        <v>19</v>
      </c>
      <c r="M960" s="40">
        <v>426</v>
      </c>
      <c r="N960" s="40">
        <v>313</v>
      </c>
      <c r="O960" s="40">
        <v>69</v>
      </c>
      <c r="P960" s="40">
        <v>42</v>
      </c>
      <c r="Q960" s="40">
        <v>2</v>
      </c>
      <c r="R960" s="40">
        <v>0</v>
      </c>
      <c r="S960" s="40">
        <v>0</v>
      </c>
    </row>
    <row r="961" spans="1:19" x14ac:dyDescent="0.35">
      <c r="A961" s="38">
        <v>958</v>
      </c>
      <c r="B961" s="38" t="str">
        <f>_xlfn.XLOOKUP(A961,'Model Modeshare by TAZ'!A:A,'Model Modeshare by TAZ'!B:B)</f>
        <v>San Jose</v>
      </c>
      <c r="C961" s="38" t="str">
        <f>_xlfn.XLOOKUP(A961,'Model Modeshare by TAZ'!A:A,'Model Modeshare by TAZ'!D:D)</f>
        <v>NO</v>
      </c>
      <c r="D961" s="6">
        <v>3</v>
      </c>
      <c r="E961" s="6">
        <v>0</v>
      </c>
      <c r="F961" s="6">
        <v>0</v>
      </c>
      <c r="G961" s="6">
        <v>0</v>
      </c>
      <c r="H961" s="6">
        <v>0</v>
      </c>
      <c r="I961" s="6">
        <v>0</v>
      </c>
      <c r="J961" s="6">
        <v>0</v>
      </c>
      <c r="K961" s="40">
        <v>0</v>
      </c>
      <c r="L961" s="40">
        <v>51</v>
      </c>
      <c r="M961" s="40">
        <v>1194</v>
      </c>
      <c r="N961" s="40">
        <v>84</v>
      </c>
      <c r="O961" s="40">
        <v>346</v>
      </c>
      <c r="P961" s="40">
        <v>202</v>
      </c>
      <c r="Q961" s="40">
        <v>0</v>
      </c>
      <c r="R961" s="40">
        <v>383</v>
      </c>
      <c r="S961" s="40">
        <v>179</v>
      </c>
    </row>
    <row r="962" spans="1:19" x14ac:dyDescent="0.35">
      <c r="A962" s="38">
        <v>959</v>
      </c>
      <c r="B962" s="38" t="str">
        <f>_xlfn.XLOOKUP(A962,'Model Modeshare by TAZ'!A:A,'Model Modeshare by TAZ'!B:B)</f>
        <v>San Jose</v>
      </c>
      <c r="C962" s="38" t="str">
        <f>_xlfn.XLOOKUP(A962,'Model Modeshare by TAZ'!A:A,'Model Modeshare by TAZ'!D:D)</f>
        <v>NO</v>
      </c>
      <c r="D962" s="6">
        <v>3</v>
      </c>
      <c r="E962" s="6">
        <v>547</v>
      </c>
      <c r="F962" s="6">
        <v>1579</v>
      </c>
      <c r="G962" s="6">
        <v>1588</v>
      </c>
      <c r="H962" s="6">
        <v>852</v>
      </c>
      <c r="I962" s="6">
        <v>404</v>
      </c>
      <c r="J962" s="6">
        <v>143</v>
      </c>
      <c r="K962" s="40">
        <v>104</v>
      </c>
      <c r="L962" s="40">
        <v>49</v>
      </c>
      <c r="M962" s="40">
        <v>283</v>
      </c>
      <c r="N962" s="40">
        <v>5</v>
      </c>
      <c r="O962" s="40">
        <v>130</v>
      </c>
      <c r="P962" s="40">
        <v>142</v>
      </c>
      <c r="Q962" s="40">
        <v>2</v>
      </c>
      <c r="R962" s="40">
        <v>3</v>
      </c>
      <c r="S962" s="40">
        <v>1</v>
      </c>
    </row>
    <row r="963" spans="1:19" x14ac:dyDescent="0.35">
      <c r="A963" s="38">
        <v>960</v>
      </c>
      <c r="B963" s="38" t="str">
        <f>_xlfn.XLOOKUP(A963,'Model Modeshare by TAZ'!A:A,'Model Modeshare by TAZ'!B:B)</f>
        <v>San Jose</v>
      </c>
      <c r="C963" s="38" t="str">
        <f>_xlfn.XLOOKUP(A963,'Model Modeshare by TAZ'!A:A,'Model Modeshare by TAZ'!D:D)</f>
        <v>NO</v>
      </c>
      <c r="D963" s="6">
        <v>3</v>
      </c>
      <c r="E963" s="6">
        <v>0</v>
      </c>
      <c r="F963" s="6">
        <v>0</v>
      </c>
      <c r="G963" s="6">
        <v>0</v>
      </c>
      <c r="H963" s="6">
        <v>0</v>
      </c>
      <c r="I963" s="6">
        <v>0</v>
      </c>
      <c r="J963" s="6">
        <v>0</v>
      </c>
      <c r="K963" s="40">
        <v>0</v>
      </c>
      <c r="L963" s="40">
        <v>87</v>
      </c>
      <c r="M963" s="40">
        <v>1943</v>
      </c>
      <c r="N963" s="40">
        <v>146</v>
      </c>
      <c r="O963" s="40">
        <v>426</v>
      </c>
      <c r="P963" s="40">
        <v>282</v>
      </c>
      <c r="Q963" s="40">
        <v>0</v>
      </c>
      <c r="R963" s="40">
        <v>743</v>
      </c>
      <c r="S963" s="40">
        <v>346</v>
      </c>
    </row>
    <row r="964" spans="1:19" x14ac:dyDescent="0.35">
      <c r="A964" s="38">
        <v>961</v>
      </c>
      <c r="B964" s="38" t="str">
        <f>_xlfn.XLOOKUP(A964,'Model Modeshare by TAZ'!A:A,'Model Modeshare by TAZ'!B:B)</f>
        <v>San Jose</v>
      </c>
      <c r="C964" s="38" t="str">
        <f>_xlfn.XLOOKUP(A964,'Model Modeshare by TAZ'!A:A,'Model Modeshare by TAZ'!D:D)</f>
        <v>NO</v>
      </c>
      <c r="D964" s="6">
        <v>3</v>
      </c>
      <c r="E964" s="6">
        <v>0</v>
      </c>
      <c r="F964" s="6">
        <v>0</v>
      </c>
      <c r="G964" s="6">
        <v>0</v>
      </c>
      <c r="H964" s="6">
        <v>0</v>
      </c>
      <c r="I964" s="6">
        <v>0</v>
      </c>
      <c r="J964" s="6">
        <v>0</v>
      </c>
      <c r="K964" s="40">
        <v>0</v>
      </c>
      <c r="L964" s="40">
        <v>57</v>
      </c>
      <c r="M964" s="40">
        <v>1567</v>
      </c>
      <c r="N964" s="40">
        <v>111</v>
      </c>
      <c r="O964" s="40">
        <v>325</v>
      </c>
      <c r="P964" s="40">
        <v>301</v>
      </c>
      <c r="Q964" s="40">
        <v>0</v>
      </c>
      <c r="R964" s="40">
        <v>567</v>
      </c>
      <c r="S964" s="40">
        <v>263</v>
      </c>
    </row>
    <row r="965" spans="1:19" x14ac:dyDescent="0.35">
      <c r="A965" s="38">
        <v>962</v>
      </c>
      <c r="B965" s="38" t="str">
        <f>_xlfn.XLOOKUP(A965,'Model Modeshare by TAZ'!A:A,'Model Modeshare by TAZ'!B:B)</f>
        <v>San Jose</v>
      </c>
      <c r="C965" s="38" t="str">
        <f>_xlfn.XLOOKUP(A965,'Model Modeshare by TAZ'!A:A,'Model Modeshare by TAZ'!D:D)</f>
        <v>NO</v>
      </c>
      <c r="D965" s="6">
        <v>3</v>
      </c>
      <c r="E965" s="6">
        <v>0</v>
      </c>
      <c r="F965" s="6">
        <v>0</v>
      </c>
      <c r="G965" s="6">
        <v>0</v>
      </c>
      <c r="H965" s="6">
        <v>0</v>
      </c>
      <c r="I965" s="6">
        <v>0</v>
      </c>
      <c r="J965" s="6">
        <v>0</v>
      </c>
      <c r="K965" s="40">
        <v>0</v>
      </c>
      <c r="L965" s="40">
        <v>123</v>
      </c>
      <c r="M965" s="40">
        <v>2774</v>
      </c>
      <c r="N965" s="40">
        <v>183</v>
      </c>
      <c r="O965" s="40">
        <v>784</v>
      </c>
      <c r="P965" s="40">
        <v>651</v>
      </c>
      <c r="Q965" s="40">
        <v>0</v>
      </c>
      <c r="R965" s="40">
        <v>791</v>
      </c>
      <c r="S965" s="40">
        <v>365</v>
      </c>
    </row>
    <row r="966" spans="1:19" x14ac:dyDescent="0.35">
      <c r="A966" s="38">
        <v>963</v>
      </c>
      <c r="B966" s="38" t="str">
        <f>_xlfn.XLOOKUP(A966,'Model Modeshare by TAZ'!A:A,'Model Modeshare by TAZ'!B:B)</f>
        <v>San Jose</v>
      </c>
      <c r="C966" s="38" t="str">
        <f>_xlfn.XLOOKUP(A966,'Model Modeshare by TAZ'!A:A,'Model Modeshare by TAZ'!D:D)</f>
        <v>NO</v>
      </c>
      <c r="D966" s="6">
        <v>3</v>
      </c>
      <c r="E966" s="6">
        <v>11</v>
      </c>
      <c r="F966" s="6">
        <v>15</v>
      </c>
      <c r="G966" s="6">
        <v>15</v>
      </c>
      <c r="H966" s="6">
        <v>7</v>
      </c>
      <c r="I966" s="6">
        <v>3</v>
      </c>
      <c r="J966" s="6">
        <v>8</v>
      </c>
      <c r="K966" s="40">
        <v>0</v>
      </c>
      <c r="L966" s="40">
        <v>100</v>
      </c>
      <c r="M966" s="40">
        <v>3342</v>
      </c>
      <c r="N966" s="40">
        <v>228</v>
      </c>
      <c r="O966" s="40">
        <v>1641</v>
      </c>
      <c r="P966" s="40">
        <v>482</v>
      </c>
      <c r="Q966" s="40">
        <v>0</v>
      </c>
      <c r="R966" s="40">
        <v>675</v>
      </c>
      <c r="S966" s="40">
        <v>316</v>
      </c>
    </row>
    <row r="967" spans="1:19" x14ac:dyDescent="0.35">
      <c r="A967" s="38">
        <v>964</v>
      </c>
      <c r="B967" s="38" t="str">
        <f>_xlfn.XLOOKUP(A967,'Model Modeshare by TAZ'!A:A,'Model Modeshare by TAZ'!B:B)</f>
        <v>San Jose</v>
      </c>
      <c r="C967" s="38" t="str">
        <f>_xlfn.XLOOKUP(A967,'Model Modeshare by TAZ'!A:A,'Model Modeshare by TAZ'!D:D)</f>
        <v>NO</v>
      </c>
      <c r="D967" s="6">
        <v>3</v>
      </c>
      <c r="E967" s="6">
        <v>4</v>
      </c>
      <c r="F967" s="6">
        <v>8</v>
      </c>
      <c r="G967" s="6">
        <v>8</v>
      </c>
      <c r="H967" s="6">
        <v>3</v>
      </c>
      <c r="I967" s="6">
        <v>1</v>
      </c>
      <c r="J967" s="6">
        <v>3</v>
      </c>
      <c r="K967" s="40">
        <v>0</v>
      </c>
      <c r="L967" s="40">
        <v>92</v>
      </c>
      <c r="M967" s="40">
        <v>3054</v>
      </c>
      <c r="N967" s="40">
        <v>262</v>
      </c>
      <c r="O967" s="40">
        <v>1004</v>
      </c>
      <c r="P967" s="40">
        <v>399</v>
      </c>
      <c r="Q967" s="40">
        <v>0</v>
      </c>
      <c r="R967" s="40">
        <v>949</v>
      </c>
      <c r="S967" s="40">
        <v>440</v>
      </c>
    </row>
    <row r="968" spans="1:19" x14ac:dyDescent="0.35">
      <c r="A968" s="38">
        <v>965</v>
      </c>
      <c r="B968" s="38" t="str">
        <f>_xlfn.XLOOKUP(A968,'Model Modeshare by TAZ'!A:A,'Model Modeshare by TAZ'!B:B)</f>
        <v>San Jose</v>
      </c>
      <c r="C968" s="38" t="str">
        <f>_xlfn.XLOOKUP(A968,'Model Modeshare by TAZ'!A:A,'Model Modeshare by TAZ'!D:D)</f>
        <v>NO</v>
      </c>
      <c r="D968" s="6">
        <v>3</v>
      </c>
      <c r="E968" s="6">
        <v>0</v>
      </c>
      <c r="F968" s="6">
        <v>0</v>
      </c>
      <c r="G968" s="6">
        <v>0</v>
      </c>
      <c r="H968" s="6">
        <v>0</v>
      </c>
      <c r="I968" s="6">
        <v>0</v>
      </c>
      <c r="J968" s="6">
        <v>0</v>
      </c>
      <c r="K968" s="40">
        <v>0</v>
      </c>
      <c r="L968" s="40">
        <v>286</v>
      </c>
      <c r="M968" s="40">
        <v>4799</v>
      </c>
      <c r="N968" s="40">
        <v>385</v>
      </c>
      <c r="O968" s="40">
        <v>1019</v>
      </c>
      <c r="P968" s="40">
        <v>780</v>
      </c>
      <c r="Q968" s="40">
        <v>2</v>
      </c>
      <c r="R968" s="40">
        <v>1776</v>
      </c>
      <c r="S968" s="40">
        <v>837</v>
      </c>
    </row>
    <row r="969" spans="1:19" x14ac:dyDescent="0.35">
      <c r="A969" s="38">
        <v>966</v>
      </c>
      <c r="B969" s="38" t="str">
        <f>_xlfn.XLOOKUP(A969,'Model Modeshare by TAZ'!A:A,'Model Modeshare by TAZ'!B:B)</f>
        <v>San Jose</v>
      </c>
      <c r="C969" s="38" t="str">
        <f>_xlfn.XLOOKUP(A969,'Model Modeshare by TAZ'!A:A,'Model Modeshare by TAZ'!D:D)</f>
        <v>NO</v>
      </c>
      <c r="D969" s="6">
        <v>3</v>
      </c>
      <c r="E969" s="6">
        <v>0</v>
      </c>
      <c r="F969" s="6">
        <v>0</v>
      </c>
      <c r="G969" s="6">
        <v>0</v>
      </c>
      <c r="H969" s="6">
        <v>0</v>
      </c>
      <c r="I969" s="6">
        <v>0</v>
      </c>
      <c r="J969" s="6">
        <v>0</v>
      </c>
      <c r="K969" s="40">
        <v>0</v>
      </c>
      <c r="L969" s="40">
        <v>30</v>
      </c>
      <c r="M969" s="40">
        <v>1239</v>
      </c>
      <c r="N969" s="40">
        <v>100</v>
      </c>
      <c r="O969" s="40">
        <v>285</v>
      </c>
      <c r="P969" s="40">
        <v>128</v>
      </c>
      <c r="Q969" s="40">
        <v>0</v>
      </c>
      <c r="R969" s="40">
        <v>492</v>
      </c>
      <c r="S969" s="40">
        <v>234</v>
      </c>
    </row>
    <row r="970" spans="1:19" x14ac:dyDescent="0.35">
      <c r="A970" s="38">
        <v>967</v>
      </c>
      <c r="B970" s="38" t="str">
        <f>_xlfn.XLOOKUP(A970,'Model Modeshare by TAZ'!A:A,'Model Modeshare by TAZ'!B:B)</f>
        <v>San Jose</v>
      </c>
      <c r="C970" s="38" t="str">
        <f>_xlfn.XLOOKUP(A970,'Model Modeshare by TAZ'!A:A,'Model Modeshare by TAZ'!D:D)</f>
        <v>NO</v>
      </c>
      <c r="D970" s="6">
        <v>3</v>
      </c>
      <c r="E970" s="6">
        <v>0</v>
      </c>
      <c r="F970" s="6">
        <v>0</v>
      </c>
      <c r="G970" s="6">
        <v>0</v>
      </c>
      <c r="H970" s="6">
        <v>0</v>
      </c>
      <c r="I970" s="6">
        <v>0</v>
      </c>
      <c r="J970" s="6">
        <v>0</v>
      </c>
      <c r="K970" s="40">
        <v>0</v>
      </c>
      <c r="L970" s="40">
        <v>69</v>
      </c>
      <c r="M970" s="40">
        <v>1570</v>
      </c>
      <c r="N970" s="40">
        <v>117</v>
      </c>
      <c r="O970" s="40">
        <v>340</v>
      </c>
      <c r="P970" s="40">
        <v>251</v>
      </c>
      <c r="Q970" s="40">
        <v>0</v>
      </c>
      <c r="R970" s="40">
        <v>589</v>
      </c>
      <c r="S970" s="40">
        <v>273</v>
      </c>
    </row>
    <row r="971" spans="1:19" x14ac:dyDescent="0.35">
      <c r="A971" s="38">
        <v>968</v>
      </c>
      <c r="B971" s="38" t="str">
        <f>_xlfn.XLOOKUP(A971,'Model Modeshare by TAZ'!A:A,'Model Modeshare by TAZ'!B:B)</f>
        <v>San Jose</v>
      </c>
      <c r="C971" s="38" t="str">
        <f>_xlfn.XLOOKUP(A971,'Model Modeshare by TAZ'!A:A,'Model Modeshare by TAZ'!D:D)</f>
        <v>NO</v>
      </c>
      <c r="D971" s="6">
        <v>3</v>
      </c>
      <c r="E971" s="6">
        <v>0</v>
      </c>
      <c r="F971" s="6">
        <v>0</v>
      </c>
      <c r="G971" s="6">
        <v>0</v>
      </c>
      <c r="H971" s="6">
        <v>0</v>
      </c>
      <c r="I971" s="6">
        <v>0</v>
      </c>
      <c r="J971" s="6">
        <v>0</v>
      </c>
      <c r="K971" s="40">
        <v>0</v>
      </c>
      <c r="L971" s="40">
        <v>64</v>
      </c>
      <c r="M971" s="40">
        <v>622</v>
      </c>
      <c r="N971" s="40">
        <v>47</v>
      </c>
      <c r="O971" s="40">
        <v>170</v>
      </c>
      <c r="P971" s="40">
        <v>92</v>
      </c>
      <c r="Q971" s="40">
        <v>0</v>
      </c>
      <c r="R971" s="40">
        <v>214</v>
      </c>
      <c r="S971" s="40">
        <v>99</v>
      </c>
    </row>
    <row r="972" spans="1:19" x14ac:dyDescent="0.35">
      <c r="A972" s="38">
        <v>969</v>
      </c>
      <c r="B972" s="38" t="str">
        <f>_xlfn.XLOOKUP(A972,'Model Modeshare by TAZ'!A:A,'Model Modeshare by TAZ'!B:B)</f>
        <v>San Jose</v>
      </c>
      <c r="C972" s="38" t="str">
        <f>_xlfn.XLOOKUP(A972,'Model Modeshare by TAZ'!A:A,'Model Modeshare by TAZ'!D:D)</f>
        <v>NO</v>
      </c>
      <c r="D972" s="6">
        <v>3</v>
      </c>
      <c r="E972" s="6">
        <v>238</v>
      </c>
      <c r="F972" s="6">
        <v>477</v>
      </c>
      <c r="G972" s="6">
        <v>478</v>
      </c>
      <c r="H972" s="6">
        <v>355</v>
      </c>
      <c r="I972" s="6">
        <v>73</v>
      </c>
      <c r="J972" s="6">
        <v>165</v>
      </c>
      <c r="K972" s="40">
        <v>9</v>
      </c>
      <c r="L972" s="40">
        <v>54</v>
      </c>
      <c r="M972" s="40">
        <v>106</v>
      </c>
      <c r="N972" s="40">
        <v>8</v>
      </c>
      <c r="O972" s="40">
        <v>23</v>
      </c>
      <c r="P972" s="40">
        <v>15</v>
      </c>
      <c r="Q972" s="40">
        <v>0</v>
      </c>
      <c r="R972" s="40">
        <v>41</v>
      </c>
      <c r="S972" s="40">
        <v>19</v>
      </c>
    </row>
    <row r="973" spans="1:19" x14ac:dyDescent="0.35">
      <c r="A973" s="38">
        <v>970</v>
      </c>
      <c r="B973" s="38" t="str">
        <f>_xlfn.XLOOKUP(A973,'Model Modeshare by TAZ'!A:A,'Model Modeshare by TAZ'!B:B)</f>
        <v>San Jose</v>
      </c>
      <c r="C973" s="38" t="str">
        <f>_xlfn.XLOOKUP(A973,'Model Modeshare by TAZ'!A:A,'Model Modeshare by TAZ'!D:D)</f>
        <v>NO</v>
      </c>
      <c r="D973" s="6">
        <v>3</v>
      </c>
      <c r="E973" s="6">
        <v>0</v>
      </c>
      <c r="F973" s="6">
        <v>0</v>
      </c>
      <c r="G973" s="6">
        <v>0</v>
      </c>
      <c r="H973" s="6">
        <v>0</v>
      </c>
      <c r="I973" s="6">
        <v>0</v>
      </c>
      <c r="J973" s="6">
        <v>0</v>
      </c>
      <c r="K973" s="40">
        <v>0</v>
      </c>
      <c r="L973" s="40">
        <v>66</v>
      </c>
      <c r="M973" s="40">
        <v>1644</v>
      </c>
      <c r="N973" s="40">
        <v>125</v>
      </c>
      <c r="O973" s="40">
        <v>358</v>
      </c>
      <c r="P973" s="40">
        <v>270</v>
      </c>
      <c r="Q973" s="40">
        <v>0</v>
      </c>
      <c r="R973" s="40">
        <v>610</v>
      </c>
      <c r="S973" s="40">
        <v>281</v>
      </c>
    </row>
    <row r="974" spans="1:19" x14ac:dyDescent="0.35">
      <c r="A974" s="38">
        <v>971</v>
      </c>
      <c r="B974" s="38" t="str">
        <f>_xlfn.XLOOKUP(A974,'Model Modeshare by TAZ'!A:A,'Model Modeshare by TAZ'!B:B)</f>
        <v>San Jose</v>
      </c>
      <c r="C974" s="38" t="str">
        <f>_xlfn.XLOOKUP(A974,'Model Modeshare by TAZ'!A:A,'Model Modeshare by TAZ'!D:D)</f>
        <v>NO</v>
      </c>
      <c r="D974" s="6">
        <v>3</v>
      </c>
      <c r="E974" s="6">
        <v>0</v>
      </c>
      <c r="F974" s="6">
        <v>0</v>
      </c>
      <c r="G974" s="6">
        <v>0</v>
      </c>
      <c r="H974" s="6">
        <v>0</v>
      </c>
      <c r="I974" s="6">
        <v>0</v>
      </c>
      <c r="J974" s="6">
        <v>0</v>
      </c>
      <c r="K974" s="40">
        <v>0</v>
      </c>
      <c r="L974" s="40">
        <v>92</v>
      </c>
      <c r="M974" s="40">
        <v>2870</v>
      </c>
      <c r="N974" s="40">
        <v>212</v>
      </c>
      <c r="O974" s="40">
        <v>1028</v>
      </c>
      <c r="P974" s="40">
        <v>397</v>
      </c>
      <c r="Q974" s="40">
        <v>0</v>
      </c>
      <c r="R974" s="40">
        <v>844</v>
      </c>
      <c r="S974" s="40">
        <v>389</v>
      </c>
    </row>
    <row r="975" spans="1:19" x14ac:dyDescent="0.35">
      <c r="A975" s="38">
        <v>972</v>
      </c>
      <c r="B975" s="38" t="str">
        <f>_xlfn.XLOOKUP(A975,'Model Modeshare by TAZ'!A:A,'Model Modeshare by TAZ'!B:B)</f>
        <v>San Jose</v>
      </c>
      <c r="C975" s="38" t="str">
        <f>_xlfn.XLOOKUP(A975,'Model Modeshare by TAZ'!A:A,'Model Modeshare by TAZ'!D:D)</f>
        <v>NO</v>
      </c>
      <c r="D975" s="6">
        <v>3</v>
      </c>
      <c r="E975" s="6">
        <v>1374</v>
      </c>
      <c r="F975" s="6">
        <v>2750</v>
      </c>
      <c r="G975" s="6">
        <v>2762</v>
      </c>
      <c r="H975" s="6">
        <v>1918</v>
      </c>
      <c r="I975" s="6">
        <v>157</v>
      </c>
      <c r="J975" s="6">
        <v>1217</v>
      </c>
      <c r="K975" s="40">
        <v>52</v>
      </c>
      <c r="L975" s="40">
        <v>175</v>
      </c>
      <c r="M975" s="40">
        <v>5793</v>
      </c>
      <c r="N975" s="40">
        <v>431</v>
      </c>
      <c r="O975" s="40">
        <v>1269</v>
      </c>
      <c r="P975" s="40">
        <v>899</v>
      </c>
      <c r="Q975" s="40">
        <v>1</v>
      </c>
      <c r="R975" s="40">
        <v>2182</v>
      </c>
      <c r="S975" s="40">
        <v>1011</v>
      </c>
    </row>
    <row r="976" spans="1:19" x14ac:dyDescent="0.35">
      <c r="A976" s="38">
        <v>973</v>
      </c>
      <c r="B976" s="38" t="str">
        <f>_xlfn.XLOOKUP(A976,'Model Modeshare by TAZ'!A:A,'Model Modeshare by TAZ'!B:B)</f>
        <v>San Jose</v>
      </c>
      <c r="C976" s="38" t="str">
        <f>_xlfn.XLOOKUP(A976,'Model Modeshare by TAZ'!A:A,'Model Modeshare by TAZ'!D:D)</f>
        <v>NO</v>
      </c>
      <c r="D976" s="6">
        <v>3</v>
      </c>
      <c r="E976" s="6">
        <v>0</v>
      </c>
      <c r="F976" s="6">
        <v>0</v>
      </c>
      <c r="G976" s="6">
        <v>0</v>
      </c>
      <c r="H976" s="6">
        <v>0</v>
      </c>
      <c r="I976" s="6">
        <v>0</v>
      </c>
      <c r="J976" s="6">
        <v>0</v>
      </c>
      <c r="K976" s="40">
        <v>0</v>
      </c>
      <c r="L976" s="40">
        <v>164</v>
      </c>
      <c r="M976" s="40">
        <v>1883</v>
      </c>
      <c r="N976" s="40">
        <v>116</v>
      </c>
      <c r="O976" s="40">
        <v>395</v>
      </c>
      <c r="P976" s="40">
        <v>580</v>
      </c>
      <c r="Q976" s="40">
        <v>0</v>
      </c>
      <c r="R976" s="40">
        <v>540</v>
      </c>
      <c r="S976" s="40">
        <v>252</v>
      </c>
    </row>
    <row r="977" spans="1:19" x14ac:dyDescent="0.35">
      <c r="A977" s="38">
        <v>974</v>
      </c>
      <c r="B977" s="38" t="str">
        <f>_xlfn.XLOOKUP(A977,'Model Modeshare by TAZ'!A:A,'Model Modeshare by TAZ'!B:B)</f>
        <v>San Jose</v>
      </c>
      <c r="C977" s="38" t="str">
        <f>_xlfn.XLOOKUP(A977,'Model Modeshare by TAZ'!A:A,'Model Modeshare by TAZ'!D:D)</f>
        <v>NO</v>
      </c>
      <c r="D977" s="6">
        <v>3</v>
      </c>
      <c r="E977" s="6">
        <v>0</v>
      </c>
      <c r="F977" s="6">
        <v>0</v>
      </c>
      <c r="G977" s="6">
        <v>0</v>
      </c>
      <c r="H977" s="6">
        <v>0</v>
      </c>
      <c r="I977" s="6">
        <v>0</v>
      </c>
      <c r="J977" s="6">
        <v>0</v>
      </c>
      <c r="K977" s="40">
        <v>0</v>
      </c>
      <c r="L977" s="40">
        <v>148</v>
      </c>
      <c r="M977" s="40">
        <v>2829</v>
      </c>
      <c r="N977" s="40">
        <v>210</v>
      </c>
      <c r="O977" s="40">
        <v>618</v>
      </c>
      <c r="P977" s="40">
        <v>447</v>
      </c>
      <c r="Q977" s="40">
        <v>0</v>
      </c>
      <c r="R977" s="40">
        <v>1057</v>
      </c>
      <c r="S977" s="40">
        <v>497</v>
      </c>
    </row>
    <row r="978" spans="1:19" x14ac:dyDescent="0.35">
      <c r="A978" s="38">
        <v>975</v>
      </c>
      <c r="B978" s="38" t="str">
        <f>_xlfn.XLOOKUP(A978,'Model Modeshare by TAZ'!A:A,'Model Modeshare by TAZ'!B:B)</f>
        <v>San Jose</v>
      </c>
      <c r="C978" s="38" t="str">
        <f>_xlfn.XLOOKUP(A978,'Model Modeshare by TAZ'!A:A,'Model Modeshare by TAZ'!D:D)</f>
        <v>NO</v>
      </c>
      <c r="D978" s="6">
        <v>3</v>
      </c>
      <c r="E978" s="6">
        <v>1530</v>
      </c>
      <c r="F978" s="6">
        <v>3578</v>
      </c>
      <c r="G978" s="6">
        <v>3578</v>
      </c>
      <c r="H978" s="6">
        <v>2244</v>
      </c>
      <c r="I978" s="6">
        <v>267</v>
      </c>
      <c r="J978" s="6">
        <v>1263</v>
      </c>
      <c r="K978" s="40">
        <v>67</v>
      </c>
      <c r="L978" s="40">
        <v>55</v>
      </c>
      <c r="M978" s="40">
        <v>197</v>
      </c>
      <c r="N978" s="40">
        <v>15</v>
      </c>
      <c r="O978" s="40">
        <v>60</v>
      </c>
      <c r="P978" s="40">
        <v>49</v>
      </c>
      <c r="Q978" s="40">
        <v>0</v>
      </c>
      <c r="R978" s="40">
        <v>50</v>
      </c>
      <c r="S978" s="40">
        <v>23</v>
      </c>
    </row>
    <row r="979" spans="1:19" x14ac:dyDescent="0.35">
      <c r="A979" s="38">
        <v>976</v>
      </c>
      <c r="B979" s="38" t="str">
        <f>_xlfn.XLOOKUP(A979,'Model Modeshare by TAZ'!A:A,'Model Modeshare by TAZ'!B:B)</f>
        <v>San Jose</v>
      </c>
      <c r="C979" s="38" t="str">
        <f>_xlfn.XLOOKUP(A979,'Model Modeshare by TAZ'!A:A,'Model Modeshare by TAZ'!D:D)</f>
        <v>NO</v>
      </c>
      <c r="D979" s="6">
        <v>3</v>
      </c>
      <c r="E979" s="6">
        <v>1735</v>
      </c>
      <c r="F979" s="6">
        <v>4177</v>
      </c>
      <c r="G979" s="6">
        <v>4177</v>
      </c>
      <c r="H979" s="6">
        <v>2858</v>
      </c>
      <c r="I979" s="6">
        <v>223</v>
      </c>
      <c r="J979" s="6">
        <v>1512</v>
      </c>
      <c r="K979" s="40">
        <v>118</v>
      </c>
      <c r="L979" s="40">
        <v>236</v>
      </c>
      <c r="M979" s="40">
        <v>2809</v>
      </c>
      <c r="N979" s="40">
        <v>398</v>
      </c>
      <c r="O979" s="40">
        <v>1011</v>
      </c>
      <c r="P979" s="40">
        <v>770</v>
      </c>
      <c r="Q979" s="40">
        <v>20</v>
      </c>
      <c r="R979" s="40">
        <v>461</v>
      </c>
      <c r="S979" s="40">
        <v>149</v>
      </c>
    </row>
    <row r="980" spans="1:19" x14ac:dyDescent="0.35">
      <c r="A980" s="38">
        <v>977</v>
      </c>
      <c r="B980" s="38" t="str">
        <f>_xlfn.XLOOKUP(A980,'Model Modeshare by TAZ'!A:A,'Model Modeshare by TAZ'!B:B)</f>
        <v>San Jose</v>
      </c>
      <c r="C980" s="38" t="str">
        <f>_xlfn.XLOOKUP(A980,'Model Modeshare by TAZ'!A:A,'Model Modeshare by TAZ'!D:D)</f>
        <v>NO</v>
      </c>
      <c r="D980" s="6">
        <v>3</v>
      </c>
      <c r="E980" s="6">
        <v>0</v>
      </c>
      <c r="F980" s="6">
        <v>0</v>
      </c>
      <c r="G980" s="6">
        <v>0</v>
      </c>
      <c r="H980" s="6">
        <v>0</v>
      </c>
      <c r="I980" s="6">
        <v>0</v>
      </c>
      <c r="J980" s="6">
        <v>0</v>
      </c>
      <c r="K980" s="40">
        <v>0</v>
      </c>
      <c r="L980" s="40">
        <v>60</v>
      </c>
      <c r="M980" s="40">
        <v>7256</v>
      </c>
      <c r="N980" s="40">
        <v>584</v>
      </c>
      <c r="O980" s="40">
        <v>1660</v>
      </c>
      <c r="P980" s="40">
        <v>1725</v>
      </c>
      <c r="Q980" s="40">
        <v>0</v>
      </c>
      <c r="R980" s="40">
        <v>2244</v>
      </c>
      <c r="S980" s="40">
        <v>1043</v>
      </c>
    </row>
    <row r="981" spans="1:19" x14ac:dyDescent="0.35">
      <c r="A981" s="38">
        <v>978</v>
      </c>
      <c r="B981" s="38" t="str">
        <f>_xlfn.XLOOKUP(A981,'Model Modeshare by TAZ'!A:A,'Model Modeshare by TAZ'!B:B)</f>
        <v>San Jose</v>
      </c>
      <c r="C981" s="38" t="str">
        <f>_xlfn.XLOOKUP(A981,'Model Modeshare by TAZ'!A:A,'Model Modeshare by TAZ'!D:D)</f>
        <v>NO</v>
      </c>
      <c r="D981" s="6">
        <v>3</v>
      </c>
      <c r="E981" s="6">
        <v>25</v>
      </c>
      <c r="F981" s="6">
        <v>75</v>
      </c>
      <c r="G981" s="6">
        <v>75</v>
      </c>
      <c r="H981" s="6">
        <v>39</v>
      </c>
      <c r="I981" s="6">
        <v>17</v>
      </c>
      <c r="J981" s="6">
        <v>8</v>
      </c>
      <c r="K981" s="40">
        <v>4</v>
      </c>
      <c r="L981" s="40">
        <v>63</v>
      </c>
      <c r="M981" s="40">
        <v>493</v>
      </c>
      <c r="N981" s="40">
        <v>8</v>
      </c>
      <c r="O981" s="40">
        <v>52</v>
      </c>
      <c r="P981" s="40">
        <v>325</v>
      </c>
      <c r="Q981" s="40">
        <v>0</v>
      </c>
      <c r="R981" s="40">
        <v>100</v>
      </c>
      <c r="S981" s="40">
        <v>8</v>
      </c>
    </row>
    <row r="982" spans="1:19" x14ac:dyDescent="0.35">
      <c r="A982" s="38">
        <v>979</v>
      </c>
      <c r="B982" s="38" t="str">
        <f>_xlfn.XLOOKUP(A982,'Model Modeshare by TAZ'!A:A,'Model Modeshare by TAZ'!B:B)</f>
        <v>San Jose</v>
      </c>
      <c r="C982" s="38" t="str">
        <f>_xlfn.XLOOKUP(A982,'Model Modeshare by TAZ'!A:A,'Model Modeshare by TAZ'!D:D)</f>
        <v>NO</v>
      </c>
      <c r="D982" s="6">
        <v>3</v>
      </c>
      <c r="E982" s="6">
        <v>145</v>
      </c>
      <c r="F982" s="6">
        <v>519</v>
      </c>
      <c r="G982" s="6">
        <v>524</v>
      </c>
      <c r="H982" s="6">
        <v>309</v>
      </c>
      <c r="I982" s="6">
        <v>104</v>
      </c>
      <c r="J982" s="6">
        <v>41</v>
      </c>
      <c r="K982" s="40">
        <v>50</v>
      </c>
      <c r="L982" s="40">
        <v>12</v>
      </c>
      <c r="M982" s="40">
        <v>363</v>
      </c>
      <c r="N982" s="40">
        <v>9</v>
      </c>
      <c r="O982" s="40">
        <v>85</v>
      </c>
      <c r="P982" s="40">
        <v>137</v>
      </c>
      <c r="Q982" s="40">
        <v>0</v>
      </c>
      <c r="R982" s="40">
        <v>120</v>
      </c>
      <c r="S982" s="40">
        <v>12</v>
      </c>
    </row>
    <row r="983" spans="1:19" x14ac:dyDescent="0.35">
      <c r="A983" s="38">
        <v>980</v>
      </c>
      <c r="B983" s="38" t="str">
        <f>_xlfn.XLOOKUP(A983,'Model Modeshare by TAZ'!A:A,'Model Modeshare by TAZ'!B:B)</f>
        <v>San Jose</v>
      </c>
      <c r="C983" s="38" t="str">
        <f>_xlfn.XLOOKUP(A983,'Model Modeshare by TAZ'!A:A,'Model Modeshare by TAZ'!D:D)</f>
        <v>NO</v>
      </c>
      <c r="D983" s="6">
        <v>3</v>
      </c>
      <c r="E983" s="6">
        <v>49</v>
      </c>
      <c r="F983" s="6">
        <v>175</v>
      </c>
      <c r="G983" s="6">
        <v>175</v>
      </c>
      <c r="H983" s="6">
        <v>106</v>
      </c>
      <c r="I983" s="6">
        <v>36</v>
      </c>
      <c r="J983" s="6">
        <v>13</v>
      </c>
      <c r="K983" s="40">
        <v>7</v>
      </c>
      <c r="L983" s="40">
        <v>12</v>
      </c>
      <c r="M983" s="40">
        <v>0</v>
      </c>
      <c r="N983" s="40">
        <v>0</v>
      </c>
      <c r="O983" s="40">
        <v>0</v>
      </c>
      <c r="P983" s="40">
        <v>0</v>
      </c>
      <c r="Q983" s="40">
        <v>0</v>
      </c>
      <c r="R983" s="40">
        <v>0</v>
      </c>
      <c r="S983" s="40">
        <v>0</v>
      </c>
    </row>
    <row r="984" spans="1:19" x14ac:dyDescent="0.35">
      <c r="A984" s="38">
        <v>981</v>
      </c>
      <c r="B984" s="38" t="str">
        <f>_xlfn.XLOOKUP(A984,'Model Modeshare by TAZ'!A:A,'Model Modeshare by TAZ'!B:B)</f>
        <v>San Jose</v>
      </c>
      <c r="C984" s="38" t="str">
        <f>_xlfn.XLOOKUP(A984,'Model Modeshare by TAZ'!A:A,'Model Modeshare by TAZ'!D:D)</f>
        <v>NO</v>
      </c>
      <c r="D984" s="6">
        <v>3</v>
      </c>
      <c r="E984" s="6">
        <v>565</v>
      </c>
      <c r="F984" s="6">
        <v>2116</v>
      </c>
      <c r="G984" s="6">
        <v>2126</v>
      </c>
      <c r="H984" s="6">
        <v>1068</v>
      </c>
      <c r="I984" s="6">
        <v>448</v>
      </c>
      <c r="J984" s="6">
        <v>117</v>
      </c>
      <c r="K984" s="40">
        <v>79</v>
      </c>
      <c r="L984" s="40">
        <v>49</v>
      </c>
      <c r="M984" s="40">
        <v>349</v>
      </c>
      <c r="N984" s="40">
        <v>131</v>
      </c>
      <c r="O984" s="40">
        <v>13</v>
      </c>
      <c r="P984" s="40">
        <v>41</v>
      </c>
      <c r="Q984" s="40">
        <v>1</v>
      </c>
      <c r="R984" s="40">
        <v>162</v>
      </c>
      <c r="S984" s="40">
        <v>1</v>
      </c>
    </row>
    <row r="985" spans="1:19" x14ac:dyDescent="0.35">
      <c r="A985" s="38">
        <v>982</v>
      </c>
      <c r="B985" s="38" t="str">
        <f>_xlfn.XLOOKUP(A985,'Model Modeshare by TAZ'!A:A,'Model Modeshare by TAZ'!B:B)</f>
        <v>San Jose</v>
      </c>
      <c r="C985" s="38" t="str">
        <f>_xlfn.XLOOKUP(A985,'Model Modeshare by TAZ'!A:A,'Model Modeshare by TAZ'!D:D)</f>
        <v>NO</v>
      </c>
      <c r="D985" s="6">
        <v>3</v>
      </c>
      <c r="E985" s="6">
        <v>700</v>
      </c>
      <c r="F985" s="6">
        <v>2618</v>
      </c>
      <c r="G985" s="6">
        <v>2619</v>
      </c>
      <c r="H985" s="6">
        <v>1323</v>
      </c>
      <c r="I985" s="6">
        <v>555</v>
      </c>
      <c r="J985" s="6">
        <v>145</v>
      </c>
      <c r="K985" s="40">
        <v>79</v>
      </c>
      <c r="L985" s="40">
        <v>12</v>
      </c>
      <c r="M985" s="40">
        <v>130</v>
      </c>
      <c r="N985" s="40">
        <v>1</v>
      </c>
      <c r="O985" s="40">
        <v>15</v>
      </c>
      <c r="P985" s="40">
        <v>43</v>
      </c>
      <c r="Q985" s="40">
        <v>1</v>
      </c>
      <c r="R985" s="40">
        <v>70</v>
      </c>
      <c r="S985" s="40">
        <v>0</v>
      </c>
    </row>
    <row r="986" spans="1:19" x14ac:dyDescent="0.35">
      <c r="A986" s="38">
        <v>983</v>
      </c>
      <c r="B986" s="38" t="str">
        <f>_xlfn.XLOOKUP(A986,'Model Modeshare by TAZ'!A:A,'Model Modeshare by TAZ'!B:B)</f>
        <v>San Jose</v>
      </c>
      <c r="C986" s="38" t="str">
        <f>_xlfn.XLOOKUP(A986,'Model Modeshare by TAZ'!A:A,'Model Modeshare by TAZ'!D:D)</f>
        <v>NO</v>
      </c>
      <c r="D986" s="6">
        <v>3</v>
      </c>
      <c r="E986" s="6">
        <v>1956</v>
      </c>
      <c r="F986" s="6">
        <v>6715</v>
      </c>
      <c r="G986" s="6">
        <v>6735</v>
      </c>
      <c r="H986" s="6">
        <v>3937</v>
      </c>
      <c r="I986" s="6">
        <v>1832</v>
      </c>
      <c r="J986" s="6">
        <v>124</v>
      </c>
      <c r="K986" s="40">
        <v>348</v>
      </c>
      <c r="L986" s="40">
        <v>16</v>
      </c>
      <c r="M986" s="40">
        <v>165</v>
      </c>
      <c r="N986" s="40">
        <v>24</v>
      </c>
      <c r="O986" s="40">
        <v>111</v>
      </c>
      <c r="P986" s="40">
        <v>28</v>
      </c>
      <c r="Q986" s="40">
        <v>0</v>
      </c>
      <c r="R986" s="40">
        <v>0</v>
      </c>
      <c r="S986" s="40">
        <v>2</v>
      </c>
    </row>
    <row r="987" spans="1:19" x14ac:dyDescent="0.35">
      <c r="A987" s="38">
        <v>984</v>
      </c>
      <c r="B987" s="38" t="str">
        <f>_xlfn.XLOOKUP(A987,'Model Modeshare by TAZ'!A:A,'Model Modeshare by TAZ'!B:B)</f>
        <v>San Jose</v>
      </c>
      <c r="C987" s="38" t="str">
        <f>_xlfn.XLOOKUP(A987,'Model Modeshare by TAZ'!A:A,'Model Modeshare by TAZ'!D:D)</f>
        <v>NO</v>
      </c>
      <c r="D987" s="6">
        <v>3</v>
      </c>
      <c r="E987" s="6">
        <v>872</v>
      </c>
      <c r="F987" s="6">
        <v>2657</v>
      </c>
      <c r="G987" s="6">
        <v>2659</v>
      </c>
      <c r="H987" s="6">
        <v>1452</v>
      </c>
      <c r="I987" s="6">
        <v>851</v>
      </c>
      <c r="J987" s="6">
        <v>21</v>
      </c>
      <c r="K987" s="40">
        <v>328</v>
      </c>
      <c r="L987" s="40">
        <v>99</v>
      </c>
      <c r="M987" s="40">
        <v>405</v>
      </c>
      <c r="N987" s="40">
        <v>186</v>
      </c>
      <c r="O987" s="40">
        <v>114</v>
      </c>
      <c r="P987" s="40">
        <v>60</v>
      </c>
      <c r="Q987" s="40">
        <v>0</v>
      </c>
      <c r="R987" s="40">
        <v>28</v>
      </c>
      <c r="S987" s="40">
        <v>17</v>
      </c>
    </row>
    <row r="988" spans="1:19" x14ac:dyDescent="0.35">
      <c r="A988" s="38">
        <v>985</v>
      </c>
      <c r="B988" s="38" t="str">
        <f>_xlfn.XLOOKUP(A988,'Model Modeshare by TAZ'!A:A,'Model Modeshare by TAZ'!B:B)</f>
        <v>San Jose</v>
      </c>
      <c r="C988" s="38" t="str">
        <f>_xlfn.XLOOKUP(A988,'Model Modeshare by TAZ'!A:A,'Model Modeshare by TAZ'!D:D)</f>
        <v>NO</v>
      </c>
      <c r="D988" s="6">
        <v>3</v>
      </c>
      <c r="E988" s="6">
        <v>496</v>
      </c>
      <c r="F988" s="6">
        <v>1507</v>
      </c>
      <c r="G988" s="6">
        <v>1507</v>
      </c>
      <c r="H988" s="6">
        <v>824</v>
      </c>
      <c r="I988" s="6">
        <v>484</v>
      </c>
      <c r="J988" s="6">
        <v>12</v>
      </c>
      <c r="K988" s="40">
        <v>267</v>
      </c>
      <c r="L988" s="40">
        <v>3</v>
      </c>
      <c r="M988" s="40">
        <v>279</v>
      </c>
      <c r="N988" s="40">
        <v>0</v>
      </c>
      <c r="O988" s="40">
        <v>105</v>
      </c>
      <c r="P988" s="40">
        <v>21</v>
      </c>
      <c r="Q988" s="40">
        <v>150</v>
      </c>
      <c r="R988" s="40">
        <v>3</v>
      </c>
      <c r="S988" s="40">
        <v>0</v>
      </c>
    </row>
    <row r="989" spans="1:19" x14ac:dyDescent="0.35">
      <c r="A989" s="38">
        <v>986</v>
      </c>
      <c r="B989" s="38" t="str">
        <f>_xlfn.XLOOKUP(A989,'Model Modeshare by TAZ'!A:A,'Model Modeshare by TAZ'!B:B)</f>
        <v>San Jose</v>
      </c>
      <c r="C989" s="38" t="str">
        <f>_xlfn.XLOOKUP(A989,'Model Modeshare by TAZ'!A:A,'Model Modeshare by TAZ'!D:D)</f>
        <v>NO</v>
      </c>
      <c r="D989" s="6">
        <v>3</v>
      </c>
      <c r="E989" s="6">
        <v>1252</v>
      </c>
      <c r="F989" s="6">
        <v>4641</v>
      </c>
      <c r="G989" s="6">
        <v>4669</v>
      </c>
      <c r="H989" s="6">
        <v>2359</v>
      </c>
      <c r="I989" s="6">
        <v>1244</v>
      </c>
      <c r="J989" s="6">
        <v>8</v>
      </c>
      <c r="K989" s="40">
        <v>292</v>
      </c>
      <c r="L989" s="40">
        <v>62</v>
      </c>
      <c r="M989" s="40">
        <v>479</v>
      </c>
      <c r="N989" s="40">
        <v>65</v>
      </c>
      <c r="O989" s="40">
        <v>206</v>
      </c>
      <c r="P989" s="40">
        <v>190</v>
      </c>
      <c r="Q989" s="40">
        <v>2</v>
      </c>
      <c r="R989" s="40">
        <v>16</v>
      </c>
      <c r="S989" s="40">
        <v>0</v>
      </c>
    </row>
    <row r="990" spans="1:19" x14ac:dyDescent="0.35">
      <c r="A990" s="38">
        <v>987</v>
      </c>
      <c r="B990" s="38" t="str">
        <f>_xlfn.XLOOKUP(A990,'Model Modeshare by TAZ'!A:A,'Model Modeshare by TAZ'!B:B)</f>
        <v>San Jose</v>
      </c>
      <c r="C990" s="38" t="str">
        <f>_xlfn.XLOOKUP(A990,'Model Modeshare by TAZ'!A:A,'Model Modeshare by TAZ'!D:D)</f>
        <v>NO</v>
      </c>
      <c r="D990" s="6">
        <v>3</v>
      </c>
      <c r="E990" s="6">
        <v>142</v>
      </c>
      <c r="F990" s="6">
        <v>465</v>
      </c>
      <c r="G990" s="6">
        <v>472</v>
      </c>
      <c r="H990" s="6">
        <v>241</v>
      </c>
      <c r="I990" s="6">
        <v>116</v>
      </c>
      <c r="J990" s="6">
        <v>26</v>
      </c>
      <c r="K990" s="40">
        <v>44</v>
      </c>
      <c r="L990" s="40">
        <v>13</v>
      </c>
      <c r="M990" s="40">
        <v>175</v>
      </c>
      <c r="N990" s="40">
        <v>0</v>
      </c>
      <c r="O990" s="40">
        <v>8</v>
      </c>
      <c r="P990" s="40">
        <v>164</v>
      </c>
      <c r="Q990" s="40">
        <v>3</v>
      </c>
      <c r="R990" s="40">
        <v>0</v>
      </c>
      <c r="S990" s="40">
        <v>0</v>
      </c>
    </row>
    <row r="991" spans="1:19" x14ac:dyDescent="0.35">
      <c r="A991" s="38">
        <v>988</v>
      </c>
      <c r="B991" s="38" t="str">
        <f>_xlfn.XLOOKUP(A991,'Model Modeshare by TAZ'!A:A,'Model Modeshare by TAZ'!B:B)</f>
        <v>San Jose</v>
      </c>
      <c r="C991" s="38" t="str">
        <f>_xlfn.XLOOKUP(A991,'Model Modeshare by TAZ'!A:A,'Model Modeshare by TAZ'!D:D)</f>
        <v>NO</v>
      </c>
      <c r="D991" s="6">
        <v>3</v>
      </c>
      <c r="E991" s="6">
        <v>751</v>
      </c>
      <c r="F991" s="6">
        <v>2454</v>
      </c>
      <c r="G991" s="6">
        <v>2459</v>
      </c>
      <c r="H991" s="6">
        <v>1279</v>
      </c>
      <c r="I991" s="6">
        <v>613</v>
      </c>
      <c r="J991" s="6">
        <v>138</v>
      </c>
      <c r="K991" s="40">
        <v>152</v>
      </c>
      <c r="L991" s="40">
        <v>1</v>
      </c>
      <c r="M991" s="40">
        <v>92</v>
      </c>
      <c r="N991" s="40">
        <v>6</v>
      </c>
      <c r="O991" s="40">
        <v>4</v>
      </c>
      <c r="P991" s="40">
        <v>81</v>
      </c>
      <c r="Q991" s="40">
        <v>1</v>
      </c>
      <c r="R991" s="40">
        <v>0</v>
      </c>
      <c r="S991" s="40">
        <v>0</v>
      </c>
    </row>
    <row r="992" spans="1:19" x14ac:dyDescent="0.35">
      <c r="A992" s="38">
        <v>989</v>
      </c>
      <c r="B992" s="38" t="str">
        <f>_xlfn.XLOOKUP(A992,'Model Modeshare by TAZ'!A:A,'Model Modeshare by TAZ'!B:B)</f>
        <v>San Jose</v>
      </c>
      <c r="C992" s="38" t="str">
        <f>_xlfn.XLOOKUP(A992,'Model Modeshare by TAZ'!A:A,'Model Modeshare by TAZ'!D:D)</f>
        <v>NO</v>
      </c>
      <c r="D992" s="6">
        <v>3</v>
      </c>
      <c r="E992" s="6">
        <v>376</v>
      </c>
      <c r="F992" s="6">
        <v>1227</v>
      </c>
      <c r="G992" s="6">
        <v>1232</v>
      </c>
      <c r="H992" s="6">
        <v>639</v>
      </c>
      <c r="I992" s="6">
        <v>307</v>
      </c>
      <c r="J992" s="6">
        <v>69</v>
      </c>
      <c r="K992" s="40">
        <v>90</v>
      </c>
      <c r="L992" s="40">
        <v>18</v>
      </c>
      <c r="M992" s="40">
        <v>674</v>
      </c>
      <c r="N992" s="40">
        <v>414</v>
      </c>
      <c r="O992" s="40">
        <v>178</v>
      </c>
      <c r="P992" s="40">
        <v>77</v>
      </c>
      <c r="Q992" s="40">
        <v>2</v>
      </c>
      <c r="R992" s="40">
        <v>3</v>
      </c>
      <c r="S992" s="40">
        <v>0</v>
      </c>
    </row>
    <row r="993" spans="1:19" x14ac:dyDescent="0.35">
      <c r="A993" s="38">
        <v>990</v>
      </c>
      <c r="B993" s="38" t="str">
        <f>_xlfn.XLOOKUP(A993,'Model Modeshare by TAZ'!A:A,'Model Modeshare by TAZ'!B:B)</f>
        <v>San Jose</v>
      </c>
      <c r="C993" s="38" t="str">
        <f>_xlfn.XLOOKUP(A993,'Model Modeshare by TAZ'!A:A,'Model Modeshare by TAZ'!D:D)</f>
        <v>NO</v>
      </c>
      <c r="D993" s="6">
        <v>3</v>
      </c>
      <c r="E993" s="6">
        <v>356</v>
      </c>
      <c r="F993" s="6">
        <v>1163</v>
      </c>
      <c r="G993" s="6">
        <v>1166</v>
      </c>
      <c r="H993" s="6">
        <v>606</v>
      </c>
      <c r="I993" s="6">
        <v>291</v>
      </c>
      <c r="J993" s="6">
        <v>65</v>
      </c>
      <c r="K993" s="40">
        <v>14</v>
      </c>
      <c r="L993" s="40">
        <v>10</v>
      </c>
      <c r="M993" s="40">
        <v>54</v>
      </c>
      <c r="N993" s="40">
        <v>21</v>
      </c>
      <c r="O993" s="40">
        <v>18</v>
      </c>
      <c r="P993" s="40">
        <v>11</v>
      </c>
      <c r="Q993" s="40">
        <v>4</v>
      </c>
      <c r="R993" s="40">
        <v>0</v>
      </c>
      <c r="S993" s="40">
        <v>0</v>
      </c>
    </row>
    <row r="994" spans="1:19" x14ac:dyDescent="0.35">
      <c r="A994" s="38">
        <v>991</v>
      </c>
      <c r="B994" s="38" t="str">
        <f>_xlfn.XLOOKUP(A994,'Model Modeshare by TAZ'!A:A,'Model Modeshare by TAZ'!B:B)</f>
        <v>San Jose</v>
      </c>
      <c r="C994" s="38" t="str">
        <f>_xlfn.XLOOKUP(A994,'Model Modeshare by TAZ'!A:A,'Model Modeshare by TAZ'!D:D)</f>
        <v>NO</v>
      </c>
      <c r="D994" s="6">
        <v>3</v>
      </c>
      <c r="E994" s="6">
        <v>400</v>
      </c>
      <c r="F994" s="6">
        <v>1423</v>
      </c>
      <c r="G994" s="6">
        <v>1423</v>
      </c>
      <c r="H994" s="6">
        <v>793</v>
      </c>
      <c r="I994" s="6">
        <v>306</v>
      </c>
      <c r="J994" s="6">
        <v>94</v>
      </c>
      <c r="K994" s="40">
        <v>59</v>
      </c>
      <c r="L994" s="40">
        <v>6</v>
      </c>
      <c r="M994" s="40">
        <v>201</v>
      </c>
      <c r="N994" s="40">
        <v>84</v>
      </c>
      <c r="O994" s="40">
        <v>32</v>
      </c>
      <c r="P994" s="40">
        <v>79</v>
      </c>
      <c r="Q994" s="40">
        <v>1</v>
      </c>
      <c r="R994" s="40">
        <v>1</v>
      </c>
      <c r="S994" s="40">
        <v>4</v>
      </c>
    </row>
    <row r="995" spans="1:19" x14ac:dyDescent="0.35">
      <c r="A995" s="38">
        <v>992</v>
      </c>
      <c r="B995" s="38" t="str">
        <f>_xlfn.XLOOKUP(A995,'Model Modeshare by TAZ'!A:A,'Model Modeshare by TAZ'!B:B)</f>
        <v>San Jose</v>
      </c>
      <c r="C995" s="38" t="str">
        <f>_xlfn.XLOOKUP(A995,'Model Modeshare by TAZ'!A:A,'Model Modeshare by TAZ'!D:D)</f>
        <v>NO</v>
      </c>
      <c r="D995" s="6">
        <v>3</v>
      </c>
      <c r="E995" s="6">
        <v>308</v>
      </c>
      <c r="F995" s="6">
        <v>1099</v>
      </c>
      <c r="G995" s="6">
        <v>1100</v>
      </c>
      <c r="H995" s="6">
        <v>612</v>
      </c>
      <c r="I995" s="6">
        <v>236</v>
      </c>
      <c r="J995" s="6">
        <v>72</v>
      </c>
      <c r="K995" s="40">
        <v>23</v>
      </c>
      <c r="L995" s="40">
        <v>8</v>
      </c>
      <c r="M995" s="40">
        <v>143</v>
      </c>
      <c r="N995" s="40">
        <v>37</v>
      </c>
      <c r="O995" s="40">
        <v>95</v>
      </c>
      <c r="P995" s="40">
        <v>10</v>
      </c>
      <c r="Q995" s="40">
        <v>1</v>
      </c>
      <c r="R995" s="40">
        <v>0</v>
      </c>
      <c r="S995" s="40">
        <v>0</v>
      </c>
    </row>
    <row r="996" spans="1:19" x14ac:dyDescent="0.35">
      <c r="A996" s="38">
        <v>993</v>
      </c>
      <c r="B996" s="38" t="str">
        <f>_xlfn.XLOOKUP(A996,'Model Modeshare by TAZ'!A:A,'Model Modeshare by TAZ'!B:B)</f>
        <v>San Jose</v>
      </c>
      <c r="C996" s="38" t="str">
        <f>_xlfn.XLOOKUP(A996,'Model Modeshare by TAZ'!A:A,'Model Modeshare by TAZ'!D:D)</f>
        <v>NO</v>
      </c>
      <c r="D996" s="6">
        <v>3</v>
      </c>
      <c r="E996" s="6">
        <v>864</v>
      </c>
      <c r="F996" s="6">
        <v>3079</v>
      </c>
      <c r="G996" s="6">
        <v>3080</v>
      </c>
      <c r="H996" s="6">
        <v>1715</v>
      </c>
      <c r="I996" s="6">
        <v>590</v>
      </c>
      <c r="J996" s="6">
        <v>274</v>
      </c>
      <c r="K996" s="40">
        <v>108</v>
      </c>
      <c r="L996" s="40">
        <v>1</v>
      </c>
      <c r="M996" s="40">
        <v>103</v>
      </c>
      <c r="N996" s="40">
        <v>5</v>
      </c>
      <c r="O996" s="40">
        <v>5</v>
      </c>
      <c r="P996" s="40">
        <v>85</v>
      </c>
      <c r="Q996" s="40">
        <v>3</v>
      </c>
      <c r="R996" s="40">
        <v>0</v>
      </c>
      <c r="S996" s="40">
        <v>5</v>
      </c>
    </row>
    <row r="997" spans="1:19" x14ac:dyDescent="0.35">
      <c r="A997" s="38">
        <v>994</v>
      </c>
      <c r="B997" s="38" t="str">
        <f>_xlfn.XLOOKUP(A997,'Model Modeshare by TAZ'!A:A,'Model Modeshare by TAZ'!B:B)</f>
        <v>San Jose</v>
      </c>
      <c r="C997" s="38" t="str">
        <f>_xlfn.XLOOKUP(A997,'Model Modeshare by TAZ'!A:A,'Model Modeshare by TAZ'!D:D)</f>
        <v>NO</v>
      </c>
      <c r="D997" s="6">
        <v>3</v>
      </c>
      <c r="E997" s="6">
        <v>233</v>
      </c>
      <c r="F997" s="6">
        <v>828</v>
      </c>
      <c r="G997" s="6">
        <v>837</v>
      </c>
      <c r="H997" s="6">
        <v>466</v>
      </c>
      <c r="I997" s="6">
        <v>178</v>
      </c>
      <c r="J997" s="6">
        <v>55</v>
      </c>
      <c r="K997" s="40">
        <v>31</v>
      </c>
      <c r="L997" s="40">
        <v>10</v>
      </c>
      <c r="M997" s="40">
        <v>152</v>
      </c>
      <c r="N997" s="40">
        <v>94</v>
      </c>
      <c r="O997" s="40">
        <v>33</v>
      </c>
      <c r="P997" s="40">
        <v>24</v>
      </c>
      <c r="Q997" s="40">
        <v>1</v>
      </c>
      <c r="R997" s="40">
        <v>0</v>
      </c>
      <c r="S997" s="40">
        <v>0</v>
      </c>
    </row>
    <row r="998" spans="1:19" x14ac:dyDescent="0.35">
      <c r="A998" s="38">
        <v>995</v>
      </c>
      <c r="B998" s="38" t="str">
        <f>_xlfn.XLOOKUP(A998,'Model Modeshare by TAZ'!A:A,'Model Modeshare by TAZ'!B:B)</f>
        <v>San Jose</v>
      </c>
      <c r="C998" s="38" t="str">
        <f>_xlfn.XLOOKUP(A998,'Model Modeshare by TAZ'!A:A,'Model Modeshare by TAZ'!D:D)</f>
        <v>NO</v>
      </c>
      <c r="D998" s="6">
        <v>3</v>
      </c>
      <c r="E998" s="6">
        <v>190</v>
      </c>
      <c r="F998" s="6">
        <v>551</v>
      </c>
      <c r="G998" s="6">
        <v>553</v>
      </c>
      <c r="H998" s="6">
        <v>336</v>
      </c>
      <c r="I998" s="6">
        <v>97</v>
      </c>
      <c r="J998" s="6">
        <v>93</v>
      </c>
      <c r="K998" s="40">
        <v>27</v>
      </c>
      <c r="L998" s="40">
        <v>3</v>
      </c>
      <c r="M998" s="40">
        <v>112</v>
      </c>
      <c r="N998" s="40">
        <v>5</v>
      </c>
      <c r="O998" s="40">
        <v>10</v>
      </c>
      <c r="P998" s="40">
        <v>27</v>
      </c>
      <c r="Q998" s="40">
        <v>70</v>
      </c>
      <c r="R998" s="40">
        <v>0</v>
      </c>
      <c r="S998" s="40">
        <v>0</v>
      </c>
    </row>
    <row r="999" spans="1:19" x14ac:dyDescent="0.35">
      <c r="A999" s="38">
        <v>996</v>
      </c>
      <c r="B999" s="38" t="str">
        <f>_xlfn.XLOOKUP(A999,'Model Modeshare by TAZ'!A:A,'Model Modeshare by TAZ'!B:B)</f>
        <v>San Jose</v>
      </c>
      <c r="C999" s="38" t="str">
        <f>_xlfn.XLOOKUP(A999,'Model Modeshare by TAZ'!A:A,'Model Modeshare by TAZ'!D:D)</f>
        <v>NO</v>
      </c>
      <c r="D999" s="6">
        <v>3</v>
      </c>
      <c r="E999" s="6">
        <v>1482</v>
      </c>
      <c r="F999" s="6">
        <v>4298</v>
      </c>
      <c r="G999" s="6">
        <v>4315</v>
      </c>
      <c r="H999" s="6">
        <v>2633</v>
      </c>
      <c r="I999" s="6">
        <v>754</v>
      </c>
      <c r="J999" s="6">
        <v>728</v>
      </c>
      <c r="K999" s="40">
        <v>191</v>
      </c>
      <c r="L999" s="40">
        <v>1</v>
      </c>
      <c r="M999" s="40">
        <v>83</v>
      </c>
      <c r="N999" s="40">
        <v>0</v>
      </c>
      <c r="O999" s="40">
        <v>2</v>
      </c>
      <c r="P999" s="40">
        <v>47</v>
      </c>
      <c r="Q999" s="40">
        <v>32</v>
      </c>
      <c r="R999" s="40">
        <v>2</v>
      </c>
      <c r="S999" s="40">
        <v>0</v>
      </c>
    </row>
    <row r="1000" spans="1:19" x14ac:dyDescent="0.35">
      <c r="A1000" s="38">
        <v>997</v>
      </c>
      <c r="B1000" s="38" t="str">
        <f>_xlfn.XLOOKUP(A1000,'Model Modeshare by TAZ'!A:A,'Model Modeshare by TAZ'!B:B)</f>
        <v>San Jose</v>
      </c>
      <c r="C1000" s="38" t="str">
        <f>_xlfn.XLOOKUP(A1000,'Model Modeshare by TAZ'!A:A,'Model Modeshare by TAZ'!D:D)</f>
        <v>NO</v>
      </c>
      <c r="D1000" s="6">
        <v>3</v>
      </c>
      <c r="E1000" s="6">
        <v>13</v>
      </c>
      <c r="F1000" s="6">
        <v>38</v>
      </c>
      <c r="G1000" s="6">
        <v>38</v>
      </c>
      <c r="H1000" s="6">
        <v>19</v>
      </c>
      <c r="I1000" s="6">
        <v>7</v>
      </c>
      <c r="J1000" s="6">
        <v>6</v>
      </c>
      <c r="K1000" s="40">
        <v>1</v>
      </c>
      <c r="L1000" s="40">
        <v>132</v>
      </c>
      <c r="M1000" s="40">
        <v>6181</v>
      </c>
      <c r="N1000" s="40">
        <v>404</v>
      </c>
      <c r="O1000" s="40">
        <v>1364</v>
      </c>
      <c r="P1000" s="40">
        <v>1630</v>
      </c>
      <c r="Q1000" s="40">
        <v>45</v>
      </c>
      <c r="R1000" s="40">
        <v>2123</v>
      </c>
      <c r="S1000" s="40">
        <v>615</v>
      </c>
    </row>
    <row r="1001" spans="1:19" x14ac:dyDescent="0.35">
      <c r="A1001" s="38">
        <v>998</v>
      </c>
      <c r="B1001" s="38" t="str">
        <f>_xlfn.XLOOKUP(A1001,'Model Modeshare by TAZ'!A:A,'Model Modeshare by TAZ'!B:B)</f>
        <v>San Jose</v>
      </c>
      <c r="C1001" s="38" t="str">
        <f>_xlfn.XLOOKUP(A1001,'Model Modeshare by TAZ'!A:A,'Model Modeshare by TAZ'!D:D)</f>
        <v>NO</v>
      </c>
      <c r="D1001" s="6">
        <v>3</v>
      </c>
      <c r="E1001" s="6">
        <v>72</v>
      </c>
      <c r="F1001" s="6">
        <v>209</v>
      </c>
      <c r="G1001" s="6">
        <v>212</v>
      </c>
      <c r="H1001" s="6">
        <v>126</v>
      </c>
      <c r="I1001" s="6">
        <v>37</v>
      </c>
      <c r="J1001" s="6">
        <v>35</v>
      </c>
      <c r="K1001" s="40">
        <v>5</v>
      </c>
      <c r="L1001" s="40">
        <v>28</v>
      </c>
      <c r="M1001" s="40">
        <v>551</v>
      </c>
      <c r="N1001" s="40">
        <v>27</v>
      </c>
      <c r="O1001" s="40">
        <v>128</v>
      </c>
      <c r="P1001" s="40">
        <v>183</v>
      </c>
      <c r="Q1001" s="40">
        <v>7</v>
      </c>
      <c r="R1001" s="40">
        <v>154</v>
      </c>
      <c r="S1001" s="40">
        <v>52</v>
      </c>
    </row>
    <row r="1002" spans="1:19" x14ac:dyDescent="0.35">
      <c r="A1002" s="38">
        <v>999</v>
      </c>
      <c r="B1002" s="38" t="str">
        <f>_xlfn.XLOOKUP(A1002,'Model Modeshare by TAZ'!A:A,'Model Modeshare by TAZ'!B:B)</f>
        <v>Unincorporated</v>
      </c>
      <c r="C1002" s="38" t="str">
        <f>_xlfn.XLOOKUP(A1002,'Model Modeshare by TAZ'!A:A,'Model Modeshare by TAZ'!D:D)</f>
        <v>NO</v>
      </c>
      <c r="D1002" s="6">
        <v>3</v>
      </c>
      <c r="E1002" s="6">
        <v>58</v>
      </c>
      <c r="F1002" s="6">
        <v>179</v>
      </c>
      <c r="G1002" s="6">
        <v>182</v>
      </c>
      <c r="H1002" s="6">
        <v>97</v>
      </c>
      <c r="I1002" s="6">
        <v>57</v>
      </c>
      <c r="J1002" s="6">
        <v>1</v>
      </c>
      <c r="K1002" s="40">
        <v>226</v>
      </c>
      <c r="L1002" s="40">
        <v>1</v>
      </c>
      <c r="M1002" s="40">
        <v>20</v>
      </c>
      <c r="N1002" s="40">
        <v>0</v>
      </c>
      <c r="O1002" s="40">
        <v>0</v>
      </c>
      <c r="P1002" s="40">
        <v>0</v>
      </c>
      <c r="Q1002" s="40">
        <v>20</v>
      </c>
      <c r="R1002" s="40">
        <v>0</v>
      </c>
      <c r="S1002" s="40">
        <v>0</v>
      </c>
    </row>
    <row r="1003" spans="1:19" x14ac:dyDescent="0.35">
      <c r="A1003" s="38">
        <v>1000</v>
      </c>
      <c r="B1003" s="38" t="str">
        <f>_xlfn.XLOOKUP(A1003,'Model Modeshare by TAZ'!A:A,'Model Modeshare by TAZ'!B:B)</f>
        <v>San Jose</v>
      </c>
      <c r="C1003" s="38" t="str">
        <f>_xlfn.XLOOKUP(A1003,'Model Modeshare by TAZ'!A:A,'Model Modeshare by TAZ'!D:D)</f>
        <v>NO</v>
      </c>
      <c r="D1003" s="6">
        <v>3</v>
      </c>
      <c r="E1003" s="6">
        <v>485</v>
      </c>
      <c r="F1003" s="6">
        <v>1811</v>
      </c>
      <c r="G1003" s="6">
        <v>1824</v>
      </c>
      <c r="H1003" s="6">
        <v>1021</v>
      </c>
      <c r="I1003" s="6">
        <v>485</v>
      </c>
      <c r="J1003" s="6">
        <v>0</v>
      </c>
      <c r="K1003" s="40">
        <v>111</v>
      </c>
      <c r="L1003" s="40">
        <v>1</v>
      </c>
      <c r="M1003" s="40">
        <v>37</v>
      </c>
      <c r="N1003" s="40">
        <v>1</v>
      </c>
      <c r="O1003" s="40">
        <v>1</v>
      </c>
      <c r="P1003" s="40">
        <v>17</v>
      </c>
      <c r="Q1003" s="40">
        <v>8</v>
      </c>
      <c r="R1003" s="40">
        <v>0</v>
      </c>
      <c r="S1003" s="40">
        <v>10</v>
      </c>
    </row>
    <row r="1004" spans="1:19" x14ac:dyDescent="0.35">
      <c r="A1004" s="38">
        <v>1001</v>
      </c>
      <c r="B1004" s="38" t="str">
        <f>_xlfn.XLOOKUP(A1004,'Model Modeshare by TAZ'!A:A,'Model Modeshare by TAZ'!B:B)</f>
        <v>San Jose</v>
      </c>
      <c r="C1004" s="38" t="str">
        <f>_xlfn.XLOOKUP(A1004,'Model Modeshare by TAZ'!A:A,'Model Modeshare by TAZ'!D:D)</f>
        <v>NO</v>
      </c>
      <c r="D1004" s="6">
        <v>3</v>
      </c>
      <c r="E1004" s="6">
        <v>539</v>
      </c>
      <c r="F1004" s="6">
        <v>2010</v>
      </c>
      <c r="G1004" s="6">
        <v>2023</v>
      </c>
      <c r="H1004" s="6">
        <v>1132</v>
      </c>
      <c r="I1004" s="6">
        <v>539</v>
      </c>
      <c r="J1004" s="6">
        <v>0</v>
      </c>
      <c r="K1004" s="40">
        <v>122</v>
      </c>
      <c r="L1004" s="40">
        <v>1</v>
      </c>
      <c r="M1004" s="40">
        <v>128</v>
      </c>
      <c r="N1004" s="40">
        <v>9</v>
      </c>
      <c r="O1004" s="40">
        <v>10</v>
      </c>
      <c r="P1004" s="40">
        <v>78</v>
      </c>
      <c r="Q1004" s="40">
        <v>13</v>
      </c>
      <c r="R1004" s="40">
        <v>0</v>
      </c>
      <c r="S1004" s="40">
        <v>18</v>
      </c>
    </row>
    <row r="1005" spans="1:19" x14ac:dyDescent="0.35">
      <c r="A1005" s="38">
        <v>1002</v>
      </c>
      <c r="B1005" s="38" t="str">
        <f>_xlfn.XLOOKUP(A1005,'Model Modeshare by TAZ'!A:A,'Model Modeshare by TAZ'!B:B)</f>
        <v>San Jose</v>
      </c>
      <c r="C1005" s="38" t="str">
        <f>_xlfn.XLOOKUP(A1005,'Model Modeshare by TAZ'!A:A,'Model Modeshare by TAZ'!D:D)</f>
        <v>NO</v>
      </c>
      <c r="D1005" s="6">
        <v>3</v>
      </c>
      <c r="E1005" s="6">
        <v>496</v>
      </c>
      <c r="F1005" s="6">
        <v>1765</v>
      </c>
      <c r="G1005" s="6">
        <v>1782</v>
      </c>
      <c r="H1005" s="6">
        <v>955</v>
      </c>
      <c r="I1005" s="6">
        <v>456</v>
      </c>
      <c r="J1005" s="6">
        <v>40</v>
      </c>
      <c r="K1005" s="40">
        <v>110</v>
      </c>
      <c r="L1005" s="40">
        <v>3</v>
      </c>
      <c r="M1005" s="40">
        <v>20</v>
      </c>
      <c r="N1005" s="40">
        <v>1</v>
      </c>
      <c r="O1005" s="40">
        <v>2</v>
      </c>
      <c r="P1005" s="40">
        <v>15</v>
      </c>
      <c r="Q1005" s="40">
        <v>2</v>
      </c>
      <c r="R1005" s="40">
        <v>0</v>
      </c>
      <c r="S1005" s="40">
        <v>0</v>
      </c>
    </row>
    <row r="1006" spans="1:19" x14ac:dyDescent="0.35">
      <c r="A1006" s="38">
        <v>1003</v>
      </c>
      <c r="B1006" s="38" t="str">
        <f>_xlfn.XLOOKUP(A1006,'Model Modeshare by TAZ'!A:A,'Model Modeshare by TAZ'!B:B)</f>
        <v>San Jose</v>
      </c>
      <c r="C1006" s="38" t="str">
        <f>_xlfn.XLOOKUP(A1006,'Model Modeshare by TAZ'!A:A,'Model Modeshare by TAZ'!D:D)</f>
        <v>NO</v>
      </c>
      <c r="D1006" s="6">
        <v>3</v>
      </c>
      <c r="E1006" s="6">
        <v>1009</v>
      </c>
      <c r="F1006" s="6">
        <v>3544</v>
      </c>
      <c r="G1006" s="6">
        <v>3551</v>
      </c>
      <c r="H1006" s="6">
        <v>2225</v>
      </c>
      <c r="I1006" s="6">
        <v>597</v>
      </c>
      <c r="J1006" s="6">
        <v>412</v>
      </c>
      <c r="K1006" s="40">
        <v>72</v>
      </c>
      <c r="L1006" s="40">
        <v>22</v>
      </c>
      <c r="M1006" s="40">
        <v>53</v>
      </c>
      <c r="N1006" s="40">
        <v>9</v>
      </c>
      <c r="O1006" s="40">
        <v>0</v>
      </c>
      <c r="P1006" s="40">
        <v>35</v>
      </c>
      <c r="Q1006" s="40">
        <v>9</v>
      </c>
      <c r="R1006" s="40">
        <v>0</v>
      </c>
      <c r="S1006" s="40">
        <v>0</v>
      </c>
    </row>
    <row r="1007" spans="1:19" x14ac:dyDescent="0.35">
      <c r="A1007" s="38">
        <v>1004</v>
      </c>
      <c r="B1007" s="38" t="str">
        <f>_xlfn.XLOOKUP(A1007,'Model Modeshare by TAZ'!A:A,'Model Modeshare by TAZ'!B:B)</f>
        <v>San Jose</v>
      </c>
      <c r="C1007" s="38" t="str">
        <f>_xlfn.XLOOKUP(A1007,'Model Modeshare by TAZ'!A:A,'Model Modeshare by TAZ'!D:D)</f>
        <v>NO</v>
      </c>
      <c r="D1007" s="6">
        <v>3</v>
      </c>
      <c r="E1007" s="6">
        <v>1031</v>
      </c>
      <c r="F1007" s="6">
        <v>3622</v>
      </c>
      <c r="G1007" s="6">
        <v>3633</v>
      </c>
      <c r="H1007" s="6">
        <v>2271</v>
      </c>
      <c r="I1007" s="6">
        <v>964</v>
      </c>
      <c r="J1007" s="6">
        <v>67</v>
      </c>
      <c r="K1007" s="40">
        <v>205</v>
      </c>
      <c r="L1007" s="40">
        <v>30</v>
      </c>
      <c r="M1007" s="40">
        <v>245</v>
      </c>
      <c r="N1007" s="40">
        <v>27</v>
      </c>
      <c r="O1007" s="40">
        <v>27</v>
      </c>
      <c r="P1007" s="40">
        <v>164</v>
      </c>
      <c r="Q1007" s="40">
        <v>27</v>
      </c>
      <c r="R1007" s="40">
        <v>0</v>
      </c>
      <c r="S1007" s="40">
        <v>0</v>
      </c>
    </row>
    <row r="1008" spans="1:19" x14ac:dyDescent="0.35">
      <c r="A1008" s="38">
        <v>1005</v>
      </c>
      <c r="B1008" s="38" t="str">
        <f>_xlfn.XLOOKUP(A1008,'Model Modeshare by TAZ'!A:A,'Model Modeshare by TAZ'!B:B)</f>
        <v>San Jose</v>
      </c>
      <c r="C1008" s="38" t="str">
        <f>_xlfn.XLOOKUP(A1008,'Model Modeshare by TAZ'!A:A,'Model Modeshare by TAZ'!D:D)</f>
        <v>NO</v>
      </c>
      <c r="D1008" s="6">
        <v>3</v>
      </c>
      <c r="E1008" s="6">
        <v>1</v>
      </c>
      <c r="F1008" s="6">
        <v>4</v>
      </c>
      <c r="G1008" s="6">
        <v>4</v>
      </c>
      <c r="H1008" s="6">
        <v>2</v>
      </c>
      <c r="I1008" s="6">
        <v>1</v>
      </c>
      <c r="J1008" s="6">
        <v>0</v>
      </c>
      <c r="K1008" s="40">
        <v>33</v>
      </c>
      <c r="L1008" s="40">
        <v>39</v>
      </c>
      <c r="M1008" s="40">
        <v>854</v>
      </c>
      <c r="N1008" s="40">
        <v>10</v>
      </c>
      <c r="O1008" s="40">
        <v>40</v>
      </c>
      <c r="P1008" s="40">
        <v>307</v>
      </c>
      <c r="Q1008" s="40">
        <v>0</v>
      </c>
      <c r="R1008" s="40">
        <v>452</v>
      </c>
      <c r="S1008" s="40">
        <v>45</v>
      </c>
    </row>
    <row r="1009" spans="1:19" x14ac:dyDescent="0.35">
      <c r="A1009" s="38">
        <v>1006</v>
      </c>
      <c r="B1009" s="38" t="str">
        <f>_xlfn.XLOOKUP(A1009,'Model Modeshare by TAZ'!A:A,'Model Modeshare by TAZ'!B:B)</f>
        <v>San Jose</v>
      </c>
      <c r="C1009" s="38" t="str">
        <f>_xlfn.XLOOKUP(A1009,'Model Modeshare by TAZ'!A:A,'Model Modeshare by TAZ'!D:D)</f>
        <v>NO</v>
      </c>
      <c r="D1009" s="6">
        <v>3</v>
      </c>
      <c r="E1009" s="6">
        <v>483</v>
      </c>
      <c r="F1009" s="6">
        <v>1495</v>
      </c>
      <c r="G1009" s="6">
        <v>1495</v>
      </c>
      <c r="H1009" s="6">
        <v>861</v>
      </c>
      <c r="I1009" s="6">
        <v>378</v>
      </c>
      <c r="J1009" s="6">
        <v>105</v>
      </c>
      <c r="K1009" s="40">
        <v>62</v>
      </c>
      <c r="L1009" s="40">
        <v>40</v>
      </c>
      <c r="M1009" s="40">
        <v>972</v>
      </c>
      <c r="N1009" s="40">
        <v>369</v>
      </c>
      <c r="O1009" s="40">
        <v>238</v>
      </c>
      <c r="P1009" s="40">
        <v>294</v>
      </c>
      <c r="Q1009" s="40">
        <v>0</v>
      </c>
      <c r="R1009" s="40">
        <v>62</v>
      </c>
      <c r="S1009" s="40">
        <v>9</v>
      </c>
    </row>
    <row r="1010" spans="1:19" x14ac:dyDescent="0.35">
      <c r="A1010" s="38">
        <v>1007</v>
      </c>
      <c r="B1010" s="38" t="str">
        <f>_xlfn.XLOOKUP(A1010,'Model Modeshare by TAZ'!A:A,'Model Modeshare by TAZ'!B:B)</f>
        <v>San Jose</v>
      </c>
      <c r="C1010" s="38" t="str">
        <f>_xlfn.XLOOKUP(A1010,'Model Modeshare by TAZ'!A:A,'Model Modeshare by TAZ'!D:D)</f>
        <v>NO</v>
      </c>
      <c r="D1010" s="6">
        <v>3</v>
      </c>
      <c r="E1010" s="6">
        <v>968</v>
      </c>
      <c r="F1010" s="6">
        <v>2998</v>
      </c>
      <c r="G1010" s="6">
        <v>2999</v>
      </c>
      <c r="H1010" s="6">
        <v>1725</v>
      </c>
      <c r="I1010" s="6">
        <v>757</v>
      </c>
      <c r="J1010" s="6">
        <v>211</v>
      </c>
      <c r="K1010" s="40">
        <v>59</v>
      </c>
      <c r="L1010" s="40">
        <v>78</v>
      </c>
      <c r="M1010" s="40">
        <v>34</v>
      </c>
      <c r="N1010" s="40">
        <v>0</v>
      </c>
      <c r="O1010" s="40">
        <v>34</v>
      </c>
      <c r="P1010" s="40">
        <v>0</v>
      </c>
      <c r="Q1010" s="40">
        <v>0</v>
      </c>
      <c r="R1010" s="40">
        <v>0</v>
      </c>
      <c r="S1010" s="40">
        <v>0</v>
      </c>
    </row>
    <row r="1011" spans="1:19" x14ac:dyDescent="0.35">
      <c r="A1011" s="38">
        <v>1008</v>
      </c>
      <c r="B1011" s="38" t="str">
        <f>_xlfn.XLOOKUP(A1011,'Model Modeshare by TAZ'!A:A,'Model Modeshare by TAZ'!B:B)</f>
        <v>San Jose</v>
      </c>
      <c r="C1011" s="38" t="str">
        <f>_xlfn.XLOOKUP(A1011,'Model Modeshare by TAZ'!A:A,'Model Modeshare by TAZ'!D:D)</f>
        <v>NO</v>
      </c>
      <c r="D1011" s="6">
        <v>3</v>
      </c>
      <c r="E1011" s="6">
        <v>1430</v>
      </c>
      <c r="F1011" s="6">
        <v>4437</v>
      </c>
      <c r="G1011" s="6">
        <v>4439</v>
      </c>
      <c r="H1011" s="6">
        <v>2561</v>
      </c>
      <c r="I1011" s="6">
        <v>543</v>
      </c>
      <c r="J1011" s="6">
        <v>887</v>
      </c>
      <c r="K1011" s="40">
        <v>119</v>
      </c>
      <c r="L1011" s="40">
        <v>0</v>
      </c>
      <c r="M1011" s="40">
        <v>0</v>
      </c>
      <c r="N1011" s="40">
        <v>0</v>
      </c>
      <c r="O1011" s="40">
        <v>0</v>
      </c>
      <c r="P1011" s="40">
        <v>0</v>
      </c>
      <c r="Q1011" s="40">
        <v>0</v>
      </c>
      <c r="R1011" s="40">
        <v>0</v>
      </c>
      <c r="S1011" s="40">
        <v>0</v>
      </c>
    </row>
    <row r="1012" spans="1:19" x14ac:dyDescent="0.35">
      <c r="A1012" s="38">
        <v>1009</v>
      </c>
      <c r="B1012" s="38" t="str">
        <f>_xlfn.XLOOKUP(A1012,'Model Modeshare by TAZ'!A:A,'Model Modeshare by TAZ'!B:B)</f>
        <v>San Jose</v>
      </c>
      <c r="C1012" s="38" t="str">
        <f>_xlfn.XLOOKUP(A1012,'Model Modeshare by TAZ'!A:A,'Model Modeshare by TAZ'!D:D)</f>
        <v>NO</v>
      </c>
      <c r="D1012" s="6">
        <v>3</v>
      </c>
      <c r="E1012" s="6">
        <v>666</v>
      </c>
      <c r="F1012" s="6">
        <v>2164</v>
      </c>
      <c r="G1012" s="6">
        <v>2258</v>
      </c>
      <c r="H1012" s="6">
        <v>1006</v>
      </c>
      <c r="I1012" s="6">
        <v>22</v>
      </c>
      <c r="J1012" s="6">
        <v>644</v>
      </c>
      <c r="K1012" s="40">
        <v>65</v>
      </c>
      <c r="L1012" s="40">
        <v>81</v>
      </c>
      <c r="M1012" s="40">
        <v>1626</v>
      </c>
      <c r="N1012" s="40">
        <v>30</v>
      </c>
      <c r="O1012" s="40">
        <v>74</v>
      </c>
      <c r="P1012" s="40">
        <v>508</v>
      </c>
      <c r="Q1012" s="40">
        <v>21</v>
      </c>
      <c r="R1012" s="40">
        <v>897</v>
      </c>
      <c r="S1012" s="40">
        <v>96</v>
      </c>
    </row>
    <row r="1013" spans="1:19" x14ac:dyDescent="0.35">
      <c r="A1013" s="38">
        <v>1010</v>
      </c>
      <c r="B1013" s="38" t="str">
        <f>_xlfn.XLOOKUP(A1013,'Model Modeshare by TAZ'!A:A,'Model Modeshare by TAZ'!B:B)</f>
        <v>San Jose</v>
      </c>
      <c r="C1013" s="38" t="str">
        <f>_xlfn.XLOOKUP(A1013,'Model Modeshare by TAZ'!A:A,'Model Modeshare by TAZ'!D:D)</f>
        <v>NO</v>
      </c>
      <c r="D1013" s="6">
        <v>3</v>
      </c>
      <c r="E1013" s="6">
        <v>609</v>
      </c>
      <c r="F1013" s="6">
        <v>1978</v>
      </c>
      <c r="G1013" s="6">
        <v>2088</v>
      </c>
      <c r="H1013" s="6">
        <v>962</v>
      </c>
      <c r="I1013" s="6">
        <v>20</v>
      </c>
      <c r="J1013" s="6">
        <v>589</v>
      </c>
      <c r="K1013" s="40">
        <v>65</v>
      </c>
      <c r="L1013" s="40">
        <v>100</v>
      </c>
      <c r="M1013" s="40">
        <v>2572</v>
      </c>
      <c r="N1013" s="40">
        <v>47</v>
      </c>
      <c r="O1013" s="40">
        <v>117</v>
      </c>
      <c r="P1013" s="40">
        <v>899</v>
      </c>
      <c r="Q1013" s="40">
        <v>3</v>
      </c>
      <c r="R1013" s="40">
        <v>1359</v>
      </c>
      <c r="S1013" s="40">
        <v>147</v>
      </c>
    </row>
    <row r="1014" spans="1:19" x14ac:dyDescent="0.35">
      <c r="A1014" s="38">
        <v>1011</v>
      </c>
      <c r="B1014" s="38" t="str">
        <f>_xlfn.XLOOKUP(A1014,'Model Modeshare by TAZ'!A:A,'Model Modeshare by TAZ'!B:B)</f>
        <v>San Jose</v>
      </c>
      <c r="C1014" s="38" t="str">
        <f>_xlfn.XLOOKUP(A1014,'Model Modeshare by TAZ'!A:A,'Model Modeshare by TAZ'!D:D)</f>
        <v>NO</v>
      </c>
      <c r="D1014" s="6">
        <v>3</v>
      </c>
      <c r="E1014" s="6">
        <v>2</v>
      </c>
      <c r="F1014" s="6">
        <v>8</v>
      </c>
      <c r="G1014" s="6">
        <v>8</v>
      </c>
      <c r="H1014" s="6">
        <v>3</v>
      </c>
      <c r="I1014" s="6">
        <v>0</v>
      </c>
      <c r="J1014" s="6">
        <v>2</v>
      </c>
      <c r="K1014" s="40">
        <v>3</v>
      </c>
      <c r="L1014" s="40">
        <v>67</v>
      </c>
      <c r="M1014" s="40">
        <v>793</v>
      </c>
      <c r="N1014" s="40">
        <v>14</v>
      </c>
      <c r="O1014" s="40">
        <v>51</v>
      </c>
      <c r="P1014" s="40">
        <v>252</v>
      </c>
      <c r="Q1014" s="40">
        <v>7</v>
      </c>
      <c r="R1014" s="40">
        <v>422</v>
      </c>
      <c r="S1014" s="40">
        <v>47</v>
      </c>
    </row>
    <row r="1015" spans="1:19" x14ac:dyDescent="0.35">
      <c r="A1015" s="38">
        <v>1012</v>
      </c>
      <c r="B1015" s="38" t="str">
        <f>_xlfn.XLOOKUP(A1015,'Model Modeshare by TAZ'!A:A,'Model Modeshare by TAZ'!B:B)</f>
        <v>San Jose</v>
      </c>
      <c r="C1015" s="38" t="str">
        <f>_xlfn.XLOOKUP(A1015,'Model Modeshare by TAZ'!A:A,'Model Modeshare by TAZ'!D:D)</f>
        <v>NO</v>
      </c>
      <c r="D1015" s="6">
        <v>3</v>
      </c>
      <c r="E1015" s="6">
        <v>28</v>
      </c>
      <c r="F1015" s="6">
        <v>81</v>
      </c>
      <c r="G1015" s="6">
        <v>81</v>
      </c>
      <c r="H1015" s="6">
        <v>41</v>
      </c>
      <c r="I1015" s="6">
        <v>1</v>
      </c>
      <c r="J1015" s="6">
        <v>27</v>
      </c>
      <c r="K1015" s="40">
        <v>6</v>
      </c>
      <c r="L1015" s="40">
        <v>24</v>
      </c>
      <c r="M1015" s="40">
        <v>314</v>
      </c>
      <c r="N1015" s="40">
        <v>9</v>
      </c>
      <c r="O1015" s="40">
        <v>17</v>
      </c>
      <c r="P1015" s="40">
        <v>117</v>
      </c>
      <c r="Q1015" s="40">
        <v>0</v>
      </c>
      <c r="R1015" s="40">
        <v>154</v>
      </c>
      <c r="S1015" s="40">
        <v>17</v>
      </c>
    </row>
    <row r="1016" spans="1:19" x14ac:dyDescent="0.35">
      <c r="A1016" s="38">
        <v>1013</v>
      </c>
      <c r="B1016" s="38" t="str">
        <f>_xlfn.XLOOKUP(A1016,'Model Modeshare by TAZ'!A:A,'Model Modeshare by TAZ'!B:B)</f>
        <v>San Jose</v>
      </c>
      <c r="C1016" s="38" t="str">
        <f>_xlfn.XLOOKUP(A1016,'Model Modeshare by TAZ'!A:A,'Model Modeshare by TAZ'!D:D)</f>
        <v>NO</v>
      </c>
      <c r="D1016" s="6">
        <v>3</v>
      </c>
      <c r="E1016" s="6">
        <v>501</v>
      </c>
      <c r="F1016" s="6">
        <v>1696</v>
      </c>
      <c r="G1016" s="6">
        <v>1704</v>
      </c>
      <c r="H1016" s="6">
        <v>923</v>
      </c>
      <c r="I1016" s="6">
        <v>389</v>
      </c>
      <c r="J1016" s="6">
        <v>112</v>
      </c>
      <c r="K1016" s="40">
        <v>18</v>
      </c>
      <c r="L1016" s="40">
        <v>5</v>
      </c>
      <c r="M1016" s="40">
        <v>12</v>
      </c>
      <c r="N1016" s="40">
        <v>4</v>
      </c>
      <c r="O1016" s="40">
        <v>5</v>
      </c>
      <c r="P1016" s="40">
        <v>3</v>
      </c>
      <c r="Q1016" s="40">
        <v>0</v>
      </c>
      <c r="R1016" s="40">
        <v>0</v>
      </c>
      <c r="S1016" s="40">
        <v>0</v>
      </c>
    </row>
    <row r="1017" spans="1:19" x14ac:dyDescent="0.35">
      <c r="A1017" s="38">
        <v>1014</v>
      </c>
      <c r="B1017" s="38" t="str">
        <f>_xlfn.XLOOKUP(A1017,'Model Modeshare by TAZ'!A:A,'Model Modeshare by TAZ'!B:B)</f>
        <v>San Jose</v>
      </c>
      <c r="C1017" s="38" t="str">
        <f>_xlfn.XLOOKUP(A1017,'Model Modeshare by TAZ'!A:A,'Model Modeshare by TAZ'!D:D)</f>
        <v>NO</v>
      </c>
      <c r="D1017" s="6">
        <v>3</v>
      </c>
      <c r="E1017" s="6">
        <v>462</v>
      </c>
      <c r="F1017" s="6">
        <v>1559</v>
      </c>
      <c r="G1017" s="6">
        <v>1559</v>
      </c>
      <c r="H1017" s="6">
        <v>798</v>
      </c>
      <c r="I1017" s="6">
        <v>268</v>
      </c>
      <c r="J1017" s="6">
        <v>194</v>
      </c>
      <c r="K1017" s="40">
        <v>30</v>
      </c>
      <c r="L1017" s="40">
        <v>2</v>
      </c>
      <c r="M1017" s="40">
        <v>29</v>
      </c>
      <c r="N1017" s="40">
        <v>0</v>
      </c>
      <c r="O1017" s="40">
        <v>0</v>
      </c>
      <c r="P1017" s="40">
        <v>0</v>
      </c>
      <c r="Q1017" s="40">
        <v>29</v>
      </c>
      <c r="R1017" s="40">
        <v>0</v>
      </c>
      <c r="S1017" s="40">
        <v>0</v>
      </c>
    </row>
    <row r="1018" spans="1:19" x14ac:dyDescent="0.35">
      <c r="A1018" s="38">
        <v>1015</v>
      </c>
      <c r="B1018" s="38" t="str">
        <f>_xlfn.XLOOKUP(A1018,'Model Modeshare by TAZ'!A:A,'Model Modeshare by TAZ'!B:B)</f>
        <v>San Jose</v>
      </c>
      <c r="C1018" s="38" t="str">
        <f>_xlfn.XLOOKUP(A1018,'Model Modeshare by TAZ'!A:A,'Model Modeshare by TAZ'!D:D)</f>
        <v>NO</v>
      </c>
      <c r="D1018" s="6">
        <v>3</v>
      </c>
      <c r="E1018" s="6">
        <v>612</v>
      </c>
      <c r="F1018" s="6">
        <v>2067</v>
      </c>
      <c r="G1018" s="6">
        <v>2071</v>
      </c>
      <c r="H1018" s="6">
        <v>1058</v>
      </c>
      <c r="I1018" s="6">
        <v>427</v>
      </c>
      <c r="J1018" s="6">
        <v>185</v>
      </c>
      <c r="K1018" s="40">
        <v>129</v>
      </c>
      <c r="L1018" s="40">
        <v>3</v>
      </c>
      <c r="M1018" s="40">
        <v>135</v>
      </c>
      <c r="N1018" s="40">
        <v>6</v>
      </c>
      <c r="O1018" s="40">
        <v>94</v>
      </c>
      <c r="P1018" s="40">
        <v>32</v>
      </c>
      <c r="Q1018" s="40">
        <v>1</v>
      </c>
      <c r="R1018" s="40">
        <v>1</v>
      </c>
      <c r="S1018" s="40">
        <v>1</v>
      </c>
    </row>
    <row r="1019" spans="1:19" x14ac:dyDescent="0.35">
      <c r="A1019" s="38">
        <v>1016</v>
      </c>
      <c r="B1019" s="38" t="str">
        <f>_xlfn.XLOOKUP(A1019,'Model Modeshare by TAZ'!A:A,'Model Modeshare by TAZ'!B:B)</f>
        <v>San Jose</v>
      </c>
      <c r="C1019" s="38" t="str">
        <f>_xlfn.XLOOKUP(A1019,'Model Modeshare by TAZ'!A:A,'Model Modeshare by TAZ'!D:D)</f>
        <v>NO</v>
      </c>
      <c r="D1019" s="6">
        <v>3</v>
      </c>
      <c r="E1019" s="6">
        <v>0</v>
      </c>
      <c r="F1019" s="6">
        <v>0</v>
      </c>
      <c r="G1019" s="6">
        <v>0</v>
      </c>
      <c r="H1019" s="6">
        <v>0</v>
      </c>
      <c r="I1019" s="6">
        <v>0</v>
      </c>
      <c r="J1019" s="6">
        <v>0</v>
      </c>
      <c r="K1019" s="40">
        <v>2</v>
      </c>
      <c r="L1019" s="40">
        <v>10</v>
      </c>
      <c r="M1019" s="40">
        <v>813</v>
      </c>
      <c r="N1019" s="40">
        <v>46</v>
      </c>
      <c r="O1019" s="40">
        <v>654</v>
      </c>
      <c r="P1019" s="40">
        <v>0</v>
      </c>
      <c r="Q1019" s="40">
        <v>0</v>
      </c>
      <c r="R1019" s="40">
        <v>104</v>
      </c>
      <c r="S1019" s="40">
        <v>9</v>
      </c>
    </row>
    <row r="1020" spans="1:19" x14ac:dyDescent="0.35">
      <c r="A1020" s="38">
        <v>1017</v>
      </c>
      <c r="B1020" s="38" t="str">
        <f>_xlfn.XLOOKUP(A1020,'Model Modeshare by TAZ'!A:A,'Model Modeshare by TAZ'!B:B)</f>
        <v>San Jose</v>
      </c>
      <c r="C1020" s="38" t="str">
        <f>_xlfn.XLOOKUP(A1020,'Model Modeshare by TAZ'!A:A,'Model Modeshare by TAZ'!D:D)</f>
        <v>NO</v>
      </c>
      <c r="D1020" s="6">
        <v>3</v>
      </c>
      <c r="E1020" s="6">
        <v>313</v>
      </c>
      <c r="F1020" s="6">
        <v>1057</v>
      </c>
      <c r="G1020" s="6">
        <v>1077</v>
      </c>
      <c r="H1020" s="6">
        <v>542</v>
      </c>
      <c r="I1020" s="6">
        <v>218</v>
      </c>
      <c r="J1020" s="6">
        <v>95</v>
      </c>
      <c r="K1020" s="40">
        <v>63</v>
      </c>
      <c r="L1020" s="40">
        <v>62</v>
      </c>
      <c r="M1020" s="40">
        <v>829</v>
      </c>
      <c r="N1020" s="40">
        <v>688</v>
      </c>
      <c r="O1020" s="40">
        <v>53</v>
      </c>
      <c r="P1020" s="40">
        <v>85</v>
      </c>
      <c r="Q1020" s="40">
        <v>3</v>
      </c>
      <c r="R1020" s="40">
        <v>0</v>
      </c>
      <c r="S1020" s="40">
        <v>0</v>
      </c>
    </row>
    <row r="1021" spans="1:19" x14ac:dyDescent="0.35">
      <c r="A1021" s="38">
        <v>1018</v>
      </c>
      <c r="B1021" s="38" t="str">
        <f>_xlfn.XLOOKUP(A1021,'Model Modeshare by TAZ'!A:A,'Model Modeshare by TAZ'!B:B)</f>
        <v>Unincorporated</v>
      </c>
      <c r="C1021" s="38" t="str">
        <f>_xlfn.XLOOKUP(A1021,'Model Modeshare by TAZ'!A:A,'Model Modeshare by TAZ'!D:D)</f>
        <v>NO</v>
      </c>
      <c r="D1021" s="6">
        <v>3</v>
      </c>
      <c r="E1021" s="6">
        <v>503</v>
      </c>
      <c r="F1021" s="6">
        <v>1475</v>
      </c>
      <c r="G1021" s="6">
        <v>1484</v>
      </c>
      <c r="H1021" s="6">
        <v>738</v>
      </c>
      <c r="I1021" s="6">
        <v>446</v>
      </c>
      <c r="J1021" s="6">
        <v>57</v>
      </c>
      <c r="K1021" s="40">
        <v>173</v>
      </c>
      <c r="L1021" s="40">
        <v>1</v>
      </c>
      <c r="M1021" s="40">
        <v>121</v>
      </c>
      <c r="N1021" s="40">
        <v>0</v>
      </c>
      <c r="O1021" s="40">
        <v>0</v>
      </c>
      <c r="P1021" s="40">
        <v>102</v>
      </c>
      <c r="Q1021" s="40">
        <v>18</v>
      </c>
      <c r="R1021" s="40">
        <v>0</v>
      </c>
      <c r="S1021" s="40">
        <v>1</v>
      </c>
    </row>
    <row r="1022" spans="1:19" x14ac:dyDescent="0.35">
      <c r="A1022" s="38">
        <v>1019</v>
      </c>
      <c r="B1022" s="38" t="str">
        <f>_xlfn.XLOOKUP(A1022,'Model Modeshare by TAZ'!A:A,'Model Modeshare by TAZ'!B:B)</f>
        <v>San Jose</v>
      </c>
      <c r="C1022" s="38" t="str">
        <f>_xlfn.XLOOKUP(A1022,'Model Modeshare by TAZ'!A:A,'Model Modeshare by TAZ'!D:D)</f>
        <v>NO</v>
      </c>
      <c r="D1022" s="6">
        <v>3</v>
      </c>
      <c r="E1022" s="6">
        <v>2083</v>
      </c>
      <c r="F1022" s="6">
        <v>7324</v>
      </c>
      <c r="G1022" s="6">
        <v>7491</v>
      </c>
      <c r="H1022" s="6">
        <v>3434</v>
      </c>
      <c r="I1022" s="6">
        <v>1788</v>
      </c>
      <c r="J1022" s="6">
        <v>295</v>
      </c>
      <c r="K1022" s="40">
        <v>369</v>
      </c>
      <c r="L1022" s="40">
        <v>31</v>
      </c>
      <c r="M1022" s="40">
        <v>802</v>
      </c>
      <c r="N1022" s="40">
        <v>363</v>
      </c>
      <c r="O1022" s="40">
        <v>357</v>
      </c>
      <c r="P1022" s="40">
        <v>69</v>
      </c>
      <c r="Q1022" s="40">
        <v>5</v>
      </c>
      <c r="R1022" s="40">
        <v>5</v>
      </c>
      <c r="S1022" s="40">
        <v>3</v>
      </c>
    </row>
    <row r="1023" spans="1:19" x14ac:dyDescent="0.35">
      <c r="A1023" s="38">
        <v>1020</v>
      </c>
      <c r="B1023" s="38" t="str">
        <f>_xlfn.XLOOKUP(A1023,'Model Modeshare by TAZ'!A:A,'Model Modeshare by TAZ'!B:B)</f>
        <v>Unincorporated</v>
      </c>
      <c r="C1023" s="38" t="str">
        <f>_xlfn.XLOOKUP(A1023,'Model Modeshare by TAZ'!A:A,'Model Modeshare by TAZ'!D:D)</f>
        <v>NO</v>
      </c>
      <c r="D1023" s="6">
        <v>3</v>
      </c>
      <c r="E1023" s="6">
        <v>558</v>
      </c>
      <c r="F1023" s="6">
        <v>1638</v>
      </c>
      <c r="G1023" s="6">
        <v>1647</v>
      </c>
      <c r="H1023" s="6">
        <v>821</v>
      </c>
      <c r="I1023" s="6">
        <v>495</v>
      </c>
      <c r="J1023" s="6">
        <v>63</v>
      </c>
      <c r="K1023" s="40">
        <v>236</v>
      </c>
      <c r="L1023" s="40">
        <v>1</v>
      </c>
      <c r="M1023" s="40">
        <v>62</v>
      </c>
      <c r="N1023" s="40">
        <v>0</v>
      </c>
      <c r="O1023" s="40">
        <v>0</v>
      </c>
      <c r="P1023" s="40">
        <v>0</v>
      </c>
      <c r="Q1023" s="40">
        <v>62</v>
      </c>
      <c r="R1023" s="40">
        <v>0</v>
      </c>
      <c r="S1023" s="40">
        <v>0</v>
      </c>
    </row>
    <row r="1024" spans="1:19" x14ac:dyDescent="0.35">
      <c r="A1024" s="38">
        <v>1021</v>
      </c>
      <c r="B1024" s="38" t="str">
        <f>_xlfn.XLOOKUP(A1024,'Model Modeshare by TAZ'!A:A,'Model Modeshare by TAZ'!B:B)</f>
        <v>Unincorporated</v>
      </c>
      <c r="C1024" s="38" t="str">
        <f>_xlfn.XLOOKUP(A1024,'Model Modeshare by TAZ'!A:A,'Model Modeshare by TAZ'!D:D)</f>
        <v>NO</v>
      </c>
      <c r="D1024" s="6">
        <v>3</v>
      </c>
      <c r="E1024" s="6">
        <v>405</v>
      </c>
      <c r="F1024" s="6">
        <v>1263</v>
      </c>
      <c r="G1024" s="6">
        <v>1266</v>
      </c>
      <c r="H1024" s="6">
        <v>706</v>
      </c>
      <c r="I1024" s="6">
        <v>403</v>
      </c>
      <c r="J1024" s="6">
        <v>2</v>
      </c>
      <c r="K1024" s="40">
        <v>461</v>
      </c>
      <c r="L1024" s="40">
        <v>1</v>
      </c>
      <c r="M1024" s="40">
        <v>116</v>
      </c>
      <c r="N1024" s="40">
        <v>14</v>
      </c>
      <c r="O1024" s="40">
        <v>0</v>
      </c>
      <c r="P1024" s="40">
        <v>75</v>
      </c>
      <c r="Q1024" s="40">
        <v>14</v>
      </c>
      <c r="R1024" s="40">
        <v>2</v>
      </c>
      <c r="S1024" s="40">
        <v>11</v>
      </c>
    </row>
    <row r="1025" spans="1:19" x14ac:dyDescent="0.35">
      <c r="A1025" s="38">
        <v>1022</v>
      </c>
      <c r="B1025" s="38" t="str">
        <f>_xlfn.XLOOKUP(A1025,'Model Modeshare by TAZ'!A:A,'Model Modeshare by TAZ'!B:B)</f>
        <v>Unincorporated</v>
      </c>
      <c r="C1025" s="38" t="str">
        <f>_xlfn.XLOOKUP(A1025,'Model Modeshare by TAZ'!A:A,'Model Modeshare by TAZ'!D:D)</f>
        <v>NO</v>
      </c>
      <c r="D1025" s="6">
        <v>3</v>
      </c>
      <c r="E1025" s="6">
        <v>744</v>
      </c>
      <c r="F1025" s="6">
        <v>2321</v>
      </c>
      <c r="G1025" s="6">
        <v>2322</v>
      </c>
      <c r="H1025" s="6">
        <v>1297</v>
      </c>
      <c r="I1025" s="6">
        <v>741</v>
      </c>
      <c r="J1025" s="6">
        <v>3</v>
      </c>
      <c r="K1025" s="40">
        <v>622</v>
      </c>
      <c r="L1025" s="40">
        <v>20</v>
      </c>
      <c r="M1025" s="40">
        <v>164</v>
      </c>
      <c r="N1025" s="40">
        <v>5</v>
      </c>
      <c r="O1025" s="40">
        <v>139</v>
      </c>
      <c r="P1025" s="40">
        <v>12</v>
      </c>
      <c r="Q1025" s="40">
        <v>4</v>
      </c>
      <c r="R1025" s="40">
        <v>1</v>
      </c>
      <c r="S1025" s="40">
        <v>3</v>
      </c>
    </row>
    <row r="1026" spans="1:19" x14ac:dyDescent="0.35">
      <c r="A1026" s="38">
        <v>1023</v>
      </c>
      <c r="B1026" s="38" t="str">
        <f>_xlfn.XLOOKUP(A1026,'Model Modeshare by TAZ'!A:A,'Model Modeshare by TAZ'!B:B)</f>
        <v>San Jose</v>
      </c>
      <c r="C1026" s="38" t="str">
        <f>_xlfn.XLOOKUP(A1026,'Model Modeshare by TAZ'!A:A,'Model Modeshare by TAZ'!D:D)</f>
        <v>NO</v>
      </c>
      <c r="D1026" s="6">
        <v>3</v>
      </c>
      <c r="E1026" s="6">
        <v>619</v>
      </c>
      <c r="F1026" s="6">
        <v>2315</v>
      </c>
      <c r="G1026" s="6">
        <v>2315</v>
      </c>
      <c r="H1026" s="6">
        <v>1022</v>
      </c>
      <c r="I1026" s="6">
        <v>466</v>
      </c>
      <c r="J1026" s="6">
        <v>153</v>
      </c>
      <c r="K1026" s="40">
        <v>99</v>
      </c>
      <c r="L1026" s="40">
        <v>44</v>
      </c>
      <c r="M1026" s="40">
        <v>706</v>
      </c>
      <c r="N1026" s="40">
        <v>153</v>
      </c>
      <c r="O1026" s="40">
        <v>399</v>
      </c>
      <c r="P1026" s="40">
        <v>4</v>
      </c>
      <c r="Q1026" s="40">
        <v>3</v>
      </c>
      <c r="R1026" s="40">
        <v>47</v>
      </c>
      <c r="S1026" s="40">
        <v>100</v>
      </c>
    </row>
    <row r="1027" spans="1:19" x14ac:dyDescent="0.35">
      <c r="A1027" s="38">
        <v>1024</v>
      </c>
      <c r="B1027" s="38" t="str">
        <f>_xlfn.XLOOKUP(A1027,'Model Modeshare by TAZ'!A:A,'Model Modeshare by TAZ'!B:B)</f>
        <v>San Jose</v>
      </c>
      <c r="C1027" s="38" t="str">
        <f>_xlfn.XLOOKUP(A1027,'Model Modeshare by TAZ'!A:A,'Model Modeshare by TAZ'!D:D)</f>
        <v>NO</v>
      </c>
      <c r="D1027" s="6">
        <v>3</v>
      </c>
      <c r="E1027" s="6">
        <v>95</v>
      </c>
      <c r="F1027" s="6">
        <v>361</v>
      </c>
      <c r="G1027" s="6">
        <v>404</v>
      </c>
      <c r="H1027" s="6">
        <v>156</v>
      </c>
      <c r="I1027" s="6">
        <v>71</v>
      </c>
      <c r="J1027" s="6">
        <v>24</v>
      </c>
      <c r="K1027" s="40">
        <v>12</v>
      </c>
      <c r="L1027" s="40">
        <v>48</v>
      </c>
      <c r="M1027" s="40">
        <v>101</v>
      </c>
      <c r="N1027" s="40">
        <v>7</v>
      </c>
      <c r="O1027" s="40">
        <v>19</v>
      </c>
      <c r="P1027" s="40">
        <v>68</v>
      </c>
      <c r="Q1027" s="40">
        <v>0</v>
      </c>
      <c r="R1027" s="40">
        <v>2</v>
      </c>
      <c r="S1027" s="40">
        <v>5</v>
      </c>
    </row>
    <row r="1028" spans="1:19" x14ac:dyDescent="0.35">
      <c r="A1028" s="38">
        <v>1025</v>
      </c>
      <c r="B1028" s="38" t="str">
        <f>_xlfn.XLOOKUP(A1028,'Model Modeshare by TAZ'!A:A,'Model Modeshare by TAZ'!B:B)</f>
        <v>San Jose</v>
      </c>
      <c r="C1028" s="38" t="str">
        <f>_xlfn.XLOOKUP(A1028,'Model Modeshare by TAZ'!A:A,'Model Modeshare by TAZ'!D:D)</f>
        <v>NO</v>
      </c>
      <c r="D1028" s="6">
        <v>3</v>
      </c>
      <c r="E1028" s="6">
        <v>1533</v>
      </c>
      <c r="F1028" s="6">
        <v>5765</v>
      </c>
      <c r="G1028" s="6">
        <v>5776</v>
      </c>
      <c r="H1028" s="6">
        <v>2368</v>
      </c>
      <c r="I1028" s="6">
        <v>474</v>
      </c>
      <c r="J1028" s="6">
        <v>1059</v>
      </c>
      <c r="K1028" s="40">
        <v>115</v>
      </c>
      <c r="L1028" s="40">
        <v>108</v>
      </c>
      <c r="M1028" s="40">
        <v>1125</v>
      </c>
      <c r="N1028" s="40">
        <v>230</v>
      </c>
      <c r="O1028" s="40">
        <v>603</v>
      </c>
      <c r="P1028" s="40">
        <v>61</v>
      </c>
      <c r="Q1028" s="40">
        <v>7</v>
      </c>
      <c r="R1028" s="40">
        <v>74</v>
      </c>
      <c r="S1028" s="40">
        <v>150</v>
      </c>
    </row>
    <row r="1029" spans="1:19" x14ac:dyDescent="0.35">
      <c r="A1029" s="38">
        <v>1026</v>
      </c>
      <c r="B1029" s="38" t="str">
        <f>_xlfn.XLOOKUP(A1029,'Model Modeshare by TAZ'!A:A,'Model Modeshare by TAZ'!B:B)</f>
        <v>San Jose</v>
      </c>
      <c r="C1029" s="38" t="str">
        <f>_xlfn.XLOOKUP(A1029,'Model Modeshare by TAZ'!A:A,'Model Modeshare by TAZ'!D:D)</f>
        <v>NO</v>
      </c>
      <c r="D1029" s="6">
        <v>3</v>
      </c>
      <c r="E1029" s="6">
        <v>293</v>
      </c>
      <c r="F1029" s="6">
        <v>1001</v>
      </c>
      <c r="G1029" s="6">
        <v>1057</v>
      </c>
      <c r="H1029" s="6">
        <v>427</v>
      </c>
      <c r="I1029" s="6">
        <v>177</v>
      </c>
      <c r="J1029" s="6">
        <v>116</v>
      </c>
      <c r="K1029" s="40">
        <v>26</v>
      </c>
      <c r="L1029" s="40">
        <v>154</v>
      </c>
      <c r="M1029" s="40">
        <v>2209</v>
      </c>
      <c r="N1029" s="40">
        <v>172</v>
      </c>
      <c r="O1029" s="40">
        <v>680</v>
      </c>
      <c r="P1029" s="40">
        <v>242</v>
      </c>
      <c r="Q1029" s="40">
        <v>3</v>
      </c>
      <c r="R1029" s="40">
        <v>782</v>
      </c>
      <c r="S1029" s="40">
        <v>330</v>
      </c>
    </row>
    <row r="1030" spans="1:19" x14ac:dyDescent="0.35">
      <c r="A1030" s="38">
        <v>1027</v>
      </c>
      <c r="B1030" s="38" t="str">
        <f>_xlfn.XLOOKUP(A1030,'Model Modeshare by TAZ'!A:A,'Model Modeshare by TAZ'!B:B)</f>
        <v>San Jose</v>
      </c>
      <c r="C1030" s="38" t="str">
        <f>_xlfn.XLOOKUP(A1030,'Model Modeshare by TAZ'!A:A,'Model Modeshare by TAZ'!D:D)</f>
        <v>NO</v>
      </c>
      <c r="D1030" s="6">
        <v>3</v>
      </c>
      <c r="E1030" s="6">
        <v>571</v>
      </c>
      <c r="F1030" s="6">
        <v>1951</v>
      </c>
      <c r="G1030" s="6">
        <v>2024</v>
      </c>
      <c r="H1030" s="6">
        <v>837</v>
      </c>
      <c r="I1030" s="6">
        <v>345</v>
      </c>
      <c r="J1030" s="6">
        <v>226</v>
      </c>
      <c r="K1030" s="40">
        <v>77</v>
      </c>
      <c r="L1030" s="40">
        <v>14</v>
      </c>
      <c r="M1030" s="40">
        <v>321</v>
      </c>
      <c r="N1030" s="40">
        <v>60</v>
      </c>
      <c r="O1030" s="40">
        <v>206</v>
      </c>
      <c r="P1030" s="40">
        <v>32</v>
      </c>
      <c r="Q1030" s="40">
        <v>6</v>
      </c>
      <c r="R1030" s="40">
        <v>14</v>
      </c>
      <c r="S1030" s="40">
        <v>3</v>
      </c>
    </row>
    <row r="1031" spans="1:19" x14ac:dyDescent="0.35">
      <c r="A1031" s="38">
        <v>1028</v>
      </c>
      <c r="B1031" s="38" t="str">
        <f>_xlfn.XLOOKUP(A1031,'Model Modeshare by TAZ'!A:A,'Model Modeshare by TAZ'!B:B)</f>
        <v>San Jose</v>
      </c>
      <c r="C1031" s="38" t="str">
        <f>_xlfn.XLOOKUP(A1031,'Model Modeshare by TAZ'!A:A,'Model Modeshare by TAZ'!D:D)</f>
        <v>NO</v>
      </c>
      <c r="D1031" s="6">
        <v>3</v>
      </c>
      <c r="E1031" s="6">
        <v>342</v>
      </c>
      <c r="F1031" s="6">
        <v>1296</v>
      </c>
      <c r="G1031" s="6">
        <v>1296</v>
      </c>
      <c r="H1031" s="6">
        <v>546</v>
      </c>
      <c r="I1031" s="6">
        <v>262</v>
      </c>
      <c r="J1031" s="6">
        <v>80</v>
      </c>
      <c r="K1031" s="40">
        <v>66</v>
      </c>
      <c r="L1031" s="40">
        <v>52</v>
      </c>
      <c r="M1031" s="40">
        <v>581</v>
      </c>
      <c r="N1031" s="40">
        <v>29</v>
      </c>
      <c r="O1031" s="40">
        <v>94</v>
      </c>
      <c r="P1031" s="40">
        <v>458</v>
      </c>
      <c r="Q1031" s="40">
        <v>0</v>
      </c>
      <c r="R1031" s="40">
        <v>0</v>
      </c>
      <c r="S1031" s="40">
        <v>0</v>
      </c>
    </row>
    <row r="1032" spans="1:19" x14ac:dyDescent="0.35">
      <c r="A1032" s="38">
        <v>1029</v>
      </c>
      <c r="B1032" s="38" t="str">
        <f>_xlfn.XLOOKUP(A1032,'Model Modeshare by TAZ'!A:A,'Model Modeshare by TAZ'!B:B)</f>
        <v>San Jose</v>
      </c>
      <c r="C1032" s="38" t="str">
        <f>_xlfn.XLOOKUP(A1032,'Model Modeshare by TAZ'!A:A,'Model Modeshare by TAZ'!D:D)</f>
        <v>NO</v>
      </c>
      <c r="D1032" s="6">
        <v>3</v>
      </c>
      <c r="E1032" s="6">
        <v>516</v>
      </c>
      <c r="F1032" s="6">
        <v>1963</v>
      </c>
      <c r="G1032" s="6">
        <v>2064</v>
      </c>
      <c r="H1032" s="6">
        <v>823</v>
      </c>
      <c r="I1032" s="6">
        <v>395</v>
      </c>
      <c r="J1032" s="6">
        <v>121</v>
      </c>
      <c r="K1032" s="40">
        <v>79</v>
      </c>
      <c r="L1032" s="40">
        <v>29</v>
      </c>
      <c r="M1032" s="40">
        <v>269</v>
      </c>
      <c r="N1032" s="40">
        <v>24</v>
      </c>
      <c r="O1032" s="40">
        <v>232</v>
      </c>
      <c r="P1032" s="40">
        <v>11</v>
      </c>
      <c r="Q1032" s="40">
        <v>1</v>
      </c>
      <c r="R1032" s="40">
        <v>1</v>
      </c>
      <c r="S1032" s="40">
        <v>0</v>
      </c>
    </row>
    <row r="1033" spans="1:19" x14ac:dyDescent="0.35">
      <c r="A1033" s="38">
        <v>1030</v>
      </c>
      <c r="B1033" s="38" t="str">
        <f>_xlfn.XLOOKUP(A1033,'Model Modeshare by TAZ'!A:A,'Model Modeshare by TAZ'!B:B)</f>
        <v>Unincorporated</v>
      </c>
      <c r="C1033" s="38" t="str">
        <f>_xlfn.XLOOKUP(A1033,'Model Modeshare by TAZ'!A:A,'Model Modeshare by TAZ'!D:D)</f>
        <v>NO</v>
      </c>
      <c r="D1033" s="6">
        <v>3</v>
      </c>
      <c r="E1033" s="6">
        <v>1381</v>
      </c>
      <c r="F1033" s="6">
        <v>5196</v>
      </c>
      <c r="G1033" s="6">
        <v>5196</v>
      </c>
      <c r="H1033" s="6">
        <v>2483</v>
      </c>
      <c r="I1033" s="6">
        <v>1058</v>
      </c>
      <c r="J1033" s="6">
        <v>323</v>
      </c>
      <c r="K1033" s="40">
        <v>231</v>
      </c>
      <c r="L1033" s="40">
        <v>20</v>
      </c>
      <c r="M1033" s="40">
        <v>851</v>
      </c>
      <c r="N1033" s="40">
        <v>99</v>
      </c>
      <c r="O1033" s="40">
        <v>692</v>
      </c>
      <c r="P1033" s="40">
        <v>58</v>
      </c>
      <c r="Q1033" s="40">
        <v>1</v>
      </c>
      <c r="R1033" s="40">
        <v>1</v>
      </c>
      <c r="S1033" s="40">
        <v>0</v>
      </c>
    </row>
    <row r="1034" spans="1:19" x14ac:dyDescent="0.35">
      <c r="A1034" s="38">
        <v>1031</v>
      </c>
      <c r="B1034" s="38" t="str">
        <f>_xlfn.XLOOKUP(A1034,'Model Modeshare by TAZ'!A:A,'Model Modeshare by TAZ'!B:B)</f>
        <v>Unincorporated</v>
      </c>
      <c r="C1034" s="38" t="str">
        <f>_xlfn.XLOOKUP(A1034,'Model Modeshare by TAZ'!A:A,'Model Modeshare by TAZ'!D:D)</f>
        <v>NO</v>
      </c>
      <c r="D1034" s="6">
        <v>3</v>
      </c>
      <c r="E1034" s="6">
        <v>931</v>
      </c>
      <c r="F1034" s="6">
        <v>3739</v>
      </c>
      <c r="G1034" s="6">
        <v>4068</v>
      </c>
      <c r="H1034" s="6">
        <v>1644</v>
      </c>
      <c r="I1034" s="6">
        <v>900</v>
      </c>
      <c r="J1034" s="6">
        <v>31</v>
      </c>
      <c r="K1034" s="40">
        <v>189</v>
      </c>
      <c r="L1034" s="40">
        <v>54</v>
      </c>
      <c r="M1034" s="40">
        <v>456</v>
      </c>
      <c r="N1034" s="40">
        <v>62</v>
      </c>
      <c r="O1034" s="40">
        <v>300</v>
      </c>
      <c r="P1034" s="40">
        <v>87</v>
      </c>
      <c r="Q1034" s="40">
        <v>3</v>
      </c>
      <c r="R1034" s="40">
        <v>2</v>
      </c>
      <c r="S1034" s="40">
        <v>2</v>
      </c>
    </row>
    <row r="1035" spans="1:19" x14ac:dyDescent="0.35">
      <c r="A1035" s="38">
        <v>1032</v>
      </c>
      <c r="B1035" s="38" t="str">
        <f>_xlfn.XLOOKUP(A1035,'Model Modeshare by TAZ'!A:A,'Model Modeshare by TAZ'!B:B)</f>
        <v>San Jose</v>
      </c>
      <c r="C1035" s="38" t="str">
        <f>_xlfn.XLOOKUP(A1035,'Model Modeshare by TAZ'!A:A,'Model Modeshare by TAZ'!D:D)</f>
        <v>NO</v>
      </c>
      <c r="D1035" s="6">
        <v>3</v>
      </c>
      <c r="E1035" s="6">
        <v>548</v>
      </c>
      <c r="F1035" s="6">
        <v>2365</v>
      </c>
      <c r="G1035" s="6">
        <v>2365</v>
      </c>
      <c r="H1035" s="6">
        <v>974</v>
      </c>
      <c r="I1035" s="6">
        <v>541</v>
      </c>
      <c r="J1035" s="6">
        <v>7</v>
      </c>
      <c r="K1035" s="40">
        <v>149</v>
      </c>
      <c r="L1035" s="40">
        <v>10</v>
      </c>
      <c r="M1035" s="40">
        <v>82</v>
      </c>
      <c r="N1035" s="40">
        <v>0</v>
      </c>
      <c r="O1035" s="40">
        <v>0</v>
      </c>
      <c r="P1035" s="40">
        <v>78</v>
      </c>
      <c r="Q1035" s="40">
        <v>2</v>
      </c>
      <c r="R1035" s="40">
        <v>0</v>
      </c>
      <c r="S1035" s="40">
        <v>2</v>
      </c>
    </row>
    <row r="1036" spans="1:19" x14ac:dyDescent="0.35">
      <c r="A1036" s="38">
        <v>1033</v>
      </c>
      <c r="B1036" s="38" t="str">
        <f>_xlfn.XLOOKUP(A1036,'Model Modeshare by TAZ'!A:A,'Model Modeshare by TAZ'!B:B)</f>
        <v>Unincorporated</v>
      </c>
      <c r="C1036" s="38" t="str">
        <f>_xlfn.XLOOKUP(A1036,'Model Modeshare by TAZ'!A:A,'Model Modeshare by TAZ'!D:D)</f>
        <v>NO</v>
      </c>
      <c r="D1036" s="6">
        <v>3</v>
      </c>
      <c r="E1036" s="6">
        <v>744</v>
      </c>
      <c r="F1036" s="6">
        <v>3210</v>
      </c>
      <c r="G1036" s="6">
        <v>3215</v>
      </c>
      <c r="H1036" s="6">
        <v>1321</v>
      </c>
      <c r="I1036" s="6">
        <v>733</v>
      </c>
      <c r="J1036" s="6">
        <v>11</v>
      </c>
      <c r="K1036" s="40">
        <v>137</v>
      </c>
      <c r="L1036" s="40">
        <v>42</v>
      </c>
      <c r="M1036" s="40">
        <v>362</v>
      </c>
      <c r="N1036" s="40">
        <v>56</v>
      </c>
      <c r="O1036" s="40">
        <v>267</v>
      </c>
      <c r="P1036" s="40">
        <v>36</v>
      </c>
      <c r="Q1036" s="40">
        <v>1</v>
      </c>
      <c r="R1036" s="40">
        <v>1</v>
      </c>
      <c r="S1036" s="40">
        <v>1</v>
      </c>
    </row>
    <row r="1037" spans="1:19" x14ac:dyDescent="0.35">
      <c r="A1037" s="38">
        <v>1034</v>
      </c>
      <c r="B1037" s="38" t="str">
        <f>_xlfn.XLOOKUP(A1037,'Model Modeshare by TAZ'!A:A,'Model Modeshare by TAZ'!B:B)</f>
        <v>San Jose</v>
      </c>
      <c r="C1037" s="38" t="str">
        <f>_xlfn.XLOOKUP(A1037,'Model Modeshare by TAZ'!A:A,'Model Modeshare by TAZ'!D:D)</f>
        <v>NO</v>
      </c>
      <c r="D1037" s="6">
        <v>3</v>
      </c>
      <c r="E1037" s="6">
        <v>1132</v>
      </c>
      <c r="F1037" s="6">
        <v>3395</v>
      </c>
      <c r="G1037" s="6">
        <v>3470</v>
      </c>
      <c r="H1037" s="6">
        <v>1626</v>
      </c>
      <c r="I1037" s="6">
        <v>236</v>
      </c>
      <c r="J1037" s="6">
        <v>896</v>
      </c>
      <c r="K1037" s="40">
        <v>52</v>
      </c>
      <c r="L1037" s="40">
        <v>28</v>
      </c>
      <c r="M1037" s="40">
        <v>847</v>
      </c>
      <c r="N1037" s="40">
        <v>216</v>
      </c>
      <c r="O1037" s="40">
        <v>599</v>
      </c>
      <c r="P1037" s="40">
        <v>2</v>
      </c>
      <c r="Q1037" s="40">
        <v>4</v>
      </c>
      <c r="R1037" s="40">
        <v>0</v>
      </c>
      <c r="S1037" s="40">
        <v>26</v>
      </c>
    </row>
    <row r="1038" spans="1:19" x14ac:dyDescent="0.35">
      <c r="A1038" s="38">
        <v>1035</v>
      </c>
      <c r="B1038" s="38" t="str">
        <f>_xlfn.XLOOKUP(A1038,'Model Modeshare by TAZ'!A:A,'Model Modeshare by TAZ'!B:B)</f>
        <v>San Jose</v>
      </c>
      <c r="C1038" s="38" t="str">
        <f>_xlfn.XLOOKUP(A1038,'Model Modeshare by TAZ'!A:A,'Model Modeshare by TAZ'!D:D)</f>
        <v>NO</v>
      </c>
      <c r="D1038" s="6">
        <v>3</v>
      </c>
      <c r="E1038" s="6">
        <v>366</v>
      </c>
      <c r="F1038" s="6">
        <v>1098</v>
      </c>
      <c r="G1038" s="6">
        <v>1164</v>
      </c>
      <c r="H1038" s="6">
        <v>525</v>
      </c>
      <c r="I1038" s="6">
        <v>76</v>
      </c>
      <c r="J1038" s="6">
        <v>290</v>
      </c>
      <c r="K1038" s="40">
        <v>18</v>
      </c>
      <c r="L1038" s="40">
        <v>23</v>
      </c>
      <c r="M1038" s="40">
        <v>1292</v>
      </c>
      <c r="N1038" s="40">
        <v>200</v>
      </c>
      <c r="O1038" s="40">
        <v>534</v>
      </c>
      <c r="P1038" s="40">
        <v>544</v>
      </c>
      <c r="Q1038" s="40">
        <v>1</v>
      </c>
      <c r="R1038" s="40">
        <v>0</v>
      </c>
      <c r="S1038" s="40">
        <v>13</v>
      </c>
    </row>
    <row r="1039" spans="1:19" x14ac:dyDescent="0.35">
      <c r="A1039" s="38">
        <v>1036</v>
      </c>
      <c r="B1039" s="38" t="str">
        <f>_xlfn.XLOOKUP(A1039,'Model Modeshare by TAZ'!A:A,'Model Modeshare by TAZ'!B:B)</f>
        <v>San Jose</v>
      </c>
      <c r="C1039" s="38" t="str">
        <f>_xlfn.XLOOKUP(A1039,'Model Modeshare by TAZ'!A:A,'Model Modeshare by TAZ'!D:D)</f>
        <v>NO</v>
      </c>
      <c r="D1039" s="6">
        <v>3</v>
      </c>
      <c r="E1039" s="6">
        <v>356</v>
      </c>
      <c r="F1039" s="6">
        <v>1446</v>
      </c>
      <c r="G1039" s="6">
        <v>1462</v>
      </c>
      <c r="H1039" s="6">
        <v>679</v>
      </c>
      <c r="I1039" s="6">
        <v>234</v>
      </c>
      <c r="J1039" s="6">
        <v>122</v>
      </c>
      <c r="K1039" s="40">
        <v>63</v>
      </c>
      <c r="L1039" s="40">
        <v>1</v>
      </c>
      <c r="M1039" s="40">
        <v>192</v>
      </c>
      <c r="N1039" s="40">
        <v>67</v>
      </c>
      <c r="O1039" s="40">
        <v>111</v>
      </c>
      <c r="P1039" s="40">
        <v>9</v>
      </c>
      <c r="Q1039" s="40">
        <v>1</v>
      </c>
      <c r="R1039" s="40">
        <v>0</v>
      </c>
      <c r="S1039" s="40">
        <v>4</v>
      </c>
    </row>
    <row r="1040" spans="1:19" x14ac:dyDescent="0.35">
      <c r="A1040" s="38">
        <v>1037</v>
      </c>
      <c r="B1040" s="38" t="str">
        <f>_xlfn.XLOOKUP(A1040,'Model Modeshare by TAZ'!A:A,'Model Modeshare by TAZ'!B:B)</f>
        <v>San Jose</v>
      </c>
      <c r="C1040" s="38" t="str">
        <f>_xlfn.XLOOKUP(A1040,'Model Modeshare by TAZ'!A:A,'Model Modeshare by TAZ'!D:D)</f>
        <v>NO</v>
      </c>
      <c r="D1040" s="6">
        <v>3</v>
      </c>
      <c r="E1040" s="6">
        <v>1047</v>
      </c>
      <c r="F1040" s="6">
        <v>4247</v>
      </c>
      <c r="G1040" s="6">
        <v>4317</v>
      </c>
      <c r="H1040" s="6">
        <v>1998</v>
      </c>
      <c r="I1040" s="6">
        <v>687</v>
      </c>
      <c r="J1040" s="6">
        <v>360</v>
      </c>
      <c r="K1040" s="40">
        <v>93</v>
      </c>
      <c r="L1040" s="40">
        <v>20</v>
      </c>
      <c r="M1040" s="40">
        <v>287</v>
      </c>
      <c r="N1040" s="40">
        <v>63</v>
      </c>
      <c r="O1040" s="40">
        <v>142</v>
      </c>
      <c r="P1040" s="40">
        <v>63</v>
      </c>
      <c r="Q1040" s="40">
        <v>1</v>
      </c>
      <c r="R1040" s="40">
        <v>0</v>
      </c>
      <c r="S1040" s="40">
        <v>18</v>
      </c>
    </row>
    <row r="1041" spans="1:19" x14ac:dyDescent="0.35">
      <c r="A1041" s="38">
        <v>1038</v>
      </c>
      <c r="B1041" s="38" t="str">
        <f>_xlfn.XLOOKUP(A1041,'Model Modeshare by TAZ'!A:A,'Model Modeshare by TAZ'!B:B)</f>
        <v>San Jose</v>
      </c>
      <c r="C1041" s="38" t="str">
        <f>_xlfn.XLOOKUP(A1041,'Model Modeshare by TAZ'!A:A,'Model Modeshare by TAZ'!D:D)</f>
        <v>NO</v>
      </c>
      <c r="D1041" s="6">
        <v>3</v>
      </c>
      <c r="E1041" s="6">
        <v>40</v>
      </c>
      <c r="F1041" s="6">
        <v>176</v>
      </c>
      <c r="G1041" s="6">
        <v>180</v>
      </c>
      <c r="H1041" s="6">
        <v>67</v>
      </c>
      <c r="I1041" s="6">
        <v>28</v>
      </c>
      <c r="J1041" s="6">
        <v>12</v>
      </c>
      <c r="K1041" s="40">
        <v>5</v>
      </c>
      <c r="L1041" s="40">
        <v>15</v>
      </c>
      <c r="M1041" s="40">
        <v>88</v>
      </c>
      <c r="N1041" s="40">
        <v>7</v>
      </c>
      <c r="O1041" s="40">
        <v>57</v>
      </c>
      <c r="P1041" s="40">
        <v>6</v>
      </c>
      <c r="Q1041" s="40">
        <v>0</v>
      </c>
      <c r="R1041" s="40">
        <v>16</v>
      </c>
      <c r="S1041" s="40">
        <v>2</v>
      </c>
    </row>
    <row r="1042" spans="1:19" x14ac:dyDescent="0.35">
      <c r="A1042" s="38">
        <v>1039</v>
      </c>
      <c r="B1042" s="38" t="str">
        <f>_xlfn.XLOOKUP(A1042,'Model Modeshare by TAZ'!A:A,'Model Modeshare by TAZ'!B:B)</f>
        <v>San Jose</v>
      </c>
      <c r="C1042" s="38" t="str">
        <f>_xlfn.XLOOKUP(A1042,'Model Modeshare by TAZ'!A:A,'Model Modeshare by TAZ'!D:D)</f>
        <v>NO</v>
      </c>
      <c r="D1042" s="6">
        <v>3</v>
      </c>
      <c r="E1042" s="6">
        <v>459</v>
      </c>
      <c r="F1042" s="6">
        <v>2014</v>
      </c>
      <c r="G1042" s="6">
        <v>2021</v>
      </c>
      <c r="H1042" s="6">
        <v>768</v>
      </c>
      <c r="I1042" s="6">
        <v>329</v>
      </c>
      <c r="J1042" s="6">
        <v>130</v>
      </c>
      <c r="K1042" s="40">
        <v>51</v>
      </c>
      <c r="L1042" s="40">
        <v>5</v>
      </c>
      <c r="M1042" s="40">
        <v>100</v>
      </c>
      <c r="N1042" s="40">
        <v>13</v>
      </c>
      <c r="O1042" s="40">
        <v>75</v>
      </c>
      <c r="P1042" s="40">
        <v>5</v>
      </c>
      <c r="Q1042" s="40">
        <v>2</v>
      </c>
      <c r="R1042" s="40">
        <v>4</v>
      </c>
      <c r="S1042" s="40">
        <v>1</v>
      </c>
    </row>
    <row r="1043" spans="1:19" x14ac:dyDescent="0.35">
      <c r="A1043" s="38">
        <v>1040</v>
      </c>
      <c r="B1043" s="38" t="str">
        <f>_xlfn.XLOOKUP(A1043,'Model Modeshare by TAZ'!A:A,'Model Modeshare by TAZ'!B:B)</f>
        <v>San Jose</v>
      </c>
      <c r="C1043" s="38" t="str">
        <f>_xlfn.XLOOKUP(A1043,'Model Modeshare by TAZ'!A:A,'Model Modeshare by TAZ'!D:D)</f>
        <v>NO</v>
      </c>
      <c r="D1043" s="6">
        <v>3</v>
      </c>
      <c r="E1043" s="6">
        <v>1049</v>
      </c>
      <c r="F1043" s="6">
        <v>4606</v>
      </c>
      <c r="G1043" s="6">
        <v>4624</v>
      </c>
      <c r="H1043" s="6">
        <v>2015</v>
      </c>
      <c r="I1043" s="6">
        <v>753</v>
      </c>
      <c r="J1043" s="6">
        <v>296</v>
      </c>
      <c r="K1043" s="40">
        <v>145</v>
      </c>
      <c r="L1043" s="40">
        <v>23</v>
      </c>
      <c r="M1043" s="40">
        <v>297</v>
      </c>
      <c r="N1043" s="40">
        <v>26</v>
      </c>
      <c r="O1043" s="40">
        <v>61</v>
      </c>
      <c r="P1043" s="40">
        <v>204</v>
      </c>
      <c r="Q1043" s="40">
        <v>3</v>
      </c>
      <c r="R1043" s="40">
        <v>0</v>
      </c>
      <c r="S1043" s="40">
        <v>3</v>
      </c>
    </row>
    <row r="1044" spans="1:19" x14ac:dyDescent="0.35">
      <c r="A1044" s="38">
        <v>1041</v>
      </c>
      <c r="B1044" s="38" t="str">
        <f>_xlfn.XLOOKUP(A1044,'Model Modeshare by TAZ'!A:A,'Model Modeshare by TAZ'!B:B)</f>
        <v>San Jose</v>
      </c>
      <c r="C1044" s="38" t="str">
        <f>_xlfn.XLOOKUP(A1044,'Model Modeshare by TAZ'!A:A,'Model Modeshare by TAZ'!D:D)</f>
        <v>NO</v>
      </c>
      <c r="D1044" s="6">
        <v>3</v>
      </c>
      <c r="E1044" s="6">
        <v>374</v>
      </c>
      <c r="F1044" s="6">
        <v>1434</v>
      </c>
      <c r="G1044" s="6">
        <v>1434</v>
      </c>
      <c r="H1044" s="6">
        <v>609</v>
      </c>
      <c r="I1044" s="6">
        <v>255</v>
      </c>
      <c r="J1044" s="6">
        <v>119</v>
      </c>
      <c r="K1044" s="40">
        <v>49</v>
      </c>
      <c r="L1044" s="40">
        <v>2</v>
      </c>
      <c r="M1044" s="40">
        <v>129</v>
      </c>
      <c r="N1044" s="40">
        <v>23</v>
      </c>
      <c r="O1044" s="40">
        <v>68</v>
      </c>
      <c r="P1044" s="40">
        <v>35</v>
      </c>
      <c r="Q1044" s="40">
        <v>0</v>
      </c>
      <c r="R1044" s="40">
        <v>3</v>
      </c>
      <c r="S1044" s="40">
        <v>0</v>
      </c>
    </row>
    <row r="1045" spans="1:19" x14ac:dyDescent="0.35">
      <c r="A1045" s="38">
        <v>1042</v>
      </c>
      <c r="B1045" s="38" t="str">
        <f>_xlfn.XLOOKUP(A1045,'Model Modeshare by TAZ'!A:A,'Model Modeshare by TAZ'!B:B)</f>
        <v>San Jose</v>
      </c>
      <c r="C1045" s="38" t="str">
        <f>_xlfn.XLOOKUP(A1045,'Model Modeshare by TAZ'!A:A,'Model Modeshare by TAZ'!D:D)</f>
        <v>NO</v>
      </c>
      <c r="D1045" s="6">
        <v>3</v>
      </c>
      <c r="E1045" s="6">
        <v>798</v>
      </c>
      <c r="F1045" s="6">
        <v>3059</v>
      </c>
      <c r="G1045" s="6">
        <v>3059</v>
      </c>
      <c r="H1045" s="6">
        <v>1301</v>
      </c>
      <c r="I1045" s="6">
        <v>546</v>
      </c>
      <c r="J1045" s="6">
        <v>252</v>
      </c>
      <c r="K1045" s="40">
        <v>79</v>
      </c>
      <c r="L1045" s="40">
        <v>1</v>
      </c>
      <c r="M1045" s="40">
        <v>77</v>
      </c>
      <c r="N1045" s="40">
        <v>10</v>
      </c>
      <c r="O1045" s="40">
        <v>22</v>
      </c>
      <c r="P1045" s="40">
        <v>45</v>
      </c>
      <c r="Q1045" s="40">
        <v>0</v>
      </c>
      <c r="R1045" s="40">
        <v>0</v>
      </c>
      <c r="S1045" s="40">
        <v>0</v>
      </c>
    </row>
    <row r="1046" spans="1:19" x14ac:dyDescent="0.35">
      <c r="A1046" s="38">
        <v>1043</v>
      </c>
      <c r="B1046" s="38" t="str">
        <f>_xlfn.XLOOKUP(A1046,'Model Modeshare by TAZ'!A:A,'Model Modeshare by TAZ'!B:B)</f>
        <v>San Jose</v>
      </c>
      <c r="C1046" s="38" t="str">
        <f>_xlfn.XLOOKUP(A1046,'Model Modeshare by TAZ'!A:A,'Model Modeshare by TAZ'!D:D)</f>
        <v>NO</v>
      </c>
      <c r="D1046" s="6">
        <v>3</v>
      </c>
      <c r="E1046" s="6">
        <v>861</v>
      </c>
      <c r="F1046" s="6">
        <v>3864</v>
      </c>
      <c r="G1046" s="6">
        <v>3864</v>
      </c>
      <c r="H1046" s="6">
        <v>2059</v>
      </c>
      <c r="I1046" s="6">
        <v>376</v>
      </c>
      <c r="J1046" s="6">
        <v>485</v>
      </c>
      <c r="K1046" s="40">
        <v>65</v>
      </c>
      <c r="L1046" s="40">
        <v>25</v>
      </c>
      <c r="M1046" s="40">
        <v>279</v>
      </c>
      <c r="N1046" s="40">
        <v>193</v>
      </c>
      <c r="O1046" s="40">
        <v>65</v>
      </c>
      <c r="P1046" s="40">
        <v>19</v>
      </c>
      <c r="Q1046" s="40">
        <v>0</v>
      </c>
      <c r="R1046" s="40">
        <v>1</v>
      </c>
      <c r="S1046" s="40">
        <v>1</v>
      </c>
    </row>
    <row r="1047" spans="1:19" x14ac:dyDescent="0.35">
      <c r="A1047" s="38">
        <v>1044</v>
      </c>
      <c r="B1047" s="38" t="str">
        <f>_xlfn.XLOOKUP(A1047,'Model Modeshare by TAZ'!A:A,'Model Modeshare by TAZ'!B:B)</f>
        <v>San Jose</v>
      </c>
      <c r="C1047" s="38" t="str">
        <f>_xlfn.XLOOKUP(A1047,'Model Modeshare by TAZ'!A:A,'Model Modeshare by TAZ'!D:D)</f>
        <v>NO</v>
      </c>
      <c r="D1047" s="6">
        <v>3</v>
      </c>
      <c r="E1047" s="6">
        <v>690</v>
      </c>
      <c r="F1047" s="6">
        <v>3098</v>
      </c>
      <c r="G1047" s="6">
        <v>3098</v>
      </c>
      <c r="H1047" s="6">
        <v>1650</v>
      </c>
      <c r="I1047" s="6">
        <v>546</v>
      </c>
      <c r="J1047" s="6">
        <v>144</v>
      </c>
      <c r="K1047" s="40">
        <v>92</v>
      </c>
      <c r="L1047" s="40">
        <v>2</v>
      </c>
      <c r="M1047" s="40">
        <v>170</v>
      </c>
      <c r="N1047" s="40">
        <v>17</v>
      </c>
      <c r="O1047" s="40">
        <v>15</v>
      </c>
      <c r="P1047" s="40">
        <v>130</v>
      </c>
      <c r="Q1047" s="40">
        <v>8</v>
      </c>
      <c r="R1047" s="40">
        <v>0</v>
      </c>
      <c r="S1047" s="40">
        <v>0</v>
      </c>
    </row>
    <row r="1048" spans="1:19" x14ac:dyDescent="0.35">
      <c r="A1048" s="38">
        <v>1045</v>
      </c>
      <c r="B1048" s="38" t="str">
        <f>_xlfn.XLOOKUP(A1048,'Model Modeshare by TAZ'!A:A,'Model Modeshare by TAZ'!B:B)</f>
        <v>San Jose</v>
      </c>
      <c r="C1048" s="38" t="str">
        <f>_xlfn.XLOOKUP(A1048,'Model Modeshare by TAZ'!A:A,'Model Modeshare by TAZ'!D:D)</f>
        <v>NO</v>
      </c>
      <c r="D1048" s="6">
        <v>3</v>
      </c>
      <c r="E1048" s="6">
        <v>938</v>
      </c>
      <c r="F1048" s="6">
        <v>3893</v>
      </c>
      <c r="G1048" s="6">
        <v>3893</v>
      </c>
      <c r="H1048" s="6">
        <v>1650</v>
      </c>
      <c r="I1048" s="6">
        <v>682</v>
      </c>
      <c r="J1048" s="6">
        <v>256</v>
      </c>
      <c r="K1048" s="40">
        <v>117</v>
      </c>
      <c r="L1048" s="40">
        <v>39</v>
      </c>
      <c r="M1048" s="40">
        <v>652</v>
      </c>
      <c r="N1048" s="40">
        <v>324</v>
      </c>
      <c r="O1048" s="40">
        <v>131</v>
      </c>
      <c r="P1048" s="40">
        <v>188</v>
      </c>
      <c r="Q1048" s="40">
        <v>6</v>
      </c>
      <c r="R1048" s="40">
        <v>2</v>
      </c>
      <c r="S1048" s="40">
        <v>1</v>
      </c>
    </row>
    <row r="1049" spans="1:19" x14ac:dyDescent="0.35">
      <c r="A1049" s="38">
        <v>1046</v>
      </c>
      <c r="B1049" s="38" t="str">
        <f>_xlfn.XLOOKUP(A1049,'Model Modeshare by TAZ'!A:A,'Model Modeshare by TAZ'!B:B)</f>
        <v>San Jose</v>
      </c>
      <c r="C1049" s="38" t="str">
        <f>_xlfn.XLOOKUP(A1049,'Model Modeshare by TAZ'!A:A,'Model Modeshare by TAZ'!D:D)</f>
        <v>NO</v>
      </c>
      <c r="D1049" s="6">
        <v>3</v>
      </c>
      <c r="E1049" s="6">
        <v>543</v>
      </c>
      <c r="F1049" s="6">
        <v>2254</v>
      </c>
      <c r="G1049" s="6">
        <v>2258</v>
      </c>
      <c r="H1049" s="6">
        <v>955</v>
      </c>
      <c r="I1049" s="6">
        <v>394</v>
      </c>
      <c r="J1049" s="6">
        <v>149</v>
      </c>
      <c r="K1049" s="40">
        <v>89</v>
      </c>
      <c r="L1049" s="40">
        <v>31</v>
      </c>
      <c r="M1049" s="40">
        <v>223</v>
      </c>
      <c r="N1049" s="40">
        <v>163</v>
      </c>
      <c r="O1049" s="40">
        <v>47</v>
      </c>
      <c r="P1049" s="40">
        <v>13</v>
      </c>
      <c r="Q1049" s="40">
        <v>0</v>
      </c>
      <c r="R1049" s="40">
        <v>0</v>
      </c>
      <c r="S1049" s="40">
        <v>0</v>
      </c>
    </row>
    <row r="1050" spans="1:19" x14ac:dyDescent="0.35">
      <c r="A1050" s="38">
        <v>1047</v>
      </c>
      <c r="B1050" s="38" t="str">
        <f>_xlfn.XLOOKUP(A1050,'Model Modeshare by TAZ'!A:A,'Model Modeshare by TAZ'!B:B)</f>
        <v>San Jose</v>
      </c>
      <c r="C1050" s="38" t="str">
        <f>_xlfn.XLOOKUP(A1050,'Model Modeshare by TAZ'!A:A,'Model Modeshare by TAZ'!D:D)</f>
        <v>NO</v>
      </c>
      <c r="D1050" s="6">
        <v>3</v>
      </c>
      <c r="E1050" s="6">
        <v>904</v>
      </c>
      <c r="F1050" s="6">
        <v>4386</v>
      </c>
      <c r="G1050" s="6">
        <v>4386</v>
      </c>
      <c r="H1050" s="6">
        <v>1878</v>
      </c>
      <c r="I1050" s="6">
        <v>622</v>
      </c>
      <c r="J1050" s="6">
        <v>282</v>
      </c>
      <c r="K1050" s="40">
        <v>70</v>
      </c>
      <c r="L1050" s="40">
        <v>60</v>
      </c>
      <c r="M1050" s="40">
        <v>830</v>
      </c>
      <c r="N1050" s="40">
        <v>442</v>
      </c>
      <c r="O1050" s="40">
        <v>233</v>
      </c>
      <c r="P1050" s="40">
        <v>155</v>
      </c>
      <c r="Q1050" s="40">
        <v>0</v>
      </c>
      <c r="R1050" s="40">
        <v>0</v>
      </c>
      <c r="S1050" s="40">
        <v>0</v>
      </c>
    </row>
    <row r="1051" spans="1:19" x14ac:dyDescent="0.35">
      <c r="A1051" s="38">
        <v>1048</v>
      </c>
      <c r="B1051" s="38" t="str">
        <f>_xlfn.XLOOKUP(A1051,'Model Modeshare by TAZ'!A:A,'Model Modeshare by TAZ'!B:B)</f>
        <v>San Jose</v>
      </c>
      <c r="C1051" s="38" t="str">
        <f>_xlfn.XLOOKUP(A1051,'Model Modeshare by TAZ'!A:A,'Model Modeshare by TAZ'!D:D)</f>
        <v>NO</v>
      </c>
      <c r="D1051" s="6">
        <v>3</v>
      </c>
      <c r="E1051" s="6">
        <v>599</v>
      </c>
      <c r="F1051" s="6">
        <v>2753</v>
      </c>
      <c r="G1051" s="6">
        <v>2762</v>
      </c>
      <c r="H1051" s="6">
        <v>1246</v>
      </c>
      <c r="I1051" s="6">
        <v>469</v>
      </c>
      <c r="J1051" s="6">
        <v>130</v>
      </c>
      <c r="K1051" s="40">
        <v>61</v>
      </c>
      <c r="L1051" s="40">
        <v>51</v>
      </c>
      <c r="M1051" s="40">
        <v>552</v>
      </c>
      <c r="N1051" s="40">
        <v>178</v>
      </c>
      <c r="O1051" s="40">
        <v>293</v>
      </c>
      <c r="P1051" s="40">
        <v>68</v>
      </c>
      <c r="Q1051" s="40">
        <v>1</v>
      </c>
      <c r="R1051" s="40">
        <v>11</v>
      </c>
      <c r="S1051" s="40">
        <v>1</v>
      </c>
    </row>
    <row r="1052" spans="1:19" x14ac:dyDescent="0.35">
      <c r="A1052" s="38">
        <v>1049</v>
      </c>
      <c r="B1052" s="38" t="str">
        <f>_xlfn.XLOOKUP(A1052,'Model Modeshare by TAZ'!A:A,'Model Modeshare by TAZ'!B:B)</f>
        <v>San Jose</v>
      </c>
      <c r="C1052" s="38" t="str">
        <f>_xlfn.XLOOKUP(A1052,'Model Modeshare by TAZ'!A:A,'Model Modeshare by TAZ'!D:D)</f>
        <v>NO</v>
      </c>
      <c r="D1052" s="6">
        <v>3</v>
      </c>
      <c r="E1052" s="6">
        <v>742</v>
      </c>
      <c r="F1052" s="6">
        <v>3416</v>
      </c>
      <c r="G1052" s="6">
        <v>3430</v>
      </c>
      <c r="H1052" s="6">
        <v>1545</v>
      </c>
      <c r="I1052" s="6">
        <v>580</v>
      </c>
      <c r="J1052" s="6">
        <v>162</v>
      </c>
      <c r="K1052" s="40">
        <v>121</v>
      </c>
      <c r="L1052" s="40">
        <v>12</v>
      </c>
      <c r="M1052" s="40">
        <v>47</v>
      </c>
      <c r="N1052" s="40">
        <v>0</v>
      </c>
      <c r="O1052" s="40">
        <v>0</v>
      </c>
      <c r="P1052" s="40">
        <v>0</v>
      </c>
      <c r="Q1052" s="40">
        <v>47</v>
      </c>
      <c r="R1052" s="40">
        <v>0</v>
      </c>
      <c r="S1052" s="40">
        <v>0</v>
      </c>
    </row>
    <row r="1053" spans="1:19" x14ac:dyDescent="0.35">
      <c r="A1053" s="38">
        <v>1050</v>
      </c>
      <c r="B1053" s="38" t="str">
        <f>_xlfn.XLOOKUP(A1053,'Model Modeshare by TAZ'!A:A,'Model Modeshare by TAZ'!B:B)</f>
        <v>San Jose</v>
      </c>
      <c r="C1053" s="38" t="str">
        <f>_xlfn.XLOOKUP(A1053,'Model Modeshare by TAZ'!A:A,'Model Modeshare by TAZ'!D:D)</f>
        <v>NO</v>
      </c>
      <c r="D1053" s="6">
        <v>3</v>
      </c>
      <c r="E1053" s="6">
        <v>440</v>
      </c>
      <c r="F1053" s="6">
        <v>2021</v>
      </c>
      <c r="G1053" s="6">
        <v>2021</v>
      </c>
      <c r="H1053" s="6">
        <v>886</v>
      </c>
      <c r="I1053" s="6">
        <v>432</v>
      </c>
      <c r="J1053" s="6">
        <v>8</v>
      </c>
      <c r="K1053" s="40">
        <v>80</v>
      </c>
      <c r="L1053" s="40">
        <v>9</v>
      </c>
      <c r="M1053" s="40">
        <v>52</v>
      </c>
      <c r="N1053" s="40">
        <v>33</v>
      </c>
      <c r="O1053" s="40">
        <v>1</v>
      </c>
      <c r="P1053" s="40">
        <v>16</v>
      </c>
      <c r="Q1053" s="40">
        <v>0</v>
      </c>
      <c r="R1053" s="40">
        <v>1</v>
      </c>
      <c r="S1053" s="40">
        <v>1</v>
      </c>
    </row>
    <row r="1054" spans="1:19" x14ac:dyDescent="0.35">
      <c r="A1054" s="38">
        <v>1051</v>
      </c>
      <c r="B1054" s="38" t="str">
        <f>_xlfn.XLOOKUP(A1054,'Model Modeshare by TAZ'!A:A,'Model Modeshare by TAZ'!B:B)</f>
        <v>San Jose</v>
      </c>
      <c r="C1054" s="38" t="str">
        <f>_xlfn.XLOOKUP(A1054,'Model Modeshare by TAZ'!A:A,'Model Modeshare by TAZ'!D:D)</f>
        <v>NO</v>
      </c>
      <c r="D1054" s="6">
        <v>3</v>
      </c>
      <c r="E1054" s="6">
        <v>380</v>
      </c>
      <c r="F1054" s="6">
        <v>1742</v>
      </c>
      <c r="G1054" s="6">
        <v>1742</v>
      </c>
      <c r="H1054" s="6">
        <v>764</v>
      </c>
      <c r="I1054" s="6">
        <v>374</v>
      </c>
      <c r="J1054" s="6">
        <v>6</v>
      </c>
      <c r="K1054" s="40">
        <v>74</v>
      </c>
      <c r="L1054" s="40">
        <v>30</v>
      </c>
      <c r="M1054" s="40">
        <v>158</v>
      </c>
      <c r="N1054" s="40">
        <v>25</v>
      </c>
      <c r="O1054" s="40">
        <v>95</v>
      </c>
      <c r="P1054" s="40">
        <v>37</v>
      </c>
      <c r="Q1054" s="40">
        <v>0</v>
      </c>
      <c r="R1054" s="40">
        <v>1</v>
      </c>
      <c r="S1054" s="40">
        <v>0</v>
      </c>
    </row>
    <row r="1055" spans="1:19" x14ac:dyDescent="0.35">
      <c r="A1055" s="38">
        <v>1052</v>
      </c>
      <c r="B1055" s="38" t="str">
        <f>_xlfn.XLOOKUP(A1055,'Model Modeshare by TAZ'!A:A,'Model Modeshare by TAZ'!B:B)</f>
        <v>San Jose</v>
      </c>
      <c r="C1055" s="38" t="str">
        <f>_xlfn.XLOOKUP(A1055,'Model Modeshare by TAZ'!A:A,'Model Modeshare by TAZ'!D:D)</f>
        <v>NO</v>
      </c>
      <c r="D1055" s="6">
        <v>3</v>
      </c>
      <c r="E1055" s="6">
        <v>351</v>
      </c>
      <c r="F1055" s="6">
        <v>2066</v>
      </c>
      <c r="G1055" s="6">
        <v>2076</v>
      </c>
      <c r="H1055" s="6">
        <v>897</v>
      </c>
      <c r="I1055" s="6">
        <v>350</v>
      </c>
      <c r="J1055" s="6">
        <v>1</v>
      </c>
      <c r="K1055" s="40">
        <v>84</v>
      </c>
      <c r="L1055" s="40">
        <v>9</v>
      </c>
      <c r="M1055" s="40">
        <v>62</v>
      </c>
      <c r="N1055" s="40">
        <v>7</v>
      </c>
      <c r="O1055" s="40">
        <v>30</v>
      </c>
      <c r="P1055" s="40">
        <v>25</v>
      </c>
      <c r="Q1055" s="40">
        <v>0</v>
      </c>
      <c r="R1055" s="40">
        <v>0</v>
      </c>
      <c r="S1055" s="40">
        <v>0</v>
      </c>
    </row>
    <row r="1056" spans="1:19" x14ac:dyDescent="0.35">
      <c r="A1056" s="38">
        <v>1053</v>
      </c>
      <c r="B1056" s="38" t="str">
        <f>_xlfn.XLOOKUP(A1056,'Model Modeshare by TAZ'!A:A,'Model Modeshare by TAZ'!B:B)</f>
        <v>San Jose</v>
      </c>
      <c r="C1056" s="38" t="str">
        <f>_xlfn.XLOOKUP(A1056,'Model Modeshare by TAZ'!A:A,'Model Modeshare by TAZ'!D:D)</f>
        <v>NO</v>
      </c>
      <c r="D1056" s="6">
        <v>3</v>
      </c>
      <c r="E1056" s="6">
        <v>947</v>
      </c>
      <c r="F1056" s="6">
        <v>5328</v>
      </c>
      <c r="G1056" s="6">
        <v>5328</v>
      </c>
      <c r="H1056" s="6">
        <v>2061</v>
      </c>
      <c r="I1056" s="6">
        <v>947</v>
      </c>
      <c r="J1056" s="6">
        <v>0</v>
      </c>
      <c r="K1056" s="40">
        <v>157</v>
      </c>
      <c r="L1056" s="40">
        <v>35</v>
      </c>
      <c r="M1056" s="40">
        <v>318</v>
      </c>
      <c r="N1056" s="40">
        <v>80</v>
      </c>
      <c r="O1056" s="40">
        <v>192</v>
      </c>
      <c r="P1056" s="40">
        <v>34</v>
      </c>
      <c r="Q1056" s="40">
        <v>0</v>
      </c>
      <c r="R1056" s="40">
        <v>2</v>
      </c>
      <c r="S1056" s="40">
        <v>10</v>
      </c>
    </row>
    <row r="1057" spans="1:19" x14ac:dyDescent="0.35">
      <c r="A1057" s="38">
        <v>1054</v>
      </c>
      <c r="B1057" s="38" t="str">
        <f>_xlfn.XLOOKUP(A1057,'Model Modeshare by TAZ'!A:A,'Model Modeshare by TAZ'!B:B)</f>
        <v>San Jose</v>
      </c>
      <c r="C1057" s="38" t="str">
        <f>_xlfn.XLOOKUP(A1057,'Model Modeshare by TAZ'!A:A,'Model Modeshare by TAZ'!D:D)</f>
        <v>NO</v>
      </c>
      <c r="D1057" s="6">
        <v>3</v>
      </c>
      <c r="E1057" s="6">
        <v>216</v>
      </c>
      <c r="F1057" s="6">
        <v>1211</v>
      </c>
      <c r="G1057" s="6">
        <v>1218</v>
      </c>
      <c r="H1057" s="6">
        <v>467</v>
      </c>
      <c r="I1057" s="6">
        <v>216</v>
      </c>
      <c r="J1057" s="6">
        <v>0</v>
      </c>
      <c r="K1057" s="40">
        <v>39</v>
      </c>
      <c r="L1057" s="40">
        <v>43</v>
      </c>
      <c r="M1057" s="40">
        <v>160</v>
      </c>
      <c r="N1057" s="40">
        <v>1</v>
      </c>
      <c r="O1057" s="40">
        <v>111</v>
      </c>
      <c r="P1057" s="40">
        <v>48</v>
      </c>
      <c r="Q1057" s="40">
        <v>0</v>
      </c>
      <c r="R1057" s="40">
        <v>0</v>
      </c>
      <c r="S1057" s="40">
        <v>0</v>
      </c>
    </row>
    <row r="1058" spans="1:19" x14ac:dyDescent="0.35">
      <c r="A1058" s="38">
        <v>1055</v>
      </c>
      <c r="B1058" s="38" t="str">
        <f>_xlfn.XLOOKUP(A1058,'Model Modeshare by TAZ'!A:A,'Model Modeshare by TAZ'!B:B)</f>
        <v>San Jose</v>
      </c>
      <c r="C1058" s="38" t="str">
        <f>_xlfn.XLOOKUP(A1058,'Model Modeshare by TAZ'!A:A,'Model Modeshare by TAZ'!D:D)</f>
        <v>NO</v>
      </c>
      <c r="D1058" s="6">
        <v>3</v>
      </c>
      <c r="E1058" s="6">
        <v>229</v>
      </c>
      <c r="F1058" s="6">
        <v>1147</v>
      </c>
      <c r="G1058" s="6">
        <v>1151</v>
      </c>
      <c r="H1058" s="6">
        <v>452</v>
      </c>
      <c r="I1058" s="6">
        <v>163</v>
      </c>
      <c r="J1058" s="6">
        <v>66</v>
      </c>
      <c r="K1058" s="40">
        <v>66</v>
      </c>
      <c r="L1058" s="40">
        <v>153</v>
      </c>
      <c r="M1058" s="40">
        <v>368</v>
      </c>
      <c r="N1058" s="40">
        <v>142</v>
      </c>
      <c r="O1058" s="40">
        <v>141</v>
      </c>
      <c r="P1058" s="40">
        <v>35</v>
      </c>
      <c r="Q1058" s="40">
        <v>1</v>
      </c>
      <c r="R1058" s="40">
        <v>32</v>
      </c>
      <c r="S1058" s="40">
        <v>17</v>
      </c>
    </row>
    <row r="1059" spans="1:19" x14ac:dyDescent="0.35">
      <c r="A1059" s="38">
        <v>1056</v>
      </c>
      <c r="B1059" s="38" t="str">
        <f>_xlfn.XLOOKUP(A1059,'Model Modeshare by TAZ'!A:A,'Model Modeshare by TAZ'!B:B)</f>
        <v>San Jose</v>
      </c>
      <c r="C1059" s="38" t="str">
        <f>_xlfn.XLOOKUP(A1059,'Model Modeshare by TAZ'!A:A,'Model Modeshare by TAZ'!D:D)</f>
        <v>NO</v>
      </c>
      <c r="D1059" s="6">
        <v>3</v>
      </c>
      <c r="E1059" s="6">
        <v>613</v>
      </c>
      <c r="F1059" s="6">
        <v>3070</v>
      </c>
      <c r="G1059" s="6">
        <v>3086</v>
      </c>
      <c r="H1059" s="6">
        <v>1213</v>
      </c>
      <c r="I1059" s="6">
        <v>437</v>
      </c>
      <c r="J1059" s="6">
        <v>176</v>
      </c>
      <c r="K1059" s="40">
        <v>118</v>
      </c>
      <c r="L1059" s="40">
        <v>29</v>
      </c>
      <c r="M1059" s="40">
        <v>455</v>
      </c>
      <c r="N1059" s="40">
        <v>211</v>
      </c>
      <c r="O1059" s="40">
        <v>209</v>
      </c>
      <c r="P1059" s="40">
        <v>30</v>
      </c>
      <c r="Q1059" s="40">
        <v>3</v>
      </c>
      <c r="R1059" s="40">
        <v>1</v>
      </c>
      <c r="S1059" s="40">
        <v>1</v>
      </c>
    </row>
    <row r="1060" spans="1:19" x14ac:dyDescent="0.35">
      <c r="A1060" s="38">
        <v>1057</v>
      </c>
      <c r="B1060" s="38" t="str">
        <f>_xlfn.XLOOKUP(A1060,'Model Modeshare by TAZ'!A:A,'Model Modeshare by TAZ'!B:B)</f>
        <v>San Jose</v>
      </c>
      <c r="C1060" s="38" t="str">
        <f>_xlfn.XLOOKUP(A1060,'Model Modeshare by TAZ'!A:A,'Model Modeshare by TAZ'!D:D)</f>
        <v>NO</v>
      </c>
      <c r="D1060" s="6">
        <v>3</v>
      </c>
      <c r="E1060" s="6">
        <v>7</v>
      </c>
      <c r="F1060" s="6">
        <v>21</v>
      </c>
      <c r="G1060" s="6">
        <v>28</v>
      </c>
      <c r="H1060" s="6">
        <v>14</v>
      </c>
      <c r="I1060" s="6">
        <v>5</v>
      </c>
      <c r="J1060" s="6">
        <v>2</v>
      </c>
      <c r="K1060" s="40">
        <v>16</v>
      </c>
      <c r="L1060" s="40">
        <v>137</v>
      </c>
      <c r="M1060" s="40">
        <v>1764</v>
      </c>
      <c r="N1060" s="40">
        <v>1458</v>
      </c>
      <c r="O1060" s="40">
        <v>258</v>
      </c>
      <c r="P1060" s="40">
        <v>41</v>
      </c>
      <c r="Q1060" s="40">
        <v>1</v>
      </c>
      <c r="R1060" s="40">
        <v>5</v>
      </c>
      <c r="S1060" s="40">
        <v>1</v>
      </c>
    </row>
    <row r="1061" spans="1:19" x14ac:dyDescent="0.35">
      <c r="A1061" s="38">
        <v>1058</v>
      </c>
      <c r="B1061" s="38" t="str">
        <f>_xlfn.XLOOKUP(A1061,'Model Modeshare by TAZ'!A:A,'Model Modeshare by TAZ'!B:B)</f>
        <v>San Jose</v>
      </c>
      <c r="C1061" s="38" t="str">
        <f>_xlfn.XLOOKUP(A1061,'Model Modeshare by TAZ'!A:A,'Model Modeshare by TAZ'!D:D)</f>
        <v>NO</v>
      </c>
      <c r="D1061" s="6">
        <v>3</v>
      </c>
      <c r="E1061" s="6">
        <v>1070</v>
      </c>
      <c r="F1061" s="6">
        <v>4637</v>
      </c>
      <c r="G1061" s="6">
        <v>4648</v>
      </c>
      <c r="H1061" s="6">
        <v>2369</v>
      </c>
      <c r="I1061" s="6">
        <v>815</v>
      </c>
      <c r="J1061" s="6">
        <v>255</v>
      </c>
      <c r="K1061" s="40">
        <v>141</v>
      </c>
      <c r="L1061" s="40">
        <v>11</v>
      </c>
      <c r="M1061" s="40">
        <v>618</v>
      </c>
      <c r="N1061" s="40">
        <v>307</v>
      </c>
      <c r="O1061" s="40">
        <v>297</v>
      </c>
      <c r="P1061" s="40">
        <v>9</v>
      </c>
      <c r="Q1061" s="40">
        <v>5</v>
      </c>
      <c r="R1061" s="40">
        <v>0</v>
      </c>
      <c r="S1061" s="40">
        <v>0</v>
      </c>
    </row>
    <row r="1062" spans="1:19" x14ac:dyDescent="0.35">
      <c r="A1062" s="38">
        <v>1059</v>
      </c>
      <c r="B1062" s="38" t="str">
        <f>_xlfn.XLOOKUP(A1062,'Model Modeshare by TAZ'!A:A,'Model Modeshare by TAZ'!B:B)</f>
        <v>San Jose</v>
      </c>
      <c r="C1062" s="38" t="str">
        <f>_xlfn.XLOOKUP(A1062,'Model Modeshare by TAZ'!A:A,'Model Modeshare by TAZ'!D:D)</f>
        <v>NO</v>
      </c>
      <c r="D1062" s="6">
        <v>3</v>
      </c>
      <c r="E1062" s="6">
        <v>382</v>
      </c>
      <c r="F1062" s="6">
        <v>1656</v>
      </c>
      <c r="G1062" s="6">
        <v>1668</v>
      </c>
      <c r="H1062" s="6">
        <v>846</v>
      </c>
      <c r="I1062" s="6">
        <v>292</v>
      </c>
      <c r="J1062" s="6">
        <v>90</v>
      </c>
      <c r="K1062" s="40">
        <v>97</v>
      </c>
      <c r="L1062" s="40">
        <v>9</v>
      </c>
      <c r="M1062" s="40">
        <v>223</v>
      </c>
      <c r="N1062" s="40">
        <v>66</v>
      </c>
      <c r="O1062" s="40">
        <v>26</v>
      </c>
      <c r="P1062" s="40">
        <v>130</v>
      </c>
      <c r="Q1062" s="40">
        <v>1</v>
      </c>
      <c r="R1062" s="40">
        <v>0</v>
      </c>
      <c r="S1062" s="40">
        <v>0</v>
      </c>
    </row>
    <row r="1063" spans="1:19" x14ac:dyDescent="0.35">
      <c r="A1063" s="38">
        <v>1060</v>
      </c>
      <c r="B1063" s="38" t="str">
        <f>_xlfn.XLOOKUP(A1063,'Model Modeshare by TAZ'!A:A,'Model Modeshare by TAZ'!B:B)</f>
        <v>San Jose</v>
      </c>
      <c r="C1063" s="38" t="str">
        <f>_xlfn.XLOOKUP(A1063,'Model Modeshare by TAZ'!A:A,'Model Modeshare by TAZ'!D:D)</f>
        <v>NO</v>
      </c>
      <c r="D1063" s="6">
        <v>3</v>
      </c>
      <c r="E1063" s="6">
        <v>1006</v>
      </c>
      <c r="F1063" s="6">
        <v>5440</v>
      </c>
      <c r="G1063" s="6">
        <v>5446</v>
      </c>
      <c r="H1063" s="6">
        <v>2331</v>
      </c>
      <c r="I1063" s="6">
        <v>913</v>
      </c>
      <c r="J1063" s="6">
        <v>93</v>
      </c>
      <c r="K1063" s="40">
        <v>138</v>
      </c>
      <c r="L1063" s="40">
        <v>19</v>
      </c>
      <c r="M1063" s="40">
        <v>372</v>
      </c>
      <c r="N1063" s="40">
        <v>117</v>
      </c>
      <c r="O1063" s="40">
        <v>226</v>
      </c>
      <c r="P1063" s="40">
        <v>27</v>
      </c>
      <c r="Q1063" s="40">
        <v>0</v>
      </c>
      <c r="R1063" s="40">
        <v>1</v>
      </c>
      <c r="S1063" s="40">
        <v>1</v>
      </c>
    </row>
    <row r="1064" spans="1:19" x14ac:dyDescent="0.35">
      <c r="A1064" s="38">
        <v>1061</v>
      </c>
      <c r="B1064" s="38" t="str">
        <f>_xlfn.XLOOKUP(A1064,'Model Modeshare by TAZ'!A:A,'Model Modeshare by TAZ'!B:B)</f>
        <v>San Jose</v>
      </c>
      <c r="C1064" s="38" t="str">
        <f>_xlfn.XLOOKUP(A1064,'Model Modeshare by TAZ'!A:A,'Model Modeshare by TAZ'!D:D)</f>
        <v>NO</v>
      </c>
      <c r="D1064" s="6">
        <v>3</v>
      </c>
      <c r="E1064" s="6">
        <v>965</v>
      </c>
      <c r="F1064" s="6">
        <v>3725</v>
      </c>
      <c r="G1064" s="6">
        <v>3843</v>
      </c>
      <c r="H1064" s="6">
        <v>1703</v>
      </c>
      <c r="I1064" s="6">
        <v>589</v>
      </c>
      <c r="J1064" s="6">
        <v>376</v>
      </c>
      <c r="K1064" s="40">
        <v>103</v>
      </c>
      <c r="L1064" s="40">
        <v>25</v>
      </c>
      <c r="M1064" s="40">
        <v>899</v>
      </c>
      <c r="N1064" s="40">
        <v>269</v>
      </c>
      <c r="O1064" s="40">
        <v>318</v>
      </c>
      <c r="P1064" s="40">
        <v>288</v>
      </c>
      <c r="Q1064" s="40">
        <v>1</v>
      </c>
      <c r="R1064" s="40">
        <v>4</v>
      </c>
      <c r="S1064" s="40">
        <v>19</v>
      </c>
    </row>
    <row r="1065" spans="1:19" x14ac:dyDescent="0.35">
      <c r="A1065" s="38">
        <v>1062</v>
      </c>
      <c r="B1065" s="38" t="str">
        <f>_xlfn.XLOOKUP(A1065,'Model Modeshare by TAZ'!A:A,'Model Modeshare by TAZ'!B:B)</f>
        <v>San Jose</v>
      </c>
      <c r="C1065" s="38" t="str">
        <f>_xlfn.XLOOKUP(A1065,'Model Modeshare by TAZ'!A:A,'Model Modeshare by TAZ'!D:D)</f>
        <v>NO</v>
      </c>
      <c r="D1065" s="6">
        <v>3</v>
      </c>
      <c r="E1065" s="6">
        <v>929</v>
      </c>
      <c r="F1065" s="6">
        <v>3797</v>
      </c>
      <c r="G1065" s="6">
        <v>3866</v>
      </c>
      <c r="H1065" s="6">
        <v>1773</v>
      </c>
      <c r="I1065" s="6">
        <v>769</v>
      </c>
      <c r="J1065" s="6">
        <v>160</v>
      </c>
      <c r="K1065" s="40">
        <v>156</v>
      </c>
      <c r="L1065" s="40">
        <v>27</v>
      </c>
      <c r="M1065" s="40">
        <v>207</v>
      </c>
      <c r="N1065" s="40">
        <v>81</v>
      </c>
      <c r="O1065" s="40">
        <v>106</v>
      </c>
      <c r="P1065" s="40">
        <v>20</v>
      </c>
      <c r="Q1065" s="40">
        <v>0</v>
      </c>
      <c r="R1065" s="40">
        <v>0</v>
      </c>
      <c r="S1065" s="40">
        <v>0</v>
      </c>
    </row>
    <row r="1066" spans="1:19" x14ac:dyDescent="0.35">
      <c r="A1066" s="38">
        <v>1063</v>
      </c>
      <c r="B1066" s="38" t="str">
        <f>_xlfn.XLOOKUP(A1066,'Model Modeshare by TAZ'!A:A,'Model Modeshare by TAZ'!B:B)</f>
        <v>San Jose</v>
      </c>
      <c r="C1066" s="38" t="str">
        <f>_xlfn.XLOOKUP(A1066,'Model Modeshare by TAZ'!A:A,'Model Modeshare by TAZ'!D:D)</f>
        <v>NO</v>
      </c>
      <c r="D1066" s="6">
        <v>3</v>
      </c>
      <c r="E1066" s="6">
        <v>898</v>
      </c>
      <c r="F1066" s="6">
        <v>3668</v>
      </c>
      <c r="G1066" s="6">
        <v>3727</v>
      </c>
      <c r="H1066" s="6">
        <v>1843</v>
      </c>
      <c r="I1066" s="6">
        <v>742</v>
      </c>
      <c r="J1066" s="6">
        <v>156</v>
      </c>
      <c r="K1066" s="40">
        <v>151</v>
      </c>
      <c r="L1066" s="40">
        <v>35</v>
      </c>
      <c r="M1066" s="40">
        <v>594</v>
      </c>
      <c r="N1066" s="40">
        <v>69</v>
      </c>
      <c r="O1066" s="40">
        <v>311</v>
      </c>
      <c r="P1066" s="40">
        <v>212</v>
      </c>
      <c r="Q1066" s="40">
        <v>0</v>
      </c>
      <c r="R1066" s="40">
        <v>0</v>
      </c>
      <c r="S1066" s="40">
        <v>2</v>
      </c>
    </row>
    <row r="1067" spans="1:19" x14ac:dyDescent="0.35">
      <c r="A1067" s="38">
        <v>1064</v>
      </c>
      <c r="B1067" s="38" t="str">
        <f>_xlfn.XLOOKUP(A1067,'Model Modeshare by TAZ'!A:A,'Model Modeshare by TAZ'!B:B)</f>
        <v>Unincorporated</v>
      </c>
      <c r="C1067" s="38" t="str">
        <f>_xlfn.XLOOKUP(A1067,'Model Modeshare by TAZ'!A:A,'Model Modeshare by TAZ'!D:D)</f>
        <v>NO</v>
      </c>
      <c r="D1067" s="6">
        <v>3</v>
      </c>
      <c r="E1067" s="6">
        <v>344</v>
      </c>
      <c r="F1067" s="6">
        <v>1158</v>
      </c>
      <c r="G1067" s="6">
        <v>1159</v>
      </c>
      <c r="H1067" s="6">
        <v>634</v>
      </c>
      <c r="I1067" s="6">
        <v>322</v>
      </c>
      <c r="J1067" s="6">
        <v>22</v>
      </c>
      <c r="K1067" s="40">
        <v>783</v>
      </c>
      <c r="L1067" s="40">
        <v>7</v>
      </c>
      <c r="M1067" s="40">
        <v>63</v>
      </c>
      <c r="N1067" s="40">
        <v>0</v>
      </c>
      <c r="O1067" s="40">
        <v>0</v>
      </c>
      <c r="P1067" s="40">
        <v>17</v>
      </c>
      <c r="Q1067" s="40">
        <v>17</v>
      </c>
      <c r="R1067" s="40">
        <v>0</v>
      </c>
      <c r="S1067" s="40">
        <v>29</v>
      </c>
    </row>
    <row r="1068" spans="1:19" x14ac:dyDescent="0.35">
      <c r="A1068" s="38">
        <v>1065</v>
      </c>
      <c r="B1068" s="38" t="str">
        <f>_xlfn.XLOOKUP(A1068,'Model Modeshare by TAZ'!A:A,'Model Modeshare by TAZ'!B:B)</f>
        <v>Unincorporated</v>
      </c>
      <c r="C1068" s="38" t="str">
        <f>_xlfn.XLOOKUP(A1068,'Model Modeshare by TAZ'!A:A,'Model Modeshare by TAZ'!D:D)</f>
        <v>NO</v>
      </c>
      <c r="D1068" s="6">
        <v>3</v>
      </c>
      <c r="E1068" s="6">
        <v>48</v>
      </c>
      <c r="F1068" s="6">
        <v>190</v>
      </c>
      <c r="G1068" s="6">
        <v>190</v>
      </c>
      <c r="H1068" s="6">
        <v>86</v>
      </c>
      <c r="I1068" s="6">
        <v>48</v>
      </c>
      <c r="J1068" s="6">
        <v>0</v>
      </c>
      <c r="K1068" s="40">
        <v>187</v>
      </c>
      <c r="L1068" s="40">
        <v>2</v>
      </c>
      <c r="M1068" s="40">
        <v>125</v>
      </c>
      <c r="N1068" s="40">
        <v>2</v>
      </c>
      <c r="O1068" s="40">
        <v>64</v>
      </c>
      <c r="P1068" s="40">
        <v>0</v>
      </c>
      <c r="Q1068" s="40">
        <v>0</v>
      </c>
      <c r="R1068" s="40">
        <v>59</v>
      </c>
      <c r="S1068" s="40">
        <v>0</v>
      </c>
    </row>
    <row r="1069" spans="1:19" x14ac:dyDescent="0.35">
      <c r="A1069" s="38">
        <v>1066</v>
      </c>
      <c r="B1069" s="38" t="str">
        <f>_xlfn.XLOOKUP(A1069,'Model Modeshare by TAZ'!A:A,'Model Modeshare by TAZ'!B:B)</f>
        <v>San Jose</v>
      </c>
      <c r="C1069" s="38" t="str">
        <f>_xlfn.XLOOKUP(A1069,'Model Modeshare by TAZ'!A:A,'Model Modeshare by TAZ'!D:D)</f>
        <v>NO</v>
      </c>
      <c r="D1069" s="6">
        <v>3</v>
      </c>
      <c r="E1069" s="6">
        <v>21</v>
      </c>
      <c r="F1069" s="6">
        <v>92</v>
      </c>
      <c r="G1069" s="6">
        <v>93</v>
      </c>
      <c r="H1069" s="6">
        <v>55</v>
      </c>
      <c r="I1069" s="6">
        <v>21</v>
      </c>
      <c r="J1069" s="6">
        <v>0</v>
      </c>
      <c r="K1069" s="40">
        <v>1</v>
      </c>
      <c r="L1069" s="40">
        <v>21</v>
      </c>
      <c r="M1069" s="40">
        <v>0</v>
      </c>
      <c r="N1069" s="40">
        <v>0</v>
      </c>
      <c r="O1069" s="40">
        <v>0</v>
      </c>
      <c r="P1069" s="40">
        <v>0</v>
      </c>
      <c r="Q1069" s="40">
        <v>0</v>
      </c>
      <c r="R1069" s="40">
        <v>0</v>
      </c>
      <c r="S1069" s="40">
        <v>0</v>
      </c>
    </row>
    <row r="1070" spans="1:19" x14ac:dyDescent="0.35">
      <c r="A1070" s="38">
        <v>1067</v>
      </c>
      <c r="B1070" s="38" t="str">
        <f>_xlfn.XLOOKUP(A1070,'Model Modeshare by TAZ'!A:A,'Model Modeshare by TAZ'!B:B)</f>
        <v>San Jose</v>
      </c>
      <c r="C1070" s="38" t="str">
        <f>_xlfn.XLOOKUP(A1070,'Model Modeshare by TAZ'!A:A,'Model Modeshare by TAZ'!D:D)</f>
        <v>NO</v>
      </c>
      <c r="D1070" s="6">
        <v>3</v>
      </c>
      <c r="E1070" s="6">
        <v>443</v>
      </c>
      <c r="F1070" s="6">
        <v>1626</v>
      </c>
      <c r="G1070" s="6">
        <v>1629</v>
      </c>
      <c r="H1070" s="6">
        <v>806</v>
      </c>
      <c r="I1070" s="6">
        <v>439</v>
      </c>
      <c r="J1070" s="6">
        <v>4</v>
      </c>
      <c r="K1070" s="40">
        <v>89</v>
      </c>
      <c r="L1070" s="40">
        <v>0.5</v>
      </c>
      <c r="M1070" s="40">
        <v>29</v>
      </c>
      <c r="N1070" s="40">
        <v>15</v>
      </c>
      <c r="O1070" s="40">
        <v>3</v>
      </c>
      <c r="P1070" s="40">
        <v>11</v>
      </c>
      <c r="Q1070" s="40">
        <v>0</v>
      </c>
      <c r="R1070" s="40">
        <v>0</v>
      </c>
      <c r="S1070" s="40">
        <v>0</v>
      </c>
    </row>
    <row r="1071" spans="1:19" x14ac:dyDescent="0.35">
      <c r="A1071" s="38">
        <v>1068</v>
      </c>
      <c r="B1071" s="38" t="str">
        <f>_xlfn.XLOOKUP(A1071,'Model Modeshare by TAZ'!A:A,'Model Modeshare by TAZ'!B:B)</f>
        <v>San Jose</v>
      </c>
      <c r="C1071" s="38" t="str">
        <f>_xlfn.XLOOKUP(A1071,'Model Modeshare by TAZ'!A:A,'Model Modeshare by TAZ'!D:D)</f>
        <v>NO</v>
      </c>
      <c r="D1071" s="6">
        <v>3</v>
      </c>
      <c r="E1071" s="6">
        <v>717</v>
      </c>
      <c r="F1071" s="6">
        <v>3142</v>
      </c>
      <c r="G1071" s="6">
        <v>3158</v>
      </c>
      <c r="H1071" s="6">
        <v>1881</v>
      </c>
      <c r="I1071" s="6">
        <v>711</v>
      </c>
      <c r="J1071" s="6">
        <v>6</v>
      </c>
      <c r="K1071" s="40">
        <v>131</v>
      </c>
      <c r="L1071" s="40">
        <v>28</v>
      </c>
      <c r="M1071" s="40">
        <v>94</v>
      </c>
      <c r="N1071" s="40">
        <v>65</v>
      </c>
      <c r="O1071" s="40">
        <v>0</v>
      </c>
      <c r="P1071" s="40">
        <v>28</v>
      </c>
      <c r="Q1071" s="40">
        <v>0</v>
      </c>
      <c r="R1071" s="40">
        <v>1</v>
      </c>
      <c r="S1071" s="40">
        <v>0</v>
      </c>
    </row>
    <row r="1072" spans="1:19" x14ac:dyDescent="0.35">
      <c r="A1072" s="38">
        <v>1069</v>
      </c>
      <c r="B1072" s="38" t="str">
        <f>_xlfn.XLOOKUP(A1072,'Model Modeshare by TAZ'!A:A,'Model Modeshare by TAZ'!B:B)</f>
        <v>San Jose</v>
      </c>
      <c r="C1072" s="38" t="str">
        <f>_xlfn.XLOOKUP(A1072,'Model Modeshare by TAZ'!A:A,'Model Modeshare by TAZ'!D:D)</f>
        <v>NO</v>
      </c>
      <c r="D1072" s="6">
        <v>3</v>
      </c>
      <c r="E1072" s="6">
        <v>505</v>
      </c>
      <c r="F1072" s="6">
        <v>2037</v>
      </c>
      <c r="G1072" s="6">
        <v>2049</v>
      </c>
      <c r="H1072" s="6">
        <v>1006</v>
      </c>
      <c r="I1072" s="6">
        <v>497</v>
      </c>
      <c r="J1072" s="6">
        <v>8</v>
      </c>
      <c r="K1072" s="40">
        <v>85</v>
      </c>
      <c r="L1072" s="40">
        <v>27</v>
      </c>
      <c r="M1072" s="40">
        <v>91</v>
      </c>
      <c r="N1072" s="40">
        <v>18</v>
      </c>
      <c r="O1072" s="40">
        <v>28</v>
      </c>
      <c r="P1072" s="40">
        <v>44</v>
      </c>
      <c r="Q1072" s="40">
        <v>0</v>
      </c>
      <c r="R1072" s="40">
        <v>1</v>
      </c>
      <c r="S1072" s="40">
        <v>0</v>
      </c>
    </row>
    <row r="1073" spans="1:19" x14ac:dyDescent="0.35">
      <c r="A1073" s="38">
        <v>1070</v>
      </c>
      <c r="B1073" s="38" t="str">
        <f>_xlfn.XLOOKUP(A1073,'Model Modeshare by TAZ'!A:A,'Model Modeshare by TAZ'!B:B)</f>
        <v>San Jose</v>
      </c>
      <c r="C1073" s="38" t="str">
        <f>_xlfn.XLOOKUP(A1073,'Model Modeshare by TAZ'!A:A,'Model Modeshare by TAZ'!D:D)</f>
        <v>NO</v>
      </c>
      <c r="D1073" s="6">
        <v>3</v>
      </c>
      <c r="E1073" s="6">
        <v>845</v>
      </c>
      <c r="F1073" s="6">
        <v>3105</v>
      </c>
      <c r="G1073" s="6">
        <v>3105</v>
      </c>
      <c r="H1073" s="6">
        <v>1541</v>
      </c>
      <c r="I1073" s="6">
        <v>837</v>
      </c>
      <c r="J1073" s="6">
        <v>8</v>
      </c>
      <c r="K1073" s="40">
        <v>233</v>
      </c>
      <c r="L1073" s="40">
        <v>3.22</v>
      </c>
      <c r="M1073" s="40">
        <v>74</v>
      </c>
      <c r="N1073" s="40">
        <v>12</v>
      </c>
      <c r="O1073" s="40">
        <v>40</v>
      </c>
      <c r="P1073" s="40">
        <v>22</v>
      </c>
      <c r="Q1073" s="40">
        <v>0</v>
      </c>
      <c r="R1073" s="40">
        <v>0</v>
      </c>
      <c r="S1073" s="40">
        <v>0</v>
      </c>
    </row>
    <row r="1074" spans="1:19" x14ac:dyDescent="0.35">
      <c r="A1074" s="38">
        <v>1071</v>
      </c>
      <c r="B1074" s="38" t="str">
        <f>_xlfn.XLOOKUP(A1074,'Model Modeshare by TAZ'!A:A,'Model Modeshare by TAZ'!B:B)</f>
        <v>San Jose</v>
      </c>
      <c r="C1074" s="38" t="str">
        <f>_xlfn.XLOOKUP(A1074,'Model Modeshare by TAZ'!A:A,'Model Modeshare by TAZ'!D:D)</f>
        <v>NO</v>
      </c>
      <c r="D1074" s="6">
        <v>3</v>
      </c>
      <c r="E1074" s="6">
        <v>647</v>
      </c>
      <c r="F1074" s="6">
        <v>2536</v>
      </c>
      <c r="G1074" s="6">
        <v>2543</v>
      </c>
      <c r="H1074" s="6">
        <v>1292</v>
      </c>
      <c r="I1074" s="6">
        <v>442</v>
      </c>
      <c r="J1074" s="6">
        <v>205</v>
      </c>
      <c r="K1074" s="40">
        <v>131</v>
      </c>
      <c r="L1074" s="40">
        <v>1</v>
      </c>
      <c r="M1074" s="40">
        <v>10</v>
      </c>
      <c r="N1074" s="40">
        <v>0</v>
      </c>
      <c r="O1074" s="40">
        <v>0</v>
      </c>
      <c r="P1074" s="40">
        <v>10</v>
      </c>
      <c r="Q1074" s="40">
        <v>0</v>
      </c>
      <c r="R1074" s="40">
        <v>0</v>
      </c>
      <c r="S1074" s="40">
        <v>0</v>
      </c>
    </row>
    <row r="1075" spans="1:19" x14ac:dyDescent="0.35">
      <c r="A1075" s="38">
        <v>1072</v>
      </c>
      <c r="B1075" s="38" t="str">
        <f>_xlfn.XLOOKUP(A1075,'Model Modeshare by TAZ'!A:A,'Model Modeshare by TAZ'!B:B)</f>
        <v>San Jose</v>
      </c>
      <c r="C1075" s="38" t="str">
        <f>_xlfn.XLOOKUP(A1075,'Model Modeshare by TAZ'!A:A,'Model Modeshare by TAZ'!D:D)</f>
        <v>NO</v>
      </c>
      <c r="D1075" s="6">
        <v>3</v>
      </c>
      <c r="E1075" s="6">
        <v>498</v>
      </c>
      <c r="F1075" s="6">
        <v>1948</v>
      </c>
      <c r="G1075" s="6">
        <v>1952</v>
      </c>
      <c r="H1075" s="6">
        <v>992</v>
      </c>
      <c r="I1075" s="6">
        <v>341</v>
      </c>
      <c r="J1075" s="6">
        <v>157</v>
      </c>
      <c r="K1075" s="40">
        <v>36</v>
      </c>
      <c r="L1075" s="40">
        <v>1</v>
      </c>
      <c r="M1075" s="40">
        <v>59</v>
      </c>
      <c r="N1075" s="40">
        <v>8</v>
      </c>
      <c r="O1075" s="40">
        <v>21</v>
      </c>
      <c r="P1075" s="40">
        <v>17</v>
      </c>
      <c r="Q1075" s="40">
        <v>0</v>
      </c>
      <c r="R1075" s="40">
        <v>10</v>
      </c>
      <c r="S1075" s="40">
        <v>3</v>
      </c>
    </row>
    <row r="1076" spans="1:19" x14ac:dyDescent="0.35">
      <c r="A1076" s="38">
        <v>1073</v>
      </c>
      <c r="B1076" s="38" t="str">
        <f>_xlfn.XLOOKUP(A1076,'Model Modeshare by TAZ'!A:A,'Model Modeshare by TAZ'!B:B)</f>
        <v>San Jose</v>
      </c>
      <c r="C1076" s="38" t="str">
        <f>_xlfn.XLOOKUP(A1076,'Model Modeshare by TAZ'!A:A,'Model Modeshare by TAZ'!D:D)</f>
        <v>NO</v>
      </c>
      <c r="D1076" s="6">
        <v>3</v>
      </c>
      <c r="E1076" s="6">
        <v>807</v>
      </c>
      <c r="F1076" s="6">
        <v>2809</v>
      </c>
      <c r="G1076" s="6">
        <v>2813</v>
      </c>
      <c r="H1076" s="6">
        <v>1625</v>
      </c>
      <c r="I1076" s="6">
        <v>791</v>
      </c>
      <c r="J1076" s="6">
        <v>16</v>
      </c>
      <c r="K1076" s="40">
        <v>199</v>
      </c>
      <c r="L1076" s="40">
        <v>6</v>
      </c>
      <c r="M1076" s="40">
        <v>242</v>
      </c>
      <c r="N1076" s="40">
        <v>127</v>
      </c>
      <c r="O1076" s="40">
        <v>17</v>
      </c>
      <c r="P1076" s="40">
        <v>93</v>
      </c>
      <c r="Q1076" s="40">
        <v>2</v>
      </c>
      <c r="R1076" s="40">
        <v>3</v>
      </c>
      <c r="S1076" s="40">
        <v>0</v>
      </c>
    </row>
    <row r="1077" spans="1:19" x14ac:dyDescent="0.35">
      <c r="A1077" s="38">
        <v>1074</v>
      </c>
      <c r="B1077" s="38" t="str">
        <f>_xlfn.XLOOKUP(A1077,'Model Modeshare by TAZ'!A:A,'Model Modeshare by TAZ'!B:B)</f>
        <v>San Jose</v>
      </c>
      <c r="C1077" s="38" t="str">
        <f>_xlfn.XLOOKUP(A1077,'Model Modeshare by TAZ'!A:A,'Model Modeshare by TAZ'!D:D)</f>
        <v>NO</v>
      </c>
      <c r="D1077" s="6">
        <v>3</v>
      </c>
      <c r="E1077" s="6">
        <v>407</v>
      </c>
      <c r="F1077" s="6">
        <v>1415</v>
      </c>
      <c r="G1077" s="6">
        <v>1425</v>
      </c>
      <c r="H1077" s="6">
        <v>819</v>
      </c>
      <c r="I1077" s="6">
        <v>399</v>
      </c>
      <c r="J1077" s="6">
        <v>8</v>
      </c>
      <c r="K1077" s="40">
        <v>146</v>
      </c>
      <c r="L1077" s="40">
        <v>15</v>
      </c>
      <c r="M1077" s="40">
        <v>264</v>
      </c>
      <c r="N1077" s="40">
        <v>1</v>
      </c>
      <c r="O1077" s="40">
        <v>169</v>
      </c>
      <c r="P1077" s="40">
        <v>86</v>
      </c>
      <c r="Q1077" s="40">
        <v>4</v>
      </c>
      <c r="R1077" s="40">
        <v>4</v>
      </c>
      <c r="S1077" s="40">
        <v>0</v>
      </c>
    </row>
    <row r="1078" spans="1:19" x14ac:dyDescent="0.35">
      <c r="A1078" s="38">
        <v>1075</v>
      </c>
      <c r="B1078" s="38" t="str">
        <f>_xlfn.XLOOKUP(A1078,'Model Modeshare by TAZ'!A:A,'Model Modeshare by TAZ'!B:B)</f>
        <v>Unincorporated</v>
      </c>
      <c r="C1078" s="38" t="str">
        <f>_xlfn.XLOOKUP(A1078,'Model Modeshare by TAZ'!A:A,'Model Modeshare by TAZ'!D:D)</f>
        <v>NO</v>
      </c>
      <c r="D1078" s="6">
        <v>3</v>
      </c>
      <c r="E1078" s="6">
        <v>34</v>
      </c>
      <c r="F1078" s="6">
        <v>127</v>
      </c>
      <c r="G1078" s="6">
        <v>133</v>
      </c>
      <c r="H1078" s="6">
        <v>70</v>
      </c>
      <c r="I1078" s="6">
        <v>34</v>
      </c>
      <c r="J1078" s="6">
        <v>0</v>
      </c>
      <c r="K1078" s="40">
        <v>117</v>
      </c>
      <c r="L1078" s="40">
        <v>0</v>
      </c>
      <c r="M1078" s="40">
        <v>0</v>
      </c>
      <c r="N1078" s="40">
        <v>0</v>
      </c>
      <c r="O1078" s="40">
        <v>0</v>
      </c>
      <c r="P1078" s="40">
        <v>0</v>
      </c>
      <c r="Q1078" s="40">
        <v>0</v>
      </c>
      <c r="R1078" s="40">
        <v>0</v>
      </c>
      <c r="S1078" s="40">
        <v>0</v>
      </c>
    </row>
    <row r="1079" spans="1:19" x14ac:dyDescent="0.35">
      <c r="A1079" s="38">
        <v>1076</v>
      </c>
      <c r="B1079" s="38" t="str">
        <f>_xlfn.XLOOKUP(A1079,'Model Modeshare by TAZ'!A:A,'Model Modeshare by TAZ'!B:B)</f>
        <v>San Jose</v>
      </c>
      <c r="C1079" s="38" t="str">
        <f>_xlfn.XLOOKUP(A1079,'Model Modeshare by TAZ'!A:A,'Model Modeshare by TAZ'!D:D)</f>
        <v>NO</v>
      </c>
      <c r="D1079" s="6">
        <v>3</v>
      </c>
      <c r="E1079" s="6">
        <v>1526</v>
      </c>
      <c r="F1079" s="6">
        <v>5695</v>
      </c>
      <c r="G1079" s="6">
        <v>5715</v>
      </c>
      <c r="H1079" s="6">
        <v>3139</v>
      </c>
      <c r="I1079" s="6">
        <v>1516</v>
      </c>
      <c r="J1079" s="6">
        <v>10</v>
      </c>
      <c r="K1079" s="40">
        <v>338</v>
      </c>
      <c r="L1079" s="40">
        <v>1</v>
      </c>
      <c r="M1079" s="40">
        <v>865</v>
      </c>
      <c r="N1079" s="40">
        <v>0</v>
      </c>
      <c r="O1079" s="40">
        <v>0</v>
      </c>
      <c r="P1079" s="40">
        <v>865</v>
      </c>
      <c r="Q1079" s="40">
        <v>0</v>
      </c>
      <c r="R1079" s="40">
        <v>0</v>
      </c>
      <c r="S1079" s="40">
        <v>0</v>
      </c>
    </row>
    <row r="1080" spans="1:19" x14ac:dyDescent="0.35">
      <c r="A1080" s="38">
        <v>1077</v>
      </c>
      <c r="B1080" s="38" t="str">
        <f>_xlfn.XLOOKUP(A1080,'Model Modeshare by TAZ'!A:A,'Model Modeshare by TAZ'!B:B)</f>
        <v>San Jose</v>
      </c>
      <c r="C1080" s="38" t="str">
        <f>_xlfn.XLOOKUP(A1080,'Model Modeshare by TAZ'!A:A,'Model Modeshare by TAZ'!D:D)</f>
        <v>NO</v>
      </c>
      <c r="D1080" s="6">
        <v>3</v>
      </c>
      <c r="E1080" s="6">
        <v>783</v>
      </c>
      <c r="F1080" s="6">
        <v>2917</v>
      </c>
      <c r="G1080" s="6">
        <v>2929</v>
      </c>
      <c r="H1080" s="6">
        <v>1482</v>
      </c>
      <c r="I1080" s="6">
        <v>673</v>
      </c>
      <c r="J1080" s="6">
        <v>110</v>
      </c>
      <c r="K1080" s="40">
        <v>121</v>
      </c>
      <c r="L1080" s="40">
        <v>19</v>
      </c>
      <c r="M1080" s="40">
        <v>169</v>
      </c>
      <c r="N1080" s="40">
        <v>58</v>
      </c>
      <c r="O1080" s="40">
        <v>22</v>
      </c>
      <c r="P1080" s="40">
        <v>89</v>
      </c>
      <c r="Q1080" s="40">
        <v>0</v>
      </c>
      <c r="R1080" s="40">
        <v>0</v>
      </c>
      <c r="S1080" s="40">
        <v>0</v>
      </c>
    </row>
    <row r="1081" spans="1:19" x14ac:dyDescent="0.35">
      <c r="A1081" s="38">
        <v>1078</v>
      </c>
      <c r="B1081" s="38" t="str">
        <f>_xlfn.XLOOKUP(A1081,'Model Modeshare by TAZ'!A:A,'Model Modeshare by TAZ'!B:B)</f>
        <v>San Jose</v>
      </c>
      <c r="C1081" s="38" t="str">
        <f>_xlfn.XLOOKUP(A1081,'Model Modeshare by TAZ'!A:A,'Model Modeshare by TAZ'!D:D)</f>
        <v>NO</v>
      </c>
      <c r="D1081" s="6">
        <v>3</v>
      </c>
      <c r="E1081" s="6">
        <v>32</v>
      </c>
      <c r="F1081" s="6">
        <v>71</v>
      </c>
      <c r="G1081" s="6">
        <v>71</v>
      </c>
      <c r="H1081" s="6">
        <v>44</v>
      </c>
      <c r="I1081" s="6">
        <v>20</v>
      </c>
      <c r="J1081" s="6">
        <v>12</v>
      </c>
      <c r="K1081" s="40">
        <v>1</v>
      </c>
      <c r="L1081" s="40">
        <v>128</v>
      </c>
      <c r="M1081" s="40">
        <v>676</v>
      </c>
      <c r="N1081" s="40">
        <v>26</v>
      </c>
      <c r="O1081" s="40">
        <v>162</v>
      </c>
      <c r="P1081" s="40">
        <v>274</v>
      </c>
      <c r="Q1081" s="40">
        <v>0</v>
      </c>
      <c r="R1081" s="40">
        <v>67</v>
      </c>
      <c r="S1081" s="40">
        <v>147</v>
      </c>
    </row>
    <row r="1082" spans="1:19" x14ac:dyDescent="0.35">
      <c r="A1082" s="38">
        <v>1079</v>
      </c>
      <c r="B1082" s="38" t="str">
        <f>_xlfn.XLOOKUP(A1082,'Model Modeshare by TAZ'!A:A,'Model Modeshare by TAZ'!B:B)</f>
        <v>San Jose</v>
      </c>
      <c r="C1082" s="38" t="str">
        <f>_xlfn.XLOOKUP(A1082,'Model Modeshare by TAZ'!A:A,'Model Modeshare by TAZ'!D:D)</f>
        <v>NO</v>
      </c>
      <c r="D1082" s="6">
        <v>3</v>
      </c>
      <c r="E1082" s="6">
        <v>88</v>
      </c>
      <c r="F1082" s="6">
        <v>190</v>
      </c>
      <c r="G1082" s="6">
        <v>190</v>
      </c>
      <c r="H1082" s="6">
        <v>125</v>
      </c>
      <c r="I1082" s="6">
        <v>55</v>
      </c>
      <c r="J1082" s="6">
        <v>33</v>
      </c>
      <c r="K1082" s="40">
        <v>20</v>
      </c>
      <c r="L1082" s="40">
        <v>103</v>
      </c>
      <c r="M1082" s="40">
        <v>7290</v>
      </c>
      <c r="N1082" s="40">
        <v>398</v>
      </c>
      <c r="O1082" s="40">
        <v>3416</v>
      </c>
      <c r="P1082" s="40">
        <v>2443</v>
      </c>
      <c r="Q1082" s="40">
        <v>1</v>
      </c>
      <c r="R1082" s="40">
        <v>332</v>
      </c>
      <c r="S1082" s="40">
        <v>700</v>
      </c>
    </row>
    <row r="1083" spans="1:19" x14ac:dyDescent="0.35">
      <c r="A1083" s="38">
        <v>1080</v>
      </c>
      <c r="B1083" s="38" t="str">
        <f>_xlfn.XLOOKUP(A1083,'Model Modeshare by TAZ'!A:A,'Model Modeshare by TAZ'!B:B)</f>
        <v>San Jose</v>
      </c>
      <c r="C1083" s="38" t="str">
        <f>_xlfn.XLOOKUP(A1083,'Model Modeshare by TAZ'!A:A,'Model Modeshare by TAZ'!D:D)</f>
        <v>NO</v>
      </c>
      <c r="D1083" s="6">
        <v>3</v>
      </c>
      <c r="E1083" s="6">
        <v>235</v>
      </c>
      <c r="F1083" s="6">
        <v>505</v>
      </c>
      <c r="G1083" s="6">
        <v>505</v>
      </c>
      <c r="H1083" s="6">
        <v>333</v>
      </c>
      <c r="I1083" s="6">
        <v>148</v>
      </c>
      <c r="J1083" s="6">
        <v>87</v>
      </c>
      <c r="K1083" s="40">
        <v>12</v>
      </c>
      <c r="L1083" s="40">
        <v>36</v>
      </c>
      <c r="M1083" s="40">
        <v>2709</v>
      </c>
      <c r="N1083" s="40">
        <v>205</v>
      </c>
      <c r="O1083" s="40">
        <v>735</v>
      </c>
      <c r="P1083" s="40">
        <v>1457</v>
      </c>
      <c r="Q1083" s="40">
        <v>2</v>
      </c>
      <c r="R1083" s="40">
        <v>96</v>
      </c>
      <c r="S1083" s="40">
        <v>214</v>
      </c>
    </row>
    <row r="1084" spans="1:19" x14ac:dyDescent="0.35">
      <c r="A1084" s="38">
        <v>1081</v>
      </c>
      <c r="B1084" s="38" t="str">
        <f>_xlfn.XLOOKUP(A1084,'Model Modeshare by TAZ'!A:A,'Model Modeshare by TAZ'!B:B)</f>
        <v>San Jose</v>
      </c>
      <c r="C1084" s="38" t="str">
        <f>_xlfn.XLOOKUP(A1084,'Model Modeshare by TAZ'!A:A,'Model Modeshare by TAZ'!D:D)</f>
        <v>NO</v>
      </c>
      <c r="D1084" s="6">
        <v>3</v>
      </c>
      <c r="E1084" s="6">
        <v>33</v>
      </c>
      <c r="F1084" s="6">
        <v>73</v>
      </c>
      <c r="G1084" s="6">
        <v>73</v>
      </c>
      <c r="H1084" s="6">
        <v>47</v>
      </c>
      <c r="I1084" s="6">
        <v>20</v>
      </c>
      <c r="J1084" s="6">
        <v>13</v>
      </c>
      <c r="K1084" s="40">
        <v>1</v>
      </c>
      <c r="L1084" s="40">
        <v>51</v>
      </c>
      <c r="M1084" s="40">
        <v>1279</v>
      </c>
      <c r="N1084" s="40">
        <v>59</v>
      </c>
      <c r="O1084" s="40">
        <v>335</v>
      </c>
      <c r="P1084" s="40">
        <v>607</v>
      </c>
      <c r="Q1084" s="40">
        <v>1</v>
      </c>
      <c r="R1084" s="40">
        <v>87</v>
      </c>
      <c r="S1084" s="40">
        <v>190</v>
      </c>
    </row>
    <row r="1085" spans="1:19" x14ac:dyDescent="0.35">
      <c r="A1085" s="38">
        <v>1082</v>
      </c>
      <c r="B1085" s="38" t="str">
        <f>_xlfn.XLOOKUP(A1085,'Model Modeshare by TAZ'!A:A,'Model Modeshare by TAZ'!B:B)</f>
        <v>San Jose</v>
      </c>
      <c r="C1085" s="38" t="str">
        <f>_xlfn.XLOOKUP(A1085,'Model Modeshare by TAZ'!A:A,'Model Modeshare by TAZ'!D:D)</f>
        <v>NO</v>
      </c>
      <c r="D1085" s="6">
        <v>3</v>
      </c>
      <c r="E1085" s="6">
        <v>432</v>
      </c>
      <c r="F1085" s="6">
        <v>932</v>
      </c>
      <c r="G1085" s="6">
        <v>946</v>
      </c>
      <c r="H1085" s="6">
        <v>615</v>
      </c>
      <c r="I1085" s="6">
        <v>89</v>
      </c>
      <c r="J1085" s="6">
        <v>343</v>
      </c>
      <c r="K1085" s="40">
        <v>25</v>
      </c>
      <c r="L1085" s="40">
        <v>27</v>
      </c>
      <c r="M1085" s="40">
        <v>1038</v>
      </c>
      <c r="N1085" s="40">
        <v>122</v>
      </c>
      <c r="O1085" s="40">
        <v>447</v>
      </c>
      <c r="P1085" s="40">
        <v>357</v>
      </c>
      <c r="Q1085" s="40">
        <v>1</v>
      </c>
      <c r="R1085" s="40">
        <v>36</v>
      </c>
      <c r="S1085" s="40">
        <v>75</v>
      </c>
    </row>
    <row r="1086" spans="1:19" x14ac:dyDescent="0.35">
      <c r="A1086" s="38">
        <v>1083</v>
      </c>
      <c r="B1086" s="38" t="str">
        <f>_xlfn.XLOOKUP(A1086,'Model Modeshare by TAZ'!A:A,'Model Modeshare by TAZ'!B:B)</f>
        <v>San Jose</v>
      </c>
      <c r="C1086" s="38" t="str">
        <f>_xlfn.XLOOKUP(A1086,'Model Modeshare by TAZ'!A:A,'Model Modeshare by TAZ'!D:D)</f>
        <v>NO</v>
      </c>
      <c r="D1086" s="6">
        <v>3</v>
      </c>
      <c r="E1086" s="6">
        <v>506</v>
      </c>
      <c r="F1086" s="6">
        <v>1089</v>
      </c>
      <c r="G1086" s="6">
        <v>1089</v>
      </c>
      <c r="H1086" s="6">
        <v>718</v>
      </c>
      <c r="I1086" s="6">
        <v>318</v>
      </c>
      <c r="J1086" s="6">
        <v>188</v>
      </c>
      <c r="K1086" s="40">
        <v>83</v>
      </c>
      <c r="L1086" s="40">
        <v>32</v>
      </c>
      <c r="M1086" s="40">
        <v>604</v>
      </c>
      <c r="N1086" s="40">
        <v>21</v>
      </c>
      <c r="O1086" s="40">
        <v>224</v>
      </c>
      <c r="P1086" s="40">
        <v>254</v>
      </c>
      <c r="Q1086" s="40">
        <v>0</v>
      </c>
      <c r="R1086" s="40">
        <v>34</v>
      </c>
      <c r="S1086" s="40">
        <v>71</v>
      </c>
    </row>
    <row r="1087" spans="1:19" x14ac:dyDescent="0.35">
      <c r="A1087" s="38">
        <v>1084</v>
      </c>
      <c r="B1087" s="38" t="str">
        <f>_xlfn.XLOOKUP(A1087,'Model Modeshare by TAZ'!A:A,'Model Modeshare by TAZ'!B:B)</f>
        <v>San Jose</v>
      </c>
      <c r="C1087" s="38" t="str">
        <f>_xlfn.XLOOKUP(A1087,'Model Modeshare by TAZ'!A:A,'Model Modeshare by TAZ'!D:D)</f>
        <v>NO</v>
      </c>
      <c r="D1087" s="6">
        <v>3</v>
      </c>
      <c r="E1087" s="6">
        <v>232</v>
      </c>
      <c r="F1087" s="6">
        <v>692</v>
      </c>
      <c r="G1087" s="6">
        <v>692</v>
      </c>
      <c r="H1087" s="6">
        <v>350</v>
      </c>
      <c r="I1087" s="6">
        <v>162</v>
      </c>
      <c r="J1087" s="6">
        <v>70</v>
      </c>
      <c r="K1087" s="40">
        <v>32</v>
      </c>
      <c r="L1087" s="40">
        <v>102</v>
      </c>
      <c r="M1087" s="40">
        <v>3052</v>
      </c>
      <c r="N1087" s="40">
        <v>220</v>
      </c>
      <c r="O1087" s="40">
        <v>1090</v>
      </c>
      <c r="P1087" s="40">
        <v>788</v>
      </c>
      <c r="Q1087" s="40">
        <v>56</v>
      </c>
      <c r="R1087" s="40">
        <v>570</v>
      </c>
      <c r="S1087" s="40">
        <v>328</v>
      </c>
    </row>
    <row r="1088" spans="1:19" x14ac:dyDescent="0.35">
      <c r="A1088" s="38">
        <v>1085</v>
      </c>
      <c r="B1088" s="38" t="str">
        <f>_xlfn.XLOOKUP(A1088,'Model Modeshare by TAZ'!A:A,'Model Modeshare by TAZ'!B:B)</f>
        <v>San Jose</v>
      </c>
      <c r="C1088" s="38" t="str">
        <f>_xlfn.XLOOKUP(A1088,'Model Modeshare by TAZ'!A:A,'Model Modeshare by TAZ'!D:D)</f>
        <v>NO</v>
      </c>
      <c r="D1088" s="6">
        <v>3</v>
      </c>
      <c r="E1088" s="6">
        <v>75</v>
      </c>
      <c r="F1088" s="6">
        <v>219</v>
      </c>
      <c r="G1088" s="6">
        <v>219</v>
      </c>
      <c r="H1088" s="6">
        <v>112</v>
      </c>
      <c r="I1088" s="6">
        <v>53</v>
      </c>
      <c r="J1088" s="6">
        <v>22</v>
      </c>
      <c r="K1088" s="40">
        <v>14</v>
      </c>
      <c r="L1088" s="40">
        <v>42</v>
      </c>
      <c r="M1088" s="40">
        <v>1228</v>
      </c>
      <c r="N1088" s="40">
        <v>104</v>
      </c>
      <c r="O1088" s="40">
        <v>453</v>
      </c>
      <c r="P1088" s="40">
        <v>339</v>
      </c>
      <c r="Q1088" s="40">
        <v>0</v>
      </c>
      <c r="R1088" s="40">
        <v>219</v>
      </c>
      <c r="S1088" s="40">
        <v>113</v>
      </c>
    </row>
    <row r="1089" spans="1:19" x14ac:dyDescent="0.35">
      <c r="A1089" s="38">
        <v>1086</v>
      </c>
      <c r="B1089" s="38" t="str">
        <f>_xlfn.XLOOKUP(A1089,'Model Modeshare by TAZ'!A:A,'Model Modeshare by TAZ'!B:B)</f>
        <v>San Jose</v>
      </c>
      <c r="C1089" s="38" t="str">
        <f>_xlfn.XLOOKUP(A1089,'Model Modeshare by TAZ'!A:A,'Model Modeshare by TAZ'!D:D)</f>
        <v>NO</v>
      </c>
      <c r="D1089" s="6">
        <v>3</v>
      </c>
      <c r="E1089" s="6">
        <v>105</v>
      </c>
      <c r="F1089" s="6">
        <v>307</v>
      </c>
      <c r="G1089" s="6">
        <v>307</v>
      </c>
      <c r="H1089" s="6">
        <v>157</v>
      </c>
      <c r="I1089" s="6">
        <v>73</v>
      </c>
      <c r="J1089" s="6">
        <v>32</v>
      </c>
      <c r="K1089" s="40">
        <v>11</v>
      </c>
      <c r="L1089" s="40">
        <v>6</v>
      </c>
      <c r="M1089" s="40">
        <v>0</v>
      </c>
      <c r="N1089" s="40">
        <v>0</v>
      </c>
      <c r="O1089" s="40">
        <v>0</v>
      </c>
      <c r="P1089" s="40">
        <v>0</v>
      </c>
      <c r="Q1089" s="40">
        <v>0</v>
      </c>
      <c r="R1089" s="40">
        <v>0</v>
      </c>
      <c r="S1089" s="40">
        <v>0</v>
      </c>
    </row>
    <row r="1090" spans="1:19" x14ac:dyDescent="0.35">
      <c r="A1090" s="38">
        <v>1087</v>
      </c>
      <c r="B1090" s="38" t="str">
        <f>_xlfn.XLOOKUP(A1090,'Model Modeshare by TAZ'!A:A,'Model Modeshare by TAZ'!B:B)</f>
        <v>San Jose</v>
      </c>
      <c r="C1090" s="38" t="str">
        <f>_xlfn.XLOOKUP(A1090,'Model Modeshare by TAZ'!A:A,'Model Modeshare by TAZ'!D:D)</f>
        <v>NO</v>
      </c>
      <c r="D1090" s="6">
        <v>3</v>
      </c>
      <c r="E1090" s="6">
        <v>282</v>
      </c>
      <c r="F1090" s="6">
        <v>589</v>
      </c>
      <c r="G1090" s="6">
        <v>589</v>
      </c>
      <c r="H1090" s="6">
        <v>287</v>
      </c>
      <c r="I1090" s="6">
        <v>131</v>
      </c>
      <c r="J1090" s="6">
        <v>151</v>
      </c>
      <c r="K1090" s="40">
        <v>36</v>
      </c>
      <c r="L1090" s="40">
        <v>20</v>
      </c>
      <c r="M1090" s="40">
        <v>883</v>
      </c>
      <c r="N1090" s="40">
        <v>87</v>
      </c>
      <c r="O1090" s="40">
        <v>604</v>
      </c>
      <c r="P1090" s="40">
        <v>79</v>
      </c>
      <c r="Q1090" s="40">
        <v>4</v>
      </c>
      <c r="R1090" s="40">
        <v>54</v>
      </c>
      <c r="S1090" s="40">
        <v>55</v>
      </c>
    </row>
    <row r="1091" spans="1:19" x14ac:dyDescent="0.35">
      <c r="A1091" s="38">
        <v>1088</v>
      </c>
      <c r="B1091" s="38" t="str">
        <f>_xlfn.XLOOKUP(A1091,'Model Modeshare by TAZ'!A:A,'Model Modeshare by TAZ'!B:B)</f>
        <v>San Jose</v>
      </c>
      <c r="C1091" s="38" t="str">
        <f>_xlfn.XLOOKUP(A1091,'Model Modeshare by TAZ'!A:A,'Model Modeshare by TAZ'!D:D)</f>
        <v>NO</v>
      </c>
      <c r="D1091" s="6">
        <v>3</v>
      </c>
      <c r="E1091" s="6">
        <v>12</v>
      </c>
      <c r="F1091" s="6">
        <v>26</v>
      </c>
      <c r="G1091" s="6">
        <v>26</v>
      </c>
      <c r="H1091" s="6">
        <v>12</v>
      </c>
      <c r="I1091" s="6">
        <v>6</v>
      </c>
      <c r="J1091" s="6">
        <v>6</v>
      </c>
      <c r="K1091" s="40">
        <v>2</v>
      </c>
      <c r="L1091" s="40">
        <v>47</v>
      </c>
      <c r="M1091" s="40">
        <v>792</v>
      </c>
      <c r="N1091" s="40">
        <v>3</v>
      </c>
      <c r="O1091" s="40">
        <v>40</v>
      </c>
      <c r="P1091" s="40">
        <v>744</v>
      </c>
      <c r="Q1091" s="40">
        <v>1</v>
      </c>
      <c r="R1091" s="40">
        <v>2</v>
      </c>
      <c r="S1091" s="40">
        <v>2</v>
      </c>
    </row>
    <row r="1092" spans="1:19" x14ac:dyDescent="0.35">
      <c r="A1092" s="38">
        <v>1089</v>
      </c>
      <c r="B1092" s="38" t="str">
        <f>_xlfn.XLOOKUP(A1092,'Model Modeshare by TAZ'!A:A,'Model Modeshare by TAZ'!B:B)</f>
        <v>San Jose</v>
      </c>
      <c r="C1092" s="38" t="str">
        <f>_xlfn.XLOOKUP(A1092,'Model Modeshare by TAZ'!A:A,'Model Modeshare by TAZ'!D:D)</f>
        <v>NO</v>
      </c>
      <c r="D1092" s="6">
        <v>3</v>
      </c>
      <c r="E1092" s="6">
        <v>195</v>
      </c>
      <c r="F1092" s="6">
        <v>569</v>
      </c>
      <c r="G1092" s="6">
        <v>569</v>
      </c>
      <c r="H1092" s="6">
        <v>292</v>
      </c>
      <c r="I1092" s="6">
        <v>136</v>
      </c>
      <c r="J1092" s="6">
        <v>59</v>
      </c>
      <c r="K1092" s="40">
        <v>45</v>
      </c>
      <c r="L1092" s="40">
        <v>1</v>
      </c>
      <c r="M1092" s="40">
        <v>48</v>
      </c>
      <c r="N1092" s="40">
        <v>3</v>
      </c>
      <c r="O1092" s="40">
        <v>43</v>
      </c>
      <c r="P1092" s="40">
        <v>1</v>
      </c>
      <c r="Q1092" s="40">
        <v>0</v>
      </c>
      <c r="R1092" s="40">
        <v>1</v>
      </c>
      <c r="S1092" s="40">
        <v>0</v>
      </c>
    </row>
    <row r="1093" spans="1:19" x14ac:dyDescent="0.35">
      <c r="A1093" s="38">
        <v>1090</v>
      </c>
      <c r="B1093" s="38" t="str">
        <f>_xlfn.XLOOKUP(A1093,'Model Modeshare by TAZ'!A:A,'Model Modeshare by TAZ'!B:B)</f>
        <v>San Jose</v>
      </c>
      <c r="C1093" s="38" t="str">
        <f>_xlfn.XLOOKUP(A1093,'Model Modeshare by TAZ'!A:A,'Model Modeshare by TAZ'!D:D)</f>
        <v>NO</v>
      </c>
      <c r="D1093" s="6">
        <v>3</v>
      </c>
      <c r="E1093" s="6">
        <v>242</v>
      </c>
      <c r="F1093" s="6">
        <v>708</v>
      </c>
      <c r="G1093" s="6">
        <v>708</v>
      </c>
      <c r="H1093" s="6">
        <v>365</v>
      </c>
      <c r="I1093" s="6">
        <v>127</v>
      </c>
      <c r="J1093" s="6">
        <v>115</v>
      </c>
      <c r="K1093" s="40">
        <v>23</v>
      </c>
      <c r="L1093" s="40">
        <v>19</v>
      </c>
      <c r="M1093" s="40">
        <v>77</v>
      </c>
      <c r="N1093" s="40">
        <v>9</v>
      </c>
      <c r="O1093" s="40">
        <v>30</v>
      </c>
      <c r="P1093" s="40">
        <v>12</v>
      </c>
      <c r="Q1093" s="40">
        <v>0</v>
      </c>
      <c r="R1093" s="40">
        <v>15</v>
      </c>
      <c r="S1093" s="40">
        <v>11</v>
      </c>
    </row>
    <row r="1094" spans="1:19" x14ac:dyDescent="0.35">
      <c r="A1094" s="38">
        <v>1091</v>
      </c>
      <c r="B1094" s="38" t="str">
        <f>_xlfn.XLOOKUP(A1094,'Model Modeshare by TAZ'!A:A,'Model Modeshare by TAZ'!B:B)</f>
        <v>San Jose</v>
      </c>
      <c r="C1094" s="38" t="str">
        <f>_xlfn.XLOOKUP(A1094,'Model Modeshare by TAZ'!A:A,'Model Modeshare by TAZ'!D:D)</f>
        <v>NO</v>
      </c>
      <c r="D1094" s="6">
        <v>3</v>
      </c>
      <c r="E1094" s="6">
        <v>326</v>
      </c>
      <c r="F1094" s="6">
        <v>952</v>
      </c>
      <c r="G1094" s="6">
        <v>952</v>
      </c>
      <c r="H1094" s="6">
        <v>491</v>
      </c>
      <c r="I1094" s="6">
        <v>229</v>
      </c>
      <c r="J1094" s="6">
        <v>97</v>
      </c>
      <c r="K1094" s="40">
        <v>52</v>
      </c>
      <c r="L1094" s="40">
        <v>1</v>
      </c>
      <c r="M1094" s="40">
        <v>68</v>
      </c>
      <c r="N1094" s="40">
        <v>24</v>
      </c>
      <c r="O1094" s="40">
        <v>44</v>
      </c>
      <c r="P1094" s="40">
        <v>0</v>
      </c>
      <c r="Q1094" s="40">
        <v>0</v>
      </c>
      <c r="R1094" s="40">
        <v>0</v>
      </c>
      <c r="S1094" s="40">
        <v>0</v>
      </c>
    </row>
    <row r="1095" spans="1:19" x14ac:dyDescent="0.35">
      <c r="A1095" s="38">
        <v>1092</v>
      </c>
      <c r="B1095" s="38" t="str">
        <f>_xlfn.XLOOKUP(A1095,'Model Modeshare by TAZ'!A:A,'Model Modeshare by TAZ'!B:B)</f>
        <v>San Jose</v>
      </c>
      <c r="C1095" s="38" t="str">
        <f>_xlfn.XLOOKUP(A1095,'Model Modeshare by TAZ'!A:A,'Model Modeshare by TAZ'!D:D)</f>
        <v>NO</v>
      </c>
      <c r="D1095" s="6">
        <v>3</v>
      </c>
      <c r="E1095" s="6">
        <v>218</v>
      </c>
      <c r="F1095" s="6">
        <v>665</v>
      </c>
      <c r="G1095" s="6">
        <v>885</v>
      </c>
      <c r="H1095" s="6">
        <v>329</v>
      </c>
      <c r="I1095" s="6">
        <v>153</v>
      </c>
      <c r="J1095" s="6">
        <v>65</v>
      </c>
      <c r="K1095" s="40">
        <v>48</v>
      </c>
      <c r="L1095" s="40">
        <v>0</v>
      </c>
      <c r="M1095" s="40">
        <v>0</v>
      </c>
      <c r="N1095" s="40">
        <v>0</v>
      </c>
      <c r="O1095" s="40">
        <v>0</v>
      </c>
      <c r="P1095" s="40">
        <v>0</v>
      </c>
      <c r="Q1095" s="40">
        <v>0</v>
      </c>
      <c r="R1095" s="40">
        <v>0</v>
      </c>
      <c r="S1095" s="40">
        <v>0</v>
      </c>
    </row>
    <row r="1096" spans="1:19" x14ac:dyDescent="0.35">
      <c r="A1096" s="38">
        <v>1093</v>
      </c>
      <c r="B1096" s="38" t="str">
        <f>_xlfn.XLOOKUP(A1096,'Model Modeshare by TAZ'!A:A,'Model Modeshare by TAZ'!B:B)</f>
        <v>San Jose</v>
      </c>
      <c r="C1096" s="38" t="str">
        <f>_xlfn.XLOOKUP(A1096,'Model Modeshare by TAZ'!A:A,'Model Modeshare by TAZ'!D:D)</f>
        <v>NO</v>
      </c>
      <c r="D1096" s="6">
        <v>3</v>
      </c>
      <c r="E1096" s="6">
        <v>113</v>
      </c>
      <c r="F1096" s="6">
        <v>331</v>
      </c>
      <c r="G1096" s="6">
        <v>331</v>
      </c>
      <c r="H1096" s="6">
        <v>170</v>
      </c>
      <c r="I1096" s="6">
        <v>79</v>
      </c>
      <c r="J1096" s="6">
        <v>34</v>
      </c>
      <c r="K1096" s="40">
        <v>22</v>
      </c>
      <c r="L1096" s="40">
        <v>1</v>
      </c>
      <c r="M1096" s="40">
        <v>0</v>
      </c>
      <c r="N1096" s="40">
        <v>0</v>
      </c>
      <c r="O1096" s="40">
        <v>0</v>
      </c>
      <c r="P1096" s="40">
        <v>0</v>
      </c>
      <c r="Q1096" s="40">
        <v>0</v>
      </c>
      <c r="R1096" s="40">
        <v>0</v>
      </c>
      <c r="S1096" s="40">
        <v>0</v>
      </c>
    </row>
    <row r="1097" spans="1:19" x14ac:dyDescent="0.35">
      <c r="A1097" s="38">
        <v>1094</v>
      </c>
      <c r="B1097" s="38" t="str">
        <f>_xlfn.XLOOKUP(A1097,'Model Modeshare by TAZ'!A:A,'Model Modeshare by TAZ'!B:B)</f>
        <v>San Jose</v>
      </c>
      <c r="C1097" s="38" t="str">
        <f>_xlfn.XLOOKUP(A1097,'Model Modeshare by TAZ'!A:A,'Model Modeshare by TAZ'!D:D)</f>
        <v>NO</v>
      </c>
      <c r="D1097" s="6">
        <v>3</v>
      </c>
      <c r="E1097" s="6">
        <v>62</v>
      </c>
      <c r="F1097" s="6">
        <v>131</v>
      </c>
      <c r="G1097" s="6">
        <v>216</v>
      </c>
      <c r="H1097" s="6">
        <v>63</v>
      </c>
      <c r="I1097" s="6">
        <v>29</v>
      </c>
      <c r="J1097" s="6">
        <v>33</v>
      </c>
      <c r="K1097" s="40">
        <v>4</v>
      </c>
      <c r="L1097" s="40">
        <v>47</v>
      </c>
      <c r="M1097" s="40">
        <v>6868</v>
      </c>
      <c r="N1097" s="40">
        <v>164</v>
      </c>
      <c r="O1097" s="40">
        <v>2282</v>
      </c>
      <c r="P1097" s="40">
        <v>4192</v>
      </c>
      <c r="Q1097" s="40">
        <v>9</v>
      </c>
      <c r="R1097" s="40">
        <v>112</v>
      </c>
      <c r="S1097" s="40">
        <v>109</v>
      </c>
    </row>
    <row r="1098" spans="1:19" x14ac:dyDescent="0.35">
      <c r="A1098" s="38">
        <v>1095</v>
      </c>
      <c r="B1098" s="38" t="str">
        <f>_xlfn.XLOOKUP(A1098,'Model Modeshare by TAZ'!A:A,'Model Modeshare by TAZ'!B:B)</f>
        <v>San Jose</v>
      </c>
      <c r="C1098" s="38" t="str">
        <f>_xlfn.XLOOKUP(A1098,'Model Modeshare by TAZ'!A:A,'Model Modeshare by TAZ'!D:D)</f>
        <v>NO</v>
      </c>
      <c r="D1098" s="6">
        <v>3</v>
      </c>
      <c r="E1098" s="6">
        <v>195</v>
      </c>
      <c r="F1098" s="6">
        <v>408</v>
      </c>
      <c r="G1098" s="6">
        <v>408</v>
      </c>
      <c r="H1098" s="6">
        <v>197</v>
      </c>
      <c r="I1098" s="6">
        <v>91</v>
      </c>
      <c r="J1098" s="6">
        <v>104</v>
      </c>
      <c r="K1098" s="40">
        <v>22</v>
      </c>
      <c r="L1098" s="40">
        <v>19</v>
      </c>
      <c r="M1098" s="40">
        <v>367</v>
      </c>
      <c r="N1098" s="40">
        <v>24</v>
      </c>
      <c r="O1098" s="40">
        <v>257</v>
      </c>
      <c r="P1098" s="40">
        <v>59</v>
      </c>
      <c r="Q1098" s="40">
        <v>3</v>
      </c>
      <c r="R1098" s="40">
        <v>12</v>
      </c>
      <c r="S1098" s="40">
        <v>12</v>
      </c>
    </row>
    <row r="1099" spans="1:19" x14ac:dyDescent="0.35">
      <c r="A1099" s="38">
        <v>1096</v>
      </c>
      <c r="B1099" s="38" t="str">
        <f>_xlfn.XLOOKUP(A1099,'Model Modeshare by TAZ'!A:A,'Model Modeshare by TAZ'!B:B)</f>
        <v>San Jose</v>
      </c>
      <c r="C1099" s="38" t="str">
        <f>_xlfn.XLOOKUP(A1099,'Model Modeshare by TAZ'!A:A,'Model Modeshare by TAZ'!D:D)</f>
        <v>NO</v>
      </c>
      <c r="D1099" s="6">
        <v>3</v>
      </c>
      <c r="E1099" s="6">
        <v>100</v>
      </c>
      <c r="F1099" s="6">
        <v>209</v>
      </c>
      <c r="G1099" s="6">
        <v>209</v>
      </c>
      <c r="H1099" s="6">
        <v>101</v>
      </c>
      <c r="I1099" s="6">
        <v>46</v>
      </c>
      <c r="J1099" s="6">
        <v>54</v>
      </c>
      <c r="K1099" s="40">
        <v>12</v>
      </c>
      <c r="L1099" s="40">
        <v>7</v>
      </c>
      <c r="M1099" s="40">
        <v>0</v>
      </c>
      <c r="N1099" s="40">
        <v>0</v>
      </c>
      <c r="O1099" s="40">
        <v>0</v>
      </c>
      <c r="P1099" s="40">
        <v>0</v>
      </c>
      <c r="Q1099" s="40">
        <v>0</v>
      </c>
      <c r="R1099" s="40">
        <v>0</v>
      </c>
      <c r="S1099" s="40">
        <v>0</v>
      </c>
    </row>
    <row r="1100" spans="1:19" x14ac:dyDescent="0.35">
      <c r="A1100" s="38">
        <v>1097</v>
      </c>
      <c r="B1100" s="38" t="str">
        <f>_xlfn.XLOOKUP(A1100,'Model Modeshare by TAZ'!A:A,'Model Modeshare by TAZ'!B:B)</f>
        <v>San Jose</v>
      </c>
      <c r="C1100" s="38" t="str">
        <f>_xlfn.XLOOKUP(A1100,'Model Modeshare by TAZ'!A:A,'Model Modeshare by TAZ'!D:D)</f>
        <v>NO</v>
      </c>
      <c r="D1100" s="6">
        <v>3</v>
      </c>
      <c r="E1100" s="6">
        <v>0</v>
      </c>
      <c r="F1100" s="6">
        <v>0</v>
      </c>
      <c r="G1100" s="6">
        <v>0</v>
      </c>
      <c r="H1100" s="6">
        <v>0</v>
      </c>
      <c r="I1100" s="6">
        <v>0</v>
      </c>
      <c r="J1100" s="6">
        <v>0</v>
      </c>
      <c r="K1100" s="40">
        <v>0</v>
      </c>
      <c r="L1100" s="40">
        <v>12</v>
      </c>
      <c r="M1100" s="40">
        <v>0</v>
      </c>
      <c r="N1100" s="40">
        <v>0</v>
      </c>
      <c r="O1100" s="40">
        <v>0</v>
      </c>
      <c r="P1100" s="40">
        <v>0</v>
      </c>
      <c r="Q1100" s="40">
        <v>0</v>
      </c>
      <c r="R1100" s="40">
        <v>0</v>
      </c>
      <c r="S1100" s="40">
        <v>0</v>
      </c>
    </row>
    <row r="1101" spans="1:19" x14ac:dyDescent="0.35">
      <c r="A1101" s="38">
        <v>1098</v>
      </c>
      <c r="B1101" s="38" t="str">
        <f>_xlfn.XLOOKUP(A1101,'Model Modeshare by TAZ'!A:A,'Model Modeshare by TAZ'!B:B)</f>
        <v>San Jose</v>
      </c>
      <c r="C1101" s="38" t="str">
        <f>_xlfn.XLOOKUP(A1101,'Model Modeshare by TAZ'!A:A,'Model Modeshare by TAZ'!D:D)</f>
        <v>NO</v>
      </c>
      <c r="D1101" s="6">
        <v>3</v>
      </c>
      <c r="E1101" s="6">
        <v>744</v>
      </c>
      <c r="F1101" s="6">
        <v>1555</v>
      </c>
      <c r="G1101" s="6">
        <v>1555</v>
      </c>
      <c r="H1101" s="6">
        <v>754</v>
      </c>
      <c r="I1101" s="6">
        <v>347</v>
      </c>
      <c r="J1101" s="6">
        <v>397</v>
      </c>
      <c r="K1101" s="40">
        <v>55</v>
      </c>
      <c r="L1101" s="40">
        <v>36</v>
      </c>
      <c r="M1101" s="40">
        <v>1470</v>
      </c>
      <c r="N1101" s="40">
        <v>87</v>
      </c>
      <c r="O1101" s="40">
        <v>1160</v>
      </c>
      <c r="P1101" s="40">
        <v>109</v>
      </c>
      <c r="Q1101" s="40">
        <v>5</v>
      </c>
      <c r="R1101" s="40">
        <v>56</v>
      </c>
      <c r="S1101" s="40">
        <v>53</v>
      </c>
    </row>
    <row r="1102" spans="1:19" x14ac:dyDescent="0.35">
      <c r="A1102" s="38">
        <v>1099</v>
      </c>
      <c r="B1102" s="38" t="str">
        <f>_xlfn.XLOOKUP(A1102,'Model Modeshare by TAZ'!A:A,'Model Modeshare by TAZ'!B:B)</f>
        <v>San Jose</v>
      </c>
      <c r="C1102" s="38" t="str">
        <f>_xlfn.XLOOKUP(A1102,'Model Modeshare by TAZ'!A:A,'Model Modeshare by TAZ'!D:D)</f>
        <v>NO</v>
      </c>
      <c r="D1102" s="6">
        <v>3</v>
      </c>
      <c r="E1102" s="6">
        <v>444</v>
      </c>
      <c r="F1102" s="6">
        <v>930</v>
      </c>
      <c r="G1102" s="6">
        <v>930</v>
      </c>
      <c r="H1102" s="6">
        <v>450</v>
      </c>
      <c r="I1102" s="6">
        <v>207</v>
      </c>
      <c r="J1102" s="6">
        <v>237</v>
      </c>
      <c r="K1102" s="40">
        <v>31</v>
      </c>
      <c r="L1102" s="40">
        <v>12</v>
      </c>
      <c r="M1102" s="40">
        <v>152</v>
      </c>
      <c r="N1102" s="40">
        <v>15</v>
      </c>
      <c r="O1102" s="40">
        <v>116</v>
      </c>
      <c r="P1102" s="40">
        <v>11</v>
      </c>
      <c r="Q1102" s="40">
        <v>0</v>
      </c>
      <c r="R1102" s="40">
        <v>5</v>
      </c>
      <c r="S1102" s="40">
        <v>5</v>
      </c>
    </row>
    <row r="1103" spans="1:19" x14ac:dyDescent="0.35">
      <c r="A1103" s="38">
        <v>1100</v>
      </c>
      <c r="B1103" s="38" t="str">
        <f>_xlfn.XLOOKUP(A1103,'Model Modeshare by TAZ'!A:A,'Model Modeshare by TAZ'!B:B)</f>
        <v>San Jose</v>
      </c>
      <c r="C1103" s="38" t="str">
        <f>_xlfn.XLOOKUP(A1103,'Model Modeshare by TAZ'!A:A,'Model Modeshare by TAZ'!D:D)</f>
        <v>NO</v>
      </c>
      <c r="D1103" s="6">
        <v>3</v>
      </c>
      <c r="E1103" s="6">
        <v>78</v>
      </c>
      <c r="F1103" s="6">
        <v>228</v>
      </c>
      <c r="G1103" s="6">
        <v>228</v>
      </c>
      <c r="H1103" s="6">
        <v>117</v>
      </c>
      <c r="I1103" s="6">
        <v>55</v>
      </c>
      <c r="J1103" s="6">
        <v>23</v>
      </c>
      <c r="K1103" s="40">
        <v>17</v>
      </c>
      <c r="L1103" s="40">
        <v>24</v>
      </c>
      <c r="M1103" s="40">
        <v>430</v>
      </c>
      <c r="N1103" s="40">
        <v>27</v>
      </c>
      <c r="O1103" s="40">
        <v>142</v>
      </c>
      <c r="P1103" s="40">
        <v>124</v>
      </c>
      <c r="Q1103" s="40">
        <v>0</v>
      </c>
      <c r="R1103" s="40">
        <v>88</v>
      </c>
      <c r="S1103" s="40">
        <v>49</v>
      </c>
    </row>
    <row r="1104" spans="1:19" x14ac:dyDescent="0.35">
      <c r="A1104" s="38">
        <v>1101</v>
      </c>
      <c r="B1104" s="38" t="str">
        <f>_xlfn.XLOOKUP(A1104,'Model Modeshare by TAZ'!A:A,'Model Modeshare by TAZ'!B:B)</f>
        <v>San Jose</v>
      </c>
      <c r="C1104" s="38" t="str">
        <f>_xlfn.XLOOKUP(A1104,'Model Modeshare by TAZ'!A:A,'Model Modeshare by TAZ'!D:D)</f>
        <v>NO</v>
      </c>
      <c r="D1104" s="6">
        <v>3</v>
      </c>
      <c r="E1104" s="6">
        <v>187</v>
      </c>
      <c r="F1104" s="6">
        <v>512</v>
      </c>
      <c r="G1104" s="6">
        <v>521</v>
      </c>
      <c r="H1104" s="6">
        <v>255</v>
      </c>
      <c r="I1104" s="6">
        <v>123</v>
      </c>
      <c r="J1104" s="6">
        <v>64</v>
      </c>
      <c r="K1104" s="40">
        <v>6</v>
      </c>
      <c r="L1104" s="40">
        <v>13</v>
      </c>
      <c r="M1104" s="40">
        <v>219</v>
      </c>
      <c r="N1104" s="40">
        <v>22</v>
      </c>
      <c r="O1104" s="40">
        <v>173</v>
      </c>
      <c r="P1104" s="40">
        <v>10</v>
      </c>
      <c r="Q1104" s="40">
        <v>0</v>
      </c>
      <c r="R1104" s="40">
        <v>13</v>
      </c>
      <c r="S1104" s="40">
        <v>1</v>
      </c>
    </row>
    <row r="1105" spans="1:19" x14ac:dyDescent="0.35">
      <c r="A1105" s="38">
        <v>1102</v>
      </c>
      <c r="B1105" s="38" t="str">
        <f>_xlfn.XLOOKUP(A1105,'Model Modeshare by TAZ'!A:A,'Model Modeshare by TAZ'!B:B)</f>
        <v>San Jose</v>
      </c>
      <c r="C1105" s="38" t="str">
        <f>_xlfn.XLOOKUP(A1105,'Model Modeshare by TAZ'!A:A,'Model Modeshare by TAZ'!D:D)</f>
        <v>NO</v>
      </c>
      <c r="D1105" s="6">
        <v>3</v>
      </c>
      <c r="E1105" s="6">
        <v>89</v>
      </c>
      <c r="F1105" s="6">
        <v>244</v>
      </c>
      <c r="G1105" s="6">
        <v>247</v>
      </c>
      <c r="H1105" s="6">
        <v>121</v>
      </c>
      <c r="I1105" s="6">
        <v>58</v>
      </c>
      <c r="J1105" s="6">
        <v>31</v>
      </c>
      <c r="K1105" s="40">
        <v>17</v>
      </c>
      <c r="L1105" s="40">
        <v>3</v>
      </c>
      <c r="M1105" s="40">
        <v>114</v>
      </c>
      <c r="N1105" s="40">
        <v>0</v>
      </c>
      <c r="O1105" s="40">
        <v>57</v>
      </c>
      <c r="P1105" s="40">
        <v>1</v>
      </c>
      <c r="Q1105" s="40">
        <v>0</v>
      </c>
      <c r="R1105" s="40">
        <v>28</v>
      </c>
      <c r="S1105" s="40">
        <v>28</v>
      </c>
    </row>
    <row r="1106" spans="1:19" x14ac:dyDescent="0.35">
      <c r="A1106" s="38">
        <v>1103</v>
      </c>
      <c r="B1106" s="38" t="str">
        <f>_xlfn.XLOOKUP(A1106,'Model Modeshare by TAZ'!A:A,'Model Modeshare by TAZ'!B:B)</f>
        <v>San Jose</v>
      </c>
      <c r="C1106" s="38" t="str">
        <f>_xlfn.XLOOKUP(A1106,'Model Modeshare by TAZ'!A:A,'Model Modeshare by TAZ'!D:D)</f>
        <v>NO</v>
      </c>
      <c r="D1106" s="6">
        <v>3</v>
      </c>
      <c r="E1106" s="6">
        <v>141</v>
      </c>
      <c r="F1106" s="6">
        <v>388</v>
      </c>
      <c r="G1106" s="6">
        <v>392</v>
      </c>
      <c r="H1106" s="6">
        <v>250</v>
      </c>
      <c r="I1106" s="6">
        <v>93</v>
      </c>
      <c r="J1106" s="6">
        <v>48</v>
      </c>
      <c r="K1106" s="40">
        <v>16</v>
      </c>
      <c r="L1106" s="40">
        <v>5</v>
      </c>
      <c r="M1106" s="40">
        <v>64</v>
      </c>
      <c r="N1106" s="40">
        <v>15</v>
      </c>
      <c r="O1106" s="40">
        <v>40</v>
      </c>
      <c r="P1106" s="40">
        <v>3</v>
      </c>
      <c r="Q1106" s="40">
        <v>0</v>
      </c>
      <c r="R1106" s="40">
        <v>6</v>
      </c>
      <c r="S1106" s="40">
        <v>0</v>
      </c>
    </row>
    <row r="1107" spans="1:19" x14ac:dyDescent="0.35">
      <c r="A1107" s="38">
        <v>1104</v>
      </c>
      <c r="B1107" s="38" t="str">
        <f>_xlfn.XLOOKUP(A1107,'Model Modeshare by TAZ'!A:A,'Model Modeshare by TAZ'!B:B)</f>
        <v>San Jose</v>
      </c>
      <c r="C1107" s="38" t="str">
        <f>_xlfn.XLOOKUP(A1107,'Model Modeshare by TAZ'!A:A,'Model Modeshare by TAZ'!D:D)</f>
        <v>NO</v>
      </c>
      <c r="D1107" s="6">
        <v>3</v>
      </c>
      <c r="E1107" s="6">
        <v>200</v>
      </c>
      <c r="F1107" s="6">
        <v>550</v>
      </c>
      <c r="G1107" s="6">
        <v>558</v>
      </c>
      <c r="H1107" s="6">
        <v>355</v>
      </c>
      <c r="I1107" s="6">
        <v>131</v>
      </c>
      <c r="J1107" s="6">
        <v>69</v>
      </c>
      <c r="K1107" s="40">
        <v>22</v>
      </c>
      <c r="L1107" s="40">
        <v>5</v>
      </c>
      <c r="M1107" s="40">
        <v>62</v>
      </c>
      <c r="N1107" s="40">
        <v>6</v>
      </c>
      <c r="O1107" s="40">
        <v>17</v>
      </c>
      <c r="P1107" s="40">
        <v>10</v>
      </c>
      <c r="Q1107" s="40">
        <v>2</v>
      </c>
      <c r="R1107" s="40">
        <v>25</v>
      </c>
      <c r="S1107" s="40">
        <v>2</v>
      </c>
    </row>
    <row r="1108" spans="1:19" x14ac:dyDescent="0.35">
      <c r="A1108" s="38">
        <v>1105</v>
      </c>
      <c r="B1108" s="38" t="str">
        <f>_xlfn.XLOOKUP(A1108,'Model Modeshare by TAZ'!A:A,'Model Modeshare by TAZ'!B:B)</f>
        <v>San Jose</v>
      </c>
      <c r="C1108" s="38" t="str">
        <f>_xlfn.XLOOKUP(A1108,'Model Modeshare by TAZ'!A:A,'Model Modeshare by TAZ'!D:D)</f>
        <v>NO</v>
      </c>
      <c r="D1108" s="6">
        <v>3</v>
      </c>
      <c r="E1108" s="6">
        <v>142</v>
      </c>
      <c r="F1108" s="6">
        <v>388</v>
      </c>
      <c r="G1108" s="6">
        <v>394</v>
      </c>
      <c r="H1108" s="6">
        <v>250</v>
      </c>
      <c r="I1108" s="6">
        <v>94</v>
      </c>
      <c r="J1108" s="6">
        <v>48</v>
      </c>
      <c r="K1108" s="40">
        <v>24</v>
      </c>
      <c r="L1108" s="40">
        <v>1</v>
      </c>
      <c r="M1108" s="40">
        <v>24</v>
      </c>
      <c r="N1108" s="40">
        <v>0</v>
      </c>
      <c r="O1108" s="40">
        <v>0</v>
      </c>
      <c r="P1108" s="40">
        <v>0</v>
      </c>
      <c r="Q1108" s="40">
        <v>0</v>
      </c>
      <c r="R1108" s="40">
        <v>24</v>
      </c>
      <c r="S1108" s="40">
        <v>0</v>
      </c>
    </row>
    <row r="1109" spans="1:19" x14ac:dyDescent="0.35">
      <c r="A1109" s="38">
        <v>1106</v>
      </c>
      <c r="B1109" s="38" t="str">
        <f>_xlfn.XLOOKUP(A1109,'Model Modeshare by TAZ'!A:A,'Model Modeshare by TAZ'!B:B)</f>
        <v>San Jose</v>
      </c>
      <c r="C1109" s="38" t="str">
        <f>_xlfn.XLOOKUP(A1109,'Model Modeshare by TAZ'!A:A,'Model Modeshare by TAZ'!D:D)</f>
        <v>NO</v>
      </c>
      <c r="D1109" s="6">
        <v>3</v>
      </c>
      <c r="E1109" s="6">
        <v>131</v>
      </c>
      <c r="F1109" s="6">
        <v>359</v>
      </c>
      <c r="G1109" s="6">
        <v>364</v>
      </c>
      <c r="H1109" s="6">
        <v>230</v>
      </c>
      <c r="I1109" s="6">
        <v>86</v>
      </c>
      <c r="J1109" s="6">
        <v>45</v>
      </c>
      <c r="K1109" s="40">
        <v>33</v>
      </c>
      <c r="L1109" s="40">
        <v>13</v>
      </c>
      <c r="M1109" s="40">
        <v>63</v>
      </c>
      <c r="N1109" s="40">
        <v>0</v>
      </c>
      <c r="O1109" s="40">
        <v>0</v>
      </c>
      <c r="P1109" s="40">
        <v>59</v>
      </c>
      <c r="Q1109" s="40">
        <v>0</v>
      </c>
      <c r="R1109" s="40">
        <v>4</v>
      </c>
      <c r="S1109" s="40">
        <v>0</v>
      </c>
    </row>
    <row r="1110" spans="1:19" x14ac:dyDescent="0.35">
      <c r="A1110" s="38">
        <v>1107</v>
      </c>
      <c r="B1110" s="38" t="str">
        <f>_xlfn.XLOOKUP(A1110,'Model Modeshare by TAZ'!A:A,'Model Modeshare by TAZ'!B:B)</f>
        <v>San Jose</v>
      </c>
      <c r="C1110" s="38" t="str">
        <f>_xlfn.XLOOKUP(A1110,'Model Modeshare by TAZ'!A:A,'Model Modeshare by TAZ'!D:D)</f>
        <v>NO</v>
      </c>
      <c r="D1110" s="6">
        <v>3</v>
      </c>
      <c r="E1110" s="6">
        <v>159</v>
      </c>
      <c r="F1110" s="6">
        <v>438</v>
      </c>
      <c r="G1110" s="6">
        <v>442</v>
      </c>
      <c r="H1110" s="6">
        <v>217</v>
      </c>
      <c r="I1110" s="6">
        <v>104</v>
      </c>
      <c r="J1110" s="6">
        <v>55</v>
      </c>
      <c r="K1110" s="40">
        <v>10</v>
      </c>
      <c r="L1110" s="40">
        <v>12</v>
      </c>
      <c r="M1110" s="40">
        <v>730</v>
      </c>
      <c r="N1110" s="40">
        <v>46</v>
      </c>
      <c r="O1110" s="40">
        <v>215</v>
      </c>
      <c r="P1110" s="40">
        <v>183</v>
      </c>
      <c r="Q1110" s="40">
        <v>0</v>
      </c>
      <c r="R1110" s="40">
        <v>267</v>
      </c>
      <c r="S1110" s="40">
        <v>19</v>
      </c>
    </row>
    <row r="1111" spans="1:19" x14ac:dyDescent="0.35">
      <c r="A1111" s="38">
        <v>1108</v>
      </c>
      <c r="B1111" s="38" t="str">
        <f>_xlfn.XLOOKUP(A1111,'Model Modeshare by TAZ'!A:A,'Model Modeshare by TAZ'!B:B)</f>
        <v>San Jose</v>
      </c>
      <c r="C1111" s="38" t="str">
        <f>_xlfn.XLOOKUP(A1111,'Model Modeshare by TAZ'!A:A,'Model Modeshare by TAZ'!D:D)</f>
        <v>NO</v>
      </c>
      <c r="D1111" s="6">
        <v>3</v>
      </c>
      <c r="E1111" s="6">
        <v>106</v>
      </c>
      <c r="F1111" s="6">
        <v>292</v>
      </c>
      <c r="G1111" s="6">
        <v>295</v>
      </c>
      <c r="H1111" s="6">
        <v>145</v>
      </c>
      <c r="I1111" s="6">
        <v>70</v>
      </c>
      <c r="J1111" s="6">
        <v>36</v>
      </c>
      <c r="K1111" s="40">
        <v>13</v>
      </c>
      <c r="L1111" s="40">
        <v>2</v>
      </c>
      <c r="M1111" s="40">
        <v>0</v>
      </c>
      <c r="N1111" s="40">
        <v>0</v>
      </c>
      <c r="O1111" s="40">
        <v>0</v>
      </c>
      <c r="P1111" s="40">
        <v>0</v>
      </c>
      <c r="Q1111" s="40">
        <v>0</v>
      </c>
      <c r="R1111" s="40">
        <v>0</v>
      </c>
      <c r="S1111" s="40">
        <v>0</v>
      </c>
    </row>
    <row r="1112" spans="1:19" x14ac:dyDescent="0.35">
      <c r="A1112" s="38">
        <v>1109</v>
      </c>
      <c r="B1112" s="38" t="str">
        <f>_xlfn.XLOOKUP(A1112,'Model Modeshare by TAZ'!A:A,'Model Modeshare by TAZ'!B:B)</f>
        <v>San Jose</v>
      </c>
      <c r="C1112" s="38" t="str">
        <f>_xlfn.XLOOKUP(A1112,'Model Modeshare by TAZ'!A:A,'Model Modeshare by TAZ'!D:D)</f>
        <v>NO</v>
      </c>
      <c r="D1112" s="6">
        <v>3</v>
      </c>
      <c r="E1112" s="6">
        <v>80</v>
      </c>
      <c r="F1112" s="6">
        <v>218</v>
      </c>
      <c r="G1112" s="6">
        <v>220</v>
      </c>
      <c r="H1112" s="6">
        <v>142</v>
      </c>
      <c r="I1112" s="6">
        <v>52</v>
      </c>
      <c r="J1112" s="6">
        <v>28</v>
      </c>
      <c r="K1112" s="40">
        <v>10</v>
      </c>
      <c r="L1112" s="40">
        <v>5</v>
      </c>
      <c r="M1112" s="40">
        <v>38</v>
      </c>
      <c r="N1112" s="40">
        <v>1</v>
      </c>
      <c r="O1112" s="40">
        <v>14</v>
      </c>
      <c r="P1112" s="40">
        <v>14</v>
      </c>
      <c r="Q1112" s="40">
        <v>1</v>
      </c>
      <c r="R1112" s="40">
        <v>7</v>
      </c>
      <c r="S1112" s="40">
        <v>1</v>
      </c>
    </row>
    <row r="1113" spans="1:19" x14ac:dyDescent="0.35">
      <c r="A1113" s="38">
        <v>1110</v>
      </c>
      <c r="B1113" s="38" t="str">
        <f>_xlfn.XLOOKUP(A1113,'Model Modeshare by TAZ'!A:A,'Model Modeshare by TAZ'!B:B)</f>
        <v>San Jose</v>
      </c>
      <c r="C1113" s="38" t="str">
        <f>_xlfn.XLOOKUP(A1113,'Model Modeshare by TAZ'!A:A,'Model Modeshare by TAZ'!D:D)</f>
        <v>NO</v>
      </c>
      <c r="D1113" s="6">
        <v>3</v>
      </c>
      <c r="E1113" s="6">
        <v>90</v>
      </c>
      <c r="F1113" s="6">
        <v>247</v>
      </c>
      <c r="G1113" s="6">
        <v>356</v>
      </c>
      <c r="H1113" s="6">
        <v>159</v>
      </c>
      <c r="I1113" s="6">
        <v>59</v>
      </c>
      <c r="J1113" s="6">
        <v>31</v>
      </c>
      <c r="K1113" s="40">
        <v>12</v>
      </c>
      <c r="L1113" s="40">
        <v>3</v>
      </c>
      <c r="M1113" s="40">
        <v>10</v>
      </c>
      <c r="N1113" s="40">
        <v>3</v>
      </c>
      <c r="O1113" s="40">
        <v>6</v>
      </c>
      <c r="P1113" s="40">
        <v>0</v>
      </c>
      <c r="Q1113" s="40">
        <v>0</v>
      </c>
      <c r="R1113" s="40">
        <v>1</v>
      </c>
      <c r="S1113" s="40">
        <v>0</v>
      </c>
    </row>
    <row r="1114" spans="1:19" x14ac:dyDescent="0.35">
      <c r="A1114" s="38">
        <v>1111</v>
      </c>
      <c r="B1114" s="38" t="str">
        <f>_xlfn.XLOOKUP(A1114,'Model Modeshare by TAZ'!A:A,'Model Modeshare by TAZ'!B:B)</f>
        <v>San Jose</v>
      </c>
      <c r="C1114" s="38" t="str">
        <f>_xlfn.XLOOKUP(A1114,'Model Modeshare by TAZ'!A:A,'Model Modeshare by TAZ'!D:D)</f>
        <v>NO</v>
      </c>
      <c r="D1114" s="6">
        <v>3</v>
      </c>
      <c r="E1114" s="6">
        <v>124</v>
      </c>
      <c r="F1114" s="6">
        <v>339</v>
      </c>
      <c r="G1114" s="6">
        <v>348</v>
      </c>
      <c r="H1114" s="6">
        <v>218</v>
      </c>
      <c r="I1114" s="6">
        <v>81</v>
      </c>
      <c r="J1114" s="6">
        <v>43</v>
      </c>
      <c r="K1114" s="40">
        <v>24</v>
      </c>
      <c r="L1114" s="40">
        <v>1</v>
      </c>
      <c r="M1114" s="40">
        <v>13</v>
      </c>
      <c r="N1114" s="40">
        <v>3</v>
      </c>
      <c r="O1114" s="40">
        <v>6</v>
      </c>
      <c r="P1114" s="40">
        <v>1</v>
      </c>
      <c r="Q1114" s="40">
        <v>0</v>
      </c>
      <c r="R1114" s="40">
        <v>3</v>
      </c>
      <c r="S1114" s="40">
        <v>0</v>
      </c>
    </row>
    <row r="1115" spans="1:19" x14ac:dyDescent="0.35">
      <c r="A1115" s="38">
        <v>1112</v>
      </c>
      <c r="B1115" s="38" t="str">
        <f>_xlfn.XLOOKUP(A1115,'Model Modeshare by TAZ'!A:A,'Model Modeshare by TAZ'!B:B)</f>
        <v>San Jose</v>
      </c>
      <c r="C1115" s="38" t="str">
        <f>_xlfn.XLOOKUP(A1115,'Model Modeshare by TAZ'!A:A,'Model Modeshare by TAZ'!D:D)</f>
        <v>NO</v>
      </c>
      <c r="D1115" s="6">
        <v>3</v>
      </c>
      <c r="E1115" s="6">
        <v>341</v>
      </c>
      <c r="F1115" s="6">
        <v>939</v>
      </c>
      <c r="G1115" s="6">
        <v>1002</v>
      </c>
      <c r="H1115" s="6">
        <v>465</v>
      </c>
      <c r="I1115" s="6">
        <v>224</v>
      </c>
      <c r="J1115" s="6">
        <v>117</v>
      </c>
      <c r="K1115" s="40">
        <v>18</v>
      </c>
      <c r="L1115" s="40">
        <v>9</v>
      </c>
      <c r="M1115" s="40">
        <v>231</v>
      </c>
      <c r="N1115" s="40">
        <v>6</v>
      </c>
      <c r="O1115" s="40">
        <v>103</v>
      </c>
      <c r="P1115" s="40">
        <v>69</v>
      </c>
      <c r="Q1115" s="40">
        <v>0</v>
      </c>
      <c r="R1115" s="40">
        <v>49</v>
      </c>
      <c r="S1115" s="40">
        <v>4</v>
      </c>
    </row>
    <row r="1116" spans="1:19" x14ac:dyDescent="0.35">
      <c r="A1116" s="38">
        <v>1113</v>
      </c>
      <c r="B1116" s="38" t="str">
        <f>_xlfn.XLOOKUP(A1116,'Model Modeshare by TAZ'!A:A,'Model Modeshare by TAZ'!B:B)</f>
        <v>San Jose</v>
      </c>
      <c r="C1116" s="38" t="str">
        <f>_xlfn.XLOOKUP(A1116,'Model Modeshare by TAZ'!A:A,'Model Modeshare by TAZ'!D:D)</f>
        <v>NO</v>
      </c>
      <c r="D1116" s="6">
        <v>3</v>
      </c>
      <c r="E1116" s="6">
        <v>180</v>
      </c>
      <c r="F1116" s="6">
        <v>493</v>
      </c>
      <c r="G1116" s="6">
        <v>501</v>
      </c>
      <c r="H1116" s="6">
        <v>245</v>
      </c>
      <c r="I1116" s="6">
        <v>118</v>
      </c>
      <c r="J1116" s="6">
        <v>62</v>
      </c>
      <c r="K1116" s="40">
        <v>18</v>
      </c>
      <c r="L1116" s="40">
        <v>4</v>
      </c>
      <c r="M1116" s="40">
        <v>106</v>
      </c>
      <c r="N1116" s="40">
        <v>6</v>
      </c>
      <c r="O1116" s="40">
        <v>94</v>
      </c>
      <c r="P1116" s="40">
        <v>0</v>
      </c>
      <c r="Q1116" s="40">
        <v>0</v>
      </c>
      <c r="R1116" s="40">
        <v>6</v>
      </c>
      <c r="S1116" s="40">
        <v>0</v>
      </c>
    </row>
    <row r="1117" spans="1:19" x14ac:dyDescent="0.35">
      <c r="A1117" s="38">
        <v>1114</v>
      </c>
      <c r="B1117" s="38" t="str">
        <f>_xlfn.XLOOKUP(A1117,'Model Modeshare by TAZ'!A:A,'Model Modeshare by TAZ'!B:B)</f>
        <v>San Jose</v>
      </c>
      <c r="C1117" s="38" t="str">
        <f>_xlfn.XLOOKUP(A1117,'Model Modeshare by TAZ'!A:A,'Model Modeshare by TAZ'!D:D)</f>
        <v>NO</v>
      </c>
      <c r="D1117" s="6">
        <v>3</v>
      </c>
      <c r="E1117" s="6">
        <v>164</v>
      </c>
      <c r="F1117" s="6">
        <v>451</v>
      </c>
      <c r="G1117" s="6">
        <v>459</v>
      </c>
      <c r="H1117" s="6">
        <v>223</v>
      </c>
      <c r="I1117" s="6">
        <v>108</v>
      </c>
      <c r="J1117" s="6">
        <v>56</v>
      </c>
      <c r="K1117" s="40">
        <v>20</v>
      </c>
      <c r="L1117" s="40">
        <v>1</v>
      </c>
      <c r="M1117" s="40">
        <v>43</v>
      </c>
      <c r="N1117" s="40">
        <v>0</v>
      </c>
      <c r="O1117" s="40">
        <v>0</v>
      </c>
      <c r="P1117" s="40">
        <v>0</v>
      </c>
      <c r="Q1117" s="40">
        <v>0</v>
      </c>
      <c r="R1117" s="40">
        <v>43</v>
      </c>
      <c r="S1117" s="40">
        <v>0</v>
      </c>
    </row>
    <row r="1118" spans="1:19" x14ac:dyDescent="0.35">
      <c r="A1118" s="38">
        <v>1115</v>
      </c>
      <c r="B1118" s="38" t="str">
        <f>_xlfn.XLOOKUP(A1118,'Model Modeshare by TAZ'!A:A,'Model Modeshare by TAZ'!B:B)</f>
        <v>San Jose</v>
      </c>
      <c r="C1118" s="38" t="str">
        <f>_xlfn.XLOOKUP(A1118,'Model Modeshare by TAZ'!A:A,'Model Modeshare by TAZ'!D:D)</f>
        <v>NO</v>
      </c>
      <c r="D1118" s="6">
        <v>3</v>
      </c>
      <c r="E1118" s="6">
        <v>137</v>
      </c>
      <c r="F1118" s="6">
        <v>377</v>
      </c>
      <c r="G1118" s="6">
        <v>380</v>
      </c>
      <c r="H1118" s="6">
        <v>243</v>
      </c>
      <c r="I1118" s="6">
        <v>90</v>
      </c>
      <c r="J1118" s="6">
        <v>47</v>
      </c>
      <c r="K1118" s="40">
        <v>17</v>
      </c>
      <c r="L1118" s="40">
        <v>3</v>
      </c>
      <c r="M1118" s="40">
        <v>111</v>
      </c>
      <c r="N1118" s="40">
        <v>4</v>
      </c>
      <c r="O1118" s="40">
        <v>11</v>
      </c>
      <c r="P1118" s="40">
        <v>94</v>
      </c>
      <c r="Q1118" s="40">
        <v>0</v>
      </c>
      <c r="R1118" s="40">
        <v>2</v>
      </c>
      <c r="S1118" s="40">
        <v>0</v>
      </c>
    </row>
    <row r="1119" spans="1:19" x14ac:dyDescent="0.35">
      <c r="A1119" s="38">
        <v>1116</v>
      </c>
      <c r="B1119" s="38" t="str">
        <f>_xlfn.XLOOKUP(A1119,'Model Modeshare by TAZ'!A:A,'Model Modeshare by TAZ'!B:B)</f>
        <v>San Jose</v>
      </c>
      <c r="C1119" s="38" t="str">
        <f>_xlfn.XLOOKUP(A1119,'Model Modeshare by TAZ'!A:A,'Model Modeshare by TAZ'!D:D)</f>
        <v>NO</v>
      </c>
      <c r="D1119" s="6">
        <v>3</v>
      </c>
      <c r="E1119" s="6">
        <v>168</v>
      </c>
      <c r="F1119" s="6">
        <v>462</v>
      </c>
      <c r="G1119" s="6">
        <v>468</v>
      </c>
      <c r="H1119" s="6">
        <v>297</v>
      </c>
      <c r="I1119" s="6">
        <v>110</v>
      </c>
      <c r="J1119" s="6">
        <v>58</v>
      </c>
      <c r="K1119" s="40">
        <v>23</v>
      </c>
      <c r="L1119" s="40">
        <v>2</v>
      </c>
      <c r="M1119" s="40">
        <v>22</v>
      </c>
      <c r="N1119" s="40">
        <v>6</v>
      </c>
      <c r="O1119" s="40">
        <v>14</v>
      </c>
      <c r="P1119" s="40">
        <v>0</v>
      </c>
      <c r="Q1119" s="40">
        <v>0</v>
      </c>
      <c r="R1119" s="40">
        <v>2</v>
      </c>
      <c r="S1119" s="40">
        <v>0</v>
      </c>
    </row>
    <row r="1120" spans="1:19" x14ac:dyDescent="0.35">
      <c r="A1120" s="38">
        <v>1117</v>
      </c>
      <c r="B1120" s="38" t="str">
        <f>_xlfn.XLOOKUP(A1120,'Model Modeshare by TAZ'!A:A,'Model Modeshare by TAZ'!B:B)</f>
        <v>San Jose</v>
      </c>
      <c r="C1120" s="38" t="str">
        <f>_xlfn.XLOOKUP(A1120,'Model Modeshare by TAZ'!A:A,'Model Modeshare by TAZ'!D:D)</f>
        <v>NO</v>
      </c>
      <c r="D1120" s="6">
        <v>3</v>
      </c>
      <c r="E1120" s="6">
        <v>154</v>
      </c>
      <c r="F1120" s="6">
        <v>423</v>
      </c>
      <c r="G1120" s="6">
        <v>427</v>
      </c>
      <c r="H1120" s="6">
        <v>272</v>
      </c>
      <c r="I1120" s="6">
        <v>100</v>
      </c>
      <c r="J1120" s="6">
        <v>54</v>
      </c>
      <c r="K1120" s="40">
        <v>24</v>
      </c>
      <c r="L1120" s="40">
        <v>1</v>
      </c>
      <c r="M1120" s="40">
        <v>12</v>
      </c>
      <c r="N1120" s="40">
        <v>0</v>
      </c>
      <c r="O1120" s="40">
        <v>0</v>
      </c>
      <c r="P1120" s="40">
        <v>0</v>
      </c>
      <c r="Q1120" s="40">
        <v>0</v>
      </c>
      <c r="R1120" s="40">
        <v>12</v>
      </c>
      <c r="S1120" s="40">
        <v>0</v>
      </c>
    </row>
    <row r="1121" spans="1:19" x14ac:dyDescent="0.35">
      <c r="A1121" s="38">
        <v>1118</v>
      </c>
      <c r="B1121" s="38" t="str">
        <f>_xlfn.XLOOKUP(A1121,'Model Modeshare by TAZ'!A:A,'Model Modeshare by TAZ'!B:B)</f>
        <v>San Jose</v>
      </c>
      <c r="C1121" s="38" t="str">
        <f>_xlfn.XLOOKUP(A1121,'Model Modeshare by TAZ'!A:A,'Model Modeshare by TAZ'!D:D)</f>
        <v>NO</v>
      </c>
      <c r="D1121" s="6">
        <v>3</v>
      </c>
      <c r="E1121" s="6">
        <v>157</v>
      </c>
      <c r="F1121" s="6">
        <v>476</v>
      </c>
      <c r="G1121" s="6">
        <v>481</v>
      </c>
      <c r="H1121" s="6">
        <v>264</v>
      </c>
      <c r="I1121" s="6">
        <v>105</v>
      </c>
      <c r="J1121" s="6">
        <v>52</v>
      </c>
      <c r="K1121" s="40">
        <v>21</v>
      </c>
      <c r="L1121" s="40">
        <v>1</v>
      </c>
      <c r="M1121" s="40">
        <v>22</v>
      </c>
      <c r="N1121" s="40">
        <v>6</v>
      </c>
      <c r="O1121" s="40">
        <v>16</v>
      </c>
      <c r="P1121" s="40">
        <v>0</v>
      </c>
      <c r="Q1121" s="40">
        <v>0</v>
      </c>
      <c r="R1121" s="40">
        <v>0</v>
      </c>
      <c r="S1121" s="40">
        <v>0</v>
      </c>
    </row>
    <row r="1122" spans="1:19" x14ac:dyDescent="0.35">
      <c r="A1122" s="38">
        <v>1119</v>
      </c>
      <c r="B1122" s="38" t="str">
        <f>_xlfn.XLOOKUP(A1122,'Model Modeshare by TAZ'!A:A,'Model Modeshare by TAZ'!B:B)</f>
        <v>San Jose</v>
      </c>
      <c r="C1122" s="38" t="str">
        <f>_xlfn.XLOOKUP(A1122,'Model Modeshare by TAZ'!A:A,'Model Modeshare by TAZ'!D:D)</f>
        <v>NO</v>
      </c>
      <c r="D1122" s="6">
        <v>3</v>
      </c>
      <c r="E1122" s="6">
        <v>179</v>
      </c>
      <c r="F1122" s="6">
        <v>543</v>
      </c>
      <c r="G1122" s="6">
        <v>550</v>
      </c>
      <c r="H1122" s="6">
        <v>303</v>
      </c>
      <c r="I1122" s="6">
        <v>120</v>
      </c>
      <c r="J1122" s="6">
        <v>59</v>
      </c>
      <c r="K1122" s="40">
        <v>25</v>
      </c>
      <c r="L1122" s="40">
        <v>1</v>
      </c>
      <c r="M1122" s="40">
        <v>37</v>
      </c>
      <c r="N1122" s="40">
        <v>1</v>
      </c>
      <c r="O1122" s="40">
        <v>36</v>
      </c>
      <c r="P1122" s="40">
        <v>0</v>
      </c>
      <c r="Q1122" s="40">
        <v>0</v>
      </c>
      <c r="R1122" s="40">
        <v>0</v>
      </c>
      <c r="S1122" s="40">
        <v>0</v>
      </c>
    </row>
    <row r="1123" spans="1:19" x14ac:dyDescent="0.35">
      <c r="A1123" s="38">
        <v>1120</v>
      </c>
      <c r="B1123" s="38" t="str">
        <f>_xlfn.XLOOKUP(A1123,'Model Modeshare by TAZ'!A:A,'Model Modeshare by TAZ'!B:B)</f>
        <v>San Jose</v>
      </c>
      <c r="C1123" s="38" t="str">
        <f>_xlfn.XLOOKUP(A1123,'Model Modeshare by TAZ'!A:A,'Model Modeshare by TAZ'!D:D)</f>
        <v>NO</v>
      </c>
      <c r="D1123" s="6">
        <v>3</v>
      </c>
      <c r="E1123" s="6">
        <v>208</v>
      </c>
      <c r="F1123" s="6">
        <v>632</v>
      </c>
      <c r="G1123" s="6">
        <v>641</v>
      </c>
      <c r="H1123" s="6">
        <v>352</v>
      </c>
      <c r="I1123" s="6">
        <v>139</v>
      </c>
      <c r="J1123" s="6">
        <v>69</v>
      </c>
      <c r="K1123" s="40">
        <v>31</v>
      </c>
      <c r="L1123" s="40">
        <v>1</v>
      </c>
      <c r="M1123" s="40">
        <v>6</v>
      </c>
      <c r="N1123" s="40">
        <v>0</v>
      </c>
      <c r="O1123" s="40">
        <v>6</v>
      </c>
      <c r="P1123" s="40">
        <v>0</v>
      </c>
      <c r="Q1123" s="40">
        <v>0</v>
      </c>
      <c r="R1123" s="40">
        <v>0</v>
      </c>
      <c r="S1123" s="40">
        <v>0</v>
      </c>
    </row>
    <row r="1124" spans="1:19" x14ac:dyDescent="0.35">
      <c r="A1124" s="38">
        <v>1121</v>
      </c>
      <c r="B1124" s="38" t="str">
        <f>_xlfn.XLOOKUP(A1124,'Model Modeshare by TAZ'!A:A,'Model Modeshare by TAZ'!B:B)</f>
        <v>San Jose</v>
      </c>
      <c r="C1124" s="38" t="str">
        <f>_xlfn.XLOOKUP(A1124,'Model Modeshare by TAZ'!A:A,'Model Modeshare by TAZ'!D:D)</f>
        <v>NO</v>
      </c>
      <c r="D1124" s="6">
        <v>3</v>
      </c>
      <c r="E1124" s="6">
        <v>114</v>
      </c>
      <c r="F1124" s="6">
        <v>348</v>
      </c>
      <c r="G1124" s="6">
        <v>352</v>
      </c>
      <c r="H1124" s="6">
        <v>193</v>
      </c>
      <c r="I1124" s="6">
        <v>76</v>
      </c>
      <c r="J1124" s="6">
        <v>38</v>
      </c>
      <c r="K1124" s="40">
        <v>12</v>
      </c>
      <c r="L1124" s="40">
        <v>1</v>
      </c>
      <c r="M1124" s="40">
        <v>10</v>
      </c>
      <c r="N1124" s="40">
        <v>0</v>
      </c>
      <c r="O1124" s="40">
        <v>10</v>
      </c>
      <c r="P1124" s="40">
        <v>0</v>
      </c>
      <c r="Q1124" s="40">
        <v>0</v>
      </c>
      <c r="R1124" s="40">
        <v>0</v>
      </c>
      <c r="S1124" s="40">
        <v>0</v>
      </c>
    </row>
    <row r="1125" spans="1:19" x14ac:dyDescent="0.35">
      <c r="A1125" s="38">
        <v>1122</v>
      </c>
      <c r="B1125" s="38" t="str">
        <f>_xlfn.XLOOKUP(A1125,'Model Modeshare by TAZ'!A:A,'Model Modeshare by TAZ'!B:B)</f>
        <v>San Jose</v>
      </c>
      <c r="C1125" s="38" t="str">
        <f>_xlfn.XLOOKUP(A1125,'Model Modeshare by TAZ'!A:A,'Model Modeshare by TAZ'!D:D)</f>
        <v>NO</v>
      </c>
      <c r="D1125" s="6">
        <v>3</v>
      </c>
      <c r="E1125" s="6">
        <v>141</v>
      </c>
      <c r="F1125" s="6">
        <v>430</v>
      </c>
      <c r="G1125" s="6">
        <v>436</v>
      </c>
      <c r="H1125" s="6">
        <v>239</v>
      </c>
      <c r="I1125" s="6">
        <v>95</v>
      </c>
      <c r="J1125" s="6">
        <v>46</v>
      </c>
      <c r="K1125" s="40">
        <v>16</v>
      </c>
      <c r="L1125" s="40">
        <v>1</v>
      </c>
      <c r="M1125" s="40">
        <v>37</v>
      </c>
      <c r="N1125" s="40">
        <v>5</v>
      </c>
      <c r="O1125" s="40">
        <v>30</v>
      </c>
      <c r="P1125" s="40">
        <v>2</v>
      </c>
      <c r="Q1125" s="40">
        <v>0</v>
      </c>
      <c r="R1125" s="40">
        <v>0</v>
      </c>
      <c r="S1125" s="40">
        <v>0</v>
      </c>
    </row>
    <row r="1126" spans="1:19" x14ac:dyDescent="0.35">
      <c r="A1126" s="38">
        <v>1123</v>
      </c>
      <c r="B1126" s="38" t="str">
        <f>_xlfn.XLOOKUP(A1126,'Model Modeshare by TAZ'!A:A,'Model Modeshare by TAZ'!B:B)</f>
        <v>San Jose</v>
      </c>
      <c r="C1126" s="38" t="str">
        <f>_xlfn.XLOOKUP(A1126,'Model Modeshare by TAZ'!A:A,'Model Modeshare by TAZ'!D:D)</f>
        <v>NO</v>
      </c>
      <c r="D1126" s="6">
        <v>3</v>
      </c>
      <c r="E1126" s="6">
        <v>117</v>
      </c>
      <c r="F1126" s="6">
        <v>359</v>
      </c>
      <c r="G1126" s="6">
        <v>375</v>
      </c>
      <c r="H1126" s="6">
        <v>198</v>
      </c>
      <c r="I1126" s="6">
        <v>78</v>
      </c>
      <c r="J1126" s="6">
        <v>39</v>
      </c>
      <c r="K1126" s="40">
        <v>16</v>
      </c>
      <c r="L1126" s="40">
        <v>1</v>
      </c>
      <c r="M1126" s="40">
        <v>4</v>
      </c>
      <c r="N1126" s="40">
        <v>0</v>
      </c>
      <c r="O1126" s="40">
        <v>4</v>
      </c>
      <c r="P1126" s="40">
        <v>0</v>
      </c>
      <c r="Q1126" s="40">
        <v>0</v>
      </c>
      <c r="R1126" s="40">
        <v>0</v>
      </c>
      <c r="S1126" s="40">
        <v>0</v>
      </c>
    </row>
    <row r="1127" spans="1:19" x14ac:dyDescent="0.35">
      <c r="A1127" s="38">
        <v>1124</v>
      </c>
      <c r="B1127" s="38" t="str">
        <f>_xlfn.XLOOKUP(A1127,'Model Modeshare by TAZ'!A:A,'Model Modeshare by TAZ'!B:B)</f>
        <v>San Jose</v>
      </c>
      <c r="C1127" s="38" t="str">
        <f>_xlfn.XLOOKUP(A1127,'Model Modeshare by TAZ'!A:A,'Model Modeshare by TAZ'!D:D)</f>
        <v>NO</v>
      </c>
      <c r="D1127" s="6">
        <v>3</v>
      </c>
      <c r="E1127" s="6">
        <v>86</v>
      </c>
      <c r="F1127" s="6">
        <v>264</v>
      </c>
      <c r="G1127" s="6">
        <v>267</v>
      </c>
      <c r="H1127" s="6">
        <v>146</v>
      </c>
      <c r="I1127" s="6">
        <v>58</v>
      </c>
      <c r="J1127" s="6">
        <v>28</v>
      </c>
      <c r="K1127" s="40">
        <v>12</v>
      </c>
      <c r="L1127" s="40">
        <v>0</v>
      </c>
      <c r="M1127" s="40">
        <v>0</v>
      </c>
      <c r="N1127" s="40">
        <v>0</v>
      </c>
      <c r="O1127" s="40">
        <v>0</v>
      </c>
      <c r="P1127" s="40">
        <v>0</v>
      </c>
      <c r="Q1127" s="40">
        <v>0</v>
      </c>
      <c r="R1127" s="40">
        <v>0</v>
      </c>
      <c r="S1127" s="40">
        <v>0</v>
      </c>
    </row>
    <row r="1128" spans="1:19" x14ac:dyDescent="0.35">
      <c r="A1128" s="38">
        <v>1125</v>
      </c>
      <c r="B1128" s="38" t="str">
        <f>_xlfn.XLOOKUP(A1128,'Model Modeshare by TAZ'!A:A,'Model Modeshare by TAZ'!B:B)</f>
        <v>San Jose</v>
      </c>
      <c r="C1128" s="38" t="str">
        <f>_xlfn.XLOOKUP(A1128,'Model Modeshare by TAZ'!A:A,'Model Modeshare by TAZ'!D:D)</f>
        <v>NO</v>
      </c>
      <c r="D1128" s="6">
        <v>3</v>
      </c>
      <c r="E1128" s="6">
        <v>241</v>
      </c>
      <c r="F1128" s="6">
        <v>735</v>
      </c>
      <c r="G1128" s="6">
        <v>750</v>
      </c>
      <c r="H1128" s="6">
        <v>407</v>
      </c>
      <c r="I1128" s="6">
        <v>161</v>
      </c>
      <c r="J1128" s="6">
        <v>80</v>
      </c>
      <c r="K1128" s="40">
        <v>23</v>
      </c>
      <c r="L1128" s="40">
        <v>5</v>
      </c>
      <c r="M1128" s="40">
        <v>493</v>
      </c>
      <c r="N1128" s="40">
        <v>29</v>
      </c>
      <c r="O1128" s="40">
        <v>458</v>
      </c>
      <c r="P1128" s="40">
        <v>6</v>
      </c>
      <c r="Q1128" s="40">
        <v>0</v>
      </c>
      <c r="R1128" s="40">
        <v>0</v>
      </c>
      <c r="S1128" s="40">
        <v>0</v>
      </c>
    </row>
    <row r="1129" spans="1:19" x14ac:dyDescent="0.35">
      <c r="A1129" s="38">
        <v>1126</v>
      </c>
      <c r="B1129" s="38" t="str">
        <f>_xlfn.XLOOKUP(A1129,'Model Modeshare by TAZ'!A:A,'Model Modeshare by TAZ'!B:B)</f>
        <v>San Jose</v>
      </c>
      <c r="C1129" s="38" t="str">
        <f>_xlfn.XLOOKUP(A1129,'Model Modeshare by TAZ'!A:A,'Model Modeshare by TAZ'!D:D)</f>
        <v>NO</v>
      </c>
      <c r="D1129" s="6">
        <v>3</v>
      </c>
      <c r="E1129" s="6">
        <v>160</v>
      </c>
      <c r="F1129" s="6">
        <v>486</v>
      </c>
      <c r="G1129" s="6">
        <v>494</v>
      </c>
      <c r="H1129" s="6">
        <v>271</v>
      </c>
      <c r="I1129" s="6">
        <v>107</v>
      </c>
      <c r="J1129" s="6">
        <v>53</v>
      </c>
      <c r="K1129" s="40">
        <v>24</v>
      </c>
      <c r="L1129" s="40">
        <v>13</v>
      </c>
      <c r="M1129" s="40">
        <v>219</v>
      </c>
      <c r="N1129" s="40">
        <v>7</v>
      </c>
      <c r="O1129" s="40">
        <v>206</v>
      </c>
      <c r="P1129" s="40">
        <v>5</v>
      </c>
      <c r="Q1129" s="40">
        <v>0</v>
      </c>
      <c r="R1129" s="40">
        <v>1</v>
      </c>
      <c r="S1129" s="40">
        <v>0</v>
      </c>
    </row>
    <row r="1130" spans="1:19" x14ac:dyDescent="0.35">
      <c r="A1130" s="38">
        <v>1127</v>
      </c>
      <c r="B1130" s="38" t="str">
        <f>_xlfn.XLOOKUP(A1130,'Model Modeshare by TAZ'!A:A,'Model Modeshare by TAZ'!B:B)</f>
        <v>San Jose</v>
      </c>
      <c r="C1130" s="38" t="str">
        <f>_xlfn.XLOOKUP(A1130,'Model Modeshare by TAZ'!A:A,'Model Modeshare by TAZ'!D:D)</f>
        <v>NO</v>
      </c>
      <c r="D1130" s="6">
        <v>3</v>
      </c>
      <c r="E1130" s="6">
        <v>211</v>
      </c>
      <c r="F1130" s="6">
        <v>495</v>
      </c>
      <c r="G1130" s="6">
        <v>495</v>
      </c>
      <c r="H1130" s="6">
        <v>262</v>
      </c>
      <c r="I1130" s="6">
        <v>42</v>
      </c>
      <c r="J1130" s="6">
        <v>169</v>
      </c>
      <c r="K1130" s="40">
        <v>17</v>
      </c>
      <c r="L1130" s="40">
        <v>2</v>
      </c>
      <c r="M1130" s="40">
        <v>31</v>
      </c>
      <c r="N1130" s="40">
        <v>11</v>
      </c>
      <c r="O1130" s="40">
        <v>9</v>
      </c>
      <c r="P1130" s="40">
        <v>2</v>
      </c>
      <c r="Q1130" s="40">
        <v>0</v>
      </c>
      <c r="R1130" s="40">
        <v>8</v>
      </c>
      <c r="S1130" s="40">
        <v>1</v>
      </c>
    </row>
    <row r="1131" spans="1:19" x14ac:dyDescent="0.35">
      <c r="A1131" s="38">
        <v>1128</v>
      </c>
      <c r="B1131" s="38" t="str">
        <f>_xlfn.XLOOKUP(A1131,'Model Modeshare by TAZ'!A:A,'Model Modeshare by TAZ'!B:B)</f>
        <v>San Jose</v>
      </c>
      <c r="C1131" s="38" t="str">
        <f>_xlfn.XLOOKUP(A1131,'Model Modeshare by TAZ'!A:A,'Model Modeshare by TAZ'!D:D)</f>
        <v>NO</v>
      </c>
      <c r="D1131" s="6">
        <v>3</v>
      </c>
      <c r="E1131" s="6">
        <v>188</v>
      </c>
      <c r="F1131" s="6">
        <v>436</v>
      </c>
      <c r="G1131" s="6">
        <v>436</v>
      </c>
      <c r="H1131" s="6">
        <v>233</v>
      </c>
      <c r="I1131" s="6">
        <v>37</v>
      </c>
      <c r="J1131" s="6">
        <v>151</v>
      </c>
      <c r="K1131" s="40">
        <v>12</v>
      </c>
      <c r="L1131" s="40">
        <v>2</v>
      </c>
      <c r="M1131" s="40">
        <v>4</v>
      </c>
      <c r="N1131" s="40">
        <v>2</v>
      </c>
      <c r="O1131" s="40">
        <v>1</v>
      </c>
      <c r="P1131" s="40">
        <v>0</v>
      </c>
      <c r="Q1131" s="40">
        <v>0</v>
      </c>
      <c r="R1131" s="40">
        <v>1</v>
      </c>
      <c r="S1131" s="40">
        <v>0</v>
      </c>
    </row>
    <row r="1132" spans="1:19" x14ac:dyDescent="0.35">
      <c r="A1132" s="38">
        <v>1129</v>
      </c>
      <c r="B1132" s="38" t="str">
        <f>_xlfn.XLOOKUP(A1132,'Model Modeshare by TAZ'!A:A,'Model Modeshare by TAZ'!B:B)</f>
        <v>San Jose</v>
      </c>
      <c r="C1132" s="38" t="str">
        <f>_xlfn.XLOOKUP(A1132,'Model Modeshare by TAZ'!A:A,'Model Modeshare by TAZ'!D:D)</f>
        <v>NO</v>
      </c>
      <c r="D1132" s="6">
        <v>3</v>
      </c>
      <c r="E1132" s="6">
        <v>294</v>
      </c>
      <c r="F1132" s="6">
        <v>685</v>
      </c>
      <c r="G1132" s="6">
        <v>685</v>
      </c>
      <c r="H1132" s="6">
        <v>367</v>
      </c>
      <c r="I1132" s="6">
        <v>58</v>
      </c>
      <c r="J1132" s="6">
        <v>236</v>
      </c>
      <c r="K1132" s="40">
        <v>18</v>
      </c>
      <c r="L1132" s="40">
        <v>13</v>
      </c>
      <c r="M1132" s="40">
        <v>250</v>
      </c>
      <c r="N1132" s="40">
        <v>116</v>
      </c>
      <c r="O1132" s="40">
        <v>25</v>
      </c>
      <c r="P1132" s="40">
        <v>79</v>
      </c>
      <c r="Q1132" s="40">
        <v>0</v>
      </c>
      <c r="R1132" s="40">
        <v>26</v>
      </c>
      <c r="S1132" s="40">
        <v>4</v>
      </c>
    </row>
    <row r="1133" spans="1:19" x14ac:dyDescent="0.35">
      <c r="A1133" s="38">
        <v>1130</v>
      </c>
      <c r="B1133" s="38" t="str">
        <f>_xlfn.XLOOKUP(A1133,'Model Modeshare by TAZ'!A:A,'Model Modeshare by TAZ'!B:B)</f>
        <v>San Jose</v>
      </c>
      <c r="C1133" s="38" t="str">
        <f>_xlfn.XLOOKUP(A1133,'Model Modeshare by TAZ'!A:A,'Model Modeshare by TAZ'!D:D)</f>
        <v>NO</v>
      </c>
      <c r="D1133" s="6">
        <v>3</v>
      </c>
      <c r="E1133" s="6">
        <v>341</v>
      </c>
      <c r="F1133" s="6">
        <v>806</v>
      </c>
      <c r="G1133" s="6">
        <v>806</v>
      </c>
      <c r="H1133" s="6">
        <v>425</v>
      </c>
      <c r="I1133" s="6">
        <v>67</v>
      </c>
      <c r="J1133" s="6">
        <v>274</v>
      </c>
      <c r="K1133" s="40">
        <v>17</v>
      </c>
      <c r="L1133" s="40">
        <v>3</v>
      </c>
      <c r="M1133" s="40">
        <v>72</v>
      </c>
      <c r="N1133" s="40">
        <v>63</v>
      </c>
      <c r="O1133" s="40">
        <v>6</v>
      </c>
      <c r="P1133" s="40">
        <v>1</v>
      </c>
      <c r="Q1133" s="40">
        <v>0</v>
      </c>
      <c r="R1133" s="40">
        <v>2</v>
      </c>
      <c r="S1133" s="40">
        <v>0</v>
      </c>
    </row>
    <row r="1134" spans="1:19" x14ac:dyDescent="0.35">
      <c r="A1134" s="38">
        <v>1131</v>
      </c>
      <c r="B1134" s="38" t="str">
        <f>_xlfn.XLOOKUP(A1134,'Model Modeshare by TAZ'!A:A,'Model Modeshare by TAZ'!B:B)</f>
        <v>San Jose</v>
      </c>
      <c r="C1134" s="38" t="str">
        <f>_xlfn.XLOOKUP(A1134,'Model Modeshare by TAZ'!A:A,'Model Modeshare by TAZ'!D:D)</f>
        <v>NO</v>
      </c>
      <c r="D1134" s="6">
        <v>3</v>
      </c>
      <c r="E1134" s="6">
        <v>149</v>
      </c>
      <c r="F1134" s="6">
        <v>342</v>
      </c>
      <c r="G1134" s="6">
        <v>342</v>
      </c>
      <c r="H1134" s="6">
        <v>183</v>
      </c>
      <c r="I1134" s="6">
        <v>29</v>
      </c>
      <c r="J1134" s="6">
        <v>120</v>
      </c>
      <c r="K1134" s="40">
        <v>11</v>
      </c>
      <c r="L1134" s="40">
        <v>4</v>
      </c>
      <c r="M1134" s="40">
        <v>163</v>
      </c>
      <c r="N1134" s="40">
        <v>52</v>
      </c>
      <c r="O1134" s="40">
        <v>30</v>
      </c>
      <c r="P1134" s="40">
        <v>12</v>
      </c>
      <c r="Q1134" s="40">
        <v>23</v>
      </c>
      <c r="R1134" s="40">
        <v>39</v>
      </c>
      <c r="S1134" s="40">
        <v>7</v>
      </c>
    </row>
    <row r="1135" spans="1:19" x14ac:dyDescent="0.35">
      <c r="A1135" s="38">
        <v>1132</v>
      </c>
      <c r="B1135" s="38" t="str">
        <f>_xlfn.XLOOKUP(A1135,'Model Modeshare by TAZ'!A:A,'Model Modeshare by TAZ'!B:B)</f>
        <v>San Jose</v>
      </c>
      <c r="C1135" s="38" t="str">
        <f>_xlfn.XLOOKUP(A1135,'Model Modeshare by TAZ'!A:A,'Model Modeshare by TAZ'!D:D)</f>
        <v>NO</v>
      </c>
      <c r="D1135" s="6">
        <v>3</v>
      </c>
      <c r="E1135" s="6">
        <v>455</v>
      </c>
      <c r="F1135" s="6">
        <v>1063</v>
      </c>
      <c r="G1135" s="6">
        <v>1063</v>
      </c>
      <c r="H1135" s="6">
        <v>567</v>
      </c>
      <c r="I1135" s="6">
        <v>89</v>
      </c>
      <c r="J1135" s="6">
        <v>366</v>
      </c>
      <c r="K1135" s="40">
        <v>12</v>
      </c>
      <c r="L1135" s="40">
        <v>17</v>
      </c>
      <c r="M1135" s="40">
        <v>353</v>
      </c>
      <c r="N1135" s="40">
        <v>142</v>
      </c>
      <c r="O1135" s="40">
        <v>57</v>
      </c>
      <c r="P1135" s="40">
        <v>67</v>
      </c>
      <c r="Q1135" s="40">
        <v>0</v>
      </c>
      <c r="R1135" s="40">
        <v>73</v>
      </c>
      <c r="S1135" s="40">
        <v>14</v>
      </c>
    </row>
    <row r="1136" spans="1:19" x14ac:dyDescent="0.35">
      <c r="A1136" s="38">
        <v>1133</v>
      </c>
      <c r="B1136" s="38" t="str">
        <f>_xlfn.XLOOKUP(A1136,'Model Modeshare by TAZ'!A:A,'Model Modeshare by TAZ'!B:B)</f>
        <v>San Jose</v>
      </c>
      <c r="C1136" s="38" t="str">
        <f>_xlfn.XLOOKUP(A1136,'Model Modeshare by TAZ'!A:A,'Model Modeshare by TAZ'!D:D)</f>
        <v>NO</v>
      </c>
      <c r="D1136" s="6">
        <v>3</v>
      </c>
      <c r="E1136" s="6">
        <v>173</v>
      </c>
      <c r="F1136" s="6">
        <v>398</v>
      </c>
      <c r="G1136" s="6">
        <v>398</v>
      </c>
      <c r="H1136" s="6">
        <v>216</v>
      </c>
      <c r="I1136" s="6">
        <v>34</v>
      </c>
      <c r="J1136" s="6">
        <v>139</v>
      </c>
      <c r="K1136" s="40">
        <v>7</v>
      </c>
      <c r="L1136" s="40">
        <v>8</v>
      </c>
      <c r="M1136" s="40">
        <v>284</v>
      </c>
      <c r="N1136" s="40">
        <v>88</v>
      </c>
      <c r="O1136" s="40">
        <v>36</v>
      </c>
      <c r="P1136" s="40">
        <v>105</v>
      </c>
      <c r="Q1136" s="40">
        <v>0</v>
      </c>
      <c r="R1136" s="40">
        <v>47</v>
      </c>
      <c r="S1136" s="40">
        <v>8</v>
      </c>
    </row>
    <row r="1137" spans="1:19" x14ac:dyDescent="0.35">
      <c r="A1137" s="38">
        <v>1134</v>
      </c>
      <c r="B1137" s="38" t="str">
        <f>_xlfn.XLOOKUP(A1137,'Model Modeshare by TAZ'!A:A,'Model Modeshare by TAZ'!B:B)</f>
        <v>San Jose</v>
      </c>
      <c r="C1137" s="38" t="str">
        <f>_xlfn.XLOOKUP(A1137,'Model Modeshare by TAZ'!A:A,'Model Modeshare by TAZ'!D:D)</f>
        <v>NO</v>
      </c>
      <c r="D1137" s="6">
        <v>3</v>
      </c>
      <c r="E1137" s="6">
        <v>230</v>
      </c>
      <c r="F1137" s="6">
        <v>544</v>
      </c>
      <c r="G1137" s="6">
        <v>567</v>
      </c>
      <c r="H1137" s="6">
        <v>288</v>
      </c>
      <c r="I1137" s="6">
        <v>45</v>
      </c>
      <c r="J1137" s="6">
        <v>185</v>
      </c>
      <c r="K1137" s="40">
        <v>5</v>
      </c>
      <c r="L1137" s="40">
        <v>10</v>
      </c>
      <c r="M1137" s="40">
        <v>251</v>
      </c>
      <c r="N1137" s="40">
        <v>141</v>
      </c>
      <c r="O1137" s="40">
        <v>38</v>
      </c>
      <c r="P1137" s="40">
        <v>23</v>
      </c>
      <c r="Q1137" s="40">
        <v>0</v>
      </c>
      <c r="R1137" s="40">
        <v>42</v>
      </c>
      <c r="S1137" s="40">
        <v>7</v>
      </c>
    </row>
    <row r="1138" spans="1:19" x14ac:dyDescent="0.35">
      <c r="A1138" s="38">
        <v>1135</v>
      </c>
      <c r="B1138" s="38" t="str">
        <f>_xlfn.XLOOKUP(A1138,'Model Modeshare by TAZ'!A:A,'Model Modeshare by TAZ'!B:B)</f>
        <v>San Jose</v>
      </c>
      <c r="C1138" s="38" t="str">
        <f>_xlfn.XLOOKUP(A1138,'Model Modeshare by TAZ'!A:A,'Model Modeshare by TAZ'!D:D)</f>
        <v>NO</v>
      </c>
      <c r="D1138" s="6">
        <v>3</v>
      </c>
      <c r="E1138" s="6">
        <v>269</v>
      </c>
      <c r="F1138" s="6">
        <v>643</v>
      </c>
      <c r="G1138" s="6">
        <v>818</v>
      </c>
      <c r="H1138" s="6">
        <v>336</v>
      </c>
      <c r="I1138" s="6">
        <v>53</v>
      </c>
      <c r="J1138" s="6">
        <v>216</v>
      </c>
      <c r="K1138" s="40">
        <v>2</v>
      </c>
      <c r="L1138" s="40">
        <v>19</v>
      </c>
      <c r="M1138" s="40">
        <v>1064</v>
      </c>
      <c r="N1138" s="40">
        <v>405</v>
      </c>
      <c r="O1138" s="40">
        <v>206</v>
      </c>
      <c r="P1138" s="40">
        <v>135</v>
      </c>
      <c r="Q1138" s="40">
        <v>0</v>
      </c>
      <c r="R1138" s="40">
        <v>273</v>
      </c>
      <c r="S1138" s="40">
        <v>45</v>
      </c>
    </row>
    <row r="1139" spans="1:19" x14ac:dyDescent="0.35">
      <c r="A1139" s="38">
        <v>1136</v>
      </c>
      <c r="B1139" s="38" t="str">
        <f>_xlfn.XLOOKUP(A1139,'Model Modeshare by TAZ'!A:A,'Model Modeshare by TAZ'!B:B)</f>
        <v>San Jose</v>
      </c>
      <c r="C1139" s="38" t="str">
        <f>_xlfn.XLOOKUP(A1139,'Model Modeshare by TAZ'!A:A,'Model Modeshare by TAZ'!D:D)</f>
        <v>NO</v>
      </c>
      <c r="D1139" s="6">
        <v>3</v>
      </c>
      <c r="E1139" s="6">
        <v>129</v>
      </c>
      <c r="F1139" s="6">
        <v>325</v>
      </c>
      <c r="G1139" s="6">
        <v>448</v>
      </c>
      <c r="H1139" s="6">
        <v>241</v>
      </c>
      <c r="I1139" s="6">
        <v>69</v>
      </c>
      <c r="J1139" s="6">
        <v>60</v>
      </c>
      <c r="K1139" s="40">
        <v>11</v>
      </c>
      <c r="L1139" s="40">
        <v>6</v>
      </c>
      <c r="M1139" s="40">
        <v>288</v>
      </c>
      <c r="N1139" s="40">
        <v>69</v>
      </c>
      <c r="O1139" s="40">
        <v>217</v>
      </c>
      <c r="P1139" s="40">
        <v>0</v>
      </c>
      <c r="Q1139" s="40">
        <v>2</v>
      </c>
      <c r="R1139" s="40">
        <v>0</v>
      </c>
      <c r="S1139" s="40">
        <v>0</v>
      </c>
    </row>
    <row r="1140" spans="1:19" x14ac:dyDescent="0.35">
      <c r="A1140" s="38">
        <v>1137</v>
      </c>
      <c r="B1140" s="38" t="str">
        <f>_xlfn.XLOOKUP(A1140,'Model Modeshare by TAZ'!A:A,'Model Modeshare by TAZ'!B:B)</f>
        <v>San Jose</v>
      </c>
      <c r="C1140" s="38" t="str">
        <f>_xlfn.XLOOKUP(A1140,'Model Modeshare by TAZ'!A:A,'Model Modeshare by TAZ'!D:D)</f>
        <v>NO</v>
      </c>
      <c r="D1140" s="6">
        <v>3</v>
      </c>
      <c r="E1140" s="6">
        <v>218</v>
      </c>
      <c r="F1140" s="6">
        <v>554</v>
      </c>
      <c r="G1140" s="6">
        <v>753</v>
      </c>
      <c r="H1140" s="6">
        <v>411</v>
      </c>
      <c r="I1140" s="6">
        <v>116</v>
      </c>
      <c r="J1140" s="6">
        <v>102</v>
      </c>
      <c r="K1140" s="40">
        <v>17</v>
      </c>
      <c r="L1140" s="40">
        <v>9</v>
      </c>
      <c r="M1140" s="40">
        <v>157</v>
      </c>
      <c r="N1140" s="40">
        <v>15</v>
      </c>
      <c r="O1140" s="40">
        <v>133</v>
      </c>
      <c r="P1140" s="40">
        <v>8</v>
      </c>
      <c r="Q1140" s="40">
        <v>1</v>
      </c>
      <c r="R1140" s="40">
        <v>0</v>
      </c>
      <c r="S1140" s="40">
        <v>0</v>
      </c>
    </row>
    <row r="1141" spans="1:19" x14ac:dyDescent="0.35">
      <c r="A1141" s="38">
        <v>1138</v>
      </c>
      <c r="B1141" s="38" t="str">
        <f>_xlfn.XLOOKUP(A1141,'Model Modeshare by TAZ'!A:A,'Model Modeshare by TAZ'!B:B)</f>
        <v>San Jose</v>
      </c>
      <c r="C1141" s="38" t="str">
        <f>_xlfn.XLOOKUP(A1141,'Model Modeshare by TAZ'!A:A,'Model Modeshare by TAZ'!D:D)</f>
        <v>NO</v>
      </c>
      <c r="D1141" s="6">
        <v>3</v>
      </c>
      <c r="E1141" s="6">
        <v>405</v>
      </c>
      <c r="F1141" s="6">
        <v>1027</v>
      </c>
      <c r="G1141" s="6">
        <v>1220</v>
      </c>
      <c r="H1141" s="6">
        <v>765</v>
      </c>
      <c r="I1141" s="6">
        <v>214</v>
      </c>
      <c r="J1141" s="6">
        <v>191</v>
      </c>
      <c r="K1141" s="40">
        <v>63</v>
      </c>
      <c r="L1141" s="40">
        <v>6</v>
      </c>
      <c r="M1141" s="40">
        <v>331</v>
      </c>
      <c r="N1141" s="40">
        <v>51</v>
      </c>
      <c r="O1141" s="40">
        <v>227</v>
      </c>
      <c r="P1141" s="40">
        <v>50</v>
      </c>
      <c r="Q1141" s="40">
        <v>1</v>
      </c>
      <c r="R1141" s="40">
        <v>1</v>
      </c>
      <c r="S1141" s="40">
        <v>1</v>
      </c>
    </row>
    <row r="1142" spans="1:19" x14ac:dyDescent="0.35">
      <c r="A1142" s="38">
        <v>1139</v>
      </c>
      <c r="B1142" s="38" t="str">
        <f>_xlfn.XLOOKUP(A1142,'Model Modeshare by TAZ'!A:A,'Model Modeshare by TAZ'!B:B)</f>
        <v>San Jose</v>
      </c>
      <c r="C1142" s="38" t="str">
        <f>_xlfn.XLOOKUP(A1142,'Model Modeshare by TAZ'!A:A,'Model Modeshare by TAZ'!D:D)</f>
        <v>NO</v>
      </c>
      <c r="D1142" s="6">
        <v>3</v>
      </c>
      <c r="E1142" s="6">
        <v>352</v>
      </c>
      <c r="F1142" s="6">
        <v>892</v>
      </c>
      <c r="G1142" s="6">
        <v>1074</v>
      </c>
      <c r="H1142" s="6">
        <v>663</v>
      </c>
      <c r="I1142" s="6">
        <v>186</v>
      </c>
      <c r="J1142" s="6">
        <v>166</v>
      </c>
      <c r="K1142" s="40">
        <v>25</v>
      </c>
      <c r="L1142" s="40">
        <v>3</v>
      </c>
      <c r="M1142" s="40">
        <v>72</v>
      </c>
      <c r="N1142" s="40">
        <v>18</v>
      </c>
      <c r="O1142" s="40">
        <v>53</v>
      </c>
      <c r="P1142" s="40">
        <v>0</v>
      </c>
      <c r="Q1142" s="40">
        <v>1</v>
      </c>
      <c r="R1142" s="40">
        <v>0</v>
      </c>
      <c r="S1142" s="40">
        <v>0</v>
      </c>
    </row>
    <row r="1143" spans="1:19" x14ac:dyDescent="0.35">
      <c r="A1143" s="38">
        <v>1140</v>
      </c>
      <c r="B1143" s="38" t="str">
        <f>_xlfn.XLOOKUP(A1143,'Model Modeshare by TAZ'!A:A,'Model Modeshare by TAZ'!B:B)</f>
        <v>San Jose</v>
      </c>
      <c r="C1143" s="38" t="str">
        <f>_xlfn.XLOOKUP(A1143,'Model Modeshare by TAZ'!A:A,'Model Modeshare by TAZ'!D:D)</f>
        <v>NO</v>
      </c>
      <c r="D1143" s="6">
        <v>3</v>
      </c>
      <c r="E1143" s="6">
        <v>174</v>
      </c>
      <c r="F1143" s="6">
        <v>441</v>
      </c>
      <c r="G1143" s="6">
        <v>520</v>
      </c>
      <c r="H1143" s="6">
        <v>328</v>
      </c>
      <c r="I1143" s="6">
        <v>92</v>
      </c>
      <c r="J1143" s="6">
        <v>82</v>
      </c>
      <c r="K1143" s="40">
        <v>38</v>
      </c>
      <c r="L1143" s="40">
        <v>1</v>
      </c>
      <c r="M1143" s="40">
        <v>0</v>
      </c>
      <c r="N1143" s="40">
        <v>0</v>
      </c>
      <c r="O1143" s="40">
        <v>0</v>
      </c>
      <c r="P1143" s="40">
        <v>0</v>
      </c>
      <c r="Q1143" s="40">
        <v>0</v>
      </c>
      <c r="R1143" s="40">
        <v>0</v>
      </c>
      <c r="S1143" s="40">
        <v>0</v>
      </c>
    </row>
    <row r="1144" spans="1:19" x14ac:dyDescent="0.35">
      <c r="A1144" s="38">
        <v>1141</v>
      </c>
      <c r="B1144" s="38" t="str">
        <f>_xlfn.XLOOKUP(A1144,'Model Modeshare by TAZ'!A:A,'Model Modeshare by TAZ'!B:B)</f>
        <v>San Jose</v>
      </c>
      <c r="C1144" s="38" t="str">
        <f>_xlfn.XLOOKUP(A1144,'Model Modeshare by TAZ'!A:A,'Model Modeshare by TAZ'!D:D)</f>
        <v>NO</v>
      </c>
      <c r="D1144" s="6">
        <v>3</v>
      </c>
      <c r="E1144" s="6">
        <v>328</v>
      </c>
      <c r="F1144" s="6">
        <v>627</v>
      </c>
      <c r="G1144" s="6">
        <v>954</v>
      </c>
      <c r="H1144" s="6">
        <v>342</v>
      </c>
      <c r="I1144" s="6">
        <v>30</v>
      </c>
      <c r="J1144" s="6">
        <v>298</v>
      </c>
      <c r="K1144" s="40">
        <v>4</v>
      </c>
      <c r="L1144" s="40">
        <v>14</v>
      </c>
      <c r="M1144" s="40">
        <v>2799</v>
      </c>
      <c r="N1144" s="40">
        <v>358</v>
      </c>
      <c r="O1144" s="40">
        <v>221</v>
      </c>
      <c r="P1144" s="40">
        <v>2220</v>
      </c>
      <c r="Q1144" s="40">
        <v>0</v>
      </c>
      <c r="R1144" s="40">
        <v>0</v>
      </c>
      <c r="S1144" s="40">
        <v>0</v>
      </c>
    </row>
    <row r="1145" spans="1:19" x14ac:dyDescent="0.35">
      <c r="A1145" s="38">
        <v>1142</v>
      </c>
      <c r="B1145" s="38" t="str">
        <f>_xlfn.XLOOKUP(A1145,'Model Modeshare by TAZ'!A:A,'Model Modeshare by TAZ'!B:B)</f>
        <v>San Jose</v>
      </c>
      <c r="C1145" s="38" t="str">
        <f>_xlfn.XLOOKUP(A1145,'Model Modeshare by TAZ'!A:A,'Model Modeshare by TAZ'!D:D)</f>
        <v>NO</v>
      </c>
      <c r="D1145" s="6">
        <v>3</v>
      </c>
      <c r="E1145" s="6">
        <v>0</v>
      </c>
      <c r="F1145" s="6">
        <v>0</v>
      </c>
      <c r="G1145" s="6">
        <v>0</v>
      </c>
      <c r="H1145" s="6">
        <v>0</v>
      </c>
      <c r="I1145" s="6">
        <v>0</v>
      </c>
      <c r="J1145" s="6">
        <v>0</v>
      </c>
      <c r="K1145" s="40">
        <v>0</v>
      </c>
      <c r="L1145" s="40">
        <v>60</v>
      </c>
      <c r="M1145" s="40">
        <v>3953</v>
      </c>
      <c r="N1145" s="40">
        <v>0</v>
      </c>
      <c r="O1145" s="40">
        <v>0</v>
      </c>
      <c r="P1145" s="40">
        <v>3953</v>
      </c>
      <c r="Q1145" s="40">
        <v>0</v>
      </c>
      <c r="R1145" s="40">
        <v>0</v>
      </c>
      <c r="S1145" s="40">
        <v>0</v>
      </c>
    </row>
    <row r="1146" spans="1:19" x14ac:dyDescent="0.35">
      <c r="A1146" s="38">
        <v>1143</v>
      </c>
      <c r="B1146" s="38" t="str">
        <f>_xlfn.XLOOKUP(A1146,'Model Modeshare by TAZ'!A:A,'Model Modeshare by TAZ'!B:B)</f>
        <v>San Jose</v>
      </c>
      <c r="C1146" s="38" t="str">
        <f>_xlfn.XLOOKUP(A1146,'Model Modeshare by TAZ'!A:A,'Model Modeshare by TAZ'!D:D)</f>
        <v>NO</v>
      </c>
      <c r="D1146" s="6">
        <v>3</v>
      </c>
      <c r="E1146" s="6">
        <v>1</v>
      </c>
      <c r="F1146" s="6">
        <v>2</v>
      </c>
      <c r="G1146" s="6">
        <v>100</v>
      </c>
      <c r="H1146" s="6">
        <v>2</v>
      </c>
      <c r="I1146" s="6">
        <v>0</v>
      </c>
      <c r="J1146" s="6">
        <v>1</v>
      </c>
      <c r="K1146" s="40">
        <v>1</v>
      </c>
      <c r="L1146" s="40">
        <v>15</v>
      </c>
      <c r="M1146" s="40">
        <v>200</v>
      </c>
      <c r="N1146" s="40">
        <v>14</v>
      </c>
      <c r="O1146" s="40">
        <v>63</v>
      </c>
      <c r="P1146" s="40">
        <v>114</v>
      </c>
      <c r="Q1146" s="40">
        <v>0</v>
      </c>
      <c r="R1146" s="40">
        <v>9</v>
      </c>
      <c r="S1146" s="40">
        <v>0</v>
      </c>
    </row>
    <row r="1147" spans="1:19" x14ac:dyDescent="0.35">
      <c r="A1147" s="38">
        <v>1144</v>
      </c>
      <c r="B1147" s="38" t="str">
        <f>_xlfn.XLOOKUP(A1147,'Model Modeshare by TAZ'!A:A,'Model Modeshare by TAZ'!B:B)</f>
        <v>San Jose</v>
      </c>
      <c r="C1147" s="38" t="str">
        <f>_xlfn.XLOOKUP(A1147,'Model Modeshare by TAZ'!A:A,'Model Modeshare by TAZ'!D:D)</f>
        <v>NO</v>
      </c>
      <c r="D1147" s="6">
        <v>3</v>
      </c>
      <c r="E1147" s="6">
        <v>429</v>
      </c>
      <c r="F1147" s="6">
        <v>1067</v>
      </c>
      <c r="G1147" s="6">
        <v>2500</v>
      </c>
      <c r="H1147" s="6">
        <v>689</v>
      </c>
      <c r="I1147" s="6">
        <v>46</v>
      </c>
      <c r="J1147" s="6">
        <v>383</v>
      </c>
      <c r="K1147" s="40">
        <v>12</v>
      </c>
      <c r="L1147" s="40">
        <v>3</v>
      </c>
      <c r="M1147" s="40">
        <v>72</v>
      </c>
      <c r="N1147" s="40">
        <v>8</v>
      </c>
      <c r="O1147" s="40">
        <v>51</v>
      </c>
      <c r="P1147" s="40">
        <v>5</v>
      </c>
      <c r="Q1147" s="40">
        <v>0</v>
      </c>
      <c r="R1147" s="40">
        <v>7</v>
      </c>
      <c r="S1147" s="40">
        <v>1</v>
      </c>
    </row>
    <row r="1148" spans="1:19" x14ac:dyDescent="0.35">
      <c r="A1148" s="38">
        <v>1145</v>
      </c>
      <c r="B1148" s="38" t="str">
        <f>_xlfn.XLOOKUP(A1148,'Model Modeshare by TAZ'!A:A,'Model Modeshare by TAZ'!B:B)</f>
        <v>San Jose</v>
      </c>
      <c r="C1148" s="38" t="str">
        <f>_xlfn.XLOOKUP(A1148,'Model Modeshare by TAZ'!A:A,'Model Modeshare by TAZ'!D:D)</f>
        <v>NO</v>
      </c>
      <c r="D1148" s="6">
        <v>3</v>
      </c>
      <c r="E1148" s="6">
        <v>291</v>
      </c>
      <c r="F1148" s="6">
        <v>724</v>
      </c>
      <c r="G1148" s="6">
        <v>1663</v>
      </c>
      <c r="H1148" s="6">
        <v>466</v>
      </c>
      <c r="I1148" s="6">
        <v>32</v>
      </c>
      <c r="J1148" s="6">
        <v>259</v>
      </c>
      <c r="K1148" s="40">
        <v>10</v>
      </c>
      <c r="L1148" s="40">
        <v>4</v>
      </c>
      <c r="M1148" s="40">
        <v>36</v>
      </c>
      <c r="N1148" s="40">
        <v>5</v>
      </c>
      <c r="O1148" s="40">
        <v>23</v>
      </c>
      <c r="P1148" s="40">
        <v>5</v>
      </c>
      <c r="Q1148" s="40">
        <v>0</v>
      </c>
      <c r="R1148" s="40">
        <v>2</v>
      </c>
      <c r="S1148" s="40">
        <v>1</v>
      </c>
    </row>
    <row r="1149" spans="1:19" x14ac:dyDescent="0.35">
      <c r="A1149" s="38">
        <v>1146</v>
      </c>
      <c r="B1149" s="38" t="str">
        <f>_xlfn.XLOOKUP(A1149,'Model Modeshare by TAZ'!A:A,'Model Modeshare by TAZ'!B:B)</f>
        <v>San Jose</v>
      </c>
      <c r="C1149" s="38" t="str">
        <f>_xlfn.XLOOKUP(A1149,'Model Modeshare by TAZ'!A:A,'Model Modeshare by TAZ'!D:D)</f>
        <v>NO</v>
      </c>
      <c r="D1149" s="6">
        <v>3</v>
      </c>
      <c r="E1149" s="6">
        <v>78</v>
      </c>
      <c r="F1149" s="6">
        <v>125</v>
      </c>
      <c r="G1149" s="6">
        <v>125</v>
      </c>
      <c r="H1149" s="6">
        <v>81</v>
      </c>
      <c r="I1149" s="6">
        <v>7</v>
      </c>
      <c r="J1149" s="6">
        <v>71</v>
      </c>
      <c r="K1149" s="40">
        <v>4</v>
      </c>
      <c r="L1149" s="40">
        <v>10</v>
      </c>
      <c r="M1149" s="40">
        <v>1486</v>
      </c>
      <c r="N1149" s="40">
        <v>408</v>
      </c>
      <c r="O1149" s="40">
        <v>1010</v>
      </c>
      <c r="P1149" s="40">
        <v>0</v>
      </c>
      <c r="Q1149" s="40">
        <v>0</v>
      </c>
      <c r="R1149" s="40">
        <v>63</v>
      </c>
      <c r="S1149" s="40">
        <v>5</v>
      </c>
    </row>
    <row r="1150" spans="1:19" x14ac:dyDescent="0.35">
      <c r="A1150" s="38">
        <v>1147</v>
      </c>
      <c r="B1150" s="38" t="str">
        <f>_xlfn.XLOOKUP(A1150,'Model Modeshare by TAZ'!A:A,'Model Modeshare by TAZ'!B:B)</f>
        <v>San Jose</v>
      </c>
      <c r="C1150" s="38" t="str">
        <f>_xlfn.XLOOKUP(A1150,'Model Modeshare by TAZ'!A:A,'Model Modeshare by TAZ'!D:D)</f>
        <v>NO</v>
      </c>
      <c r="D1150" s="6">
        <v>3</v>
      </c>
      <c r="E1150" s="6">
        <v>426</v>
      </c>
      <c r="F1150" s="6">
        <v>678</v>
      </c>
      <c r="G1150" s="6">
        <v>678</v>
      </c>
      <c r="H1150" s="6">
        <v>445</v>
      </c>
      <c r="I1150" s="6">
        <v>39</v>
      </c>
      <c r="J1150" s="6">
        <v>387</v>
      </c>
      <c r="K1150" s="40">
        <v>4</v>
      </c>
      <c r="L1150" s="40">
        <v>27</v>
      </c>
      <c r="M1150" s="40">
        <v>789</v>
      </c>
      <c r="N1150" s="40">
        <v>93</v>
      </c>
      <c r="O1150" s="40">
        <v>533</v>
      </c>
      <c r="P1150" s="40">
        <v>87</v>
      </c>
      <c r="Q1150" s="40">
        <v>0</v>
      </c>
      <c r="R1150" s="40">
        <v>70</v>
      </c>
      <c r="S1150" s="40">
        <v>6</v>
      </c>
    </row>
    <row r="1151" spans="1:19" x14ac:dyDescent="0.35">
      <c r="A1151" s="38">
        <v>1148</v>
      </c>
      <c r="B1151" s="38" t="str">
        <f>_xlfn.XLOOKUP(A1151,'Model Modeshare by TAZ'!A:A,'Model Modeshare by TAZ'!B:B)</f>
        <v>San Jose</v>
      </c>
      <c r="C1151" s="38" t="str">
        <f>_xlfn.XLOOKUP(A1151,'Model Modeshare by TAZ'!A:A,'Model Modeshare by TAZ'!D:D)</f>
        <v>NO</v>
      </c>
      <c r="D1151" s="6">
        <v>3</v>
      </c>
      <c r="E1151" s="6">
        <v>210</v>
      </c>
      <c r="F1151" s="6">
        <v>336</v>
      </c>
      <c r="G1151" s="6">
        <v>336</v>
      </c>
      <c r="H1151" s="6">
        <v>219</v>
      </c>
      <c r="I1151" s="6">
        <v>19</v>
      </c>
      <c r="J1151" s="6">
        <v>191</v>
      </c>
      <c r="K1151" s="40">
        <v>4</v>
      </c>
      <c r="L1151" s="40">
        <v>14</v>
      </c>
      <c r="M1151" s="40">
        <v>169</v>
      </c>
      <c r="N1151" s="40">
        <v>58</v>
      </c>
      <c r="O1151" s="40">
        <v>83</v>
      </c>
      <c r="P1151" s="40">
        <v>28</v>
      </c>
      <c r="Q1151" s="40">
        <v>0</v>
      </c>
      <c r="R1151" s="40">
        <v>0</v>
      </c>
      <c r="S1151" s="40">
        <v>0</v>
      </c>
    </row>
    <row r="1152" spans="1:19" x14ac:dyDescent="0.35">
      <c r="A1152" s="38">
        <v>1149</v>
      </c>
      <c r="B1152" s="38" t="str">
        <f>_xlfn.XLOOKUP(A1152,'Model Modeshare by TAZ'!A:A,'Model Modeshare by TAZ'!B:B)</f>
        <v>San Jose</v>
      </c>
      <c r="C1152" s="38" t="str">
        <f>_xlfn.XLOOKUP(A1152,'Model Modeshare by TAZ'!A:A,'Model Modeshare by TAZ'!D:D)</f>
        <v>NO</v>
      </c>
      <c r="D1152" s="6">
        <v>3</v>
      </c>
      <c r="E1152" s="6">
        <v>488</v>
      </c>
      <c r="F1152" s="6">
        <v>779</v>
      </c>
      <c r="G1152" s="6">
        <v>779</v>
      </c>
      <c r="H1152" s="6">
        <v>509</v>
      </c>
      <c r="I1152" s="6">
        <v>44</v>
      </c>
      <c r="J1152" s="6">
        <v>444</v>
      </c>
      <c r="K1152" s="40">
        <v>4</v>
      </c>
      <c r="L1152" s="40">
        <v>17</v>
      </c>
      <c r="M1152" s="40">
        <v>300</v>
      </c>
      <c r="N1152" s="40">
        <v>1</v>
      </c>
      <c r="O1152" s="40">
        <v>34</v>
      </c>
      <c r="P1152" s="40">
        <v>265</v>
      </c>
      <c r="Q1152" s="40">
        <v>0</v>
      </c>
      <c r="R1152" s="40">
        <v>0</v>
      </c>
      <c r="S1152" s="40">
        <v>0</v>
      </c>
    </row>
    <row r="1153" spans="1:19" x14ac:dyDescent="0.35">
      <c r="A1153" s="38">
        <v>1150</v>
      </c>
      <c r="B1153" s="38" t="str">
        <f>_xlfn.XLOOKUP(A1153,'Model Modeshare by TAZ'!A:A,'Model Modeshare by TAZ'!B:B)</f>
        <v>San Jose</v>
      </c>
      <c r="C1153" s="38" t="str">
        <f>_xlfn.XLOOKUP(A1153,'Model Modeshare by TAZ'!A:A,'Model Modeshare by TAZ'!D:D)</f>
        <v>NO</v>
      </c>
      <c r="D1153" s="6">
        <v>3</v>
      </c>
      <c r="E1153" s="6">
        <v>646</v>
      </c>
      <c r="F1153" s="6">
        <v>2222</v>
      </c>
      <c r="G1153" s="6">
        <v>2247</v>
      </c>
      <c r="H1153" s="6">
        <v>836</v>
      </c>
      <c r="I1153" s="6">
        <v>323</v>
      </c>
      <c r="J1153" s="6">
        <v>323</v>
      </c>
      <c r="K1153" s="40">
        <v>53</v>
      </c>
      <c r="L1153" s="40">
        <v>16</v>
      </c>
      <c r="M1153" s="40">
        <v>284</v>
      </c>
      <c r="N1153" s="40">
        <v>27</v>
      </c>
      <c r="O1153" s="40">
        <v>49</v>
      </c>
      <c r="P1153" s="40">
        <v>33</v>
      </c>
      <c r="Q1153" s="40">
        <v>5</v>
      </c>
      <c r="R1153" s="40">
        <v>150</v>
      </c>
      <c r="S1153" s="40">
        <v>20</v>
      </c>
    </row>
    <row r="1154" spans="1:19" x14ac:dyDescent="0.35">
      <c r="A1154" s="38">
        <v>1151</v>
      </c>
      <c r="B1154" s="38" t="str">
        <f>_xlfn.XLOOKUP(A1154,'Model Modeshare by TAZ'!A:A,'Model Modeshare by TAZ'!B:B)</f>
        <v>San Jose</v>
      </c>
      <c r="C1154" s="38" t="str">
        <f>_xlfn.XLOOKUP(A1154,'Model Modeshare by TAZ'!A:A,'Model Modeshare by TAZ'!D:D)</f>
        <v>NO</v>
      </c>
      <c r="D1154" s="6">
        <v>3</v>
      </c>
      <c r="E1154" s="6">
        <v>434</v>
      </c>
      <c r="F1154" s="6">
        <v>1494</v>
      </c>
      <c r="G1154" s="6">
        <v>1516</v>
      </c>
      <c r="H1154" s="6">
        <v>565</v>
      </c>
      <c r="I1154" s="6">
        <v>218</v>
      </c>
      <c r="J1154" s="6">
        <v>216</v>
      </c>
      <c r="K1154" s="40">
        <v>36</v>
      </c>
      <c r="L1154" s="40">
        <v>29</v>
      </c>
      <c r="M1154" s="40">
        <v>1167</v>
      </c>
      <c r="N1154" s="40">
        <v>332</v>
      </c>
      <c r="O1154" s="40">
        <v>84</v>
      </c>
      <c r="P1154" s="40">
        <v>75</v>
      </c>
      <c r="Q1154" s="40">
        <v>2</v>
      </c>
      <c r="R1154" s="40">
        <v>275</v>
      </c>
      <c r="S1154" s="40">
        <v>399</v>
      </c>
    </row>
    <row r="1155" spans="1:19" x14ac:dyDescent="0.35">
      <c r="A1155" s="38">
        <v>1152</v>
      </c>
      <c r="B1155" s="38" t="str">
        <f>_xlfn.XLOOKUP(A1155,'Model Modeshare by TAZ'!A:A,'Model Modeshare by TAZ'!B:B)</f>
        <v>San Jose</v>
      </c>
      <c r="C1155" s="38" t="str">
        <f>_xlfn.XLOOKUP(A1155,'Model Modeshare by TAZ'!A:A,'Model Modeshare by TAZ'!D:D)</f>
        <v>NO</v>
      </c>
      <c r="D1155" s="6">
        <v>3</v>
      </c>
      <c r="E1155" s="6">
        <v>350</v>
      </c>
      <c r="F1155" s="6">
        <v>1201</v>
      </c>
      <c r="G1155" s="6">
        <v>1216</v>
      </c>
      <c r="H1155" s="6">
        <v>705</v>
      </c>
      <c r="I1155" s="6">
        <v>175</v>
      </c>
      <c r="J1155" s="6">
        <v>175</v>
      </c>
      <c r="K1155" s="40">
        <v>46</v>
      </c>
      <c r="L1155" s="40">
        <v>13</v>
      </c>
      <c r="M1155" s="40">
        <v>281</v>
      </c>
      <c r="N1155" s="40">
        <v>44</v>
      </c>
      <c r="O1155" s="40">
        <v>134</v>
      </c>
      <c r="P1155" s="40">
        <v>50</v>
      </c>
      <c r="Q1155" s="40">
        <v>3</v>
      </c>
      <c r="R1155" s="40">
        <v>23</v>
      </c>
      <c r="S1155" s="40">
        <v>27</v>
      </c>
    </row>
    <row r="1156" spans="1:19" x14ac:dyDescent="0.35">
      <c r="A1156" s="38">
        <v>1153</v>
      </c>
      <c r="B1156" s="38" t="str">
        <f>_xlfn.XLOOKUP(A1156,'Model Modeshare by TAZ'!A:A,'Model Modeshare by TAZ'!B:B)</f>
        <v>San Jose</v>
      </c>
      <c r="C1156" s="38" t="str">
        <f>_xlfn.XLOOKUP(A1156,'Model Modeshare by TAZ'!A:A,'Model Modeshare by TAZ'!D:D)</f>
        <v>NO</v>
      </c>
      <c r="D1156" s="6">
        <v>3</v>
      </c>
      <c r="E1156" s="6">
        <v>577</v>
      </c>
      <c r="F1156" s="6">
        <v>1990</v>
      </c>
      <c r="G1156" s="6">
        <v>2027</v>
      </c>
      <c r="H1156" s="6">
        <v>1164</v>
      </c>
      <c r="I1156" s="6">
        <v>290</v>
      </c>
      <c r="J1156" s="6">
        <v>287</v>
      </c>
      <c r="K1156" s="40">
        <v>65</v>
      </c>
      <c r="L1156" s="40">
        <v>3</v>
      </c>
      <c r="M1156" s="40">
        <v>29</v>
      </c>
      <c r="N1156" s="40">
        <v>9</v>
      </c>
      <c r="O1156" s="40">
        <v>17</v>
      </c>
      <c r="P1156" s="40">
        <v>3</v>
      </c>
      <c r="Q1156" s="40">
        <v>0</v>
      </c>
      <c r="R1156" s="40">
        <v>0</v>
      </c>
      <c r="S1156" s="40">
        <v>0</v>
      </c>
    </row>
    <row r="1157" spans="1:19" x14ac:dyDescent="0.35">
      <c r="A1157" s="38">
        <v>1154</v>
      </c>
      <c r="B1157" s="38" t="str">
        <f>_xlfn.XLOOKUP(A1157,'Model Modeshare by TAZ'!A:A,'Model Modeshare by TAZ'!B:B)</f>
        <v>San Jose</v>
      </c>
      <c r="C1157" s="38" t="str">
        <f>_xlfn.XLOOKUP(A1157,'Model Modeshare by TAZ'!A:A,'Model Modeshare by TAZ'!D:D)</f>
        <v>NO</v>
      </c>
      <c r="D1157" s="6">
        <v>3</v>
      </c>
      <c r="E1157" s="6">
        <v>1529</v>
      </c>
      <c r="F1157" s="6">
        <v>5807</v>
      </c>
      <c r="G1157" s="6">
        <v>5807</v>
      </c>
      <c r="H1157" s="6">
        <v>2452</v>
      </c>
      <c r="I1157" s="6">
        <v>588</v>
      </c>
      <c r="J1157" s="6">
        <v>941</v>
      </c>
      <c r="K1157" s="40">
        <v>125</v>
      </c>
      <c r="L1157" s="40">
        <v>14</v>
      </c>
      <c r="M1157" s="40">
        <v>429</v>
      </c>
      <c r="N1157" s="40">
        <v>48</v>
      </c>
      <c r="O1157" s="40">
        <v>91</v>
      </c>
      <c r="P1157" s="40">
        <v>95</v>
      </c>
      <c r="Q1157" s="40">
        <v>0</v>
      </c>
      <c r="R1157" s="40">
        <v>168</v>
      </c>
      <c r="S1157" s="40">
        <v>27</v>
      </c>
    </row>
    <row r="1158" spans="1:19" x14ac:dyDescent="0.35">
      <c r="A1158" s="38">
        <v>1155</v>
      </c>
      <c r="B1158" s="38" t="str">
        <f>_xlfn.XLOOKUP(A1158,'Model Modeshare by TAZ'!A:A,'Model Modeshare by TAZ'!B:B)</f>
        <v>San Jose</v>
      </c>
      <c r="C1158" s="38" t="str">
        <f>_xlfn.XLOOKUP(A1158,'Model Modeshare by TAZ'!A:A,'Model Modeshare by TAZ'!D:D)</f>
        <v>NO</v>
      </c>
      <c r="D1158" s="6">
        <v>3</v>
      </c>
      <c r="E1158" s="6">
        <v>406</v>
      </c>
      <c r="F1158" s="6">
        <v>1697</v>
      </c>
      <c r="G1158" s="6">
        <v>1708</v>
      </c>
      <c r="H1158" s="6">
        <v>761</v>
      </c>
      <c r="I1158" s="6">
        <v>237</v>
      </c>
      <c r="J1158" s="6">
        <v>169</v>
      </c>
      <c r="K1158" s="40">
        <v>53</v>
      </c>
      <c r="L1158" s="40">
        <v>7</v>
      </c>
      <c r="M1158" s="40">
        <v>141</v>
      </c>
      <c r="N1158" s="40">
        <v>36</v>
      </c>
      <c r="O1158" s="40">
        <v>52</v>
      </c>
      <c r="P1158" s="40">
        <v>9</v>
      </c>
      <c r="Q1158" s="40">
        <v>0</v>
      </c>
      <c r="R1158" s="40">
        <v>40</v>
      </c>
      <c r="S1158" s="40">
        <v>4</v>
      </c>
    </row>
    <row r="1159" spans="1:19" x14ac:dyDescent="0.35">
      <c r="A1159" s="38">
        <v>1156</v>
      </c>
      <c r="B1159" s="38" t="str">
        <f>_xlfn.XLOOKUP(A1159,'Model Modeshare by TAZ'!A:A,'Model Modeshare by TAZ'!B:B)</f>
        <v>San Jose</v>
      </c>
      <c r="C1159" s="38" t="str">
        <f>_xlfn.XLOOKUP(A1159,'Model Modeshare by TAZ'!A:A,'Model Modeshare by TAZ'!D:D)</f>
        <v>NO</v>
      </c>
      <c r="D1159" s="6">
        <v>3</v>
      </c>
      <c r="E1159" s="6">
        <v>112</v>
      </c>
      <c r="F1159" s="6">
        <v>465</v>
      </c>
      <c r="G1159" s="6">
        <v>503</v>
      </c>
      <c r="H1159" s="6">
        <v>209</v>
      </c>
      <c r="I1159" s="6">
        <v>66</v>
      </c>
      <c r="J1159" s="6">
        <v>46</v>
      </c>
      <c r="K1159" s="40">
        <v>18</v>
      </c>
      <c r="L1159" s="40">
        <v>1</v>
      </c>
      <c r="M1159" s="40">
        <v>28</v>
      </c>
      <c r="N1159" s="40">
        <v>0</v>
      </c>
      <c r="O1159" s="40">
        <v>0</v>
      </c>
      <c r="P1159" s="40">
        <v>23</v>
      </c>
      <c r="Q1159" s="40">
        <v>0</v>
      </c>
      <c r="R1159" s="40">
        <v>4</v>
      </c>
      <c r="S1159" s="40">
        <v>1</v>
      </c>
    </row>
    <row r="1160" spans="1:19" x14ac:dyDescent="0.35">
      <c r="A1160" s="38">
        <v>1157</v>
      </c>
      <c r="B1160" s="38" t="str">
        <f>_xlfn.XLOOKUP(A1160,'Model Modeshare by TAZ'!A:A,'Model Modeshare by TAZ'!B:B)</f>
        <v>San Jose</v>
      </c>
      <c r="C1160" s="38" t="str">
        <f>_xlfn.XLOOKUP(A1160,'Model Modeshare by TAZ'!A:A,'Model Modeshare by TAZ'!D:D)</f>
        <v>NO</v>
      </c>
      <c r="D1160" s="6">
        <v>3</v>
      </c>
      <c r="E1160" s="6">
        <v>521</v>
      </c>
      <c r="F1160" s="6">
        <v>1405</v>
      </c>
      <c r="G1160" s="6">
        <v>1440</v>
      </c>
      <c r="H1160" s="6">
        <v>746</v>
      </c>
      <c r="I1160" s="6">
        <v>174</v>
      </c>
      <c r="J1160" s="6">
        <v>347</v>
      </c>
      <c r="K1160" s="40">
        <v>79</v>
      </c>
      <c r="L1160" s="40">
        <v>7</v>
      </c>
      <c r="M1160" s="40">
        <v>169</v>
      </c>
      <c r="N1160" s="40">
        <v>29</v>
      </c>
      <c r="O1160" s="40">
        <v>73</v>
      </c>
      <c r="P1160" s="40">
        <v>38</v>
      </c>
      <c r="Q1160" s="40">
        <v>6</v>
      </c>
      <c r="R1160" s="40">
        <v>17</v>
      </c>
      <c r="S1160" s="40">
        <v>6</v>
      </c>
    </row>
    <row r="1161" spans="1:19" x14ac:dyDescent="0.35">
      <c r="A1161" s="38">
        <v>1158</v>
      </c>
      <c r="B1161" s="38" t="str">
        <f>_xlfn.XLOOKUP(A1161,'Model Modeshare by TAZ'!A:A,'Model Modeshare by TAZ'!B:B)</f>
        <v>San Jose</v>
      </c>
      <c r="C1161" s="38" t="str">
        <f>_xlfn.XLOOKUP(A1161,'Model Modeshare by TAZ'!A:A,'Model Modeshare by TAZ'!D:D)</f>
        <v>NO</v>
      </c>
      <c r="D1161" s="6">
        <v>3</v>
      </c>
      <c r="E1161" s="6">
        <v>754</v>
      </c>
      <c r="F1161" s="6">
        <v>2031</v>
      </c>
      <c r="G1161" s="6">
        <v>2100</v>
      </c>
      <c r="H1161" s="6">
        <v>1080</v>
      </c>
      <c r="I1161" s="6">
        <v>227</v>
      </c>
      <c r="J1161" s="6">
        <v>527</v>
      </c>
      <c r="K1161" s="40">
        <v>30</v>
      </c>
      <c r="L1161" s="40">
        <v>5</v>
      </c>
      <c r="M1161" s="40">
        <v>67</v>
      </c>
      <c r="N1161" s="40">
        <v>17</v>
      </c>
      <c r="O1161" s="40">
        <v>36</v>
      </c>
      <c r="P1161" s="40">
        <v>12</v>
      </c>
      <c r="Q1161" s="40">
        <v>0</v>
      </c>
      <c r="R1161" s="40">
        <v>2</v>
      </c>
      <c r="S1161" s="40">
        <v>0</v>
      </c>
    </row>
    <row r="1162" spans="1:19" x14ac:dyDescent="0.35">
      <c r="A1162" s="38">
        <v>1159</v>
      </c>
      <c r="B1162" s="38" t="str">
        <f>_xlfn.XLOOKUP(A1162,'Model Modeshare by TAZ'!A:A,'Model Modeshare by TAZ'!B:B)</f>
        <v>San Jose</v>
      </c>
      <c r="C1162" s="38" t="str">
        <f>_xlfn.XLOOKUP(A1162,'Model Modeshare by TAZ'!A:A,'Model Modeshare by TAZ'!D:D)</f>
        <v>NO</v>
      </c>
      <c r="D1162" s="6">
        <v>3</v>
      </c>
      <c r="E1162" s="6">
        <v>483</v>
      </c>
      <c r="F1162" s="6">
        <v>1301</v>
      </c>
      <c r="G1162" s="6">
        <v>1333</v>
      </c>
      <c r="H1162" s="6">
        <v>691</v>
      </c>
      <c r="I1162" s="6">
        <v>145</v>
      </c>
      <c r="J1162" s="6">
        <v>338</v>
      </c>
      <c r="K1162" s="40">
        <v>16</v>
      </c>
      <c r="L1162" s="40">
        <v>2</v>
      </c>
      <c r="M1162" s="40">
        <v>41</v>
      </c>
      <c r="N1162" s="40">
        <v>2</v>
      </c>
      <c r="O1162" s="40">
        <v>8</v>
      </c>
      <c r="P1162" s="40">
        <v>29</v>
      </c>
      <c r="Q1162" s="40">
        <v>1</v>
      </c>
      <c r="R1162" s="40">
        <v>1</v>
      </c>
      <c r="S1162" s="40">
        <v>0</v>
      </c>
    </row>
    <row r="1163" spans="1:19" x14ac:dyDescent="0.35">
      <c r="A1163" s="38">
        <v>1160</v>
      </c>
      <c r="B1163" s="38" t="str">
        <f>_xlfn.XLOOKUP(A1163,'Model Modeshare by TAZ'!A:A,'Model Modeshare by TAZ'!B:B)</f>
        <v>San Jose</v>
      </c>
      <c r="C1163" s="38" t="str">
        <f>_xlfn.XLOOKUP(A1163,'Model Modeshare by TAZ'!A:A,'Model Modeshare by TAZ'!D:D)</f>
        <v>NO</v>
      </c>
      <c r="D1163" s="6">
        <v>3</v>
      </c>
      <c r="E1163" s="6">
        <v>222</v>
      </c>
      <c r="F1163" s="6">
        <v>597</v>
      </c>
      <c r="G1163" s="6">
        <v>620</v>
      </c>
      <c r="H1163" s="6">
        <v>319</v>
      </c>
      <c r="I1163" s="6">
        <v>67</v>
      </c>
      <c r="J1163" s="6">
        <v>155</v>
      </c>
      <c r="K1163" s="40">
        <v>8</v>
      </c>
      <c r="L1163" s="40">
        <v>13</v>
      </c>
      <c r="M1163" s="40">
        <v>194</v>
      </c>
      <c r="N1163" s="40">
        <v>63</v>
      </c>
      <c r="O1163" s="40">
        <v>68</v>
      </c>
      <c r="P1163" s="40">
        <v>59</v>
      </c>
      <c r="Q1163" s="40">
        <v>2</v>
      </c>
      <c r="R1163" s="40">
        <v>2</v>
      </c>
      <c r="S1163" s="40">
        <v>0</v>
      </c>
    </row>
    <row r="1164" spans="1:19" x14ac:dyDescent="0.35">
      <c r="A1164" s="38">
        <v>1161</v>
      </c>
      <c r="B1164" s="38" t="str">
        <f>_xlfn.XLOOKUP(A1164,'Model Modeshare by TAZ'!A:A,'Model Modeshare by TAZ'!B:B)</f>
        <v>San Jose</v>
      </c>
      <c r="C1164" s="38" t="str">
        <f>_xlfn.XLOOKUP(A1164,'Model Modeshare by TAZ'!A:A,'Model Modeshare by TAZ'!D:D)</f>
        <v>NO</v>
      </c>
      <c r="D1164" s="6">
        <v>3</v>
      </c>
      <c r="E1164" s="6">
        <v>33</v>
      </c>
      <c r="F1164" s="6">
        <v>88</v>
      </c>
      <c r="G1164" s="6">
        <v>92</v>
      </c>
      <c r="H1164" s="6">
        <v>48</v>
      </c>
      <c r="I1164" s="6">
        <v>10</v>
      </c>
      <c r="J1164" s="6">
        <v>23</v>
      </c>
      <c r="K1164" s="40">
        <v>3</v>
      </c>
      <c r="L1164" s="40">
        <v>1</v>
      </c>
      <c r="M1164" s="40">
        <v>0</v>
      </c>
      <c r="N1164" s="40">
        <v>0</v>
      </c>
      <c r="O1164" s="40">
        <v>0</v>
      </c>
      <c r="P1164" s="40">
        <v>0</v>
      </c>
      <c r="Q1164" s="40">
        <v>0</v>
      </c>
      <c r="R1164" s="40">
        <v>0</v>
      </c>
      <c r="S1164" s="40">
        <v>0</v>
      </c>
    </row>
    <row r="1165" spans="1:19" x14ac:dyDescent="0.35">
      <c r="A1165" s="38">
        <v>1162</v>
      </c>
      <c r="B1165" s="38" t="str">
        <f>_xlfn.XLOOKUP(A1165,'Model Modeshare by TAZ'!A:A,'Model Modeshare by TAZ'!B:B)</f>
        <v>San Jose</v>
      </c>
      <c r="C1165" s="38" t="str">
        <f>_xlfn.XLOOKUP(A1165,'Model Modeshare by TAZ'!A:A,'Model Modeshare by TAZ'!D:D)</f>
        <v>NO</v>
      </c>
      <c r="D1165" s="6">
        <v>3</v>
      </c>
      <c r="E1165" s="6">
        <v>79</v>
      </c>
      <c r="F1165" s="6">
        <v>212</v>
      </c>
      <c r="G1165" s="6">
        <v>259</v>
      </c>
      <c r="H1165" s="6">
        <v>111</v>
      </c>
      <c r="I1165" s="6">
        <v>24</v>
      </c>
      <c r="J1165" s="6">
        <v>55</v>
      </c>
      <c r="K1165" s="40">
        <v>10</v>
      </c>
      <c r="L1165" s="40">
        <v>1</v>
      </c>
      <c r="M1165" s="40">
        <v>33</v>
      </c>
      <c r="N1165" s="40">
        <v>6</v>
      </c>
      <c r="O1165" s="40">
        <v>16</v>
      </c>
      <c r="P1165" s="40">
        <v>7</v>
      </c>
      <c r="Q1165" s="40">
        <v>2</v>
      </c>
      <c r="R1165" s="40">
        <v>2</v>
      </c>
      <c r="S1165" s="40">
        <v>0</v>
      </c>
    </row>
    <row r="1166" spans="1:19" x14ac:dyDescent="0.35">
      <c r="A1166" s="38">
        <v>1163</v>
      </c>
      <c r="B1166" s="38" t="str">
        <f>_xlfn.XLOOKUP(A1166,'Model Modeshare by TAZ'!A:A,'Model Modeshare by TAZ'!B:B)</f>
        <v>San Jose</v>
      </c>
      <c r="C1166" s="38" t="str">
        <f>_xlfn.XLOOKUP(A1166,'Model Modeshare by TAZ'!A:A,'Model Modeshare by TAZ'!D:D)</f>
        <v>NO</v>
      </c>
      <c r="D1166" s="6">
        <v>3</v>
      </c>
      <c r="E1166" s="6">
        <v>171</v>
      </c>
      <c r="F1166" s="6">
        <v>462</v>
      </c>
      <c r="G1166" s="6">
        <v>473</v>
      </c>
      <c r="H1166" s="6">
        <v>246</v>
      </c>
      <c r="I1166" s="6">
        <v>51</v>
      </c>
      <c r="J1166" s="6">
        <v>120</v>
      </c>
      <c r="K1166" s="40">
        <v>9</v>
      </c>
      <c r="L1166" s="40">
        <v>30</v>
      </c>
      <c r="M1166" s="40">
        <v>300</v>
      </c>
      <c r="N1166" s="40">
        <v>36</v>
      </c>
      <c r="O1166" s="40">
        <v>160</v>
      </c>
      <c r="P1166" s="40">
        <v>51</v>
      </c>
      <c r="Q1166" s="40">
        <v>1</v>
      </c>
      <c r="R1166" s="40">
        <v>35</v>
      </c>
      <c r="S1166" s="40">
        <v>17</v>
      </c>
    </row>
    <row r="1167" spans="1:19" x14ac:dyDescent="0.35">
      <c r="A1167" s="38">
        <v>1164</v>
      </c>
      <c r="B1167" s="38" t="str">
        <f>_xlfn.XLOOKUP(A1167,'Model Modeshare by TAZ'!A:A,'Model Modeshare by TAZ'!B:B)</f>
        <v>San Jose</v>
      </c>
      <c r="C1167" s="38" t="str">
        <f>_xlfn.XLOOKUP(A1167,'Model Modeshare by TAZ'!A:A,'Model Modeshare by TAZ'!D:D)</f>
        <v>NO</v>
      </c>
      <c r="D1167" s="6">
        <v>3</v>
      </c>
      <c r="E1167" s="6">
        <v>242</v>
      </c>
      <c r="F1167" s="6">
        <v>651</v>
      </c>
      <c r="G1167" s="6">
        <v>693</v>
      </c>
      <c r="H1167" s="6">
        <v>348</v>
      </c>
      <c r="I1167" s="6">
        <v>72</v>
      </c>
      <c r="J1167" s="6">
        <v>170</v>
      </c>
      <c r="K1167" s="40">
        <v>10</v>
      </c>
      <c r="L1167" s="40">
        <v>13</v>
      </c>
      <c r="M1167" s="40">
        <v>252</v>
      </c>
      <c r="N1167" s="40">
        <v>93</v>
      </c>
      <c r="O1167" s="40">
        <v>123</v>
      </c>
      <c r="P1167" s="40">
        <v>19</v>
      </c>
      <c r="Q1167" s="40">
        <v>0</v>
      </c>
      <c r="R1167" s="40">
        <v>7</v>
      </c>
      <c r="S1167" s="40">
        <v>10</v>
      </c>
    </row>
    <row r="1168" spans="1:19" x14ac:dyDescent="0.35">
      <c r="A1168" s="38">
        <v>1165</v>
      </c>
      <c r="B1168" s="38" t="str">
        <f>_xlfn.XLOOKUP(A1168,'Model Modeshare by TAZ'!A:A,'Model Modeshare by TAZ'!B:B)</f>
        <v>San Jose</v>
      </c>
      <c r="C1168" s="38" t="str">
        <f>_xlfn.XLOOKUP(A1168,'Model Modeshare by TAZ'!A:A,'Model Modeshare by TAZ'!D:D)</f>
        <v>NO</v>
      </c>
      <c r="D1168" s="6">
        <v>3</v>
      </c>
      <c r="E1168" s="6">
        <v>18</v>
      </c>
      <c r="F1168" s="6">
        <v>57</v>
      </c>
      <c r="G1168" s="6">
        <v>90</v>
      </c>
      <c r="H1168" s="6">
        <v>31</v>
      </c>
      <c r="I1168" s="6">
        <v>10</v>
      </c>
      <c r="J1168" s="6">
        <v>8</v>
      </c>
      <c r="K1168" s="40">
        <v>7</v>
      </c>
      <c r="L1168" s="40">
        <v>94</v>
      </c>
      <c r="M1168" s="40">
        <v>1272</v>
      </c>
      <c r="N1168" s="40">
        <v>160</v>
      </c>
      <c r="O1168" s="40">
        <v>508</v>
      </c>
      <c r="P1168" s="40">
        <v>256</v>
      </c>
      <c r="Q1168" s="40">
        <v>0</v>
      </c>
      <c r="R1168" s="40">
        <v>259</v>
      </c>
      <c r="S1168" s="40">
        <v>89</v>
      </c>
    </row>
    <row r="1169" spans="1:19" x14ac:dyDescent="0.35">
      <c r="A1169" s="38">
        <v>1166</v>
      </c>
      <c r="B1169" s="38" t="str">
        <f>_xlfn.XLOOKUP(A1169,'Model Modeshare by TAZ'!A:A,'Model Modeshare by TAZ'!B:B)</f>
        <v>San Jose</v>
      </c>
      <c r="C1169" s="38" t="str">
        <f>_xlfn.XLOOKUP(A1169,'Model Modeshare by TAZ'!A:A,'Model Modeshare by TAZ'!D:D)</f>
        <v>NO</v>
      </c>
      <c r="D1169" s="6">
        <v>3</v>
      </c>
      <c r="E1169" s="6">
        <v>336</v>
      </c>
      <c r="F1169" s="6">
        <v>1096</v>
      </c>
      <c r="G1169" s="6">
        <v>1106</v>
      </c>
      <c r="H1169" s="6">
        <v>541</v>
      </c>
      <c r="I1169" s="6">
        <v>182</v>
      </c>
      <c r="J1169" s="6">
        <v>154</v>
      </c>
      <c r="K1169" s="40">
        <v>30</v>
      </c>
      <c r="L1169" s="40">
        <v>3</v>
      </c>
      <c r="M1169" s="40">
        <v>193</v>
      </c>
      <c r="N1169" s="40">
        <v>3</v>
      </c>
      <c r="O1169" s="40">
        <v>14</v>
      </c>
      <c r="P1169" s="40">
        <v>171</v>
      </c>
      <c r="Q1169" s="40">
        <v>5</v>
      </c>
      <c r="R1169" s="40">
        <v>0</v>
      </c>
      <c r="S1169" s="40">
        <v>0</v>
      </c>
    </row>
    <row r="1170" spans="1:19" x14ac:dyDescent="0.35">
      <c r="A1170" s="38">
        <v>1167</v>
      </c>
      <c r="B1170" s="38" t="str">
        <f>_xlfn.XLOOKUP(A1170,'Model Modeshare by TAZ'!A:A,'Model Modeshare by TAZ'!B:B)</f>
        <v>San Jose</v>
      </c>
      <c r="C1170" s="38" t="str">
        <f>_xlfn.XLOOKUP(A1170,'Model Modeshare by TAZ'!A:A,'Model Modeshare by TAZ'!D:D)</f>
        <v>NO</v>
      </c>
      <c r="D1170" s="6">
        <v>3</v>
      </c>
      <c r="E1170" s="6">
        <v>271</v>
      </c>
      <c r="F1170" s="6">
        <v>883</v>
      </c>
      <c r="G1170" s="6">
        <v>894</v>
      </c>
      <c r="H1170" s="6">
        <v>435</v>
      </c>
      <c r="I1170" s="6">
        <v>147</v>
      </c>
      <c r="J1170" s="6">
        <v>124</v>
      </c>
      <c r="K1170" s="40">
        <v>26</v>
      </c>
      <c r="L1170" s="40">
        <v>5</v>
      </c>
      <c r="M1170" s="40">
        <v>17</v>
      </c>
      <c r="N1170" s="40">
        <v>0</v>
      </c>
      <c r="O1170" s="40">
        <v>3</v>
      </c>
      <c r="P1170" s="40">
        <v>3</v>
      </c>
      <c r="Q1170" s="40">
        <v>0</v>
      </c>
      <c r="R1170" s="40">
        <v>7</v>
      </c>
      <c r="S1170" s="40">
        <v>4</v>
      </c>
    </row>
    <row r="1171" spans="1:19" x14ac:dyDescent="0.35">
      <c r="A1171" s="38">
        <v>1168</v>
      </c>
      <c r="B1171" s="38" t="str">
        <f>_xlfn.XLOOKUP(A1171,'Model Modeshare by TAZ'!A:A,'Model Modeshare by TAZ'!B:B)</f>
        <v>San Jose</v>
      </c>
      <c r="C1171" s="38" t="str">
        <f>_xlfn.XLOOKUP(A1171,'Model Modeshare by TAZ'!A:A,'Model Modeshare by TAZ'!D:D)</f>
        <v>NO</v>
      </c>
      <c r="D1171" s="6">
        <v>3</v>
      </c>
      <c r="E1171" s="6">
        <v>443</v>
      </c>
      <c r="F1171" s="6">
        <v>1238</v>
      </c>
      <c r="G1171" s="6">
        <v>1238</v>
      </c>
      <c r="H1171" s="6">
        <v>843</v>
      </c>
      <c r="I1171" s="6">
        <v>203</v>
      </c>
      <c r="J1171" s="6">
        <v>240</v>
      </c>
      <c r="K1171" s="40">
        <v>16</v>
      </c>
      <c r="L1171" s="40">
        <v>12</v>
      </c>
      <c r="M1171" s="40">
        <v>33</v>
      </c>
      <c r="N1171" s="40">
        <v>15</v>
      </c>
      <c r="O1171" s="40">
        <v>18</v>
      </c>
      <c r="P1171" s="40">
        <v>0</v>
      </c>
      <c r="Q1171" s="40">
        <v>0</v>
      </c>
      <c r="R1171" s="40">
        <v>0</v>
      </c>
      <c r="S1171" s="40">
        <v>0</v>
      </c>
    </row>
    <row r="1172" spans="1:19" x14ac:dyDescent="0.35">
      <c r="A1172" s="38">
        <v>1169</v>
      </c>
      <c r="B1172" s="38" t="str">
        <f>_xlfn.XLOOKUP(A1172,'Model Modeshare by TAZ'!A:A,'Model Modeshare by TAZ'!B:B)</f>
        <v>San Jose</v>
      </c>
      <c r="C1172" s="38" t="str">
        <f>_xlfn.XLOOKUP(A1172,'Model Modeshare by TAZ'!A:A,'Model Modeshare by TAZ'!D:D)</f>
        <v>NO</v>
      </c>
      <c r="D1172" s="6">
        <v>3</v>
      </c>
      <c r="E1172" s="6">
        <v>135</v>
      </c>
      <c r="F1172" s="6">
        <v>376</v>
      </c>
      <c r="G1172" s="6">
        <v>376</v>
      </c>
      <c r="H1172" s="6">
        <v>255</v>
      </c>
      <c r="I1172" s="6">
        <v>62</v>
      </c>
      <c r="J1172" s="6">
        <v>73</v>
      </c>
      <c r="K1172" s="40">
        <v>9</v>
      </c>
      <c r="L1172" s="40">
        <v>37</v>
      </c>
      <c r="M1172" s="40">
        <v>0</v>
      </c>
      <c r="N1172" s="40">
        <v>0</v>
      </c>
      <c r="O1172" s="40">
        <v>0</v>
      </c>
      <c r="P1172" s="40">
        <v>0</v>
      </c>
      <c r="Q1172" s="40">
        <v>0</v>
      </c>
      <c r="R1172" s="40">
        <v>0</v>
      </c>
      <c r="S1172" s="40">
        <v>0</v>
      </c>
    </row>
    <row r="1173" spans="1:19" x14ac:dyDescent="0.35">
      <c r="A1173" s="38">
        <v>1170</v>
      </c>
      <c r="B1173" s="38" t="str">
        <f>_xlfn.XLOOKUP(A1173,'Model Modeshare by TAZ'!A:A,'Model Modeshare by TAZ'!B:B)</f>
        <v>San Jose</v>
      </c>
      <c r="C1173" s="38" t="str">
        <f>_xlfn.XLOOKUP(A1173,'Model Modeshare by TAZ'!A:A,'Model Modeshare by TAZ'!D:D)</f>
        <v>NO</v>
      </c>
      <c r="D1173" s="6">
        <v>3</v>
      </c>
      <c r="E1173" s="6">
        <v>245</v>
      </c>
      <c r="F1173" s="6">
        <v>683</v>
      </c>
      <c r="G1173" s="6">
        <v>685</v>
      </c>
      <c r="H1173" s="6">
        <v>464</v>
      </c>
      <c r="I1173" s="6">
        <v>112</v>
      </c>
      <c r="J1173" s="6">
        <v>133</v>
      </c>
      <c r="K1173" s="40">
        <v>23</v>
      </c>
      <c r="L1173" s="40">
        <v>7</v>
      </c>
      <c r="M1173" s="40">
        <v>39</v>
      </c>
      <c r="N1173" s="40">
        <v>24</v>
      </c>
      <c r="O1173" s="40">
        <v>15</v>
      </c>
      <c r="P1173" s="40">
        <v>0</v>
      </c>
      <c r="Q1173" s="40">
        <v>0</v>
      </c>
      <c r="R1173" s="40">
        <v>0</v>
      </c>
      <c r="S1173" s="40">
        <v>0</v>
      </c>
    </row>
    <row r="1174" spans="1:19" x14ac:dyDescent="0.35">
      <c r="A1174" s="38">
        <v>1171</v>
      </c>
      <c r="B1174" s="38" t="str">
        <f>_xlfn.XLOOKUP(A1174,'Model Modeshare by TAZ'!A:A,'Model Modeshare by TAZ'!B:B)</f>
        <v>San Jose</v>
      </c>
      <c r="C1174" s="38" t="str">
        <f>_xlfn.XLOOKUP(A1174,'Model Modeshare by TAZ'!A:A,'Model Modeshare by TAZ'!D:D)</f>
        <v>NO</v>
      </c>
      <c r="D1174" s="6">
        <v>3</v>
      </c>
      <c r="E1174" s="6">
        <v>226</v>
      </c>
      <c r="F1174" s="6">
        <v>628</v>
      </c>
      <c r="G1174" s="6">
        <v>628</v>
      </c>
      <c r="H1174" s="6">
        <v>427</v>
      </c>
      <c r="I1174" s="6">
        <v>103</v>
      </c>
      <c r="J1174" s="6">
        <v>123</v>
      </c>
      <c r="K1174" s="40">
        <v>10</v>
      </c>
      <c r="L1174" s="40">
        <v>33</v>
      </c>
      <c r="M1174" s="40">
        <v>59</v>
      </c>
      <c r="N1174" s="40">
        <v>33</v>
      </c>
      <c r="O1174" s="40">
        <v>26</v>
      </c>
      <c r="P1174" s="40">
        <v>0</v>
      </c>
      <c r="Q1174" s="40">
        <v>0</v>
      </c>
      <c r="R1174" s="40">
        <v>0</v>
      </c>
      <c r="S1174" s="40">
        <v>0</v>
      </c>
    </row>
    <row r="1175" spans="1:19" x14ac:dyDescent="0.35">
      <c r="A1175" s="38">
        <v>1172</v>
      </c>
      <c r="B1175" s="38" t="str">
        <f>_xlfn.XLOOKUP(A1175,'Model Modeshare by TAZ'!A:A,'Model Modeshare by TAZ'!B:B)</f>
        <v>San Jose</v>
      </c>
      <c r="C1175" s="38" t="str">
        <f>_xlfn.XLOOKUP(A1175,'Model Modeshare by TAZ'!A:A,'Model Modeshare by TAZ'!D:D)</f>
        <v>NO</v>
      </c>
      <c r="D1175" s="6">
        <v>3</v>
      </c>
      <c r="E1175" s="6">
        <v>204</v>
      </c>
      <c r="F1175" s="6">
        <v>570</v>
      </c>
      <c r="G1175" s="6">
        <v>570</v>
      </c>
      <c r="H1175" s="6">
        <v>387</v>
      </c>
      <c r="I1175" s="6">
        <v>93</v>
      </c>
      <c r="J1175" s="6">
        <v>111</v>
      </c>
      <c r="K1175" s="40">
        <v>13</v>
      </c>
      <c r="L1175" s="40">
        <v>60</v>
      </c>
      <c r="M1175" s="40">
        <v>441</v>
      </c>
      <c r="N1175" s="40">
        <v>45</v>
      </c>
      <c r="O1175" s="40">
        <v>102</v>
      </c>
      <c r="P1175" s="40">
        <v>200</v>
      </c>
      <c r="Q1175" s="40">
        <v>0</v>
      </c>
      <c r="R1175" s="40">
        <v>75</v>
      </c>
      <c r="S1175" s="40">
        <v>19</v>
      </c>
    </row>
    <row r="1176" spans="1:19" x14ac:dyDescent="0.35">
      <c r="A1176" s="38">
        <v>1173</v>
      </c>
      <c r="B1176" s="38" t="str">
        <f>_xlfn.XLOOKUP(A1176,'Model Modeshare by TAZ'!A:A,'Model Modeshare by TAZ'!B:B)</f>
        <v>San Jose</v>
      </c>
      <c r="C1176" s="38" t="str">
        <f>_xlfn.XLOOKUP(A1176,'Model Modeshare by TAZ'!A:A,'Model Modeshare by TAZ'!D:D)</f>
        <v>NO</v>
      </c>
      <c r="D1176" s="6">
        <v>3</v>
      </c>
      <c r="E1176" s="6">
        <v>246</v>
      </c>
      <c r="F1176" s="6">
        <v>686</v>
      </c>
      <c r="G1176" s="6">
        <v>687</v>
      </c>
      <c r="H1176" s="6">
        <v>467</v>
      </c>
      <c r="I1176" s="6">
        <v>113</v>
      </c>
      <c r="J1176" s="6">
        <v>133</v>
      </c>
      <c r="K1176" s="40">
        <v>20</v>
      </c>
      <c r="L1176" s="40">
        <v>35</v>
      </c>
      <c r="M1176" s="40">
        <v>501</v>
      </c>
      <c r="N1176" s="40">
        <v>162</v>
      </c>
      <c r="O1176" s="40">
        <v>167</v>
      </c>
      <c r="P1176" s="40">
        <v>151</v>
      </c>
      <c r="Q1176" s="40">
        <v>0</v>
      </c>
      <c r="R1176" s="40">
        <v>18</v>
      </c>
      <c r="S1176" s="40">
        <v>3</v>
      </c>
    </row>
    <row r="1177" spans="1:19" x14ac:dyDescent="0.35">
      <c r="A1177" s="38">
        <v>1174</v>
      </c>
      <c r="B1177" s="38" t="str">
        <f>_xlfn.XLOOKUP(A1177,'Model Modeshare by TAZ'!A:A,'Model Modeshare by TAZ'!B:B)</f>
        <v>San Jose</v>
      </c>
      <c r="C1177" s="38" t="str">
        <f>_xlfn.XLOOKUP(A1177,'Model Modeshare by TAZ'!A:A,'Model Modeshare by TAZ'!D:D)</f>
        <v>NO</v>
      </c>
      <c r="D1177" s="6">
        <v>3</v>
      </c>
      <c r="E1177" s="6">
        <v>781</v>
      </c>
      <c r="F1177" s="6">
        <v>2891</v>
      </c>
      <c r="G1177" s="6">
        <v>2906</v>
      </c>
      <c r="H1177" s="6">
        <v>1173</v>
      </c>
      <c r="I1177" s="6">
        <v>294</v>
      </c>
      <c r="J1177" s="6">
        <v>487</v>
      </c>
      <c r="K1177" s="40">
        <v>85</v>
      </c>
      <c r="L1177" s="40">
        <v>36</v>
      </c>
      <c r="M1177" s="40">
        <v>310</v>
      </c>
      <c r="N1177" s="40">
        <v>57</v>
      </c>
      <c r="O1177" s="40">
        <v>82</v>
      </c>
      <c r="P1177" s="40">
        <v>85</v>
      </c>
      <c r="Q1177" s="40">
        <v>0</v>
      </c>
      <c r="R1177" s="40">
        <v>67</v>
      </c>
      <c r="S1177" s="40">
        <v>19</v>
      </c>
    </row>
    <row r="1178" spans="1:19" x14ac:dyDescent="0.35">
      <c r="A1178" s="38">
        <v>1175</v>
      </c>
      <c r="B1178" s="38" t="str">
        <f>_xlfn.XLOOKUP(A1178,'Model Modeshare by TAZ'!A:A,'Model Modeshare by TAZ'!B:B)</f>
        <v>San Jose</v>
      </c>
      <c r="C1178" s="38" t="str">
        <f>_xlfn.XLOOKUP(A1178,'Model Modeshare by TAZ'!A:A,'Model Modeshare by TAZ'!D:D)</f>
        <v>NO</v>
      </c>
      <c r="D1178" s="6">
        <v>3</v>
      </c>
      <c r="E1178" s="6">
        <v>1577</v>
      </c>
      <c r="F1178" s="6">
        <v>5822</v>
      </c>
      <c r="G1178" s="6">
        <v>5822</v>
      </c>
      <c r="H1178" s="6">
        <v>2916</v>
      </c>
      <c r="I1178" s="6">
        <v>641</v>
      </c>
      <c r="J1178" s="6">
        <v>936</v>
      </c>
      <c r="K1178" s="40">
        <v>133</v>
      </c>
      <c r="L1178" s="40">
        <v>9</v>
      </c>
      <c r="M1178" s="40">
        <v>98</v>
      </c>
      <c r="N1178" s="40">
        <v>3</v>
      </c>
      <c r="O1178" s="40">
        <v>63</v>
      </c>
      <c r="P1178" s="40">
        <v>4</v>
      </c>
      <c r="Q1178" s="40">
        <v>0</v>
      </c>
      <c r="R1178" s="40">
        <v>28</v>
      </c>
      <c r="S1178" s="40">
        <v>0</v>
      </c>
    </row>
    <row r="1179" spans="1:19" x14ac:dyDescent="0.35">
      <c r="A1179" s="38">
        <v>1176</v>
      </c>
      <c r="B1179" s="38" t="str">
        <f>_xlfn.XLOOKUP(A1179,'Model Modeshare by TAZ'!A:A,'Model Modeshare by TAZ'!B:B)</f>
        <v>San Jose</v>
      </c>
      <c r="C1179" s="38" t="str">
        <f>_xlfn.XLOOKUP(A1179,'Model Modeshare by TAZ'!A:A,'Model Modeshare by TAZ'!D:D)</f>
        <v>NO</v>
      </c>
      <c r="D1179" s="6">
        <v>3</v>
      </c>
      <c r="E1179" s="6">
        <v>1097</v>
      </c>
      <c r="F1179" s="6">
        <v>5239</v>
      </c>
      <c r="G1179" s="6">
        <v>5310</v>
      </c>
      <c r="H1179" s="6">
        <v>2486</v>
      </c>
      <c r="I1179" s="6">
        <v>1017</v>
      </c>
      <c r="J1179" s="6">
        <v>80</v>
      </c>
      <c r="K1179" s="40">
        <v>199</v>
      </c>
      <c r="L1179" s="40">
        <v>21</v>
      </c>
      <c r="M1179" s="40">
        <v>194</v>
      </c>
      <c r="N1179" s="40">
        <v>31</v>
      </c>
      <c r="O1179" s="40">
        <v>70</v>
      </c>
      <c r="P1179" s="40">
        <v>93</v>
      </c>
      <c r="Q1179" s="40">
        <v>0</v>
      </c>
      <c r="R1179" s="40">
        <v>0</v>
      </c>
      <c r="S1179" s="40">
        <v>0</v>
      </c>
    </row>
    <row r="1180" spans="1:19" x14ac:dyDescent="0.35">
      <c r="A1180" s="38">
        <v>1177</v>
      </c>
      <c r="B1180" s="38" t="str">
        <f>_xlfn.XLOOKUP(A1180,'Model Modeshare by TAZ'!A:A,'Model Modeshare by TAZ'!B:B)</f>
        <v>San Jose</v>
      </c>
      <c r="C1180" s="38" t="str">
        <f>_xlfn.XLOOKUP(A1180,'Model Modeshare by TAZ'!A:A,'Model Modeshare by TAZ'!D:D)</f>
        <v>NO</v>
      </c>
      <c r="D1180" s="6">
        <v>3</v>
      </c>
      <c r="E1180" s="6">
        <v>543</v>
      </c>
      <c r="F1180" s="6">
        <v>2333</v>
      </c>
      <c r="G1180" s="6">
        <v>2362</v>
      </c>
      <c r="H1180" s="6">
        <v>1136</v>
      </c>
      <c r="I1180" s="6">
        <v>543</v>
      </c>
      <c r="J1180" s="6">
        <v>0</v>
      </c>
      <c r="K1180" s="40">
        <v>129</v>
      </c>
      <c r="L1180" s="40">
        <v>21</v>
      </c>
      <c r="M1180" s="40">
        <v>293</v>
      </c>
      <c r="N1180" s="40">
        <v>92</v>
      </c>
      <c r="O1180" s="40">
        <v>136</v>
      </c>
      <c r="P1180" s="40">
        <v>64</v>
      </c>
      <c r="Q1180" s="40">
        <v>0</v>
      </c>
      <c r="R1180" s="40">
        <v>0</v>
      </c>
      <c r="S1180" s="40">
        <v>1</v>
      </c>
    </row>
    <row r="1181" spans="1:19" x14ac:dyDescent="0.35">
      <c r="A1181" s="38">
        <v>1178</v>
      </c>
      <c r="B1181" s="38" t="str">
        <f>_xlfn.XLOOKUP(A1181,'Model Modeshare by TAZ'!A:A,'Model Modeshare by TAZ'!B:B)</f>
        <v>San Jose</v>
      </c>
      <c r="C1181" s="38" t="str">
        <f>_xlfn.XLOOKUP(A1181,'Model Modeshare by TAZ'!A:A,'Model Modeshare by TAZ'!D:D)</f>
        <v>NO</v>
      </c>
      <c r="D1181" s="6">
        <v>3</v>
      </c>
      <c r="E1181" s="6">
        <v>591</v>
      </c>
      <c r="F1181" s="6">
        <v>2543</v>
      </c>
      <c r="G1181" s="6">
        <v>2570</v>
      </c>
      <c r="H1181" s="6">
        <v>1237</v>
      </c>
      <c r="I1181" s="6">
        <v>591</v>
      </c>
      <c r="J1181" s="6">
        <v>0</v>
      </c>
      <c r="K1181" s="40">
        <v>98</v>
      </c>
      <c r="L1181" s="40">
        <v>8</v>
      </c>
      <c r="M1181" s="40">
        <v>71</v>
      </c>
      <c r="N1181" s="40">
        <v>0</v>
      </c>
      <c r="O1181" s="40">
        <v>0</v>
      </c>
      <c r="P1181" s="40">
        <v>6</v>
      </c>
      <c r="Q1181" s="40">
        <v>65</v>
      </c>
      <c r="R1181" s="40">
        <v>0</v>
      </c>
      <c r="S1181" s="40">
        <v>0</v>
      </c>
    </row>
    <row r="1182" spans="1:19" x14ac:dyDescent="0.35">
      <c r="A1182" s="38">
        <v>1179</v>
      </c>
      <c r="B1182" s="38" t="str">
        <f>_xlfn.XLOOKUP(A1182,'Model Modeshare by TAZ'!A:A,'Model Modeshare by TAZ'!B:B)</f>
        <v>San Jose</v>
      </c>
      <c r="C1182" s="38" t="str">
        <f>_xlfn.XLOOKUP(A1182,'Model Modeshare by TAZ'!A:A,'Model Modeshare by TAZ'!D:D)</f>
        <v>NO</v>
      </c>
      <c r="D1182" s="6">
        <v>3</v>
      </c>
      <c r="E1182" s="6">
        <v>549</v>
      </c>
      <c r="F1182" s="6">
        <v>2393</v>
      </c>
      <c r="G1182" s="6">
        <v>2426</v>
      </c>
      <c r="H1182" s="6">
        <v>1107</v>
      </c>
      <c r="I1182" s="6">
        <v>546</v>
      </c>
      <c r="J1182" s="6">
        <v>3</v>
      </c>
      <c r="K1182" s="40">
        <v>87</v>
      </c>
      <c r="L1182" s="40">
        <v>1</v>
      </c>
      <c r="M1182" s="40">
        <v>110</v>
      </c>
      <c r="N1182" s="40">
        <v>0</v>
      </c>
      <c r="O1182" s="40">
        <v>65</v>
      </c>
      <c r="P1182" s="40">
        <v>41</v>
      </c>
      <c r="Q1182" s="40">
        <v>3</v>
      </c>
      <c r="R1182" s="40">
        <v>0</v>
      </c>
      <c r="S1182" s="40">
        <v>1</v>
      </c>
    </row>
    <row r="1183" spans="1:19" x14ac:dyDescent="0.35">
      <c r="A1183" s="38">
        <v>1180</v>
      </c>
      <c r="B1183" s="38" t="str">
        <f>_xlfn.XLOOKUP(A1183,'Model Modeshare by TAZ'!A:A,'Model Modeshare by TAZ'!B:B)</f>
        <v>San Jose</v>
      </c>
      <c r="C1183" s="38" t="str">
        <f>_xlfn.XLOOKUP(A1183,'Model Modeshare by TAZ'!A:A,'Model Modeshare by TAZ'!D:D)</f>
        <v>NO</v>
      </c>
      <c r="D1183" s="6">
        <v>3</v>
      </c>
      <c r="E1183" s="6">
        <v>436</v>
      </c>
      <c r="F1183" s="6">
        <v>1904</v>
      </c>
      <c r="G1183" s="6">
        <v>1928</v>
      </c>
      <c r="H1183" s="6">
        <v>882</v>
      </c>
      <c r="I1183" s="6">
        <v>433</v>
      </c>
      <c r="J1183" s="6">
        <v>3</v>
      </c>
      <c r="K1183" s="40">
        <v>68</v>
      </c>
      <c r="L1183" s="40">
        <v>28</v>
      </c>
      <c r="M1183" s="40">
        <v>354</v>
      </c>
      <c r="N1183" s="40">
        <v>118</v>
      </c>
      <c r="O1183" s="40">
        <v>114</v>
      </c>
      <c r="P1183" s="40">
        <v>115</v>
      </c>
      <c r="Q1183" s="40">
        <v>6</v>
      </c>
      <c r="R1183" s="40">
        <v>0</v>
      </c>
      <c r="S1183" s="40">
        <v>1</v>
      </c>
    </row>
    <row r="1184" spans="1:19" x14ac:dyDescent="0.35">
      <c r="A1184" s="38">
        <v>1181</v>
      </c>
      <c r="B1184" s="38" t="str">
        <f>_xlfn.XLOOKUP(A1184,'Model Modeshare by TAZ'!A:A,'Model Modeshare by TAZ'!B:B)</f>
        <v>San Jose</v>
      </c>
      <c r="C1184" s="38" t="str">
        <f>_xlfn.XLOOKUP(A1184,'Model Modeshare by TAZ'!A:A,'Model Modeshare by TAZ'!D:D)</f>
        <v>NO</v>
      </c>
      <c r="D1184" s="6">
        <v>3</v>
      </c>
      <c r="E1184" s="6">
        <v>1236</v>
      </c>
      <c r="F1184" s="6">
        <v>4636</v>
      </c>
      <c r="G1184" s="6">
        <v>4707</v>
      </c>
      <c r="H1184" s="6">
        <v>1786</v>
      </c>
      <c r="I1184" s="6">
        <v>637</v>
      </c>
      <c r="J1184" s="6">
        <v>599</v>
      </c>
      <c r="K1184" s="40">
        <v>164</v>
      </c>
      <c r="L1184" s="40">
        <v>22</v>
      </c>
      <c r="M1184" s="40">
        <v>329</v>
      </c>
      <c r="N1184" s="40">
        <v>54</v>
      </c>
      <c r="O1184" s="40">
        <v>145</v>
      </c>
      <c r="P1184" s="40">
        <v>112</v>
      </c>
      <c r="Q1184" s="40">
        <v>1</v>
      </c>
      <c r="R1184" s="40">
        <v>8</v>
      </c>
      <c r="S1184" s="40">
        <v>9</v>
      </c>
    </row>
    <row r="1185" spans="1:19" x14ac:dyDescent="0.35">
      <c r="A1185" s="38">
        <v>1182</v>
      </c>
      <c r="B1185" s="38" t="str">
        <f>_xlfn.XLOOKUP(A1185,'Model Modeshare by TAZ'!A:A,'Model Modeshare by TAZ'!B:B)</f>
        <v>San Jose</v>
      </c>
      <c r="C1185" s="38" t="str">
        <f>_xlfn.XLOOKUP(A1185,'Model Modeshare by TAZ'!A:A,'Model Modeshare by TAZ'!D:D)</f>
        <v>NO</v>
      </c>
      <c r="D1185" s="6">
        <v>3</v>
      </c>
      <c r="E1185" s="6">
        <v>335</v>
      </c>
      <c r="F1185" s="6">
        <v>874</v>
      </c>
      <c r="G1185" s="6">
        <v>910</v>
      </c>
      <c r="H1185" s="6">
        <v>342</v>
      </c>
      <c r="I1185" s="6">
        <v>95</v>
      </c>
      <c r="J1185" s="6">
        <v>240</v>
      </c>
      <c r="K1185" s="40">
        <v>28</v>
      </c>
      <c r="L1185" s="40">
        <v>18</v>
      </c>
      <c r="M1185" s="40">
        <v>0</v>
      </c>
      <c r="N1185" s="40">
        <v>0</v>
      </c>
      <c r="O1185" s="40">
        <v>0</v>
      </c>
      <c r="P1185" s="40">
        <v>0</v>
      </c>
      <c r="Q1185" s="40">
        <v>0</v>
      </c>
      <c r="R1185" s="40">
        <v>0</v>
      </c>
      <c r="S1185" s="40">
        <v>0</v>
      </c>
    </row>
    <row r="1186" spans="1:19" x14ac:dyDescent="0.35">
      <c r="A1186" s="38">
        <v>1183</v>
      </c>
      <c r="B1186" s="38" t="str">
        <f>_xlfn.XLOOKUP(A1186,'Model Modeshare by TAZ'!A:A,'Model Modeshare by TAZ'!B:B)</f>
        <v>San Jose</v>
      </c>
      <c r="C1186" s="38" t="str">
        <f>_xlfn.XLOOKUP(A1186,'Model Modeshare by TAZ'!A:A,'Model Modeshare by TAZ'!D:D)</f>
        <v>NO</v>
      </c>
      <c r="D1186" s="6">
        <v>3</v>
      </c>
      <c r="E1186" s="6">
        <v>56</v>
      </c>
      <c r="F1186" s="6">
        <v>146</v>
      </c>
      <c r="G1186" s="6">
        <v>193</v>
      </c>
      <c r="H1186" s="6">
        <v>57</v>
      </c>
      <c r="I1186" s="6">
        <v>14</v>
      </c>
      <c r="J1186" s="6">
        <v>42</v>
      </c>
      <c r="K1186" s="40">
        <v>14</v>
      </c>
      <c r="L1186" s="40">
        <v>94</v>
      </c>
      <c r="M1186" s="40">
        <v>1331</v>
      </c>
      <c r="N1186" s="40">
        <v>70</v>
      </c>
      <c r="O1186" s="40">
        <v>479</v>
      </c>
      <c r="P1186" s="40">
        <v>428</v>
      </c>
      <c r="Q1186" s="40">
        <v>3</v>
      </c>
      <c r="R1186" s="40">
        <v>197</v>
      </c>
      <c r="S1186" s="40">
        <v>154</v>
      </c>
    </row>
    <row r="1187" spans="1:19" x14ac:dyDescent="0.35">
      <c r="A1187" s="38">
        <v>1184</v>
      </c>
      <c r="B1187" s="38" t="str">
        <f>_xlfn.XLOOKUP(A1187,'Model Modeshare by TAZ'!A:A,'Model Modeshare by TAZ'!B:B)</f>
        <v>San Jose</v>
      </c>
      <c r="C1187" s="38" t="str">
        <f>_xlfn.XLOOKUP(A1187,'Model Modeshare by TAZ'!A:A,'Model Modeshare by TAZ'!D:D)</f>
        <v>NO</v>
      </c>
      <c r="D1187" s="6">
        <v>3</v>
      </c>
      <c r="E1187" s="6">
        <v>0</v>
      </c>
      <c r="F1187" s="6">
        <v>0</v>
      </c>
      <c r="G1187" s="6">
        <v>0</v>
      </c>
      <c r="H1187" s="6">
        <v>0</v>
      </c>
      <c r="I1187" s="6">
        <v>0</v>
      </c>
      <c r="J1187" s="6">
        <v>0</v>
      </c>
      <c r="K1187" s="40">
        <v>0</v>
      </c>
      <c r="L1187" s="40">
        <v>146</v>
      </c>
      <c r="M1187" s="40">
        <v>3625</v>
      </c>
      <c r="N1187" s="40">
        <v>187</v>
      </c>
      <c r="O1187" s="40">
        <v>1249</v>
      </c>
      <c r="P1187" s="40">
        <v>1120</v>
      </c>
      <c r="Q1187" s="40">
        <v>7</v>
      </c>
      <c r="R1187" s="40">
        <v>607</v>
      </c>
      <c r="S1187" s="40">
        <v>455</v>
      </c>
    </row>
    <row r="1188" spans="1:19" x14ac:dyDescent="0.35">
      <c r="A1188" s="38">
        <v>1185</v>
      </c>
      <c r="B1188" s="38" t="str">
        <f>_xlfn.XLOOKUP(A1188,'Model Modeshare by TAZ'!A:A,'Model Modeshare by TAZ'!B:B)</f>
        <v>San Jose</v>
      </c>
      <c r="C1188" s="38" t="str">
        <f>_xlfn.XLOOKUP(A1188,'Model Modeshare by TAZ'!A:A,'Model Modeshare by TAZ'!D:D)</f>
        <v>NO</v>
      </c>
      <c r="D1188" s="6">
        <v>3</v>
      </c>
      <c r="E1188" s="6">
        <v>443</v>
      </c>
      <c r="F1188" s="6">
        <v>1153</v>
      </c>
      <c r="G1188" s="6">
        <v>1261</v>
      </c>
      <c r="H1188" s="6">
        <v>451</v>
      </c>
      <c r="I1188" s="6">
        <v>109</v>
      </c>
      <c r="J1188" s="6">
        <v>334</v>
      </c>
      <c r="K1188" s="40">
        <v>48</v>
      </c>
      <c r="L1188" s="40">
        <v>114</v>
      </c>
      <c r="M1188" s="40">
        <v>2415</v>
      </c>
      <c r="N1188" s="40">
        <v>176</v>
      </c>
      <c r="O1188" s="40">
        <v>870</v>
      </c>
      <c r="P1188" s="40">
        <v>606</v>
      </c>
      <c r="Q1188" s="40">
        <v>3</v>
      </c>
      <c r="R1188" s="40">
        <v>397</v>
      </c>
      <c r="S1188" s="40">
        <v>363</v>
      </c>
    </row>
    <row r="1189" spans="1:19" x14ac:dyDescent="0.35">
      <c r="A1189" s="38">
        <v>1186</v>
      </c>
      <c r="B1189" s="38" t="str">
        <f>_xlfn.XLOOKUP(A1189,'Model Modeshare by TAZ'!A:A,'Model Modeshare by TAZ'!B:B)</f>
        <v>San Jose</v>
      </c>
      <c r="C1189" s="38" t="str">
        <f>_xlfn.XLOOKUP(A1189,'Model Modeshare by TAZ'!A:A,'Model Modeshare by TAZ'!D:D)</f>
        <v>NO</v>
      </c>
      <c r="D1189" s="6">
        <v>3</v>
      </c>
      <c r="E1189" s="6">
        <v>43</v>
      </c>
      <c r="F1189" s="6">
        <v>113</v>
      </c>
      <c r="G1189" s="6">
        <v>118</v>
      </c>
      <c r="H1189" s="6">
        <v>44</v>
      </c>
      <c r="I1189" s="6">
        <v>13</v>
      </c>
      <c r="J1189" s="6">
        <v>30</v>
      </c>
      <c r="K1189" s="40">
        <v>4</v>
      </c>
      <c r="L1189" s="40">
        <v>86</v>
      </c>
      <c r="M1189" s="40">
        <v>1175</v>
      </c>
      <c r="N1189" s="40">
        <v>43</v>
      </c>
      <c r="O1189" s="40">
        <v>256</v>
      </c>
      <c r="P1189" s="40">
        <v>562</v>
      </c>
      <c r="Q1189" s="40">
        <v>2</v>
      </c>
      <c r="R1189" s="40">
        <v>163</v>
      </c>
      <c r="S1189" s="40">
        <v>149</v>
      </c>
    </row>
    <row r="1190" spans="1:19" x14ac:dyDescent="0.35">
      <c r="A1190" s="38">
        <v>1187</v>
      </c>
      <c r="B1190" s="38" t="str">
        <f>_xlfn.XLOOKUP(A1190,'Model Modeshare by TAZ'!A:A,'Model Modeshare by TAZ'!B:B)</f>
        <v>San Jose</v>
      </c>
      <c r="C1190" s="38" t="str">
        <f>_xlfn.XLOOKUP(A1190,'Model Modeshare by TAZ'!A:A,'Model Modeshare by TAZ'!D:D)</f>
        <v>NO</v>
      </c>
      <c r="D1190" s="6">
        <v>3</v>
      </c>
      <c r="E1190" s="6">
        <v>1318</v>
      </c>
      <c r="F1190" s="6">
        <v>3434</v>
      </c>
      <c r="G1190" s="6">
        <v>3514</v>
      </c>
      <c r="H1190" s="6">
        <v>1515</v>
      </c>
      <c r="I1190" s="6">
        <v>324</v>
      </c>
      <c r="J1190" s="6">
        <v>994</v>
      </c>
      <c r="K1190" s="40">
        <v>126</v>
      </c>
      <c r="L1190" s="40">
        <v>30</v>
      </c>
      <c r="M1190" s="40">
        <v>164</v>
      </c>
      <c r="N1190" s="40">
        <v>9</v>
      </c>
      <c r="O1190" s="40">
        <v>83</v>
      </c>
      <c r="P1190" s="40">
        <v>36</v>
      </c>
      <c r="Q1190" s="40">
        <v>2</v>
      </c>
      <c r="R1190" s="40">
        <v>18</v>
      </c>
      <c r="S1190" s="40">
        <v>16</v>
      </c>
    </row>
    <row r="1191" spans="1:19" x14ac:dyDescent="0.35">
      <c r="A1191" s="38">
        <v>1188</v>
      </c>
      <c r="B1191" s="38" t="str">
        <f>_xlfn.XLOOKUP(A1191,'Model Modeshare by TAZ'!A:A,'Model Modeshare by TAZ'!B:B)</f>
        <v>San Jose</v>
      </c>
      <c r="C1191" s="38" t="str">
        <f>_xlfn.XLOOKUP(A1191,'Model Modeshare by TAZ'!A:A,'Model Modeshare by TAZ'!D:D)</f>
        <v>NO</v>
      </c>
      <c r="D1191" s="6">
        <v>3</v>
      </c>
      <c r="E1191" s="6">
        <v>673</v>
      </c>
      <c r="F1191" s="6">
        <v>1754</v>
      </c>
      <c r="G1191" s="6">
        <v>1799</v>
      </c>
      <c r="H1191" s="6">
        <v>1020</v>
      </c>
      <c r="I1191" s="6">
        <v>166</v>
      </c>
      <c r="J1191" s="6">
        <v>507</v>
      </c>
      <c r="K1191" s="40">
        <v>76</v>
      </c>
      <c r="L1191" s="40">
        <v>65</v>
      </c>
      <c r="M1191" s="40">
        <v>1174</v>
      </c>
      <c r="N1191" s="40">
        <v>86</v>
      </c>
      <c r="O1191" s="40">
        <v>416</v>
      </c>
      <c r="P1191" s="40">
        <v>330</v>
      </c>
      <c r="Q1191" s="40">
        <v>6</v>
      </c>
      <c r="R1191" s="40">
        <v>188</v>
      </c>
      <c r="S1191" s="40">
        <v>148</v>
      </c>
    </row>
    <row r="1192" spans="1:19" x14ac:dyDescent="0.35">
      <c r="A1192" s="38">
        <v>1189</v>
      </c>
      <c r="B1192" s="38" t="str">
        <f>_xlfn.XLOOKUP(A1192,'Model Modeshare by TAZ'!A:A,'Model Modeshare by TAZ'!B:B)</f>
        <v>San Jose</v>
      </c>
      <c r="C1192" s="38" t="str">
        <f>_xlfn.XLOOKUP(A1192,'Model Modeshare by TAZ'!A:A,'Model Modeshare by TAZ'!D:D)</f>
        <v>NO</v>
      </c>
      <c r="D1192" s="6">
        <v>3</v>
      </c>
      <c r="E1192" s="6">
        <v>492</v>
      </c>
      <c r="F1192" s="6">
        <v>1282</v>
      </c>
      <c r="G1192" s="6">
        <v>1320</v>
      </c>
      <c r="H1192" s="6">
        <v>746</v>
      </c>
      <c r="I1192" s="6">
        <v>122</v>
      </c>
      <c r="J1192" s="6">
        <v>370</v>
      </c>
      <c r="K1192" s="40">
        <v>24</v>
      </c>
      <c r="L1192" s="40">
        <v>31</v>
      </c>
      <c r="M1192" s="40">
        <v>702</v>
      </c>
      <c r="N1192" s="40">
        <v>65</v>
      </c>
      <c r="O1192" s="40">
        <v>284</v>
      </c>
      <c r="P1192" s="40">
        <v>188</v>
      </c>
      <c r="Q1192" s="40">
        <v>8</v>
      </c>
      <c r="R1192" s="40">
        <v>90</v>
      </c>
      <c r="S1192" s="40">
        <v>67</v>
      </c>
    </row>
    <row r="1193" spans="1:19" x14ac:dyDescent="0.35">
      <c r="A1193" s="38">
        <v>1190</v>
      </c>
      <c r="B1193" s="38" t="str">
        <f>_xlfn.XLOOKUP(A1193,'Model Modeshare by TAZ'!A:A,'Model Modeshare by TAZ'!B:B)</f>
        <v>San Jose</v>
      </c>
      <c r="C1193" s="38" t="str">
        <f>_xlfn.XLOOKUP(A1193,'Model Modeshare by TAZ'!A:A,'Model Modeshare by TAZ'!D:D)</f>
        <v>NO</v>
      </c>
      <c r="D1193" s="6">
        <v>3</v>
      </c>
      <c r="E1193" s="6">
        <v>970</v>
      </c>
      <c r="F1193" s="6">
        <v>3334</v>
      </c>
      <c r="G1193" s="6">
        <v>3360</v>
      </c>
      <c r="H1193" s="6">
        <v>1601</v>
      </c>
      <c r="I1193" s="6">
        <v>285</v>
      </c>
      <c r="J1193" s="6">
        <v>685</v>
      </c>
      <c r="K1193" s="40">
        <v>177</v>
      </c>
      <c r="L1193" s="40">
        <v>93</v>
      </c>
      <c r="M1193" s="40">
        <v>1092</v>
      </c>
      <c r="N1193" s="40">
        <v>255</v>
      </c>
      <c r="O1193" s="40">
        <v>657</v>
      </c>
      <c r="P1193" s="40">
        <v>88</v>
      </c>
      <c r="Q1193" s="40">
        <v>1</v>
      </c>
      <c r="R1193" s="40">
        <v>40</v>
      </c>
      <c r="S1193" s="40">
        <v>51</v>
      </c>
    </row>
    <row r="1194" spans="1:19" x14ac:dyDescent="0.35">
      <c r="A1194" s="38">
        <v>1191</v>
      </c>
      <c r="B1194" s="38" t="str">
        <f>_xlfn.XLOOKUP(A1194,'Model Modeshare by TAZ'!A:A,'Model Modeshare by TAZ'!B:B)</f>
        <v>San Jose</v>
      </c>
      <c r="C1194" s="38" t="str">
        <f>_xlfn.XLOOKUP(A1194,'Model Modeshare by TAZ'!A:A,'Model Modeshare by TAZ'!D:D)</f>
        <v>NO</v>
      </c>
      <c r="D1194" s="6">
        <v>3</v>
      </c>
      <c r="E1194" s="6">
        <v>439</v>
      </c>
      <c r="F1194" s="6">
        <v>1509</v>
      </c>
      <c r="G1194" s="6">
        <v>1523</v>
      </c>
      <c r="H1194" s="6">
        <v>724</v>
      </c>
      <c r="I1194" s="6">
        <v>128</v>
      </c>
      <c r="J1194" s="6">
        <v>311</v>
      </c>
      <c r="K1194" s="40">
        <v>103</v>
      </c>
      <c r="L1194" s="40">
        <v>27</v>
      </c>
      <c r="M1194" s="40">
        <v>170</v>
      </c>
      <c r="N1194" s="40">
        <v>5</v>
      </c>
      <c r="O1194" s="40">
        <v>6</v>
      </c>
      <c r="P1194" s="40">
        <v>158</v>
      </c>
      <c r="Q1194" s="40">
        <v>1</v>
      </c>
      <c r="R1194" s="40">
        <v>0</v>
      </c>
      <c r="S1194" s="40">
        <v>0</v>
      </c>
    </row>
    <row r="1195" spans="1:19" x14ac:dyDescent="0.35">
      <c r="A1195" s="38">
        <v>1192</v>
      </c>
      <c r="B1195" s="38" t="str">
        <f>_xlfn.XLOOKUP(A1195,'Model Modeshare by TAZ'!A:A,'Model Modeshare by TAZ'!B:B)</f>
        <v>San Jose</v>
      </c>
      <c r="C1195" s="38" t="str">
        <f>_xlfn.XLOOKUP(A1195,'Model Modeshare by TAZ'!A:A,'Model Modeshare by TAZ'!D:D)</f>
        <v>NO</v>
      </c>
      <c r="D1195" s="6">
        <v>3</v>
      </c>
      <c r="E1195" s="6">
        <v>685</v>
      </c>
      <c r="F1195" s="6">
        <v>2642</v>
      </c>
      <c r="G1195" s="6">
        <v>2649</v>
      </c>
      <c r="H1195" s="6">
        <v>1198</v>
      </c>
      <c r="I1195" s="6">
        <v>451</v>
      </c>
      <c r="J1195" s="6">
        <v>234</v>
      </c>
      <c r="K1195" s="40">
        <v>93</v>
      </c>
      <c r="L1195" s="40">
        <v>7</v>
      </c>
      <c r="M1195" s="40">
        <v>161</v>
      </c>
      <c r="N1195" s="40">
        <v>104</v>
      </c>
      <c r="O1195" s="40">
        <v>36</v>
      </c>
      <c r="P1195" s="40">
        <v>11</v>
      </c>
      <c r="Q1195" s="40">
        <v>1</v>
      </c>
      <c r="R1195" s="40">
        <v>5</v>
      </c>
      <c r="S1195" s="40">
        <v>4</v>
      </c>
    </row>
    <row r="1196" spans="1:19" x14ac:dyDescent="0.35">
      <c r="A1196" s="38">
        <v>1193</v>
      </c>
      <c r="B1196" s="38" t="str">
        <f>_xlfn.XLOOKUP(A1196,'Model Modeshare by TAZ'!A:A,'Model Modeshare by TAZ'!B:B)</f>
        <v>San Jose</v>
      </c>
      <c r="C1196" s="38" t="str">
        <f>_xlfn.XLOOKUP(A1196,'Model Modeshare by TAZ'!A:A,'Model Modeshare by TAZ'!D:D)</f>
        <v>NO</v>
      </c>
      <c r="D1196" s="6">
        <v>3</v>
      </c>
      <c r="E1196" s="6">
        <v>13</v>
      </c>
      <c r="F1196" s="6">
        <v>26</v>
      </c>
      <c r="G1196" s="6">
        <v>26</v>
      </c>
      <c r="H1196" s="6">
        <v>16</v>
      </c>
      <c r="I1196" s="6">
        <v>4</v>
      </c>
      <c r="J1196" s="6">
        <v>9</v>
      </c>
      <c r="K1196" s="40">
        <v>1</v>
      </c>
      <c r="L1196" s="40">
        <v>3</v>
      </c>
      <c r="M1196" s="40">
        <v>174</v>
      </c>
      <c r="N1196" s="40">
        <v>15</v>
      </c>
      <c r="O1196" s="40">
        <v>73</v>
      </c>
      <c r="P1196" s="40">
        <v>66</v>
      </c>
      <c r="Q1196" s="40">
        <v>0</v>
      </c>
      <c r="R1196" s="40">
        <v>18</v>
      </c>
      <c r="S1196" s="40">
        <v>2</v>
      </c>
    </row>
    <row r="1197" spans="1:19" x14ac:dyDescent="0.35">
      <c r="A1197" s="38">
        <v>1194</v>
      </c>
      <c r="B1197" s="38" t="str">
        <f>_xlfn.XLOOKUP(A1197,'Model Modeshare by TAZ'!A:A,'Model Modeshare by TAZ'!B:B)</f>
        <v>San Jose</v>
      </c>
      <c r="C1197" s="38" t="str">
        <f>_xlfn.XLOOKUP(A1197,'Model Modeshare by TAZ'!A:A,'Model Modeshare by TAZ'!D:D)</f>
        <v>NO</v>
      </c>
      <c r="D1197" s="6">
        <v>3</v>
      </c>
      <c r="E1197" s="6">
        <v>70</v>
      </c>
      <c r="F1197" s="6">
        <v>133</v>
      </c>
      <c r="G1197" s="6">
        <v>133</v>
      </c>
      <c r="H1197" s="6">
        <v>87</v>
      </c>
      <c r="I1197" s="6">
        <v>23</v>
      </c>
      <c r="J1197" s="6">
        <v>47</v>
      </c>
      <c r="K1197" s="40">
        <v>1</v>
      </c>
      <c r="L1197" s="40">
        <v>9</v>
      </c>
      <c r="M1197" s="40">
        <v>251</v>
      </c>
      <c r="N1197" s="40">
        <v>10</v>
      </c>
      <c r="O1197" s="40">
        <v>60</v>
      </c>
      <c r="P1197" s="40">
        <v>168</v>
      </c>
      <c r="Q1197" s="40">
        <v>0</v>
      </c>
      <c r="R1197" s="40">
        <v>12</v>
      </c>
      <c r="S1197" s="40">
        <v>1</v>
      </c>
    </row>
    <row r="1198" spans="1:19" x14ac:dyDescent="0.35">
      <c r="A1198" s="38">
        <v>1195</v>
      </c>
      <c r="B1198" s="38" t="str">
        <f>_xlfn.XLOOKUP(A1198,'Model Modeshare by TAZ'!A:A,'Model Modeshare by TAZ'!B:B)</f>
        <v>San Jose</v>
      </c>
      <c r="C1198" s="38" t="str">
        <f>_xlfn.XLOOKUP(A1198,'Model Modeshare by TAZ'!A:A,'Model Modeshare by TAZ'!D:D)</f>
        <v>NO</v>
      </c>
      <c r="D1198" s="6">
        <v>3</v>
      </c>
      <c r="E1198" s="6">
        <v>0</v>
      </c>
      <c r="F1198" s="6">
        <v>0</v>
      </c>
      <c r="G1198" s="6">
        <v>0</v>
      </c>
      <c r="H1198" s="6">
        <v>0</v>
      </c>
      <c r="I1198" s="6">
        <v>0</v>
      </c>
      <c r="J1198" s="6">
        <v>0</v>
      </c>
      <c r="K1198" s="40">
        <v>0</v>
      </c>
      <c r="L1198" s="40">
        <v>8</v>
      </c>
      <c r="M1198" s="40">
        <v>1775</v>
      </c>
      <c r="N1198" s="40">
        <v>220</v>
      </c>
      <c r="O1198" s="40">
        <v>1003</v>
      </c>
      <c r="P1198" s="40">
        <v>364</v>
      </c>
      <c r="Q1198" s="40">
        <v>0</v>
      </c>
      <c r="R1198" s="40">
        <v>169</v>
      </c>
      <c r="S1198" s="40">
        <v>19</v>
      </c>
    </row>
    <row r="1199" spans="1:19" x14ac:dyDescent="0.35">
      <c r="A1199" s="38">
        <v>1196</v>
      </c>
      <c r="B1199" s="38" t="str">
        <f>_xlfn.XLOOKUP(A1199,'Model Modeshare by TAZ'!A:A,'Model Modeshare by TAZ'!B:B)</f>
        <v>San Jose</v>
      </c>
      <c r="C1199" s="38" t="str">
        <f>_xlfn.XLOOKUP(A1199,'Model Modeshare by TAZ'!A:A,'Model Modeshare by TAZ'!D:D)</f>
        <v>NO</v>
      </c>
      <c r="D1199" s="6">
        <v>3</v>
      </c>
      <c r="E1199" s="6">
        <v>0</v>
      </c>
      <c r="F1199" s="6">
        <v>0</v>
      </c>
      <c r="G1199" s="6">
        <v>0</v>
      </c>
      <c r="H1199" s="6">
        <v>0</v>
      </c>
      <c r="I1199" s="6">
        <v>0</v>
      </c>
      <c r="J1199" s="6">
        <v>0</v>
      </c>
      <c r="K1199" s="40">
        <v>0</v>
      </c>
      <c r="L1199" s="40">
        <v>1</v>
      </c>
      <c r="M1199" s="40">
        <v>805</v>
      </c>
      <c r="N1199" s="40">
        <v>71</v>
      </c>
      <c r="O1199" s="40">
        <v>436</v>
      </c>
      <c r="P1199" s="40">
        <v>197</v>
      </c>
      <c r="Q1199" s="40">
        <v>0</v>
      </c>
      <c r="R1199" s="40">
        <v>92</v>
      </c>
      <c r="S1199" s="40">
        <v>9</v>
      </c>
    </row>
    <row r="1200" spans="1:19" x14ac:dyDescent="0.35">
      <c r="A1200" s="38">
        <v>1197</v>
      </c>
      <c r="B1200" s="38" t="str">
        <f>_xlfn.XLOOKUP(A1200,'Model Modeshare by TAZ'!A:A,'Model Modeshare by TAZ'!B:B)</f>
        <v>San Jose</v>
      </c>
      <c r="C1200" s="38" t="str">
        <f>_xlfn.XLOOKUP(A1200,'Model Modeshare by TAZ'!A:A,'Model Modeshare by TAZ'!D:D)</f>
        <v>NO</v>
      </c>
      <c r="D1200" s="6">
        <v>3</v>
      </c>
      <c r="E1200" s="6">
        <v>2</v>
      </c>
      <c r="F1200" s="6">
        <v>4</v>
      </c>
      <c r="G1200" s="6">
        <v>5</v>
      </c>
      <c r="H1200" s="6">
        <v>3</v>
      </c>
      <c r="I1200" s="6">
        <v>1</v>
      </c>
      <c r="J1200" s="6">
        <v>1</v>
      </c>
      <c r="K1200" s="40">
        <v>1</v>
      </c>
      <c r="L1200" s="40">
        <v>15</v>
      </c>
      <c r="M1200" s="40">
        <v>2781</v>
      </c>
      <c r="N1200" s="40">
        <v>247</v>
      </c>
      <c r="O1200" s="40">
        <v>1403</v>
      </c>
      <c r="P1200" s="40">
        <v>793</v>
      </c>
      <c r="Q1200" s="40">
        <v>0</v>
      </c>
      <c r="R1200" s="40">
        <v>306</v>
      </c>
      <c r="S1200" s="40">
        <v>32</v>
      </c>
    </row>
    <row r="1201" spans="1:19" x14ac:dyDescent="0.35">
      <c r="A1201" s="38">
        <v>1198</v>
      </c>
      <c r="B1201" s="38" t="str">
        <f>_xlfn.XLOOKUP(A1201,'Model Modeshare by TAZ'!A:A,'Model Modeshare by TAZ'!B:B)</f>
        <v>San Jose</v>
      </c>
      <c r="C1201" s="38" t="str">
        <f>_xlfn.XLOOKUP(A1201,'Model Modeshare by TAZ'!A:A,'Model Modeshare by TAZ'!D:D)</f>
        <v>NO</v>
      </c>
      <c r="D1201" s="6">
        <v>3</v>
      </c>
      <c r="E1201" s="6">
        <v>71</v>
      </c>
      <c r="F1201" s="6">
        <v>141</v>
      </c>
      <c r="G1201" s="6">
        <v>141</v>
      </c>
      <c r="H1201" s="6">
        <v>91</v>
      </c>
      <c r="I1201" s="6">
        <v>23</v>
      </c>
      <c r="J1201" s="6">
        <v>48</v>
      </c>
      <c r="K1201" s="40">
        <v>7</v>
      </c>
      <c r="L1201" s="40">
        <v>33</v>
      </c>
      <c r="M1201" s="40">
        <v>2667</v>
      </c>
      <c r="N1201" s="40">
        <v>299</v>
      </c>
      <c r="O1201" s="40">
        <v>1306</v>
      </c>
      <c r="P1201" s="40">
        <v>747</v>
      </c>
      <c r="Q1201" s="40">
        <v>0</v>
      </c>
      <c r="R1201" s="40">
        <v>282</v>
      </c>
      <c r="S1201" s="40">
        <v>33</v>
      </c>
    </row>
    <row r="1202" spans="1:19" x14ac:dyDescent="0.35">
      <c r="A1202" s="38">
        <v>1199</v>
      </c>
      <c r="B1202" s="38" t="str">
        <f>_xlfn.XLOOKUP(A1202,'Model Modeshare by TAZ'!A:A,'Model Modeshare by TAZ'!B:B)</f>
        <v>San Jose</v>
      </c>
      <c r="C1202" s="38" t="str">
        <f>_xlfn.XLOOKUP(A1202,'Model Modeshare by TAZ'!A:A,'Model Modeshare by TAZ'!D:D)</f>
        <v>NO</v>
      </c>
      <c r="D1202" s="6">
        <v>3</v>
      </c>
      <c r="E1202" s="6">
        <v>7</v>
      </c>
      <c r="F1202" s="6">
        <v>15</v>
      </c>
      <c r="G1202" s="6">
        <v>16</v>
      </c>
      <c r="H1202" s="6">
        <v>10</v>
      </c>
      <c r="I1202" s="6">
        <v>2</v>
      </c>
      <c r="J1202" s="6">
        <v>5</v>
      </c>
      <c r="K1202" s="40">
        <v>1</v>
      </c>
      <c r="L1202" s="40">
        <v>5</v>
      </c>
      <c r="M1202" s="40">
        <v>27</v>
      </c>
      <c r="N1202" s="40">
        <v>3</v>
      </c>
      <c r="O1202" s="40">
        <v>8</v>
      </c>
      <c r="P1202" s="40">
        <v>15</v>
      </c>
      <c r="Q1202" s="40">
        <v>0</v>
      </c>
      <c r="R1202" s="40">
        <v>1</v>
      </c>
      <c r="S1202" s="40">
        <v>0</v>
      </c>
    </row>
    <row r="1203" spans="1:19" x14ac:dyDescent="0.35">
      <c r="A1203" s="38">
        <v>1200</v>
      </c>
      <c r="B1203" s="38" t="str">
        <f>_xlfn.XLOOKUP(A1203,'Model Modeshare by TAZ'!A:A,'Model Modeshare by TAZ'!B:B)</f>
        <v>San Jose</v>
      </c>
      <c r="C1203" s="38" t="str">
        <f>_xlfn.XLOOKUP(A1203,'Model Modeshare by TAZ'!A:A,'Model Modeshare by TAZ'!D:D)</f>
        <v>NO</v>
      </c>
      <c r="D1203" s="6">
        <v>3</v>
      </c>
      <c r="E1203" s="6">
        <v>46</v>
      </c>
      <c r="F1203" s="6">
        <v>91</v>
      </c>
      <c r="G1203" s="6">
        <v>91</v>
      </c>
      <c r="H1203" s="6">
        <v>59</v>
      </c>
      <c r="I1203" s="6">
        <v>15</v>
      </c>
      <c r="J1203" s="6">
        <v>31</v>
      </c>
      <c r="K1203" s="40">
        <v>4</v>
      </c>
      <c r="L1203" s="40">
        <v>2</v>
      </c>
      <c r="M1203" s="40">
        <v>534</v>
      </c>
      <c r="N1203" s="40">
        <v>41</v>
      </c>
      <c r="O1203" s="40">
        <v>211</v>
      </c>
      <c r="P1203" s="40">
        <v>213</v>
      </c>
      <c r="Q1203" s="40">
        <v>0</v>
      </c>
      <c r="R1203" s="40">
        <v>63</v>
      </c>
      <c r="S1203" s="40">
        <v>6</v>
      </c>
    </row>
    <row r="1204" spans="1:19" x14ac:dyDescent="0.35">
      <c r="A1204" s="38">
        <v>1201</v>
      </c>
      <c r="B1204" s="38" t="str">
        <f>_xlfn.XLOOKUP(A1204,'Model Modeshare by TAZ'!A:A,'Model Modeshare by TAZ'!B:B)</f>
        <v>San Jose</v>
      </c>
      <c r="C1204" s="38" t="str">
        <f>_xlfn.XLOOKUP(A1204,'Model Modeshare by TAZ'!A:A,'Model Modeshare by TAZ'!D:D)</f>
        <v>NO</v>
      </c>
      <c r="D1204" s="6">
        <v>3</v>
      </c>
      <c r="E1204" s="6">
        <v>11</v>
      </c>
      <c r="F1204" s="6">
        <v>24</v>
      </c>
      <c r="G1204" s="6">
        <v>24</v>
      </c>
      <c r="H1204" s="6">
        <v>14</v>
      </c>
      <c r="I1204" s="6">
        <v>4</v>
      </c>
      <c r="J1204" s="6">
        <v>7</v>
      </c>
      <c r="K1204" s="40">
        <v>1</v>
      </c>
      <c r="L1204" s="40">
        <v>13</v>
      </c>
      <c r="M1204" s="40">
        <v>1513</v>
      </c>
      <c r="N1204" s="40">
        <v>111</v>
      </c>
      <c r="O1204" s="40">
        <v>862</v>
      </c>
      <c r="P1204" s="40">
        <v>379</v>
      </c>
      <c r="Q1204" s="40">
        <v>1</v>
      </c>
      <c r="R1204" s="40">
        <v>145</v>
      </c>
      <c r="S1204" s="40">
        <v>15</v>
      </c>
    </row>
    <row r="1205" spans="1:19" x14ac:dyDescent="0.35">
      <c r="A1205" s="38">
        <v>1202</v>
      </c>
      <c r="B1205" s="38" t="str">
        <f>_xlfn.XLOOKUP(A1205,'Model Modeshare by TAZ'!A:A,'Model Modeshare by TAZ'!B:B)</f>
        <v>San Jose</v>
      </c>
      <c r="C1205" s="38" t="str">
        <f>_xlfn.XLOOKUP(A1205,'Model Modeshare by TAZ'!A:A,'Model Modeshare by TAZ'!D:D)</f>
        <v>NO</v>
      </c>
      <c r="D1205" s="6">
        <v>3</v>
      </c>
      <c r="E1205" s="6">
        <v>277</v>
      </c>
      <c r="F1205" s="6">
        <v>552</v>
      </c>
      <c r="G1205" s="6">
        <v>552</v>
      </c>
      <c r="H1205" s="6">
        <v>357</v>
      </c>
      <c r="I1205" s="6">
        <v>91</v>
      </c>
      <c r="J1205" s="6">
        <v>186</v>
      </c>
      <c r="K1205" s="40">
        <v>10</v>
      </c>
      <c r="L1205" s="40">
        <v>25</v>
      </c>
      <c r="M1205" s="40">
        <v>441</v>
      </c>
      <c r="N1205" s="40">
        <v>76</v>
      </c>
      <c r="O1205" s="40">
        <v>124</v>
      </c>
      <c r="P1205" s="40">
        <v>184</v>
      </c>
      <c r="Q1205" s="40">
        <v>0</v>
      </c>
      <c r="R1205" s="40">
        <v>51</v>
      </c>
      <c r="S1205" s="40">
        <v>6</v>
      </c>
    </row>
    <row r="1206" spans="1:19" x14ac:dyDescent="0.35">
      <c r="A1206" s="38">
        <v>1203</v>
      </c>
      <c r="B1206" s="38" t="str">
        <f>_xlfn.XLOOKUP(A1206,'Model Modeshare by TAZ'!A:A,'Model Modeshare by TAZ'!B:B)</f>
        <v>San Jose</v>
      </c>
      <c r="C1206" s="38" t="str">
        <f>_xlfn.XLOOKUP(A1206,'Model Modeshare by TAZ'!A:A,'Model Modeshare by TAZ'!D:D)</f>
        <v>NO</v>
      </c>
      <c r="D1206" s="6">
        <v>3</v>
      </c>
      <c r="E1206" s="6">
        <v>70</v>
      </c>
      <c r="F1206" s="6">
        <v>141</v>
      </c>
      <c r="G1206" s="6">
        <v>145</v>
      </c>
      <c r="H1206" s="6">
        <v>89</v>
      </c>
      <c r="I1206" s="6">
        <v>23</v>
      </c>
      <c r="J1206" s="6">
        <v>47</v>
      </c>
      <c r="K1206" s="40">
        <v>7</v>
      </c>
      <c r="L1206" s="40">
        <v>26</v>
      </c>
      <c r="M1206" s="40">
        <v>385</v>
      </c>
      <c r="N1206" s="40">
        <v>109</v>
      </c>
      <c r="O1206" s="40">
        <v>117</v>
      </c>
      <c r="P1206" s="40">
        <v>81</v>
      </c>
      <c r="Q1206" s="40">
        <v>23</v>
      </c>
      <c r="R1206" s="40">
        <v>49</v>
      </c>
      <c r="S1206" s="40">
        <v>6</v>
      </c>
    </row>
    <row r="1207" spans="1:19" x14ac:dyDescent="0.35">
      <c r="A1207" s="38">
        <v>1204</v>
      </c>
      <c r="B1207" s="38" t="str">
        <f>_xlfn.XLOOKUP(A1207,'Model Modeshare by TAZ'!A:A,'Model Modeshare by TAZ'!B:B)</f>
        <v>San Jose</v>
      </c>
      <c r="C1207" s="38" t="str">
        <f>_xlfn.XLOOKUP(A1207,'Model Modeshare by TAZ'!A:A,'Model Modeshare by TAZ'!D:D)</f>
        <v>NO</v>
      </c>
      <c r="D1207" s="6">
        <v>3</v>
      </c>
      <c r="E1207" s="6">
        <v>375</v>
      </c>
      <c r="F1207" s="6">
        <v>745</v>
      </c>
      <c r="G1207" s="6">
        <v>745</v>
      </c>
      <c r="H1207" s="6">
        <v>483</v>
      </c>
      <c r="I1207" s="6">
        <v>123</v>
      </c>
      <c r="J1207" s="6">
        <v>252</v>
      </c>
      <c r="K1207" s="40">
        <v>10</v>
      </c>
      <c r="L1207" s="40">
        <v>21</v>
      </c>
      <c r="M1207" s="40">
        <v>593</v>
      </c>
      <c r="N1207" s="40">
        <v>80</v>
      </c>
      <c r="O1207" s="40">
        <v>107</v>
      </c>
      <c r="P1207" s="40">
        <v>308</v>
      </c>
      <c r="Q1207" s="40">
        <v>0</v>
      </c>
      <c r="R1207" s="40">
        <v>89</v>
      </c>
      <c r="S1207" s="40">
        <v>9</v>
      </c>
    </row>
    <row r="1208" spans="1:19" x14ac:dyDescent="0.35">
      <c r="A1208" s="38">
        <v>1205</v>
      </c>
      <c r="B1208" s="38" t="str">
        <f>_xlfn.XLOOKUP(A1208,'Model Modeshare by TAZ'!A:A,'Model Modeshare by TAZ'!B:B)</f>
        <v>San Jose</v>
      </c>
      <c r="C1208" s="38" t="str">
        <f>_xlfn.XLOOKUP(A1208,'Model Modeshare by TAZ'!A:A,'Model Modeshare by TAZ'!D:D)</f>
        <v>NO</v>
      </c>
      <c r="D1208" s="6">
        <v>3</v>
      </c>
      <c r="E1208" s="6">
        <v>0</v>
      </c>
      <c r="F1208" s="6">
        <v>0</v>
      </c>
      <c r="G1208" s="6">
        <v>0</v>
      </c>
      <c r="H1208" s="6">
        <v>0</v>
      </c>
      <c r="I1208" s="6">
        <v>0</v>
      </c>
      <c r="J1208" s="6">
        <v>0</v>
      </c>
      <c r="K1208" s="40">
        <v>0</v>
      </c>
      <c r="L1208" s="40">
        <v>16</v>
      </c>
      <c r="M1208" s="40">
        <v>2988</v>
      </c>
      <c r="N1208" s="40">
        <v>265</v>
      </c>
      <c r="O1208" s="40">
        <v>1623</v>
      </c>
      <c r="P1208" s="40">
        <v>726</v>
      </c>
      <c r="Q1208" s="40">
        <v>0</v>
      </c>
      <c r="R1208" s="40">
        <v>337</v>
      </c>
      <c r="S1208" s="40">
        <v>37</v>
      </c>
    </row>
    <row r="1209" spans="1:19" x14ac:dyDescent="0.35">
      <c r="A1209" s="38">
        <v>1206</v>
      </c>
      <c r="B1209" s="38" t="str">
        <f>_xlfn.XLOOKUP(A1209,'Model Modeshare by TAZ'!A:A,'Model Modeshare by TAZ'!B:B)</f>
        <v>Santa Clara</v>
      </c>
      <c r="C1209" s="38" t="str">
        <f>_xlfn.XLOOKUP(A1209,'Model Modeshare by TAZ'!A:A,'Model Modeshare by TAZ'!D:D)</f>
        <v>NO</v>
      </c>
      <c r="D1209" s="6">
        <v>3</v>
      </c>
      <c r="E1209" s="6">
        <v>0</v>
      </c>
      <c r="F1209" s="6">
        <v>0</v>
      </c>
      <c r="G1209" s="6">
        <v>0</v>
      </c>
      <c r="H1209" s="6">
        <v>0</v>
      </c>
      <c r="I1209" s="6">
        <v>0</v>
      </c>
      <c r="J1209" s="6">
        <v>0</v>
      </c>
      <c r="K1209" s="40">
        <v>0</v>
      </c>
      <c r="L1209" s="40">
        <v>21</v>
      </c>
      <c r="M1209" s="40">
        <v>918</v>
      </c>
      <c r="N1209" s="40">
        <v>120</v>
      </c>
      <c r="O1209" s="40">
        <v>457</v>
      </c>
      <c r="P1209" s="40">
        <v>56</v>
      </c>
      <c r="Q1209" s="40">
        <v>0</v>
      </c>
      <c r="R1209" s="40">
        <v>241</v>
      </c>
      <c r="S1209" s="40">
        <v>44</v>
      </c>
    </row>
    <row r="1210" spans="1:19" x14ac:dyDescent="0.35">
      <c r="A1210" s="38">
        <v>1207</v>
      </c>
      <c r="B1210" s="38" t="str">
        <f>_xlfn.XLOOKUP(A1210,'Model Modeshare by TAZ'!A:A,'Model Modeshare by TAZ'!B:B)</f>
        <v>Santa Clara</v>
      </c>
      <c r="C1210" s="38" t="str">
        <f>_xlfn.XLOOKUP(A1210,'Model Modeshare by TAZ'!A:A,'Model Modeshare by TAZ'!D:D)</f>
        <v>NO</v>
      </c>
      <c r="D1210" s="6">
        <v>3</v>
      </c>
      <c r="E1210" s="6">
        <v>0</v>
      </c>
      <c r="F1210" s="6">
        <v>0</v>
      </c>
      <c r="G1210" s="6">
        <v>0</v>
      </c>
      <c r="H1210" s="6">
        <v>0</v>
      </c>
      <c r="I1210" s="6">
        <v>0</v>
      </c>
      <c r="J1210" s="6">
        <v>0</v>
      </c>
      <c r="K1210" s="40">
        <v>2</v>
      </c>
      <c r="L1210" s="40">
        <v>62</v>
      </c>
      <c r="M1210" s="40">
        <v>603</v>
      </c>
      <c r="N1210" s="40">
        <v>40</v>
      </c>
      <c r="O1210" s="40">
        <v>320</v>
      </c>
      <c r="P1210" s="40">
        <v>29</v>
      </c>
      <c r="Q1210" s="40">
        <v>0</v>
      </c>
      <c r="R1210" s="40">
        <v>181</v>
      </c>
      <c r="S1210" s="40">
        <v>33</v>
      </c>
    </row>
    <row r="1211" spans="1:19" x14ac:dyDescent="0.35">
      <c r="A1211" s="38">
        <v>1208</v>
      </c>
      <c r="B1211" s="38" t="str">
        <f>_xlfn.XLOOKUP(A1211,'Model Modeshare by TAZ'!A:A,'Model Modeshare by TAZ'!B:B)</f>
        <v>Santa Clara</v>
      </c>
      <c r="C1211" s="38" t="str">
        <f>_xlfn.XLOOKUP(A1211,'Model Modeshare by TAZ'!A:A,'Model Modeshare by TAZ'!D:D)</f>
        <v>NO</v>
      </c>
      <c r="D1211" s="6">
        <v>3</v>
      </c>
      <c r="E1211" s="6">
        <v>0</v>
      </c>
      <c r="F1211" s="6">
        <v>0</v>
      </c>
      <c r="G1211" s="6">
        <v>0</v>
      </c>
      <c r="H1211" s="6">
        <v>0</v>
      </c>
      <c r="I1211" s="6">
        <v>0</v>
      </c>
      <c r="J1211" s="6">
        <v>0</v>
      </c>
      <c r="K1211" s="40">
        <v>14</v>
      </c>
      <c r="L1211" s="40">
        <v>62</v>
      </c>
      <c r="M1211" s="40">
        <v>1091</v>
      </c>
      <c r="N1211" s="40">
        <v>89</v>
      </c>
      <c r="O1211" s="40">
        <v>239</v>
      </c>
      <c r="P1211" s="40">
        <v>66</v>
      </c>
      <c r="Q1211" s="40">
        <v>4</v>
      </c>
      <c r="R1211" s="40">
        <v>605</v>
      </c>
      <c r="S1211" s="40">
        <v>88</v>
      </c>
    </row>
    <row r="1212" spans="1:19" x14ac:dyDescent="0.35">
      <c r="A1212" s="38">
        <v>1209</v>
      </c>
      <c r="B1212" s="38" t="str">
        <f>_xlfn.XLOOKUP(A1212,'Model Modeshare by TAZ'!A:A,'Model Modeshare by TAZ'!B:B)</f>
        <v>Santa Clara</v>
      </c>
      <c r="C1212" s="38" t="str">
        <f>_xlfn.XLOOKUP(A1212,'Model Modeshare by TAZ'!A:A,'Model Modeshare by TAZ'!D:D)</f>
        <v>NO</v>
      </c>
      <c r="D1212" s="6">
        <v>3</v>
      </c>
      <c r="E1212" s="6">
        <v>3</v>
      </c>
      <c r="F1212" s="6">
        <v>8</v>
      </c>
      <c r="G1212" s="6">
        <v>8</v>
      </c>
      <c r="H1212" s="6">
        <v>4</v>
      </c>
      <c r="I1212" s="6">
        <v>1</v>
      </c>
      <c r="J1212" s="6">
        <v>2</v>
      </c>
      <c r="K1212" s="40">
        <v>9</v>
      </c>
      <c r="L1212" s="40">
        <v>4</v>
      </c>
      <c r="M1212" s="40">
        <v>265</v>
      </c>
      <c r="N1212" s="40">
        <v>31</v>
      </c>
      <c r="O1212" s="40">
        <v>61</v>
      </c>
      <c r="P1212" s="40">
        <v>17</v>
      </c>
      <c r="Q1212" s="40">
        <v>0</v>
      </c>
      <c r="R1212" s="40">
        <v>132</v>
      </c>
      <c r="S1212" s="40">
        <v>24</v>
      </c>
    </row>
    <row r="1213" spans="1:19" x14ac:dyDescent="0.35">
      <c r="A1213" s="38">
        <v>1210</v>
      </c>
      <c r="B1213" s="38" t="str">
        <f>_xlfn.XLOOKUP(A1213,'Model Modeshare by TAZ'!A:A,'Model Modeshare by TAZ'!B:B)</f>
        <v>Santa Clara</v>
      </c>
      <c r="C1213" s="38" t="str">
        <f>_xlfn.XLOOKUP(A1213,'Model Modeshare by TAZ'!A:A,'Model Modeshare by TAZ'!D:D)</f>
        <v>NO</v>
      </c>
      <c r="D1213" s="6">
        <v>3</v>
      </c>
      <c r="E1213" s="6">
        <v>29</v>
      </c>
      <c r="F1213" s="6">
        <v>66</v>
      </c>
      <c r="G1213" s="6">
        <v>460</v>
      </c>
      <c r="H1213" s="6">
        <v>67</v>
      </c>
      <c r="I1213" s="6">
        <v>8</v>
      </c>
      <c r="J1213" s="6">
        <v>21</v>
      </c>
      <c r="K1213" s="40">
        <v>1</v>
      </c>
      <c r="L1213" s="40">
        <v>92</v>
      </c>
      <c r="M1213" s="40">
        <v>1583</v>
      </c>
      <c r="N1213" s="40">
        <v>3</v>
      </c>
      <c r="O1213" s="40">
        <v>32</v>
      </c>
      <c r="P1213" s="40">
        <v>1532</v>
      </c>
      <c r="Q1213" s="40">
        <v>0</v>
      </c>
      <c r="R1213" s="40">
        <v>9</v>
      </c>
      <c r="S1213" s="40">
        <v>7</v>
      </c>
    </row>
    <row r="1214" spans="1:19" x14ac:dyDescent="0.35">
      <c r="A1214" s="38">
        <v>1211</v>
      </c>
      <c r="B1214" s="38" t="str">
        <f>_xlfn.XLOOKUP(A1214,'Model Modeshare by TAZ'!A:A,'Model Modeshare by TAZ'!B:B)</f>
        <v>Santa Clara</v>
      </c>
      <c r="C1214" s="38" t="str">
        <f>_xlfn.XLOOKUP(A1214,'Model Modeshare by TAZ'!A:A,'Model Modeshare by TAZ'!D:D)</f>
        <v>NO</v>
      </c>
      <c r="D1214" s="6">
        <v>3</v>
      </c>
      <c r="E1214" s="6">
        <v>184</v>
      </c>
      <c r="F1214" s="6">
        <v>516</v>
      </c>
      <c r="G1214" s="6">
        <v>516</v>
      </c>
      <c r="H1214" s="6">
        <v>257</v>
      </c>
      <c r="I1214" s="6">
        <v>59</v>
      </c>
      <c r="J1214" s="6">
        <v>125</v>
      </c>
      <c r="K1214" s="40">
        <v>14</v>
      </c>
      <c r="L1214" s="40">
        <v>1</v>
      </c>
      <c r="M1214" s="40">
        <v>1399</v>
      </c>
      <c r="N1214" s="40">
        <v>2</v>
      </c>
      <c r="O1214" s="40">
        <v>3</v>
      </c>
      <c r="P1214" s="40">
        <v>1376</v>
      </c>
      <c r="Q1214" s="40">
        <v>0</v>
      </c>
      <c r="R1214" s="40">
        <v>15</v>
      </c>
      <c r="S1214" s="40">
        <v>3</v>
      </c>
    </row>
    <row r="1215" spans="1:19" x14ac:dyDescent="0.35">
      <c r="A1215" s="38">
        <v>1212</v>
      </c>
      <c r="B1215" s="38" t="str">
        <f>_xlfn.XLOOKUP(A1215,'Model Modeshare by TAZ'!A:A,'Model Modeshare by TAZ'!B:B)</f>
        <v>Santa Clara</v>
      </c>
      <c r="C1215" s="38" t="str">
        <f>_xlfn.XLOOKUP(A1215,'Model Modeshare by TAZ'!A:A,'Model Modeshare by TAZ'!D:D)</f>
        <v>NO</v>
      </c>
      <c r="D1215" s="6">
        <v>3</v>
      </c>
      <c r="E1215" s="6">
        <v>8</v>
      </c>
      <c r="F1215" s="6">
        <v>18</v>
      </c>
      <c r="G1215" s="6">
        <v>24</v>
      </c>
      <c r="H1215" s="6">
        <v>12</v>
      </c>
      <c r="I1215" s="6">
        <v>2</v>
      </c>
      <c r="J1215" s="6">
        <v>6</v>
      </c>
      <c r="K1215" s="40">
        <v>3</v>
      </c>
      <c r="L1215" s="40">
        <v>6</v>
      </c>
      <c r="M1215" s="40">
        <v>114</v>
      </c>
      <c r="N1215" s="40">
        <v>94</v>
      </c>
      <c r="O1215" s="40">
        <v>18</v>
      </c>
      <c r="P1215" s="40">
        <v>0</v>
      </c>
      <c r="Q1215" s="40">
        <v>2</v>
      </c>
      <c r="R1215" s="40">
        <v>0</v>
      </c>
      <c r="S1215" s="40">
        <v>0</v>
      </c>
    </row>
    <row r="1216" spans="1:19" x14ac:dyDescent="0.35">
      <c r="A1216" s="38">
        <v>1213</v>
      </c>
      <c r="B1216" s="38" t="str">
        <f>_xlfn.XLOOKUP(A1216,'Model Modeshare by TAZ'!A:A,'Model Modeshare by TAZ'!B:B)</f>
        <v>Santa Clara</v>
      </c>
      <c r="C1216" s="38" t="str">
        <f>_xlfn.XLOOKUP(A1216,'Model Modeshare by TAZ'!A:A,'Model Modeshare by TAZ'!D:D)</f>
        <v>NO</v>
      </c>
      <c r="D1216" s="6">
        <v>3</v>
      </c>
      <c r="E1216" s="6">
        <v>0</v>
      </c>
      <c r="F1216" s="6">
        <v>0</v>
      </c>
      <c r="G1216" s="6">
        <v>0</v>
      </c>
      <c r="H1216" s="6">
        <v>0</v>
      </c>
      <c r="I1216" s="6">
        <v>0</v>
      </c>
      <c r="J1216" s="6">
        <v>0</v>
      </c>
      <c r="K1216" s="40">
        <v>5</v>
      </c>
      <c r="L1216" s="40">
        <v>4</v>
      </c>
      <c r="M1216" s="40">
        <v>179</v>
      </c>
      <c r="N1216" s="40">
        <v>123</v>
      </c>
      <c r="O1216" s="40">
        <v>47</v>
      </c>
      <c r="P1216" s="40">
        <v>7</v>
      </c>
      <c r="Q1216" s="40">
        <v>0</v>
      </c>
      <c r="R1216" s="40">
        <v>0</v>
      </c>
      <c r="S1216" s="40">
        <v>2</v>
      </c>
    </row>
    <row r="1217" spans="1:19" x14ac:dyDescent="0.35">
      <c r="A1217" s="38">
        <v>1214</v>
      </c>
      <c r="B1217" s="38" t="str">
        <f>_xlfn.XLOOKUP(A1217,'Model Modeshare by TAZ'!A:A,'Model Modeshare by TAZ'!B:B)</f>
        <v>Santa Clara</v>
      </c>
      <c r="C1217" s="38" t="str">
        <f>_xlfn.XLOOKUP(A1217,'Model Modeshare by TAZ'!A:A,'Model Modeshare by TAZ'!D:D)</f>
        <v>NO</v>
      </c>
      <c r="D1217" s="6">
        <v>3</v>
      </c>
      <c r="E1217" s="6">
        <v>0</v>
      </c>
      <c r="F1217" s="6">
        <v>0</v>
      </c>
      <c r="G1217" s="6">
        <v>0</v>
      </c>
      <c r="H1217" s="6">
        <v>0</v>
      </c>
      <c r="I1217" s="6">
        <v>0</v>
      </c>
      <c r="J1217" s="6">
        <v>0</v>
      </c>
      <c r="K1217" s="40">
        <v>26</v>
      </c>
      <c r="L1217" s="40">
        <v>26</v>
      </c>
      <c r="M1217" s="40">
        <v>666</v>
      </c>
      <c r="N1217" s="40">
        <v>42</v>
      </c>
      <c r="O1217" s="40">
        <v>109</v>
      </c>
      <c r="P1217" s="40">
        <v>49</v>
      </c>
      <c r="Q1217" s="40">
        <v>2</v>
      </c>
      <c r="R1217" s="40">
        <v>394</v>
      </c>
      <c r="S1217" s="40">
        <v>70</v>
      </c>
    </row>
    <row r="1218" spans="1:19" x14ac:dyDescent="0.35">
      <c r="A1218" s="38">
        <v>1215</v>
      </c>
      <c r="B1218" s="38" t="str">
        <f>_xlfn.XLOOKUP(A1218,'Model Modeshare by TAZ'!A:A,'Model Modeshare by TAZ'!B:B)</f>
        <v>Sunnyvale</v>
      </c>
      <c r="C1218" s="38" t="str">
        <f>_xlfn.XLOOKUP(A1218,'Model Modeshare by TAZ'!A:A,'Model Modeshare by TAZ'!D:D)</f>
        <v>NO</v>
      </c>
      <c r="D1218" s="6">
        <v>3</v>
      </c>
      <c r="E1218" s="6">
        <v>0</v>
      </c>
      <c r="F1218" s="6">
        <v>0</v>
      </c>
      <c r="G1218" s="6">
        <v>0</v>
      </c>
      <c r="H1218" s="6">
        <v>0</v>
      </c>
      <c r="I1218" s="6">
        <v>0</v>
      </c>
      <c r="J1218" s="6">
        <v>0</v>
      </c>
      <c r="K1218" s="40">
        <v>1</v>
      </c>
      <c r="L1218" s="40">
        <v>72</v>
      </c>
      <c r="M1218" s="40">
        <v>1664</v>
      </c>
      <c r="N1218" s="40">
        <v>77</v>
      </c>
      <c r="O1218" s="40">
        <v>494</v>
      </c>
      <c r="P1218" s="40">
        <v>101</v>
      </c>
      <c r="Q1218" s="40">
        <v>0</v>
      </c>
      <c r="R1218" s="40">
        <v>844</v>
      </c>
      <c r="S1218" s="40">
        <v>148</v>
      </c>
    </row>
    <row r="1219" spans="1:19" x14ac:dyDescent="0.35">
      <c r="A1219" s="38">
        <v>1216</v>
      </c>
      <c r="B1219" s="38" t="str">
        <f>_xlfn.XLOOKUP(A1219,'Model Modeshare by TAZ'!A:A,'Model Modeshare by TAZ'!B:B)</f>
        <v>Santa Clara</v>
      </c>
      <c r="C1219" s="38" t="str">
        <f>_xlfn.XLOOKUP(A1219,'Model Modeshare by TAZ'!A:A,'Model Modeshare by TAZ'!D:D)</f>
        <v>NO</v>
      </c>
      <c r="D1219" s="6">
        <v>3</v>
      </c>
      <c r="E1219" s="6">
        <v>1119</v>
      </c>
      <c r="F1219" s="6">
        <v>2824</v>
      </c>
      <c r="G1219" s="6">
        <v>2824</v>
      </c>
      <c r="H1219" s="6">
        <v>1628</v>
      </c>
      <c r="I1219" s="6">
        <v>354</v>
      </c>
      <c r="J1219" s="6">
        <v>765</v>
      </c>
      <c r="K1219" s="40">
        <v>75</v>
      </c>
      <c r="L1219" s="40">
        <v>9</v>
      </c>
      <c r="M1219" s="40">
        <v>82</v>
      </c>
      <c r="N1219" s="40">
        <v>12</v>
      </c>
      <c r="O1219" s="40">
        <v>27</v>
      </c>
      <c r="P1219" s="40">
        <v>43</v>
      </c>
      <c r="Q1219" s="40">
        <v>0</v>
      </c>
      <c r="R1219" s="40">
        <v>0</v>
      </c>
      <c r="S1219" s="40">
        <v>0</v>
      </c>
    </row>
    <row r="1220" spans="1:19" x14ac:dyDescent="0.35">
      <c r="A1220" s="38">
        <v>1217</v>
      </c>
      <c r="B1220" s="38" t="str">
        <f>_xlfn.XLOOKUP(A1220,'Model Modeshare by TAZ'!A:A,'Model Modeshare by TAZ'!B:B)</f>
        <v>Santa Clara</v>
      </c>
      <c r="C1220" s="38" t="str">
        <f>_xlfn.XLOOKUP(A1220,'Model Modeshare by TAZ'!A:A,'Model Modeshare by TAZ'!D:D)</f>
        <v>NO</v>
      </c>
      <c r="D1220" s="6">
        <v>3</v>
      </c>
      <c r="E1220" s="6">
        <v>533</v>
      </c>
      <c r="F1220" s="6">
        <v>1450</v>
      </c>
      <c r="G1220" s="6">
        <v>1451</v>
      </c>
      <c r="H1220" s="6">
        <v>783</v>
      </c>
      <c r="I1220" s="6">
        <v>455</v>
      </c>
      <c r="J1220" s="6">
        <v>78</v>
      </c>
      <c r="K1220" s="40">
        <v>71</v>
      </c>
      <c r="L1220" s="40">
        <v>7</v>
      </c>
      <c r="M1220" s="40">
        <v>40</v>
      </c>
      <c r="N1220" s="40">
        <v>4</v>
      </c>
      <c r="O1220" s="40">
        <v>12</v>
      </c>
      <c r="P1220" s="40">
        <v>6</v>
      </c>
      <c r="Q1220" s="40">
        <v>0</v>
      </c>
      <c r="R1220" s="40">
        <v>14</v>
      </c>
      <c r="S1220" s="40">
        <v>4</v>
      </c>
    </row>
    <row r="1221" spans="1:19" x14ac:dyDescent="0.35">
      <c r="A1221" s="38">
        <v>1218</v>
      </c>
      <c r="B1221" s="38" t="str">
        <f>_xlfn.XLOOKUP(A1221,'Model Modeshare by TAZ'!A:A,'Model Modeshare by TAZ'!B:B)</f>
        <v>Santa Clara</v>
      </c>
      <c r="C1221" s="38" t="str">
        <f>_xlfn.XLOOKUP(A1221,'Model Modeshare by TAZ'!A:A,'Model Modeshare by TAZ'!D:D)</f>
        <v>NO</v>
      </c>
      <c r="D1221" s="6">
        <v>3</v>
      </c>
      <c r="E1221" s="6">
        <v>309</v>
      </c>
      <c r="F1221" s="6">
        <v>838</v>
      </c>
      <c r="G1221" s="6">
        <v>847</v>
      </c>
      <c r="H1221" s="6">
        <v>452</v>
      </c>
      <c r="I1221" s="6">
        <v>264</v>
      </c>
      <c r="J1221" s="6">
        <v>45</v>
      </c>
      <c r="K1221" s="40">
        <v>57</v>
      </c>
      <c r="L1221" s="40">
        <v>9</v>
      </c>
      <c r="M1221" s="40">
        <v>133</v>
      </c>
      <c r="N1221" s="40">
        <v>14</v>
      </c>
      <c r="O1221" s="40">
        <v>39</v>
      </c>
      <c r="P1221" s="40">
        <v>21</v>
      </c>
      <c r="Q1221" s="40">
        <v>0</v>
      </c>
      <c r="R1221" s="40">
        <v>47</v>
      </c>
      <c r="S1221" s="40">
        <v>12</v>
      </c>
    </row>
    <row r="1222" spans="1:19" x14ac:dyDescent="0.35">
      <c r="A1222" s="38">
        <v>1219</v>
      </c>
      <c r="B1222" s="38" t="str">
        <f>_xlfn.XLOOKUP(A1222,'Model Modeshare by TAZ'!A:A,'Model Modeshare by TAZ'!B:B)</f>
        <v>Santa Clara</v>
      </c>
      <c r="C1222" s="38" t="str">
        <f>_xlfn.XLOOKUP(A1222,'Model Modeshare by TAZ'!A:A,'Model Modeshare by TAZ'!D:D)</f>
        <v>NO</v>
      </c>
      <c r="D1222" s="6">
        <v>3</v>
      </c>
      <c r="E1222" s="6">
        <v>0</v>
      </c>
      <c r="F1222" s="6">
        <v>0</v>
      </c>
      <c r="G1222" s="6">
        <v>0</v>
      </c>
      <c r="H1222" s="6">
        <v>0</v>
      </c>
      <c r="I1222" s="6">
        <v>0</v>
      </c>
      <c r="J1222" s="6">
        <v>0</v>
      </c>
      <c r="K1222" s="40">
        <v>7</v>
      </c>
      <c r="L1222" s="40">
        <v>201</v>
      </c>
      <c r="M1222" s="40">
        <v>5563</v>
      </c>
      <c r="N1222" s="40">
        <v>250</v>
      </c>
      <c r="O1222" s="40">
        <v>1868</v>
      </c>
      <c r="P1222" s="40">
        <v>688</v>
      </c>
      <c r="Q1222" s="40">
        <v>0</v>
      </c>
      <c r="R1222" s="40">
        <v>2335</v>
      </c>
      <c r="S1222" s="40">
        <v>422</v>
      </c>
    </row>
    <row r="1223" spans="1:19" x14ac:dyDescent="0.35">
      <c r="A1223" s="38">
        <v>1220</v>
      </c>
      <c r="B1223" s="38" t="str">
        <f>_xlfn.XLOOKUP(A1223,'Model Modeshare by TAZ'!A:A,'Model Modeshare by TAZ'!B:B)</f>
        <v>San Jose</v>
      </c>
      <c r="C1223" s="38" t="str">
        <f>_xlfn.XLOOKUP(A1223,'Model Modeshare by TAZ'!A:A,'Model Modeshare by TAZ'!D:D)</f>
        <v>NO</v>
      </c>
      <c r="D1223" s="6">
        <v>3</v>
      </c>
      <c r="E1223" s="6">
        <v>406</v>
      </c>
      <c r="F1223" s="6">
        <v>973</v>
      </c>
      <c r="G1223" s="6">
        <v>1249</v>
      </c>
      <c r="H1223" s="6">
        <v>985</v>
      </c>
      <c r="I1223" s="6">
        <v>178</v>
      </c>
      <c r="J1223" s="6">
        <v>228</v>
      </c>
      <c r="K1223" s="40">
        <v>57</v>
      </c>
      <c r="L1223" s="40">
        <v>6</v>
      </c>
      <c r="M1223" s="40">
        <v>871</v>
      </c>
      <c r="N1223" s="40">
        <v>60</v>
      </c>
      <c r="O1223" s="40">
        <v>715</v>
      </c>
      <c r="P1223" s="40">
        <v>5</v>
      </c>
      <c r="Q1223" s="40">
        <v>0</v>
      </c>
      <c r="R1223" s="40">
        <v>55</v>
      </c>
      <c r="S1223" s="40">
        <v>36</v>
      </c>
    </row>
    <row r="1224" spans="1:19" x14ac:dyDescent="0.35">
      <c r="A1224" s="38">
        <v>1221</v>
      </c>
      <c r="B1224" s="38" t="str">
        <f>_xlfn.XLOOKUP(A1224,'Model Modeshare by TAZ'!A:A,'Model Modeshare by TAZ'!B:B)</f>
        <v>Santa Clara</v>
      </c>
      <c r="C1224" s="38" t="str">
        <f>_xlfn.XLOOKUP(A1224,'Model Modeshare by TAZ'!A:A,'Model Modeshare by TAZ'!D:D)</f>
        <v>NO</v>
      </c>
      <c r="D1224" s="6">
        <v>3</v>
      </c>
      <c r="E1224" s="6">
        <v>180</v>
      </c>
      <c r="F1224" s="6">
        <v>433</v>
      </c>
      <c r="G1224" s="6">
        <v>547</v>
      </c>
      <c r="H1224" s="6">
        <v>438</v>
      </c>
      <c r="I1224" s="6">
        <v>99</v>
      </c>
      <c r="J1224" s="6">
        <v>81</v>
      </c>
      <c r="K1224" s="40">
        <v>25</v>
      </c>
      <c r="L1224" s="40">
        <v>8</v>
      </c>
      <c r="M1224" s="40">
        <v>424</v>
      </c>
      <c r="N1224" s="40">
        <v>129</v>
      </c>
      <c r="O1224" s="40">
        <v>280</v>
      </c>
      <c r="P1224" s="40">
        <v>0</v>
      </c>
      <c r="Q1224" s="40">
        <v>0</v>
      </c>
      <c r="R1224" s="40">
        <v>9</v>
      </c>
      <c r="S1224" s="40">
        <v>6</v>
      </c>
    </row>
    <row r="1225" spans="1:19" x14ac:dyDescent="0.35">
      <c r="A1225" s="38">
        <v>1222</v>
      </c>
      <c r="B1225" s="38" t="str">
        <f>_xlfn.XLOOKUP(A1225,'Model Modeshare by TAZ'!A:A,'Model Modeshare by TAZ'!B:B)</f>
        <v>Santa Clara</v>
      </c>
      <c r="C1225" s="38" t="str">
        <f>_xlfn.XLOOKUP(A1225,'Model Modeshare by TAZ'!A:A,'Model Modeshare by TAZ'!D:D)</f>
        <v>NO</v>
      </c>
      <c r="D1225" s="6">
        <v>3</v>
      </c>
      <c r="E1225" s="6">
        <v>155</v>
      </c>
      <c r="F1225" s="6">
        <v>367</v>
      </c>
      <c r="G1225" s="6">
        <v>367</v>
      </c>
      <c r="H1225" s="6">
        <v>232</v>
      </c>
      <c r="I1225" s="6">
        <v>79</v>
      </c>
      <c r="J1225" s="6">
        <v>76</v>
      </c>
      <c r="K1225" s="40">
        <v>16</v>
      </c>
      <c r="L1225" s="40">
        <v>1</v>
      </c>
      <c r="M1225" s="40">
        <v>50</v>
      </c>
      <c r="N1225" s="40">
        <v>5</v>
      </c>
      <c r="O1225" s="40">
        <v>15</v>
      </c>
      <c r="P1225" s="40">
        <v>7</v>
      </c>
      <c r="Q1225" s="40">
        <v>0</v>
      </c>
      <c r="R1225" s="40">
        <v>18</v>
      </c>
      <c r="S1225" s="40">
        <v>5</v>
      </c>
    </row>
    <row r="1226" spans="1:19" x14ac:dyDescent="0.35">
      <c r="A1226" s="38">
        <v>1223</v>
      </c>
      <c r="B1226" s="38" t="str">
        <f>_xlfn.XLOOKUP(A1226,'Model Modeshare by TAZ'!A:A,'Model Modeshare by TAZ'!B:B)</f>
        <v>Santa Clara</v>
      </c>
      <c r="C1226" s="38" t="str">
        <f>_xlfn.XLOOKUP(A1226,'Model Modeshare by TAZ'!A:A,'Model Modeshare by TAZ'!D:D)</f>
        <v>NO</v>
      </c>
      <c r="D1226" s="6">
        <v>3</v>
      </c>
      <c r="E1226" s="6">
        <v>564</v>
      </c>
      <c r="F1226" s="6">
        <v>1604</v>
      </c>
      <c r="G1226" s="6">
        <v>1608</v>
      </c>
      <c r="H1226" s="6">
        <v>848</v>
      </c>
      <c r="I1226" s="6">
        <v>246</v>
      </c>
      <c r="J1226" s="6">
        <v>318</v>
      </c>
      <c r="K1226" s="40">
        <v>46</v>
      </c>
      <c r="L1226" s="40">
        <v>7</v>
      </c>
      <c r="M1226" s="40">
        <v>23</v>
      </c>
      <c r="N1226" s="40">
        <v>0</v>
      </c>
      <c r="O1226" s="40">
        <v>23</v>
      </c>
      <c r="P1226" s="40">
        <v>0</v>
      </c>
      <c r="Q1226" s="40">
        <v>0</v>
      </c>
      <c r="R1226" s="40">
        <v>0</v>
      </c>
      <c r="S1226" s="40">
        <v>0</v>
      </c>
    </row>
    <row r="1227" spans="1:19" x14ac:dyDescent="0.35">
      <c r="A1227" s="38">
        <v>1224</v>
      </c>
      <c r="B1227" s="38" t="str">
        <f>_xlfn.XLOOKUP(A1227,'Model Modeshare by TAZ'!A:A,'Model Modeshare by TAZ'!B:B)</f>
        <v>Santa Clara</v>
      </c>
      <c r="C1227" s="38" t="str">
        <f>_xlfn.XLOOKUP(A1227,'Model Modeshare by TAZ'!A:A,'Model Modeshare by TAZ'!D:D)</f>
        <v>NO</v>
      </c>
      <c r="D1227" s="6">
        <v>3</v>
      </c>
      <c r="E1227" s="6">
        <v>479</v>
      </c>
      <c r="F1227" s="6">
        <v>1194</v>
      </c>
      <c r="G1227" s="6">
        <v>1195</v>
      </c>
      <c r="H1227" s="6">
        <v>679</v>
      </c>
      <c r="I1227" s="6">
        <v>299</v>
      </c>
      <c r="J1227" s="6">
        <v>180</v>
      </c>
      <c r="K1227" s="40">
        <v>74</v>
      </c>
      <c r="L1227" s="40">
        <v>23</v>
      </c>
      <c r="M1227" s="40">
        <v>38</v>
      </c>
      <c r="N1227" s="40">
        <v>18</v>
      </c>
      <c r="O1227" s="40">
        <v>17</v>
      </c>
      <c r="P1227" s="40">
        <v>2</v>
      </c>
      <c r="Q1227" s="40">
        <v>0</v>
      </c>
      <c r="R1227" s="40">
        <v>0</v>
      </c>
      <c r="S1227" s="40">
        <v>1</v>
      </c>
    </row>
    <row r="1228" spans="1:19" x14ac:dyDescent="0.35">
      <c r="A1228" s="38">
        <v>1225</v>
      </c>
      <c r="B1228" s="38" t="str">
        <f>_xlfn.XLOOKUP(A1228,'Model Modeshare by TAZ'!A:A,'Model Modeshare by TAZ'!B:B)</f>
        <v>Santa Clara</v>
      </c>
      <c r="C1228" s="38" t="str">
        <f>_xlfn.XLOOKUP(A1228,'Model Modeshare by TAZ'!A:A,'Model Modeshare by TAZ'!D:D)</f>
        <v>NO</v>
      </c>
      <c r="D1228" s="6">
        <v>3</v>
      </c>
      <c r="E1228" s="6">
        <v>504</v>
      </c>
      <c r="F1228" s="6">
        <v>1266</v>
      </c>
      <c r="G1228" s="6">
        <v>1271</v>
      </c>
      <c r="H1228" s="6">
        <v>662</v>
      </c>
      <c r="I1228" s="6">
        <v>326</v>
      </c>
      <c r="J1228" s="6">
        <v>178</v>
      </c>
      <c r="K1228" s="40">
        <v>84</v>
      </c>
      <c r="L1228" s="40">
        <v>1</v>
      </c>
      <c r="M1228" s="40">
        <v>3</v>
      </c>
      <c r="N1228" s="40">
        <v>0</v>
      </c>
      <c r="O1228" s="40">
        <v>3</v>
      </c>
      <c r="P1228" s="40">
        <v>0</v>
      </c>
      <c r="Q1228" s="40">
        <v>0</v>
      </c>
      <c r="R1228" s="40">
        <v>0</v>
      </c>
      <c r="S1228" s="40">
        <v>0</v>
      </c>
    </row>
    <row r="1229" spans="1:19" x14ac:dyDescent="0.35">
      <c r="A1229" s="38">
        <v>1226</v>
      </c>
      <c r="B1229" s="38" t="str">
        <f>_xlfn.XLOOKUP(A1229,'Model Modeshare by TAZ'!A:A,'Model Modeshare by TAZ'!B:B)</f>
        <v>Santa Clara</v>
      </c>
      <c r="C1229" s="38" t="str">
        <f>_xlfn.XLOOKUP(A1229,'Model Modeshare by TAZ'!A:A,'Model Modeshare by TAZ'!D:D)</f>
        <v>NO</v>
      </c>
      <c r="D1229" s="6">
        <v>3</v>
      </c>
      <c r="E1229" s="6">
        <v>111</v>
      </c>
      <c r="F1229" s="6">
        <v>307</v>
      </c>
      <c r="G1229" s="6">
        <v>308</v>
      </c>
      <c r="H1229" s="6">
        <v>196</v>
      </c>
      <c r="I1229" s="6">
        <v>72</v>
      </c>
      <c r="J1229" s="6">
        <v>39</v>
      </c>
      <c r="K1229" s="40">
        <v>19</v>
      </c>
      <c r="L1229" s="40">
        <v>47</v>
      </c>
      <c r="M1229" s="40">
        <v>320</v>
      </c>
      <c r="N1229" s="40">
        <v>33</v>
      </c>
      <c r="O1229" s="40">
        <v>95</v>
      </c>
      <c r="P1229" s="40">
        <v>50</v>
      </c>
      <c r="Q1229" s="40">
        <v>0</v>
      </c>
      <c r="R1229" s="40">
        <v>113</v>
      </c>
      <c r="S1229" s="40">
        <v>29</v>
      </c>
    </row>
    <row r="1230" spans="1:19" x14ac:dyDescent="0.35">
      <c r="A1230" s="38">
        <v>1227</v>
      </c>
      <c r="B1230" s="38" t="str">
        <f>_xlfn.XLOOKUP(A1230,'Model Modeshare by TAZ'!A:A,'Model Modeshare by TAZ'!B:B)</f>
        <v>Santa Clara</v>
      </c>
      <c r="C1230" s="38" t="str">
        <f>_xlfn.XLOOKUP(A1230,'Model Modeshare by TAZ'!A:A,'Model Modeshare by TAZ'!D:D)</f>
        <v>NO</v>
      </c>
      <c r="D1230" s="6">
        <v>3</v>
      </c>
      <c r="E1230" s="6">
        <v>0</v>
      </c>
      <c r="F1230" s="6">
        <v>0</v>
      </c>
      <c r="G1230" s="6">
        <v>0</v>
      </c>
      <c r="H1230" s="6">
        <v>0</v>
      </c>
      <c r="I1230" s="6">
        <v>0</v>
      </c>
      <c r="J1230" s="6">
        <v>0</v>
      </c>
      <c r="K1230" s="40">
        <v>7</v>
      </c>
      <c r="L1230" s="40">
        <v>57</v>
      </c>
      <c r="M1230" s="40">
        <v>1565</v>
      </c>
      <c r="N1230" s="40">
        <v>104</v>
      </c>
      <c r="O1230" s="40">
        <v>432</v>
      </c>
      <c r="P1230" s="40">
        <v>103</v>
      </c>
      <c r="Q1230" s="40">
        <v>0</v>
      </c>
      <c r="R1230" s="40">
        <v>789</v>
      </c>
      <c r="S1230" s="40">
        <v>137</v>
      </c>
    </row>
    <row r="1231" spans="1:19" x14ac:dyDescent="0.35">
      <c r="A1231" s="38">
        <v>1228</v>
      </c>
      <c r="B1231" s="38" t="str">
        <f>_xlfn.XLOOKUP(A1231,'Model Modeshare by TAZ'!A:A,'Model Modeshare by TAZ'!B:B)</f>
        <v>Santa Clara</v>
      </c>
      <c r="C1231" s="38" t="str">
        <f>_xlfn.XLOOKUP(A1231,'Model Modeshare by TAZ'!A:A,'Model Modeshare by TAZ'!D:D)</f>
        <v>NO</v>
      </c>
      <c r="D1231" s="6">
        <v>3</v>
      </c>
      <c r="E1231" s="6">
        <v>118</v>
      </c>
      <c r="F1231" s="6">
        <v>267</v>
      </c>
      <c r="G1231" s="6">
        <v>333</v>
      </c>
      <c r="H1231" s="6">
        <v>188</v>
      </c>
      <c r="I1231" s="6">
        <v>38</v>
      </c>
      <c r="J1231" s="6">
        <v>80</v>
      </c>
      <c r="K1231" s="40">
        <v>10</v>
      </c>
      <c r="L1231" s="40">
        <v>3</v>
      </c>
      <c r="M1231" s="40">
        <v>45</v>
      </c>
      <c r="N1231" s="40">
        <v>27</v>
      </c>
      <c r="O1231" s="40">
        <v>12</v>
      </c>
      <c r="P1231" s="40">
        <v>0</v>
      </c>
      <c r="Q1231" s="40">
        <v>2</v>
      </c>
      <c r="R1231" s="40">
        <v>2</v>
      </c>
      <c r="S1231" s="40">
        <v>2</v>
      </c>
    </row>
    <row r="1232" spans="1:19" x14ac:dyDescent="0.35">
      <c r="A1232" s="38">
        <v>1229</v>
      </c>
      <c r="B1232" s="38" t="str">
        <f>_xlfn.XLOOKUP(A1232,'Model Modeshare by TAZ'!A:A,'Model Modeshare by TAZ'!B:B)</f>
        <v>Santa Clara</v>
      </c>
      <c r="C1232" s="38" t="str">
        <f>_xlfn.XLOOKUP(A1232,'Model Modeshare by TAZ'!A:A,'Model Modeshare by TAZ'!D:D)</f>
        <v>NO</v>
      </c>
      <c r="D1232" s="6">
        <v>3</v>
      </c>
      <c r="E1232" s="6">
        <v>0</v>
      </c>
      <c r="F1232" s="6">
        <v>0</v>
      </c>
      <c r="G1232" s="6">
        <v>0</v>
      </c>
      <c r="H1232" s="6">
        <v>0</v>
      </c>
      <c r="I1232" s="6">
        <v>0</v>
      </c>
      <c r="J1232" s="6">
        <v>0</v>
      </c>
      <c r="K1232" s="40">
        <v>0</v>
      </c>
      <c r="L1232" s="40">
        <v>84</v>
      </c>
      <c r="M1232" s="40">
        <v>984</v>
      </c>
      <c r="N1232" s="40">
        <v>79</v>
      </c>
      <c r="O1232" s="40">
        <v>175</v>
      </c>
      <c r="P1232" s="40">
        <v>67</v>
      </c>
      <c r="Q1232" s="40">
        <v>0</v>
      </c>
      <c r="R1232" s="40">
        <v>568</v>
      </c>
      <c r="S1232" s="40">
        <v>95</v>
      </c>
    </row>
    <row r="1233" spans="1:19" x14ac:dyDescent="0.35">
      <c r="A1233" s="38">
        <v>1230</v>
      </c>
      <c r="B1233" s="38" t="str">
        <f>_xlfn.XLOOKUP(A1233,'Model Modeshare by TAZ'!A:A,'Model Modeshare by TAZ'!B:B)</f>
        <v>Santa Clara</v>
      </c>
      <c r="C1233" s="38" t="str">
        <f>_xlfn.XLOOKUP(A1233,'Model Modeshare by TAZ'!A:A,'Model Modeshare by TAZ'!D:D)</f>
        <v>NO</v>
      </c>
      <c r="D1233" s="6">
        <v>3</v>
      </c>
      <c r="E1233" s="6">
        <v>0</v>
      </c>
      <c r="F1233" s="6">
        <v>0</v>
      </c>
      <c r="G1233" s="6">
        <v>0</v>
      </c>
      <c r="H1233" s="6">
        <v>0</v>
      </c>
      <c r="I1233" s="6">
        <v>0</v>
      </c>
      <c r="J1233" s="6">
        <v>0</v>
      </c>
      <c r="K1233" s="40">
        <v>1</v>
      </c>
      <c r="L1233" s="40">
        <v>33</v>
      </c>
      <c r="M1233" s="40">
        <v>22</v>
      </c>
      <c r="N1233" s="40">
        <v>5</v>
      </c>
      <c r="O1233" s="40">
        <v>0</v>
      </c>
      <c r="P1233" s="40">
        <v>5</v>
      </c>
      <c r="Q1233" s="40">
        <v>0</v>
      </c>
      <c r="R1233" s="40">
        <v>0</v>
      </c>
      <c r="S1233" s="40">
        <v>12</v>
      </c>
    </row>
    <row r="1234" spans="1:19" x14ac:dyDescent="0.35">
      <c r="A1234" s="38">
        <v>1231</v>
      </c>
      <c r="B1234" s="38" t="str">
        <f>_xlfn.XLOOKUP(A1234,'Model Modeshare by TAZ'!A:A,'Model Modeshare by TAZ'!B:B)</f>
        <v>Santa Clara</v>
      </c>
      <c r="C1234" s="38" t="str">
        <f>_xlfn.XLOOKUP(A1234,'Model Modeshare by TAZ'!A:A,'Model Modeshare by TAZ'!D:D)</f>
        <v>NO</v>
      </c>
      <c r="D1234" s="6">
        <v>3</v>
      </c>
      <c r="E1234" s="6">
        <v>0</v>
      </c>
      <c r="F1234" s="6">
        <v>0</v>
      </c>
      <c r="G1234" s="6">
        <v>0</v>
      </c>
      <c r="H1234" s="6">
        <v>0</v>
      </c>
      <c r="I1234" s="6">
        <v>0</v>
      </c>
      <c r="J1234" s="6">
        <v>0</v>
      </c>
      <c r="K1234" s="40">
        <v>1</v>
      </c>
      <c r="L1234" s="40">
        <v>20</v>
      </c>
      <c r="M1234" s="40">
        <v>34</v>
      </c>
      <c r="N1234" s="40">
        <v>0</v>
      </c>
      <c r="O1234" s="40">
        <v>5</v>
      </c>
      <c r="P1234" s="40">
        <v>1</v>
      </c>
      <c r="Q1234" s="40">
        <v>0</v>
      </c>
      <c r="R1234" s="40">
        <v>26</v>
      </c>
      <c r="S1234" s="40">
        <v>2</v>
      </c>
    </row>
    <row r="1235" spans="1:19" x14ac:dyDescent="0.35">
      <c r="A1235" s="38">
        <v>1232</v>
      </c>
      <c r="B1235" s="38" t="str">
        <f>_xlfn.XLOOKUP(A1235,'Model Modeshare by TAZ'!A:A,'Model Modeshare by TAZ'!B:B)</f>
        <v>Santa Clara</v>
      </c>
      <c r="C1235" s="38" t="str">
        <f>_xlfn.XLOOKUP(A1235,'Model Modeshare by TAZ'!A:A,'Model Modeshare by TAZ'!D:D)</f>
        <v>NO</v>
      </c>
      <c r="D1235" s="6">
        <v>3</v>
      </c>
      <c r="E1235" s="6">
        <v>0</v>
      </c>
      <c r="F1235" s="6">
        <v>0</v>
      </c>
      <c r="G1235" s="6">
        <v>0</v>
      </c>
      <c r="H1235" s="6">
        <v>0</v>
      </c>
      <c r="I1235" s="6">
        <v>0</v>
      </c>
      <c r="J1235" s="6">
        <v>0</v>
      </c>
      <c r="K1235" s="40">
        <v>3</v>
      </c>
      <c r="L1235" s="40">
        <v>82</v>
      </c>
      <c r="M1235" s="40">
        <v>1919</v>
      </c>
      <c r="N1235" s="40">
        <v>75</v>
      </c>
      <c r="O1235" s="40">
        <v>238</v>
      </c>
      <c r="P1235" s="40">
        <v>212</v>
      </c>
      <c r="Q1235" s="40">
        <v>0</v>
      </c>
      <c r="R1235" s="40">
        <v>1180</v>
      </c>
      <c r="S1235" s="40">
        <v>214</v>
      </c>
    </row>
    <row r="1236" spans="1:19" x14ac:dyDescent="0.35">
      <c r="A1236" s="38">
        <v>1233</v>
      </c>
      <c r="B1236" s="38" t="str">
        <f>_xlfn.XLOOKUP(A1236,'Model Modeshare by TAZ'!A:A,'Model Modeshare by TAZ'!B:B)</f>
        <v>Santa Clara</v>
      </c>
      <c r="C1236" s="38" t="str">
        <f>_xlfn.XLOOKUP(A1236,'Model Modeshare by TAZ'!A:A,'Model Modeshare by TAZ'!D:D)</f>
        <v>NO</v>
      </c>
      <c r="D1236" s="6">
        <v>3</v>
      </c>
      <c r="E1236" s="6">
        <v>0</v>
      </c>
      <c r="F1236" s="6">
        <v>0</v>
      </c>
      <c r="G1236" s="6">
        <v>0</v>
      </c>
      <c r="H1236" s="6">
        <v>0</v>
      </c>
      <c r="I1236" s="6">
        <v>0</v>
      </c>
      <c r="J1236" s="6">
        <v>0</v>
      </c>
      <c r="K1236" s="40">
        <v>0</v>
      </c>
      <c r="L1236" s="40">
        <v>50</v>
      </c>
      <c r="M1236" s="40">
        <v>640</v>
      </c>
      <c r="N1236" s="40">
        <v>30</v>
      </c>
      <c r="O1236" s="40">
        <v>205</v>
      </c>
      <c r="P1236" s="40">
        <v>43</v>
      </c>
      <c r="Q1236" s="40">
        <v>1</v>
      </c>
      <c r="R1236" s="40">
        <v>296</v>
      </c>
      <c r="S1236" s="40">
        <v>65</v>
      </c>
    </row>
    <row r="1237" spans="1:19" x14ac:dyDescent="0.35">
      <c r="A1237" s="38">
        <v>1234</v>
      </c>
      <c r="B1237" s="38" t="str">
        <f>_xlfn.XLOOKUP(A1237,'Model Modeshare by TAZ'!A:A,'Model Modeshare by TAZ'!B:B)</f>
        <v>Santa Clara</v>
      </c>
      <c r="C1237" s="38" t="str">
        <f>_xlfn.XLOOKUP(A1237,'Model Modeshare by TAZ'!A:A,'Model Modeshare by TAZ'!D:D)</f>
        <v>NO</v>
      </c>
      <c r="D1237" s="6">
        <v>3</v>
      </c>
      <c r="E1237" s="6">
        <v>0</v>
      </c>
      <c r="F1237" s="6">
        <v>0</v>
      </c>
      <c r="G1237" s="6">
        <v>0</v>
      </c>
      <c r="H1237" s="6">
        <v>0</v>
      </c>
      <c r="I1237" s="6">
        <v>0</v>
      </c>
      <c r="J1237" s="6">
        <v>0</v>
      </c>
      <c r="K1237" s="40">
        <v>8</v>
      </c>
      <c r="L1237" s="40">
        <v>37</v>
      </c>
      <c r="M1237" s="40">
        <v>575</v>
      </c>
      <c r="N1237" s="40">
        <v>140</v>
      </c>
      <c r="O1237" s="40">
        <v>137</v>
      </c>
      <c r="P1237" s="40">
        <v>5</v>
      </c>
      <c r="Q1237" s="40">
        <v>0</v>
      </c>
      <c r="R1237" s="40">
        <v>230</v>
      </c>
      <c r="S1237" s="40">
        <v>63</v>
      </c>
    </row>
    <row r="1238" spans="1:19" x14ac:dyDescent="0.35">
      <c r="A1238" s="38">
        <v>1235</v>
      </c>
      <c r="B1238" s="38" t="str">
        <f>_xlfn.XLOOKUP(A1238,'Model Modeshare by TAZ'!A:A,'Model Modeshare by TAZ'!B:B)</f>
        <v>Santa Clara</v>
      </c>
      <c r="C1238" s="38" t="str">
        <f>_xlfn.XLOOKUP(A1238,'Model Modeshare by TAZ'!A:A,'Model Modeshare by TAZ'!D:D)</f>
        <v>NO</v>
      </c>
      <c r="D1238" s="6">
        <v>3</v>
      </c>
      <c r="E1238" s="6">
        <v>428</v>
      </c>
      <c r="F1238" s="6">
        <v>1156</v>
      </c>
      <c r="G1238" s="6">
        <v>1163</v>
      </c>
      <c r="H1238" s="6">
        <v>621</v>
      </c>
      <c r="I1238" s="6">
        <v>301</v>
      </c>
      <c r="J1238" s="6">
        <v>127</v>
      </c>
      <c r="K1238" s="40">
        <v>56</v>
      </c>
      <c r="L1238" s="40">
        <v>8</v>
      </c>
      <c r="M1238" s="40">
        <v>147</v>
      </c>
      <c r="N1238" s="40">
        <v>4</v>
      </c>
      <c r="O1238" s="40">
        <v>84</v>
      </c>
      <c r="P1238" s="40">
        <v>55</v>
      </c>
      <c r="Q1238" s="40">
        <v>1</v>
      </c>
      <c r="R1238" s="40">
        <v>3</v>
      </c>
      <c r="S1238" s="40">
        <v>0</v>
      </c>
    </row>
    <row r="1239" spans="1:19" x14ac:dyDescent="0.35">
      <c r="A1239" s="38">
        <v>1236</v>
      </c>
      <c r="B1239" s="38" t="str">
        <f>_xlfn.XLOOKUP(A1239,'Model Modeshare by TAZ'!A:A,'Model Modeshare by TAZ'!B:B)</f>
        <v>Santa Clara</v>
      </c>
      <c r="C1239" s="38" t="str">
        <f>_xlfn.XLOOKUP(A1239,'Model Modeshare by TAZ'!A:A,'Model Modeshare by TAZ'!D:D)</f>
        <v>NO</v>
      </c>
      <c r="D1239" s="6">
        <v>3</v>
      </c>
      <c r="E1239" s="6">
        <v>766</v>
      </c>
      <c r="F1239" s="6">
        <v>2194</v>
      </c>
      <c r="G1239" s="6">
        <v>2208</v>
      </c>
      <c r="H1239" s="6">
        <v>1084</v>
      </c>
      <c r="I1239" s="6">
        <v>599</v>
      </c>
      <c r="J1239" s="6">
        <v>167</v>
      </c>
      <c r="K1239" s="40">
        <v>115</v>
      </c>
      <c r="L1239" s="40">
        <v>56</v>
      </c>
      <c r="M1239" s="40">
        <v>382</v>
      </c>
      <c r="N1239" s="40">
        <v>183</v>
      </c>
      <c r="O1239" s="40">
        <v>139</v>
      </c>
      <c r="P1239" s="40">
        <v>38</v>
      </c>
      <c r="Q1239" s="40">
        <v>22</v>
      </c>
      <c r="R1239" s="40">
        <v>0</v>
      </c>
      <c r="S1239" s="40">
        <v>0</v>
      </c>
    </row>
    <row r="1240" spans="1:19" x14ac:dyDescent="0.35">
      <c r="A1240" s="38">
        <v>1237</v>
      </c>
      <c r="B1240" s="38" t="str">
        <f>_xlfn.XLOOKUP(A1240,'Model Modeshare by TAZ'!A:A,'Model Modeshare by TAZ'!B:B)</f>
        <v>Santa Clara</v>
      </c>
      <c r="C1240" s="38" t="str">
        <f>_xlfn.XLOOKUP(A1240,'Model Modeshare by TAZ'!A:A,'Model Modeshare by TAZ'!D:D)</f>
        <v>NO</v>
      </c>
      <c r="D1240" s="6">
        <v>3</v>
      </c>
      <c r="E1240" s="6">
        <v>225</v>
      </c>
      <c r="F1240" s="6">
        <v>612</v>
      </c>
      <c r="G1240" s="6">
        <v>616</v>
      </c>
      <c r="H1240" s="6">
        <v>330</v>
      </c>
      <c r="I1240" s="6">
        <v>191</v>
      </c>
      <c r="J1240" s="6">
        <v>34</v>
      </c>
      <c r="K1240" s="40">
        <v>54</v>
      </c>
      <c r="L1240" s="40">
        <v>8</v>
      </c>
      <c r="M1240" s="40">
        <v>24</v>
      </c>
      <c r="N1240" s="40">
        <v>0</v>
      </c>
      <c r="O1240" s="40">
        <v>0</v>
      </c>
      <c r="P1240" s="40">
        <v>24</v>
      </c>
      <c r="Q1240" s="40">
        <v>0</v>
      </c>
      <c r="R1240" s="40">
        <v>0</v>
      </c>
      <c r="S1240" s="40">
        <v>0</v>
      </c>
    </row>
    <row r="1241" spans="1:19" x14ac:dyDescent="0.35">
      <c r="A1241" s="38">
        <v>1238</v>
      </c>
      <c r="B1241" s="38" t="str">
        <f>_xlfn.XLOOKUP(A1241,'Model Modeshare by TAZ'!A:A,'Model Modeshare by TAZ'!B:B)</f>
        <v>Santa Clara</v>
      </c>
      <c r="C1241" s="38" t="str">
        <f>_xlfn.XLOOKUP(A1241,'Model Modeshare by TAZ'!A:A,'Model Modeshare by TAZ'!D:D)</f>
        <v>NO</v>
      </c>
      <c r="D1241" s="6">
        <v>3</v>
      </c>
      <c r="E1241" s="6">
        <v>199</v>
      </c>
      <c r="F1241" s="6">
        <v>542</v>
      </c>
      <c r="G1241" s="6">
        <v>547</v>
      </c>
      <c r="H1241" s="6">
        <v>293</v>
      </c>
      <c r="I1241" s="6">
        <v>170</v>
      </c>
      <c r="J1241" s="6">
        <v>29</v>
      </c>
      <c r="K1241" s="40">
        <v>37</v>
      </c>
      <c r="L1241" s="40">
        <v>1</v>
      </c>
      <c r="M1241" s="40">
        <v>0</v>
      </c>
      <c r="N1241" s="40">
        <v>0</v>
      </c>
      <c r="O1241" s="40">
        <v>0</v>
      </c>
      <c r="P1241" s="40">
        <v>0</v>
      </c>
      <c r="Q1241" s="40">
        <v>0</v>
      </c>
      <c r="R1241" s="40">
        <v>0</v>
      </c>
      <c r="S1241" s="40">
        <v>0</v>
      </c>
    </row>
    <row r="1242" spans="1:19" x14ac:dyDescent="0.35">
      <c r="A1242" s="38">
        <v>1239</v>
      </c>
      <c r="B1242" s="38" t="str">
        <f>_xlfn.XLOOKUP(A1242,'Model Modeshare by TAZ'!A:A,'Model Modeshare by TAZ'!B:B)</f>
        <v>Santa Clara</v>
      </c>
      <c r="C1242" s="38" t="str">
        <f>_xlfn.XLOOKUP(A1242,'Model Modeshare by TAZ'!A:A,'Model Modeshare by TAZ'!D:D)</f>
        <v>NO</v>
      </c>
      <c r="D1242" s="6">
        <v>3</v>
      </c>
      <c r="E1242" s="6">
        <v>221</v>
      </c>
      <c r="F1242" s="6">
        <v>552</v>
      </c>
      <c r="G1242" s="6">
        <v>552</v>
      </c>
      <c r="H1242" s="6">
        <v>312</v>
      </c>
      <c r="I1242" s="6">
        <v>138</v>
      </c>
      <c r="J1242" s="6">
        <v>83</v>
      </c>
      <c r="K1242" s="40">
        <v>58</v>
      </c>
      <c r="L1242" s="40">
        <v>4</v>
      </c>
      <c r="M1242" s="40">
        <v>0</v>
      </c>
      <c r="N1242" s="40">
        <v>0</v>
      </c>
      <c r="O1242" s="40">
        <v>0</v>
      </c>
      <c r="P1242" s="40">
        <v>0</v>
      </c>
      <c r="Q1242" s="40">
        <v>0</v>
      </c>
      <c r="R1242" s="40">
        <v>0</v>
      </c>
      <c r="S1242" s="40">
        <v>0</v>
      </c>
    </row>
    <row r="1243" spans="1:19" x14ac:dyDescent="0.35">
      <c r="A1243" s="38">
        <v>1240</v>
      </c>
      <c r="B1243" s="38" t="str">
        <f>_xlfn.XLOOKUP(A1243,'Model Modeshare by TAZ'!A:A,'Model Modeshare by TAZ'!B:B)</f>
        <v>Santa Clara</v>
      </c>
      <c r="C1243" s="38" t="str">
        <f>_xlfn.XLOOKUP(A1243,'Model Modeshare by TAZ'!A:A,'Model Modeshare by TAZ'!D:D)</f>
        <v>NO</v>
      </c>
      <c r="D1243" s="6">
        <v>3</v>
      </c>
      <c r="E1243" s="6">
        <v>667</v>
      </c>
      <c r="F1243" s="6">
        <v>1677</v>
      </c>
      <c r="G1243" s="6">
        <v>1680</v>
      </c>
      <c r="H1243" s="6">
        <v>876</v>
      </c>
      <c r="I1243" s="6">
        <v>431</v>
      </c>
      <c r="J1243" s="6">
        <v>236</v>
      </c>
      <c r="K1243" s="40">
        <v>61</v>
      </c>
      <c r="L1243" s="40">
        <v>1</v>
      </c>
      <c r="M1243" s="40">
        <v>145</v>
      </c>
      <c r="N1243" s="40">
        <v>4</v>
      </c>
      <c r="O1243" s="40">
        <v>111</v>
      </c>
      <c r="P1243" s="40">
        <v>24</v>
      </c>
      <c r="Q1243" s="40">
        <v>0</v>
      </c>
      <c r="R1243" s="40">
        <v>2</v>
      </c>
      <c r="S1243" s="40">
        <v>4</v>
      </c>
    </row>
    <row r="1244" spans="1:19" x14ac:dyDescent="0.35">
      <c r="A1244" s="38">
        <v>1241</v>
      </c>
      <c r="B1244" s="38" t="str">
        <f>_xlfn.XLOOKUP(A1244,'Model Modeshare by TAZ'!A:A,'Model Modeshare by TAZ'!B:B)</f>
        <v>Santa Clara</v>
      </c>
      <c r="C1244" s="38" t="str">
        <f>_xlfn.XLOOKUP(A1244,'Model Modeshare by TAZ'!A:A,'Model Modeshare by TAZ'!D:D)</f>
        <v>NO</v>
      </c>
      <c r="D1244" s="6">
        <v>3</v>
      </c>
      <c r="E1244" s="6">
        <v>922</v>
      </c>
      <c r="F1244" s="6">
        <v>2119</v>
      </c>
      <c r="G1244" s="6">
        <v>2156</v>
      </c>
      <c r="H1244" s="6">
        <v>1155</v>
      </c>
      <c r="I1244" s="6">
        <v>448</v>
      </c>
      <c r="J1244" s="6">
        <v>474</v>
      </c>
      <c r="K1244" s="40">
        <v>138</v>
      </c>
      <c r="L1244" s="40">
        <v>20</v>
      </c>
      <c r="M1244" s="40">
        <v>777</v>
      </c>
      <c r="N1244" s="40">
        <v>125</v>
      </c>
      <c r="O1244" s="40">
        <v>491</v>
      </c>
      <c r="P1244" s="40">
        <v>86</v>
      </c>
      <c r="Q1244" s="40">
        <v>0</v>
      </c>
      <c r="R1244" s="40">
        <v>69</v>
      </c>
      <c r="S1244" s="40">
        <v>6</v>
      </c>
    </row>
    <row r="1245" spans="1:19" x14ac:dyDescent="0.35">
      <c r="A1245" s="38">
        <v>1242</v>
      </c>
      <c r="B1245" s="38" t="str">
        <f>_xlfn.XLOOKUP(A1245,'Model Modeshare by TAZ'!A:A,'Model Modeshare by TAZ'!B:B)</f>
        <v>Santa Clara</v>
      </c>
      <c r="C1245" s="38" t="str">
        <f>_xlfn.XLOOKUP(A1245,'Model Modeshare by TAZ'!A:A,'Model Modeshare by TAZ'!D:D)</f>
        <v>NO</v>
      </c>
      <c r="D1245" s="6">
        <v>3</v>
      </c>
      <c r="E1245" s="6">
        <v>0</v>
      </c>
      <c r="F1245" s="6">
        <v>0</v>
      </c>
      <c r="G1245" s="6">
        <v>0</v>
      </c>
      <c r="H1245" s="6">
        <v>0</v>
      </c>
      <c r="I1245" s="6">
        <v>0</v>
      </c>
      <c r="J1245" s="6">
        <v>0</v>
      </c>
      <c r="K1245" s="40">
        <v>0</v>
      </c>
      <c r="L1245" s="40">
        <v>68</v>
      </c>
      <c r="M1245" s="40">
        <v>1878</v>
      </c>
      <c r="N1245" s="40">
        <v>72</v>
      </c>
      <c r="O1245" s="40">
        <v>538</v>
      </c>
      <c r="P1245" s="40">
        <v>121</v>
      </c>
      <c r="Q1245" s="40">
        <v>0</v>
      </c>
      <c r="R1245" s="40">
        <v>978</v>
      </c>
      <c r="S1245" s="40">
        <v>169</v>
      </c>
    </row>
    <row r="1246" spans="1:19" x14ac:dyDescent="0.35">
      <c r="A1246" s="38">
        <v>1243</v>
      </c>
      <c r="B1246" s="38" t="str">
        <f>_xlfn.XLOOKUP(A1246,'Model Modeshare by TAZ'!A:A,'Model Modeshare by TAZ'!B:B)</f>
        <v>Santa Clara</v>
      </c>
      <c r="C1246" s="38" t="str">
        <f>_xlfn.XLOOKUP(A1246,'Model Modeshare by TAZ'!A:A,'Model Modeshare by TAZ'!D:D)</f>
        <v>NO</v>
      </c>
      <c r="D1246" s="6">
        <v>3</v>
      </c>
      <c r="E1246" s="6">
        <v>0</v>
      </c>
      <c r="F1246" s="6">
        <v>0</v>
      </c>
      <c r="G1246" s="6">
        <v>0</v>
      </c>
      <c r="H1246" s="6">
        <v>0</v>
      </c>
      <c r="I1246" s="6">
        <v>0</v>
      </c>
      <c r="J1246" s="6">
        <v>0</v>
      </c>
      <c r="K1246" s="40">
        <v>0</v>
      </c>
      <c r="L1246" s="40">
        <v>89</v>
      </c>
      <c r="M1246" s="40">
        <v>1910</v>
      </c>
      <c r="N1246" s="40">
        <v>145</v>
      </c>
      <c r="O1246" s="40">
        <v>509</v>
      </c>
      <c r="P1246" s="40">
        <v>124</v>
      </c>
      <c r="Q1246" s="40">
        <v>1</v>
      </c>
      <c r="R1246" s="40">
        <v>954</v>
      </c>
      <c r="S1246" s="40">
        <v>177</v>
      </c>
    </row>
    <row r="1247" spans="1:19" x14ac:dyDescent="0.35">
      <c r="A1247" s="38">
        <v>1244</v>
      </c>
      <c r="B1247" s="38" t="str">
        <f>_xlfn.XLOOKUP(A1247,'Model Modeshare by TAZ'!A:A,'Model Modeshare by TAZ'!B:B)</f>
        <v>Santa Clara</v>
      </c>
      <c r="C1247" s="38" t="str">
        <f>_xlfn.XLOOKUP(A1247,'Model Modeshare by TAZ'!A:A,'Model Modeshare by TAZ'!D:D)</f>
        <v>NO</v>
      </c>
      <c r="D1247" s="6">
        <v>3</v>
      </c>
      <c r="E1247" s="6">
        <v>625</v>
      </c>
      <c r="F1247" s="6">
        <v>1699</v>
      </c>
      <c r="G1247" s="6">
        <v>1710</v>
      </c>
      <c r="H1247" s="6">
        <v>919</v>
      </c>
      <c r="I1247" s="6">
        <v>533</v>
      </c>
      <c r="J1247" s="6">
        <v>92</v>
      </c>
      <c r="K1247" s="40">
        <v>92</v>
      </c>
      <c r="L1247" s="40">
        <v>22</v>
      </c>
      <c r="M1247" s="40">
        <v>274</v>
      </c>
      <c r="N1247" s="40">
        <v>160</v>
      </c>
      <c r="O1247" s="40">
        <v>95</v>
      </c>
      <c r="P1247" s="40">
        <v>10</v>
      </c>
      <c r="Q1247" s="40">
        <v>0</v>
      </c>
      <c r="R1247" s="40">
        <v>9</v>
      </c>
      <c r="S1247" s="40">
        <v>0</v>
      </c>
    </row>
    <row r="1248" spans="1:19" x14ac:dyDescent="0.35">
      <c r="A1248" s="38">
        <v>1245</v>
      </c>
      <c r="B1248" s="38" t="str">
        <f>_xlfn.XLOOKUP(A1248,'Model Modeshare by TAZ'!A:A,'Model Modeshare by TAZ'!B:B)</f>
        <v>Santa Clara</v>
      </c>
      <c r="C1248" s="38" t="str">
        <f>_xlfn.XLOOKUP(A1248,'Model Modeshare by TAZ'!A:A,'Model Modeshare by TAZ'!D:D)</f>
        <v>NO</v>
      </c>
      <c r="D1248" s="6">
        <v>3</v>
      </c>
      <c r="E1248" s="6">
        <v>330</v>
      </c>
      <c r="F1248" s="6">
        <v>946</v>
      </c>
      <c r="G1248" s="6">
        <v>952</v>
      </c>
      <c r="H1248" s="6">
        <v>468</v>
      </c>
      <c r="I1248" s="6">
        <v>259</v>
      </c>
      <c r="J1248" s="6">
        <v>71</v>
      </c>
      <c r="K1248" s="40">
        <v>60</v>
      </c>
      <c r="L1248" s="40">
        <v>21</v>
      </c>
      <c r="M1248" s="40">
        <v>510</v>
      </c>
      <c r="N1248" s="40">
        <v>43</v>
      </c>
      <c r="O1248" s="40">
        <v>325</v>
      </c>
      <c r="P1248" s="40">
        <v>74</v>
      </c>
      <c r="Q1248" s="40">
        <v>22</v>
      </c>
      <c r="R1248" s="40">
        <v>26</v>
      </c>
      <c r="S1248" s="40">
        <v>20</v>
      </c>
    </row>
    <row r="1249" spans="1:19" x14ac:dyDescent="0.35">
      <c r="A1249" s="38">
        <v>1246</v>
      </c>
      <c r="B1249" s="38" t="str">
        <f>_xlfn.XLOOKUP(A1249,'Model Modeshare by TAZ'!A:A,'Model Modeshare by TAZ'!B:B)</f>
        <v>Santa Clara</v>
      </c>
      <c r="C1249" s="38" t="str">
        <f>_xlfn.XLOOKUP(A1249,'Model Modeshare by TAZ'!A:A,'Model Modeshare by TAZ'!D:D)</f>
        <v>NO</v>
      </c>
      <c r="D1249" s="6">
        <v>3</v>
      </c>
      <c r="E1249" s="6">
        <v>542</v>
      </c>
      <c r="F1249" s="6">
        <v>1553</v>
      </c>
      <c r="G1249" s="6">
        <v>1568</v>
      </c>
      <c r="H1249" s="6">
        <v>768</v>
      </c>
      <c r="I1249" s="6">
        <v>423</v>
      </c>
      <c r="J1249" s="6">
        <v>119</v>
      </c>
      <c r="K1249" s="40">
        <v>83</v>
      </c>
      <c r="L1249" s="40">
        <v>32</v>
      </c>
      <c r="M1249" s="40">
        <v>491</v>
      </c>
      <c r="N1249" s="40">
        <v>130</v>
      </c>
      <c r="O1249" s="40">
        <v>274</v>
      </c>
      <c r="P1249" s="40">
        <v>59</v>
      </c>
      <c r="Q1249" s="40">
        <v>21</v>
      </c>
      <c r="R1249" s="40">
        <v>4</v>
      </c>
      <c r="S1249" s="40">
        <v>3</v>
      </c>
    </row>
    <row r="1250" spans="1:19" x14ac:dyDescent="0.35">
      <c r="A1250" s="38">
        <v>1247</v>
      </c>
      <c r="B1250" s="38" t="str">
        <f>_xlfn.XLOOKUP(A1250,'Model Modeshare by TAZ'!A:A,'Model Modeshare by TAZ'!B:B)</f>
        <v>Santa Clara</v>
      </c>
      <c r="C1250" s="38" t="str">
        <f>_xlfn.XLOOKUP(A1250,'Model Modeshare by TAZ'!A:A,'Model Modeshare by TAZ'!D:D)</f>
        <v>NO</v>
      </c>
      <c r="D1250" s="6">
        <v>3</v>
      </c>
      <c r="E1250" s="6">
        <v>899</v>
      </c>
      <c r="F1250" s="6">
        <v>2240</v>
      </c>
      <c r="G1250" s="6">
        <v>2240</v>
      </c>
      <c r="H1250" s="6">
        <v>1269</v>
      </c>
      <c r="I1250" s="6">
        <v>558</v>
      </c>
      <c r="J1250" s="6">
        <v>341</v>
      </c>
      <c r="K1250" s="40">
        <v>98</v>
      </c>
      <c r="L1250" s="40">
        <v>21</v>
      </c>
      <c r="M1250" s="40">
        <v>373</v>
      </c>
      <c r="N1250" s="40">
        <v>140</v>
      </c>
      <c r="O1250" s="40">
        <v>207</v>
      </c>
      <c r="P1250" s="40">
        <v>21</v>
      </c>
      <c r="Q1250" s="40">
        <v>0</v>
      </c>
      <c r="R1250" s="40">
        <v>1</v>
      </c>
      <c r="S1250" s="40">
        <v>4</v>
      </c>
    </row>
    <row r="1251" spans="1:19" x14ac:dyDescent="0.35">
      <c r="A1251" s="38">
        <v>1248</v>
      </c>
      <c r="B1251" s="38" t="str">
        <f>_xlfn.XLOOKUP(A1251,'Model Modeshare by TAZ'!A:A,'Model Modeshare by TAZ'!B:B)</f>
        <v>Santa Clara</v>
      </c>
      <c r="C1251" s="38" t="str">
        <f>_xlfn.XLOOKUP(A1251,'Model Modeshare by TAZ'!A:A,'Model Modeshare by TAZ'!D:D)</f>
        <v>NO</v>
      </c>
      <c r="D1251" s="6">
        <v>3</v>
      </c>
      <c r="E1251" s="6">
        <v>354</v>
      </c>
      <c r="F1251" s="6">
        <v>811</v>
      </c>
      <c r="G1251" s="6">
        <v>826</v>
      </c>
      <c r="H1251" s="6">
        <v>443</v>
      </c>
      <c r="I1251" s="6">
        <v>172</v>
      </c>
      <c r="J1251" s="6">
        <v>182</v>
      </c>
      <c r="K1251" s="40">
        <v>14</v>
      </c>
      <c r="L1251" s="40">
        <v>24</v>
      </c>
      <c r="M1251" s="40">
        <v>465</v>
      </c>
      <c r="N1251" s="40">
        <v>67</v>
      </c>
      <c r="O1251" s="40">
        <v>277</v>
      </c>
      <c r="P1251" s="40">
        <v>76</v>
      </c>
      <c r="Q1251" s="40">
        <v>0</v>
      </c>
      <c r="R1251" s="40">
        <v>42</v>
      </c>
      <c r="S1251" s="40">
        <v>3</v>
      </c>
    </row>
    <row r="1252" spans="1:19" x14ac:dyDescent="0.35">
      <c r="A1252" s="38">
        <v>1249</v>
      </c>
      <c r="B1252" s="38" t="str">
        <f>_xlfn.XLOOKUP(A1252,'Model Modeshare by TAZ'!A:A,'Model Modeshare by TAZ'!B:B)</f>
        <v>Santa Clara</v>
      </c>
      <c r="C1252" s="38" t="str">
        <f>_xlfn.XLOOKUP(A1252,'Model Modeshare by TAZ'!A:A,'Model Modeshare by TAZ'!D:D)</f>
        <v>NO</v>
      </c>
      <c r="D1252" s="6">
        <v>3</v>
      </c>
      <c r="E1252" s="6">
        <v>655</v>
      </c>
      <c r="F1252" s="6">
        <v>1506</v>
      </c>
      <c r="G1252" s="6">
        <v>1532</v>
      </c>
      <c r="H1252" s="6">
        <v>819</v>
      </c>
      <c r="I1252" s="6">
        <v>313</v>
      </c>
      <c r="J1252" s="6">
        <v>342</v>
      </c>
      <c r="K1252" s="40">
        <v>55</v>
      </c>
      <c r="L1252" s="40">
        <v>34</v>
      </c>
      <c r="M1252" s="40">
        <v>954</v>
      </c>
      <c r="N1252" s="40">
        <v>115</v>
      </c>
      <c r="O1252" s="40">
        <v>603</v>
      </c>
      <c r="P1252" s="40">
        <v>126</v>
      </c>
      <c r="Q1252" s="40">
        <v>0</v>
      </c>
      <c r="R1252" s="40">
        <v>104</v>
      </c>
      <c r="S1252" s="40">
        <v>6</v>
      </c>
    </row>
    <row r="1253" spans="1:19" x14ac:dyDescent="0.35">
      <c r="A1253" s="38">
        <v>1250</v>
      </c>
      <c r="B1253" s="38" t="str">
        <f>_xlfn.XLOOKUP(A1253,'Model Modeshare by TAZ'!A:A,'Model Modeshare by TAZ'!B:B)</f>
        <v>Santa Clara</v>
      </c>
      <c r="C1253" s="38" t="str">
        <f>_xlfn.XLOOKUP(A1253,'Model Modeshare by TAZ'!A:A,'Model Modeshare by TAZ'!D:D)</f>
        <v>NO</v>
      </c>
      <c r="D1253" s="6">
        <v>3</v>
      </c>
      <c r="E1253" s="6">
        <v>393</v>
      </c>
      <c r="F1253" s="6">
        <v>989</v>
      </c>
      <c r="G1253" s="6">
        <v>990</v>
      </c>
      <c r="H1253" s="6">
        <v>516</v>
      </c>
      <c r="I1253" s="6">
        <v>254</v>
      </c>
      <c r="J1253" s="6">
        <v>139</v>
      </c>
      <c r="K1253" s="40">
        <v>84</v>
      </c>
      <c r="L1253" s="40">
        <v>1</v>
      </c>
      <c r="M1253" s="40">
        <v>50</v>
      </c>
      <c r="N1253" s="40">
        <v>8</v>
      </c>
      <c r="O1253" s="40">
        <v>39</v>
      </c>
      <c r="P1253" s="40">
        <v>2</v>
      </c>
      <c r="Q1253" s="40">
        <v>0</v>
      </c>
      <c r="R1253" s="40">
        <v>0</v>
      </c>
      <c r="S1253" s="40">
        <v>1</v>
      </c>
    </row>
    <row r="1254" spans="1:19" x14ac:dyDescent="0.35">
      <c r="A1254" s="38">
        <v>1251</v>
      </c>
      <c r="B1254" s="38" t="str">
        <f>_xlfn.XLOOKUP(A1254,'Model Modeshare by TAZ'!A:A,'Model Modeshare by TAZ'!B:B)</f>
        <v>Santa Clara</v>
      </c>
      <c r="C1254" s="38" t="str">
        <f>_xlfn.XLOOKUP(A1254,'Model Modeshare by TAZ'!A:A,'Model Modeshare by TAZ'!D:D)</f>
        <v>NO</v>
      </c>
      <c r="D1254" s="6">
        <v>3</v>
      </c>
      <c r="E1254" s="6">
        <v>299</v>
      </c>
      <c r="F1254" s="6">
        <v>752</v>
      </c>
      <c r="G1254" s="6">
        <v>761</v>
      </c>
      <c r="H1254" s="6">
        <v>392</v>
      </c>
      <c r="I1254" s="6">
        <v>194</v>
      </c>
      <c r="J1254" s="6">
        <v>105</v>
      </c>
      <c r="K1254" s="40">
        <v>64</v>
      </c>
      <c r="L1254" s="40">
        <v>1</v>
      </c>
      <c r="M1254" s="40">
        <v>84</v>
      </c>
      <c r="N1254" s="40">
        <v>7</v>
      </c>
      <c r="O1254" s="40">
        <v>70</v>
      </c>
      <c r="P1254" s="40">
        <v>5</v>
      </c>
      <c r="Q1254" s="40">
        <v>0</v>
      </c>
      <c r="R1254" s="40">
        <v>0</v>
      </c>
      <c r="S1254" s="40">
        <v>2</v>
      </c>
    </row>
    <row r="1255" spans="1:19" x14ac:dyDescent="0.35">
      <c r="A1255" s="38">
        <v>1252</v>
      </c>
      <c r="B1255" s="38" t="str">
        <f>_xlfn.XLOOKUP(A1255,'Model Modeshare by TAZ'!A:A,'Model Modeshare by TAZ'!B:B)</f>
        <v>Santa Clara</v>
      </c>
      <c r="C1255" s="38" t="str">
        <f>_xlfn.XLOOKUP(A1255,'Model Modeshare by TAZ'!A:A,'Model Modeshare by TAZ'!D:D)</f>
        <v>NO</v>
      </c>
      <c r="D1255" s="6">
        <v>3</v>
      </c>
      <c r="E1255" s="6">
        <v>371</v>
      </c>
      <c r="F1255" s="6">
        <v>852</v>
      </c>
      <c r="G1255" s="6">
        <v>868</v>
      </c>
      <c r="H1255" s="6">
        <v>465</v>
      </c>
      <c r="I1255" s="6">
        <v>179</v>
      </c>
      <c r="J1255" s="6">
        <v>192</v>
      </c>
      <c r="K1255" s="40">
        <v>44</v>
      </c>
      <c r="L1255" s="40">
        <v>2</v>
      </c>
      <c r="M1255" s="40">
        <v>32</v>
      </c>
      <c r="N1255" s="40">
        <v>7</v>
      </c>
      <c r="O1255" s="40">
        <v>23</v>
      </c>
      <c r="P1255" s="40">
        <v>0</v>
      </c>
      <c r="Q1255" s="40">
        <v>0</v>
      </c>
      <c r="R1255" s="40">
        <v>2</v>
      </c>
      <c r="S1255" s="40">
        <v>0</v>
      </c>
    </row>
    <row r="1256" spans="1:19" x14ac:dyDescent="0.35">
      <c r="A1256" s="38">
        <v>1253</v>
      </c>
      <c r="B1256" s="38" t="str">
        <f>_xlfn.XLOOKUP(A1256,'Model Modeshare by TAZ'!A:A,'Model Modeshare by TAZ'!B:B)</f>
        <v>Santa Clara</v>
      </c>
      <c r="C1256" s="38" t="str">
        <f>_xlfn.XLOOKUP(A1256,'Model Modeshare by TAZ'!A:A,'Model Modeshare by TAZ'!D:D)</f>
        <v>NO</v>
      </c>
      <c r="D1256" s="6">
        <v>3</v>
      </c>
      <c r="E1256" s="6">
        <v>585</v>
      </c>
      <c r="F1256" s="6">
        <v>1345</v>
      </c>
      <c r="G1256" s="6">
        <v>1374</v>
      </c>
      <c r="H1256" s="6">
        <v>733</v>
      </c>
      <c r="I1256" s="6">
        <v>285</v>
      </c>
      <c r="J1256" s="6">
        <v>300</v>
      </c>
      <c r="K1256" s="40">
        <v>81</v>
      </c>
      <c r="L1256" s="40">
        <v>15</v>
      </c>
      <c r="M1256" s="40">
        <v>62</v>
      </c>
      <c r="N1256" s="40">
        <v>6</v>
      </c>
      <c r="O1256" s="40">
        <v>31</v>
      </c>
      <c r="P1256" s="40">
        <v>16</v>
      </c>
      <c r="Q1256" s="40">
        <v>0</v>
      </c>
      <c r="R1256" s="40">
        <v>8</v>
      </c>
      <c r="S1256" s="40">
        <v>1</v>
      </c>
    </row>
    <row r="1257" spans="1:19" x14ac:dyDescent="0.35">
      <c r="A1257" s="38">
        <v>1254</v>
      </c>
      <c r="B1257" s="38" t="str">
        <f>_xlfn.XLOOKUP(A1257,'Model Modeshare by TAZ'!A:A,'Model Modeshare by TAZ'!B:B)</f>
        <v>Santa Clara</v>
      </c>
      <c r="C1257" s="38" t="str">
        <f>_xlfn.XLOOKUP(A1257,'Model Modeshare by TAZ'!A:A,'Model Modeshare by TAZ'!D:D)</f>
        <v>NO</v>
      </c>
      <c r="D1257" s="6">
        <v>3</v>
      </c>
      <c r="E1257" s="6">
        <v>212</v>
      </c>
      <c r="F1257" s="6">
        <v>487</v>
      </c>
      <c r="G1257" s="6">
        <v>497</v>
      </c>
      <c r="H1257" s="6">
        <v>265</v>
      </c>
      <c r="I1257" s="6">
        <v>102</v>
      </c>
      <c r="J1257" s="6">
        <v>110</v>
      </c>
      <c r="K1257" s="40">
        <v>54</v>
      </c>
      <c r="L1257" s="40">
        <v>8</v>
      </c>
      <c r="M1257" s="40">
        <v>85</v>
      </c>
      <c r="N1257" s="40">
        <v>7</v>
      </c>
      <c r="O1257" s="40">
        <v>38</v>
      </c>
      <c r="P1257" s="40">
        <v>32</v>
      </c>
      <c r="Q1257" s="40">
        <v>0</v>
      </c>
      <c r="R1257" s="40">
        <v>8</v>
      </c>
      <c r="S1257" s="40">
        <v>0</v>
      </c>
    </row>
    <row r="1258" spans="1:19" x14ac:dyDescent="0.35">
      <c r="A1258" s="38">
        <v>1255</v>
      </c>
      <c r="B1258" s="38" t="str">
        <f>_xlfn.XLOOKUP(A1258,'Model Modeshare by TAZ'!A:A,'Model Modeshare by TAZ'!B:B)</f>
        <v>Santa Clara</v>
      </c>
      <c r="C1258" s="38" t="str">
        <f>_xlfn.XLOOKUP(A1258,'Model Modeshare by TAZ'!A:A,'Model Modeshare by TAZ'!D:D)</f>
        <v>NO</v>
      </c>
      <c r="D1258" s="6">
        <v>3</v>
      </c>
      <c r="E1258" s="6">
        <v>254</v>
      </c>
      <c r="F1258" s="6">
        <v>584</v>
      </c>
      <c r="G1258" s="6">
        <v>595</v>
      </c>
      <c r="H1258" s="6">
        <v>317</v>
      </c>
      <c r="I1258" s="6">
        <v>122</v>
      </c>
      <c r="J1258" s="6">
        <v>132</v>
      </c>
      <c r="K1258" s="40">
        <v>38</v>
      </c>
      <c r="L1258" s="40">
        <v>2</v>
      </c>
      <c r="M1258" s="40">
        <v>171</v>
      </c>
      <c r="N1258" s="40">
        <v>43</v>
      </c>
      <c r="O1258" s="40">
        <v>36</v>
      </c>
      <c r="P1258" s="40">
        <v>82</v>
      </c>
      <c r="Q1258" s="40">
        <v>0</v>
      </c>
      <c r="R1258" s="40">
        <v>9</v>
      </c>
      <c r="S1258" s="40">
        <v>1</v>
      </c>
    </row>
    <row r="1259" spans="1:19" x14ac:dyDescent="0.35">
      <c r="A1259" s="38">
        <v>1256</v>
      </c>
      <c r="B1259" s="38" t="str">
        <f>_xlfn.XLOOKUP(A1259,'Model Modeshare by TAZ'!A:A,'Model Modeshare by TAZ'!B:B)</f>
        <v>Santa Clara</v>
      </c>
      <c r="C1259" s="38" t="str">
        <f>_xlfn.XLOOKUP(A1259,'Model Modeshare by TAZ'!A:A,'Model Modeshare by TAZ'!D:D)</f>
        <v>NO</v>
      </c>
      <c r="D1259" s="6">
        <v>3</v>
      </c>
      <c r="E1259" s="6">
        <v>164</v>
      </c>
      <c r="F1259" s="6">
        <v>402</v>
      </c>
      <c r="G1259" s="6">
        <v>403</v>
      </c>
      <c r="H1259" s="6">
        <v>203</v>
      </c>
      <c r="I1259" s="6">
        <v>114</v>
      </c>
      <c r="J1259" s="6">
        <v>50</v>
      </c>
      <c r="K1259" s="40">
        <v>49</v>
      </c>
      <c r="L1259" s="40">
        <v>4</v>
      </c>
      <c r="M1259" s="40">
        <v>321</v>
      </c>
      <c r="N1259" s="40">
        <v>9</v>
      </c>
      <c r="O1259" s="40">
        <v>165</v>
      </c>
      <c r="P1259" s="40">
        <v>58</v>
      </c>
      <c r="Q1259" s="40">
        <v>0</v>
      </c>
      <c r="R1259" s="40">
        <v>65</v>
      </c>
      <c r="S1259" s="40">
        <v>24</v>
      </c>
    </row>
    <row r="1260" spans="1:19" x14ac:dyDescent="0.35">
      <c r="A1260" s="38">
        <v>1257</v>
      </c>
      <c r="B1260" s="38" t="str">
        <f>_xlfn.XLOOKUP(A1260,'Model Modeshare by TAZ'!A:A,'Model Modeshare by TAZ'!B:B)</f>
        <v>Santa Clara</v>
      </c>
      <c r="C1260" s="38" t="str">
        <f>_xlfn.XLOOKUP(A1260,'Model Modeshare by TAZ'!A:A,'Model Modeshare by TAZ'!D:D)</f>
        <v>NO</v>
      </c>
      <c r="D1260" s="6">
        <v>3</v>
      </c>
      <c r="E1260" s="6">
        <v>231</v>
      </c>
      <c r="F1260" s="6">
        <v>568</v>
      </c>
      <c r="G1260" s="6">
        <v>570</v>
      </c>
      <c r="H1260" s="6">
        <v>287</v>
      </c>
      <c r="I1260" s="6">
        <v>163</v>
      </c>
      <c r="J1260" s="6">
        <v>68</v>
      </c>
      <c r="K1260" s="40">
        <v>63</v>
      </c>
      <c r="L1260" s="40">
        <v>20</v>
      </c>
      <c r="M1260" s="40">
        <v>498</v>
      </c>
      <c r="N1260" s="40">
        <v>126</v>
      </c>
      <c r="O1260" s="40">
        <v>175</v>
      </c>
      <c r="P1260" s="40">
        <v>78</v>
      </c>
      <c r="Q1260" s="40">
        <v>0</v>
      </c>
      <c r="R1260" s="40">
        <v>86</v>
      </c>
      <c r="S1260" s="40">
        <v>33</v>
      </c>
    </row>
    <row r="1261" spans="1:19" x14ac:dyDescent="0.35">
      <c r="A1261" s="38">
        <v>1258</v>
      </c>
      <c r="B1261" s="38" t="str">
        <f>_xlfn.XLOOKUP(A1261,'Model Modeshare by TAZ'!A:A,'Model Modeshare by TAZ'!B:B)</f>
        <v>Santa Clara</v>
      </c>
      <c r="C1261" s="38" t="str">
        <f>_xlfn.XLOOKUP(A1261,'Model Modeshare by TAZ'!A:A,'Model Modeshare by TAZ'!D:D)</f>
        <v>NO</v>
      </c>
      <c r="D1261" s="6">
        <v>3</v>
      </c>
      <c r="E1261" s="6">
        <v>535</v>
      </c>
      <c r="F1261" s="6">
        <v>1317</v>
      </c>
      <c r="G1261" s="6">
        <v>1326</v>
      </c>
      <c r="H1261" s="6">
        <v>664</v>
      </c>
      <c r="I1261" s="6">
        <v>377</v>
      </c>
      <c r="J1261" s="6">
        <v>158</v>
      </c>
      <c r="K1261" s="40">
        <v>52</v>
      </c>
      <c r="L1261" s="40">
        <v>1</v>
      </c>
      <c r="M1261" s="40">
        <v>17</v>
      </c>
      <c r="N1261" s="40">
        <v>0</v>
      </c>
      <c r="O1261" s="40">
        <v>2</v>
      </c>
      <c r="P1261" s="40">
        <v>7</v>
      </c>
      <c r="Q1261" s="40">
        <v>0</v>
      </c>
      <c r="R1261" s="40">
        <v>8</v>
      </c>
      <c r="S1261" s="40">
        <v>0</v>
      </c>
    </row>
    <row r="1262" spans="1:19" x14ac:dyDescent="0.35">
      <c r="A1262" s="38">
        <v>1259</v>
      </c>
      <c r="B1262" s="38" t="str">
        <f>_xlfn.XLOOKUP(A1262,'Model Modeshare by TAZ'!A:A,'Model Modeshare by TAZ'!B:B)</f>
        <v>Santa Clara</v>
      </c>
      <c r="C1262" s="38" t="str">
        <f>_xlfn.XLOOKUP(A1262,'Model Modeshare by TAZ'!A:A,'Model Modeshare by TAZ'!D:D)</f>
        <v>NO</v>
      </c>
      <c r="D1262" s="6">
        <v>3</v>
      </c>
      <c r="E1262" s="6">
        <v>201</v>
      </c>
      <c r="F1262" s="6">
        <v>496</v>
      </c>
      <c r="G1262" s="6">
        <v>496</v>
      </c>
      <c r="H1262" s="6">
        <v>250</v>
      </c>
      <c r="I1262" s="6">
        <v>142</v>
      </c>
      <c r="J1262" s="6">
        <v>59</v>
      </c>
      <c r="K1262" s="40">
        <v>34</v>
      </c>
      <c r="L1262" s="40">
        <v>10</v>
      </c>
      <c r="M1262" s="40">
        <v>87</v>
      </c>
      <c r="N1262" s="40">
        <v>2</v>
      </c>
      <c r="O1262" s="40">
        <v>30</v>
      </c>
      <c r="P1262" s="40">
        <v>36</v>
      </c>
      <c r="Q1262" s="40">
        <v>0</v>
      </c>
      <c r="R1262" s="40">
        <v>14</v>
      </c>
      <c r="S1262" s="40">
        <v>5</v>
      </c>
    </row>
    <row r="1263" spans="1:19" x14ac:dyDescent="0.35">
      <c r="A1263" s="38">
        <v>1260</v>
      </c>
      <c r="B1263" s="38" t="str">
        <f>_xlfn.XLOOKUP(A1263,'Model Modeshare by TAZ'!A:A,'Model Modeshare by TAZ'!B:B)</f>
        <v>Santa Clara</v>
      </c>
      <c r="C1263" s="38" t="str">
        <f>_xlfn.XLOOKUP(A1263,'Model Modeshare by TAZ'!A:A,'Model Modeshare by TAZ'!D:D)</f>
        <v>NO</v>
      </c>
      <c r="D1263" s="6">
        <v>3</v>
      </c>
      <c r="E1263" s="6">
        <v>56</v>
      </c>
      <c r="F1263" s="6">
        <v>136</v>
      </c>
      <c r="G1263" s="6">
        <v>143</v>
      </c>
      <c r="H1263" s="6">
        <v>68</v>
      </c>
      <c r="I1263" s="6">
        <v>39</v>
      </c>
      <c r="J1263" s="6">
        <v>17</v>
      </c>
      <c r="K1263" s="40">
        <v>28</v>
      </c>
      <c r="L1263" s="40">
        <v>23</v>
      </c>
      <c r="M1263" s="40">
        <v>32</v>
      </c>
      <c r="N1263" s="40">
        <v>0</v>
      </c>
      <c r="O1263" s="40">
        <v>4</v>
      </c>
      <c r="P1263" s="40">
        <v>28</v>
      </c>
      <c r="Q1263" s="40">
        <v>0</v>
      </c>
      <c r="R1263" s="40">
        <v>0</v>
      </c>
      <c r="S1263" s="40">
        <v>0</v>
      </c>
    </row>
    <row r="1264" spans="1:19" x14ac:dyDescent="0.35">
      <c r="A1264" s="38">
        <v>1261</v>
      </c>
      <c r="B1264" s="38" t="str">
        <f>_xlfn.XLOOKUP(A1264,'Model Modeshare by TAZ'!A:A,'Model Modeshare by TAZ'!B:B)</f>
        <v>Santa Clara</v>
      </c>
      <c r="C1264" s="38" t="str">
        <f>_xlfn.XLOOKUP(A1264,'Model Modeshare by TAZ'!A:A,'Model Modeshare by TAZ'!D:D)</f>
        <v>NO</v>
      </c>
      <c r="D1264" s="6">
        <v>3</v>
      </c>
      <c r="E1264" s="6">
        <v>326</v>
      </c>
      <c r="F1264" s="6">
        <v>801</v>
      </c>
      <c r="G1264" s="6">
        <v>803</v>
      </c>
      <c r="H1264" s="6">
        <v>404</v>
      </c>
      <c r="I1264" s="6">
        <v>228</v>
      </c>
      <c r="J1264" s="6">
        <v>98</v>
      </c>
      <c r="K1264" s="40">
        <v>49</v>
      </c>
      <c r="L1264" s="40">
        <v>2</v>
      </c>
      <c r="M1264" s="40">
        <v>30</v>
      </c>
      <c r="N1264" s="40">
        <v>2</v>
      </c>
      <c r="O1264" s="40">
        <v>28</v>
      </c>
      <c r="P1264" s="40">
        <v>0</v>
      </c>
      <c r="Q1264" s="40">
        <v>0</v>
      </c>
      <c r="R1264" s="40">
        <v>0</v>
      </c>
      <c r="S1264" s="40">
        <v>0</v>
      </c>
    </row>
    <row r="1265" spans="1:19" x14ac:dyDescent="0.35">
      <c r="A1265" s="38">
        <v>1262</v>
      </c>
      <c r="B1265" s="38" t="str">
        <f>_xlfn.XLOOKUP(A1265,'Model Modeshare by TAZ'!A:A,'Model Modeshare by TAZ'!B:B)</f>
        <v>Santa Clara</v>
      </c>
      <c r="C1265" s="38" t="str">
        <f>_xlfn.XLOOKUP(A1265,'Model Modeshare by TAZ'!A:A,'Model Modeshare by TAZ'!D:D)</f>
        <v>NO</v>
      </c>
      <c r="D1265" s="6">
        <v>3</v>
      </c>
      <c r="E1265" s="6">
        <v>1064</v>
      </c>
      <c r="F1265" s="6">
        <v>2678</v>
      </c>
      <c r="G1265" s="6">
        <v>2680</v>
      </c>
      <c r="H1265" s="6">
        <v>1475</v>
      </c>
      <c r="I1265" s="6">
        <v>318</v>
      </c>
      <c r="J1265" s="6">
        <v>746</v>
      </c>
      <c r="K1265" s="40">
        <v>121</v>
      </c>
      <c r="L1265" s="40">
        <v>30</v>
      </c>
      <c r="M1265" s="40">
        <v>751</v>
      </c>
      <c r="N1265" s="40">
        <v>91</v>
      </c>
      <c r="O1265" s="40">
        <v>624</v>
      </c>
      <c r="P1265" s="40">
        <v>3</v>
      </c>
      <c r="Q1265" s="40">
        <v>2</v>
      </c>
      <c r="R1265" s="40">
        <v>31</v>
      </c>
      <c r="S1265" s="40">
        <v>0</v>
      </c>
    </row>
    <row r="1266" spans="1:19" x14ac:dyDescent="0.35">
      <c r="A1266" s="38">
        <v>1263</v>
      </c>
      <c r="B1266" s="38" t="str">
        <f>_xlfn.XLOOKUP(A1266,'Model Modeshare by TAZ'!A:A,'Model Modeshare by TAZ'!B:B)</f>
        <v>Santa Clara</v>
      </c>
      <c r="C1266" s="38" t="str">
        <f>_xlfn.XLOOKUP(A1266,'Model Modeshare by TAZ'!A:A,'Model Modeshare by TAZ'!D:D)</f>
        <v>NO</v>
      </c>
      <c r="D1266" s="6">
        <v>3</v>
      </c>
      <c r="E1266" s="6">
        <v>2402</v>
      </c>
      <c r="F1266" s="6">
        <v>6051</v>
      </c>
      <c r="G1266" s="6">
        <v>6053</v>
      </c>
      <c r="H1266" s="6">
        <v>3387</v>
      </c>
      <c r="I1266" s="6">
        <v>689</v>
      </c>
      <c r="J1266" s="6">
        <v>1713</v>
      </c>
      <c r="K1266" s="40">
        <v>157</v>
      </c>
      <c r="L1266" s="40">
        <v>50</v>
      </c>
      <c r="M1266" s="40">
        <v>219</v>
      </c>
      <c r="N1266" s="40">
        <v>2</v>
      </c>
      <c r="O1266" s="40">
        <v>188</v>
      </c>
      <c r="P1266" s="40">
        <v>1</v>
      </c>
      <c r="Q1266" s="40">
        <v>0</v>
      </c>
      <c r="R1266" s="40">
        <v>28</v>
      </c>
      <c r="S1266" s="40">
        <v>0</v>
      </c>
    </row>
    <row r="1267" spans="1:19" x14ac:dyDescent="0.35">
      <c r="A1267" s="38">
        <v>1264</v>
      </c>
      <c r="B1267" s="38" t="str">
        <f>_xlfn.XLOOKUP(A1267,'Model Modeshare by TAZ'!A:A,'Model Modeshare by TAZ'!B:B)</f>
        <v>Santa Clara</v>
      </c>
      <c r="C1267" s="38" t="str">
        <f>_xlfn.XLOOKUP(A1267,'Model Modeshare by TAZ'!A:A,'Model Modeshare by TAZ'!D:D)</f>
        <v>NO</v>
      </c>
      <c r="D1267" s="6">
        <v>3</v>
      </c>
      <c r="E1267" s="6">
        <v>804</v>
      </c>
      <c r="F1267" s="6">
        <v>2030</v>
      </c>
      <c r="G1267" s="6">
        <v>2032</v>
      </c>
      <c r="H1267" s="6">
        <v>1147</v>
      </c>
      <c r="I1267" s="6">
        <v>255</v>
      </c>
      <c r="J1267" s="6">
        <v>549</v>
      </c>
      <c r="K1267" s="40">
        <v>51</v>
      </c>
      <c r="L1267" s="40">
        <v>23</v>
      </c>
      <c r="M1267" s="40">
        <v>649</v>
      </c>
      <c r="N1267" s="40">
        <v>148</v>
      </c>
      <c r="O1267" s="40">
        <v>249</v>
      </c>
      <c r="P1267" s="40">
        <v>52</v>
      </c>
      <c r="Q1267" s="40">
        <v>0</v>
      </c>
      <c r="R1267" s="40">
        <v>183</v>
      </c>
      <c r="S1267" s="40">
        <v>17</v>
      </c>
    </row>
    <row r="1268" spans="1:19" x14ac:dyDescent="0.35">
      <c r="A1268" s="38">
        <v>1265</v>
      </c>
      <c r="B1268" s="38" t="str">
        <f>_xlfn.XLOOKUP(A1268,'Model Modeshare by TAZ'!A:A,'Model Modeshare by TAZ'!B:B)</f>
        <v>Santa Clara</v>
      </c>
      <c r="C1268" s="38" t="str">
        <f>_xlfn.XLOOKUP(A1268,'Model Modeshare by TAZ'!A:A,'Model Modeshare by TAZ'!D:D)</f>
        <v>NO</v>
      </c>
      <c r="D1268" s="6">
        <v>3</v>
      </c>
      <c r="E1268" s="6">
        <v>653</v>
      </c>
      <c r="F1268" s="6">
        <v>1651</v>
      </c>
      <c r="G1268" s="6">
        <v>1652</v>
      </c>
      <c r="H1268" s="6">
        <v>953</v>
      </c>
      <c r="I1268" s="6">
        <v>208</v>
      </c>
      <c r="J1268" s="6">
        <v>445</v>
      </c>
      <c r="K1268" s="40">
        <v>104</v>
      </c>
      <c r="L1268" s="40">
        <v>19</v>
      </c>
      <c r="M1268" s="40">
        <v>499</v>
      </c>
      <c r="N1268" s="40">
        <v>126</v>
      </c>
      <c r="O1268" s="40">
        <v>144</v>
      </c>
      <c r="P1268" s="40">
        <v>46</v>
      </c>
      <c r="Q1268" s="40">
        <v>0</v>
      </c>
      <c r="R1268" s="40">
        <v>167</v>
      </c>
      <c r="S1268" s="40">
        <v>16</v>
      </c>
    </row>
    <row r="1269" spans="1:19" x14ac:dyDescent="0.35">
      <c r="A1269" s="38">
        <v>1266</v>
      </c>
      <c r="B1269" s="38" t="str">
        <f>_xlfn.XLOOKUP(A1269,'Model Modeshare by TAZ'!A:A,'Model Modeshare by TAZ'!B:B)</f>
        <v>Santa Clara</v>
      </c>
      <c r="C1269" s="38" t="str">
        <f>_xlfn.XLOOKUP(A1269,'Model Modeshare by TAZ'!A:A,'Model Modeshare by TAZ'!D:D)</f>
        <v>NO</v>
      </c>
      <c r="D1269" s="6">
        <v>3</v>
      </c>
      <c r="E1269" s="6">
        <v>650</v>
      </c>
      <c r="F1269" s="6">
        <v>1754</v>
      </c>
      <c r="G1269" s="6">
        <v>1760</v>
      </c>
      <c r="H1269" s="6">
        <v>944</v>
      </c>
      <c r="I1269" s="6">
        <v>456</v>
      </c>
      <c r="J1269" s="6">
        <v>194</v>
      </c>
      <c r="K1269" s="40">
        <v>98</v>
      </c>
      <c r="L1269" s="40">
        <v>36</v>
      </c>
      <c r="M1269" s="40">
        <v>667</v>
      </c>
      <c r="N1269" s="40">
        <v>347</v>
      </c>
      <c r="O1269" s="40">
        <v>307</v>
      </c>
      <c r="P1269" s="40">
        <v>10</v>
      </c>
      <c r="Q1269" s="40">
        <v>1</v>
      </c>
      <c r="R1269" s="40">
        <v>1</v>
      </c>
      <c r="S1269" s="40">
        <v>1</v>
      </c>
    </row>
    <row r="1270" spans="1:19" x14ac:dyDescent="0.35">
      <c r="A1270" s="38">
        <v>1267</v>
      </c>
      <c r="B1270" s="38" t="str">
        <f>_xlfn.XLOOKUP(A1270,'Model Modeshare by TAZ'!A:A,'Model Modeshare by TAZ'!B:B)</f>
        <v>Santa Clara</v>
      </c>
      <c r="C1270" s="38" t="str">
        <f>_xlfn.XLOOKUP(A1270,'Model Modeshare by TAZ'!A:A,'Model Modeshare by TAZ'!D:D)</f>
        <v>NO</v>
      </c>
      <c r="D1270" s="6">
        <v>3</v>
      </c>
      <c r="E1270" s="6">
        <v>981</v>
      </c>
      <c r="F1270" s="6">
        <v>2673</v>
      </c>
      <c r="G1270" s="6">
        <v>2678</v>
      </c>
      <c r="H1270" s="6">
        <v>1516</v>
      </c>
      <c r="I1270" s="6">
        <v>694</v>
      </c>
      <c r="J1270" s="6">
        <v>287</v>
      </c>
      <c r="K1270" s="40">
        <v>139</v>
      </c>
      <c r="L1270" s="40">
        <v>19</v>
      </c>
      <c r="M1270" s="40">
        <v>120</v>
      </c>
      <c r="N1270" s="40">
        <v>0</v>
      </c>
      <c r="O1270" s="40">
        <v>119</v>
      </c>
      <c r="P1270" s="40">
        <v>1</v>
      </c>
      <c r="Q1270" s="40">
        <v>0</v>
      </c>
      <c r="R1270" s="40">
        <v>0</v>
      </c>
      <c r="S1270" s="40">
        <v>0</v>
      </c>
    </row>
    <row r="1271" spans="1:19" x14ac:dyDescent="0.35">
      <c r="A1271" s="38">
        <v>1268</v>
      </c>
      <c r="B1271" s="38" t="str">
        <f>_xlfn.XLOOKUP(A1271,'Model Modeshare by TAZ'!A:A,'Model Modeshare by TAZ'!B:B)</f>
        <v>Santa Clara</v>
      </c>
      <c r="C1271" s="38" t="str">
        <f>_xlfn.XLOOKUP(A1271,'Model Modeshare by TAZ'!A:A,'Model Modeshare by TAZ'!D:D)</f>
        <v>NO</v>
      </c>
      <c r="D1271" s="6">
        <v>3</v>
      </c>
      <c r="E1271" s="6">
        <v>1209</v>
      </c>
      <c r="F1271" s="6">
        <v>4071</v>
      </c>
      <c r="G1271" s="6">
        <v>4076</v>
      </c>
      <c r="H1271" s="6">
        <v>2060</v>
      </c>
      <c r="I1271" s="6">
        <v>776</v>
      </c>
      <c r="J1271" s="6">
        <v>433</v>
      </c>
      <c r="K1271" s="40">
        <v>43</v>
      </c>
      <c r="L1271" s="40">
        <v>43</v>
      </c>
      <c r="M1271" s="40">
        <v>145</v>
      </c>
      <c r="N1271" s="40">
        <v>50</v>
      </c>
      <c r="O1271" s="40">
        <v>62</v>
      </c>
      <c r="P1271" s="40">
        <v>11</v>
      </c>
      <c r="Q1271" s="40">
        <v>0</v>
      </c>
      <c r="R1271" s="40">
        <v>0</v>
      </c>
      <c r="S1271" s="40">
        <v>22</v>
      </c>
    </row>
    <row r="1272" spans="1:19" x14ac:dyDescent="0.35">
      <c r="A1272" s="38">
        <v>1269</v>
      </c>
      <c r="B1272" s="38" t="str">
        <f>_xlfn.XLOOKUP(A1272,'Model Modeshare by TAZ'!A:A,'Model Modeshare by TAZ'!B:B)</f>
        <v>Santa Clara</v>
      </c>
      <c r="C1272" s="38" t="str">
        <f>_xlfn.XLOOKUP(A1272,'Model Modeshare by TAZ'!A:A,'Model Modeshare by TAZ'!D:D)</f>
        <v>NO</v>
      </c>
      <c r="D1272" s="6">
        <v>3</v>
      </c>
      <c r="E1272" s="6">
        <v>892</v>
      </c>
      <c r="F1272" s="6">
        <v>3001</v>
      </c>
      <c r="G1272" s="6">
        <v>3003</v>
      </c>
      <c r="H1272" s="6">
        <v>1518</v>
      </c>
      <c r="I1272" s="6">
        <v>575</v>
      </c>
      <c r="J1272" s="6">
        <v>317</v>
      </c>
      <c r="K1272" s="40">
        <v>149</v>
      </c>
      <c r="L1272" s="40">
        <v>10</v>
      </c>
      <c r="M1272" s="40">
        <v>0</v>
      </c>
      <c r="N1272" s="40">
        <v>0</v>
      </c>
      <c r="O1272" s="40">
        <v>0</v>
      </c>
      <c r="P1272" s="40">
        <v>0</v>
      </c>
      <c r="Q1272" s="40">
        <v>0</v>
      </c>
      <c r="R1272" s="40">
        <v>0</v>
      </c>
      <c r="S1272" s="40">
        <v>0</v>
      </c>
    </row>
    <row r="1273" spans="1:19" x14ac:dyDescent="0.35">
      <c r="A1273" s="38">
        <v>1270</v>
      </c>
      <c r="B1273" s="38" t="str">
        <f>_xlfn.XLOOKUP(A1273,'Model Modeshare by TAZ'!A:A,'Model Modeshare by TAZ'!B:B)</f>
        <v>Santa Clara</v>
      </c>
      <c r="C1273" s="38" t="str">
        <f>_xlfn.XLOOKUP(A1273,'Model Modeshare by TAZ'!A:A,'Model Modeshare by TAZ'!D:D)</f>
        <v>NO</v>
      </c>
      <c r="D1273" s="6">
        <v>3</v>
      </c>
      <c r="E1273" s="6">
        <v>1143</v>
      </c>
      <c r="F1273" s="6">
        <v>3113</v>
      </c>
      <c r="G1273" s="6">
        <v>3118</v>
      </c>
      <c r="H1273" s="6">
        <v>1768</v>
      </c>
      <c r="I1273" s="6">
        <v>806</v>
      </c>
      <c r="J1273" s="6">
        <v>337</v>
      </c>
      <c r="K1273" s="40">
        <v>123</v>
      </c>
      <c r="L1273" s="40">
        <v>88</v>
      </c>
      <c r="M1273" s="40">
        <v>900</v>
      </c>
      <c r="N1273" s="40">
        <v>167</v>
      </c>
      <c r="O1273" s="40">
        <v>283</v>
      </c>
      <c r="P1273" s="40">
        <v>184</v>
      </c>
      <c r="Q1273" s="40">
        <v>10</v>
      </c>
      <c r="R1273" s="40">
        <v>88</v>
      </c>
      <c r="S1273" s="40">
        <v>168</v>
      </c>
    </row>
    <row r="1274" spans="1:19" x14ac:dyDescent="0.35">
      <c r="A1274" s="38">
        <v>1271</v>
      </c>
      <c r="B1274" s="38" t="str">
        <f>_xlfn.XLOOKUP(A1274,'Model Modeshare by TAZ'!A:A,'Model Modeshare by TAZ'!B:B)</f>
        <v>Santa Clara</v>
      </c>
      <c r="C1274" s="38" t="str">
        <f>_xlfn.XLOOKUP(A1274,'Model Modeshare by TAZ'!A:A,'Model Modeshare by TAZ'!D:D)</f>
        <v>NO</v>
      </c>
      <c r="D1274" s="6">
        <v>3</v>
      </c>
      <c r="E1274" s="6">
        <v>709</v>
      </c>
      <c r="F1274" s="6">
        <v>2176</v>
      </c>
      <c r="G1274" s="6">
        <v>2186</v>
      </c>
      <c r="H1274" s="6">
        <v>1198</v>
      </c>
      <c r="I1274" s="6">
        <v>686</v>
      </c>
      <c r="J1274" s="6">
        <v>23</v>
      </c>
      <c r="K1274" s="40">
        <v>94</v>
      </c>
      <c r="L1274" s="40">
        <v>31</v>
      </c>
      <c r="M1274" s="40">
        <v>99</v>
      </c>
      <c r="N1274" s="40">
        <v>4</v>
      </c>
      <c r="O1274" s="40">
        <v>10</v>
      </c>
      <c r="P1274" s="40">
        <v>76</v>
      </c>
      <c r="Q1274" s="40">
        <v>0</v>
      </c>
      <c r="R1274" s="40">
        <v>9</v>
      </c>
      <c r="S1274" s="40">
        <v>0</v>
      </c>
    </row>
    <row r="1275" spans="1:19" x14ac:dyDescent="0.35">
      <c r="A1275" s="38">
        <v>1272</v>
      </c>
      <c r="B1275" s="38" t="str">
        <f>_xlfn.XLOOKUP(A1275,'Model Modeshare by TAZ'!A:A,'Model Modeshare by TAZ'!B:B)</f>
        <v>Santa Clara</v>
      </c>
      <c r="C1275" s="38" t="str">
        <f>_xlfn.XLOOKUP(A1275,'Model Modeshare by TAZ'!A:A,'Model Modeshare by TAZ'!D:D)</f>
        <v>NO</v>
      </c>
      <c r="D1275" s="6">
        <v>3</v>
      </c>
      <c r="E1275" s="6">
        <v>393</v>
      </c>
      <c r="F1275" s="6">
        <v>1203</v>
      </c>
      <c r="G1275" s="6">
        <v>1208</v>
      </c>
      <c r="H1275" s="6">
        <v>664</v>
      </c>
      <c r="I1275" s="6">
        <v>379</v>
      </c>
      <c r="J1275" s="6">
        <v>14</v>
      </c>
      <c r="K1275" s="40">
        <v>90</v>
      </c>
      <c r="L1275" s="40">
        <v>26</v>
      </c>
      <c r="M1275" s="40">
        <v>303</v>
      </c>
      <c r="N1275" s="40">
        <v>149</v>
      </c>
      <c r="O1275" s="40">
        <v>132</v>
      </c>
      <c r="P1275" s="40">
        <v>7</v>
      </c>
      <c r="Q1275" s="40">
        <v>2</v>
      </c>
      <c r="R1275" s="40">
        <v>11</v>
      </c>
      <c r="S1275" s="40">
        <v>2</v>
      </c>
    </row>
    <row r="1276" spans="1:19" x14ac:dyDescent="0.35">
      <c r="A1276" s="38">
        <v>1273</v>
      </c>
      <c r="B1276" s="38" t="str">
        <f>_xlfn.XLOOKUP(A1276,'Model Modeshare by TAZ'!A:A,'Model Modeshare by TAZ'!B:B)</f>
        <v>Santa Clara</v>
      </c>
      <c r="C1276" s="38" t="str">
        <f>_xlfn.XLOOKUP(A1276,'Model Modeshare by TAZ'!A:A,'Model Modeshare by TAZ'!D:D)</f>
        <v>NO</v>
      </c>
      <c r="D1276" s="6">
        <v>3</v>
      </c>
      <c r="E1276" s="6">
        <v>170</v>
      </c>
      <c r="F1276" s="6">
        <v>484</v>
      </c>
      <c r="G1276" s="6">
        <v>484</v>
      </c>
      <c r="H1276" s="6">
        <v>261</v>
      </c>
      <c r="I1276" s="6">
        <v>135</v>
      </c>
      <c r="J1276" s="6">
        <v>35</v>
      </c>
      <c r="K1276" s="40">
        <v>38</v>
      </c>
      <c r="L1276" s="40">
        <v>38</v>
      </c>
      <c r="M1276" s="40">
        <v>68</v>
      </c>
      <c r="N1276" s="40">
        <v>0</v>
      </c>
      <c r="O1276" s="40">
        <v>0</v>
      </c>
      <c r="P1276" s="40">
        <v>68</v>
      </c>
      <c r="Q1276" s="40">
        <v>0</v>
      </c>
      <c r="R1276" s="40">
        <v>0</v>
      </c>
      <c r="S1276" s="40">
        <v>0</v>
      </c>
    </row>
    <row r="1277" spans="1:19" x14ac:dyDescent="0.35">
      <c r="A1277" s="38">
        <v>1274</v>
      </c>
      <c r="B1277" s="38" t="str">
        <f>_xlfn.XLOOKUP(A1277,'Model Modeshare by TAZ'!A:A,'Model Modeshare by TAZ'!B:B)</f>
        <v>Santa Clara</v>
      </c>
      <c r="C1277" s="38" t="str">
        <f>_xlfn.XLOOKUP(A1277,'Model Modeshare by TAZ'!A:A,'Model Modeshare by TAZ'!D:D)</f>
        <v>NO</v>
      </c>
      <c r="D1277" s="6">
        <v>3</v>
      </c>
      <c r="E1277" s="6">
        <v>726</v>
      </c>
      <c r="F1277" s="6">
        <v>2069</v>
      </c>
      <c r="G1277" s="6">
        <v>2069</v>
      </c>
      <c r="H1277" s="6">
        <v>1116</v>
      </c>
      <c r="I1277" s="6">
        <v>589</v>
      </c>
      <c r="J1277" s="6">
        <v>137</v>
      </c>
      <c r="K1277" s="40">
        <v>55</v>
      </c>
      <c r="L1277" s="40">
        <v>25</v>
      </c>
      <c r="M1277" s="40">
        <v>587</v>
      </c>
      <c r="N1277" s="40">
        <v>169</v>
      </c>
      <c r="O1277" s="40">
        <v>393</v>
      </c>
      <c r="P1277" s="40">
        <v>17</v>
      </c>
      <c r="Q1277" s="40">
        <v>0</v>
      </c>
      <c r="R1277" s="40">
        <v>6</v>
      </c>
      <c r="S1277" s="40">
        <v>2</v>
      </c>
    </row>
    <row r="1278" spans="1:19" x14ac:dyDescent="0.35">
      <c r="A1278" s="38">
        <v>1275</v>
      </c>
      <c r="B1278" s="38" t="str">
        <f>_xlfn.XLOOKUP(A1278,'Model Modeshare by TAZ'!A:A,'Model Modeshare by TAZ'!B:B)</f>
        <v>Santa Clara</v>
      </c>
      <c r="C1278" s="38" t="str">
        <f>_xlfn.XLOOKUP(A1278,'Model Modeshare by TAZ'!A:A,'Model Modeshare by TAZ'!D:D)</f>
        <v>NO</v>
      </c>
      <c r="D1278" s="6">
        <v>3</v>
      </c>
      <c r="E1278" s="6">
        <v>76</v>
      </c>
      <c r="F1278" s="6">
        <v>174</v>
      </c>
      <c r="G1278" s="6">
        <v>220</v>
      </c>
      <c r="H1278" s="6">
        <v>123</v>
      </c>
      <c r="I1278" s="6">
        <v>24</v>
      </c>
      <c r="J1278" s="6">
        <v>52</v>
      </c>
      <c r="K1278" s="40">
        <v>4</v>
      </c>
      <c r="L1278" s="40">
        <v>8</v>
      </c>
      <c r="M1278" s="40">
        <v>169</v>
      </c>
      <c r="N1278" s="40">
        <v>135</v>
      </c>
      <c r="O1278" s="40">
        <v>30</v>
      </c>
      <c r="P1278" s="40">
        <v>0</v>
      </c>
      <c r="Q1278" s="40">
        <v>2</v>
      </c>
      <c r="R1278" s="40">
        <v>2</v>
      </c>
      <c r="S1278" s="40">
        <v>0</v>
      </c>
    </row>
    <row r="1279" spans="1:19" x14ac:dyDescent="0.35">
      <c r="A1279" s="38">
        <v>1276</v>
      </c>
      <c r="B1279" s="38" t="str">
        <f>_xlfn.XLOOKUP(A1279,'Model Modeshare by TAZ'!A:A,'Model Modeshare by TAZ'!B:B)</f>
        <v>Santa Clara</v>
      </c>
      <c r="C1279" s="38" t="str">
        <f>_xlfn.XLOOKUP(A1279,'Model Modeshare by TAZ'!A:A,'Model Modeshare by TAZ'!D:D)</f>
        <v>NO</v>
      </c>
      <c r="D1279" s="6">
        <v>3</v>
      </c>
      <c r="E1279" s="6">
        <v>188</v>
      </c>
      <c r="F1279" s="6">
        <v>535</v>
      </c>
      <c r="G1279" s="6">
        <v>535</v>
      </c>
      <c r="H1279" s="6">
        <v>283</v>
      </c>
      <c r="I1279" s="6">
        <v>88</v>
      </c>
      <c r="J1279" s="6">
        <v>100</v>
      </c>
      <c r="K1279" s="40">
        <v>29</v>
      </c>
      <c r="L1279" s="40">
        <v>16</v>
      </c>
      <c r="M1279" s="40">
        <v>383</v>
      </c>
      <c r="N1279" s="40">
        <v>205</v>
      </c>
      <c r="O1279" s="40">
        <v>123</v>
      </c>
      <c r="P1279" s="40">
        <v>49</v>
      </c>
      <c r="Q1279" s="40">
        <v>0</v>
      </c>
      <c r="R1279" s="40">
        <v>5</v>
      </c>
      <c r="S1279" s="40">
        <v>1</v>
      </c>
    </row>
    <row r="1280" spans="1:19" x14ac:dyDescent="0.35">
      <c r="A1280" s="38">
        <v>1277</v>
      </c>
      <c r="B1280" s="38" t="str">
        <f>_xlfn.XLOOKUP(A1280,'Model Modeshare by TAZ'!A:A,'Model Modeshare by TAZ'!B:B)</f>
        <v>Santa Clara</v>
      </c>
      <c r="C1280" s="38" t="str">
        <f>_xlfn.XLOOKUP(A1280,'Model Modeshare by TAZ'!A:A,'Model Modeshare by TAZ'!D:D)</f>
        <v>NO</v>
      </c>
      <c r="D1280" s="6">
        <v>3</v>
      </c>
      <c r="E1280" s="6">
        <v>257</v>
      </c>
      <c r="F1280" s="6">
        <v>733</v>
      </c>
      <c r="G1280" s="6">
        <v>733</v>
      </c>
      <c r="H1280" s="6">
        <v>387</v>
      </c>
      <c r="I1280" s="6">
        <v>111</v>
      </c>
      <c r="J1280" s="6">
        <v>146</v>
      </c>
      <c r="K1280" s="40">
        <v>40</v>
      </c>
      <c r="L1280" s="40">
        <v>16</v>
      </c>
      <c r="M1280" s="40">
        <v>73</v>
      </c>
      <c r="N1280" s="40">
        <v>20</v>
      </c>
      <c r="O1280" s="40">
        <v>53</v>
      </c>
      <c r="P1280" s="40">
        <v>0</v>
      </c>
      <c r="Q1280" s="40">
        <v>0</v>
      </c>
      <c r="R1280" s="40">
        <v>0</v>
      </c>
      <c r="S1280" s="40">
        <v>0</v>
      </c>
    </row>
    <row r="1281" spans="1:19" x14ac:dyDescent="0.35">
      <c r="A1281" s="38">
        <v>1278</v>
      </c>
      <c r="B1281" s="38" t="str">
        <f>_xlfn.XLOOKUP(A1281,'Model Modeshare by TAZ'!A:A,'Model Modeshare by TAZ'!B:B)</f>
        <v>Santa Clara</v>
      </c>
      <c r="C1281" s="38" t="str">
        <f>_xlfn.XLOOKUP(A1281,'Model Modeshare by TAZ'!A:A,'Model Modeshare by TAZ'!D:D)</f>
        <v>NO</v>
      </c>
      <c r="D1281" s="6">
        <v>3</v>
      </c>
      <c r="E1281" s="6">
        <v>468</v>
      </c>
      <c r="F1281" s="6">
        <v>1330</v>
      </c>
      <c r="G1281" s="6">
        <v>1330</v>
      </c>
      <c r="H1281" s="6">
        <v>702</v>
      </c>
      <c r="I1281" s="6">
        <v>198</v>
      </c>
      <c r="J1281" s="6">
        <v>270</v>
      </c>
      <c r="K1281" s="40">
        <v>33</v>
      </c>
      <c r="L1281" s="40">
        <v>4</v>
      </c>
      <c r="M1281" s="40">
        <v>91</v>
      </c>
      <c r="N1281" s="40">
        <v>0</v>
      </c>
      <c r="O1281" s="40">
        <v>91</v>
      </c>
      <c r="P1281" s="40">
        <v>0</v>
      </c>
      <c r="Q1281" s="40">
        <v>0</v>
      </c>
      <c r="R1281" s="40">
        <v>0</v>
      </c>
      <c r="S1281" s="40">
        <v>0</v>
      </c>
    </row>
    <row r="1282" spans="1:19" x14ac:dyDescent="0.35">
      <c r="A1282" s="38">
        <v>1279</v>
      </c>
      <c r="B1282" s="38" t="str">
        <f>_xlfn.XLOOKUP(A1282,'Model Modeshare by TAZ'!A:A,'Model Modeshare by TAZ'!B:B)</f>
        <v>Santa Clara</v>
      </c>
      <c r="C1282" s="38" t="str">
        <f>_xlfn.XLOOKUP(A1282,'Model Modeshare by TAZ'!A:A,'Model Modeshare by TAZ'!D:D)</f>
        <v>NO</v>
      </c>
      <c r="D1282" s="6">
        <v>3</v>
      </c>
      <c r="E1282" s="6">
        <v>433</v>
      </c>
      <c r="F1282" s="6">
        <v>1233</v>
      </c>
      <c r="G1282" s="6">
        <v>1234</v>
      </c>
      <c r="H1282" s="6">
        <v>665</v>
      </c>
      <c r="I1282" s="6">
        <v>349</v>
      </c>
      <c r="J1282" s="6">
        <v>84</v>
      </c>
      <c r="K1282" s="40">
        <v>75</v>
      </c>
      <c r="L1282" s="40">
        <v>3</v>
      </c>
      <c r="M1282" s="40">
        <v>0</v>
      </c>
      <c r="N1282" s="40">
        <v>0</v>
      </c>
      <c r="O1282" s="40">
        <v>0</v>
      </c>
      <c r="P1282" s="40">
        <v>0</v>
      </c>
      <c r="Q1282" s="40">
        <v>0</v>
      </c>
      <c r="R1282" s="40">
        <v>0</v>
      </c>
      <c r="S1282" s="40">
        <v>0</v>
      </c>
    </row>
    <row r="1283" spans="1:19" x14ac:dyDescent="0.35">
      <c r="A1283" s="38">
        <v>1280</v>
      </c>
      <c r="B1283" s="38" t="str">
        <f>_xlfn.XLOOKUP(A1283,'Model Modeshare by TAZ'!A:A,'Model Modeshare by TAZ'!B:B)</f>
        <v>Santa Clara</v>
      </c>
      <c r="C1283" s="38" t="str">
        <f>_xlfn.XLOOKUP(A1283,'Model Modeshare by TAZ'!A:A,'Model Modeshare by TAZ'!D:D)</f>
        <v>NO</v>
      </c>
      <c r="D1283" s="6">
        <v>3</v>
      </c>
      <c r="E1283" s="6">
        <v>651</v>
      </c>
      <c r="F1283" s="6">
        <v>1851</v>
      </c>
      <c r="G1283" s="6">
        <v>1853</v>
      </c>
      <c r="H1283" s="6">
        <v>999</v>
      </c>
      <c r="I1283" s="6">
        <v>529</v>
      </c>
      <c r="J1283" s="6">
        <v>122</v>
      </c>
      <c r="K1283" s="40">
        <v>80</v>
      </c>
      <c r="L1283" s="40">
        <v>25</v>
      </c>
      <c r="M1283" s="40">
        <v>18</v>
      </c>
      <c r="N1283" s="40">
        <v>0</v>
      </c>
      <c r="O1283" s="40">
        <v>0</v>
      </c>
      <c r="P1283" s="40">
        <v>18</v>
      </c>
      <c r="Q1283" s="40">
        <v>0</v>
      </c>
      <c r="R1283" s="40">
        <v>0</v>
      </c>
      <c r="S1283" s="40">
        <v>0</v>
      </c>
    </row>
    <row r="1284" spans="1:19" x14ac:dyDescent="0.35">
      <c r="A1284" s="38">
        <v>1281</v>
      </c>
      <c r="B1284" s="38" t="str">
        <f>_xlfn.XLOOKUP(A1284,'Model Modeshare by TAZ'!A:A,'Model Modeshare by TAZ'!B:B)</f>
        <v>Santa Clara</v>
      </c>
      <c r="C1284" s="38" t="str">
        <f>_xlfn.XLOOKUP(A1284,'Model Modeshare by TAZ'!A:A,'Model Modeshare by TAZ'!D:D)</f>
        <v>NO</v>
      </c>
      <c r="D1284" s="6">
        <v>3</v>
      </c>
      <c r="E1284" s="6">
        <v>0</v>
      </c>
      <c r="F1284" s="6">
        <v>0</v>
      </c>
      <c r="G1284" s="6">
        <v>0</v>
      </c>
      <c r="H1284" s="6">
        <v>0</v>
      </c>
      <c r="I1284" s="6">
        <v>0</v>
      </c>
      <c r="J1284" s="6">
        <v>0</v>
      </c>
      <c r="K1284" s="40">
        <v>7</v>
      </c>
      <c r="L1284" s="40">
        <v>64</v>
      </c>
      <c r="M1284" s="40">
        <v>1377</v>
      </c>
      <c r="N1284" s="40">
        <v>87</v>
      </c>
      <c r="O1284" s="40">
        <v>294</v>
      </c>
      <c r="P1284" s="40">
        <v>93</v>
      </c>
      <c r="Q1284" s="40">
        <v>0</v>
      </c>
      <c r="R1284" s="40">
        <v>755</v>
      </c>
      <c r="S1284" s="40">
        <v>148</v>
      </c>
    </row>
    <row r="1285" spans="1:19" x14ac:dyDescent="0.35">
      <c r="A1285" s="38">
        <v>1282</v>
      </c>
      <c r="B1285" s="38" t="str">
        <f>_xlfn.XLOOKUP(A1285,'Model Modeshare by TAZ'!A:A,'Model Modeshare by TAZ'!B:B)</f>
        <v>Santa Clara</v>
      </c>
      <c r="C1285" s="38" t="str">
        <f>_xlfn.XLOOKUP(A1285,'Model Modeshare by TAZ'!A:A,'Model Modeshare by TAZ'!D:D)</f>
        <v>NO</v>
      </c>
      <c r="D1285" s="6">
        <v>3</v>
      </c>
      <c r="E1285" s="6">
        <v>650</v>
      </c>
      <c r="F1285" s="6">
        <v>1851</v>
      </c>
      <c r="G1285" s="6">
        <v>1851</v>
      </c>
      <c r="H1285" s="6">
        <v>977</v>
      </c>
      <c r="I1285" s="6">
        <v>275</v>
      </c>
      <c r="J1285" s="6">
        <v>375</v>
      </c>
      <c r="K1285" s="40">
        <v>46</v>
      </c>
      <c r="L1285" s="40">
        <v>10</v>
      </c>
      <c r="M1285" s="40">
        <v>11</v>
      </c>
      <c r="N1285" s="40">
        <v>0</v>
      </c>
      <c r="O1285" s="40">
        <v>11</v>
      </c>
      <c r="P1285" s="40">
        <v>0</v>
      </c>
      <c r="Q1285" s="40">
        <v>0</v>
      </c>
      <c r="R1285" s="40">
        <v>0</v>
      </c>
      <c r="S1285" s="40">
        <v>0</v>
      </c>
    </row>
    <row r="1286" spans="1:19" x14ac:dyDescent="0.35">
      <c r="A1286" s="38">
        <v>1283</v>
      </c>
      <c r="B1286" s="38" t="str">
        <f>_xlfn.XLOOKUP(A1286,'Model Modeshare by TAZ'!A:A,'Model Modeshare by TAZ'!B:B)</f>
        <v>Sunnyvale</v>
      </c>
      <c r="C1286" s="38" t="str">
        <f>_xlfn.XLOOKUP(A1286,'Model Modeshare by TAZ'!A:A,'Model Modeshare by TAZ'!D:D)</f>
        <v>NO</v>
      </c>
      <c r="D1286" s="6">
        <v>3</v>
      </c>
      <c r="E1286" s="6">
        <v>0</v>
      </c>
      <c r="F1286" s="6">
        <v>0</v>
      </c>
      <c r="G1286" s="6">
        <v>0</v>
      </c>
      <c r="H1286" s="6">
        <v>0</v>
      </c>
      <c r="I1286" s="6">
        <v>0</v>
      </c>
      <c r="J1286" s="6">
        <v>0</v>
      </c>
      <c r="K1286" s="40">
        <v>0</v>
      </c>
      <c r="L1286" s="40">
        <v>94</v>
      </c>
      <c r="M1286" s="40">
        <v>3227</v>
      </c>
      <c r="N1286" s="40">
        <v>224</v>
      </c>
      <c r="O1286" s="40">
        <v>590</v>
      </c>
      <c r="P1286" s="40">
        <v>253</v>
      </c>
      <c r="Q1286" s="40">
        <v>8</v>
      </c>
      <c r="R1286" s="40">
        <v>1836</v>
      </c>
      <c r="S1286" s="40">
        <v>316</v>
      </c>
    </row>
    <row r="1287" spans="1:19" x14ac:dyDescent="0.35">
      <c r="A1287" s="38">
        <v>1284</v>
      </c>
      <c r="B1287" s="38" t="str">
        <f>_xlfn.XLOOKUP(A1287,'Model Modeshare by TAZ'!A:A,'Model Modeshare by TAZ'!B:B)</f>
        <v>Santa Clara</v>
      </c>
      <c r="C1287" s="38" t="str">
        <f>_xlfn.XLOOKUP(A1287,'Model Modeshare by TAZ'!A:A,'Model Modeshare by TAZ'!D:D)</f>
        <v>NO</v>
      </c>
      <c r="D1287" s="6">
        <v>3</v>
      </c>
      <c r="E1287" s="6">
        <v>875</v>
      </c>
      <c r="F1287" s="6">
        <v>2454</v>
      </c>
      <c r="G1287" s="6">
        <v>2454</v>
      </c>
      <c r="H1287" s="6">
        <v>1197</v>
      </c>
      <c r="I1287" s="6">
        <v>283</v>
      </c>
      <c r="J1287" s="6">
        <v>592</v>
      </c>
      <c r="K1287" s="40">
        <v>91</v>
      </c>
      <c r="L1287" s="40">
        <v>1</v>
      </c>
      <c r="M1287" s="40">
        <v>18</v>
      </c>
      <c r="N1287" s="40">
        <v>2</v>
      </c>
      <c r="O1287" s="40">
        <v>3</v>
      </c>
      <c r="P1287" s="40">
        <v>1</v>
      </c>
      <c r="Q1287" s="40">
        <v>0</v>
      </c>
      <c r="R1287" s="40">
        <v>9</v>
      </c>
      <c r="S1287" s="40">
        <v>3</v>
      </c>
    </row>
    <row r="1288" spans="1:19" x14ac:dyDescent="0.35">
      <c r="A1288" s="38">
        <v>1285</v>
      </c>
      <c r="B1288" s="38" t="str">
        <f>_xlfn.XLOOKUP(A1288,'Model Modeshare by TAZ'!A:A,'Model Modeshare by TAZ'!B:B)</f>
        <v>Santa Clara</v>
      </c>
      <c r="C1288" s="38" t="str">
        <f>_xlfn.XLOOKUP(A1288,'Model Modeshare by TAZ'!A:A,'Model Modeshare by TAZ'!D:D)</f>
        <v>NO</v>
      </c>
      <c r="D1288" s="6">
        <v>3</v>
      </c>
      <c r="E1288" s="6">
        <v>566</v>
      </c>
      <c r="F1288" s="6">
        <v>1598</v>
      </c>
      <c r="G1288" s="6">
        <v>1626</v>
      </c>
      <c r="H1288" s="6">
        <v>773</v>
      </c>
      <c r="I1288" s="6">
        <v>218</v>
      </c>
      <c r="J1288" s="6">
        <v>348</v>
      </c>
      <c r="K1288" s="40">
        <v>63</v>
      </c>
      <c r="L1288" s="40">
        <v>1</v>
      </c>
      <c r="M1288" s="40">
        <v>37</v>
      </c>
      <c r="N1288" s="40">
        <v>1</v>
      </c>
      <c r="O1288" s="40">
        <v>3</v>
      </c>
      <c r="P1288" s="40">
        <v>18</v>
      </c>
      <c r="Q1288" s="40">
        <v>0</v>
      </c>
      <c r="R1288" s="40">
        <v>13</v>
      </c>
      <c r="S1288" s="40">
        <v>2</v>
      </c>
    </row>
    <row r="1289" spans="1:19" x14ac:dyDescent="0.35">
      <c r="A1289" s="38">
        <v>1286</v>
      </c>
      <c r="B1289" s="38" t="str">
        <f>_xlfn.XLOOKUP(A1289,'Model Modeshare by TAZ'!A:A,'Model Modeshare by TAZ'!B:B)</f>
        <v>Santa Clara</v>
      </c>
      <c r="C1289" s="38" t="str">
        <f>_xlfn.XLOOKUP(A1289,'Model Modeshare by TAZ'!A:A,'Model Modeshare by TAZ'!D:D)</f>
        <v>NO</v>
      </c>
      <c r="D1289" s="6">
        <v>3</v>
      </c>
      <c r="E1289" s="6">
        <v>308</v>
      </c>
      <c r="F1289" s="6">
        <v>874</v>
      </c>
      <c r="G1289" s="6">
        <v>900</v>
      </c>
      <c r="H1289" s="6">
        <v>428</v>
      </c>
      <c r="I1289" s="6">
        <v>101</v>
      </c>
      <c r="J1289" s="6">
        <v>207</v>
      </c>
      <c r="K1289" s="40">
        <v>21</v>
      </c>
      <c r="L1289" s="40">
        <v>12</v>
      </c>
      <c r="M1289" s="40">
        <v>436</v>
      </c>
      <c r="N1289" s="40">
        <v>32</v>
      </c>
      <c r="O1289" s="40">
        <v>312</v>
      </c>
      <c r="P1289" s="40">
        <v>10</v>
      </c>
      <c r="Q1289" s="40">
        <v>2</v>
      </c>
      <c r="R1289" s="40">
        <v>68</v>
      </c>
      <c r="S1289" s="40">
        <v>12</v>
      </c>
    </row>
    <row r="1290" spans="1:19" x14ac:dyDescent="0.35">
      <c r="A1290" s="38">
        <v>1287</v>
      </c>
      <c r="B1290" s="38" t="str">
        <f>_xlfn.XLOOKUP(A1290,'Model Modeshare by TAZ'!A:A,'Model Modeshare by TAZ'!B:B)</f>
        <v>Santa Clara</v>
      </c>
      <c r="C1290" s="38" t="str">
        <f>_xlfn.XLOOKUP(A1290,'Model Modeshare by TAZ'!A:A,'Model Modeshare by TAZ'!D:D)</f>
        <v>NO</v>
      </c>
      <c r="D1290" s="6">
        <v>3</v>
      </c>
      <c r="E1290" s="6">
        <v>280</v>
      </c>
      <c r="F1290" s="6">
        <v>700</v>
      </c>
      <c r="G1290" s="6">
        <v>1208</v>
      </c>
      <c r="H1290" s="6">
        <v>419</v>
      </c>
      <c r="I1290" s="6">
        <v>140</v>
      </c>
      <c r="J1290" s="6">
        <v>140</v>
      </c>
      <c r="K1290" s="40">
        <v>23</v>
      </c>
      <c r="L1290" s="40">
        <v>2</v>
      </c>
      <c r="M1290" s="40">
        <v>139</v>
      </c>
      <c r="N1290" s="40">
        <v>33</v>
      </c>
      <c r="O1290" s="40">
        <v>60</v>
      </c>
      <c r="P1290" s="40">
        <v>33</v>
      </c>
      <c r="Q1290" s="40">
        <v>0</v>
      </c>
      <c r="R1290" s="40">
        <v>5</v>
      </c>
      <c r="S1290" s="40">
        <v>8</v>
      </c>
    </row>
    <row r="1291" spans="1:19" x14ac:dyDescent="0.35">
      <c r="A1291" s="38">
        <v>1288</v>
      </c>
      <c r="B1291" s="38" t="str">
        <f>_xlfn.XLOOKUP(A1291,'Model Modeshare by TAZ'!A:A,'Model Modeshare by TAZ'!B:B)</f>
        <v>Santa Clara</v>
      </c>
      <c r="C1291" s="38" t="str">
        <f>_xlfn.XLOOKUP(A1291,'Model Modeshare by TAZ'!A:A,'Model Modeshare by TAZ'!D:D)</f>
        <v>NO</v>
      </c>
      <c r="D1291" s="6">
        <v>3</v>
      </c>
      <c r="E1291" s="6">
        <v>307</v>
      </c>
      <c r="F1291" s="6">
        <v>699</v>
      </c>
      <c r="G1291" s="6">
        <v>952</v>
      </c>
      <c r="H1291" s="6">
        <v>492</v>
      </c>
      <c r="I1291" s="6">
        <v>99</v>
      </c>
      <c r="J1291" s="6">
        <v>208</v>
      </c>
      <c r="K1291" s="40">
        <v>37</v>
      </c>
      <c r="L1291" s="40">
        <v>17</v>
      </c>
      <c r="M1291" s="40">
        <v>825</v>
      </c>
      <c r="N1291" s="40">
        <v>307</v>
      </c>
      <c r="O1291" s="40">
        <v>280</v>
      </c>
      <c r="P1291" s="40">
        <v>134</v>
      </c>
      <c r="Q1291" s="40">
        <v>2</v>
      </c>
      <c r="R1291" s="40">
        <v>63</v>
      </c>
      <c r="S1291" s="40">
        <v>39</v>
      </c>
    </row>
    <row r="1292" spans="1:19" x14ac:dyDescent="0.35">
      <c r="A1292" s="38">
        <v>1289</v>
      </c>
      <c r="B1292" s="38" t="str">
        <f>_xlfn.XLOOKUP(A1292,'Model Modeshare by TAZ'!A:A,'Model Modeshare by TAZ'!B:B)</f>
        <v>Santa Clara</v>
      </c>
      <c r="C1292" s="38" t="str">
        <f>_xlfn.XLOOKUP(A1292,'Model Modeshare by TAZ'!A:A,'Model Modeshare by TAZ'!D:D)</f>
        <v>NO</v>
      </c>
      <c r="D1292" s="6">
        <v>3</v>
      </c>
      <c r="E1292" s="6">
        <v>380</v>
      </c>
      <c r="F1292" s="6">
        <v>866</v>
      </c>
      <c r="G1292" s="6">
        <v>1352</v>
      </c>
      <c r="H1292" s="6">
        <v>609</v>
      </c>
      <c r="I1292" s="6">
        <v>125</v>
      </c>
      <c r="J1292" s="6">
        <v>255</v>
      </c>
      <c r="K1292" s="40">
        <v>52</v>
      </c>
      <c r="L1292" s="40">
        <v>1</v>
      </c>
      <c r="M1292" s="40">
        <v>709</v>
      </c>
      <c r="N1292" s="40">
        <v>39</v>
      </c>
      <c r="O1292" s="40">
        <v>26</v>
      </c>
      <c r="P1292" s="40">
        <v>637</v>
      </c>
      <c r="Q1292" s="40">
        <v>2</v>
      </c>
      <c r="R1292" s="40">
        <v>3</v>
      </c>
      <c r="S1292" s="40">
        <v>2</v>
      </c>
    </row>
    <row r="1293" spans="1:19" x14ac:dyDescent="0.35">
      <c r="A1293" s="38">
        <v>1290</v>
      </c>
      <c r="B1293" s="38" t="str">
        <f>_xlfn.XLOOKUP(A1293,'Model Modeshare by TAZ'!A:A,'Model Modeshare by TAZ'!B:B)</f>
        <v>Santa Clara</v>
      </c>
      <c r="C1293" s="38" t="str">
        <f>_xlfn.XLOOKUP(A1293,'Model Modeshare by TAZ'!A:A,'Model Modeshare by TAZ'!D:D)</f>
        <v>NO</v>
      </c>
      <c r="D1293" s="6">
        <v>3</v>
      </c>
      <c r="E1293" s="6">
        <v>215</v>
      </c>
      <c r="F1293" s="6">
        <v>489</v>
      </c>
      <c r="G1293" s="6">
        <v>631</v>
      </c>
      <c r="H1293" s="6">
        <v>336</v>
      </c>
      <c r="I1293" s="6">
        <v>73</v>
      </c>
      <c r="J1293" s="6">
        <v>142</v>
      </c>
      <c r="K1293" s="40">
        <v>11</v>
      </c>
      <c r="L1293" s="40">
        <v>18</v>
      </c>
      <c r="M1293" s="40">
        <v>1599</v>
      </c>
      <c r="N1293" s="40">
        <v>674</v>
      </c>
      <c r="O1293" s="40">
        <v>681</v>
      </c>
      <c r="P1293" s="40">
        <v>71</v>
      </c>
      <c r="Q1293" s="40">
        <v>0</v>
      </c>
      <c r="R1293" s="40">
        <v>113</v>
      </c>
      <c r="S1293" s="40">
        <v>60</v>
      </c>
    </row>
    <row r="1294" spans="1:19" x14ac:dyDescent="0.35">
      <c r="A1294" s="38">
        <v>1291</v>
      </c>
      <c r="B1294" s="38" t="str">
        <f>_xlfn.XLOOKUP(A1294,'Model Modeshare by TAZ'!A:A,'Model Modeshare by TAZ'!B:B)</f>
        <v>Santa Clara</v>
      </c>
      <c r="C1294" s="38" t="str">
        <f>_xlfn.XLOOKUP(A1294,'Model Modeshare by TAZ'!A:A,'Model Modeshare by TAZ'!D:D)</f>
        <v>NO</v>
      </c>
      <c r="D1294" s="6">
        <v>3</v>
      </c>
      <c r="E1294" s="6">
        <v>506</v>
      </c>
      <c r="F1294" s="6">
        <v>1152</v>
      </c>
      <c r="G1294" s="6">
        <v>1426</v>
      </c>
      <c r="H1294" s="6">
        <v>808</v>
      </c>
      <c r="I1294" s="6">
        <v>172</v>
      </c>
      <c r="J1294" s="6">
        <v>334</v>
      </c>
      <c r="K1294" s="40">
        <v>45</v>
      </c>
      <c r="L1294" s="40">
        <v>5</v>
      </c>
      <c r="M1294" s="40">
        <v>223</v>
      </c>
      <c r="N1294" s="40">
        <v>64</v>
      </c>
      <c r="O1294" s="40">
        <v>111</v>
      </c>
      <c r="P1294" s="40">
        <v>14</v>
      </c>
      <c r="Q1294" s="40">
        <v>2</v>
      </c>
      <c r="R1294" s="40">
        <v>21</v>
      </c>
      <c r="S1294" s="40">
        <v>11</v>
      </c>
    </row>
    <row r="1295" spans="1:19" x14ac:dyDescent="0.35">
      <c r="A1295" s="38">
        <v>1292</v>
      </c>
      <c r="B1295" s="38" t="str">
        <f>_xlfn.XLOOKUP(A1295,'Model Modeshare by TAZ'!A:A,'Model Modeshare by TAZ'!B:B)</f>
        <v>Santa Clara</v>
      </c>
      <c r="C1295" s="38" t="str">
        <f>_xlfn.XLOOKUP(A1295,'Model Modeshare by TAZ'!A:A,'Model Modeshare by TAZ'!D:D)</f>
        <v>NO</v>
      </c>
      <c r="D1295" s="6">
        <v>3</v>
      </c>
      <c r="E1295" s="6">
        <v>124</v>
      </c>
      <c r="F1295" s="6">
        <v>296</v>
      </c>
      <c r="G1295" s="6">
        <v>296</v>
      </c>
      <c r="H1295" s="6">
        <v>186</v>
      </c>
      <c r="I1295" s="6">
        <v>65</v>
      </c>
      <c r="J1295" s="6">
        <v>59</v>
      </c>
      <c r="K1295" s="40">
        <v>10</v>
      </c>
      <c r="L1295" s="40">
        <v>1</v>
      </c>
      <c r="M1295" s="40">
        <v>118</v>
      </c>
      <c r="N1295" s="40">
        <v>11</v>
      </c>
      <c r="O1295" s="40">
        <v>41</v>
      </c>
      <c r="P1295" s="40">
        <v>45</v>
      </c>
      <c r="Q1295" s="40">
        <v>0</v>
      </c>
      <c r="R1295" s="40">
        <v>7</v>
      </c>
      <c r="S1295" s="40">
        <v>14</v>
      </c>
    </row>
    <row r="1296" spans="1:19" x14ac:dyDescent="0.35">
      <c r="A1296" s="38">
        <v>1293</v>
      </c>
      <c r="B1296" s="38" t="str">
        <f>_xlfn.XLOOKUP(A1296,'Model Modeshare by TAZ'!A:A,'Model Modeshare by TAZ'!B:B)</f>
        <v>Santa Clara</v>
      </c>
      <c r="C1296" s="38" t="str">
        <f>_xlfn.XLOOKUP(A1296,'Model Modeshare by TAZ'!A:A,'Model Modeshare by TAZ'!D:D)</f>
        <v>NO</v>
      </c>
      <c r="D1296" s="6">
        <v>3</v>
      </c>
      <c r="E1296" s="6">
        <v>391</v>
      </c>
      <c r="F1296" s="6">
        <v>922</v>
      </c>
      <c r="G1296" s="6">
        <v>922</v>
      </c>
      <c r="H1296" s="6">
        <v>581</v>
      </c>
      <c r="I1296" s="6">
        <v>192</v>
      </c>
      <c r="J1296" s="6">
        <v>199</v>
      </c>
      <c r="K1296" s="40">
        <v>33</v>
      </c>
      <c r="L1296" s="40">
        <v>1</v>
      </c>
      <c r="M1296" s="40">
        <v>4</v>
      </c>
      <c r="N1296" s="40">
        <v>2</v>
      </c>
      <c r="O1296" s="40">
        <v>2</v>
      </c>
      <c r="P1296" s="40">
        <v>0</v>
      </c>
      <c r="Q1296" s="40">
        <v>0</v>
      </c>
      <c r="R1296" s="40">
        <v>0</v>
      </c>
      <c r="S1296" s="40">
        <v>0</v>
      </c>
    </row>
    <row r="1297" spans="1:19" x14ac:dyDescent="0.35">
      <c r="A1297" s="38">
        <v>1294</v>
      </c>
      <c r="B1297" s="38" t="str">
        <f>_xlfn.XLOOKUP(A1297,'Model Modeshare by TAZ'!A:A,'Model Modeshare by TAZ'!B:B)</f>
        <v>Santa Clara</v>
      </c>
      <c r="C1297" s="38" t="str">
        <f>_xlfn.XLOOKUP(A1297,'Model Modeshare by TAZ'!A:A,'Model Modeshare by TAZ'!D:D)</f>
        <v>NO</v>
      </c>
      <c r="D1297" s="6">
        <v>3</v>
      </c>
      <c r="E1297" s="6">
        <v>529</v>
      </c>
      <c r="F1297" s="6">
        <v>1250</v>
      </c>
      <c r="G1297" s="6">
        <v>1250</v>
      </c>
      <c r="H1297" s="6">
        <v>788</v>
      </c>
      <c r="I1297" s="6">
        <v>261</v>
      </c>
      <c r="J1297" s="6">
        <v>268</v>
      </c>
      <c r="K1297" s="40">
        <v>43</v>
      </c>
      <c r="L1297" s="40">
        <v>5</v>
      </c>
      <c r="M1297" s="40">
        <v>194</v>
      </c>
      <c r="N1297" s="40">
        <v>18</v>
      </c>
      <c r="O1297" s="40">
        <v>40</v>
      </c>
      <c r="P1297" s="40">
        <v>136</v>
      </c>
      <c r="Q1297" s="40">
        <v>0</v>
      </c>
      <c r="R1297" s="40">
        <v>0</v>
      </c>
      <c r="S1297" s="40">
        <v>0</v>
      </c>
    </row>
    <row r="1298" spans="1:19" x14ac:dyDescent="0.35">
      <c r="A1298" s="38">
        <v>1295</v>
      </c>
      <c r="B1298" s="38" t="str">
        <f>_xlfn.XLOOKUP(A1298,'Model Modeshare by TAZ'!A:A,'Model Modeshare by TAZ'!B:B)</f>
        <v>Santa Clara</v>
      </c>
      <c r="C1298" s="38" t="str">
        <f>_xlfn.XLOOKUP(A1298,'Model Modeshare by TAZ'!A:A,'Model Modeshare by TAZ'!D:D)</f>
        <v>NO</v>
      </c>
      <c r="D1298" s="6">
        <v>3</v>
      </c>
      <c r="E1298" s="6">
        <v>309</v>
      </c>
      <c r="F1298" s="6">
        <v>731</v>
      </c>
      <c r="G1298" s="6">
        <v>731</v>
      </c>
      <c r="H1298" s="6">
        <v>460</v>
      </c>
      <c r="I1298" s="6">
        <v>152</v>
      </c>
      <c r="J1298" s="6">
        <v>157</v>
      </c>
      <c r="K1298" s="40">
        <v>34</v>
      </c>
      <c r="L1298" s="40">
        <v>59</v>
      </c>
      <c r="M1298" s="40">
        <v>40</v>
      </c>
      <c r="N1298" s="40">
        <v>4</v>
      </c>
      <c r="O1298" s="40">
        <v>12</v>
      </c>
      <c r="P1298" s="40">
        <v>6</v>
      </c>
      <c r="Q1298" s="40">
        <v>0</v>
      </c>
      <c r="R1298" s="40">
        <v>14</v>
      </c>
      <c r="S1298" s="40">
        <v>4</v>
      </c>
    </row>
    <row r="1299" spans="1:19" x14ac:dyDescent="0.35">
      <c r="A1299" s="38">
        <v>1296</v>
      </c>
      <c r="B1299" s="38" t="str">
        <f>_xlfn.XLOOKUP(A1299,'Model Modeshare by TAZ'!A:A,'Model Modeshare by TAZ'!B:B)</f>
        <v>Santa Clara</v>
      </c>
      <c r="C1299" s="38" t="str">
        <f>_xlfn.XLOOKUP(A1299,'Model Modeshare by TAZ'!A:A,'Model Modeshare by TAZ'!D:D)</f>
        <v>NO</v>
      </c>
      <c r="D1299" s="6">
        <v>3</v>
      </c>
      <c r="E1299" s="6">
        <v>0</v>
      </c>
      <c r="F1299" s="6">
        <v>0</v>
      </c>
      <c r="G1299" s="6">
        <v>0</v>
      </c>
      <c r="H1299" s="6">
        <v>0</v>
      </c>
      <c r="I1299" s="6">
        <v>0</v>
      </c>
      <c r="J1299" s="6">
        <v>0</v>
      </c>
      <c r="K1299" s="40">
        <v>0</v>
      </c>
      <c r="L1299" s="40">
        <v>70</v>
      </c>
      <c r="M1299" s="40">
        <v>1492</v>
      </c>
      <c r="N1299" s="40">
        <v>104</v>
      </c>
      <c r="O1299" s="40">
        <v>585</v>
      </c>
      <c r="P1299" s="40">
        <v>99</v>
      </c>
      <c r="Q1299" s="40">
        <v>0</v>
      </c>
      <c r="R1299" s="40">
        <v>599</v>
      </c>
      <c r="S1299" s="40">
        <v>105</v>
      </c>
    </row>
    <row r="1300" spans="1:19" x14ac:dyDescent="0.35">
      <c r="A1300" s="38">
        <v>1297</v>
      </c>
      <c r="B1300" s="38" t="str">
        <f>_xlfn.XLOOKUP(A1300,'Model Modeshare by TAZ'!A:A,'Model Modeshare by TAZ'!B:B)</f>
        <v>Santa Clara</v>
      </c>
      <c r="C1300" s="38" t="str">
        <f>_xlfn.XLOOKUP(A1300,'Model Modeshare by TAZ'!A:A,'Model Modeshare by TAZ'!D:D)</f>
        <v>NO</v>
      </c>
      <c r="D1300" s="6">
        <v>3</v>
      </c>
      <c r="E1300" s="6">
        <v>0</v>
      </c>
      <c r="F1300" s="6">
        <v>0</v>
      </c>
      <c r="G1300" s="6">
        <v>0</v>
      </c>
      <c r="H1300" s="6">
        <v>0</v>
      </c>
      <c r="I1300" s="6">
        <v>0</v>
      </c>
      <c r="J1300" s="6">
        <v>0</v>
      </c>
      <c r="K1300" s="40">
        <v>3</v>
      </c>
      <c r="L1300" s="40">
        <v>140</v>
      </c>
      <c r="M1300" s="40">
        <v>2995</v>
      </c>
      <c r="N1300" s="40">
        <v>213</v>
      </c>
      <c r="O1300" s="40">
        <v>675</v>
      </c>
      <c r="P1300" s="40">
        <v>241</v>
      </c>
      <c r="Q1300" s="40">
        <v>3</v>
      </c>
      <c r="R1300" s="40">
        <v>1564</v>
      </c>
      <c r="S1300" s="40">
        <v>299</v>
      </c>
    </row>
    <row r="1301" spans="1:19" x14ac:dyDescent="0.35">
      <c r="A1301" s="38">
        <v>1298</v>
      </c>
      <c r="B1301" s="38" t="str">
        <f>_xlfn.XLOOKUP(A1301,'Model Modeshare by TAZ'!A:A,'Model Modeshare by TAZ'!B:B)</f>
        <v>Santa Clara</v>
      </c>
      <c r="C1301" s="38" t="str">
        <f>_xlfn.XLOOKUP(A1301,'Model Modeshare by TAZ'!A:A,'Model Modeshare by TAZ'!D:D)</f>
        <v>NO</v>
      </c>
      <c r="D1301" s="6">
        <v>3</v>
      </c>
      <c r="E1301" s="6">
        <v>0</v>
      </c>
      <c r="F1301" s="6">
        <v>0</v>
      </c>
      <c r="G1301" s="6">
        <v>0</v>
      </c>
      <c r="H1301" s="6">
        <v>0</v>
      </c>
      <c r="I1301" s="6">
        <v>0</v>
      </c>
      <c r="J1301" s="6">
        <v>0</v>
      </c>
      <c r="K1301" s="40">
        <v>4</v>
      </c>
      <c r="L1301" s="40">
        <v>147</v>
      </c>
      <c r="M1301" s="40">
        <v>7993</v>
      </c>
      <c r="N1301" s="40">
        <v>541</v>
      </c>
      <c r="O1301" s="40">
        <v>2537</v>
      </c>
      <c r="P1301" s="40">
        <v>654</v>
      </c>
      <c r="Q1301" s="40">
        <v>4</v>
      </c>
      <c r="R1301" s="40">
        <v>3625</v>
      </c>
      <c r="S1301" s="40">
        <v>632</v>
      </c>
    </row>
    <row r="1302" spans="1:19" x14ac:dyDescent="0.35">
      <c r="A1302" s="38">
        <v>1299</v>
      </c>
      <c r="B1302" s="38" t="str">
        <f>_xlfn.XLOOKUP(A1302,'Model Modeshare by TAZ'!A:A,'Model Modeshare by TAZ'!B:B)</f>
        <v>Santa Clara</v>
      </c>
      <c r="C1302" s="38" t="str">
        <f>_xlfn.XLOOKUP(A1302,'Model Modeshare by TAZ'!A:A,'Model Modeshare by TAZ'!D:D)</f>
        <v>NO</v>
      </c>
      <c r="D1302" s="6">
        <v>3</v>
      </c>
      <c r="E1302" s="6">
        <v>0</v>
      </c>
      <c r="F1302" s="6">
        <v>0</v>
      </c>
      <c r="G1302" s="6">
        <v>0</v>
      </c>
      <c r="H1302" s="6">
        <v>0</v>
      </c>
      <c r="I1302" s="6">
        <v>0</v>
      </c>
      <c r="J1302" s="6">
        <v>0</v>
      </c>
      <c r="K1302" s="40">
        <v>3</v>
      </c>
      <c r="L1302" s="40">
        <v>96</v>
      </c>
      <c r="M1302" s="40">
        <v>2108</v>
      </c>
      <c r="N1302" s="40">
        <v>149</v>
      </c>
      <c r="O1302" s="40">
        <v>832</v>
      </c>
      <c r="P1302" s="40">
        <v>129</v>
      </c>
      <c r="Q1302" s="40">
        <v>0</v>
      </c>
      <c r="R1302" s="40">
        <v>849</v>
      </c>
      <c r="S1302" s="40">
        <v>149</v>
      </c>
    </row>
    <row r="1303" spans="1:19" x14ac:dyDescent="0.35">
      <c r="A1303" s="38">
        <v>1300</v>
      </c>
      <c r="B1303" s="38" t="str">
        <f>_xlfn.XLOOKUP(A1303,'Model Modeshare by TAZ'!A:A,'Model Modeshare by TAZ'!B:B)</f>
        <v>Santa Clara</v>
      </c>
      <c r="C1303" s="38" t="str">
        <f>_xlfn.XLOOKUP(A1303,'Model Modeshare by TAZ'!A:A,'Model Modeshare by TAZ'!D:D)</f>
        <v>NO</v>
      </c>
      <c r="D1303" s="6">
        <v>3</v>
      </c>
      <c r="E1303" s="6">
        <v>0</v>
      </c>
      <c r="F1303" s="6">
        <v>0</v>
      </c>
      <c r="G1303" s="6">
        <v>0</v>
      </c>
      <c r="H1303" s="6">
        <v>0</v>
      </c>
      <c r="I1303" s="6">
        <v>0</v>
      </c>
      <c r="J1303" s="6">
        <v>0</v>
      </c>
      <c r="K1303" s="40">
        <v>1</v>
      </c>
      <c r="L1303" s="40">
        <v>43</v>
      </c>
      <c r="M1303" s="40">
        <v>2789</v>
      </c>
      <c r="N1303" s="40">
        <v>261</v>
      </c>
      <c r="O1303" s="40">
        <v>900</v>
      </c>
      <c r="P1303" s="40">
        <v>355</v>
      </c>
      <c r="Q1303" s="40">
        <v>3</v>
      </c>
      <c r="R1303" s="40">
        <v>1071</v>
      </c>
      <c r="S1303" s="40">
        <v>199</v>
      </c>
    </row>
    <row r="1304" spans="1:19" x14ac:dyDescent="0.35">
      <c r="A1304" s="38">
        <v>1301</v>
      </c>
      <c r="B1304" s="38" t="str">
        <f>_xlfn.XLOOKUP(A1304,'Model Modeshare by TAZ'!A:A,'Model Modeshare by TAZ'!B:B)</f>
        <v>Santa Clara</v>
      </c>
      <c r="C1304" s="38" t="str">
        <f>_xlfn.XLOOKUP(A1304,'Model Modeshare by TAZ'!A:A,'Model Modeshare by TAZ'!D:D)</f>
        <v>NO</v>
      </c>
      <c r="D1304" s="6">
        <v>3</v>
      </c>
      <c r="E1304" s="6">
        <v>0</v>
      </c>
      <c r="F1304" s="6">
        <v>0</v>
      </c>
      <c r="G1304" s="6">
        <v>0</v>
      </c>
      <c r="H1304" s="6">
        <v>0</v>
      </c>
      <c r="I1304" s="6">
        <v>0</v>
      </c>
      <c r="J1304" s="6">
        <v>0</v>
      </c>
      <c r="K1304" s="40">
        <v>0</v>
      </c>
      <c r="L1304" s="40">
        <v>70</v>
      </c>
      <c r="M1304" s="40">
        <v>2256</v>
      </c>
      <c r="N1304" s="40">
        <v>153</v>
      </c>
      <c r="O1304" s="40">
        <v>400</v>
      </c>
      <c r="P1304" s="40">
        <v>173</v>
      </c>
      <c r="Q1304" s="40">
        <v>7</v>
      </c>
      <c r="R1304" s="40">
        <v>1296</v>
      </c>
      <c r="S1304" s="40">
        <v>227</v>
      </c>
    </row>
    <row r="1305" spans="1:19" x14ac:dyDescent="0.35">
      <c r="A1305" s="38">
        <v>1302</v>
      </c>
      <c r="B1305" s="38" t="str">
        <f>_xlfn.XLOOKUP(A1305,'Model Modeshare by TAZ'!A:A,'Model Modeshare by TAZ'!B:B)</f>
        <v>Santa Clara</v>
      </c>
      <c r="C1305" s="38" t="str">
        <f>_xlfn.XLOOKUP(A1305,'Model Modeshare by TAZ'!A:A,'Model Modeshare by TAZ'!D:D)</f>
        <v>NO</v>
      </c>
      <c r="D1305" s="6">
        <v>3</v>
      </c>
      <c r="E1305" s="6">
        <v>1</v>
      </c>
      <c r="F1305" s="6">
        <v>3</v>
      </c>
      <c r="G1305" s="6">
        <v>3</v>
      </c>
      <c r="H1305" s="6">
        <v>1</v>
      </c>
      <c r="I1305" s="6">
        <v>1</v>
      </c>
      <c r="J1305" s="6">
        <v>0</v>
      </c>
      <c r="K1305" s="40">
        <v>7</v>
      </c>
      <c r="L1305" s="40">
        <v>165</v>
      </c>
      <c r="M1305" s="40">
        <v>4144</v>
      </c>
      <c r="N1305" s="40">
        <v>302</v>
      </c>
      <c r="O1305" s="40">
        <v>868</v>
      </c>
      <c r="P1305" s="40">
        <v>353</v>
      </c>
      <c r="Q1305" s="40">
        <v>1</v>
      </c>
      <c r="R1305" s="40">
        <v>2224</v>
      </c>
      <c r="S1305" s="40">
        <v>396</v>
      </c>
    </row>
    <row r="1306" spans="1:19" x14ac:dyDescent="0.35">
      <c r="A1306" s="38">
        <v>1303</v>
      </c>
      <c r="B1306" s="38" t="str">
        <f>_xlfn.XLOOKUP(A1306,'Model Modeshare by TAZ'!A:A,'Model Modeshare by TAZ'!B:B)</f>
        <v>Santa Clara</v>
      </c>
      <c r="C1306" s="38" t="str">
        <f>_xlfn.XLOOKUP(A1306,'Model Modeshare by TAZ'!A:A,'Model Modeshare by TAZ'!D:D)</f>
        <v>NO</v>
      </c>
      <c r="D1306" s="6">
        <v>3</v>
      </c>
      <c r="E1306" s="6">
        <v>109</v>
      </c>
      <c r="F1306" s="6">
        <v>117</v>
      </c>
      <c r="G1306" s="6">
        <v>117</v>
      </c>
      <c r="H1306" s="6">
        <v>117</v>
      </c>
      <c r="I1306" s="6">
        <v>35</v>
      </c>
      <c r="J1306" s="6">
        <v>74</v>
      </c>
      <c r="K1306" s="40">
        <v>40</v>
      </c>
      <c r="L1306" s="40">
        <v>88</v>
      </c>
      <c r="M1306" s="40">
        <v>2442</v>
      </c>
      <c r="N1306" s="40">
        <v>198</v>
      </c>
      <c r="O1306" s="40">
        <v>497</v>
      </c>
      <c r="P1306" s="40">
        <v>179</v>
      </c>
      <c r="Q1306" s="40">
        <v>1</v>
      </c>
      <c r="R1306" s="40">
        <v>1333</v>
      </c>
      <c r="S1306" s="40">
        <v>234</v>
      </c>
    </row>
    <row r="1307" spans="1:19" x14ac:dyDescent="0.35">
      <c r="A1307" s="38">
        <v>1304</v>
      </c>
      <c r="B1307" s="38" t="str">
        <f>_xlfn.XLOOKUP(A1307,'Model Modeshare by TAZ'!A:A,'Model Modeshare by TAZ'!B:B)</f>
        <v>Santa Clara</v>
      </c>
      <c r="C1307" s="38" t="str">
        <f>_xlfn.XLOOKUP(A1307,'Model Modeshare by TAZ'!A:A,'Model Modeshare by TAZ'!D:D)</f>
        <v>NO</v>
      </c>
      <c r="D1307" s="6">
        <v>3</v>
      </c>
      <c r="E1307" s="6">
        <v>1</v>
      </c>
      <c r="F1307" s="6">
        <v>1</v>
      </c>
      <c r="G1307" s="6">
        <v>1</v>
      </c>
      <c r="H1307" s="6">
        <v>1</v>
      </c>
      <c r="I1307" s="6">
        <v>0</v>
      </c>
      <c r="J1307" s="6">
        <v>1</v>
      </c>
      <c r="K1307" s="40">
        <v>0</v>
      </c>
      <c r="L1307" s="40">
        <v>95</v>
      </c>
      <c r="M1307" s="40">
        <v>1804</v>
      </c>
      <c r="N1307" s="40">
        <v>123</v>
      </c>
      <c r="O1307" s="40">
        <v>391</v>
      </c>
      <c r="P1307" s="40">
        <v>124</v>
      </c>
      <c r="Q1307" s="40">
        <v>0</v>
      </c>
      <c r="R1307" s="40">
        <v>982</v>
      </c>
      <c r="S1307" s="40">
        <v>184</v>
      </c>
    </row>
    <row r="1308" spans="1:19" x14ac:dyDescent="0.35">
      <c r="A1308" s="38">
        <v>1305</v>
      </c>
      <c r="B1308" s="38" t="str">
        <f>_xlfn.XLOOKUP(A1308,'Model Modeshare by TAZ'!A:A,'Model Modeshare by TAZ'!B:B)</f>
        <v>Santa Clara</v>
      </c>
      <c r="C1308" s="38" t="str">
        <f>_xlfn.XLOOKUP(A1308,'Model Modeshare by TAZ'!A:A,'Model Modeshare by TAZ'!D:D)</f>
        <v>NO</v>
      </c>
      <c r="D1308" s="6">
        <v>3</v>
      </c>
      <c r="E1308" s="6">
        <v>5</v>
      </c>
      <c r="F1308" s="6">
        <v>13</v>
      </c>
      <c r="G1308" s="6">
        <v>14</v>
      </c>
      <c r="H1308" s="6">
        <v>5</v>
      </c>
      <c r="I1308" s="6">
        <v>3</v>
      </c>
      <c r="J1308" s="6">
        <v>2</v>
      </c>
      <c r="K1308" s="40">
        <v>2</v>
      </c>
      <c r="L1308" s="40">
        <v>22</v>
      </c>
      <c r="M1308" s="40">
        <v>308</v>
      </c>
      <c r="N1308" s="40">
        <v>31</v>
      </c>
      <c r="O1308" s="40">
        <v>43</v>
      </c>
      <c r="P1308" s="40">
        <v>9</v>
      </c>
      <c r="Q1308" s="40">
        <v>3</v>
      </c>
      <c r="R1308" s="40">
        <v>173</v>
      </c>
      <c r="S1308" s="40">
        <v>49</v>
      </c>
    </row>
    <row r="1309" spans="1:19" x14ac:dyDescent="0.35">
      <c r="A1309" s="38">
        <v>1306</v>
      </c>
      <c r="B1309" s="38" t="str">
        <f>_xlfn.XLOOKUP(A1309,'Model Modeshare by TAZ'!A:A,'Model Modeshare by TAZ'!B:B)</f>
        <v>Santa Clara</v>
      </c>
      <c r="C1309" s="38" t="str">
        <f>_xlfn.XLOOKUP(A1309,'Model Modeshare by TAZ'!A:A,'Model Modeshare by TAZ'!D:D)</f>
        <v>NO</v>
      </c>
      <c r="D1309" s="6">
        <v>3</v>
      </c>
      <c r="E1309" s="6">
        <v>12</v>
      </c>
      <c r="F1309" s="6">
        <v>13</v>
      </c>
      <c r="G1309" s="6">
        <v>13</v>
      </c>
      <c r="H1309" s="6">
        <v>13</v>
      </c>
      <c r="I1309" s="6">
        <v>4</v>
      </c>
      <c r="J1309" s="6">
        <v>8</v>
      </c>
      <c r="K1309" s="40">
        <v>10</v>
      </c>
      <c r="L1309" s="40">
        <v>86</v>
      </c>
      <c r="M1309" s="40">
        <v>1557</v>
      </c>
      <c r="N1309" s="40">
        <v>151</v>
      </c>
      <c r="O1309" s="40">
        <v>296</v>
      </c>
      <c r="P1309" s="40">
        <v>108</v>
      </c>
      <c r="Q1309" s="40">
        <v>0</v>
      </c>
      <c r="R1309" s="40">
        <v>860</v>
      </c>
      <c r="S1309" s="40">
        <v>142</v>
      </c>
    </row>
    <row r="1310" spans="1:19" x14ac:dyDescent="0.35">
      <c r="A1310" s="38">
        <v>1307</v>
      </c>
      <c r="B1310" s="38" t="str">
        <f>_xlfn.XLOOKUP(A1310,'Model Modeshare by TAZ'!A:A,'Model Modeshare by TAZ'!B:B)</f>
        <v>Santa Clara</v>
      </c>
      <c r="C1310" s="38" t="str">
        <f>_xlfn.XLOOKUP(A1310,'Model Modeshare by TAZ'!A:A,'Model Modeshare by TAZ'!D:D)</f>
        <v>NO</v>
      </c>
      <c r="D1310" s="6">
        <v>3</v>
      </c>
      <c r="E1310" s="6">
        <v>0</v>
      </c>
      <c r="F1310" s="6">
        <v>0</v>
      </c>
      <c r="G1310" s="6">
        <v>0</v>
      </c>
      <c r="H1310" s="6">
        <v>0</v>
      </c>
      <c r="I1310" s="6">
        <v>0</v>
      </c>
      <c r="J1310" s="6">
        <v>0</v>
      </c>
      <c r="K1310" s="40">
        <v>0</v>
      </c>
      <c r="L1310" s="40">
        <v>79</v>
      </c>
      <c r="M1310" s="40">
        <v>1056</v>
      </c>
      <c r="N1310" s="40">
        <v>75</v>
      </c>
      <c r="O1310" s="40">
        <v>185</v>
      </c>
      <c r="P1310" s="40">
        <v>70</v>
      </c>
      <c r="Q1310" s="40">
        <v>1</v>
      </c>
      <c r="R1310" s="40">
        <v>608</v>
      </c>
      <c r="S1310" s="40">
        <v>117</v>
      </c>
    </row>
    <row r="1311" spans="1:19" x14ac:dyDescent="0.35">
      <c r="A1311" s="38">
        <v>1308</v>
      </c>
      <c r="B1311" s="38" t="str">
        <f>_xlfn.XLOOKUP(A1311,'Model Modeshare by TAZ'!A:A,'Model Modeshare by TAZ'!B:B)</f>
        <v>Santa Clara</v>
      </c>
      <c r="C1311" s="38" t="str">
        <f>_xlfn.XLOOKUP(A1311,'Model Modeshare by TAZ'!A:A,'Model Modeshare by TAZ'!D:D)</f>
        <v>NO</v>
      </c>
      <c r="D1311" s="6">
        <v>3</v>
      </c>
      <c r="E1311" s="6">
        <v>12</v>
      </c>
      <c r="F1311" s="6">
        <v>48</v>
      </c>
      <c r="G1311" s="6">
        <v>52</v>
      </c>
      <c r="H1311" s="6">
        <v>23</v>
      </c>
      <c r="I1311" s="6">
        <v>10</v>
      </c>
      <c r="J1311" s="6">
        <v>2</v>
      </c>
      <c r="K1311" s="40">
        <v>0</v>
      </c>
      <c r="L1311" s="40">
        <v>163</v>
      </c>
      <c r="M1311" s="40">
        <v>2497</v>
      </c>
      <c r="N1311" s="40">
        <v>62</v>
      </c>
      <c r="O1311" s="40">
        <v>860</v>
      </c>
      <c r="P1311" s="40">
        <v>260</v>
      </c>
      <c r="Q1311" s="40">
        <v>1</v>
      </c>
      <c r="R1311" s="40">
        <v>1127</v>
      </c>
      <c r="S1311" s="40">
        <v>187</v>
      </c>
    </row>
    <row r="1312" spans="1:19" x14ac:dyDescent="0.35">
      <c r="A1312" s="38">
        <v>1309</v>
      </c>
      <c r="B1312" s="38" t="str">
        <f>_xlfn.XLOOKUP(A1312,'Model Modeshare by TAZ'!A:A,'Model Modeshare by TAZ'!B:B)</f>
        <v>Santa Clara</v>
      </c>
      <c r="C1312" s="38" t="str">
        <f>_xlfn.XLOOKUP(A1312,'Model Modeshare by TAZ'!A:A,'Model Modeshare by TAZ'!D:D)</f>
        <v>NO</v>
      </c>
      <c r="D1312" s="6">
        <v>3</v>
      </c>
      <c r="E1312" s="6">
        <v>685</v>
      </c>
      <c r="F1312" s="6">
        <v>2624</v>
      </c>
      <c r="G1312" s="6">
        <v>2967</v>
      </c>
      <c r="H1312" s="6">
        <v>1295</v>
      </c>
      <c r="I1312" s="6">
        <v>527</v>
      </c>
      <c r="J1312" s="6">
        <v>158</v>
      </c>
      <c r="K1312" s="40">
        <v>135</v>
      </c>
      <c r="L1312" s="40">
        <v>21</v>
      </c>
      <c r="M1312" s="40">
        <v>554</v>
      </c>
      <c r="N1312" s="40">
        <v>12</v>
      </c>
      <c r="O1312" s="40">
        <v>213</v>
      </c>
      <c r="P1312" s="40">
        <v>78</v>
      </c>
      <c r="Q1312" s="40">
        <v>0</v>
      </c>
      <c r="R1312" s="40">
        <v>216</v>
      </c>
      <c r="S1312" s="40">
        <v>35</v>
      </c>
    </row>
    <row r="1313" spans="1:19" x14ac:dyDescent="0.35">
      <c r="A1313" s="38">
        <v>1310</v>
      </c>
      <c r="B1313" s="38" t="str">
        <f>_xlfn.XLOOKUP(A1313,'Model Modeshare by TAZ'!A:A,'Model Modeshare by TAZ'!B:B)</f>
        <v>Santa Clara</v>
      </c>
      <c r="C1313" s="38" t="str">
        <f>_xlfn.XLOOKUP(A1313,'Model Modeshare by TAZ'!A:A,'Model Modeshare by TAZ'!D:D)</f>
        <v>NO</v>
      </c>
      <c r="D1313" s="6">
        <v>3</v>
      </c>
      <c r="E1313" s="6">
        <v>0</v>
      </c>
      <c r="F1313" s="6">
        <v>0</v>
      </c>
      <c r="G1313" s="6">
        <v>0</v>
      </c>
      <c r="H1313" s="6">
        <v>0</v>
      </c>
      <c r="I1313" s="6">
        <v>0</v>
      </c>
      <c r="J1313" s="6">
        <v>0</v>
      </c>
      <c r="K1313" s="40">
        <v>0</v>
      </c>
      <c r="L1313" s="40">
        <v>145</v>
      </c>
      <c r="M1313" s="40">
        <v>3098</v>
      </c>
      <c r="N1313" s="40">
        <v>93</v>
      </c>
      <c r="O1313" s="40">
        <v>1044</v>
      </c>
      <c r="P1313" s="40">
        <v>324</v>
      </c>
      <c r="Q1313" s="40">
        <v>1</v>
      </c>
      <c r="R1313" s="40">
        <v>1395</v>
      </c>
      <c r="S1313" s="40">
        <v>241</v>
      </c>
    </row>
    <row r="1314" spans="1:19" x14ac:dyDescent="0.35">
      <c r="A1314" s="38">
        <v>1311</v>
      </c>
      <c r="B1314" s="38" t="str">
        <f>_xlfn.XLOOKUP(A1314,'Model Modeshare by TAZ'!A:A,'Model Modeshare by TAZ'!B:B)</f>
        <v>Santa Clara</v>
      </c>
      <c r="C1314" s="38" t="str">
        <f>_xlfn.XLOOKUP(A1314,'Model Modeshare by TAZ'!A:A,'Model Modeshare by TAZ'!D:D)</f>
        <v>NO</v>
      </c>
      <c r="D1314" s="6">
        <v>3</v>
      </c>
      <c r="E1314" s="6">
        <v>454</v>
      </c>
      <c r="F1314" s="6">
        <v>1739</v>
      </c>
      <c r="G1314" s="6">
        <v>1931</v>
      </c>
      <c r="H1314" s="6">
        <v>863</v>
      </c>
      <c r="I1314" s="6">
        <v>356</v>
      </c>
      <c r="J1314" s="6">
        <v>98</v>
      </c>
      <c r="K1314" s="40">
        <v>30</v>
      </c>
      <c r="L1314" s="40">
        <v>122</v>
      </c>
      <c r="M1314" s="40">
        <v>2130</v>
      </c>
      <c r="N1314" s="40">
        <v>58</v>
      </c>
      <c r="O1314" s="40">
        <v>617</v>
      </c>
      <c r="P1314" s="40">
        <v>274</v>
      </c>
      <c r="Q1314" s="40">
        <v>1</v>
      </c>
      <c r="R1314" s="40">
        <v>1016</v>
      </c>
      <c r="S1314" s="40">
        <v>164</v>
      </c>
    </row>
    <row r="1315" spans="1:19" x14ac:dyDescent="0.35">
      <c r="A1315" s="38">
        <v>1312</v>
      </c>
      <c r="B1315" s="38" t="str">
        <f>_xlfn.XLOOKUP(A1315,'Model Modeshare by TAZ'!A:A,'Model Modeshare by TAZ'!B:B)</f>
        <v>Santa Clara</v>
      </c>
      <c r="C1315" s="38" t="str">
        <f>_xlfn.XLOOKUP(A1315,'Model Modeshare by TAZ'!A:A,'Model Modeshare by TAZ'!D:D)</f>
        <v>NO</v>
      </c>
      <c r="D1315" s="6">
        <v>3</v>
      </c>
      <c r="E1315" s="6">
        <v>1205</v>
      </c>
      <c r="F1315" s="6">
        <v>2919</v>
      </c>
      <c r="G1315" s="6">
        <v>2921</v>
      </c>
      <c r="H1315" s="6">
        <v>1441</v>
      </c>
      <c r="I1315" s="6">
        <v>27</v>
      </c>
      <c r="J1315" s="6">
        <v>1178</v>
      </c>
      <c r="K1315" s="40">
        <v>14</v>
      </c>
      <c r="L1315" s="40">
        <v>14</v>
      </c>
      <c r="M1315" s="40">
        <v>12</v>
      </c>
      <c r="N1315" s="40">
        <v>0</v>
      </c>
      <c r="O1315" s="40">
        <v>6</v>
      </c>
      <c r="P1315" s="40">
        <v>1</v>
      </c>
      <c r="Q1315" s="40">
        <v>0</v>
      </c>
      <c r="R1315" s="40">
        <v>5</v>
      </c>
      <c r="S1315" s="40">
        <v>0</v>
      </c>
    </row>
    <row r="1316" spans="1:19" x14ac:dyDescent="0.35">
      <c r="A1316" s="38">
        <v>1313</v>
      </c>
      <c r="B1316" s="38" t="str">
        <f>_xlfn.XLOOKUP(A1316,'Model Modeshare by TAZ'!A:A,'Model Modeshare by TAZ'!B:B)</f>
        <v>Santa Clara</v>
      </c>
      <c r="C1316" s="38" t="str">
        <f>_xlfn.XLOOKUP(A1316,'Model Modeshare by TAZ'!A:A,'Model Modeshare by TAZ'!D:D)</f>
        <v>NO</v>
      </c>
      <c r="D1316" s="6">
        <v>3</v>
      </c>
      <c r="E1316" s="6">
        <v>410</v>
      </c>
      <c r="F1316" s="6">
        <v>1141</v>
      </c>
      <c r="G1316" s="6">
        <v>1142</v>
      </c>
      <c r="H1316" s="6">
        <v>724</v>
      </c>
      <c r="I1316" s="6">
        <v>269</v>
      </c>
      <c r="J1316" s="6">
        <v>141</v>
      </c>
      <c r="K1316" s="40">
        <v>36</v>
      </c>
      <c r="L1316" s="40">
        <v>18</v>
      </c>
      <c r="M1316" s="40">
        <v>12</v>
      </c>
      <c r="N1316" s="40">
        <v>3</v>
      </c>
      <c r="O1316" s="40">
        <v>0</v>
      </c>
      <c r="P1316" s="40">
        <v>2</v>
      </c>
      <c r="Q1316" s="40">
        <v>0</v>
      </c>
      <c r="R1316" s="40">
        <v>0</v>
      </c>
      <c r="S1316" s="40">
        <v>7</v>
      </c>
    </row>
    <row r="1317" spans="1:19" x14ac:dyDescent="0.35">
      <c r="A1317" s="38">
        <v>1314</v>
      </c>
      <c r="B1317" s="38" t="str">
        <f>_xlfn.XLOOKUP(A1317,'Model Modeshare by TAZ'!A:A,'Model Modeshare by TAZ'!B:B)</f>
        <v>Santa Clara</v>
      </c>
      <c r="C1317" s="38" t="str">
        <f>_xlfn.XLOOKUP(A1317,'Model Modeshare by TAZ'!A:A,'Model Modeshare by TAZ'!D:D)</f>
        <v>NO</v>
      </c>
      <c r="D1317" s="6">
        <v>3</v>
      </c>
      <c r="E1317" s="6">
        <v>881</v>
      </c>
      <c r="F1317" s="6">
        <v>2454</v>
      </c>
      <c r="G1317" s="6">
        <v>2454</v>
      </c>
      <c r="H1317" s="6">
        <v>1559</v>
      </c>
      <c r="I1317" s="6">
        <v>578</v>
      </c>
      <c r="J1317" s="6">
        <v>303</v>
      </c>
      <c r="K1317" s="40">
        <v>90</v>
      </c>
      <c r="L1317" s="40">
        <v>20</v>
      </c>
      <c r="M1317" s="40">
        <v>57</v>
      </c>
      <c r="N1317" s="40">
        <v>1</v>
      </c>
      <c r="O1317" s="40">
        <v>7</v>
      </c>
      <c r="P1317" s="40">
        <v>15</v>
      </c>
      <c r="Q1317" s="40">
        <v>0</v>
      </c>
      <c r="R1317" s="40">
        <v>32</v>
      </c>
      <c r="S1317" s="40">
        <v>2</v>
      </c>
    </row>
    <row r="1318" spans="1:19" x14ac:dyDescent="0.35">
      <c r="A1318" s="38">
        <v>1315</v>
      </c>
      <c r="B1318" s="38" t="str">
        <f>_xlfn.XLOOKUP(A1318,'Model Modeshare by TAZ'!A:A,'Model Modeshare by TAZ'!B:B)</f>
        <v>Santa Clara</v>
      </c>
      <c r="C1318" s="38" t="str">
        <f>_xlfn.XLOOKUP(A1318,'Model Modeshare by TAZ'!A:A,'Model Modeshare by TAZ'!D:D)</f>
        <v>NO</v>
      </c>
      <c r="D1318" s="6">
        <v>3</v>
      </c>
      <c r="E1318" s="6">
        <v>928</v>
      </c>
      <c r="F1318" s="6">
        <v>2586</v>
      </c>
      <c r="G1318" s="6">
        <v>2591</v>
      </c>
      <c r="H1318" s="6">
        <v>1644</v>
      </c>
      <c r="I1318" s="6">
        <v>608</v>
      </c>
      <c r="J1318" s="6">
        <v>320</v>
      </c>
      <c r="K1318" s="40">
        <v>107</v>
      </c>
      <c r="L1318" s="40">
        <v>8</v>
      </c>
      <c r="M1318" s="40">
        <v>30</v>
      </c>
      <c r="N1318" s="40">
        <v>3</v>
      </c>
      <c r="O1318" s="40">
        <v>12</v>
      </c>
      <c r="P1318" s="40">
        <v>2</v>
      </c>
      <c r="Q1318" s="40">
        <v>0</v>
      </c>
      <c r="R1318" s="40">
        <v>8</v>
      </c>
      <c r="S1318" s="40">
        <v>5</v>
      </c>
    </row>
    <row r="1319" spans="1:19" x14ac:dyDescent="0.35">
      <c r="A1319" s="38">
        <v>1316</v>
      </c>
      <c r="B1319" s="38" t="str">
        <f>_xlfn.XLOOKUP(A1319,'Model Modeshare by TAZ'!A:A,'Model Modeshare by TAZ'!B:B)</f>
        <v>Santa Clara</v>
      </c>
      <c r="C1319" s="38" t="str">
        <f>_xlfn.XLOOKUP(A1319,'Model Modeshare by TAZ'!A:A,'Model Modeshare by TAZ'!D:D)</f>
        <v>NO</v>
      </c>
      <c r="D1319" s="6">
        <v>3</v>
      </c>
      <c r="E1319" s="6">
        <v>2363</v>
      </c>
      <c r="F1319" s="6">
        <v>5722</v>
      </c>
      <c r="G1319" s="6">
        <v>5726</v>
      </c>
      <c r="H1319" s="6">
        <v>2826</v>
      </c>
      <c r="I1319" s="6">
        <v>53</v>
      </c>
      <c r="J1319" s="6">
        <v>2310</v>
      </c>
      <c r="K1319" s="40">
        <v>70</v>
      </c>
      <c r="L1319" s="40">
        <v>105</v>
      </c>
      <c r="M1319" s="40">
        <v>547</v>
      </c>
      <c r="N1319" s="40">
        <v>1</v>
      </c>
      <c r="O1319" s="40">
        <v>502</v>
      </c>
      <c r="P1319" s="40">
        <v>44</v>
      </c>
      <c r="Q1319" s="40">
        <v>0</v>
      </c>
      <c r="R1319" s="40">
        <v>0</v>
      </c>
      <c r="S1319" s="40">
        <v>0</v>
      </c>
    </row>
    <row r="1320" spans="1:19" x14ac:dyDescent="0.35">
      <c r="A1320" s="38">
        <v>1317</v>
      </c>
      <c r="B1320" s="38" t="str">
        <f>_xlfn.XLOOKUP(A1320,'Model Modeshare by TAZ'!A:A,'Model Modeshare by TAZ'!B:B)</f>
        <v>Santa Clara</v>
      </c>
      <c r="C1320" s="38" t="str">
        <f>_xlfn.XLOOKUP(A1320,'Model Modeshare by TAZ'!A:A,'Model Modeshare by TAZ'!D:D)</f>
        <v>NO</v>
      </c>
      <c r="D1320" s="6">
        <v>3</v>
      </c>
      <c r="E1320" s="6">
        <v>447</v>
      </c>
      <c r="F1320" s="6">
        <v>1083</v>
      </c>
      <c r="G1320" s="6">
        <v>1087</v>
      </c>
      <c r="H1320" s="6">
        <v>535</v>
      </c>
      <c r="I1320" s="6">
        <v>10</v>
      </c>
      <c r="J1320" s="6">
        <v>437</v>
      </c>
      <c r="K1320" s="40">
        <v>7</v>
      </c>
      <c r="L1320" s="40">
        <v>118</v>
      </c>
      <c r="M1320" s="40">
        <v>2791</v>
      </c>
      <c r="N1320" s="40">
        <v>14</v>
      </c>
      <c r="O1320" s="40">
        <v>1237</v>
      </c>
      <c r="P1320" s="40">
        <v>28</v>
      </c>
      <c r="Q1320" s="40">
        <v>0</v>
      </c>
      <c r="R1320" s="40">
        <v>1251</v>
      </c>
      <c r="S1320" s="40">
        <v>261</v>
      </c>
    </row>
    <row r="1321" spans="1:19" x14ac:dyDescent="0.35">
      <c r="A1321" s="38">
        <v>1318</v>
      </c>
      <c r="B1321" s="38" t="str">
        <f>_xlfn.XLOOKUP(A1321,'Model Modeshare by TAZ'!A:A,'Model Modeshare by TAZ'!B:B)</f>
        <v>Santa Clara</v>
      </c>
      <c r="C1321" s="38" t="str">
        <f>_xlfn.XLOOKUP(A1321,'Model Modeshare by TAZ'!A:A,'Model Modeshare by TAZ'!D:D)</f>
        <v>NO</v>
      </c>
      <c r="D1321" s="6">
        <v>3</v>
      </c>
      <c r="E1321" s="6">
        <v>200</v>
      </c>
      <c r="F1321" s="6">
        <v>557</v>
      </c>
      <c r="G1321" s="6">
        <v>557</v>
      </c>
      <c r="H1321" s="6">
        <v>355</v>
      </c>
      <c r="I1321" s="6">
        <v>130</v>
      </c>
      <c r="J1321" s="6">
        <v>70</v>
      </c>
      <c r="K1321" s="40">
        <v>88</v>
      </c>
      <c r="L1321" s="40">
        <v>73</v>
      </c>
      <c r="M1321" s="40">
        <v>3957</v>
      </c>
      <c r="N1321" s="40">
        <v>150</v>
      </c>
      <c r="O1321" s="40">
        <v>542</v>
      </c>
      <c r="P1321" s="40">
        <v>432</v>
      </c>
      <c r="Q1321" s="40">
        <v>0</v>
      </c>
      <c r="R1321" s="40">
        <v>2399</v>
      </c>
      <c r="S1321" s="40">
        <v>434</v>
      </c>
    </row>
    <row r="1322" spans="1:19" x14ac:dyDescent="0.35">
      <c r="A1322" s="38">
        <v>1319</v>
      </c>
      <c r="B1322" s="38" t="str">
        <f>_xlfn.XLOOKUP(A1322,'Model Modeshare by TAZ'!A:A,'Model Modeshare by TAZ'!B:B)</f>
        <v>Santa Clara</v>
      </c>
      <c r="C1322" s="38" t="str">
        <f>_xlfn.XLOOKUP(A1322,'Model Modeshare by TAZ'!A:A,'Model Modeshare by TAZ'!D:D)</f>
        <v>NO</v>
      </c>
      <c r="D1322" s="6">
        <v>3</v>
      </c>
      <c r="E1322" s="6">
        <v>0</v>
      </c>
      <c r="F1322" s="6">
        <v>0</v>
      </c>
      <c r="G1322" s="6">
        <v>0</v>
      </c>
      <c r="H1322" s="6">
        <v>0</v>
      </c>
      <c r="I1322" s="6">
        <v>0</v>
      </c>
      <c r="J1322" s="6">
        <v>0</v>
      </c>
      <c r="K1322" s="40">
        <v>0</v>
      </c>
      <c r="L1322" s="40">
        <v>99</v>
      </c>
      <c r="M1322" s="40">
        <v>2693</v>
      </c>
      <c r="N1322" s="40">
        <v>113</v>
      </c>
      <c r="O1322" s="40">
        <v>1021</v>
      </c>
      <c r="P1322" s="40">
        <v>223</v>
      </c>
      <c r="Q1322" s="40">
        <v>0</v>
      </c>
      <c r="R1322" s="40">
        <v>1131</v>
      </c>
      <c r="S1322" s="40">
        <v>205</v>
      </c>
    </row>
    <row r="1323" spans="1:19" x14ac:dyDescent="0.35">
      <c r="A1323" s="38">
        <v>1320</v>
      </c>
      <c r="B1323" s="38" t="str">
        <f>_xlfn.XLOOKUP(A1323,'Model Modeshare by TAZ'!A:A,'Model Modeshare by TAZ'!B:B)</f>
        <v>Santa Clara</v>
      </c>
      <c r="C1323" s="38" t="str">
        <f>_xlfn.XLOOKUP(A1323,'Model Modeshare by TAZ'!A:A,'Model Modeshare by TAZ'!D:D)</f>
        <v>NO</v>
      </c>
      <c r="D1323" s="6">
        <v>3</v>
      </c>
      <c r="E1323" s="6">
        <v>965</v>
      </c>
      <c r="F1323" s="6">
        <v>2690</v>
      </c>
      <c r="G1323" s="6">
        <v>2691</v>
      </c>
      <c r="H1323" s="6">
        <v>1707</v>
      </c>
      <c r="I1323" s="6">
        <v>632</v>
      </c>
      <c r="J1323" s="6">
        <v>333</v>
      </c>
      <c r="K1323" s="40">
        <v>129</v>
      </c>
      <c r="L1323" s="40">
        <v>11</v>
      </c>
      <c r="M1323" s="40">
        <v>9</v>
      </c>
      <c r="N1323" s="40">
        <v>3</v>
      </c>
      <c r="O1323" s="40">
        <v>1</v>
      </c>
      <c r="P1323" s="40">
        <v>1</v>
      </c>
      <c r="Q1323" s="40">
        <v>0</v>
      </c>
      <c r="R1323" s="40">
        <v>0</v>
      </c>
      <c r="S1323" s="40">
        <v>4</v>
      </c>
    </row>
    <row r="1324" spans="1:19" x14ac:dyDescent="0.35">
      <c r="A1324" s="38">
        <v>1321</v>
      </c>
      <c r="B1324" s="38" t="str">
        <f>_xlfn.XLOOKUP(A1324,'Model Modeshare by TAZ'!A:A,'Model Modeshare by TAZ'!B:B)</f>
        <v>Santa Clara</v>
      </c>
      <c r="C1324" s="38" t="str">
        <f>_xlfn.XLOOKUP(A1324,'Model Modeshare by TAZ'!A:A,'Model Modeshare by TAZ'!D:D)</f>
        <v>NO</v>
      </c>
      <c r="D1324" s="6">
        <v>3</v>
      </c>
      <c r="E1324" s="6">
        <v>0</v>
      </c>
      <c r="F1324" s="6">
        <v>0</v>
      </c>
      <c r="G1324" s="6">
        <v>0</v>
      </c>
      <c r="H1324" s="6">
        <v>0</v>
      </c>
      <c r="I1324" s="6">
        <v>0</v>
      </c>
      <c r="J1324" s="6">
        <v>0</v>
      </c>
      <c r="K1324" s="40">
        <v>0</v>
      </c>
      <c r="L1324" s="40">
        <v>101</v>
      </c>
      <c r="M1324" s="40">
        <v>3906</v>
      </c>
      <c r="N1324" s="40">
        <v>299</v>
      </c>
      <c r="O1324" s="40">
        <v>1778</v>
      </c>
      <c r="P1324" s="40">
        <v>272</v>
      </c>
      <c r="Q1324" s="40">
        <v>0</v>
      </c>
      <c r="R1324" s="40">
        <v>1315</v>
      </c>
      <c r="S1324" s="40">
        <v>242</v>
      </c>
    </row>
    <row r="1325" spans="1:19" x14ac:dyDescent="0.35">
      <c r="A1325" s="38">
        <v>1322</v>
      </c>
      <c r="B1325" s="38" t="str">
        <f>_xlfn.XLOOKUP(A1325,'Model Modeshare by TAZ'!A:A,'Model Modeshare by TAZ'!B:B)</f>
        <v>Santa Clara</v>
      </c>
      <c r="C1325" s="38" t="str">
        <f>_xlfn.XLOOKUP(A1325,'Model Modeshare by TAZ'!A:A,'Model Modeshare by TAZ'!D:D)</f>
        <v>NO</v>
      </c>
      <c r="D1325" s="6">
        <v>3</v>
      </c>
      <c r="E1325" s="6">
        <v>0</v>
      </c>
      <c r="F1325" s="6">
        <v>0</v>
      </c>
      <c r="G1325" s="6">
        <v>0</v>
      </c>
      <c r="H1325" s="6">
        <v>0</v>
      </c>
      <c r="I1325" s="6">
        <v>0</v>
      </c>
      <c r="J1325" s="6">
        <v>0</v>
      </c>
      <c r="K1325" s="40">
        <v>0</v>
      </c>
      <c r="L1325" s="40">
        <v>225</v>
      </c>
      <c r="M1325" s="40">
        <v>3508</v>
      </c>
      <c r="N1325" s="40">
        <v>200</v>
      </c>
      <c r="O1325" s="40">
        <v>1683</v>
      </c>
      <c r="P1325" s="40">
        <v>267</v>
      </c>
      <c r="Q1325" s="40">
        <v>0</v>
      </c>
      <c r="R1325" s="40">
        <v>1150</v>
      </c>
      <c r="S1325" s="40">
        <v>208</v>
      </c>
    </row>
    <row r="1326" spans="1:19" x14ac:dyDescent="0.35">
      <c r="A1326" s="38">
        <v>1323</v>
      </c>
      <c r="B1326" s="38" t="str">
        <f>_xlfn.XLOOKUP(A1326,'Model Modeshare by TAZ'!A:A,'Model Modeshare by TAZ'!B:B)</f>
        <v>Santa Clara</v>
      </c>
      <c r="C1326" s="38" t="str">
        <f>_xlfn.XLOOKUP(A1326,'Model Modeshare by TAZ'!A:A,'Model Modeshare by TAZ'!D:D)</f>
        <v>NO</v>
      </c>
      <c r="D1326" s="6">
        <v>3</v>
      </c>
      <c r="E1326" s="6">
        <v>0</v>
      </c>
      <c r="F1326" s="6">
        <v>0</v>
      </c>
      <c r="G1326" s="6">
        <v>0</v>
      </c>
      <c r="H1326" s="6">
        <v>0</v>
      </c>
      <c r="I1326" s="6">
        <v>0</v>
      </c>
      <c r="J1326" s="6">
        <v>0</v>
      </c>
      <c r="K1326" s="40">
        <v>0</v>
      </c>
      <c r="L1326" s="40">
        <v>57</v>
      </c>
      <c r="M1326" s="40">
        <v>4389</v>
      </c>
      <c r="N1326" s="40">
        <v>169</v>
      </c>
      <c r="O1326" s="40">
        <v>852</v>
      </c>
      <c r="P1326" s="40">
        <v>447</v>
      </c>
      <c r="Q1326" s="40">
        <v>3</v>
      </c>
      <c r="R1326" s="40">
        <v>2471</v>
      </c>
      <c r="S1326" s="40">
        <v>447</v>
      </c>
    </row>
    <row r="1327" spans="1:19" x14ac:dyDescent="0.35">
      <c r="A1327" s="38">
        <v>1324</v>
      </c>
      <c r="B1327" s="38" t="str">
        <f>_xlfn.XLOOKUP(A1327,'Model Modeshare by TAZ'!A:A,'Model Modeshare by TAZ'!B:B)</f>
        <v>Santa Clara</v>
      </c>
      <c r="C1327" s="38" t="str">
        <f>_xlfn.XLOOKUP(A1327,'Model Modeshare by TAZ'!A:A,'Model Modeshare by TAZ'!D:D)</f>
        <v>NO</v>
      </c>
      <c r="D1327" s="6">
        <v>3</v>
      </c>
      <c r="E1327" s="6">
        <v>0</v>
      </c>
      <c r="F1327" s="6">
        <v>0</v>
      </c>
      <c r="G1327" s="6">
        <v>0</v>
      </c>
      <c r="H1327" s="6">
        <v>0</v>
      </c>
      <c r="I1327" s="6">
        <v>0</v>
      </c>
      <c r="J1327" s="6">
        <v>0</v>
      </c>
      <c r="K1327" s="40">
        <v>1</v>
      </c>
      <c r="L1327" s="40">
        <v>36</v>
      </c>
      <c r="M1327" s="40">
        <v>3726</v>
      </c>
      <c r="N1327" s="40">
        <v>83</v>
      </c>
      <c r="O1327" s="40">
        <v>574</v>
      </c>
      <c r="P1327" s="40">
        <v>86</v>
      </c>
      <c r="Q1327" s="40">
        <v>0</v>
      </c>
      <c r="R1327" s="40">
        <v>2518</v>
      </c>
      <c r="S1327" s="40">
        <v>465</v>
      </c>
    </row>
    <row r="1328" spans="1:19" x14ac:dyDescent="0.35">
      <c r="A1328" s="38">
        <v>1325</v>
      </c>
      <c r="B1328" s="38" t="str">
        <f>_xlfn.XLOOKUP(A1328,'Model Modeshare by TAZ'!A:A,'Model Modeshare by TAZ'!B:B)</f>
        <v>Santa Clara</v>
      </c>
      <c r="C1328" s="38" t="str">
        <f>_xlfn.XLOOKUP(A1328,'Model Modeshare by TAZ'!A:A,'Model Modeshare by TAZ'!D:D)</f>
        <v>NO</v>
      </c>
      <c r="D1328" s="6">
        <v>3</v>
      </c>
      <c r="E1328" s="6">
        <v>0</v>
      </c>
      <c r="F1328" s="6">
        <v>0</v>
      </c>
      <c r="G1328" s="6">
        <v>0</v>
      </c>
      <c r="H1328" s="6">
        <v>0</v>
      </c>
      <c r="I1328" s="6">
        <v>0</v>
      </c>
      <c r="J1328" s="6">
        <v>0</v>
      </c>
      <c r="K1328" s="40">
        <v>0</v>
      </c>
      <c r="L1328" s="40">
        <v>126</v>
      </c>
      <c r="M1328" s="40">
        <v>5342</v>
      </c>
      <c r="N1328" s="40">
        <v>219</v>
      </c>
      <c r="O1328" s="40">
        <v>1438</v>
      </c>
      <c r="P1328" s="40">
        <v>518</v>
      </c>
      <c r="Q1328" s="40">
        <v>0</v>
      </c>
      <c r="R1328" s="40">
        <v>2681</v>
      </c>
      <c r="S1328" s="40">
        <v>486</v>
      </c>
    </row>
    <row r="1329" spans="1:19" x14ac:dyDescent="0.35">
      <c r="A1329" s="38">
        <v>1326</v>
      </c>
      <c r="B1329" s="38" t="str">
        <f>_xlfn.XLOOKUP(A1329,'Model Modeshare by TAZ'!A:A,'Model Modeshare by TAZ'!B:B)</f>
        <v>Santa Clara</v>
      </c>
      <c r="C1329" s="38" t="str">
        <f>_xlfn.XLOOKUP(A1329,'Model Modeshare by TAZ'!A:A,'Model Modeshare by TAZ'!D:D)</f>
        <v>NO</v>
      </c>
      <c r="D1329" s="6">
        <v>3</v>
      </c>
      <c r="E1329" s="6">
        <v>0</v>
      </c>
      <c r="F1329" s="6">
        <v>0</v>
      </c>
      <c r="G1329" s="6">
        <v>0</v>
      </c>
      <c r="H1329" s="6">
        <v>0</v>
      </c>
      <c r="I1329" s="6">
        <v>0</v>
      </c>
      <c r="J1329" s="6">
        <v>0</v>
      </c>
      <c r="K1329" s="40">
        <v>0</v>
      </c>
      <c r="L1329" s="40">
        <v>78</v>
      </c>
      <c r="M1329" s="40">
        <v>2079</v>
      </c>
      <c r="N1329" s="40">
        <v>157</v>
      </c>
      <c r="O1329" s="40">
        <v>598</v>
      </c>
      <c r="P1329" s="40">
        <v>148</v>
      </c>
      <c r="Q1329" s="40">
        <v>0</v>
      </c>
      <c r="R1329" s="40">
        <v>1003</v>
      </c>
      <c r="S1329" s="40">
        <v>173</v>
      </c>
    </row>
    <row r="1330" spans="1:19" x14ac:dyDescent="0.35">
      <c r="A1330" s="38">
        <v>1327</v>
      </c>
      <c r="B1330" s="38" t="str">
        <f>_xlfn.XLOOKUP(A1330,'Model Modeshare by TAZ'!A:A,'Model Modeshare by TAZ'!B:B)</f>
        <v>Santa Clara</v>
      </c>
      <c r="C1330" s="38" t="str">
        <f>_xlfn.XLOOKUP(A1330,'Model Modeshare by TAZ'!A:A,'Model Modeshare by TAZ'!D:D)</f>
        <v>NO</v>
      </c>
      <c r="D1330" s="6">
        <v>3</v>
      </c>
      <c r="E1330" s="6">
        <v>0</v>
      </c>
      <c r="F1330" s="6">
        <v>0</v>
      </c>
      <c r="G1330" s="6">
        <v>0</v>
      </c>
      <c r="H1330" s="6">
        <v>0</v>
      </c>
      <c r="I1330" s="6">
        <v>0</v>
      </c>
      <c r="J1330" s="6">
        <v>0</v>
      </c>
      <c r="K1330" s="40">
        <v>0</v>
      </c>
      <c r="L1330" s="40">
        <v>155</v>
      </c>
      <c r="M1330" s="40">
        <v>4862</v>
      </c>
      <c r="N1330" s="40">
        <v>495</v>
      </c>
      <c r="O1330" s="40">
        <v>1891</v>
      </c>
      <c r="P1330" s="40">
        <v>380</v>
      </c>
      <c r="Q1330" s="40">
        <v>0</v>
      </c>
      <c r="R1330" s="40">
        <v>1785</v>
      </c>
      <c r="S1330" s="40">
        <v>311</v>
      </c>
    </row>
    <row r="1331" spans="1:19" x14ac:dyDescent="0.35">
      <c r="A1331" s="38">
        <v>1328</v>
      </c>
      <c r="B1331" s="38" t="str">
        <f>_xlfn.XLOOKUP(A1331,'Model Modeshare by TAZ'!A:A,'Model Modeshare by TAZ'!B:B)</f>
        <v>Santa Clara</v>
      </c>
      <c r="C1331" s="38" t="str">
        <f>_xlfn.XLOOKUP(A1331,'Model Modeshare by TAZ'!A:A,'Model Modeshare by TAZ'!D:D)</f>
        <v>NO</v>
      </c>
      <c r="D1331" s="6">
        <v>3</v>
      </c>
      <c r="E1331" s="6">
        <v>0</v>
      </c>
      <c r="F1331" s="6">
        <v>0</v>
      </c>
      <c r="G1331" s="6">
        <v>0</v>
      </c>
      <c r="H1331" s="6">
        <v>0</v>
      </c>
      <c r="I1331" s="6">
        <v>0</v>
      </c>
      <c r="J1331" s="6">
        <v>0</v>
      </c>
      <c r="K1331" s="40">
        <v>1</v>
      </c>
      <c r="L1331" s="40">
        <v>185</v>
      </c>
      <c r="M1331" s="40">
        <v>1493</v>
      </c>
      <c r="N1331" s="40">
        <v>284</v>
      </c>
      <c r="O1331" s="40">
        <v>395</v>
      </c>
      <c r="P1331" s="40">
        <v>411</v>
      </c>
      <c r="Q1331" s="40">
        <v>11</v>
      </c>
      <c r="R1331" s="40">
        <v>327</v>
      </c>
      <c r="S1331" s="40">
        <v>65</v>
      </c>
    </row>
    <row r="1332" spans="1:19" x14ac:dyDescent="0.35">
      <c r="A1332" s="38">
        <v>1329</v>
      </c>
      <c r="B1332" s="38" t="str">
        <f>_xlfn.XLOOKUP(A1332,'Model Modeshare by TAZ'!A:A,'Model Modeshare by TAZ'!B:B)</f>
        <v>Unincorporated</v>
      </c>
      <c r="C1332" s="38" t="str">
        <f>_xlfn.XLOOKUP(A1332,'Model Modeshare by TAZ'!A:A,'Model Modeshare by TAZ'!D:D)</f>
        <v>NO</v>
      </c>
      <c r="D1332" s="6">
        <v>3</v>
      </c>
      <c r="E1332" s="6">
        <v>80</v>
      </c>
      <c r="F1332" s="6">
        <v>211</v>
      </c>
      <c r="G1332" s="6">
        <v>217</v>
      </c>
      <c r="H1332" s="6">
        <v>106</v>
      </c>
      <c r="I1332" s="6">
        <v>73</v>
      </c>
      <c r="J1332" s="6">
        <v>7</v>
      </c>
      <c r="K1332" s="40">
        <v>353</v>
      </c>
      <c r="L1332" s="40">
        <v>2</v>
      </c>
      <c r="M1332" s="40">
        <v>323</v>
      </c>
      <c r="N1332" s="40">
        <v>0</v>
      </c>
      <c r="O1332" s="40">
        <v>27</v>
      </c>
      <c r="P1332" s="40">
        <v>232</v>
      </c>
      <c r="Q1332" s="40">
        <v>5</v>
      </c>
      <c r="R1332" s="40">
        <v>27</v>
      </c>
      <c r="S1332" s="40">
        <v>32</v>
      </c>
    </row>
    <row r="1333" spans="1:19" x14ac:dyDescent="0.35">
      <c r="A1333" s="38">
        <v>1330</v>
      </c>
      <c r="B1333" s="38" t="str">
        <f>_xlfn.XLOOKUP(A1333,'Model Modeshare by TAZ'!A:A,'Model Modeshare by TAZ'!B:B)</f>
        <v>Unincorporated</v>
      </c>
      <c r="C1333" s="38" t="str">
        <f>_xlfn.XLOOKUP(A1333,'Model Modeshare by TAZ'!A:A,'Model Modeshare by TAZ'!D:D)</f>
        <v>NO</v>
      </c>
      <c r="D1333" s="6">
        <v>3</v>
      </c>
      <c r="E1333" s="6">
        <v>70</v>
      </c>
      <c r="F1333" s="6">
        <v>200</v>
      </c>
      <c r="G1333" s="6">
        <v>200</v>
      </c>
      <c r="H1333" s="6">
        <v>102</v>
      </c>
      <c r="I1333" s="6">
        <v>70</v>
      </c>
      <c r="J1333" s="6">
        <v>0</v>
      </c>
      <c r="K1333" s="40">
        <v>97</v>
      </c>
      <c r="L1333" s="40">
        <v>9</v>
      </c>
      <c r="M1333" s="40">
        <v>0</v>
      </c>
      <c r="N1333" s="40">
        <v>0</v>
      </c>
      <c r="O1333" s="40">
        <v>0</v>
      </c>
      <c r="P1333" s="40">
        <v>0</v>
      </c>
      <c r="Q1333" s="40">
        <v>0</v>
      </c>
      <c r="R1333" s="40">
        <v>0</v>
      </c>
      <c r="S1333" s="40">
        <v>0</v>
      </c>
    </row>
    <row r="1334" spans="1:19" x14ac:dyDescent="0.35">
      <c r="A1334" s="38">
        <v>1331</v>
      </c>
      <c r="B1334" s="38" t="str">
        <f>_xlfn.XLOOKUP(A1334,'Model Modeshare by TAZ'!A:A,'Model Modeshare by TAZ'!B:B)</f>
        <v>Unincorporated</v>
      </c>
      <c r="C1334" s="38" t="str">
        <f>_xlfn.XLOOKUP(A1334,'Model Modeshare by TAZ'!A:A,'Model Modeshare by TAZ'!D:D)</f>
        <v>NO</v>
      </c>
      <c r="D1334" s="6">
        <v>3</v>
      </c>
      <c r="E1334" s="6">
        <v>7</v>
      </c>
      <c r="F1334" s="6">
        <v>18</v>
      </c>
      <c r="G1334" s="6">
        <v>19</v>
      </c>
      <c r="H1334" s="6">
        <v>10</v>
      </c>
      <c r="I1334" s="6">
        <v>7</v>
      </c>
      <c r="J1334" s="6">
        <v>0</v>
      </c>
      <c r="K1334" s="40">
        <v>443</v>
      </c>
      <c r="L1334" s="40">
        <v>1</v>
      </c>
      <c r="M1334" s="40">
        <v>0</v>
      </c>
      <c r="N1334" s="40">
        <v>0</v>
      </c>
      <c r="O1334" s="40">
        <v>0</v>
      </c>
      <c r="P1334" s="40">
        <v>0</v>
      </c>
      <c r="Q1334" s="40">
        <v>0</v>
      </c>
      <c r="R1334" s="40">
        <v>0</v>
      </c>
      <c r="S1334" s="40">
        <v>0</v>
      </c>
    </row>
    <row r="1335" spans="1:19" x14ac:dyDescent="0.35">
      <c r="A1335" s="38">
        <v>1332</v>
      </c>
      <c r="B1335" s="38" t="str">
        <f>_xlfn.XLOOKUP(A1335,'Model Modeshare by TAZ'!A:A,'Model Modeshare by TAZ'!B:B)</f>
        <v>Saratoga</v>
      </c>
      <c r="C1335" s="38" t="str">
        <f>_xlfn.XLOOKUP(A1335,'Model Modeshare by TAZ'!A:A,'Model Modeshare by TAZ'!D:D)</f>
        <v>NO</v>
      </c>
      <c r="D1335" s="6">
        <v>3</v>
      </c>
      <c r="E1335" s="6">
        <v>0</v>
      </c>
      <c r="F1335" s="6">
        <v>0</v>
      </c>
      <c r="G1335" s="6">
        <v>0</v>
      </c>
      <c r="H1335" s="6">
        <v>0</v>
      </c>
      <c r="I1335" s="6">
        <v>0</v>
      </c>
      <c r="J1335" s="6">
        <v>0</v>
      </c>
      <c r="K1335" s="40">
        <v>2</v>
      </c>
      <c r="L1335" s="40">
        <v>68</v>
      </c>
      <c r="M1335" s="40">
        <v>547</v>
      </c>
      <c r="N1335" s="40">
        <v>0</v>
      </c>
      <c r="O1335" s="40">
        <v>0</v>
      </c>
      <c r="P1335" s="40">
        <v>547</v>
      </c>
      <c r="Q1335" s="40">
        <v>0</v>
      </c>
      <c r="R1335" s="40">
        <v>0</v>
      </c>
      <c r="S1335" s="40">
        <v>0</v>
      </c>
    </row>
    <row r="1336" spans="1:19" x14ac:dyDescent="0.35">
      <c r="A1336" s="38">
        <v>1333</v>
      </c>
      <c r="B1336" s="38" t="str">
        <f>_xlfn.XLOOKUP(A1336,'Model Modeshare by TAZ'!A:A,'Model Modeshare by TAZ'!B:B)</f>
        <v>Saratoga</v>
      </c>
      <c r="C1336" s="38" t="str">
        <f>_xlfn.XLOOKUP(A1336,'Model Modeshare by TAZ'!A:A,'Model Modeshare by TAZ'!D:D)</f>
        <v>NO</v>
      </c>
      <c r="D1336" s="6">
        <v>3</v>
      </c>
      <c r="E1336" s="6">
        <v>1246</v>
      </c>
      <c r="F1336" s="6">
        <v>3291</v>
      </c>
      <c r="G1336" s="6">
        <v>3342</v>
      </c>
      <c r="H1336" s="6">
        <v>1666</v>
      </c>
      <c r="I1336" s="6">
        <v>796</v>
      </c>
      <c r="J1336" s="6">
        <v>450</v>
      </c>
      <c r="K1336" s="40">
        <v>1025</v>
      </c>
      <c r="L1336" s="40">
        <v>60</v>
      </c>
      <c r="M1336" s="40">
        <v>139</v>
      </c>
      <c r="N1336" s="40">
        <v>1</v>
      </c>
      <c r="O1336" s="40">
        <v>126</v>
      </c>
      <c r="P1336" s="40">
        <v>11</v>
      </c>
      <c r="Q1336" s="40">
        <v>0</v>
      </c>
      <c r="R1336" s="40">
        <v>1</v>
      </c>
      <c r="S1336" s="40">
        <v>0</v>
      </c>
    </row>
    <row r="1337" spans="1:19" x14ac:dyDescent="0.35">
      <c r="A1337" s="38">
        <v>1334</v>
      </c>
      <c r="B1337" s="38" t="str">
        <f>_xlfn.XLOOKUP(A1337,'Model Modeshare by TAZ'!A:A,'Model Modeshare by TAZ'!B:B)</f>
        <v>Saratoga</v>
      </c>
      <c r="C1337" s="38" t="str">
        <f>_xlfn.XLOOKUP(A1337,'Model Modeshare by TAZ'!A:A,'Model Modeshare by TAZ'!D:D)</f>
        <v>NO</v>
      </c>
      <c r="D1337" s="6">
        <v>3</v>
      </c>
      <c r="E1337" s="6">
        <v>661</v>
      </c>
      <c r="F1337" s="6">
        <v>1879</v>
      </c>
      <c r="G1337" s="6">
        <v>1880</v>
      </c>
      <c r="H1337" s="6">
        <v>958</v>
      </c>
      <c r="I1337" s="6">
        <v>661</v>
      </c>
      <c r="J1337" s="6">
        <v>0</v>
      </c>
      <c r="K1337" s="40">
        <v>531</v>
      </c>
      <c r="L1337" s="40">
        <v>13</v>
      </c>
      <c r="M1337" s="40">
        <v>55</v>
      </c>
      <c r="N1337" s="40">
        <v>4</v>
      </c>
      <c r="O1337" s="40">
        <v>11</v>
      </c>
      <c r="P1337" s="40">
        <v>38</v>
      </c>
      <c r="Q1337" s="40">
        <v>0</v>
      </c>
      <c r="R1337" s="40">
        <v>2</v>
      </c>
      <c r="S1337" s="40">
        <v>0</v>
      </c>
    </row>
    <row r="1338" spans="1:19" x14ac:dyDescent="0.35">
      <c r="A1338" s="38">
        <v>1335</v>
      </c>
      <c r="B1338" s="38" t="str">
        <f>_xlfn.XLOOKUP(A1338,'Model Modeshare by TAZ'!A:A,'Model Modeshare by TAZ'!B:B)</f>
        <v>Saratoga</v>
      </c>
      <c r="C1338" s="38" t="str">
        <f>_xlfn.XLOOKUP(A1338,'Model Modeshare by TAZ'!A:A,'Model Modeshare by TAZ'!D:D)</f>
        <v>NO</v>
      </c>
      <c r="D1338" s="6">
        <v>3</v>
      </c>
      <c r="E1338" s="6">
        <v>235</v>
      </c>
      <c r="F1338" s="6">
        <v>624</v>
      </c>
      <c r="G1338" s="6">
        <v>633</v>
      </c>
      <c r="H1338" s="6">
        <v>359</v>
      </c>
      <c r="I1338" s="6">
        <v>137</v>
      </c>
      <c r="J1338" s="6">
        <v>98</v>
      </c>
      <c r="K1338" s="40">
        <v>52</v>
      </c>
      <c r="L1338" s="40">
        <v>6</v>
      </c>
      <c r="M1338" s="40">
        <v>96</v>
      </c>
      <c r="N1338" s="40">
        <v>4</v>
      </c>
      <c r="O1338" s="40">
        <v>63</v>
      </c>
      <c r="P1338" s="40">
        <v>18</v>
      </c>
      <c r="Q1338" s="40">
        <v>5</v>
      </c>
      <c r="R1338" s="40">
        <v>6</v>
      </c>
      <c r="S1338" s="40">
        <v>0</v>
      </c>
    </row>
    <row r="1339" spans="1:19" x14ac:dyDescent="0.35">
      <c r="A1339" s="38">
        <v>1336</v>
      </c>
      <c r="B1339" s="38" t="str">
        <f>_xlfn.XLOOKUP(A1339,'Model Modeshare by TAZ'!A:A,'Model Modeshare by TAZ'!B:B)</f>
        <v>Saratoga</v>
      </c>
      <c r="C1339" s="38" t="str">
        <f>_xlfn.XLOOKUP(A1339,'Model Modeshare by TAZ'!A:A,'Model Modeshare by TAZ'!D:D)</f>
        <v>NO</v>
      </c>
      <c r="D1339" s="6">
        <v>3</v>
      </c>
      <c r="E1339" s="6">
        <v>169</v>
      </c>
      <c r="F1339" s="6">
        <v>448</v>
      </c>
      <c r="G1339" s="6">
        <v>450</v>
      </c>
      <c r="H1339" s="6">
        <v>258</v>
      </c>
      <c r="I1339" s="6">
        <v>2</v>
      </c>
      <c r="J1339" s="6">
        <v>167</v>
      </c>
      <c r="K1339" s="40">
        <v>23</v>
      </c>
      <c r="L1339" s="40">
        <v>11</v>
      </c>
      <c r="M1339" s="40">
        <v>24</v>
      </c>
      <c r="N1339" s="40">
        <v>1</v>
      </c>
      <c r="O1339" s="40">
        <v>16</v>
      </c>
      <c r="P1339" s="40">
        <v>6</v>
      </c>
      <c r="Q1339" s="40">
        <v>0</v>
      </c>
      <c r="R1339" s="40">
        <v>1</v>
      </c>
      <c r="S1339" s="40">
        <v>0</v>
      </c>
    </row>
    <row r="1340" spans="1:19" x14ac:dyDescent="0.35">
      <c r="A1340" s="38">
        <v>1337</v>
      </c>
      <c r="B1340" s="38" t="str">
        <f>_xlfn.XLOOKUP(A1340,'Model Modeshare by TAZ'!A:A,'Model Modeshare by TAZ'!B:B)</f>
        <v>Saratoga</v>
      </c>
      <c r="C1340" s="38" t="str">
        <f>_xlfn.XLOOKUP(A1340,'Model Modeshare by TAZ'!A:A,'Model Modeshare by TAZ'!D:D)</f>
        <v>NO</v>
      </c>
      <c r="D1340" s="6">
        <v>3</v>
      </c>
      <c r="E1340" s="6">
        <v>404</v>
      </c>
      <c r="F1340" s="6">
        <v>1073</v>
      </c>
      <c r="G1340" s="6">
        <v>1082</v>
      </c>
      <c r="H1340" s="6">
        <v>615</v>
      </c>
      <c r="I1340" s="6">
        <v>404</v>
      </c>
      <c r="J1340" s="6">
        <v>0</v>
      </c>
      <c r="K1340" s="40">
        <v>135</v>
      </c>
      <c r="L1340" s="40">
        <v>29</v>
      </c>
      <c r="M1340" s="40">
        <v>100</v>
      </c>
      <c r="N1340" s="40">
        <v>19</v>
      </c>
      <c r="O1340" s="40">
        <v>51</v>
      </c>
      <c r="P1340" s="40">
        <v>27</v>
      </c>
      <c r="Q1340" s="40">
        <v>0</v>
      </c>
      <c r="R1340" s="40">
        <v>3</v>
      </c>
      <c r="S1340" s="40">
        <v>0</v>
      </c>
    </row>
    <row r="1341" spans="1:19" x14ac:dyDescent="0.35">
      <c r="A1341" s="38">
        <v>1338</v>
      </c>
      <c r="B1341" s="38" t="str">
        <f>_xlfn.XLOOKUP(A1341,'Model Modeshare by TAZ'!A:A,'Model Modeshare by TAZ'!B:B)</f>
        <v>Saratoga</v>
      </c>
      <c r="C1341" s="38" t="str">
        <f>_xlfn.XLOOKUP(A1341,'Model Modeshare by TAZ'!A:A,'Model Modeshare by TAZ'!D:D)</f>
        <v>NO</v>
      </c>
      <c r="D1341" s="6">
        <v>3</v>
      </c>
      <c r="E1341" s="6">
        <v>535</v>
      </c>
      <c r="F1341" s="6">
        <v>1422</v>
      </c>
      <c r="G1341" s="6">
        <v>1426</v>
      </c>
      <c r="H1341" s="6">
        <v>817</v>
      </c>
      <c r="I1341" s="6">
        <v>529</v>
      </c>
      <c r="J1341" s="6">
        <v>6</v>
      </c>
      <c r="K1341" s="40">
        <v>160</v>
      </c>
      <c r="L1341" s="40">
        <v>36</v>
      </c>
      <c r="M1341" s="40">
        <v>250</v>
      </c>
      <c r="N1341" s="40">
        <v>91</v>
      </c>
      <c r="O1341" s="40">
        <v>110</v>
      </c>
      <c r="P1341" s="40">
        <v>39</v>
      </c>
      <c r="Q1341" s="40">
        <v>1</v>
      </c>
      <c r="R1341" s="40">
        <v>8</v>
      </c>
      <c r="S1341" s="40">
        <v>1</v>
      </c>
    </row>
    <row r="1342" spans="1:19" x14ac:dyDescent="0.35">
      <c r="A1342" s="38">
        <v>1339</v>
      </c>
      <c r="B1342" s="38" t="str">
        <f>_xlfn.XLOOKUP(A1342,'Model Modeshare by TAZ'!A:A,'Model Modeshare by TAZ'!B:B)</f>
        <v>Saratoga</v>
      </c>
      <c r="C1342" s="38" t="str">
        <f>_xlfn.XLOOKUP(A1342,'Model Modeshare by TAZ'!A:A,'Model Modeshare by TAZ'!D:D)</f>
        <v>NO</v>
      </c>
      <c r="D1342" s="6">
        <v>3</v>
      </c>
      <c r="E1342" s="6">
        <v>220</v>
      </c>
      <c r="F1342" s="6">
        <v>585</v>
      </c>
      <c r="G1342" s="6">
        <v>587</v>
      </c>
      <c r="H1342" s="6">
        <v>337</v>
      </c>
      <c r="I1342" s="6">
        <v>220</v>
      </c>
      <c r="J1342" s="6">
        <v>0</v>
      </c>
      <c r="K1342" s="40">
        <v>43</v>
      </c>
      <c r="L1342" s="40">
        <v>1</v>
      </c>
      <c r="M1342" s="40">
        <v>0</v>
      </c>
      <c r="N1342" s="40">
        <v>0</v>
      </c>
      <c r="O1342" s="40">
        <v>0</v>
      </c>
      <c r="P1342" s="40">
        <v>0</v>
      </c>
      <c r="Q1342" s="40">
        <v>0</v>
      </c>
      <c r="R1342" s="40">
        <v>0</v>
      </c>
      <c r="S1342" s="40">
        <v>0</v>
      </c>
    </row>
    <row r="1343" spans="1:19" x14ac:dyDescent="0.35">
      <c r="A1343" s="38">
        <v>1340</v>
      </c>
      <c r="B1343" s="38" t="str">
        <f>_xlfn.XLOOKUP(A1343,'Model Modeshare by TAZ'!A:A,'Model Modeshare by TAZ'!B:B)</f>
        <v>Saratoga</v>
      </c>
      <c r="C1343" s="38" t="str">
        <f>_xlfn.XLOOKUP(A1343,'Model Modeshare by TAZ'!A:A,'Model Modeshare by TAZ'!D:D)</f>
        <v>NO</v>
      </c>
      <c r="D1343" s="6">
        <v>3</v>
      </c>
      <c r="E1343" s="6">
        <v>96</v>
      </c>
      <c r="F1343" s="6">
        <v>285</v>
      </c>
      <c r="G1343" s="6">
        <v>287</v>
      </c>
      <c r="H1343" s="6">
        <v>139</v>
      </c>
      <c r="I1343" s="6">
        <v>96</v>
      </c>
      <c r="J1343" s="6">
        <v>0</v>
      </c>
      <c r="K1343" s="40">
        <v>35</v>
      </c>
      <c r="L1343" s="40">
        <v>2</v>
      </c>
      <c r="M1343" s="40">
        <v>0</v>
      </c>
      <c r="N1343" s="40">
        <v>0</v>
      </c>
      <c r="O1343" s="40">
        <v>0</v>
      </c>
      <c r="P1343" s="40">
        <v>0</v>
      </c>
      <c r="Q1343" s="40">
        <v>0</v>
      </c>
      <c r="R1343" s="40">
        <v>0</v>
      </c>
      <c r="S1343" s="40">
        <v>0</v>
      </c>
    </row>
    <row r="1344" spans="1:19" x14ac:dyDescent="0.35">
      <c r="A1344" s="38">
        <v>1341</v>
      </c>
      <c r="B1344" s="38" t="str">
        <f>_xlfn.XLOOKUP(A1344,'Model Modeshare by TAZ'!A:A,'Model Modeshare by TAZ'!B:B)</f>
        <v>Saratoga</v>
      </c>
      <c r="C1344" s="38" t="str">
        <f>_xlfn.XLOOKUP(A1344,'Model Modeshare by TAZ'!A:A,'Model Modeshare by TAZ'!D:D)</f>
        <v>NO</v>
      </c>
      <c r="D1344" s="6">
        <v>3</v>
      </c>
      <c r="E1344" s="6">
        <v>28</v>
      </c>
      <c r="F1344" s="6">
        <v>84</v>
      </c>
      <c r="G1344" s="6">
        <v>84</v>
      </c>
      <c r="H1344" s="6">
        <v>40</v>
      </c>
      <c r="I1344" s="6">
        <v>28</v>
      </c>
      <c r="J1344" s="6">
        <v>0</v>
      </c>
      <c r="K1344" s="40">
        <v>11</v>
      </c>
      <c r="L1344" s="40">
        <v>4</v>
      </c>
      <c r="M1344" s="40">
        <v>5</v>
      </c>
      <c r="N1344" s="40">
        <v>0</v>
      </c>
      <c r="O1344" s="40">
        <v>1</v>
      </c>
      <c r="P1344" s="40">
        <v>0</v>
      </c>
      <c r="Q1344" s="40">
        <v>2</v>
      </c>
      <c r="R1344" s="40">
        <v>2</v>
      </c>
      <c r="S1344" s="40">
        <v>0</v>
      </c>
    </row>
    <row r="1345" spans="1:19" x14ac:dyDescent="0.35">
      <c r="A1345" s="38">
        <v>1342</v>
      </c>
      <c r="B1345" s="38" t="str">
        <f>_xlfn.XLOOKUP(A1345,'Model Modeshare by TAZ'!A:A,'Model Modeshare by TAZ'!B:B)</f>
        <v>Saratoga</v>
      </c>
      <c r="C1345" s="38" t="str">
        <f>_xlfn.XLOOKUP(A1345,'Model Modeshare by TAZ'!A:A,'Model Modeshare by TAZ'!D:D)</f>
        <v>NO</v>
      </c>
      <c r="D1345" s="6">
        <v>3</v>
      </c>
      <c r="E1345" s="6">
        <v>474</v>
      </c>
      <c r="F1345" s="6">
        <v>1400</v>
      </c>
      <c r="G1345" s="6">
        <v>1402</v>
      </c>
      <c r="H1345" s="6">
        <v>682</v>
      </c>
      <c r="I1345" s="6">
        <v>474</v>
      </c>
      <c r="J1345" s="6">
        <v>0</v>
      </c>
      <c r="K1345" s="40">
        <v>196</v>
      </c>
      <c r="L1345" s="40">
        <v>7</v>
      </c>
      <c r="M1345" s="40">
        <v>7</v>
      </c>
      <c r="N1345" s="40">
        <v>0</v>
      </c>
      <c r="O1345" s="40">
        <v>3</v>
      </c>
      <c r="P1345" s="40">
        <v>2</v>
      </c>
      <c r="Q1345" s="40">
        <v>1</v>
      </c>
      <c r="R1345" s="40">
        <v>1</v>
      </c>
      <c r="S1345" s="40">
        <v>0</v>
      </c>
    </row>
    <row r="1346" spans="1:19" x14ac:dyDescent="0.35">
      <c r="A1346" s="38">
        <v>1343</v>
      </c>
      <c r="B1346" s="38" t="str">
        <f>_xlfn.XLOOKUP(A1346,'Model Modeshare by TAZ'!A:A,'Model Modeshare by TAZ'!B:B)</f>
        <v>Saratoga</v>
      </c>
      <c r="C1346" s="38" t="str">
        <f>_xlfn.XLOOKUP(A1346,'Model Modeshare by TAZ'!A:A,'Model Modeshare by TAZ'!D:D)</f>
        <v>NO</v>
      </c>
      <c r="D1346" s="6">
        <v>3</v>
      </c>
      <c r="E1346" s="6">
        <v>590</v>
      </c>
      <c r="F1346" s="6">
        <v>1743</v>
      </c>
      <c r="G1346" s="6">
        <v>1743</v>
      </c>
      <c r="H1346" s="6">
        <v>848</v>
      </c>
      <c r="I1346" s="6">
        <v>590</v>
      </c>
      <c r="J1346" s="6">
        <v>0</v>
      </c>
      <c r="K1346" s="40">
        <v>177</v>
      </c>
      <c r="L1346" s="40">
        <v>2</v>
      </c>
      <c r="M1346" s="40">
        <v>17</v>
      </c>
      <c r="N1346" s="40">
        <v>1</v>
      </c>
      <c r="O1346" s="40">
        <v>1</v>
      </c>
      <c r="P1346" s="40">
        <v>10</v>
      </c>
      <c r="Q1346" s="40">
        <v>2</v>
      </c>
      <c r="R1346" s="40">
        <v>2</v>
      </c>
      <c r="S1346" s="40">
        <v>1</v>
      </c>
    </row>
    <row r="1347" spans="1:19" x14ac:dyDescent="0.35">
      <c r="A1347" s="38">
        <v>1344</v>
      </c>
      <c r="B1347" s="38" t="str">
        <f>_xlfn.XLOOKUP(A1347,'Model Modeshare by TAZ'!A:A,'Model Modeshare by TAZ'!B:B)</f>
        <v>Saratoga</v>
      </c>
      <c r="C1347" s="38" t="str">
        <f>_xlfn.XLOOKUP(A1347,'Model Modeshare by TAZ'!A:A,'Model Modeshare by TAZ'!D:D)</f>
        <v>NO</v>
      </c>
      <c r="D1347" s="6">
        <v>3</v>
      </c>
      <c r="E1347" s="6">
        <v>602</v>
      </c>
      <c r="F1347" s="6">
        <v>1781</v>
      </c>
      <c r="G1347" s="6">
        <v>1781</v>
      </c>
      <c r="H1347" s="6">
        <v>868</v>
      </c>
      <c r="I1347" s="6">
        <v>508</v>
      </c>
      <c r="J1347" s="6">
        <v>94</v>
      </c>
      <c r="K1347" s="40">
        <v>175</v>
      </c>
      <c r="L1347" s="40">
        <v>38</v>
      </c>
      <c r="M1347" s="40">
        <v>147</v>
      </c>
      <c r="N1347" s="40">
        <v>43</v>
      </c>
      <c r="O1347" s="40">
        <v>58</v>
      </c>
      <c r="P1347" s="40">
        <v>37</v>
      </c>
      <c r="Q1347" s="40">
        <v>1</v>
      </c>
      <c r="R1347" s="40">
        <v>7</v>
      </c>
      <c r="S1347" s="40">
        <v>1</v>
      </c>
    </row>
    <row r="1348" spans="1:19" x14ac:dyDescent="0.35">
      <c r="A1348" s="38">
        <v>1345</v>
      </c>
      <c r="B1348" s="38" t="str">
        <f>_xlfn.XLOOKUP(A1348,'Model Modeshare by TAZ'!A:A,'Model Modeshare by TAZ'!B:B)</f>
        <v>Saratoga</v>
      </c>
      <c r="C1348" s="38" t="str">
        <f>_xlfn.XLOOKUP(A1348,'Model Modeshare by TAZ'!A:A,'Model Modeshare by TAZ'!D:D)</f>
        <v>NO</v>
      </c>
      <c r="D1348" s="6">
        <v>3</v>
      </c>
      <c r="E1348" s="6">
        <v>183</v>
      </c>
      <c r="F1348" s="6">
        <v>543</v>
      </c>
      <c r="G1348" s="6">
        <v>543</v>
      </c>
      <c r="H1348" s="6">
        <v>265</v>
      </c>
      <c r="I1348" s="6">
        <v>132</v>
      </c>
      <c r="J1348" s="6">
        <v>51</v>
      </c>
      <c r="K1348" s="40">
        <v>40</v>
      </c>
      <c r="L1348" s="40">
        <v>24</v>
      </c>
      <c r="M1348" s="40">
        <v>206</v>
      </c>
      <c r="N1348" s="40">
        <v>30</v>
      </c>
      <c r="O1348" s="40">
        <v>104</v>
      </c>
      <c r="P1348" s="40">
        <v>28</v>
      </c>
      <c r="Q1348" s="40">
        <v>1</v>
      </c>
      <c r="R1348" s="40">
        <v>32</v>
      </c>
      <c r="S1348" s="40">
        <v>11</v>
      </c>
    </row>
    <row r="1349" spans="1:19" x14ac:dyDescent="0.35">
      <c r="A1349" s="38">
        <v>1346</v>
      </c>
      <c r="B1349" s="38" t="str">
        <f>_xlfn.XLOOKUP(A1349,'Model Modeshare by TAZ'!A:A,'Model Modeshare by TAZ'!B:B)</f>
        <v>Saratoga</v>
      </c>
      <c r="C1349" s="38" t="str">
        <f>_xlfn.XLOOKUP(A1349,'Model Modeshare by TAZ'!A:A,'Model Modeshare by TAZ'!D:D)</f>
        <v>NO</v>
      </c>
      <c r="D1349" s="6">
        <v>3</v>
      </c>
      <c r="E1349" s="6">
        <v>135</v>
      </c>
      <c r="F1349" s="6">
        <v>395</v>
      </c>
      <c r="G1349" s="6">
        <v>395</v>
      </c>
      <c r="H1349" s="6">
        <v>181</v>
      </c>
      <c r="I1349" s="6">
        <v>135</v>
      </c>
      <c r="J1349" s="6">
        <v>0</v>
      </c>
      <c r="K1349" s="40">
        <v>65</v>
      </c>
      <c r="L1349" s="40">
        <v>1</v>
      </c>
      <c r="M1349" s="40">
        <v>4</v>
      </c>
      <c r="N1349" s="40">
        <v>0</v>
      </c>
      <c r="O1349" s="40">
        <v>0</v>
      </c>
      <c r="P1349" s="40">
        <v>0</v>
      </c>
      <c r="Q1349" s="40">
        <v>3</v>
      </c>
      <c r="R1349" s="40">
        <v>1</v>
      </c>
      <c r="S1349" s="40">
        <v>0</v>
      </c>
    </row>
    <row r="1350" spans="1:19" x14ac:dyDescent="0.35">
      <c r="A1350" s="38">
        <v>1347</v>
      </c>
      <c r="B1350" s="38" t="str">
        <f>_xlfn.XLOOKUP(A1350,'Model Modeshare by TAZ'!A:A,'Model Modeshare by TAZ'!B:B)</f>
        <v>Saratoga</v>
      </c>
      <c r="C1350" s="38" t="str">
        <f>_xlfn.XLOOKUP(A1350,'Model Modeshare by TAZ'!A:A,'Model Modeshare by TAZ'!D:D)</f>
        <v>NO</v>
      </c>
      <c r="D1350" s="6">
        <v>3</v>
      </c>
      <c r="E1350" s="6">
        <v>837</v>
      </c>
      <c r="F1350" s="6">
        <v>2213</v>
      </c>
      <c r="G1350" s="6">
        <v>2245</v>
      </c>
      <c r="H1350" s="6">
        <v>1119</v>
      </c>
      <c r="I1350" s="6">
        <v>837</v>
      </c>
      <c r="J1350" s="6">
        <v>0</v>
      </c>
      <c r="K1350" s="40">
        <v>327</v>
      </c>
      <c r="L1350" s="40">
        <v>33</v>
      </c>
      <c r="M1350" s="40">
        <v>0</v>
      </c>
      <c r="N1350" s="40">
        <v>0</v>
      </c>
      <c r="O1350" s="40">
        <v>0</v>
      </c>
      <c r="P1350" s="40">
        <v>0</v>
      </c>
      <c r="Q1350" s="40">
        <v>0</v>
      </c>
      <c r="R1350" s="40">
        <v>0</v>
      </c>
      <c r="S1350" s="40">
        <v>0</v>
      </c>
    </row>
    <row r="1351" spans="1:19" x14ac:dyDescent="0.35">
      <c r="A1351" s="38">
        <v>1348</v>
      </c>
      <c r="B1351" s="38" t="str">
        <f>_xlfn.XLOOKUP(A1351,'Model Modeshare by TAZ'!A:A,'Model Modeshare by TAZ'!B:B)</f>
        <v>Saratoga</v>
      </c>
      <c r="C1351" s="38" t="str">
        <f>_xlfn.XLOOKUP(A1351,'Model Modeshare by TAZ'!A:A,'Model Modeshare by TAZ'!D:D)</f>
        <v>NO</v>
      </c>
      <c r="D1351" s="6">
        <v>3</v>
      </c>
      <c r="E1351" s="6">
        <v>1490</v>
      </c>
      <c r="F1351" s="6">
        <v>4386</v>
      </c>
      <c r="G1351" s="6">
        <v>4386</v>
      </c>
      <c r="H1351" s="6">
        <v>2016</v>
      </c>
      <c r="I1351" s="6">
        <v>1475</v>
      </c>
      <c r="J1351" s="6">
        <v>15</v>
      </c>
      <c r="K1351" s="40">
        <v>404</v>
      </c>
      <c r="L1351" s="40">
        <v>12</v>
      </c>
      <c r="M1351" s="40">
        <v>251</v>
      </c>
      <c r="N1351" s="40">
        <v>123</v>
      </c>
      <c r="O1351" s="40">
        <v>100</v>
      </c>
      <c r="P1351" s="40">
        <v>24</v>
      </c>
      <c r="Q1351" s="40">
        <v>1</v>
      </c>
      <c r="R1351" s="40">
        <v>2</v>
      </c>
      <c r="S1351" s="40">
        <v>1</v>
      </c>
    </row>
    <row r="1352" spans="1:19" x14ac:dyDescent="0.35">
      <c r="A1352" s="38">
        <v>1349</v>
      </c>
      <c r="B1352" s="38" t="str">
        <f>_xlfn.XLOOKUP(A1352,'Model Modeshare by TAZ'!A:A,'Model Modeshare by TAZ'!B:B)</f>
        <v>Saratoga</v>
      </c>
      <c r="C1352" s="38" t="str">
        <f>_xlfn.XLOOKUP(A1352,'Model Modeshare by TAZ'!A:A,'Model Modeshare by TAZ'!D:D)</f>
        <v>NO</v>
      </c>
      <c r="D1352" s="6">
        <v>3</v>
      </c>
      <c r="E1352" s="6">
        <v>412</v>
      </c>
      <c r="F1352" s="6">
        <v>1212</v>
      </c>
      <c r="G1352" s="6">
        <v>1213</v>
      </c>
      <c r="H1352" s="6">
        <v>557</v>
      </c>
      <c r="I1352" s="6">
        <v>324</v>
      </c>
      <c r="J1352" s="6">
        <v>88</v>
      </c>
      <c r="K1352" s="40">
        <v>348</v>
      </c>
      <c r="L1352" s="40">
        <v>75</v>
      </c>
      <c r="M1352" s="40">
        <v>156</v>
      </c>
      <c r="N1352" s="40">
        <v>5</v>
      </c>
      <c r="O1352" s="40">
        <v>99</v>
      </c>
      <c r="P1352" s="40">
        <v>48</v>
      </c>
      <c r="Q1352" s="40">
        <v>1</v>
      </c>
      <c r="R1352" s="40">
        <v>2</v>
      </c>
      <c r="S1352" s="40">
        <v>1</v>
      </c>
    </row>
    <row r="1353" spans="1:19" x14ac:dyDescent="0.35">
      <c r="A1353" s="38">
        <v>1350</v>
      </c>
      <c r="B1353" s="38" t="str">
        <f>_xlfn.XLOOKUP(A1353,'Model Modeshare by TAZ'!A:A,'Model Modeshare by TAZ'!B:B)</f>
        <v>Saratoga</v>
      </c>
      <c r="C1353" s="38" t="str">
        <f>_xlfn.XLOOKUP(A1353,'Model Modeshare by TAZ'!A:A,'Model Modeshare by TAZ'!D:D)</f>
        <v>NO</v>
      </c>
      <c r="D1353" s="6">
        <v>3</v>
      </c>
      <c r="E1353" s="6">
        <v>546</v>
      </c>
      <c r="F1353" s="6">
        <v>1444</v>
      </c>
      <c r="G1353" s="6">
        <v>1466</v>
      </c>
      <c r="H1353" s="6">
        <v>731</v>
      </c>
      <c r="I1353" s="6">
        <v>546</v>
      </c>
      <c r="J1353" s="6">
        <v>0</v>
      </c>
      <c r="K1353" s="40">
        <v>491</v>
      </c>
      <c r="L1353" s="40">
        <v>65</v>
      </c>
      <c r="M1353" s="40">
        <v>245</v>
      </c>
      <c r="N1353" s="40">
        <v>18</v>
      </c>
      <c r="O1353" s="40">
        <v>194</v>
      </c>
      <c r="P1353" s="40">
        <v>21</v>
      </c>
      <c r="Q1353" s="40">
        <v>2</v>
      </c>
      <c r="R1353" s="40">
        <v>9</v>
      </c>
      <c r="S1353" s="40">
        <v>1</v>
      </c>
    </row>
    <row r="1354" spans="1:19" x14ac:dyDescent="0.35">
      <c r="A1354" s="38">
        <v>1351</v>
      </c>
      <c r="B1354" s="38" t="str">
        <f>_xlfn.XLOOKUP(A1354,'Model Modeshare by TAZ'!A:A,'Model Modeshare by TAZ'!B:B)</f>
        <v>Saratoga</v>
      </c>
      <c r="C1354" s="38" t="str">
        <f>_xlfn.XLOOKUP(A1354,'Model Modeshare by TAZ'!A:A,'Model Modeshare by TAZ'!D:D)</f>
        <v>NO</v>
      </c>
      <c r="D1354" s="6">
        <v>3</v>
      </c>
      <c r="E1354" s="6">
        <v>664</v>
      </c>
      <c r="F1354" s="6">
        <v>1743</v>
      </c>
      <c r="G1354" s="6">
        <v>1789</v>
      </c>
      <c r="H1354" s="6">
        <v>1027</v>
      </c>
      <c r="I1354" s="6">
        <v>567</v>
      </c>
      <c r="J1354" s="6">
        <v>97</v>
      </c>
      <c r="K1354" s="40">
        <v>565</v>
      </c>
      <c r="L1354" s="40">
        <v>32</v>
      </c>
      <c r="M1354" s="40">
        <v>385</v>
      </c>
      <c r="N1354" s="40">
        <v>154</v>
      </c>
      <c r="O1354" s="40">
        <v>111</v>
      </c>
      <c r="P1354" s="40">
        <v>113</v>
      </c>
      <c r="Q1354" s="40">
        <v>2</v>
      </c>
      <c r="R1354" s="40">
        <v>2</v>
      </c>
      <c r="S1354" s="40">
        <v>3</v>
      </c>
    </row>
    <row r="1355" spans="1:19" x14ac:dyDescent="0.35">
      <c r="A1355" s="38">
        <v>1352</v>
      </c>
      <c r="B1355" s="38" t="str">
        <f>_xlfn.XLOOKUP(A1355,'Model Modeshare by TAZ'!A:A,'Model Modeshare by TAZ'!B:B)</f>
        <v>Unincorporated</v>
      </c>
      <c r="C1355" s="38" t="str">
        <f>_xlfn.XLOOKUP(A1355,'Model Modeshare by TAZ'!A:A,'Model Modeshare by TAZ'!D:D)</f>
        <v>NO</v>
      </c>
      <c r="D1355" s="6">
        <v>3</v>
      </c>
      <c r="E1355" s="6">
        <v>81</v>
      </c>
      <c r="F1355" s="6">
        <v>213</v>
      </c>
      <c r="G1355" s="6">
        <v>218</v>
      </c>
      <c r="H1355" s="6">
        <v>125</v>
      </c>
      <c r="I1355" s="6">
        <v>81</v>
      </c>
      <c r="J1355" s="6">
        <v>0</v>
      </c>
      <c r="K1355" s="40">
        <v>288</v>
      </c>
      <c r="L1355" s="40">
        <v>1</v>
      </c>
      <c r="M1355" s="40">
        <v>0</v>
      </c>
      <c r="N1355" s="40">
        <v>0</v>
      </c>
      <c r="O1355" s="40">
        <v>0</v>
      </c>
      <c r="P1355" s="40">
        <v>0</v>
      </c>
      <c r="Q1355" s="40">
        <v>0</v>
      </c>
      <c r="R1355" s="40">
        <v>0</v>
      </c>
      <c r="S1355" s="40">
        <v>0</v>
      </c>
    </row>
    <row r="1356" spans="1:19" x14ac:dyDescent="0.35">
      <c r="A1356" s="38">
        <v>1353</v>
      </c>
      <c r="B1356" s="38" t="str">
        <f>_xlfn.XLOOKUP(A1356,'Model Modeshare by TAZ'!A:A,'Model Modeshare by TAZ'!B:B)</f>
        <v>Saratoga</v>
      </c>
      <c r="C1356" s="38" t="str">
        <f>_xlfn.XLOOKUP(A1356,'Model Modeshare by TAZ'!A:A,'Model Modeshare by TAZ'!D:D)</f>
        <v>NO</v>
      </c>
      <c r="D1356" s="6">
        <v>3</v>
      </c>
      <c r="E1356" s="6">
        <v>1406</v>
      </c>
      <c r="F1356" s="6">
        <v>3997</v>
      </c>
      <c r="G1356" s="6">
        <v>3997</v>
      </c>
      <c r="H1356" s="6">
        <v>2039</v>
      </c>
      <c r="I1356" s="6">
        <v>1146</v>
      </c>
      <c r="J1356" s="6">
        <v>260</v>
      </c>
      <c r="K1356" s="40">
        <v>730</v>
      </c>
      <c r="L1356" s="40">
        <v>4</v>
      </c>
      <c r="M1356" s="40">
        <v>63</v>
      </c>
      <c r="N1356" s="40">
        <v>8</v>
      </c>
      <c r="O1356" s="40">
        <v>46</v>
      </c>
      <c r="P1356" s="40">
        <v>5</v>
      </c>
      <c r="Q1356" s="40">
        <v>0</v>
      </c>
      <c r="R1356" s="40">
        <v>3</v>
      </c>
      <c r="S1356" s="40">
        <v>1</v>
      </c>
    </row>
    <row r="1357" spans="1:19" x14ac:dyDescent="0.35">
      <c r="A1357" s="38">
        <v>1354</v>
      </c>
      <c r="B1357" s="38" t="str">
        <f>_xlfn.XLOOKUP(A1357,'Model Modeshare by TAZ'!A:A,'Model Modeshare by TAZ'!B:B)</f>
        <v>Unincorporated</v>
      </c>
      <c r="C1357" s="38" t="str">
        <f>_xlfn.XLOOKUP(A1357,'Model Modeshare by TAZ'!A:A,'Model Modeshare by TAZ'!D:D)</f>
        <v>NO</v>
      </c>
      <c r="D1357" s="6">
        <v>3</v>
      </c>
      <c r="E1357" s="6">
        <v>0</v>
      </c>
      <c r="F1357" s="6">
        <v>0</v>
      </c>
      <c r="G1357" s="6">
        <v>0</v>
      </c>
      <c r="H1357" s="6">
        <v>0</v>
      </c>
      <c r="I1357" s="6">
        <v>0</v>
      </c>
      <c r="J1357" s="6">
        <v>0</v>
      </c>
      <c r="K1357" s="40">
        <v>0</v>
      </c>
      <c r="L1357" s="40">
        <v>946</v>
      </c>
      <c r="M1357" s="40">
        <v>302</v>
      </c>
      <c r="N1357" s="40">
        <v>21</v>
      </c>
      <c r="O1357" s="40">
        <v>26</v>
      </c>
      <c r="P1357" s="40">
        <v>15</v>
      </c>
      <c r="Q1357" s="40">
        <v>4</v>
      </c>
      <c r="R1357" s="40">
        <v>213</v>
      </c>
      <c r="S1357" s="40">
        <v>23</v>
      </c>
    </row>
    <row r="1358" spans="1:19" x14ac:dyDescent="0.35">
      <c r="A1358" s="38">
        <v>1355</v>
      </c>
      <c r="B1358" s="38" t="str">
        <f>_xlfn.XLOOKUP(A1358,'Model Modeshare by TAZ'!A:A,'Model Modeshare by TAZ'!B:B)</f>
        <v>Sunnyvale</v>
      </c>
      <c r="C1358" s="38" t="str">
        <f>_xlfn.XLOOKUP(A1358,'Model Modeshare by TAZ'!A:A,'Model Modeshare by TAZ'!D:D)</f>
        <v>NO</v>
      </c>
      <c r="D1358" s="6">
        <v>3</v>
      </c>
      <c r="E1358" s="6">
        <v>0</v>
      </c>
      <c r="F1358" s="6">
        <v>0</v>
      </c>
      <c r="G1358" s="6">
        <v>0</v>
      </c>
      <c r="H1358" s="6">
        <v>0</v>
      </c>
      <c r="I1358" s="6">
        <v>0</v>
      </c>
      <c r="J1358" s="6">
        <v>0</v>
      </c>
      <c r="K1358" s="40">
        <v>0</v>
      </c>
      <c r="L1358" s="40">
        <v>152</v>
      </c>
      <c r="M1358" s="40">
        <v>0</v>
      </c>
      <c r="N1358" s="40">
        <v>0</v>
      </c>
      <c r="O1358" s="40">
        <v>0</v>
      </c>
      <c r="P1358" s="40">
        <v>0</v>
      </c>
      <c r="Q1358" s="40">
        <v>0</v>
      </c>
      <c r="R1358" s="40">
        <v>0</v>
      </c>
      <c r="S1358" s="40">
        <v>0</v>
      </c>
    </row>
    <row r="1359" spans="1:19" x14ac:dyDescent="0.35">
      <c r="A1359" s="38">
        <v>1356</v>
      </c>
      <c r="B1359" s="38" t="str">
        <f>_xlfn.XLOOKUP(A1359,'Model Modeshare by TAZ'!A:A,'Model Modeshare by TAZ'!B:B)</f>
        <v>Sunnyvale</v>
      </c>
      <c r="C1359" s="38" t="str">
        <f>_xlfn.XLOOKUP(A1359,'Model Modeshare by TAZ'!A:A,'Model Modeshare by TAZ'!D:D)</f>
        <v>NO</v>
      </c>
      <c r="D1359" s="6">
        <v>3</v>
      </c>
      <c r="E1359" s="6">
        <v>0</v>
      </c>
      <c r="F1359" s="6">
        <v>0</v>
      </c>
      <c r="G1359" s="6">
        <v>0</v>
      </c>
      <c r="H1359" s="6">
        <v>0</v>
      </c>
      <c r="I1359" s="6">
        <v>0</v>
      </c>
      <c r="J1359" s="6">
        <v>0</v>
      </c>
      <c r="K1359" s="40">
        <v>0</v>
      </c>
      <c r="L1359" s="40">
        <v>40</v>
      </c>
      <c r="M1359" s="40">
        <v>3214</v>
      </c>
      <c r="N1359" s="40">
        <v>10</v>
      </c>
      <c r="O1359" s="40">
        <v>786</v>
      </c>
      <c r="P1359" s="40">
        <v>723</v>
      </c>
      <c r="Q1359" s="40">
        <v>0</v>
      </c>
      <c r="R1359" s="40">
        <v>1563</v>
      </c>
      <c r="S1359" s="40">
        <v>132</v>
      </c>
    </row>
    <row r="1360" spans="1:19" x14ac:dyDescent="0.35">
      <c r="A1360" s="38">
        <v>1357</v>
      </c>
      <c r="B1360" s="38" t="str">
        <f>_xlfn.XLOOKUP(A1360,'Model Modeshare by TAZ'!A:A,'Model Modeshare by TAZ'!B:B)</f>
        <v>Sunnyvale</v>
      </c>
      <c r="C1360" s="38" t="str">
        <f>_xlfn.XLOOKUP(A1360,'Model Modeshare by TAZ'!A:A,'Model Modeshare by TAZ'!D:D)</f>
        <v>NO</v>
      </c>
      <c r="D1360" s="6">
        <v>3</v>
      </c>
      <c r="E1360" s="6">
        <v>0</v>
      </c>
      <c r="F1360" s="6">
        <v>0</v>
      </c>
      <c r="G1360" s="6">
        <v>0</v>
      </c>
      <c r="H1360" s="6">
        <v>0</v>
      </c>
      <c r="I1360" s="6">
        <v>0</v>
      </c>
      <c r="J1360" s="6">
        <v>0</v>
      </c>
      <c r="K1360" s="40">
        <v>0</v>
      </c>
      <c r="L1360" s="40">
        <v>2</v>
      </c>
      <c r="M1360" s="40">
        <v>965</v>
      </c>
      <c r="N1360" s="40">
        <v>965</v>
      </c>
      <c r="O1360" s="40">
        <v>0</v>
      </c>
      <c r="P1360" s="40">
        <v>0</v>
      </c>
      <c r="Q1360" s="40">
        <v>0</v>
      </c>
      <c r="R1360" s="40">
        <v>0</v>
      </c>
      <c r="S1360" s="40">
        <v>0</v>
      </c>
    </row>
    <row r="1361" spans="1:19" x14ac:dyDescent="0.35">
      <c r="A1361" s="38">
        <v>1358</v>
      </c>
      <c r="B1361" s="38" t="str">
        <f>_xlfn.XLOOKUP(A1361,'Model Modeshare by TAZ'!A:A,'Model Modeshare by TAZ'!B:B)</f>
        <v>Sunnyvale</v>
      </c>
      <c r="C1361" s="38" t="str">
        <f>_xlfn.XLOOKUP(A1361,'Model Modeshare by TAZ'!A:A,'Model Modeshare by TAZ'!D:D)</f>
        <v>NO</v>
      </c>
      <c r="D1361" s="6">
        <v>3</v>
      </c>
      <c r="E1361" s="6">
        <v>0</v>
      </c>
      <c r="F1361" s="6">
        <v>0</v>
      </c>
      <c r="G1361" s="6">
        <v>0</v>
      </c>
      <c r="H1361" s="6">
        <v>0</v>
      </c>
      <c r="I1361" s="6">
        <v>0</v>
      </c>
      <c r="J1361" s="6">
        <v>0</v>
      </c>
      <c r="K1361" s="40">
        <v>1</v>
      </c>
      <c r="L1361" s="40">
        <v>19</v>
      </c>
      <c r="M1361" s="40">
        <v>6</v>
      </c>
      <c r="N1361" s="40">
        <v>2</v>
      </c>
      <c r="O1361" s="40">
        <v>2</v>
      </c>
      <c r="P1361" s="40">
        <v>0</v>
      </c>
      <c r="Q1361" s="40">
        <v>0</v>
      </c>
      <c r="R1361" s="40">
        <v>2</v>
      </c>
      <c r="S1361" s="40">
        <v>0</v>
      </c>
    </row>
    <row r="1362" spans="1:19" x14ac:dyDescent="0.35">
      <c r="A1362" s="38">
        <v>1359</v>
      </c>
      <c r="B1362" s="38" t="str">
        <f>_xlfn.XLOOKUP(A1362,'Model Modeshare by TAZ'!A:A,'Model Modeshare by TAZ'!B:B)</f>
        <v>Sunnyvale</v>
      </c>
      <c r="C1362" s="38" t="str">
        <f>_xlfn.XLOOKUP(A1362,'Model Modeshare by TAZ'!A:A,'Model Modeshare by TAZ'!D:D)</f>
        <v>NO</v>
      </c>
      <c r="D1362" s="6">
        <v>3</v>
      </c>
      <c r="E1362" s="6">
        <v>0</v>
      </c>
      <c r="F1362" s="6">
        <v>0</v>
      </c>
      <c r="G1362" s="6">
        <v>0</v>
      </c>
      <c r="H1362" s="6">
        <v>0</v>
      </c>
      <c r="I1362" s="6">
        <v>0</v>
      </c>
      <c r="J1362" s="6">
        <v>0</v>
      </c>
      <c r="K1362" s="40">
        <v>0</v>
      </c>
      <c r="L1362" s="40">
        <v>34</v>
      </c>
      <c r="M1362" s="40">
        <v>871</v>
      </c>
      <c r="N1362" s="40">
        <v>14</v>
      </c>
      <c r="O1362" s="40">
        <v>397</v>
      </c>
      <c r="P1362" s="40">
        <v>122</v>
      </c>
      <c r="Q1362" s="40">
        <v>0</v>
      </c>
      <c r="R1362" s="40">
        <v>312</v>
      </c>
      <c r="S1362" s="40">
        <v>26</v>
      </c>
    </row>
    <row r="1363" spans="1:19" x14ac:dyDescent="0.35">
      <c r="A1363" s="38">
        <v>1360</v>
      </c>
      <c r="B1363" s="38" t="str">
        <f>_xlfn.XLOOKUP(A1363,'Model Modeshare by TAZ'!A:A,'Model Modeshare by TAZ'!B:B)</f>
        <v>Sunnyvale</v>
      </c>
      <c r="C1363" s="38" t="str">
        <f>_xlfn.XLOOKUP(A1363,'Model Modeshare by TAZ'!A:A,'Model Modeshare by TAZ'!D:D)</f>
        <v>NO</v>
      </c>
      <c r="D1363" s="6">
        <v>3</v>
      </c>
      <c r="E1363" s="6">
        <v>77</v>
      </c>
      <c r="F1363" s="6">
        <v>831</v>
      </c>
      <c r="G1363" s="6">
        <v>832</v>
      </c>
      <c r="H1363" s="6">
        <v>501</v>
      </c>
      <c r="I1363" s="6">
        <v>31</v>
      </c>
      <c r="J1363" s="6">
        <v>46</v>
      </c>
      <c r="K1363" s="40">
        <v>46</v>
      </c>
      <c r="L1363" s="40">
        <v>96</v>
      </c>
      <c r="M1363" s="40">
        <v>922</v>
      </c>
      <c r="N1363" s="40">
        <v>31</v>
      </c>
      <c r="O1363" s="40">
        <v>161</v>
      </c>
      <c r="P1363" s="40">
        <v>129</v>
      </c>
      <c r="Q1363" s="40">
        <v>0</v>
      </c>
      <c r="R1363" s="40">
        <v>515</v>
      </c>
      <c r="S1363" s="40">
        <v>86</v>
      </c>
    </row>
    <row r="1364" spans="1:19" x14ac:dyDescent="0.35">
      <c r="A1364" s="38">
        <v>1361</v>
      </c>
      <c r="B1364" s="38" t="str">
        <f>_xlfn.XLOOKUP(A1364,'Model Modeshare by TAZ'!A:A,'Model Modeshare by TAZ'!B:B)</f>
        <v>Sunnyvale</v>
      </c>
      <c r="C1364" s="38" t="str">
        <f>_xlfn.XLOOKUP(A1364,'Model Modeshare by TAZ'!A:A,'Model Modeshare by TAZ'!D:D)</f>
        <v>NO</v>
      </c>
      <c r="D1364" s="6">
        <v>3</v>
      </c>
      <c r="E1364" s="6">
        <v>16</v>
      </c>
      <c r="F1364" s="6">
        <v>39</v>
      </c>
      <c r="G1364" s="6">
        <v>39</v>
      </c>
      <c r="H1364" s="6">
        <v>25</v>
      </c>
      <c r="I1364" s="6">
        <v>0</v>
      </c>
      <c r="J1364" s="6">
        <v>16</v>
      </c>
      <c r="K1364" s="40">
        <v>7</v>
      </c>
      <c r="L1364" s="40">
        <v>22</v>
      </c>
      <c r="M1364" s="40">
        <v>295</v>
      </c>
      <c r="N1364" s="40">
        <v>152</v>
      </c>
      <c r="O1364" s="40">
        <v>132</v>
      </c>
      <c r="P1364" s="40">
        <v>0</v>
      </c>
      <c r="Q1364" s="40">
        <v>0</v>
      </c>
      <c r="R1364" s="40">
        <v>10</v>
      </c>
      <c r="S1364" s="40">
        <v>0</v>
      </c>
    </row>
    <row r="1365" spans="1:19" x14ac:dyDescent="0.35">
      <c r="A1365" s="38">
        <v>1362</v>
      </c>
      <c r="B1365" s="38" t="str">
        <f>_xlfn.XLOOKUP(A1365,'Model Modeshare by TAZ'!A:A,'Model Modeshare by TAZ'!B:B)</f>
        <v>Sunnyvale</v>
      </c>
      <c r="C1365" s="38" t="str">
        <f>_xlfn.XLOOKUP(A1365,'Model Modeshare by TAZ'!A:A,'Model Modeshare by TAZ'!D:D)</f>
        <v>NO</v>
      </c>
      <c r="D1365" s="6">
        <v>3</v>
      </c>
      <c r="E1365" s="6">
        <v>0</v>
      </c>
      <c r="F1365" s="6">
        <v>0</v>
      </c>
      <c r="G1365" s="6">
        <v>0</v>
      </c>
      <c r="H1365" s="6">
        <v>0</v>
      </c>
      <c r="I1365" s="6">
        <v>0</v>
      </c>
      <c r="J1365" s="6">
        <v>0</v>
      </c>
      <c r="K1365" s="40">
        <v>0</v>
      </c>
      <c r="L1365" s="40">
        <v>41</v>
      </c>
      <c r="M1365" s="40">
        <v>1886</v>
      </c>
      <c r="N1365" s="40">
        <v>66</v>
      </c>
      <c r="O1365" s="40">
        <v>379</v>
      </c>
      <c r="P1365" s="40">
        <v>139</v>
      </c>
      <c r="Q1365" s="40">
        <v>0</v>
      </c>
      <c r="R1365" s="40">
        <v>1107</v>
      </c>
      <c r="S1365" s="40">
        <v>195</v>
      </c>
    </row>
    <row r="1366" spans="1:19" x14ac:dyDescent="0.35">
      <c r="A1366" s="38">
        <v>1363</v>
      </c>
      <c r="B1366" s="38" t="str">
        <f>_xlfn.XLOOKUP(A1366,'Model Modeshare by TAZ'!A:A,'Model Modeshare by TAZ'!B:B)</f>
        <v>Sunnyvale</v>
      </c>
      <c r="C1366" s="38" t="str">
        <f>_xlfn.XLOOKUP(A1366,'Model Modeshare by TAZ'!A:A,'Model Modeshare by TAZ'!D:D)</f>
        <v>NO</v>
      </c>
      <c r="D1366" s="6">
        <v>3</v>
      </c>
      <c r="E1366" s="6">
        <v>0</v>
      </c>
      <c r="F1366" s="6">
        <v>0</v>
      </c>
      <c r="G1366" s="6">
        <v>0</v>
      </c>
      <c r="H1366" s="6">
        <v>0</v>
      </c>
      <c r="I1366" s="6">
        <v>0</v>
      </c>
      <c r="J1366" s="6">
        <v>0</v>
      </c>
      <c r="K1366" s="40">
        <v>3</v>
      </c>
      <c r="L1366" s="40">
        <v>30</v>
      </c>
      <c r="M1366" s="40">
        <v>298</v>
      </c>
      <c r="N1366" s="40">
        <v>8</v>
      </c>
      <c r="O1366" s="40">
        <v>31</v>
      </c>
      <c r="P1366" s="40">
        <v>30</v>
      </c>
      <c r="Q1366" s="40">
        <v>0</v>
      </c>
      <c r="R1366" s="40">
        <v>191</v>
      </c>
      <c r="S1366" s="40">
        <v>38</v>
      </c>
    </row>
    <row r="1367" spans="1:19" x14ac:dyDescent="0.35">
      <c r="A1367" s="38">
        <v>1364</v>
      </c>
      <c r="B1367" s="38" t="str">
        <f>_xlfn.XLOOKUP(A1367,'Model Modeshare by TAZ'!A:A,'Model Modeshare by TAZ'!B:B)</f>
        <v>Sunnyvale</v>
      </c>
      <c r="C1367" s="38" t="str">
        <f>_xlfn.XLOOKUP(A1367,'Model Modeshare by TAZ'!A:A,'Model Modeshare by TAZ'!D:D)</f>
        <v>NO</v>
      </c>
      <c r="D1367" s="6">
        <v>3</v>
      </c>
      <c r="E1367" s="6">
        <v>9</v>
      </c>
      <c r="F1367" s="6">
        <v>25</v>
      </c>
      <c r="G1367" s="6">
        <v>25</v>
      </c>
      <c r="H1367" s="6">
        <v>12</v>
      </c>
      <c r="I1367" s="6">
        <v>9</v>
      </c>
      <c r="J1367" s="6">
        <v>0</v>
      </c>
      <c r="K1367" s="40">
        <v>4</v>
      </c>
      <c r="L1367" s="40">
        <v>19</v>
      </c>
      <c r="M1367" s="40">
        <v>347</v>
      </c>
      <c r="N1367" s="40">
        <v>278</v>
      </c>
      <c r="O1367" s="40">
        <v>54</v>
      </c>
      <c r="P1367" s="40">
        <v>0</v>
      </c>
      <c r="Q1367" s="40">
        <v>0</v>
      </c>
      <c r="R1367" s="40">
        <v>12</v>
      </c>
      <c r="S1367" s="40">
        <v>3</v>
      </c>
    </row>
    <row r="1368" spans="1:19" x14ac:dyDescent="0.35">
      <c r="A1368" s="38">
        <v>1365</v>
      </c>
      <c r="B1368" s="38" t="str">
        <f>_xlfn.XLOOKUP(A1368,'Model Modeshare by TAZ'!A:A,'Model Modeshare by TAZ'!B:B)</f>
        <v>Sunnyvale</v>
      </c>
      <c r="C1368" s="38" t="str">
        <f>_xlfn.XLOOKUP(A1368,'Model Modeshare by TAZ'!A:A,'Model Modeshare by TAZ'!D:D)</f>
        <v>NO</v>
      </c>
      <c r="D1368" s="6">
        <v>3</v>
      </c>
      <c r="E1368" s="6">
        <v>0</v>
      </c>
      <c r="F1368" s="6">
        <v>0</v>
      </c>
      <c r="G1368" s="6">
        <v>0</v>
      </c>
      <c r="H1368" s="6">
        <v>0</v>
      </c>
      <c r="I1368" s="6">
        <v>0</v>
      </c>
      <c r="J1368" s="6">
        <v>0</v>
      </c>
      <c r="K1368" s="40">
        <v>0</v>
      </c>
      <c r="L1368" s="40">
        <v>3</v>
      </c>
      <c r="M1368" s="40">
        <v>100</v>
      </c>
      <c r="N1368" s="40">
        <v>9</v>
      </c>
      <c r="O1368" s="40">
        <v>28</v>
      </c>
      <c r="P1368" s="40">
        <v>14</v>
      </c>
      <c r="Q1368" s="40">
        <v>0</v>
      </c>
      <c r="R1368" s="40">
        <v>42</v>
      </c>
      <c r="S1368" s="40">
        <v>7</v>
      </c>
    </row>
    <row r="1369" spans="1:19" x14ac:dyDescent="0.35">
      <c r="A1369" s="38">
        <v>1366</v>
      </c>
      <c r="B1369" s="38" t="str">
        <f>_xlfn.XLOOKUP(A1369,'Model Modeshare by TAZ'!A:A,'Model Modeshare by TAZ'!B:B)</f>
        <v>Sunnyvale</v>
      </c>
      <c r="C1369" s="38" t="str">
        <f>_xlfn.XLOOKUP(A1369,'Model Modeshare by TAZ'!A:A,'Model Modeshare by TAZ'!D:D)</f>
        <v>NO</v>
      </c>
      <c r="D1369" s="6">
        <v>3</v>
      </c>
      <c r="E1369" s="6">
        <v>31</v>
      </c>
      <c r="F1369" s="6">
        <v>79</v>
      </c>
      <c r="G1369" s="6">
        <v>79</v>
      </c>
      <c r="H1369" s="6">
        <v>15</v>
      </c>
      <c r="I1369" s="6">
        <v>14</v>
      </c>
      <c r="J1369" s="6">
        <v>17</v>
      </c>
      <c r="K1369" s="40">
        <v>0</v>
      </c>
      <c r="L1369" s="40">
        <v>15</v>
      </c>
      <c r="M1369" s="40">
        <v>260</v>
      </c>
      <c r="N1369" s="40">
        <v>248</v>
      </c>
      <c r="O1369" s="40">
        <v>0</v>
      </c>
      <c r="P1369" s="40">
        <v>0</v>
      </c>
      <c r="Q1369" s="40">
        <v>0</v>
      </c>
      <c r="R1369" s="40">
        <v>12</v>
      </c>
      <c r="S1369" s="40">
        <v>0</v>
      </c>
    </row>
    <row r="1370" spans="1:19" x14ac:dyDescent="0.35">
      <c r="A1370" s="38">
        <v>1367</v>
      </c>
      <c r="B1370" s="38" t="str">
        <f>_xlfn.XLOOKUP(A1370,'Model Modeshare by TAZ'!A:A,'Model Modeshare by TAZ'!B:B)</f>
        <v>Sunnyvale</v>
      </c>
      <c r="C1370" s="38" t="str">
        <f>_xlfn.XLOOKUP(A1370,'Model Modeshare by TAZ'!A:A,'Model Modeshare by TAZ'!D:D)</f>
        <v>NO</v>
      </c>
      <c r="D1370" s="6">
        <v>3</v>
      </c>
      <c r="E1370" s="6">
        <v>1122</v>
      </c>
      <c r="F1370" s="6">
        <v>2801</v>
      </c>
      <c r="G1370" s="6">
        <v>2803</v>
      </c>
      <c r="H1370" s="6">
        <v>1508</v>
      </c>
      <c r="I1370" s="6">
        <v>189</v>
      </c>
      <c r="J1370" s="6">
        <v>933</v>
      </c>
      <c r="K1370" s="40">
        <v>33</v>
      </c>
      <c r="L1370" s="40">
        <v>20</v>
      </c>
      <c r="M1370" s="40">
        <v>160</v>
      </c>
      <c r="N1370" s="40">
        <v>3</v>
      </c>
      <c r="O1370" s="40">
        <v>152</v>
      </c>
      <c r="P1370" s="40">
        <v>0</v>
      </c>
      <c r="Q1370" s="40">
        <v>0</v>
      </c>
      <c r="R1370" s="40">
        <v>5</v>
      </c>
      <c r="S1370" s="40">
        <v>0</v>
      </c>
    </row>
    <row r="1371" spans="1:19" x14ac:dyDescent="0.35">
      <c r="A1371" s="38">
        <v>1368</v>
      </c>
      <c r="B1371" s="38" t="str">
        <f>_xlfn.XLOOKUP(A1371,'Model Modeshare by TAZ'!A:A,'Model Modeshare by TAZ'!B:B)</f>
        <v>Sunnyvale</v>
      </c>
      <c r="C1371" s="38" t="str">
        <f>_xlfn.XLOOKUP(A1371,'Model Modeshare by TAZ'!A:A,'Model Modeshare by TAZ'!D:D)</f>
        <v>NO</v>
      </c>
      <c r="D1371" s="6">
        <v>3</v>
      </c>
      <c r="E1371" s="6">
        <v>613</v>
      </c>
      <c r="F1371" s="6">
        <v>1925</v>
      </c>
      <c r="G1371" s="6">
        <v>1928</v>
      </c>
      <c r="H1371" s="6">
        <v>996</v>
      </c>
      <c r="I1371" s="6">
        <v>169</v>
      </c>
      <c r="J1371" s="6">
        <v>444</v>
      </c>
      <c r="K1371" s="40">
        <v>95</v>
      </c>
      <c r="L1371" s="40">
        <v>0</v>
      </c>
      <c r="M1371" s="40">
        <v>0</v>
      </c>
      <c r="N1371" s="40">
        <v>0</v>
      </c>
      <c r="O1371" s="40">
        <v>0</v>
      </c>
      <c r="P1371" s="40">
        <v>0</v>
      </c>
      <c r="Q1371" s="40">
        <v>0</v>
      </c>
      <c r="R1371" s="40">
        <v>0</v>
      </c>
      <c r="S1371" s="40">
        <v>0</v>
      </c>
    </row>
    <row r="1372" spans="1:19" x14ac:dyDescent="0.35">
      <c r="A1372" s="38">
        <v>1369</v>
      </c>
      <c r="B1372" s="38" t="str">
        <f>_xlfn.XLOOKUP(A1372,'Model Modeshare by TAZ'!A:A,'Model Modeshare by TAZ'!B:B)</f>
        <v>Sunnyvale</v>
      </c>
      <c r="C1372" s="38" t="str">
        <f>_xlfn.XLOOKUP(A1372,'Model Modeshare by TAZ'!A:A,'Model Modeshare by TAZ'!D:D)</f>
        <v>NO</v>
      </c>
      <c r="D1372" s="6">
        <v>3</v>
      </c>
      <c r="E1372" s="6">
        <v>1885</v>
      </c>
      <c r="F1372" s="6">
        <v>4885</v>
      </c>
      <c r="G1372" s="6">
        <v>4885</v>
      </c>
      <c r="H1372" s="6">
        <v>2946</v>
      </c>
      <c r="I1372" s="6">
        <v>121</v>
      </c>
      <c r="J1372" s="6">
        <v>1764</v>
      </c>
      <c r="K1372" s="40">
        <v>79</v>
      </c>
      <c r="L1372" s="40">
        <v>17</v>
      </c>
      <c r="M1372" s="40">
        <v>173</v>
      </c>
      <c r="N1372" s="40">
        <v>14</v>
      </c>
      <c r="O1372" s="40">
        <v>68</v>
      </c>
      <c r="P1372" s="40">
        <v>40</v>
      </c>
      <c r="Q1372" s="40">
        <v>0</v>
      </c>
      <c r="R1372" s="40">
        <v>42</v>
      </c>
      <c r="S1372" s="40">
        <v>9</v>
      </c>
    </row>
    <row r="1373" spans="1:19" x14ac:dyDescent="0.35">
      <c r="A1373" s="38">
        <v>1370</v>
      </c>
      <c r="B1373" s="38" t="str">
        <f>_xlfn.XLOOKUP(A1373,'Model Modeshare by TAZ'!A:A,'Model Modeshare by TAZ'!B:B)</f>
        <v>Sunnyvale</v>
      </c>
      <c r="C1373" s="38" t="str">
        <f>_xlfn.XLOOKUP(A1373,'Model Modeshare by TAZ'!A:A,'Model Modeshare by TAZ'!D:D)</f>
        <v>NO</v>
      </c>
      <c r="D1373" s="6">
        <v>3</v>
      </c>
      <c r="E1373" s="6">
        <v>494</v>
      </c>
      <c r="F1373" s="6">
        <v>1161</v>
      </c>
      <c r="G1373" s="6">
        <v>1161</v>
      </c>
      <c r="H1373" s="6">
        <v>634</v>
      </c>
      <c r="I1373" s="6">
        <v>143</v>
      </c>
      <c r="J1373" s="6">
        <v>351</v>
      </c>
      <c r="K1373" s="40">
        <v>9</v>
      </c>
      <c r="L1373" s="40">
        <v>14</v>
      </c>
      <c r="M1373" s="40">
        <v>120</v>
      </c>
      <c r="N1373" s="40">
        <v>1</v>
      </c>
      <c r="O1373" s="40">
        <v>30</v>
      </c>
      <c r="P1373" s="40">
        <v>16</v>
      </c>
      <c r="Q1373" s="40">
        <v>0</v>
      </c>
      <c r="R1373" s="40">
        <v>50</v>
      </c>
      <c r="S1373" s="40">
        <v>23</v>
      </c>
    </row>
    <row r="1374" spans="1:19" x14ac:dyDescent="0.35">
      <c r="A1374" s="38">
        <v>1371</v>
      </c>
      <c r="B1374" s="38" t="str">
        <f>_xlfn.XLOOKUP(A1374,'Model Modeshare by TAZ'!A:A,'Model Modeshare by TAZ'!B:B)</f>
        <v>Sunnyvale</v>
      </c>
      <c r="C1374" s="38" t="str">
        <f>_xlfn.XLOOKUP(A1374,'Model Modeshare by TAZ'!A:A,'Model Modeshare by TAZ'!D:D)</f>
        <v>NO</v>
      </c>
      <c r="D1374" s="6">
        <v>3</v>
      </c>
      <c r="E1374" s="6">
        <v>1322</v>
      </c>
      <c r="F1374" s="6">
        <v>4001</v>
      </c>
      <c r="G1374" s="6">
        <v>4015</v>
      </c>
      <c r="H1374" s="6">
        <v>2209</v>
      </c>
      <c r="I1374" s="6">
        <v>696</v>
      </c>
      <c r="J1374" s="6">
        <v>626</v>
      </c>
      <c r="K1374" s="40">
        <v>129</v>
      </c>
      <c r="L1374" s="40">
        <v>41</v>
      </c>
      <c r="M1374" s="40">
        <v>10</v>
      </c>
      <c r="N1374" s="40">
        <v>0</v>
      </c>
      <c r="O1374" s="40">
        <v>2</v>
      </c>
      <c r="P1374" s="40">
        <v>8</v>
      </c>
      <c r="Q1374" s="40">
        <v>0</v>
      </c>
      <c r="R1374" s="40">
        <v>0</v>
      </c>
      <c r="S1374" s="40">
        <v>0</v>
      </c>
    </row>
    <row r="1375" spans="1:19" x14ac:dyDescent="0.35">
      <c r="A1375" s="38">
        <v>1372</v>
      </c>
      <c r="B1375" s="38" t="str">
        <f>_xlfn.XLOOKUP(A1375,'Model Modeshare by TAZ'!A:A,'Model Modeshare by TAZ'!B:B)</f>
        <v>Sunnyvale</v>
      </c>
      <c r="C1375" s="38" t="str">
        <f>_xlfn.XLOOKUP(A1375,'Model Modeshare by TAZ'!A:A,'Model Modeshare by TAZ'!D:D)</f>
        <v>NO</v>
      </c>
      <c r="D1375" s="6">
        <v>3</v>
      </c>
      <c r="E1375" s="6">
        <v>728</v>
      </c>
      <c r="F1375" s="6">
        <v>1975</v>
      </c>
      <c r="G1375" s="6">
        <v>1981</v>
      </c>
      <c r="H1375" s="6">
        <v>1199</v>
      </c>
      <c r="I1375" s="6">
        <v>242</v>
      </c>
      <c r="J1375" s="6">
        <v>486</v>
      </c>
      <c r="K1375" s="40">
        <v>66</v>
      </c>
      <c r="L1375" s="40">
        <v>28</v>
      </c>
      <c r="M1375" s="40">
        <v>51</v>
      </c>
      <c r="N1375" s="40">
        <v>7</v>
      </c>
      <c r="O1375" s="40">
        <v>5</v>
      </c>
      <c r="P1375" s="40">
        <v>9</v>
      </c>
      <c r="Q1375" s="40">
        <v>0</v>
      </c>
      <c r="R1375" s="40">
        <v>30</v>
      </c>
      <c r="S1375" s="40">
        <v>0</v>
      </c>
    </row>
    <row r="1376" spans="1:19" x14ac:dyDescent="0.35">
      <c r="A1376" s="38">
        <v>1373</v>
      </c>
      <c r="B1376" s="38" t="str">
        <f>_xlfn.XLOOKUP(A1376,'Model Modeshare by TAZ'!A:A,'Model Modeshare by TAZ'!B:B)</f>
        <v>Sunnyvale</v>
      </c>
      <c r="C1376" s="38" t="str">
        <f>_xlfn.XLOOKUP(A1376,'Model Modeshare by TAZ'!A:A,'Model Modeshare by TAZ'!D:D)</f>
        <v>NO</v>
      </c>
      <c r="D1376" s="6">
        <v>3</v>
      </c>
      <c r="E1376" s="6">
        <v>209</v>
      </c>
      <c r="F1376" s="6">
        <v>458</v>
      </c>
      <c r="G1376" s="6">
        <v>460</v>
      </c>
      <c r="H1376" s="6">
        <v>251</v>
      </c>
      <c r="I1376" s="6">
        <v>141</v>
      </c>
      <c r="J1376" s="6">
        <v>68</v>
      </c>
      <c r="K1376" s="40">
        <v>20</v>
      </c>
      <c r="L1376" s="40">
        <v>35</v>
      </c>
      <c r="M1376" s="40">
        <v>68</v>
      </c>
      <c r="N1376" s="40">
        <v>6</v>
      </c>
      <c r="O1376" s="40">
        <v>9</v>
      </c>
      <c r="P1376" s="40">
        <v>24</v>
      </c>
      <c r="Q1376" s="40">
        <v>0</v>
      </c>
      <c r="R1376" s="40">
        <v>24</v>
      </c>
      <c r="S1376" s="40">
        <v>5</v>
      </c>
    </row>
    <row r="1377" spans="1:19" x14ac:dyDescent="0.35">
      <c r="A1377" s="38">
        <v>1374</v>
      </c>
      <c r="B1377" s="38" t="str">
        <f>_xlfn.XLOOKUP(A1377,'Model Modeshare by TAZ'!A:A,'Model Modeshare by TAZ'!B:B)</f>
        <v>Sunnyvale</v>
      </c>
      <c r="C1377" s="38" t="str">
        <f>_xlfn.XLOOKUP(A1377,'Model Modeshare by TAZ'!A:A,'Model Modeshare by TAZ'!D:D)</f>
        <v>NO</v>
      </c>
      <c r="D1377" s="6">
        <v>3</v>
      </c>
      <c r="E1377" s="6">
        <v>707</v>
      </c>
      <c r="F1377" s="6">
        <v>2057</v>
      </c>
      <c r="G1377" s="6">
        <v>2057</v>
      </c>
      <c r="H1377" s="6">
        <v>972</v>
      </c>
      <c r="I1377" s="6">
        <v>469</v>
      </c>
      <c r="J1377" s="6">
        <v>238</v>
      </c>
      <c r="K1377" s="40">
        <v>155</v>
      </c>
      <c r="L1377" s="40">
        <v>8</v>
      </c>
      <c r="M1377" s="40">
        <v>157</v>
      </c>
      <c r="N1377" s="40">
        <v>89</v>
      </c>
      <c r="O1377" s="40">
        <v>59</v>
      </c>
      <c r="P1377" s="40">
        <v>0</v>
      </c>
      <c r="Q1377" s="40">
        <v>0</v>
      </c>
      <c r="R1377" s="40">
        <v>9</v>
      </c>
      <c r="S1377" s="40">
        <v>0</v>
      </c>
    </row>
    <row r="1378" spans="1:19" x14ac:dyDescent="0.35">
      <c r="A1378" s="38">
        <v>1375</v>
      </c>
      <c r="B1378" s="38" t="str">
        <f>_xlfn.XLOOKUP(A1378,'Model Modeshare by TAZ'!A:A,'Model Modeshare by TAZ'!B:B)</f>
        <v>Sunnyvale</v>
      </c>
      <c r="C1378" s="38" t="str">
        <f>_xlfn.XLOOKUP(A1378,'Model Modeshare by TAZ'!A:A,'Model Modeshare by TAZ'!D:D)</f>
        <v>NO</v>
      </c>
      <c r="D1378" s="6">
        <v>3</v>
      </c>
      <c r="E1378" s="6">
        <v>622</v>
      </c>
      <c r="F1378" s="6">
        <v>1721</v>
      </c>
      <c r="G1378" s="6">
        <v>1722</v>
      </c>
      <c r="H1378" s="6">
        <v>949</v>
      </c>
      <c r="I1378" s="6">
        <v>572</v>
      </c>
      <c r="J1378" s="6">
        <v>50</v>
      </c>
      <c r="K1378" s="40">
        <v>121</v>
      </c>
      <c r="L1378" s="40">
        <v>1</v>
      </c>
      <c r="M1378" s="40">
        <v>29</v>
      </c>
      <c r="N1378" s="40">
        <v>0</v>
      </c>
      <c r="O1378" s="40">
        <v>3</v>
      </c>
      <c r="P1378" s="40">
        <v>0</v>
      </c>
      <c r="Q1378" s="40">
        <v>0</v>
      </c>
      <c r="R1378" s="40">
        <v>1</v>
      </c>
      <c r="S1378" s="40">
        <v>25</v>
      </c>
    </row>
    <row r="1379" spans="1:19" x14ac:dyDescent="0.35">
      <c r="A1379" s="38">
        <v>1376</v>
      </c>
      <c r="B1379" s="38" t="str">
        <f>_xlfn.XLOOKUP(A1379,'Model Modeshare by TAZ'!A:A,'Model Modeshare by TAZ'!B:B)</f>
        <v>Sunnyvale</v>
      </c>
      <c r="C1379" s="38" t="str">
        <f>_xlfn.XLOOKUP(A1379,'Model Modeshare by TAZ'!A:A,'Model Modeshare by TAZ'!D:D)</f>
        <v>NO</v>
      </c>
      <c r="D1379" s="6">
        <v>3</v>
      </c>
      <c r="E1379" s="6">
        <v>1681</v>
      </c>
      <c r="F1379" s="6">
        <v>4648</v>
      </c>
      <c r="G1379" s="6">
        <v>4655</v>
      </c>
      <c r="H1379" s="6">
        <v>2567</v>
      </c>
      <c r="I1379" s="6">
        <v>1351</v>
      </c>
      <c r="J1379" s="6">
        <v>330</v>
      </c>
      <c r="K1379" s="40">
        <v>192</v>
      </c>
      <c r="L1379" s="40">
        <v>21</v>
      </c>
      <c r="M1379" s="40">
        <v>153</v>
      </c>
      <c r="N1379" s="40">
        <v>22</v>
      </c>
      <c r="O1379" s="40">
        <v>22</v>
      </c>
      <c r="P1379" s="40">
        <v>65</v>
      </c>
      <c r="Q1379" s="40">
        <v>0</v>
      </c>
      <c r="R1379" s="40">
        <v>0</v>
      </c>
      <c r="S1379" s="40">
        <v>44</v>
      </c>
    </row>
    <row r="1380" spans="1:19" x14ac:dyDescent="0.35">
      <c r="A1380" s="38">
        <v>1377</v>
      </c>
      <c r="B1380" s="38" t="str">
        <f>_xlfn.XLOOKUP(A1380,'Model Modeshare by TAZ'!A:A,'Model Modeshare by TAZ'!B:B)</f>
        <v>Sunnyvale</v>
      </c>
      <c r="C1380" s="38" t="str">
        <f>_xlfn.XLOOKUP(A1380,'Model Modeshare by TAZ'!A:A,'Model Modeshare by TAZ'!D:D)</f>
        <v>NO</v>
      </c>
      <c r="D1380" s="6">
        <v>3</v>
      </c>
      <c r="E1380" s="6">
        <v>0</v>
      </c>
      <c r="F1380" s="6">
        <v>0</v>
      </c>
      <c r="G1380" s="6">
        <v>0</v>
      </c>
      <c r="H1380" s="6">
        <v>0</v>
      </c>
      <c r="I1380" s="6">
        <v>0</v>
      </c>
      <c r="J1380" s="6">
        <v>0</v>
      </c>
      <c r="K1380" s="40">
        <v>0</v>
      </c>
      <c r="L1380" s="40">
        <v>0</v>
      </c>
      <c r="M1380" s="40">
        <v>0</v>
      </c>
      <c r="N1380" s="40">
        <v>0</v>
      </c>
      <c r="O1380" s="40">
        <v>0</v>
      </c>
      <c r="P1380" s="40">
        <v>0</v>
      </c>
      <c r="Q1380" s="40">
        <v>0</v>
      </c>
      <c r="R1380" s="40">
        <v>0</v>
      </c>
      <c r="S1380" s="40">
        <v>0</v>
      </c>
    </row>
    <row r="1381" spans="1:19" x14ac:dyDescent="0.35">
      <c r="A1381" s="38">
        <v>1378</v>
      </c>
      <c r="B1381" s="38" t="str">
        <f>_xlfn.XLOOKUP(A1381,'Model Modeshare by TAZ'!A:A,'Model Modeshare by TAZ'!B:B)</f>
        <v>Sunnyvale</v>
      </c>
      <c r="C1381" s="38" t="str">
        <f>_xlfn.XLOOKUP(A1381,'Model Modeshare by TAZ'!A:A,'Model Modeshare by TAZ'!D:D)</f>
        <v>NO</v>
      </c>
      <c r="D1381" s="6">
        <v>3</v>
      </c>
      <c r="E1381" s="6">
        <v>204</v>
      </c>
      <c r="F1381" s="6">
        <v>568</v>
      </c>
      <c r="G1381" s="6">
        <v>568</v>
      </c>
      <c r="H1381" s="6">
        <v>232</v>
      </c>
      <c r="I1381" s="6">
        <v>136</v>
      </c>
      <c r="J1381" s="6">
        <v>68</v>
      </c>
      <c r="K1381" s="40">
        <v>29</v>
      </c>
      <c r="L1381" s="40">
        <v>111</v>
      </c>
      <c r="M1381" s="40">
        <v>4387</v>
      </c>
      <c r="N1381" s="40">
        <v>161</v>
      </c>
      <c r="O1381" s="40">
        <v>681</v>
      </c>
      <c r="P1381" s="40">
        <v>651</v>
      </c>
      <c r="Q1381" s="40">
        <v>0</v>
      </c>
      <c r="R1381" s="40">
        <v>2231</v>
      </c>
      <c r="S1381" s="40">
        <v>663</v>
      </c>
    </row>
    <row r="1382" spans="1:19" x14ac:dyDescent="0.35">
      <c r="A1382" s="38">
        <v>1379</v>
      </c>
      <c r="B1382" s="38" t="str">
        <f>_xlfn.XLOOKUP(A1382,'Model Modeshare by TAZ'!A:A,'Model Modeshare by TAZ'!B:B)</f>
        <v>Sunnyvale</v>
      </c>
      <c r="C1382" s="38" t="str">
        <f>_xlfn.XLOOKUP(A1382,'Model Modeshare by TAZ'!A:A,'Model Modeshare by TAZ'!D:D)</f>
        <v>NO</v>
      </c>
      <c r="D1382" s="6">
        <v>3</v>
      </c>
      <c r="E1382" s="6">
        <v>1134</v>
      </c>
      <c r="F1382" s="6">
        <v>3413</v>
      </c>
      <c r="G1382" s="6">
        <v>3421</v>
      </c>
      <c r="H1382" s="6">
        <v>1719</v>
      </c>
      <c r="I1382" s="6">
        <v>518</v>
      </c>
      <c r="J1382" s="6">
        <v>616</v>
      </c>
      <c r="K1382" s="40">
        <v>145</v>
      </c>
      <c r="L1382" s="40">
        <v>47</v>
      </c>
      <c r="M1382" s="40">
        <v>300</v>
      </c>
      <c r="N1382" s="40">
        <v>50</v>
      </c>
      <c r="O1382" s="40">
        <v>99</v>
      </c>
      <c r="P1382" s="40">
        <v>98</v>
      </c>
      <c r="Q1382" s="40">
        <v>0</v>
      </c>
      <c r="R1382" s="40">
        <v>40</v>
      </c>
      <c r="S1382" s="40">
        <v>13</v>
      </c>
    </row>
    <row r="1383" spans="1:19" x14ac:dyDescent="0.35">
      <c r="A1383" s="38">
        <v>1380</v>
      </c>
      <c r="B1383" s="38" t="str">
        <f>_xlfn.XLOOKUP(A1383,'Model Modeshare by TAZ'!A:A,'Model Modeshare by TAZ'!B:B)</f>
        <v>Sunnyvale</v>
      </c>
      <c r="C1383" s="38" t="str">
        <f>_xlfn.XLOOKUP(A1383,'Model Modeshare by TAZ'!A:A,'Model Modeshare by TAZ'!D:D)</f>
        <v>NO</v>
      </c>
      <c r="D1383" s="6">
        <v>3</v>
      </c>
      <c r="E1383" s="6">
        <v>1254</v>
      </c>
      <c r="F1383" s="6">
        <v>2930</v>
      </c>
      <c r="G1383" s="6">
        <v>2937</v>
      </c>
      <c r="H1383" s="6">
        <v>1467</v>
      </c>
      <c r="I1383" s="6">
        <v>102</v>
      </c>
      <c r="J1383" s="6">
        <v>1152</v>
      </c>
      <c r="K1383" s="40">
        <v>122</v>
      </c>
      <c r="L1383" s="40">
        <v>1</v>
      </c>
      <c r="M1383" s="40">
        <v>0</v>
      </c>
      <c r="N1383" s="40">
        <v>0</v>
      </c>
      <c r="O1383" s="40">
        <v>0</v>
      </c>
      <c r="P1383" s="40">
        <v>0</v>
      </c>
      <c r="Q1383" s="40">
        <v>0</v>
      </c>
      <c r="R1383" s="40">
        <v>0</v>
      </c>
      <c r="S1383" s="40">
        <v>0</v>
      </c>
    </row>
    <row r="1384" spans="1:19" x14ac:dyDescent="0.35">
      <c r="A1384" s="38">
        <v>1381</v>
      </c>
      <c r="B1384" s="38" t="str">
        <f>_xlfn.XLOOKUP(A1384,'Model Modeshare by TAZ'!A:A,'Model Modeshare by TAZ'!B:B)</f>
        <v>Sunnyvale</v>
      </c>
      <c r="C1384" s="38" t="str">
        <f>_xlfn.XLOOKUP(A1384,'Model Modeshare by TAZ'!A:A,'Model Modeshare by TAZ'!D:D)</f>
        <v>NO</v>
      </c>
      <c r="D1384" s="6">
        <v>3</v>
      </c>
      <c r="E1384" s="6">
        <v>285</v>
      </c>
      <c r="F1384" s="6">
        <v>663</v>
      </c>
      <c r="G1384" s="6">
        <v>663</v>
      </c>
      <c r="H1384" s="6">
        <v>333</v>
      </c>
      <c r="I1384" s="6">
        <v>22</v>
      </c>
      <c r="J1384" s="6">
        <v>263</v>
      </c>
      <c r="K1384" s="40">
        <v>27</v>
      </c>
      <c r="L1384" s="40">
        <v>28</v>
      </c>
      <c r="M1384" s="40">
        <v>98</v>
      </c>
      <c r="N1384" s="40">
        <v>6</v>
      </c>
      <c r="O1384" s="40">
        <v>11</v>
      </c>
      <c r="P1384" s="40">
        <v>0</v>
      </c>
      <c r="Q1384" s="40">
        <v>0</v>
      </c>
      <c r="R1384" s="40">
        <v>80</v>
      </c>
      <c r="S1384" s="40">
        <v>1</v>
      </c>
    </row>
    <row r="1385" spans="1:19" x14ac:dyDescent="0.35">
      <c r="A1385" s="38">
        <v>1382</v>
      </c>
      <c r="B1385" s="38" t="str">
        <f>_xlfn.XLOOKUP(A1385,'Model Modeshare by TAZ'!A:A,'Model Modeshare by TAZ'!B:B)</f>
        <v>Sunnyvale</v>
      </c>
      <c r="C1385" s="38" t="str">
        <f>_xlfn.XLOOKUP(A1385,'Model Modeshare by TAZ'!A:A,'Model Modeshare by TAZ'!D:D)</f>
        <v>NO</v>
      </c>
      <c r="D1385" s="6">
        <v>3</v>
      </c>
      <c r="E1385" s="6">
        <v>849</v>
      </c>
      <c r="F1385" s="6">
        <v>3295</v>
      </c>
      <c r="G1385" s="6">
        <v>3319</v>
      </c>
      <c r="H1385" s="6">
        <v>1762</v>
      </c>
      <c r="I1385" s="6">
        <v>809</v>
      </c>
      <c r="J1385" s="6">
        <v>40</v>
      </c>
      <c r="K1385" s="40">
        <v>153</v>
      </c>
      <c r="L1385" s="40">
        <v>25</v>
      </c>
      <c r="M1385" s="40">
        <v>234</v>
      </c>
      <c r="N1385" s="40">
        <v>11</v>
      </c>
      <c r="O1385" s="40">
        <v>33</v>
      </c>
      <c r="P1385" s="40">
        <v>40</v>
      </c>
      <c r="Q1385" s="40">
        <v>3</v>
      </c>
      <c r="R1385" s="40">
        <v>144</v>
      </c>
      <c r="S1385" s="40">
        <v>3</v>
      </c>
    </row>
    <row r="1386" spans="1:19" x14ac:dyDescent="0.35">
      <c r="A1386" s="38">
        <v>1383</v>
      </c>
      <c r="B1386" s="38" t="str">
        <f>_xlfn.XLOOKUP(A1386,'Model Modeshare by TAZ'!A:A,'Model Modeshare by TAZ'!B:B)</f>
        <v>Sunnyvale</v>
      </c>
      <c r="C1386" s="38" t="str">
        <f>_xlfn.XLOOKUP(A1386,'Model Modeshare by TAZ'!A:A,'Model Modeshare by TAZ'!D:D)</f>
        <v>NO</v>
      </c>
      <c r="D1386" s="6">
        <v>3</v>
      </c>
      <c r="E1386" s="6">
        <v>697</v>
      </c>
      <c r="F1386" s="6">
        <v>1625</v>
      </c>
      <c r="G1386" s="6">
        <v>1625</v>
      </c>
      <c r="H1386" s="6">
        <v>896</v>
      </c>
      <c r="I1386" s="6">
        <v>113</v>
      </c>
      <c r="J1386" s="6">
        <v>584</v>
      </c>
      <c r="K1386" s="40">
        <v>29</v>
      </c>
      <c r="L1386" s="40">
        <v>52</v>
      </c>
      <c r="M1386" s="40">
        <v>300</v>
      </c>
      <c r="N1386" s="40">
        <v>4</v>
      </c>
      <c r="O1386" s="40">
        <v>93</v>
      </c>
      <c r="P1386" s="40">
        <v>37</v>
      </c>
      <c r="Q1386" s="40">
        <v>0</v>
      </c>
      <c r="R1386" s="40">
        <v>115</v>
      </c>
      <c r="S1386" s="40">
        <v>51</v>
      </c>
    </row>
    <row r="1387" spans="1:19" x14ac:dyDescent="0.35">
      <c r="A1387" s="38">
        <v>1384</v>
      </c>
      <c r="B1387" s="38" t="str">
        <f>_xlfn.XLOOKUP(A1387,'Model Modeshare by TAZ'!A:A,'Model Modeshare by TAZ'!B:B)</f>
        <v>Sunnyvale</v>
      </c>
      <c r="C1387" s="38" t="str">
        <f>_xlfn.XLOOKUP(A1387,'Model Modeshare by TAZ'!A:A,'Model Modeshare by TAZ'!D:D)</f>
        <v>NO</v>
      </c>
      <c r="D1387" s="6">
        <v>3</v>
      </c>
      <c r="E1387" s="6">
        <v>740</v>
      </c>
      <c r="F1387" s="6">
        <v>1726</v>
      </c>
      <c r="G1387" s="6">
        <v>1726</v>
      </c>
      <c r="H1387" s="6">
        <v>951</v>
      </c>
      <c r="I1387" s="6">
        <v>191</v>
      </c>
      <c r="J1387" s="6">
        <v>549</v>
      </c>
      <c r="K1387" s="40">
        <v>39</v>
      </c>
      <c r="L1387" s="40">
        <v>9</v>
      </c>
      <c r="M1387" s="40">
        <v>50</v>
      </c>
      <c r="N1387" s="40">
        <v>5</v>
      </c>
      <c r="O1387" s="40">
        <v>33</v>
      </c>
      <c r="P1387" s="40">
        <v>2</v>
      </c>
      <c r="Q1387" s="40">
        <v>3</v>
      </c>
      <c r="R1387" s="40">
        <v>5</v>
      </c>
      <c r="S1387" s="40">
        <v>2</v>
      </c>
    </row>
    <row r="1388" spans="1:19" x14ac:dyDescent="0.35">
      <c r="A1388" s="38">
        <v>1385</v>
      </c>
      <c r="B1388" s="38" t="str">
        <f>_xlfn.XLOOKUP(A1388,'Model Modeshare by TAZ'!A:A,'Model Modeshare by TAZ'!B:B)</f>
        <v>Sunnyvale</v>
      </c>
      <c r="C1388" s="38" t="str">
        <f>_xlfn.XLOOKUP(A1388,'Model Modeshare by TAZ'!A:A,'Model Modeshare by TAZ'!D:D)</f>
        <v>NO</v>
      </c>
      <c r="D1388" s="6">
        <v>3</v>
      </c>
      <c r="E1388" s="6">
        <v>0</v>
      </c>
      <c r="F1388" s="6">
        <v>0</v>
      </c>
      <c r="G1388" s="6">
        <v>0</v>
      </c>
      <c r="H1388" s="6">
        <v>0</v>
      </c>
      <c r="I1388" s="6">
        <v>0</v>
      </c>
      <c r="J1388" s="6">
        <v>0</v>
      </c>
      <c r="K1388" s="40">
        <v>1</v>
      </c>
      <c r="L1388" s="40">
        <v>40</v>
      </c>
      <c r="M1388" s="40">
        <v>601</v>
      </c>
      <c r="N1388" s="40">
        <v>15</v>
      </c>
      <c r="O1388" s="40">
        <v>127</v>
      </c>
      <c r="P1388" s="40">
        <v>77</v>
      </c>
      <c r="Q1388" s="40">
        <v>0</v>
      </c>
      <c r="R1388" s="40">
        <v>263</v>
      </c>
      <c r="S1388" s="40">
        <v>119</v>
      </c>
    </row>
    <row r="1389" spans="1:19" x14ac:dyDescent="0.35">
      <c r="A1389" s="38">
        <v>1386</v>
      </c>
      <c r="B1389" s="38" t="str">
        <f>_xlfn.XLOOKUP(A1389,'Model Modeshare by TAZ'!A:A,'Model Modeshare by TAZ'!B:B)</f>
        <v>Sunnyvale</v>
      </c>
      <c r="C1389" s="38" t="str">
        <f>_xlfn.XLOOKUP(A1389,'Model Modeshare by TAZ'!A:A,'Model Modeshare by TAZ'!D:D)</f>
        <v>NO</v>
      </c>
      <c r="D1389" s="6">
        <v>3</v>
      </c>
      <c r="E1389" s="6">
        <v>0</v>
      </c>
      <c r="F1389" s="6">
        <v>0</v>
      </c>
      <c r="G1389" s="6">
        <v>0</v>
      </c>
      <c r="H1389" s="6">
        <v>0</v>
      </c>
      <c r="I1389" s="6">
        <v>0</v>
      </c>
      <c r="J1389" s="6">
        <v>0</v>
      </c>
      <c r="K1389" s="40">
        <v>0</v>
      </c>
      <c r="L1389" s="40">
        <v>67</v>
      </c>
      <c r="M1389" s="40">
        <v>1675</v>
      </c>
      <c r="N1389" s="40">
        <v>12</v>
      </c>
      <c r="O1389" s="40">
        <v>478</v>
      </c>
      <c r="P1389" s="40">
        <v>293</v>
      </c>
      <c r="Q1389" s="40">
        <v>0</v>
      </c>
      <c r="R1389" s="40">
        <v>825</v>
      </c>
      <c r="S1389" s="40">
        <v>67</v>
      </c>
    </row>
    <row r="1390" spans="1:19" x14ac:dyDescent="0.35">
      <c r="A1390" s="38">
        <v>1387</v>
      </c>
      <c r="B1390" s="38" t="str">
        <f>_xlfn.XLOOKUP(A1390,'Model Modeshare by TAZ'!A:A,'Model Modeshare by TAZ'!B:B)</f>
        <v>Sunnyvale</v>
      </c>
      <c r="C1390" s="38" t="str">
        <f>_xlfn.XLOOKUP(A1390,'Model Modeshare by TAZ'!A:A,'Model Modeshare by TAZ'!D:D)</f>
        <v>NO</v>
      </c>
      <c r="D1390" s="6">
        <v>3</v>
      </c>
      <c r="E1390" s="6">
        <v>0</v>
      </c>
      <c r="F1390" s="6">
        <v>0</v>
      </c>
      <c r="G1390" s="6">
        <v>0</v>
      </c>
      <c r="H1390" s="6">
        <v>0</v>
      </c>
      <c r="I1390" s="6">
        <v>0</v>
      </c>
      <c r="J1390" s="6">
        <v>0</v>
      </c>
      <c r="K1390" s="40">
        <v>0</v>
      </c>
      <c r="L1390" s="40">
        <v>30</v>
      </c>
      <c r="M1390" s="40">
        <v>300</v>
      </c>
      <c r="N1390" s="40">
        <v>9</v>
      </c>
      <c r="O1390" s="40">
        <v>89</v>
      </c>
      <c r="P1390" s="40">
        <v>50</v>
      </c>
      <c r="Q1390" s="40">
        <v>0</v>
      </c>
      <c r="R1390" s="40">
        <v>140</v>
      </c>
      <c r="S1390" s="40">
        <v>12</v>
      </c>
    </row>
    <row r="1391" spans="1:19" x14ac:dyDescent="0.35">
      <c r="A1391" s="38">
        <v>1388</v>
      </c>
      <c r="B1391" s="38" t="str">
        <f>_xlfn.XLOOKUP(A1391,'Model Modeshare by TAZ'!A:A,'Model Modeshare by TAZ'!B:B)</f>
        <v>Sunnyvale</v>
      </c>
      <c r="C1391" s="38" t="str">
        <f>_xlfn.XLOOKUP(A1391,'Model Modeshare by TAZ'!A:A,'Model Modeshare by TAZ'!D:D)</f>
        <v>NO</v>
      </c>
      <c r="D1391" s="6">
        <v>3</v>
      </c>
      <c r="E1391" s="6">
        <v>0</v>
      </c>
      <c r="F1391" s="6">
        <v>0</v>
      </c>
      <c r="G1391" s="6">
        <v>0</v>
      </c>
      <c r="H1391" s="6">
        <v>0</v>
      </c>
      <c r="I1391" s="6">
        <v>0</v>
      </c>
      <c r="J1391" s="6">
        <v>0</v>
      </c>
      <c r="K1391" s="40">
        <v>0</v>
      </c>
      <c r="L1391" s="40">
        <v>69</v>
      </c>
      <c r="M1391" s="40">
        <v>1026</v>
      </c>
      <c r="N1391" s="40">
        <v>6</v>
      </c>
      <c r="O1391" s="40">
        <v>468</v>
      </c>
      <c r="P1391" s="40">
        <v>220</v>
      </c>
      <c r="Q1391" s="40">
        <v>0</v>
      </c>
      <c r="R1391" s="40">
        <v>266</v>
      </c>
      <c r="S1391" s="40">
        <v>66</v>
      </c>
    </row>
    <row r="1392" spans="1:19" x14ac:dyDescent="0.35">
      <c r="A1392" s="38">
        <v>1389</v>
      </c>
      <c r="B1392" s="38" t="str">
        <f>_xlfn.XLOOKUP(A1392,'Model Modeshare by TAZ'!A:A,'Model Modeshare by TAZ'!B:B)</f>
        <v>Sunnyvale</v>
      </c>
      <c r="C1392" s="38" t="str">
        <f>_xlfn.XLOOKUP(A1392,'Model Modeshare by TAZ'!A:A,'Model Modeshare by TAZ'!D:D)</f>
        <v>NO</v>
      </c>
      <c r="D1392" s="6">
        <v>3</v>
      </c>
      <c r="E1392" s="6">
        <v>0</v>
      </c>
      <c r="F1392" s="6">
        <v>0</v>
      </c>
      <c r="G1392" s="6">
        <v>0</v>
      </c>
      <c r="H1392" s="6">
        <v>0</v>
      </c>
      <c r="I1392" s="6">
        <v>0</v>
      </c>
      <c r="J1392" s="6">
        <v>0</v>
      </c>
      <c r="K1392" s="40">
        <v>0</v>
      </c>
      <c r="L1392" s="40">
        <v>68</v>
      </c>
      <c r="M1392" s="40">
        <v>1186</v>
      </c>
      <c r="N1392" s="40">
        <v>1186</v>
      </c>
      <c r="O1392" s="40">
        <v>0</v>
      </c>
      <c r="P1392" s="40">
        <v>0</v>
      </c>
      <c r="Q1392" s="40">
        <v>0</v>
      </c>
      <c r="R1392" s="40">
        <v>0</v>
      </c>
      <c r="S1392" s="40">
        <v>0</v>
      </c>
    </row>
    <row r="1393" spans="1:19" x14ac:dyDescent="0.35">
      <c r="A1393" s="38">
        <v>1390</v>
      </c>
      <c r="B1393" s="38" t="str">
        <f>_xlfn.XLOOKUP(A1393,'Model Modeshare by TAZ'!A:A,'Model Modeshare by TAZ'!B:B)</f>
        <v>Sunnyvale</v>
      </c>
      <c r="C1393" s="38" t="str">
        <f>_xlfn.XLOOKUP(A1393,'Model Modeshare by TAZ'!A:A,'Model Modeshare by TAZ'!D:D)</f>
        <v>NO</v>
      </c>
      <c r="D1393" s="6">
        <v>3</v>
      </c>
      <c r="E1393" s="6">
        <v>0</v>
      </c>
      <c r="F1393" s="6">
        <v>0</v>
      </c>
      <c r="G1393" s="6">
        <v>0</v>
      </c>
      <c r="H1393" s="6">
        <v>0</v>
      </c>
      <c r="I1393" s="6">
        <v>0</v>
      </c>
      <c r="J1393" s="6">
        <v>0</v>
      </c>
      <c r="K1393" s="40">
        <v>0</v>
      </c>
      <c r="L1393" s="40">
        <v>81</v>
      </c>
      <c r="M1393" s="40">
        <v>1107</v>
      </c>
      <c r="N1393" s="40">
        <v>3</v>
      </c>
      <c r="O1393" s="40">
        <v>230</v>
      </c>
      <c r="P1393" s="40">
        <v>150</v>
      </c>
      <c r="Q1393" s="40">
        <v>0</v>
      </c>
      <c r="R1393" s="40">
        <v>689</v>
      </c>
      <c r="S1393" s="40">
        <v>35</v>
      </c>
    </row>
    <row r="1394" spans="1:19" x14ac:dyDescent="0.35">
      <c r="A1394" s="38">
        <v>1391</v>
      </c>
      <c r="B1394" s="38" t="str">
        <f>_xlfn.XLOOKUP(A1394,'Model Modeshare by TAZ'!A:A,'Model Modeshare by TAZ'!B:B)</f>
        <v>Sunnyvale</v>
      </c>
      <c r="C1394" s="38" t="str">
        <f>_xlfn.XLOOKUP(A1394,'Model Modeshare by TAZ'!A:A,'Model Modeshare by TAZ'!D:D)</f>
        <v>NO</v>
      </c>
      <c r="D1394" s="6">
        <v>3</v>
      </c>
      <c r="E1394" s="6">
        <v>0</v>
      </c>
      <c r="F1394" s="6">
        <v>0</v>
      </c>
      <c r="G1394" s="6">
        <v>0</v>
      </c>
      <c r="H1394" s="6">
        <v>0</v>
      </c>
      <c r="I1394" s="6">
        <v>0</v>
      </c>
      <c r="J1394" s="6">
        <v>0</v>
      </c>
      <c r="K1394" s="40">
        <v>0</v>
      </c>
      <c r="L1394" s="40">
        <v>35</v>
      </c>
      <c r="M1394" s="40">
        <v>1744</v>
      </c>
      <c r="N1394" s="40">
        <v>7</v>
      </c>
      <c r="O1394" s="40">
        <v>1277</v>
      </c>
      <c r="P1394" s="40">
        <v>86</v>
      </c>
      <c r="Q1394" s="40">
        <v>0</v>
      </c>
      <c r="R1394" s="40">
        <v>258</v>
      </c>
      <c r="S1394" s="40">
        <v>116</v>
      </c>
    </row>
    <row r="1395" spans="1:19" x14ac:dyDescent="0.35">
      <c r="A1395" s="38">
        <v>1392</v>
      </c>
      <c r="B1395" s="38" t="str">
        <f>_xlfn.XLOOKUP(A1395,'Model Modeshare by TAZ'!A:A,'Model Modeshare by TAZ'!B:B)</f>
        <v>Sunnyvale</v>
      </c>
      <c r="C1395" s="38" t="str">
        <f>_xlfn.XLOOKUP(A1395,'Model Modeshare by TAZ'!A:A,'Model Modeshare by TAZ'!D:D)</f>
        <v>NO</v>
      </c>
      <c r="D1395" s="6">
        <v>3</v>
      </c>
      <c r="E1395" s="6">
        <v>0</v>
      </c>
      <c r="F1395" s="6">
        <v>0</v>
      </c>
      <c r="G1395" s="6">
        <v>0</v>
      </c>
      <c r="H1395" s="6">
        <v>0</v>
      </c>
      <c r="I1395" s="6">
        <v>0</v>
      </c>
      <c r="J1395" s="6">
        <v>0</v>
      </c>
      <c r="K1395" s="40">
        <v>0</v>
      </c>
      <c r="L1395" s="40">
        <v>91</v>
      </c>
      <c r="M1395" s="40">
        <v>2700</v>
      </c>
      <c r="N1395" s="40">
        <v>28</v>
      </c>
      <c r="O1395" s="40">
        <v>462</v>
      </c>
      <c r="P1395" s="40">
        <v>278</v>
      </c>
      <c r="Q1395" s="40">
        <v>4</v>
      </c>
      <c r="R1395" s="40">
        <v>1856</v>
      </c>
      <c r="S1395" s="40">
        <v>72</v>
      </c>
    </row>
    <row r="1396" spans="1:19" x14ac:dyDescent="0.35">
      <c r="A1396" s="38">
        <v>1393</v>
      </c>
      <c r="B1396" s="38" t="str">
        <f>_xlfn.XLOOKUP(A1396,'Model Modeshare by TAZ'!A:A,'Model Modeshare by TAZ'!B:B)</f>
        <v>Sunnyvale</v>
      </c>
      <c r="C1396" s="38" t="str">
        <f>_xlfn.XLOOKUP(A1396,'Model Modeshare by TAZ'!A:A,'Model Modeshare by TAZ'!D:D)</f>
        <v>NO</v>
      </c>
      <c r="D1396" s="6">
        <v>3</v>
      </c>
      <c r="E1396" s="6">
        <v>0</v>
      </c>
      <c r="F1396" s="6">
        <v>0</v>
      </c>
      <c r="G1396" s="6">
        <v>0</v>
      </c>
      <c r="H1396" s="6">
        <v>0</v>
      </c>
      <c r="I1396" s="6">
        <v>0</v>
      </c>
      <c r="J1396" s="6">
        <v>0</v>
      </c>
      <c r="K1396" s="40">
        <v>0</v>
      </c>
      <c r="L1396" s="40">
        <v>36</v>
      </c>
      <c r="M1396" s="40">
        <v>2782</v>
      </c>
      <c r="N1396" s="40">
        <v>0</v>
      </c>
      <c r="O1396" s="40">
        <v>1701</v>
      </c>
      <c r="P1396" s="40">
        <v>306</v>
      </c>
      <c r="Q1396" s="40">
        <v>0</v>
      </c>
      <c r="R1396" s="40">
        <v>714</v>
      </c>
      <c r="S1396" s="40">
        <v>61</v>
      </c>
    </row>
    <row r="1397" spans="1:19" x14ac:dyDescent="0.35">
      <c r="A1397" s="38">
        <v>1394</v>
      </c>
      <c r="B1397" s="38" t="str">
        <f>_xlfn.XLOOKUP(A1397,'Model Modeshare by TAZ'!A:A,'Model Modeshare by TAZ'!B:B)</f>
        <v>Sunnyvale</v>
      </c>
      <c r="C1397" s="38" t="str">
        <f>_xlfn.XLOOKUP(A1397,'Model Modeshare by TAZ'!A:A,'Model Modeshare by TAZ'!D:D)</f>
        <v>NO</v>
      </c>
      <c r="D1397" s="6">
        <v>3</v>
      </c>
      <c r="E1397" s="6">
        <v>0</v>
      </c>
      <c r="F1397" s="6">
        <v>0</v>
      </c>
      <c r="G1397" s="6">
        <v>0</v>
      </c>
      <c r="H1397" s="6">
        <v>0</v>
      </c>
      <c r="I1397" s="6">
        <v>0</v>
      </c>
      <c r="J1397" s="6">
        <v>0</v>
      </c>
      <c r="K1397" s="40">
        <v>0</v>
      </c>
      <c r="L1397" s="40">
        <v>40</v>
      </c>
      <c r="M1397" s="40">
        <v>616</v>
      </c>
      <c r="N1397" s="40">
        <v>4</v>
      </c>
      <c r="O1397" s="40">
        <v>157</v>
      </c>
      <c r="P1397" s="40">
        <v>114</v>
      </c>
      <c r="Q1397" s="40">
        <v>0</v>
      </c>
      <c r="R1397" s="40">
        <v>315</v>
      </c>
      <c r="S1397" s="40">
        <v>26</v>
      </c>
    </row>
    <row r="1398" spans="1:19" x14ac:dyDescent="0.35">
      <c r="A1398" s="38">
        <v>1395</v>
      </c>
      <c r="B1398" s="38" t="str">
        <f>_xlfn.XLOOKUP(A1398,'Model Modeshare by TAZ'!A:A,'Model Modeshare by TAZ'!B:B)</f>
        <v>Sunnyvale</v>
      </c>
      <c r="C1398" s="38" t="str">
        <f>_xlfn.XLOOKUP(A1398,'Model Modeshare by TAZ'!A:A,'Model Modeshare by TAZ'!D:D)</f>
        <v>NO</v>
      </c>
      <c r="D1398" s="6">
        <v>3</v>
      </c>
      <c r="E1398" s="6">
        <v>0</v>
      </c>
      <c r="F1398" s="6">
        <v>0</v>
      </c>
      <c r="G1398" s="6">
        <v>0</v>
      </c>
      <c r="H1398" s="6">
        <v>0</v>
      </c>
      <c r="I1398" s="6">
        <v>0</v>
      </c>
      <c r="J1398" s="6">
        <v>0</v>
      </c>
      <c r="K1398" s="40">
        <v>0</v>
      </c>
      <c r="L1398" s="40">
        <v>96</v>
      </c>
      <c r="M1398" s="40">
        <v>1088</v>
      </c>
      <c r="N1398" s="40">
        <v>6</v>
      </c>
      <c r="O1398" s="40">
        <v>291</v>
      </c>
      <c r="P1398" s="40">
        <v>199</v>
      </c>
      <c r="Q1398" s="40">
        <v>0</v>
      </c>
      <c r="R1398" s="40">
        <v>546</v>
      </c>
      <c r="S1398" s="40">
        <v>46</v>
      </c>
    </row>
    <row r="1399" spans="1:19" x14ac:dyDescent="0.35">
      <c r="A1399" s="38">
        <v>1396</v>
      </c>
      <c r="B1399" s="38" t="str">
        <f>_xlfn.XLOOKUP(A1399,'Model Modeshare by TAZ'!A:A,'Model Modeshare by TAZ'!B:B)</f>
        <v>Sunnyvale</v>
      </c>
      <c r="C1399" s="38" t="str">
        <f>_xlfn.XLOOKUP(A1399,'Model Modeshare by TAZ'!A:A,'Model Modeshare by TAZ'!D:D)</f>
        <v>NO</v>
      </c>
      <c r="D1399" s="6">
        <v>3</v>
      </c>
      <c r="E1399" s="6">
        <v>0</v>
      </c>
      <c r="F1399" s="6">
        <v>0</v>
      </c>
      <c r="G1399" s="6">
        <v>0</v>
      </c>
      <c r="H1399" s="6">
        <v>0</v>
      </c>
      <c r="I1399" s="6">
        <v>0</v>
      </c>
      <c r="J1399" s="6">
        <v>0</v>
      </c>
      <c r="K1399" s="40">
        <v>0</v>
      </c>
      <c r="L1399" s="40">
        <v>127</v>
      </c>
      <c r="M1399" s="40">
        <v>1774</v>
      </c>
      <c r="N1399" s="40">
        <v>9</v>
      </c>
      <c r="O1399" s="40">
        <v>499</v>
      </c>
      <c r="P1399" s="40">
        <v>319</v>
      </c>
      <c r="Q1399" s="40">
        <v>0</v>
      </c>
      <c r="R1399" s="40">
        <v>873</v>
      </c>
      <c r="S1399" s="40">
        <v>74</v>
      </c>
    </row>
    <row r="1400" spans="1:19" x14ac:dyDescent="0.35">
      <c r="A1400" s="38">
        <v>1397</v>
      </c>
      <c r="B1400" s="38" t="str">
        <f>_xlfn.XLOOKUP(A1400,'Model Modeshare by TAZ'!A:A,'Model Modeshare by TAZ'!B:B)</f>
        <v>Sunnyvale</v>
      </c>
      <c r="C1400" s="38" t="str">
        <f>_xlfn.XLOOKUP(A1400,'Model Modeshare by TAZ'!A:A,'Model Modeshare by TAZ'!D:D)</f>
        <v>NO</v>
      </c>
      <c r="D1400" s="6">
        <v>3</v>
      </c>
      <c r="E1400" s="6">
        <v>0</v>
      </c>
      <c r="F1400" s="6">
        <v>0</v>
      </c>
      <c r="G1400" s="6">
        <v>0</v>
      </c>
      <c r="H1400" s="6">
        <v>0</v>
      </c>
      <c r="I1400" s="6">
        <v>0</v>
      </c>
      <c r="J1400" s="6">
        <v>0</v>
      </c>
      <c r="K1400" s="40">
        <v>0</v>
      </c>
      <c r="L1400" s="40">
        <v>82</v>
      </c>
      <c r="M1400" s="40">
        <v>1206</v>
      </c>
      <c r="N1400" s="40">
        <v>14</v>
      </c>
      <c r="O1400" s="40">
        <v>338</v>
      </c>
      <c r="P1400" s="40">
        <v>214</v>
      </c>
      <c r="Q1400" s="40">
        <v>0</v>
      </c>
      <c r="R1400" s="40">
        <v>589</v>
      </c>
      <c r="S1400" s="40">
        <v>51</v>
      </c>
    </row>
    <row r="1401" spans="1:19" x14ac:dyDescent="0.35">
      <c r="A1401" s="38">
        <v>1398</v>
      </c>
      <c r="B1401" s="38" t="str">
        <f>_xlfn.XLOOKUP(A1401,'Model Modeshare by TAZ'!A:A,'Model Modeshare by TAZ'!B:B)</f>
        <v>Sunnyvale</v>
      </c>
      <c r="C1401" s="38" t="str">
        <f>_xlfn.XLOOKUP(A1401,'Model Modeshare by TAZ'!A:A,'Model Modeshare by TAZ'!D:D)</f>
        <v>NO</v>
      </c>
      <c r="D1401" s="6">
        <v>3</v>
      </c>
      <c r="E1401" s="6">
        <v>802</v>
      </c>
      <c r="F1401" s="6">
        <v>1872</v>
      </c>
      <c r="G1401" s="6">
        <v>1872</v>
      </c>
      <c r="H1401" s="6">
        <v>937</v>
      </c>
      <c r="I1401" s="6">
        <v>65</v>
      </c>
      <c r="J1401" s="6">
        <v>737</v>
      </c>
      <c r="K1401" s="40">
        <v>21</v>
      </c>
      <c r="L1401" s="40">
        <v>16</v>
      </c>
      <c r="M1401" s="40">
        <v>118</v>
      </c>
      <c r="N1401" s="40">
        <v>8</v>
      </c>
      <c r="O1401" s="40">
        <v>8</v>
      </c>
      <c r="P1401" s="40">
        <v>1</v>
      </c>
      <c r="Q1401" s="40">
        <v>8</v>
      </c>
      <c r="R1401" s="40">
        <v>93</v>
      </c>
      <c r="S1401" s="40">
        <v>0</v>
      </c>
    </row>
    <row r="1402" spans="1:19" x14ac:dyDescent="0.35">
      <c r="A1402" s="38">
        <v>1399</v>
      </c>
      <c r="B1402" s="38" t="str">
        <f>_xlfn.XLOOKUP(A1402,'Model Modeshare by TAZ'!A:A,'Model Modeshare by TAZ'!B:B)</f>
        <v>Sunnyvale</v>
      </c>
      <c r="C1402" s="38" t="str">
        <f>_xlfn.XLOOKUP(A1402,'Model Modeshare by TAZ'!A:A,'Model Modeshare by TAZ'!D:D)</f>
        <v>NO</v>
      </c>
      <c r="D1402" s="6">
        <v>3</v>
      </c>
      <c r="E1402" s="6">
        <v>228</v>
      </c>
      <c r="F1402" s="6">
        <v>531</v>
      </c>
      <c r="G1402" s="6">
        <v>531</v>
      </c>
      <c r="H1402" s="6">
        <v>266</v>
      </c>
      <c r="I1402" s="6">
        <v>18</v>
      </c>
      <c r="J1402" s="6">
        <v>210</v>
      </c>
      <c r="K1402" s="40">
        <v>116</v>
      </c>
      <c r="L1402" s="40">
        <v>7</v>
      </c>
      <c r="M1402" s="40">
        <v>57</v>
      </c>
      <c r="N1402" s="40">
        <v>5</v>
      </c>
      <c r="O1402" s="40">
        <v>13</v>
      </c>
      <c r="P1402" s="40">
        <v>14</v>
      </c>
      <c r="Q1402" s="40">
        <v>0</v>
      </c>
      <c r="R1402" s="40">
        <v>25</v>
      </c>
      <c r="S1402" s="40">
        <v>0</v>
      </c>
    </row>
    <row r="1403" spans="1:19" x14ac:dyDescent="0.35">
      <c r="A1403" s="38">
        <v>1400</v>
      </c>
      <c r="B1403" s="38" t="str">
        <f>_xlfn.XLOOKUP(A1403,'Model Modeshare by TAZ'!A:A,'Model Modeshare by TAZ'!B:B)</f>
        <v>Sunnyvale</v>
      </c>
      <c r="C1403" s="38" t="str">
        <f>_xlfn.XLOOKUP(A1403,'Model Modeshare by TAZ'!A:A,'Model Modeshare by TAZ'!D:D)</f>
        <v>NO</v>
      </c>
      <c r="D1403" s="6">
        <v>3</v>
      </c>
      <c r="E1403" s="6">
        <v>626</v>
      </c>
      <c r="F1403" s="6">
        <v>2005</v>
      </c>
      <c r="G1403" s="6">
        <v>2007</v>
      </c>
      <c r="H1403" s="6">
        <v>1046</v>
      </c>
      <c r="I1403" s="6">
        <v>272</v>
      </c>
      <c r="J1403" s="6">
        <v>354</v>
      </c>
      <c r="K1403" s="40">
        <v>102</v>
      </c>
      <c r="L1403" s="40">
        <v>34</v>
      </c>
      <c r="M1403" s="40">
        <v>88</v>
      </c>
      <c r="N1403" s="40">
        <v>41</v>
      </c>
      <c r="O1403" s="40">
        <v>46</v>
      </c>
      <c r="P1403" s="40">
        <v>0</v>
      </c>
      <c r="Q1403" s="40">
        <v>0</v>
      </c>
      <c r="R1403" s="40">
        <v>0</v>
      </c>
      <c r="S1403" s="40">
        <v>1</v>
      </c>
    </row>
    <row r="1404" spans="1:19" x14ac:dyDescent="0.35">
      <c r="A1404" s="38">
        <v>1401</v>
      </c>
      <c r="B1404" s="38" t="str">
        <f>_xlfn.XLOOKUP(A1404,'Model Modeshare by TAZ'!A:A,'Model Modeshare by TAZ'!B:B)</f>
        <v>Sunnyvale</v>
      </c>
      <c r="C1404" s="38" t="str">
        <f>_xlfn.XLOOKUP(A1404,'Model Modeshare by TAZ'!A:A,'Model Modeshare by TAZ'!D:D)</f>
        <v>NO</v>
      </c>
      <c r="D1404" s="6">
        <v>3</v>
      </c>
      <c r="E1404" s="6">
        <v>1025</v>
      </c>
      <c r="F1404" s="6">
        <v>3282</v>
      </c>
      <c r="G1404" s="6">
        <v>3282</v>
      </c>
      <c r="H1404" s="6">
        <v>1715</v>
      </c>
      <c r="I1404" s="6">
        <v>436</v>
      </c>
      <c r="J1404" s="6">
        <v>589</v>
      </c>
      <c r="K1404" s="40">
        <v>58</v>
      </c>
      <c r="L1404" s="40">
        <v>34</v>
      </c>
      <c r="M1404" s="40">
        <v>59</v>
      </c>
      <c r="N1404" s="40">
        <v>10</v>
      </c>
      <c r="O1404" s="40">
        <v>22</v>
      </c>
      <c r="P1404" s="40">
        <v>27</v>
      </c>
      <c r="Q1404" s="40">
        <v>0</v>
      </c>
      <c r="R1404" s="40">
        <v>0</v>
      </c>
      <c r="S1404" s="40">
        <v>0</v>
      </c>
    </row>
    <row r="1405" spans="1:19" x14ac:dyDescent="0.35">
      <c r="A1405" s="38">
        <v>1402</v>
      </c>
      <c r="B1405" s="38" t="str">
        <f>_xlfn.XLOOKUP(A1405,'Model Modeshare by TAZ'!A:A,'Model Modeshare by TAZ'!B:B)</f>
        <v>Sunnyvale</v>
      </c>
      <c r="C1405" s="38" t="str">
        <f>_xlfn.XLOOKUP(A1405,'Model Modeshare by TAZ'!A:A,'Model Modeshare by TAZ'!D:D)</f>
        <v>NO</v>
      </c>
      <c r="D1405" s="6">
        <v>3</v>
      </c>
      <c r="E1405" s="6">
        <v>646</v>
      </c>
      <c r="F1405" s="6">
        <v>1497</v>
      </c>
      <c r="G1405" s="6">
        <v>1517</v>
      </c>
      <c r="H1405" s="6">
        <v>918</v>
      </c>
      <c r="I1405" s="6">
        <v>155</v>
      </c>
      <c r="J1405" s="6">
        <v>491</v>
      </c>
      <c r="K1405" s="40">
        <v>51</v>
      </c>
      <c r="L1405" s="40">
        <v>152</v>
      </c>
      <c r="M1405" s="40">
        <v>4564</v>
      </c>
      <c r="N1405" s="40">
        <v>426</v>
      </c>
      <c r="O1405" s="40">
        <v>1280</v>
      </c>
      <c r="P1405" s="40">
        <v>592</v>
      </c>
      <c r="Q1405" s="40">
        <v>7</v>
      </c>
      <c r="R1405" s="40">
        <v>1934</v>
      </c>
      <c r="S1405" s="40">
        <v>325</v>
      </c>
    </row>
    <row r="1406" spans="1:19" x14ac:dyDescent="0.35">
      <c r="A1406" s="38">
        <v>1403</v>
      </c>
      <c r="B1406" s="38" t="str">
        <f>_xlfn.XLOOKUP(A1406,'Model Modeshare by TAZ'!A:A,'Model Modeshare by TAZ'!B:B)</f>
        <v>Sunnyvale</v>
      </c>
      <c r="C1406" s="38" t="str">
        <f>_xlfn.XLOOKUP(A1406,'Model Modeshare by TAZ'!A:A,'Model Modeshare by TAZ'!D:D)</f>
        <v>NO</v>
      </c>
      <c r="D1406" s="6">
        <v>3</v>
      </c>
      <c r="E1406" s="6">
        <v>0</v>
      </c>
      <c r="F1406" s="6">
        <v>0</v>
      </c>
      <c r="G1406" s="6">
        <v>0</v>
      </c>
      <c r="H1406" s="6">
        <v>0</v>
      </c>
      <c r="I1406" s="6">
        <v>0</v>
      </c>
      <c r="J1406" s="6">
        <v>0</v>
      </c>
      <c r="K1406" s="40">
        <v>1</v>
      </c>
      <c r="L1406" s="40">
        <v>56</v>
      </c>
      <c r="M1406" s="40">
        <v>1552</v>
      </c>
      <c r="N1406" s="40">
        <v>55</v>
      </c>
      <c r="O1406" s="40">
        <v>429</v>
      </c>
      <c r="P1406" s="40">
        <v>105</v>
      </c>
      <c r="Q1406" s="40">
        <v>2</v>
      </c>
      <c r="R1406" s="40">
        <v>823</v>
      </c>
      <c r="S1406" s="40">
        <v>138</v>
      </c>
    </row>
    <row r="1407" spans="1:19" x14ac:dyDescent="0.35">
      <c r="A1407" s="38">
        <v>1404</v>
      </c>
      <c r="B1407" s="38" t="str">
        <f>_xlfn.XLOOKUP(A1407,'Model Modeshare by TAZ'!A:A,'Model Modeshare by TAZ'!B:B)</f>
        <v>Sunnyvale</v>
      </c>
      <c r="C1407" s="38" t="str">
        <f>_xlfn.XLOOKUP(A1407,'Model Modeshare by TAZ'!A:A,'Model Modeshare by TAZ'!D:D)</f>
        <v>NO</v>
      </c>
      <c r="D1407" s="6">
        <v>3</v>
      </c>
      <c r="E1407" s="6">
        <v>0</v>
      </c>
      <c r="F1407" s="6">
        <v>0</v>
      </c>
      <c r="G1407" s="6">
        <v>0</v>
      </c>
      <c r="H1407" s="6">
        <v>0</v>
      </c>
      <c r="I1407" s="6">
        <v>0</v>
      </c>
      <c r="J1407" s="6">
        <v>0</v>
      </c>
      <c r="K1407" s="40">
        <v>6</v>
      </c>
      <c r="L1407" s="40">
        <v>108</v>
      </c>
      <c r="M1407" s="40">
        <v>2335</v>
      </c>
      <c r="N1407" s="40">
        <v>141</v>
      </c>
      <c r="O1407" s="40">
        <v>507</v>
      </c>
      <c r="P1407" s="40">
        <v>149</v>
      </c>
      <c r="Q1407" s="40">
        <v>0</v>
      </c>
      <c r="R1407" s="40">
        <v>1304</v>
      </c>
      <c r="S1407" s="40">
        <v>234</v>
      </c>
    </row>
    <row r="1408" spans="1:19" x14ac:dyDescent="0.35">
      <c r="A1408" s="38">
        <v>1405</v>
      </c>
      <c r="B1408" s="38" t="str">
        <f>_xlfn.XLOOKUP(A1408,'Model Modeshare by TAZ'!A:A,'Model Modeshare by TAZ'!B:B)</f>
        <v>Sunnyvale</v>
      </c>
      <c r="C1408" s="38" t="str">
        <f>_xlfn.XLOOKUP(A1408,'Model Modeshare by TAZ'!A:A,'Model Modeshare by TAZ'!D:D)</f>
        <v>NO</v>
      </c>
      <c r="D1408" s="6">
        <v>3</v>
      </c>
      <c r="E1408" s="6">
        <v>0</v>
      </c>
      <c r="F1408" s="6">
        <v>0</v>
      </c>
      <c r="G1408" s="6">
        <v>0</v>
      </c>
      <c r="H1408" s="6">
        <v>0</v>
      </c>
      <c r="I1408" s="6">
        <v>0</v>
      </c>
      <c r="J1408" s="6">
        <v>0</v>
      </c>
      <c r="K1408" s="40">
        <v>0</v>
      </c>
      <c r="L1408" s="40">
        <v>105</v>
      </c>
      <c r="M1408" s="40">
        <v>1527</v>
      </c>
      <c r="N1408" s="40">
        <v>54</v>
      </c>
      <c r="O1408" s="40">
        <v>280</v>
      </c>
      <c r="P1408" s="40">
        <v>122</v>
      </c>
      <c r="Q1408" s="40">
        <v>0</v>
      </c>
      <c r="R1408" s="40">
        <v>917</v>
      </c>
      <c r="S1408" s="40">
        <v>154</v>
      </c>
    </row>
    <row r="1409" spans="1:19" x14ac:dyDescent="0.35">
      <c r="A1409" s="38">
        <v>1406</v>
      </c>
      <c r="B1409" s="38" t="str">
        <f>_xlfn.XLOOKUP(A1409,'Model Modeshare by TAZ'!A:A,'Model Modeshare by TAZ'!B:B)</f>
        <v>Sunnyvale</v>
      </c>
      <c r="C1409" s="38" t="str">
        <f>_xlfn.XLOOKUP(A1409,'Model Modeshare by TAZ'!A:A,'Model Modeshare by TAZ'!D:D)</f>
        <v>NO</v>
      </c>
      <c r="D1409" s="6">
        <v>3</v>
      </c>
      <c r="E1409" s="6">
        <v>693</v>
      </c>
      <c r="F1409" s="6">
        <v>1609</v>
      </c>
      <c r="G1409" s="6">
        <v>1616</v>
      </c>
      <c r="H1409" s="6">
        <v>1001</v>
      </c>
      <c r="I1409" s="6">
        <v>169</v>
      </c>
      <c r="J1409" s="6">
        <v>524</v>
      </c>
      <c r="K1409" s="40">
        <v>19</v>
      </c>
      <c r="L1409" s="40">
        <v>3</v>
      </c>
      <c r="M1409" s="40">
        <v>9</v>
      </c>
      <c r="N1409" s="40">
        <v>0</v>
      </c>
      <c r="O1409" s="40">
        <v>0</v>
      </c>
      <c r="P1409" s="40">
        <v>2</v>
      </c>
      <c r="Q1409" s="40">
        <v>0</v>
      </c>
      <c r="R1409" s="40">
        <v>7</v>
      </c>
      <c r="S1409" s="40">
        <v>0</v>
      </c>
    </row>
    <row r="1410" spans="1:19" x14ac:dyDescent="0.35">
      <c r="A1410" s="38">
        <v>1407</v>
      </c>
      <c r="B1410" s="38" t="str">
        <f>_xlfn.XLOOKUP(A1410,'Model Modeshare by TAZ'!A:A,'Model Modeshare by TAZ'!B:B)</f>
        <v>Sunnyvale</v>
      </c>
      <c r="C1410" s="38" t="str">
        <f>_xlfn.XLOOKUP(A1410,'Model Modeshare by TAZ'!A:A,'Model Modeshare by TAZ'!D:D)</f>
        <v>NO</v>
      </c>
      <c r="D1410" s="6">
        <v>3</v>
      </c>
      <c r="E1410" s="6">
        <v>122</v>
      </c>
      <c r="F1410" s="6">
        <v>283</v>
      </c>
      <c r="G1410" s="6">
        <v>285</v>
      </c>
      <c r="H1410" s="6">
        <v>177</v>
      </c>
      <c r="I1410" s="6">
        <v>16</v>
      </c>
      <c r="J1410" s="6">
        <v>106</v>
      </c>
      <c r="K1410" s="40">
        <v>10</v>
      </c>
      <c r="L1410" s="40">
        <v>15</v>
      </c>
      <c r="M1410" s="40">
        <v>0</v>
      </c>
      <c r="N1410" s="40">
        <v>0</v>
      </c>
      <c r="O1410" s="40">
        <v>0</v>
      </c>
      <c r="P1410" s="40">
        <v>0</v>
      </c>
      <c r="Q1410" s="40">
        <v>0</v>
      </c>
      <c r="R1410" s="40">
        <v>0</v>
      </c>
      <c r="S1410" s="40">
        <v>0</v>
      </c>
    </row>
    <row r="1411" spans="1:19" x14ac:dyDescent="0.35">
      <c r="A1411" s="38">
        <v>1408</v>
      </c>
      <c r="B1411" s="38" t="str">
        <f>_xlfn.XLOOKUP(A1411,'Model Modeshare by TAZ'!A:A,'Model Modeshare by TAZ'!B:B)</f>
        <v>Sunnyvale</v>
      </c>
      <c r="C1411" s="38" t="str">
        <f>_xlfn.XLOOKUP(A1411,'Model Modeshare by TAZ'!A:A,'Model Modeshare by TAZ'!D:D)</f>
        <v>NO</v>
      </c>
      <c r="D1411" s="6">
        <v>3</v>
      </c>
      <c r="E1411" s="6">
        <v>132</v>
      </c>
      <c r="F1411" s="6">
        <v>306</v>
      </c>
      <c r="G1411" s="6">
        <v>308</v>
      </c>
      <c r="H1411" s="6">
        <v>190</v>
      </c>
      <c r="I1411" s="6">
        <v>26</v>
      </c>
      <c r="J1411" s="6">
        <v>106</v>
      </c>
      <c r="K1411" s="40">
        <v>15</v>
      </c>
      <c r="L1411" s="40">
        <v>37</v>
      </c>
      <c r="M1411" s="40">
        <v>519</v>
      </c>
      <c r="N1411" s="40">
        <v>40</v>
      </c>
      <c r="O1411" s="40">
        <v>115</v>
      </c>
      <c r="P1411" s="40">
        <v>102</v>
      </c>
      <c r="Q1411" s="40">
        <v>0</v>
      </c>
      <c r="R1411" s="40">
        <v>224</v>
      </c>
      <c r="S1411" s="40">
        <v>38</v>
      </c>
    </row>
    <row r="1412" spans="1:19" x14ac:dyDescent="0.35">
      <c r="A1412" s="38">
        <v>1409</v>
      </c>
      <c r="B1412" s="38" t="str">
        <f>_xlfn.XLOOKUP(A1412,'Model Modeshare by TAZ'!A:A,'Model Modeshare by TAZ'!B:B)</f>
        <v>Sunnyvale</v>
      </c>
      <c r="C1412" s="38" t="str">
        <f>_xlfn.XLOOKUP(A1412,'Model Modeshare by TAZ'!A:A,'Model Modeshare by TAZ'!D:D)</f>
        <v>NO</v>
      </c>
      <c r="D1412" s="6">
        <v>3</v>
      </c>
      <c r="E1412" s="6">
        <v>75</v>
      </c>
      <c r="F1412" s="6">
        <v>174</v>
      </c>
      <c r="G1412" s="6">
        <v>176</v>
      </c>
      <c r="H1412" s="6">
        <v>106</v>
      </c>
      <c r="I1412" s="6">
        <v>19</v>
      </c>
      <c r="J1412" s="6">
        <v>56</v>
      </c>
      <c r="K1412" s="40">
        <v>2</v>
      </c>
      <c r="L1412" s="40">
        <v>21</v>
      </c>
      <c r="M1412" s="40">
        <v>345</v>
      </c>
      <c r="N1412" s="40">
        <v>9</v>
      </c>
      <c r="O1412" s="40">
        <v>79</v>
      </c>
      <c r="P1412" s="40">
        <v>21</v>
      </c>
      <c r="Q1412" s="40">
        <v>0</v>
      </c>
      <c r="R1412" s="40">
        <v>198</v>
      </c>
      <c r="S1412" s="40">
        <v>38</v>
      </c>
    </row>
    <row r="1413" spans="1:19" x14ac:dyDescent="0.35">
      <c r="A1413" s="38">
        <v>1410</v>
      </c>
      <c r="B1413" s="38" t="str">
        <f>_xlfn.XLOOKUP(A1413,'Model Modeshare by TAZ'!A:A,'Model Modeshare by TAZ'!B:B)</f>
        <v>Sunnyvale</v>
      </c>
      <c r="C1413" s="38" t="str">
        <f>_xlfn.XLOOKUP(A1413,'Model Modeshare by TAZ'!A:A,'Model Modeshare by TAZ'!D:D)</f>
        <v>NO</v>
      </c>
      <c r="D1413" s="6">
        <v>3</v>
      </c>
      <c r="E1413" s="6">
        <v>0</v>
      </c>
      <c r="F1413" s="6">
        <v>0</v>
      </c>
      <c r="G1413" s="6">
        <v>0</v>
      </c>
      <c r="H1413" s="6">
        <v>0</v>
      </c>
      <c r="I1413" s="6">
        <v>0</v>
      </c>
      <c r="J1413" s="6">
        <v>0</v>
      </c>
      <c r="K1413" s="40">
        <v>0</v>
      </c>
      <c r="L1413" s="40">
        <v>42</v>
      </c>
      <c r="M1413" s="40">
        <v>1242</v>
      </c>
      <c r="N1413" s="40">
        <v>46</v>
      </c>
      <c r="O1413" s="40">
        <v>236</v>
      </c>
      <c r="P1413" s="40">
        <v>93</v>
      </c>
      <c r="Q1413" s="40">
        <v>0</v>
      </c>
      <c r="R1413" s="40">
        <v>744</v>
      </c>
      <c r="S1413" s="40">
        <v>123</v>
      </c>
    </row>
    <row r="1414" spans="1:19" x14ac:dyDescent="0.35">
      <c r="A1414" s="38">
        <v>1411</v>
      </c>
      <c r="B1414" s="38" t="str">
        <f>_xlfn.XLOOKUP(A1414,'Model Modeshare by TAZ'!A:A,'Model Modeshare by TAZ'!B:B)</f>
        <v>Sunnyvale</v>
      </c>
      <c r="C1414" s="38" t="str">
        <f>_xlfn.XLOOKUP(A1414,'Model Modeshare by TAZ'!A:A,'Model Modeshare by TAZ'!D:D)</f>
        <v>NO</v>
      </c>
      <c r="D1414" s="6">
        <v>3</v>
      </c>
      <c r="E1414" s="6">
        <v>0</v>
      </c>
      <c r="F1414" s="6">
        <v>0</v>
      </c>
      <c r="G1414" s="6">
        <v>0</v>
      </c>
      <c r="H1414" s="6">
        <v>0</v>
      </c>
      <c r="I1414" s="6">
        <v>0</v>
      </c>
      <c r="J1414" s="6">
        <v>0</v>
      </c>
      <c r="K1414" s="40">
        <v>6</v>
      </c>
      <c r="L1414" s="40">
        <v>101</v>
      </c>
      <c r="M1414" s="40">
        <v>2073</v>
      </c>
      <c r="N1414" s="40">
        <v>74</v>
      </c>
      <c r="O1414" s="40">
        <v>382</v>
      </c>
      <c r="P1414" s="40">
        <v>157</v>
      </c>
      <c r="Q1414" s="40">
        <v>6</v>
      </c>
      <c r="R1414" s="40">
        <v>1245</v>
      </c>
      <c r="S1414" s="40">
        <v>209</v>
      </c>
    </row>
    <row r="1415" spans="1:19" x14ac:dyDescent="0.35">
      <c r="A1415" s="38">
        <v>1412</v>
      </c>
      <c r="B1415" s="38" t="str">
        <f>_xlfn.XLOOKUP(A1415,'Model Modeshare by TAZ'!A:A,'Model Modeshare by TAZ'!B:B)</f>
        <v>Sunnyvale</v>
      </c>
      <c r="C1415" s="38" t="str">
        <f>_xlfn.XLOOKUP(A1415,'Model Modeshare by TAZ'!A:A,'Model Modeshare by TAZ'!D:D)</f>
        <v>NO</v>
      </c>
      <c r="D1415" s="6">
        <v>3</v>
      </c>
      <c r="E1415" s="6">
        <v>686</v>
      </c>
      <c r="F1415" s="6">
        <v>1861</v>
      </c>
      <c r="G1415" s="6">
        <v>1865</v>
      </c>
      <c r="H1415" s="6">
        <v>1129</v>
      </c>
      <c r="I1415" s="6">
        <v>280</v>
      </c>
      <c r="J1415" s="6">
        <v>406</v>
      </c>
      <c r="K1415" s="40">
        <v>56</v>
      </c>
      <c r="L1415" s="40">
        <v>16</v>
      </c>
      <c r="M1415" s="40">
        <v>102</v>
      </c>
      <c r="N1415" s="40">
        <v>10</v>
      </c>
      <c r="O1415" s="40">
        <v>28</v>
      </c>
      <c r="P1415" s="40">
        <v>14</v>
      </c>
      <c r="Q1415" s="40">
        <v>0</v>
      </c>
      <c r="R1415" s="40">
        <v>43</v>
      </c>
      <c r="S1415" s="40">
        <v>7</v>
      </c>
    </row>
    <row r="1416" spans="1:19" x14ac:dyDescent="0.35">
      <c r="A1416" s="38">
        <v>1413</v>
      </c>
      <c r="B1416" s="38" t="str">
        <f>_xlfn.XLOOKUP(A1416,'Model Modeshare by TAZ'!A:A,'Model Modeshare by TAZ'!B:B)</f>
        <v>Sunnyvale</v>
      </c>
      <c r="C1416" s="38" t="str">
        <f>_xlfn.XLOOKUP(A1416,'Model Modeshare by TAZ'!A:A,'Model Modeshare by TAZ'!D:D)</f>
        <v>NO</v>
      </c>
      <c r="D1416" s="6">
        <v>3</v>
      </c>
      <c r="E1416" s="6">
        <v>701</v>
      </c>
      <c r="F1416" s="6">
        <v>2115</v>
      </c>
      <c r="G1416" s="6">
        <v>2131</v>
      </c>
      <c r="H1416" s="6">
        <v>1169</v>
      </c>
      <c r="I1416" s="6">
        <v>333</v>
      </c>
      <c r="J1416" s="6">
        <v>368</v>
      </c>
      <c r="K1416" s="40">
        <v>72</v>
      </c>
      <c r="L1416" s="40">
        <v>51</v>
      </c>
      <c r="M1416" s="40">
        <v>1394</v>
      </c>
      <c r="N1416" s="40">
        <v>190</v>
      </c>
      <c r="O1416" s="40">
        <v>713</v>
      </c>
      <c r="P1416" s="40">
        <v>337</v>
      </c>
      <c r="Q1416" s="40">
        <v>2</v>
      </c>
      <c r="R1416" s="40">
        <v>51</v>
      </c>
      <c r="S1416" s="40">
        <v>101</v>
      </c>
    </row>
    <row r="1417" spans="1:19" x14ac:dyDescent="0.35">
      <c r="A1417" s="38">
        <v>1414</v>
      </c>
      <c r="B1417" s="38" t="str">
        <f>_xlfn.XLOOKUP(A1417,'Model Modeshare by TAZ'!A:A,'Model Modeshare by TAZ'!B:B)</f>
        <v>Sunnyvale</v>
      </c>
      <c r="C1417" s="38" t="str">
        <f>_xlfn.XLOOKUP(A1417,'Model Modeshare by TAZ'!A:A,'Model Modeshare by TAZ'!D:D)</f>
        <v>NO</v>
      </c>
      <c r="D1417" s="6">
        <v>3</v>
      </c>
      <c r="E1417" s="6">
        <v>0</v>
      </c>
      <c r="F1417" s="6">
        <v>0</v>
      </c>
      <c r="G1417" s="6">
        <v>0</v>
      </c>
      <c r="H1417" s="6">
        <v>0</v>
      </c>
      <c r="I1417" s="6">
        <v>0</v>
      </c>
      <c r="J1417" s="6">
        <v>0</v>
      </c>
      <c r="K1417" s="40">
        <v>1</v>
      </c>
      <c r="L1417" s="40">
        <v>105</v>
      </c>
      <c r="M1417" s="40">
        <v>2000</v>
      </c>
      <c r="N1417" s="40">
        <v>51</v>
      </c>
      <c r="O1417" s="40">
        <v>510</v>
      </c>
      <c r="P1417" s="40">
        <v>116</v>
      </c>
      <c r="Q1417" s="40">
        <v>5</v>
      </c>
      <c r="R1417" s="40">
        <v>1185</v>
      </c>
      <c r="S1417" s="40">
        <v>133</v>
      </c>
    </row>
    <row r="1418" spans="1:19" x14ac:dyDescent="0.35">
      <c r="A1418" s="38">
        <v>1415</v>
      </c>
      <c r="B1418" s="38" t="str">
        <f>_xlfn.XLOOKUP(A1418,'Model Modeshare by TAZ'!A:A,'Model Modeshare by TAZ'!B:B)</f>
        <v>Sunnyvale</v>
      </c>
      <c r="C1418" s="38" t="str">
        <f>_xlfn.XLOOKUP(A1418,'Model Modeshare by TAZ'!A:A,'Model Modeshare by TAZ'!D:D)</f>
        <v>NO</v>
      </c>
      <c r="D1418" s="6">
        <v>3</v>
      </c>
      <c r="E1418" s="6">
        <v>0</v>
      </c>
      <c r="F1418" s="6">
        <v>0</v>
      </c>
      <c r="G1418" s="6">
        <v>0</v>
      </c>
      <c r="H1418" s="6">
        <v>0</v>
      </c>
      <c r="I1418" s="6">
        <v>0</v>
      </c>
      <c r="J1418" s="6">
        <v>0</v>
      </c>
      <c r="K1418" s="40">
        <v>0</v>
      </c>
      <c r="L1418" s="40">
        <v>119</v>
      </c>
      <c r="M1418" s="40">
        <v>3247</v>
      </c>
      <c r="N1418" s="40">
        <v>83</v>
      </c>
      <c r="O1418" s="40">
        <v>613</v>
      </c>
      <c r="P1418" s="40">
        <v>137</v>
      </c>
      <c r="Q1418" s="40">
        <v>0</v>
      </c>
      <c r="R1418" s="40">
        <v>2260</v>
      </c>
      <c r="S1418" s="40">
        <v>154</v>
      </c>
    </row>
    <row r="1419" spans="1:19" x14ac:dyDescent="0.35">
      <c r="A1419" s="38">
        <v>1416</v>
      </c>
      <c r="B1419" s="38" t="str">
        <f>_xlfn.XLOOKUP(A1419,'Model Modeshare by TAZ'!A:A,'Model Modeshare by TAZ'!B:B)</f>
        <v>Sunnyvale</v>
      </c>
      <c r="C1419" s="38" t="str">
        <f>_xlfn.XLOOKUP(A1419,'Model Modeshare by TAZ'!A:A,'Model Modeshare by TAZ'!D:D)</f>
        <v>NO</v>
      </c>
      <c r="D1419" s="6">
        <v>3</v>
      </c>
      <c r="E1419" s="6">
        <v>0</v>
      </c>
      <c r="F1419" s="6">
        <v>0</v>
      </c>
      <c r="G1419" s="6">
        <v>0</v>
      </c>
      <c r="H1419" s="6">
        <v>0</v>
      </c>
      <c r="I1419" s="6">
        <v>0</v>
      </c>
      <c r="J1419" s="6">
        <v>0</v>
      </c>
      <c r="K1419" s="40">
        <v>2</v>
      </c>
      <c r="L1419" s="40">
        <v>170</v>
      </c>
      <c r="M1419" s="40">
        <v>3225</v>
      </c>
      <c r="N1419" s="40">
        <v>74</v>
      </c>
      <c r="O1419" s="40">
        <v>680</v>
      </c>
      <c r="P1419" s="40">
        <v>166</v>
      </c>
      <c r="Q1419" s="40">
        <v>0</v>
      </c>
      <c r="R1419" s="40">
        <v>2124</v>
      </c>
      <c r="S1419" s="40">
        <v>181</v>
      </c>
    </row>
    <row r="1420" spans="1:19" x14ac:dyDescent="0.35">
      <c r="A1420" s="38">
        <v>1417</v>
      </c>
      <c r="B1420" s="38" t="str">
        <f>_xlfn.XLOOKUP(A1420,'Model Modeshare by TAZ'!A:A,'Model Modeshare by TAZ'!B:B)</f>
        <v>Sunnyvale</v>
      </c>
      <c r="C1420" s="38" t="str">
        <f>_xlfn.XLOOKUP(A1420,'Model Modeshare by TAZ'!A:A,'Model Modeshare by TAZ'!D:D)</f>
        <v>NO</v>
      </c>
      <c r="D1420" s="6">
        <v>3</v>
      </c>
      <c r="E1420" s="6">
        <v>952</v>
      </c>
      <c r="F1420" s="6">
        <v>2059</v>
      </c>
      <c r="G1420" s="6">
        <v>2059</v>
      </c>
      <c r="H1420" s="6">
        <v>1428</v>
      </c>
      <c r="I1420" s="6">
        <v>261</v>
      </c>
      <c r="J1420" s="6">
        <v>691</v>
      </c>
      <c r="K1420" s="40">
        <v>89</v>
      </c>
      <c r="L1420" s="40">
        <v>3</v>
      </c>
      <c r="M1420" s="40">
        <v>1500</v>
      </c>
      <c r="N1420" s="40">
        <v>150</v>
      </c>
      <c r="O1420" s="40">
        <v>450</v>
      </c>
      <c r="P1420" s="40">
        <v>225</v>
      </c>
      <c r="Q1420" s="40">
        <v>0</v>
      </c>
      <c r="R1420" s="40">
        <v>600</v>
      </c>
      <c r="S1420" s="40">
        <v>75</v>
      </c>
    </row>
    <row r="1421" spans="1:19" x14ac:dyDescent="0.35">
      <c r="A1421" s="38">
        <v>1418</v>
      </c>
      <c r="B1421" s="38" t="str">
        <f>_xlfn.XLOOKUP(A1421,'Model Modeshare by TAZ'!A:A,'Model Modeshare by TAZ'!B:B)</f>
        <v>Sunnyvale</v>
      </c>
      <c r="C1421" s="38" t="str">
        <f>_xlfn.XLOOKUP(A1421,'Model Modeshare by TAZ'!A:A,'Model Modeshare by TAZ'!D:D)</f>
        <v>NO</v>
      </c>
      <c r="D1421" s="6">
        <v>3</v>
      </c>
      <c r="E1421" s="6">
        <v>578</v>
      </c>
      <c r="F1421" s="6">
        <v>1251</v>
      </c>
      <c r="G1421" s="6">
        <v>1251</v>
      </c>
      <c r="H1421" s="6">
        <v>868</v>
      </c>
      <c r="I1421" s="6">
        <v>272</v>
      </c>
      <c r="J1421" s="6">
        <v>306</v>
      </c>
      <c r="K1421" s="40">
        <v>56</v>
      </c>
      <c r="L1421" s="40">
        <v>12</v>
      </c>
      <c r="M1421" s="40">
        <v>485</v>
      </c>
      <c r="N1421" s="40">
        <v>45</v>
      </c>
      <c r="O1421" s="40">
        <v>136</v>
      </c>
      <c r="P1421" s="40">
        <v>62</v>
      </c>
      <c r="Q1421" s="40">
        <v>1</v>
      </c>
      <c r="R1421" s="40">
        <v>206</v>
      </c>
      <c r="S1421" s="40">
        <v>35</v>
      </c>
    </row>
    <row r="1422" spans="1:19" x14ac:dyDescent="0.35">
      <c r="A1422" s="38">
        <v>1419</v>
      </c>
      <c r="B1422" s="38" t="str">
        <f>_xlfn.XLOOKUP(A1422,'Model Modeshare by TAZ'!A:A,'Model Modeshare by TAZ'!B:B)</f>
        <v>Sunnyvale</v>
      </c>
      <c r="C1422" s="38" t="str">
        <f>_xlfn.XLOOKUP(A1422,'Model Modeshare by TAZ'!A:A,'Model Modeshare by TAZ'!D:D)</f>
        <v>NO</v>
      </c>
      <c r="D1422" s="6">
        <v>3</v>
      </c>
      <c r="E1422" s="6">
        <v>373</v>
      </c>
      <c r="F1422" s="6">
        <v>807</v>
      </c>
      <c r="G1422" s="6">
        <v>807</v>
      </c>
      <c r="H1422" s="6">
        <v>560</v>
      </c>
      <c r="I1422" s="6">
        <v>94</v>
      </c>
      <c r="J1422" s="6">
        <v>279</v>
      </c>
      <c r="K1422" s="40">
        <v>33</v>
      </c>
      <c r="L1422" s="40">
        <v>1</v>
      </c>
      <c r="M1422" s="40">
        <v>0</v>
      </c>
      <c r="N1422" s="40">
        <v>0</v>
      </c>
      <c r="O1422" s="40">
        <v>0</v>
      </c>
      <c r="P1422" s="40">
        <v>0</v>
      </c>
      <c r="Q1422" s="40">
        <v>0</v>
      </c>
      <c r="R1422" s="40">
        <v>0</v>
      </c>
      <c r="S1422" s="40">
        <v>0</v>
      </c>
    </row>
    <row r="1423" spans="1:19" x14ac:dyDescent="0.35">
      <c r="A1423" s="38">
        <v>1420</v>
      </c>
      <c r="B1423" s="38" t="str">
        <f>_xlfn.XLOOKUP(A1423,'Model Modeshare by TAZ'!A:A,'Model Modeshare by TAZ'!B:B)</f>
        <v>Sunnyvale</v>
      </c>
      <c r="C1423" s="38" t="str">
        <f>_xlfn.XLOOKUP(A1423,'Model Modeshare by TAZ'!A:A,'Model Modeshare by TAZ'!D:D)</f>
        <v>NO</v>
      </c>
      <c r="D1423" s="6">
        <v>3</v>
      </c>
      <c r="E1423" s="6">
        <v>379</v>
      </c>
      <c r="F1423" s="6">
        <v>834</v>
      </c>
      <c r="G1423" s="6">
        <v>835</v>
      </c>
      <c r="H1423" s="6">
        <v>457</v>
      </c>
      <c r="I1423" s="6">
        <v>0</v>
      </c>
      <c r="J1423" s="6">
        <v>379</v>
      </c>
      <c r="K1423" s="40">
        <v>2</v>
      </c>
      <c r="L1423" s="40">
        <v>34</v>
      </c>
      <c r="M1423" s="40">
        <v>1341</v>
      </c>
      <c r="N1423" s="40">
        <v>276</v>
      </c>
      <c r="O1423" s="40">
        <v>226</v>
      </c>
      <c r="P1423" s="40">
        <v>300</v>
      </c>
      <c r="Q1423" s="40">
        <v>0</v>
      </c>
      <c r="R1423" s="40">
        <v>439</v>
      </c>
      <c r="S1423" s="40">
        <v>100</v>
      </c>
    </row>
    <row r="1424" spans="1:19" x14ac:dyDescent="0.35">
      <c r="A1424" s="38">
        <v>1421</v>
      </c>
      <c r="B1424" s="38" t="str">
        <f>_xlfn.XLOOKUP(A1424,'Model Modeshare by TAZ'!A:A,'Model Modeshare by TAZ'!B:B)</f>
        <v>Sunnyvale</v>
      </c>
      <c r="C1424" s="38" t="str">
        <f>_xlfn.XLOOKUP(A1424,'Model Modeshare by TAZ'!A:A,'Model Modeshare by TAZ'!D:D)</f>
        <v>NO</v>
      </c>
      <c r="D1424" s="6">
        <v>3</v>
      </c>
      <c r="E1424" s="6">
        <v>1322</v>
      </c>
      <c r="F1424" s="6">
        <v>2912</v>
      </c>
      <c r="G1424" s="6">
        <v>2912</v>
      </c>
      <c r="H1424" s="6">
        <v>1597</v>
      </c>
      <c r="I1424" s="6">
        <v>646</v>
      </c>
      <c r="J1424" s="6">
        <v>676</v>
      </c>
      <c r="K1424" s="40">
        <v>63</v>
      </c>
      <c r="L1424" s="40">
        <v>24</v>
      </c>
      <c r="M1424" s="40">
        <v>296</v>
      </c>
      <c r="N1424" s="40">
        <v>45</v>
      </c>
      <c r="O1424" s="40">
        <v>40</v>
      </c>
      <c r="P1424" s="40">
        <v>46</v>
      </c>
      <c r="Q1424" s="40">
        <v>0</v>
      </c>
      <c r="R1424" s="40">
        <v>137</v>
      </c>
      <c r="S1424" s="40">
        <v>28</v>
      </c>
    </row>
    <row r="1425" spans="1:19" x14ac:dyDescent="0.35">
      <c r="A1425" s="38">
        <v>1422</v>
      </c>
      <c r="B1425" s="38" t="str">
        <f>_xlfn.XLOOKUP(A1425,'Model Modeshare by TAZ'!A:A,'Model Modeshare by TAZ'!B:B)</f>
        <v>Sunnyvale</v>
      </c>
      <c r="C1425" s="38" t="str">
        <f>_xlfn.XLOOKUP(A1425,'Model Modeshare by TAZ'!A:A,'Model Modeshare by TAZ'!D:D)</f>
        <v>NO</v>
      </c>
      <c r="D1425" s="6">
        <v>3</v>
      </c>
      <c r="E1425" s="6">
        <v>21</v>
      </c>
      <c r="F1425" s="6">
        <v>46</v>
      </c>
      <c r="G1425" s="6">
        <v>46</v>
      </c>
      <c r="H1425" s="6">
        <v>25</v>
      </c>
      <c r="I1425" s="6">
        <v>10</v>
      </c>
      <c r="J1425" s="6">
        <v>11</v>
      </c>
      <c r="K1425" s="40">
        <v>16</v>
      </c>
      <c r="L1425" s="40">
        <v>18</v>
      </c>
      <c r="M1425" s="40">
        <v>277</v>
      </c>
      <c r="N1425" s="40">
        <v>88</v>
      </c>
      <c r="O1425" s="40">
        <v>37</v>
      </c>
      <c r="P1425" s="40">
        <v>49</v>
      </c>
      <c r="Q1425" s="40">
        <v>0</v>
      </c>
      <c r="R1425" s="40">
        <v>89</v>
      </c>
      <c r="S1425" s="40">
        <v>14</v>
      </c>
    </row>
    <row r="1426" spans="1:19" x14ac:dyDescent="0.35">
      <c r="A1426" s="38">
        <v>1423</v>
      </c>
      <c r="B1426" s="38" t="str">
        <f>_xlfn.XLOOKUP(A1426,'Model Modeshare by TAZ'!A:A,'Model Modeshare by TAZ'!B:B)</f>
        <v>Sunnyvale</v>
      </c>
      <c r="C1426" s="38" t="str">
        <f>_xlfn.XLOOKUP(A1426,'Model Modeshare by TAZ'!A:A,'Model Modeshare by TAZ'!D:D)</f>
        <v>NO</v>
      </c>
      <c r="D1426" s="6">
        <v>3</v>
      </c>
      <c r="E1426" s="6">
        <v>301</v>
      </c>
      <c r="F1426" s="6">
        <v>799</v>
      </c>
      <c r="G1426" s="6">
        <v>811</v>
      </c>
      <c r="H1426" s="6">
        <v>412</v>
      </c>
      <c r="I1426" s="6">
        <v>250</v>
      </c>
      <c r="J1426" s="6">
        <v>51</v>
      </c>
      <c r="K1426" s="40">
        <v>51</v>
      </c>
      <c r="L1426" s="40">
        <v>22</v>
      </c>
      <c r="M1426" s="40">
        <v>166</v>
      </c>
      <c r="N1426" s="40">
        <v>49</v>
      </c>
      <c r="O1426" s="40">
        <v>12</v>
      </c>
      <c r="P1426" s="40">
        <v>1</v>
      </c>
      <c r="Q1426" s="40">
        <v>0</v>
      </c>
      <c r="R1426" s="40">
        <v>89</v>
      </c>
      <c r="S1426" s="40">
        <v>15</v>
      </c>
    </row>
    <row r="1427" spans="1:19" x14ac:dyDescent="0.35">
      <c r="A1427" s="38">
        <v>1424</v>
      </c>
      <c r="B1427" s="38" t="str">
        <f>_xlfn.XLOOKUP(A1427,'Model Modeshare by TAZ'!A:A,'Model Modeshare by TAZ'!B:B)</f>
        <v>Sunnyvale</v>
      </c>
      <c r="C1427" s="38" t="str">
        <f>_xlfn.XLOOKUP(A1427,'Model Modeshare by TAZ'!A:A,'Model Modeshare by TAZ'!D:D)</f>
        <v>NO</v>
      </c>
      <c r="D1427" s="6">
        <v>3</v>
      </c>
      <c r="E1427" s="6">
        <v>185</v>
      </c>
      <c r="F1427" s="6">
        <v>491</v>
      </c>
      <c r="G1427" s="6">
        <v>498</v>
      </c>
      <c r="H1427" s="6">
        <v>253</v>
      </c>
      <c r="I1427" s="6">
        <v>153</v>
      </c>
      <c r="J1427" s="6">
        <v>32</v>
      </c>
      <c r="K1427" s="40">
        <v>25</v>
      </c>
      <c r="L1427" s="40">
        <v>2</v>
      </c>
      <c r="M1427" s="40">
        <v>0</v>
      </c>
      <c r="N1427" s="40">
        <v>0</v>
      </c>
      <c r="O1427" s="40">
        <v>0</v>
      </c>
      <c r="P1427" s="40">
        <v>0</v>
      </c>
      <c r="Q1427" s="40">
        <v>0</v>
      </c>
      <c r="R1427" s="40">
        <v>0</v>
      </c>
      <c r="S1427" s="40">
        <v>0</v>
      </c>
    </row>
    <row r="1428" spans="1:19" x14ac:dyDescent="0.35">
      <c r="A1428" s="38">
        <v>1425</v>
      </c>
      <c r="B1428" s="38" t="str">
        <f>_xlfn.XLOOKUP(A1428,'Model Modeshare by TAZ'!A:A,'Model Modeshare by TAZ'!B:B)</f>
        <v>Sunnyvale</v>
      </c>
      <c r="C1428" s="38" t="str">
        <f>_xlfn.XLOOKUP(A1428,'Model Modeshare by TAZ'!A:A,'Model Modeshare by TAZ'!D:D)</f>
        <v>NO</v>
      </c>
      <c r="D1428" s="6">
        <v>3</v>
      </c>
      <c r="E1428" s="6">
        <v>666</v>
      </c>
      <c r="F1428" s="6">
        <v>1607</v>
      </c>
      <c r="G1428" s="6">
        <v>1616</v>
      </c>
      <c r="H1428" s="6">
        <v>1020</v>
      </c>
      <c r="I1428" s="6">
        <v>228</v>
      </c>
      <c r="J1428" s="6">
        <v>438</v>
      </c>
      <c r="K1428" s="40">
        <v>65</v>
      </c>
      <c r="L1428" s="40">
        <v>29</v>
      </c>
      <c r="M1428" s="40">
        <v>381</v>
      </c>
      <c r="N1428" s="40">
        <v>8</v>
      </c>
      <c r="O1428" s="40">
        <v>152</v>
      </c>
      <c r="P1428" s="40">
        <v>79</v>
      </c>
      <c r="Q1428" s="40">
        <v>0</v>
      </c>
      <c r="R1428" s="40">
        <v>116</v>
      </c>
      <c r="S1428" s="40">
        <v>26</v>
      </c>
    </row>
    <row r="1429" spans="1:19" x14ac:dyDescent="0.35">
      <c r="A1429" s="38">
        <v>1426</v>
      </c>
      <c r="B1429" s="38" t="str">
        <f>_xlfn.XLOOKUP(A1429,'Model Modeshare by TAZ'!A:A,'Model Modeshare by TAZ'!B:B)</f>
        <v>Sunnyvale</v>
      </c>
      <c r="C1429" s="38" t="str">
        <f>_xlfn.XLOOKUP(A1429,'Model Modeshare by TAZ'!A:A,'Model Modeshare by TAZ'!D:D)</f>
        <v>NO</v>
      </c>
      <c r="D1429" s="6">
        <v>3</v>
      </c>
      <c r="E1429" s="6">
        <v>435</v>
      </c>
      <c r="F1429" s="6">
        <v>1162</v>
      </c>
      <c r="G1429" s="6">
        <v>1182</v>
      </c>
      <c r="H1429" s="6">
        <v>640</v>
      </c>
      <c r="I1429" s="6">
        <v>319</v>
      </c>
      <c r="J1429" s="6">
        <v>116</v>
      </c>
      <c r="K1429" s="40">
        <v>116</v>
      </c>
      <c r="L1429" s="40">
        <v>11</v>
      </c>
      <c r="M1429" s="40">
        <v>590</v>
      </c>
      <c r="N1429" s="40">
        <v>140</v>
      </c>
      <c r="O1429" s="40">
        <v>390</v>
      </c>
      <c r="P1429" s="40">
        <v>15</v>
      </c>
      <c r="Q1429" s="40">
        <v>2</v>
      </c>
      <c r="R1429" s="40">
        <v>29</v>
      </c>
      <c r="S1429" s="40">
        <v>14</v>
      </c>
    </row>
    <row r="1430" spans="1:19" x14ac:dyDescent="0.35">
      <c r="A1430" s="38">
        <v>1427</v>
      </c>
      <c r="B1430" s="38" t="str">
        <f>_xlfn.XLOOKUP(A1430,'Model Modeshare by TAZ'!A:A,'Model Modeshare by TAZ'!B:B)</f>
        <v>Sunnyvale</v>
      </c>
      <c r="C1430" s="38" t="str">
        <f>_xlfn.XLOOKUP(A1430,'Model Modeshare by TAZ'!A:A,'Model Modeshare by TAZ'!D:D)</f>
        <v>NO</v>
      </c>
      <c r="D1430" s="6">
        <v>3</v>
      </c>
      <c r="E1430" s="6">
        <v>866</v>
      </c>
      <c r="F1430" s="6">
        <v>2315</v>
      </c>
      <c r="G1430" s="6">
        <v>2362</v>
      </c>
      <c r="H1430" s="6">
        <v>1272</v>
      </c>
      <c r="I1430" s="6">
        <v>631</v>
      </c>
      <c r="J1430" s="6">
        <v>235</v>
      </c>
      <c r="K1430" s="40">
        <v>171</v>
      </c>
      <c r="L1430" s="40">
        <v>21</v>
      </c>
      <c r="M1430" s="40">
        <v>251</v>
      </c>
      <c r="N1430" s="40">
        <v>24</v>
      </c>
      <c r="O1430" s="40">
        <v>69</v>
      </c>
      <c r="P1430" s="40">
        <v>33</v>
      </c>
      <c r="Q1430" s="40">
        <v>0</v>
      </c>
      <c r="R1430" s="40">
        <v>107</v>
      </c>
      <c r="S1430" s="40">
        <v>18</v>
      </c>
    </row>
    <row r="1431" spans="1:19" x14ac:dyDescent="0.35">
      <c r="A1431" s="38">
        <v>1428</v>
      </c>
      <c r="B1431" s="38" t="str">
        <f>_xlfn.XLOOKUP(A1431,'Model Modeshare by TAZ'!A:A,'Model Modeshare by TAZ'!B:B)</f>
        <v>Sunnyvale</v>
      </c>
      <c r="C1431" s="38" t="str">
        <f>_xlfn.XLOOKUP(A1431,'Model Modeshare by TAZ'!A:A,'Model Modeshare by TAZ'!D:D)</f>
        <v>NO</v>
      </c>
      <c r="D1431" s="6">
        <v>3</v>
      </c>
      <c r="E1431" s="6">
        <v>478</v>
      </c>
      <c r="F1431" s="6">
        <v>1334</v>
      </c>
      <c r="G1431" s="6">
        <v>1387</v>
      </c>
      <c r="H1431" s="6">
        <v>667</v>
      </c>
      <c r="I1431" s="6">
        <v>428</v>
      </c>
      <c r="J1431" s="6">
        <v>50</v>
      </c>
      <c r="K1431" s="40">
        <v>125</v>
      </c>
      <c r="L1431" s="40">
        <v>6</v>
      </c>
      <c r="M1431" s="40">
        <v>0</v>
      </c>
      <c r="N1431" s="40">
        <v>0</v>
      </c>
      <c r="O1431" s="40">
        <v>0</v>
      </c>
      <c r="P1431" s="40">
        <v>0</v>
      </c>
      <c r="Q1431" s="40">
        <v>0</v>
      </c>
      <c r="R1431" s="40">
        <v>0</v>
      </c>
      <c r="S1431" s="40">
        <v>0</v>
      </c>
    </row>
    <row r="1432" spans="1:19" x14ac:dyDescent="0.35">
      <c r="A1432" s="38">
        <v>1429</v>
      </c>
      <c r="B1432" s="38" t="str">
        <f>_xlfn.XLOOKUP(A1432,'Model Modeshare by TAZ'!A:A,'Model Modeshare by TAZ'!B:B)</f>
        <v>Sunnyvale</v>
      </c>
      <c r="C1432" s="38" t="str">
        <f>_xlfn.XLOOKUP(A1432,'Model Modeshare by TAZ'!A:A,'Model Modeshare by TAZ'!D:D)</f>
        <v>NO</v>
      </c>
      <c r="D1432" s="6">
        <v>3</v>
      </c>
      <c r="E1432" s="6">
        <v>606</v>
      </c>
      <c r="F1432" s="6">
        <v>1688</v>
      </c>
      <c r="G1432" s="6">
        <v>1759</v>
      </c>
      <c r="H1432" s="6">
        <v>844</v>
      </c>
      <c r="I1432" s="6">
        <v>542</v>
      </c>
      <c r="J1432" s="6">
        <v>64</v>
      </c>
      <c r="K1432" s="40">
        <v>141</v>
      </c>
      <c r="L1432" s="40">
        <v>27</v>
      </c>
      <c r="M1432" s="40">
        <v>354</v>
      </c>
      <c r="N1432" s="40">
        <v>48</v>
      </c>
      <c r="O1432" s="40">
        <v>264</v>
      </c>
      <c r="P1432" s="40">
        <v>16</v>
      </c>
      <c r="Q1432" s="40">
        <v>0</v>
      </c>
      <c r="R1432" s="40">
        <v>18</v>
      </c>
      <c r="S1432" s="40">
        <v>8</v>
      </c>
    </row>
    <row r="1433" spans="1:19" x14ac:dyDescent="0.35">
      <c r="A1433" s="38">
        <v>1430</v>
      </c>
      <c r="B1433" s="38" t="str">
        <f>_xlfn.XLOOKUP(A1433,'Model Modeshare by TAZ'!A:A,'Model Modeshare by TAZ'!B:B)</f>
        <v>Sunnyvale</v>
      </c>
      <c r="C1433" s="38" t="str">
        <f>_xlfn.XLOOKUP(A1433,'Model Modeshare by TAZ'!A:A,'Model Modeshare by TAZ'!D:D)</f>
        <v>NO</v>
      </c>
      <c r="D1433" s="6">
        <v>3</v>
      </c>
      <c r="E1433" s="6">
        <v>468</v>
      </c>
      <c r="F1433" s="6">
        <v>1306</v>
      </c>
      <c r="G1433" s="6">
        <v>1358</v>
      </c>
      <c r="H1433" s="6">
        <v>653</v>
      </c>
      <c r="I1433" s="6">
        <v>420</v>
      </c>
      <c r="J1433" s="6">
        <v>48</v>
      </c>
      <c r="K1433" s="40">
        <v>146</v>
      </c>
      <c r="L1433" s="40">
        <v>11</v>
      </c>
      <c r="M1433" s="40">
        <v>74</v>
      </c>
      <c r="N1433" s="40">
        <v>0</v>
      </c>
      <c r="O1433" s="40">
        <v>13</v>
      </c>
      <c r="P1433" s="40">
        <v>61</v>
      </c>
      <c r="Q1433" s="40">
        <v>0</v>
      </c>
      <c r="R1433" s="40">
        <v>0</v>
      </c>
      <c r="S1433" s="40">
        <v>0</v>
      </c>
    </row>
    <row r="1434" spans="1:19" x14ac:dyDescent="0.35">
      <c r="A1434" s="38">
        <v>1431</v>
      </c>
      <c r="B1434" s="38" t="str">
        <f>_xlfn.XLOOKUP(A1434,'Model Modeshare by TAZ'!A:A,'Model Modeshare by TAZ'!B:B)</f>
        <v>Sunnyvale</v>
      </c>
      <c r="C1434" s="38" t="str">
        <f>_xlfn.XLOOKUP(A1434,'Model Modeshare by TAZ'!A:A,'Model Modeshare by TAZ'!D:D)</f>
        <v>NO</v>
      </c>
      <c r="D1434" s="6">
        <v>3</v>
      </c>
      <c r="E1434" s="6">
        <v>453</v>
      </c>
      <c r="F1434" s="6">
        <v>1274</v>
      </c>
      <c r="G1434" s="6">
        <v>1274</v>
      </c>
      <c r="H1434" s="6">
        <v>640</v>
      </c>
      <c r="I1434" s="6">
        <v>446</v>
      </c>
      <c r="J1434" s="6">
        <v>7</v>
      </c>
      <c r="K1434" s="40">
        <v>140</v>
      </c>
      <c r="L1434" s="40">
        <v>10</v>
      </c>
      <c r="M1434" s="40">
        <v>320</v>
      </c>
      <c r="N1434" s="40">
        <v>72</v>
      </c>
      <c r="O1434" s="40">
        <v>163</v>
      </c>
      <c r="P1434" s="40">
        <v>83</v>
      </c>
      <c r="Q1434" s="40">
        <v>0</v>
      </c>
      <c r="R1434" s="40">
        <v>0</v>
      </c>
      <c r="S1434" s="40">
        <v>2</v>
      </c>
    </row>
    <row r="1435" spans="1:19" x14ac:dyDescent="0.35">
      <c r="A1435" s="38">
        <v>1432</v>
      </c>
      <c r="B1435" s="38" t="str">
        <f>_xlfn.XLOOKUP(A1435,'Model Modeshare by TAZ'!A:A,'Model Modeshare by TAZ'!B:B)</f>
        <v>Sunnyvale</v>
      </c>
      <c r="C1435" s="38" t="str">
        <f>_xlfn.XLOOKUP(A1435,'Model Modeshare by TAZ'!A:A,'Model Modeshare by TAZ'!D:D)</f>
        <v>NO</v>
      </c>
      <c r="D1435" s="6">
        <v>3</v>
      </c>
      <c r="E1435" s="6">
        <v>448</v>
      </c>
      <c r="F1435" s="6">
        <v>1258</v>
      </c>
      <c r="G1435" s="6">
        <v>1263</v>
      </c>
      <c r="H1435" s="6">
        <v>634</v>
      </c>
      <c r="I1435" s="6">
        <v>441</v>
      </c>
      <c r="J1435" s="6">
        <v>7</v>
      </c>
      <c r="K1435" s="40">
        <v>134</v>
      </c>
      <c r="L1435" s="40">
        <v>16</v>
      </c>
      <c r="M1435" s="40">
        <v>480</v>
      </c>
      <c r="N1435" s="40">
        <v>141</v>
      </c>
      <c r="O1435" s="40">
        <v>279</v>
      </c>
      <c r="P1435" s="40">
        <v>47</v>
      </c>
      <c r="Q1435" s="40">
        <v>0</v>
      </c>
      <c r="R1435" s="40">
        <v>0</v>
      </c>
      <c r="S1435" s="40">
        <v>13</v>
      </c>
    </row>
    <row r="1436" spans="1:19" x14ac:dyDescent="0.35">
      <c r="A1436" s="38">
        <v>1433</v>
      </c>
      <c r="B1436" s="38" t="str">
        <f>_xlfn.XLOOKUP(A1436,'Model Modeshare by TAZ'!A:A,'Model Modeshare by TAZ'!B:B)</f>
        <v>Sunnyvale</v>
      </c>
      <c r="C1436" s="38" t="str">
        <f>_xlfn.XLOOKUP(A1436,'Model Modeshare by TAZ'!A:A,'Model Modeshare by TAZ'!D:D)</f>
        <v>NO</v>
      </c>
      <c r="D1436" s="6">
        <v>3</v>
      </c>
      <c r="E1436" s="6">
        <v>697</v>
      </c>
      <c r="F1436" s="6">
        <v>1889</v>
      </c>
      <c r="G1436" s="6">
        <v>1897</v>
      </c>
      <c r="H1436" s="6">
        <v>983</v>
      </c>
      <c r="I1436" s="6">
        <v>292</v>
      </c>
      <c r="J1436" s="6">
        <v>405</v>
      </c>
      <c r="K1436" s="40">
        <v>120</v>
      </c>
      <c r="L1436" s="40">
        <v>32</v>
      </c>
      <c r="M1436" s="40">
        <v>86</v>
      </c>
      <c r="N1436" s="40">
        <v>19</v>
      </c>
      <c r="O1436" s="40">
        <v>51</v>
      </c>
      <c r="P1436" s="40">
        <v>11</v>
      </c>
      <c r="Q1436" s="40">
        <v>0</v>
      </c>
      <c r="R1436" s="40">
        <v>0</v>
      </c>
      <c r="S1436" s="40">
        <v>5</v>
      </c>
    </row>
    <row r="1437" spans="1:19" x14ac:dyDescent="0.35">
      <c r="A1437" s="38">
        <v>1434</v>
      </c>
      <c r="B1437" s="38" t="str">
        <f>_xlfn.XLOOKUP(A1437,'Model Modeshare by TAZ'!A:A,'Model Modeshare by TAZ'!B:B)</f>
        <v>Sunnyvale</v>
      </c>
      <c r="C1437" s="38" t="str">
        <f>_xlfn.XLOOKUP(A1437,'Model Modeshare by TAZ'!A:A,'Model Modeshare by TAZ'!D:D)</f>
        <v>NO</v>
      </c>
      <c r="D1437" s="6">
        <v>3</v>
      </c>
      <c r="E1437" s="6">
        <v>2129</v>
      </c>
      <c r="F1437" s="6">
        <v>5772</v>
      </c>
      <c r="G1437" s="6">
        <v>5793</v>
      </c>
      <c r="H1437" s="6">
        <v>3003</v>
      </c>
      <c r="I1437" s="6">
        <v>871</v>
      </c>
      <c r="J1437" s="6">
        <v>1258</v>
      </c>
      <c r="K1437" s="40">
        <v>142</v>
      </c>
      <c r="L1437" s="40">
        <v>15</v>
      </c>
      <c r="M1437" s="40">
        <v>246</v>
      </c>
      <c r="N1437" s="40">
        <v>66</v>
      </c>
      <c r="O1437" s="40">
        <v>131</v>
      </c>
      <c r="P1437" s="40">
        <v>33</v>
      </c>
      <c r="Q1437" s="40">
        <v>5</v>
      </c>
      <c r="R1437" s="40">
        <v>0</v>
      </c>
      <c r="S1437" s="40">
        <v>11</v>
      </c>
    </row>
    <row r="1438" spans="1:19" x14ac:dyDescent="0.35">
      <c r="A1438" s="38">
        <v>1435</v>
      </c>
      <c r="B1438" s="38" t="str">
        <f>_xlfn.XLOOKUP(A1438,'Model Modeshare by TAZ'!A:A,'Model Modeshare by TAZ'!B:B)</f>
        <v>Sunnyvale</v>
      </c>
      <c r="C1438" s="38" t="str">
        <f>_xlfn.XLOOKUP(A1438,'Model Modeshare by TAZ'!A:A,'Model Modeshare by TAZ'!D:D)</f>
        <v>NO</v>
      </c>
      <c r="D1438" s="6">
        <v>3</v>
      </c>
      <c r="E1438" s="6">
        <v>902</v>
      </c>
      <c r="F1438" s="6">
        <v>2620</v>
      </c>
      <c r="G1438" s="6">
        <v>2622</v>
      </c>
      <c r="H1438" s="6">
        <v>1312</v>
      </c>
      <c r="I1438" s="6">
        <v>741</v>
      </c>
      <c r="J1438" s="6">
        <v>161</v>
      </c>
      <c r="K1438" s="40">
        <v>182</v>
      </c>
      <c r="L1438" s="40">
        <v>18</v>
      </c>
      <c r="M1438" s="40">
        <v>157</v>
      </c>
      <c r="N1438" s="40">
        <v>138</v>
      </c>
      <c r="O1438" s="40">
        <v>8</v>
      </c>
      <c r="P1438" s="40">
        <v>0</v>
      </c>
      <c r="Q1438" s="40">
        <v>3</v>
      </c>
      <c r="R1438" s="40">
        <v>8</v>
      </c>
      <c r="S1438" s="40">
        <v>0</v>
      </c>
    </row>
    <row r="1439" spans="1:19" x14ac:dyDescent="0.35">
      <c r="A1439" s="38">
        <v>1436</v>
      </c>
      <c r="B1439" s="38" t="str">
        <f>_xlfn.XLOOKUP(A1439,'Model Modeshare by TAZ'!A:A,'Model Modeshare by TAZ'!B:B)</f>
        <v>Sunnyvale</v>
      </c>
      <c r="C1439" s="38" t="str">
        <f>_xlfn.XLOOKUP(A1439,'Model Modeshare by TAZ'!A:A,'Model Modeshare by TAZ'!D:D)</f>
        <v>NO</v>
      </c>
      <c r="D1439" s="6">
        <v>3</v>
      </c>
      <c r="E1439" s="6">
        <v>767</v>
      </c>
      <c r="F1439" s="6">
        <v>2226</v>
      </c>
      <c r="G1439" s="6">
        <v>2231</v>
      </c>
      <c r="H1439" s="6">
        <v>1115</v>
      </c>
      <c r="I1439" s="6">
        <v>608</v>
      </c>
      <c r="J1439" s="6">
        <v>159</v>
      </c>
      <c r="K1439" s="40">
        <v>132</v>
      </c>
      <c r="L1439" s="40">
        <v>35</v>
      </c>
      <c r="M1439" s="40">
        <v>276</v>
      </c>
      <c r="N1439" s="40">
        <v>0</v>
      </c>
      <c r="O1439" s="40">
        <v>88</v>
      </c>
      <c r="P1439" s="40">
        <v>56</v>
      </c>
      <c r="Q1439" s="40">
        <v>0</v>
      </c>
      <c r="R1439" s="40">
        <v>121</v>
      </c>
      <c r="S1439" s="40">
        <v>11</v>
      </c>
    </row>
    <row r="1440" spans="1:19" x14ac:dyDescent="0.35">
      <c r="A1440" s="38">
        <v>1437</v>
      </c>
      <c r="B1440" s="38" t="str">
        <f>_xlfn.XLOOKUP(A1440,'Model Modeshare by TAZ'!A:A,'Model Modeshare by TAZ'!B:B)</f>
        <v>Sunnyvale</v>
      </c>
      <c r="C1440" s="38" t="str">
        <f>_xlfn.XLOOKUP(A1440,'Model Modeshare by TAZ'!A:A,'Model Modeshare by TAZ'!D:D)</f>
        <v>NO</v>
      </c>
      <c r="D1440" s="6">
        <v>3</v>
      </c>
      <c r="E1440" s="6">
        <v>579</v>
      </c>
      <c r="F1440" s="6">
        <v>1515</v>
      </c>
      <c r="G1440" s="6">
        <v>1580</v>
      </c>
      <c r="H1440" s="6">
        <v>824</v>
      </c>
      <c r="I1440" s="6">
        <v>560</v>
      </c>
      <c r="J1440" s="6">
        <v>19</v>
      </c>
      <c r="K1440" s="40">
        <v>133</v>
      </c>
      <c r="L1440" s="40">
        <v>27</v>
      </c>
      <c r="M1440" s="40">
        <v>175</v>
      </c>
      <c r="N1440" s="40">
        <v>32</v>
      </c>
      <c r="O1440" s="40">
        <v>116</v>
      </c>
      <c r="P1440" s="40">
        <v>1</v>
      </c>
      <c r="Q1440" s="40">
        <v>1</v>
      </c>
      <c r="R1440" s="40">
        <v>19</v>
      </c>
      <c r="S1440" s="40">
        <v>6</v>
      </c>
    </row>
    <row r="1441" spans="1:19" x14ac:dyDescent="0.35">
      <c r="A1441" s="38">
        <v>1438</v>
      </c>
      <c r="B1441" s="38" t="str">
        <f>_xlfn.XLOOKUP(A1441,'Model Modeshare by TAZ'!A:A,'Model Modeshare by TAZ'!B:B)</f>
        <v>Sunnyvale</v>
      </c>
      <c r="C1441" s="38" t="str">
        <f>_xlfn.XLOOKUP(A1441,'Model Modeshare by TAZ'!A:A,'Model Modeshare by TAZ'!D:D)</f>
        <v>NO</v>
      </c>
      <c r="D1441" s="6">
        <v>3</v>
      </c>
      <c r="E1441" s="6">
        <v>473</v>
      </c>
      <c r="F1441" s="6">
        <v>1237</v>
      </c>
      <c r="G1441" s="6">
        <v>1301</v>
      </c>
      <c r="H1441" s="6">
        <v>673</v>
      </c>
      <c r="I1441" s="6">
        <v>458</v>
      </c>
      <c r="J1441" s="6">
        <v>15</v>
      </c>
      <c r="K1441" s="40">
        <v>107</v>
      </c>
      <c r="L1441" s="40">
        <v>54</v>
      </c>
      <c r="M1441" s="40">
        <v>182</v>
      </c>
      <c r="N1441" s="40">
        <v>14</v>
      </c>
      <c r="O1441" s="40">
        <v>123</v>
      </c>
      <c r="P1441" s="40">
        <v>38</v>
      </c>
      <c r="Q1441" s="40">
        <v>0</v>
      </c>
      <c r="R1441" s="40">
        <v>5</v>
      </c>
      <c r="S1441" s="40">
        <v>2</v>
      </c>
    </row>
    <row r="1442" spans="1:19" x14ac:dyDescent="0.35">
      <c r="A1442" s="38">
        <v>1439</v>
      </c>
      <c r="B1442" s="38" t="str">
        <f>_xlfn.XLOOKUP(A1442,'Model Modeshare by TAZ'!A:A,'Model Modeshare by TAZ'!B:B)</f>
        <v>Sunnyvale</v>
      </c>
      <c r="C1442" s="38" t="str">
        <f>_xlfn.XLOOKUP(A1442,'Model Modeshare by TAZ'!A:A,'Model Modeshare by TAZ'!D:D)</f>
        <v>NO</v>
      </c>
      <c r="D1442" s="6">
        <v>3</v>
      </c>
      <c r="E1442" s="6">
        <v>1532</v>
      </c>
      <c r="F1442" s="6">
        <v>3603</v>
      </c>
      <c r="G1442" s="6">
        <v>3648</v>
      </c>
      <c r="H1442" s="6">
        <v>1883</v>
      </c>
      <c r="I1442" s="6">
        <v>507</v>
      </c>
      <c r="J1442" s="6">
        <v>1025</v>
      </c>
      <c r="K1442" s="40">
        <v>146</v>
      </c>
      <c r="L1442" s="40">
        <v>29</v>
      </c>
      <c r="M1442" s="40">
        <v>297</v>
      </c>
      <c r="N1442" s="40">
        <v>7</v>
      </c>
      <c r="O1442" s="40">
        <v>161</v>
      </c>
      <c r="P1442" s="40">
        <v>111</v>
      </c>
      <c r="Q1442" s="40">
        <v>1</v>
      </c>
      <c r="R1442" s="40">
        <v>0</v>
      </c>
      <c r="S1442" s="40">
        <v>17</v>
      </c>
    </row>
    <row r="1443" spans="1:19" x14ac:dyDescent="0.35">
      <c r="A1443" s="38">
        <v>1440</v>
      </c>
      <c r="B1443" s="38" t="str">
        <f>_xlfn.XLOOKUP(A1443,'Model Modeshare by TAZ'!A:A,'Model Modeshare by TAZ'!B:B)</f>
        <v>Sunnyvale</v>
      </c>
      <c r="C1443" s="38" t="str">
        <f>_xlfn.XLOOKUP(A1443,'Model Modeshare by TAZ'!A:A,'Model Modeshare by TAZ'!D:D)</f>
        <v>NO</v>
      </c>
      <c r="D1443" s="6">
        <v>3</v>
      </c>
      <c r="E1443" s="6">
        <v>597</v>
      </c>
      <c r="F1443" s="6">
        <v>1403</v>
      </c>
      <c r="G1443" s="6">
        <v>1426</v>
      </c>
      <c r="H1443" s="6">
        <v>735</v>
      </c>
      <c r="I1443" s="6">
        <v>197</v>
      </c>
      <c r="J1443" s="6">
        <v>400</v>
      </c>
      <c r="K1443" s="40">
        <v>78</v>
      </c>
      <c r="L1443" s="40">
        <v>14</v>
      </c>
      <c r="M1443" s="40">
        <v>300</v>
      </c>
      <c r="N1443" s="40">
        <v>6</v>
      </c>
      <c r="O1443" s="40">
        <v>257</v>
      </c>
      <c r="P1443" s="40">
        <v>34</v>
      </c>
      <c r="Q1443" s="40">
        <v>0</v>
      </c>
      <c r="R1443" s="40">
        <v>0</v>
      </c>
      <c r="S1443" s="40">
        <v>3</v>
      </c>
    </row>
    <row r="1444" spans="1:19" x14ac:dyDescent="0.35">
      <c r="A1444" s="38">
        <v>1441</v>
      </c>
      <c r="B1444" s="38" t="str">
        <f>_xlfn.XLOOKUP(A1444,'Model Modeshare by TAZ'!A:A,'Model Modeshare by TAZ'!B:B)</f>
        <v>Sunnyvale</v>
      </c>
      <c r="C1444" s="38" t="str">
        <f>_xlfn.XLOOKUP(A1444,'Model Modeshare by TAZ'!A:A,'Model Modeshare by TAZ'!D:D)</f>
        <v>NO</v>
      </c>
      <c r="D1444" s="6">
        <v>3</v>
      </c>
      <c r="E1444" s="6">
        <v>645</v>
      </c>
      <c r="F1444" s="6">
        <v>1518</v>
      </c>
      <c r="G1444" s="6">
        <v>1537</v>
      </c>
      <c r="H1444" s="6">
        <v>795</v>
      </c>
      <c r="I1444" s="6">
        <v>213</v>
      </c>
      <c r="J1444" s="6">
        <v>432</v>
      </c>
      <c r="K1444" s="40">
        <v>56</v>
      </c>
      <c r="L1444" s="40">
        <v>33</v>
      </c>
      <c r="M1444" s="40">
        <v>765</v>
      </c>
      <c r="N1444" s="40">
        <v>71</v>
      </c>
      <c r="O1444" s="40">
        <v>490</v>
      </c>
      <c r="P1444" s="40">
        <v>185</v>
      </c>
      <c r="Q1444" s="40">
        <v>1</v>
      </c>
      <c r="R1444" s="40">
        <v>0</v>
      </c>
      <c r="S1444" s="40">
        <v>18</v>
      </c>
    </row>
    <row r="1445" spans="1:19" x14ac:dyDescent="0.35">
      <c r="A1445" s="38">
        <v>1442</v>
      </c>
      <c r="B1445" s="38" t="str">
        <f>_xlfn.XLOOKUP(A1445,'Model Modeshare by TAZ'!A:A,'Model Modeshare by TAZ'!B:B)</f>
        <v>Sunnyvale</v>
      </c>
      <c r="C1445" s="38" t="str">
        <f>_xlfn.XLOOKUP(A1445,'Model Modeshare by TAZ'!A:A,'Model Modeshare by TAZ'!D:D)</f>
        <v>NO</v>
      </c>
      <c r="D1445" s="6">
        <v>3</v>
      </c>
      <c r="E1445" s="6">
        <v>375</v>
      </c>
      <c r="F1445" s="6">
        <v>991</v>
      </c>
      <c r="G1445" s="6">
        <v>991</v>
      </c>
      <c r="H1445" s="6">
        <v>499</v>
      </c>
      <c r="I1445" s="6">
        <v>278</v>
      </c>
      <c r="J1445" s="6">
        <v>97</v>
      </c>
      <c r="K1445" s="40">
        <v>4</v>
      </c>
      <c r="L1445" s="40">
        <v>11</v>
      </c>
      <c r="M1445" s="40">
        <v>264</v>
      </c>
      <c r="N1445" s="40">
        <v>78</v>
      </c>
      <c r="O1445" s="40">
        <v>185</v>
      </c>
      <c r="P1445" s="40">
        <v>0</v>
      </c>
      <c r="Q1445" s="40">
        <v>0</v>
      </c>
      <c r="R1445" s="40">
        <v>1</v>
      </c>
      <c r="S1445" s="40">
        <v>0</v>
      </c>
    </row>
    <row r="1446" spans="1:19" x14ac:dyDescent="0.35">
      <c r="A1446" s="38">
        <v>1443</v>
      </c>
      <c r="B1446" s="38" t="str">
        <f>_xlfn.XLOOKUP(A1446,'Model Modeshare by TAZ'!A:A,'Model Modeshare by TAZ'!B:B)</f>
        <v>Sunnyvale</v>
      </c>
      <c r="C1446" s="38" t="str">
        <f>_xlfn.XLOOKUP(A1446,'Model Modeshare by TAZ'!A:A,'Model Modeshare by TAZ'!D:D)</f>
        <v>NO</v>
      </c>
      <c r="D1446" s="6">
        <v>3</v>
      </c>
      <c r="E1446" s="6">
        <v>990</v>
      </c>
      <c r="F1446" s="6">
        <v>2619</v>
      </c>
      <c r="G1446" s="6">
        <v>2620</v>
      </c>
      <c r="H1446" s="6">
        <v>1323</v>
      </c>
      <c r="I1446" s="6">
        <v>731</v>
      </c>
      <c r="J1446" s="6">
        <v>259</v>
      </c>
      <c r="K1446" s="40">
        <v>179</v>
      </c>
      <c r="L1446" s="40">
        <v>8</v>
      </c>
      <c r="M1446" s="40">
        <v>115</v>
      </c>
      <c r="N1446" s="40">
        <v>4</v>
      </c>
      <c r="O1446" s="40">
        <v>96</v>
      </c>
      <c r="P1446" s="40">
        <v>0</v>
      </c>
      <c r="Q1446" s="40">
        <v>0</v>
      </c>
      <c r="R1446" s="40">
        <v>11</v>
      </c>
      <c r="S1446" s="40">
        <v>4</v>
      </c>
    </row>
    <row r="1447" spans="1:19" x14ac:dyDescent="0.35">
      <c r="A1447" s="38">
        <v>1444</v>
      </c>
      <c r="B1447" s="38" t="str">
        <f>_xlfn.XLOOKUP(A1447,'Model Modeshare by TAZ'!A:A,'Model Modeshare by TAZ'!B:B)</f>
        <v>Sunnyvale</v>
      </c>
      <c r="C1447" s="38" t="str">
        <f>_xlfn.XLOOKUP(A1447,'Model Modeshare by TAZ'!A:A,'Model Modeshare by TAZ'!D:D)</f>
        <v>NO</v>
      </c>
      <c r="D1447" s="6">
        <v>3</v>
      </c>
      <c r="E1447" s="6">
        <v>567</v>
      </c>
      <c r="F1447" s="6">
        <v>1500</v>
      </c>
      <c r="G1447" s="6">
        <v>1505</v>
      </c>
      <c r="H1447" s="6">
        <v>757</v>
      </c>
      <c r="I1447" s="6">
        <v>418</v>
      </c>
      <c r="J1447" s="6">
        <v>149</v>
      </c>
      <c r="K1447" s="40">
        <v>125</v>
      </c>
      <c r="L1447" s="40">
        <v>11</v>
      </c>
      <c r="M1447" s="40">
        <v>415</v>
      </c>
      <c r="N1447" s="40">
        <v>53</v>
      </c>
      <c r="O1447" s="40">
        <v>309</v>
      </c>
      <c r="P1447" s="40">
        <v>25</v>
      </c>
      <c r="Q1447" s="40">
        <v>0</v>
      </c>
      <c r="R1447" s="40">
        <v>22</v>
      </c>
      <c r="S1447" s="40">
        <v>6</v>
      </c>
    </row>
    <row r="1448" spans="1:19" x14ac:dyDescent="0.35">
      <c r="A1448" s="38">
        <v>1445</v>
      </c>
      <c r="B1448" s="38" t="str">
        <f>_xlfn.XLOOKUP(A1448,'Model Modeshare by TAZ'!A:A,'Model Modeshare by TAZ'!B:B)</f>
        <v>Sunnyvale</v>
      </c>
      <c r="C1448" s="38" t="str">
        <f>_xlfn.XLOOKUP(A1448,'Model Modeshare by TAZ'!A:A,'Model Modeshare by TAZ'!D:D)</f>
        <v>NO</v>
      </c>
      <c r="D1448" s="6">
        <v>3</v>
      </c>
      <c r="E1448" s="6">
        <v>475</v>
      </c>
      <c r="F1448" s="6">
        <v>1257</v>
      </c>
      <c r="G1448" s="6">
        <v>1257</v>
      </c>
      <c r="H1448" s="6">
        <v>635</v>
      </c>
      <c r="I1448" s="6">
        <v>349</v>
      </c>
      <c r="J1448" s="6">
        <v>126</v>
      </c>
      <c r="K1448" s="40">
        <v>108</v>
      </c>
      <c r="L1448" s="40">
        <v>1</v>
      </c>
      <c r="M1448" s="40">
        <v>0</v>
      </c>
      <c r="N1448" s="40">
        <v>0</v>
      </c>
      <c r="O1448" s="40">
        <v>0</v>
      </c>
      <c r="P1448" s="40">
        <v>0</v>
      </c>
      <c r="Q1448" s="40">
        <v>0</v>
      </c>
      <c r="R1448" s="40">
        <v>0</v>
      </c>
      <c r="S1448" s="40">
        <v>0</v>
      </c>
    </row>
    <row r="1449" spans="1:19" x14ac:dyDescent="0.35">
      <c r="A1449" s="38">
        <v>1446</v>
      </c>
      <c r="B1449" s="38" t="str">
        <f>_xlfn.XLOOKUP(A1449,'Model Modeshare by TAZ'!A:A,'Model Modeshare by TAZ'!B:B)</f>
        <v>Sunnyvale</v>
      </c>
      <c r="C1449" s="38" t="str">
        <f>_xlfn.XLOOKUP(A1449,'Model Modeshare by TAZ'!A:A,'Model Modeshare by TAZ'!D:D)</f>
        <v>NO</v>
      </c>
      <c r="D1449" s="6">
        <v>3</v>
      </c>
      <c r="E1449" s="6">
        <v>500</v>
      </c>
      <c r="F1449" s="6">
        <v>1207</v>
      </c>
      <c r="G1449" s="6">
        <v>1212</v>
      </c>
      <c r="H1449" s="6">
        <v>768</v>
      </c>
      <c r="I1449" s="6">
        <v>51</v>
      </c>
      <c r="J1449" s="6">
        <v>449</v>
      </c>
      <c r="K1449" s="40">
        <v>47</v>
      </c>
      <c r="L1449" s="40">
        <v>2</v>
      </c>
      <c r="M1449" s="40">
        <v>60</v>
      </c>
      <c r="N1449" s="40">
        <v>0</v>
      </c>
      <c r="O1449" s="40">
        <v>19</v>
      </c>
      <c r="P1449" s="40">
        <v>34</v>
      </c>
      <c r="Q1449" s="40">
        <v>0</v>
      </c>
      <c r="R1449" s="40">
        <v>6</v>
      </c>
      <c r="S1449" s="40">
        <v>1</v>
      </c>
    </row>
    <row r="1450" spans="1:19" x14ac:dyDescent="0.35">
      <c r="A1450" s="38">
        <v>1447</v>
      </c>
      <c r="B1450" s="38" t="str">
        <f>_xlfn.XLOOKUP(A1450,'Model Modeshare by TAZ'!A:A,'Model Modeshare by TAZ'!B:B)</f>
        <v>Sunnyvale</v>
      </c>
      <c r="C1450" s="38" t="str">
        <f>_xlfn.XLOOKUP(A1450,'Model Modeshare by TAZ'!A:A,'Model Modeshare by TAZ'!D:D)</f>
        <v>NO</v>
      </c>
      <c r="D1450" s="6">
        <v>3</v>
      </c>
      <c r="E1450" s="6">
        <v>340</v>
      </c>
      <c r="F1450" s="6">
        <v>899</v>
      </c>
      <c r="G1450" s="6">
        <v>915</v>
      </c>
      <c r="H1450" s="6">
        <v>464</v>
      </c>
      <c r="I1450" s="6">
        <v>289</v>
      </c>
      <c r="J1450" s="6">
        <v>51</v>
      </c>
      <c r="K1450" s="40">
        <v>45</v>
      </c>
      <c r="L1450" s="40">
        <v>2</v>
      </c>
      <c r="M1450" s="40">
        <v>0</v>
      </c>
      <c r="N1450" s="40">
        <v>0</v>
      </c>
      <c r="O1450" s="40">
        <v>0</v>
      </c>
      <c r="P1450" s="40">
        <v>0</v>
      </c>
      <c r="Q1450" s="40">
        <v>0</v>
      </c>
      <c r="R1450" s="40">
        <v>0</v>
      </c>
      <c r="S1450" s="40">
        <v>0</v>
      </c>
    </row>
    <row r="1451" spans="1:19" x14ac:dyDescent="0.35">
      <c r="A1451" s="38">
        <v>1448</v>
      </c>
      <c r="B1451" s="38" t="str">
        <f>_xlfn.XLOOKUP(A1451,'Model Modeshare by TAZ'!A:A,'Model Modeshare by TAZ'!B:B)</f>
        <v>Sunnyvale</v>
      </c>
      <c r="C1451" s="38" t="str">
        <f>_xlfn.XLOOKUP(A1451,'Model Modeshare by TAZ'!A:A,'Model Modeshare by TAZ'!D:D)</f>
        <v>NO</v>
      </c>
      <c r="D1451" s="6">
        <v>3</v>
      </c>
      <c r="E1451" s="6">
        <v>41</v>
      </c>
      <c r="F1451" s="6">
        <v>107</v>
      </c>
      <c r="G1451" s="6">
        <v>113</v>
      </c>
      <c r="H1451" s="6">
        <v>56</v>
      </c>
      <c r="I1451" s="6">
        <v>31</v>
      </c>
      <c r="J1451" s="6">
        <v>10</v>
      </c>
      <c r="K1451" s="40">
        <v>7</v>
      </c>
      <c r="L1451" s="40">
        <v>23</v>
      </c>
      <c r="M1451" s="40">
        <v>392</v>
      </c>
      <c r="N1451" s="40">
        <v>33</v>
      </c>
      <c r="O1451" s="40">
        <v>53</v>
      </c>
      <c r="P1451" s="40">
        <v>194</v>
      </c>
      <c r="Q1451" s="40">
        <v>0</v>
      </c>
      <c r="R1451" s="40">
        <v>92</v>
      </c>
      <c r="S1451" s="40">
        <v>20</v>
      </c>
    </row>
    <row r="1452" spans="1:19" x14ac:dyDescent="0.35">
      <c r="A1452" s="38">
        <v>1449</v>
      </c>
      <c r="B1452" s="38" t="str">
        <f>_xlfn.XLOOKUP(A1452,'Model Modeshare by TAZ'!A:A,'Model Modeshare by TAZ'!B:B)</f>
        <v>Sunnyvale</v>
      </c>
      <c r="C1452" s="38" t="str">
        <f>_xlfn.XLOOKUP(A1452,'Model Modeshare by TAZ'!A:A,'Model Modeshare by TAZ'!D:D)</f>
        <v>NO</v>
      </c>
      <c r="D1452" s="6">
        <v>3</v>
      </c>
      <c r="E1452" s="6">
        <v>778</v>
      </c>
      <c r="F1452" s="6">
        <v>2259</v>
      </c>
      <c r="G1452" s="6">
        <v>2259</v>
      </c>
      <c r="H1452" s="6">
        <v>1068</v>
      </c>
      <c r="I1452" s="6">
        <v>517</v>
      </c>
      <c r="J1452" s="6">
        <v>261</v>
      </c>
      <c r="K1452" s="40">
        <v>63</v>
      </c>
      <c r="L1452" s="40">
        <v>11</v>
      </c>
      <c r="M1452" s="40">
        <v>156</v>
      </c>
      <c r="N1452" s="40">
        <v>32</v>
      </c>
      <c r="O1452" s="40">
        <v>32</v>
      </c>
      <c r="P1452" s="40">
        <v>14</v>
      </c>
      <c r="Q1452" s="40">
        <v>0</v>
      </c>
      <c r="R1452" s="40">
        <v>72</v>
      </c>
      <c r="S1452" s="40">
        <v>6</v>
      </c>
    </row>
    <row r="1453" spans="1:19" x14ac:dyDescent="0.35">
      <c r="A1453" s="38">
        <v>1450</v>
      </c>
      <c r="B1453" s="38" t="str">
        <f>_xlfn.XLOOKUP(A1453,'Model Modeshare by TAZ'!A:A,'Model Modeshare by TAZ'!B:B)</f>
        <v>Sunnyvale</v>
      </c>
      <c r="C1453" s="38" t="str">
        <f>_xlfn.XLOOKUP(A1453,'Model Modeshare by TAZ'!A:A,'Model Modeshare by TAZ'!D:D)</f>
        <v>NO</v>
      </c>
      <c r="D1453" s="6">
        <v>3</v>
      </c>
      <c r="E1453" s="6">
        <v>730</v>
      </c>
      <c r="F1453" s="6">
        <v>2019</v>
      </c>
      <c r="G1453" s="6">
        <v>2025</v>
      </c>
      <c r="H1453" s="6">
        <v>1112</v>
      </c>
      <c r="I1453" s="6">
        <v>426</v>
      </c>
      <c r="J1453" s="6">
        <v>304</v>
      </c>
      <c r="K1453" s="40">
        <v>133</v>
      </c>
      <c r="L1453" s="40">
        <v>82</v>
      </c>
      <c r="M1453" s="40">
        <v>529</v>
      </c>
      <c r="N1453" s="40">
        <v>142</v>
      </c>
      <c r="O1453" s="40">
        <v>157</v>
      </c>
      <c r="P1453" s="40">
        <v>72</v>
      </c>
      <c r="Q1453" s="40">
        <v>0</v>
      </c>
      <c r="R1453" s="40">
        <v>13</v>
      </c>
      <c r="S1453" s="40">
        <v>145</v>
      </c>
    </row>
    <row r="1454" spans="1:19" x14ac:dyDescent="0.35">
      <c r="A1454" s="38">
        <v>1451</v>
      </c>
      <c r="B1454" s="38" t="str">
        <f>_xlfn.XLOOKUP(A1454,'Model Modeshare by TAZ'!A:A,'Model Modeshare by TAZ'!B:B)</f>
        <v>Sunnyvale</v>
      </c>
      <c r="C1454" s="38" t="str">
        <f>_xlfn.XLOOKUP(A1454,'Model Modeshare by TAZ'!A:A,'Model Modeshare by TAZ'!D:D)</f>
        <v>NO</v>
      </c>
      <c r="D1454" s="6">
        <v>3</v>
      </c>
      <c r="E1454" s="6">
        <v>508</v>
      </c>
      <c r="F1454" s="6">
        <v>1294</v>
      </c>
      <c r="G1454" s="6">
        <v>1294</v>
      </c>
      <c r="H1454" s="6">
        <v>771</v>
      </c>
      <c r="I1454" s="6">
        <v>149</v>
      </c>
      <c r="J1454" s="6">
        <v>359</v>
      </c>
      <c r="K1454" s="40">
        <v>32</v>
      </c>
      <c r="L1454" s="40">
        <v>5</v>
      </c>
      <c r="M1454" s="40">
        <v>330</v>
      </c>
      <c r="N1454" s="40">
        <v>20</v>
      </c>
      <c r="O1454" s="40">
        <v>167</v>
      </c>
      <c r="P1454" s="40">
        <v>23</v>
      </c>
      <c r="Q1454" s="40">
        <v>0</v>
      </c>
      <c r="R1454" s="40">
        <v>75</v>
      </c>
      <c r="S1454" s="40">
        <v>45</v>
      </c>
    </row>
    <row r="1455" spans="1:19" x14ac:dyDescent="0.35">
      <c r="A1455" s="38">
        <v>1452</v>
      </c>
      <c r="B1455" s="38" t="str">
        <f>_xlfn.XLOOKUP(A1455,'Model Modeshare by TAZ'!A:A,'Model Modeshare by TAZ'!B:B)</f>
        <v>Sunnyvale</v>
      </c>
      <c r="C1455" s="38" t="str">
        <f>_xlfn.XLOOKUP(A1455,'Model Modeshare by TAZ'!A:A,'Model Modeshare by TAZ'!D:D)</f>
        <v>NO</v>
      </c>
      <c r="D1455" s="6">
        <v>3</v>
      </c>
      <c r="E1455" s="6">
        <v>1008</v>
      </c>
      <c r="F1455" s="6">
        <v>2569</v>
      </c>
      <c r="G1455" s="6">
        <v>2569</v>
      </c>
      <c r="H1455" s="6">
        <v>1532</v>
      </c>
      <c r="I1455" s="6">
        <v>296</v>
      </c>
      <c r="J1455" s="6">
        <v>712</v>
      </c>
      <c r="K1455" s="40">
        <v>106</v>
      </c>
      <c r="L1455" s="40">
        <v>4</v>
      </c>
      <c r="M1455" s="40">
        <v>51</v>
      </c>
      <c r="N1455" s="40">
        <v>5</v>
      </c>
      <c r="O1455" s="40">
        <v>18</v>
      </c>
      <c r="P1455" s="40">
        <v>4</v>
      </c>
      <c r="Q1455" s="40">
        <v>0</v>
      </c>
      <c r="R1455" s="40">
        <v>15</v>
      </c>
      <c r="S1455" s="40">
        <v>9</v>
      </c>
    </row>
    <row r="1456" spans="1:19" x14ac:dyDescent="0.35">
      <c r="A1456" s="38">
        <v>1453</v>
      </c>
      <c r="B1456" s="38" t="str">
        <f>_xlfn.XLOOKUP(A1456,'Model Modeshare by TAZ'!A:A,'Model Modeshare by TAZ'!B:B)</f>
        <v>Sunnyvale</v>
      </c>
      <c r="C1456" s="38" t="str">
        <f>_xlfn.XLOOKUP(A1456,'Model Modeshare by TAZ'!A:A,'Model Modeshare by TAZ'!D:D)</f>
        <v>NO</v>
      </c>
      <c r="D1456" s="6">
        <v>3</v>
      </c>
      <c r="E1456" s="6">
        <v>368</v>
      </c>
      <c r="F1456" s="6">
        <v>938</v>
      </c>
      <c r="G1456" s="6">
        <v>938</v>
      </c>
      <c r="H1456" s="6">
        <v>559</v>
      </c>
      <c r="I1456" s="6">
        <v>108</v>
      </c>
      <c r="J1456" s="6">
        <v>260</v>
      </c>
      <c r="K1456" s="40">
        <v>84</v>
      </c>
      <c r="L1456" s="40">
        <v>1</v>
      </c>
      <c r="M1456" s="40">
        <v>13</v>
      </c>
      <c r="N1456" s="40">
        <v>4</v>
      </c>
      <c r="O1456" s="40">
        <v>6</v>
      </c>
      <c r="P1456" s="40">
        <v>0</v>
      </c>
      <c r="Q1456" s="40">
        <v>0</v>
      </c>
      <c r="R1456" s="40">
        <v>4</v>
      </c>
      <c r="S1456" s="40">
        <v>0</v>
      </c>
    </row>
    <row r="1457" spans="1:19" x14ac:dyDescent="0.35">
      <c r="A1457" s="38">
        <v>1454</v>
      </c>
      <c r="B1457" s="38" t="str">
        <f>_xlfn.XLOOKUP(A1457,'Model Modeshare by TAZ'!A:A,'Model Modeshare by TAZ'!B:B)</f>
        <v>Sunnyvale</v>
      </c>
      <c r="C1457" s="38" t="str">
        <f>_xlfn.XLOOKUP(A1457,'Model Modeshare by TAZ'!A:A,'Model Modeshare by TAZ'!D:D)</f>
        <v>NO</v>
      </c>
      <c r="D1457" s="6">
        <v>3</v>
      </c>
      <c r="E1457" s="6">
        <v>1325</v>
      </c>
      <c r="F1457" s="6">
        <v>3375</v>
      </c>
      <c r="G1457" s="6">
        <v>3376</v>
      </c>
      <c r="H1457" s="6">
        <v>2019</v>
      </c>
      <c r="I1457" s="6">
        <v>388</v>
      </c>
      <c r="J1457" s="6">
        <v>937</v>
      </c>
      <c r="K1457" s="40">
        <v>88</v>
      </c>
      <c r="L1457" s="40">
        <v>54</v>
      </c>
      <c r="M1457" s="40">
        <v>234</v>
      </c>
      <c r="N1457" s="40">
        <v>26</v>
      </c>
      <c r="O1457" s="40">
        <v>55</v>
      </c>
      <c r="P1457" s="40">
        <v>19</v>
      </c>
      <c r="Q1457" s="40">
        <v>0</v>
      </c>
      <c r="R1457" s="40">
        <v>90</v>
      </c>
      <c r="S1457" s="40">
        <v>44</v>
      </c>
    </row>
    <row r="1458" spans="1:19" x14ac:dyDescent="0.35">
      <c r="A1458" s="38">
        <v>1455</v>
      </c>
      <c r="B1458" s="38" t="str">
        <f>_xlfn.XLOOKUP(A1458,'Model Modeshare by TAZ'!A:A,'Model Modeshare by TAZ'!B:B)</f>
        <v>Sunnyvale</v>
      </c>
      <c r="C1458" s="38" t="str">
        <f>_xlfn.XLOOKUP(A1458,'Model Modeshare by TAZ'!A:A,'Model Modeshare by TAZ'!D:D)</f>
        <v>NO</v>
      </c>
      <c r="D1458" s="6">
        <v>3</v>
      </c>
      <c r="E1458" s="6">
        <v>1145</v>
      </c>
      <c r="F1458" s="6">
        <v>2859</v>
      </c>
      <c r="G1458" s="6">
        <v>2861</v>
      </c>
      <c r="H1458" s="6">
        <v>1539</v>
      </c>
      <c r="I1458" s="6">
        <v>202</v>
      </c>
      <c r="J1458" s="6">
        <v>943</v>
      </c>
      <c r="K1458" s="40">
        <v>59</v>
      </c>
      <c r="L1458" s="40">
        <v>18</v>
      </c>
      <c r="M1458" s="40">
        <v>153</v>
      </c>
      <c r="N1458" s="40">
        <v>27</v>
      </c>
      <c r="O1458" s="40">
        <v>0</v>
      </c>
      <c r="P1458" s="40">
        <v>126</v>
      </c>
      <c r="Q1458" s="40">
        <v>0</v>
      </c>
      <c r="R1458" s="40">
        <v>0</v>
      </c>
      <c r="S1458" s="40">
        <v>0</v>
      </c>
    </row>
    <row r="1459" spans="1:19" x14ac:dyDescent="0.35">
      <c r="A1459" s="38">
        <v>1456</v>
      </c>
      <c r="B1459" s="38" t="str">
        <f>_xlfn.XLOOKUP(A1459,'Model Modeshare by TAZ'!A:A,'Model Modeshare by TAZ'!B:B)</f>
        <v>Sunnyvale</v>
      </c>
      <c r="C1459" s="38" t="str">
        <f>_xlfn.XLOOKUP(A1459,'Model Modeshare by TAZ'!A:A,'Model Modeshare by TAZ'!D:D)</f>
        <v>NO</v>
      </c>
      <c r="D1459" s="6">
        <v>3</v>
      </c>
      <c r="E1459" s="6">
        <v>927</v>
      </c>
      <c r="F1459" s="6">
        <v>2314</v>
      </c>
      <c r="G1459" s="6">
        <v>2317</v>
      </c>
      <c r="H1459" s="6">
        <v>1247</v>
      </c>
      <c r="I1459" s="6">
        <v>160</v>
      </c>
      <c r="J1459" s="6">
        <v>767</v>
      </c>
      <c r="K1459" s="40">
        <v>87</v>
      </c>
      <c r="L1459" s="40">
        <v>45</v>
      </c>
      <c r="M1459" s="40">
        <v>553</v>
      </c>
      <c r="N1459" s="40">
        <v>88</v>
      </c>
      <c r="O1459" s="40">
        <v>453</v>
      </c>
      <c r="P1459" s="40">
        <v>6</v>
      </c>
      <c r="Q1459" s="40">
        <v>0</v>
      </c>
      <c r="R1459" s="40">
        <v>6</v>
      </c>
      <c r="S1459" s="40">
        <v>0</v>
      </c>
    </row>
    <row r="1460" spans="1:19" x14ac:dyDescent="0.35">
      <c r="A1460" s="38">
        <v>1457</v>
      </c>
      <c r="B1460" s="38" t="str">
        <f>_xlfn.XLOOKUP(A1460,'Model Modeshare by TAZ'!A:A,'Model Modeshare by TAZ'!B:B)</f>
        <v>Sunnyvale</v>
      </c>
      <c r="C1460" s="38" t="str">
        <f>_xlfn.XLOOKUP(A1460,'Model Modeshare by TAZ'!A:A,'Model Modeshare by TAZ'!D:D)</f>
        <v>NO</v>
      </c>
      <c r="D1460" s="6">
        <v>3</v>
      </c>
      <c r="E1460" s="6">
        <v>230</v>
      </c>
      <c r="F1460" s="6">
        <v>533</v>
      </c>
      <c r="G1460" s="6">
        <v>533</v>
      </c>
      <c r="H1460" s="6">
        <v>340</v>
      </c>
      <c r="I1460" s="6">
        <v>111</v>
      </c>
      <c r="J1460" s="6">
        <v>119</v>
      </c>
      <c r="K1460" s="40">
        <v>48</v>
      </c>
      <c r="L1460" s="40">
        <v>4</v>
      </c>
      <c r="M1460" s="40">
        <v>22</v>
      </c>
      <c r="N1460" s="40">
        <v>13</v>
      </c>
      <c r="O1460" s="40">
        <v>3</v>
      </c>
      <c r="P1460" s="40">
        <v>1</v>
      </c>
      <c r="Q1460" s="40">
        <v>0</v>
      </c>
      <c r="R1460" s="40">
        <v>3</v>
      </c>
      <c r="S1460" s="40">
        <v>2</v>
      </c>
    </row>
    <row r="1461" spans="1:19" x14ac:dyDescent="0.35">
      <c r="A1461" s="38">
        <v>1458</v>
      </c>
      <c r="B1461" s="38" t="str">
        <f>_xlfn.XLOOKUP(A1461,'Model Modeshare by TAZ'!A:A,'Model Modeshare by TAZ'!B:B)</f>
        <v>Sunnyvale</v>
      </c>
      <c r="C1461" s="38" t="str">
        <f>_xlfn.XLOOKUP(A1461,'Model Modeshare by TAZ'!A:A,'Model Modeshare by TAZ'!D:D)</f>
        <v>NO</v>
      </c>
      <c r="D1461" s="6">
        <v>3</v>
      </c>
      <c r="E1461" s="6">
        <v>1686</v>
      </c>
      <c r="F1461" s="6">
        <v>3916</v>
      </c>
      <c r="G1461" s="6">
        <v>3917</v>
      </c>
      <c r="H1461" s="6">
        <v>2499</v>
      </c>
      <c r="I1461" s="6">
        <v>896</v>
      </c>
      <c r="J1461" s="6">
        <v>790</v>
      </c>
      <c r="K1461" s="40">
        <v>158</v>
      </c>
      <c r="L1461" s="40">
        <v>35</v>
      </c>
      <c r="M1461" s="40">
        <v>363</v>
      </c>
      <c r="N1461" s="40">
        <v>62</v>
      </c>
      <c r="O1461" s="40">
        <v>231</v>
      </c>
      <c r="P1461" s="40">
        <v>58</v>
      </c>
      <c r="Q1461" s="40">
        <v>0</v>
      </c>
      <c r="R1461" s="40">
        <v>8</v>
      </c>
      <c r="S1461" s="40">
        <v>4</v>
      </c>
    </row>
    <row r="1462" spans="1:19" x14ac:dyDescent="0.35">
      <c r="A1462" s="38">
        <v>1459</v>
      </c>
      <c r="B1462" s="38" t="str">
        <f>_xlfn.XLOOKUP(A1462,'Model Modeshare by TAZ'!A:A,'Model Modeshare by TAZ'!B:B)</f>
        <v>Sunnyvale</v>
      </c>
      <c r="C1462" s="38" t="str">
        <f>_xlfn.XLOOKUP(A1462,'Model Modeshare by TAZ'!A:A,'Model Modeshare by TAZ'!D:D)</f>
        <v>NO</v>
      </c>
      <c r="D1462" s="6">
        <v>3</v>
      </c>
      <c r="E1462" s="6">
        <v>592</v>
      </c>
      <c r="F1462" s="6">
        <v>1551</v>
      </c>
      <c r="G1462" s="6">
        <v>1551</v>
      </c>
      <c r="H1462" s="6">
        <v>823</v>
      </c>
      <c r="I1462" s="6">
        <v>356</v>
      </c>
      <c r="J1462" s="6">
        <v>236</v>
      </c>
      <c r="K1462" s="40">
        <v>105</v>
      </c>
      <c r="L1462" s="40">
        <v>25</v>
      </c>
      <c r="M1462" s="40">
        <v>0</v>
      </c>
      <c r="N1462" s="40">
        <v>0</v>
      </c>
      <c r="O1462" s="40">
        <v>0</v>
      </c>
      <c r="P1462" s="40">
        <v>0</v>
      </c>
      <c r="Q1462" s="40">
        <v>0</v>
      </c>
      <c r="R1462" s="40">
        <v>0</v>
      </c>
      <c r="S1462" s="40">
        <v>0</v>
      </c>
    </row>
    <row r="1463" spans="1:19" x14ac:dyDescent="0.35">
      <c r="A1463" s="38">
        <v>1460</v>
      </c>
      <c r="B1463" s="38" t="str">
        <f>_xlfn.XLOOKUP(A1463,'Model Modeshare by TAZ'!A:A,'Model Modeshare by TAZ'!B:B)</f>
        <v>Sunnyvale</v>
      </c>
      <c r="C1463" s="38" t="str">
        <f>_xlfn.XLOOKUP(A1463,'Model Modeshare by TAZ'!A:A,'Model Modeshare by TAZ'!D:D)</f>
        <v>NO</v>
      </c>
      <c r="D1463" s="6">
        <v>3</v>
      </c>
      <c r="E1463" s="6">
        <v>3599</v>
      </c>
      <c r="F1463" s="6">
        <v>9437</v>
      </c>
      <c r="G1463" s="6">
        <v>9437</v>
      </c>
      <c r="H1463" s="6">
        <v>4988</v>
      </c>
      <c r="I1463" s="6">
        <v>1194</v>
      </c>
      <c r="J1463" s="6">
        <v>2405</v>
      </c>
      <c r="K1463" s="40">
        <v>172</v>
      </c>
      <c r="L1463" s="40">
        <v>35</v>
      </c>
      <c r="M1463" s="40">
        <v>1179</v>
      </c>
      <c r="N1463" s="40">
        <v>613</v>
      </c>
      <c r="O1463" s="40">
        <v>241</v>
      </c>
      <c r="P1463" s="40">
        <v>298</v>
      </c>
      <c r="Q1463" s="40">
        <v>0</v>
      </c>
      <c r="R1463" s="40">
        <v>9</v>
      </c>
      <c r="S1463" s="40">
        <v>18</v>
      </c>
    </row>
    <row r="1464" spans="1:19" x14ac:dyDescent="0.35">
      <c r="A1464" s="38">
        <v>1461</v>
      </c>
      <c r="B1464" s="38" t="str">
        <f>_xlfn.XLOOKUP(A1464,'Model Modeshare by TAZ'!A:A,'Model Modeshare by TAZ'!B:B)</f>
        <v>Unincorporated</v>
      </c>
      <c r="C1464" s="38" t="str">
        <f>_xlfn.XLOOKUP(A1464,'Model Modeshare by TAZ'!A:A,'Model Modeshare by TAZ'!D:D)</f>
        <v>NO</v>
      </c>
      <c r="D1464" s="6">
        <v>3</v>
      </c>
      <c r="E1464" s="6">
        <v>0</v>
      </c>
      <c r="F1464" s="6">
        <v>0</v>
      </c>
      <c r="G1464" s="6">
        <v>0</v>
      </c>
      <c r="H1464" s="6">
        <v>0</v>
      </c>
      <c r="I1464" s="6">
        <v>0</v>
      </c>
      <c r="J1464" s="6">
        <v>0</v>
      </c>
      <c r="K1464" s="40">
        <v>1</v>
      </c>
      <c r="L1464" s="40">
        <v>50</v>
      </c>
      <c r="M1464" s="40">
        <v>210</v>
      </c>
      <c r="N1464" s="40">
        <v>21</v>
      </c>
      <c r="O1464" s="40">
        <v>0</v>
      </c>
      <c r="P1464" s="40">
        <v>0</v>
      </c>
      <c r="Q1464" s="40">
        <v>4</v>
      </c>
      <c r="R1464" s="40">
        <v>185</v>
      </c>
      <c r="S1464" s="40">
        <v>0</v>
      </c>
    </row>
    <row r="1465" spans="1:19" x14ac:dyDescent="0.35">
      <c r="A1465" s="38">
        <v>1462</v>
      </c>
      <c r="B1465" s="38" t="str">
        <f>_xlfn.XLOOKUP(A1465,'Model Modeshare by TAZ'!A:A,'Model Modeshare by TAZ'!B:B)</f>
        <v>Sunnyvale</v>
      </c>
      <c r="C1465" s="38" t="str">
        <f>_xlfn.XLOOKUP(A1465,'Model Modeshare by TAZ'!A:A,'Model Modeshare by TAZ'!D:D)</f>
        <v>NO</v>
      </c>
      <c r="D1465" s="6">
        <v>3</v>
      </c>
      <c r="E1465" s="6">
        <v>845</v>
      </c>
      <c r="F1465" s="6">
        <v>2259</v>
      </c>
      <c r="G1465" s="6">
        <v>2300</v>
      </c>
      <c r="H1465" s="6">
        <v>1241</v>
      </c>
      <c r="I1465" s="6">
        <v>0</v>
      </c>
      <c r="J1465" s="6">
        <v>845</v>
      </c>
      <c r="K1465" s="40">
        <v>210</v>
      </c>
      <c r="L1465" s="40">
        <v>5</v>
      </c>
      <c r="M1465" s="40">
        <v>19</v>
      </c>
      <c r="N1465" s="40">
        <v>0</v>
      </c>
      <c r="O1465" s="40">
        <v>0</v>
      </c>
      <c r="P1465" s="40">
        <v>19</v>
      </c>
      <c r="Q1465" s="40">
        <v>0</v>
      </c>
      <c r="R1465" s="40">
        <v>0</v>
      </c>
      <c r="S1465" s="40">
        <v>0</v>
      </c>
    </row>
    <row r="1466" spans="1:19" x14ac:dyDescent="0.35">
      <c r="A1466" s="38">
        <v>1463</v>
      </c>
      <c r="B1466" s="38" t="str">
        <f>_xlfn.XLOOKUP(A1466,'Model Modeshare by TAZ'!A:A,'Model Modeshare by TAZ'!B:B)</f>
        <v>Sunnyvale</v>
      </c>
      <c r="C1466" s="38" t="str">
        <f>_xlfn.XLOOKUP(A1466,'Model Modeshare by TAZ'!A:A,'Model Modeshare by TAZ'!D:D)</f>
        <v>NO</v>
      </c>
      <c r="D1466" s="6">
        <v>3</v>
      </c>
      <c r="E1466" s="6">
        <v>0</v>
      </c>
      <c r="F1466" s="6">
        <v>0</v>
      </c>
      <c r="G1466" s="6">
        <v>0</v>
      </c>
      <c r="H1466" s="6">
        <v>0</v>
      </c>
      <c r="I1466" s="6">
        <v>0</v>
      </c>
      <c r="J1466" s="6">
        <v>0</v>
      </c>
      <c r="K1466" s="40">
        <v>0</v>
      </c>
      <c r="L1466" s="40">
        <v>5</v>
      </c>
      <c r="M1466" s="40">
        <v>0</v>
      </c>
      <c r="N1466" s="40">
        <v>0</v>
      </c>
      <c r="O1466" s="40">
        <v>0</v>
      </c>
      <c r="P1466" s="40">
        <v>0</v>
      </c>
      <c r="Q1466" s="40">
        <v>0</v>
      </c>
      <c r="R1466" s="40">
        <v>0</v>
      </c>
      <c r="S1466" s="40">
        <v>0</v>
      </c>
    </row>
    <row r="1467" spans="1:19" x14ac:dyDescent="0.35">
      <c r="A1467" s="38">
        <v>1464</v>
      </c>
      <c r="B1467" s="38" t="str">
        <f>_xlfn.XLOOKUP(A1467,'Model Modeshare by TAZ'!A:A,'Model Modeshare by TAZ'!B:B)</f>
        <v>Sunnyvale</v>
      </c>
      <c r="C1467" s="38" t="str">
        <f>_xlfn.XLOOKUP(A1467,'Model Modeshare by TAZ'!A:A,'Model Modeshare by TAZ'!D:D)</f>
        <v>NO</v>
      </c>
      <c r="D1467" s="6">
        <v>3</v>
      </c>
      <c r="E1467" s="6">
        <v>0</v>
      </c>
      <c r="F1467" s="6">
        <v>0</v>
      </c>
      <c r="G1467" s="6">
        <v>0</v>
      </c>
      <c r="H1467" s="6">
        <v>0</v>
      </c>
      <c r="I1467" s="6">
        <v>0</v>
      </c>
      <c r="J1467" s="6">
        <v>0</v>
      </c>
      <c r="K1467" s="40">
        <v>0</v>
      </c>
      <c r="L1467" s="40">
        <v>58</v>
      </c>
      <c r="M1467" s="40">
        <v>2765</v>
      </c>
      <c r="N1467" s="40">
        <v>0</v>
      </c>
      <c r="O1467" s="40">
        <v>713</v>
      </c>
      <c r="P1467" s="40">
        <v>516</v>
      </c>
      <c r="Q1467" s="40">
        <v>0</v>
      </c>
      <c r="R1467" s="40">
        <v>1418</v>
      </c>
      <c r="S1467" s="40">
        <v>118</v>
      </c>
    </row>
    <row r="1468" spans="1:19" x14ac:dyDescent="0.35">
      <c r="A1468" s="38">
        <v>1465</v>
      </c>
      <c r="B1468" s="38" t="str">
        <f>_xlfn.XLOOKUP(A1468,'Model Modeshare by TAZ'!A:A,'Model Modeshare by TAZ'!B:B)</f>
        <v>Sunnyvale</v>
      </c>
      <c r="C1468" s="38" t="str">
        <f>_xlfn.XLOOKUP(A1468,'Model Modeshare by TAZ'!A:A,'Model Modeshare by TAZ'!D:D)</f>
        <v>NO</v>
      </c>
      <c r="D1468" s="6">
        <v>3</v>
      </c>
      <c r="E1468" s="6">
        <v>0</v>
      </c>
      <c r="F1468" s="6">
        <v>0</v>
      </c>
      <c r="G1468" s="6">
        <v>0</v>
      </c>
      <c r="H1468" s="6">
        <v>0</v>
      </c>
      <c r="I1468" s="6">
        <v>0</v>
      </c>
      <c r="J1468" s="6">
        <v>0</v>
      </c>
      <c r="K1468" s="40">
        <v>0</v>
      </c>
      <c r="L1468" s="40">
        <v>4</v>
      </c>
      <c r="M1468" s="40">
        <v>6</v>
      </c>
      <c r="N1468" s="40">
        <v>1</v>
      </c>
      <c r="O1468" s="40">
        <v>3</v>
      </c>
      <c r="P1468" s="40">
        <v>2</v>
      </c>
      <c r="Q1468" s="40">
        <v>0</v>
      </c>
      <c r="R1468" s="40">
        <v>0</v>
      </c>
      <c r="S1468" s="40">
        <v>0</v>
      </c>
    </row>
    <row r="1469" spans="1:19" x14ac:dyDescent="0.35">
      <c r="A1469" s="38">
        <v>1466</v>
      </c>
      <c r="B1469" s="38" t="str">
        <f>_xlfn.XLOOKUP(A1469,'Model Modeshare by TAZ'!A:A,'Model Modeshare by TAZ'!B:B)</f>
        <v>Sunnyvale</v>
      </c>
      <c r="C1469" s="38" t="str">
        <f>_xlfn.XLOOKUP(A1469,'Model Modeshare by TAZ'!A:A,'Model Modeshare by TAZ'!D:D)</f>
        <v>NO</v>
      </c>
      <c r="D1469" s="6">
        <v>3</v>
      </c>
      <c r="E1469" s="6">
        <v>0</v>
      </c>
      <c r="F1469" s="6">
        <v>0</v>
      </c>
      <c r="G1469" s="6">
        <v>0</v>
      </c>
      <c r="H1469" s="6">
        <v>0</v>
      </c>
      <c r="I1469" s="6">
        <v>0</v>
      </c>
      <c r="J1469" s="6">
        <v>0</v>
      </c>
      <c r="K1469" s="40">
        <v>0</v>
      </c>
      <c r="L1469" s="40">
        <v>54</v>
      </c>
      <c r="M1469" s="40">
        <v>643</v>
      </c>
      <c r="N1469" s="40">
        <v>9</v>
      </c>
      <c r="O1469" s="40">
        <v>298</v>
      </c>
      <c r="P1469" s="40">
        <v>131</v>
      </c>
      <c r="Q1469" s="40">
        <v>0</v>
      </c>
      <c r="R1469" s="40">
        <v>190</v>
      </c>
      <c r="S1469" s="40">
        <v>15</v>
      </c>
    </row>
    <row r="1470" spans="1:19" x14ac:dyDescent="0.35">
      <c r="A1470" s="38">
        <v>1467</v>
      </c>
      <c r="B1470" s="38" t="str">
        <f>_xlfn.XLOOKUP(A1470,'Model Modeshare by TAZ'!A:A,'Model Modeshare by TAZ'!B:B)</f>
        <v>Sunnyvale</v>
      </c>
      <c r="C1470" s="38" t="str">
        <f>_xlfn.XLOOKUP(A1470,'Model Modeshare by TAZ'!A:A,'Model Modeshare by TAZ'!D:D)</f>
        <v>NO</v>
      </c>
      <c r="D1470" s="6">
        <v>3</v>
      </c>
      <c r="E1470" s="6">
        <v>0</v>
      </c>
      <c r="F1470" s="6">
        <v>0</v>
      </c>
      <c r="G1470" s="6">
        <v>0</v>
      </c>
      <c r="H1470" s="6">
        <v>0</v>
      </c>
      <c r="I1470" s="6">
        <v>0</v>
      </c>
      <c r="J1470" s="6">
        <v>0</v>
      </c>
      <c r="K1470" s="40">
        <v>0</v>
      </c>
      <c r="L1470" s="40">
        <v>93</v>
      </c>
      <c r="M1470" s="40">
        <v>2599</v>
      </c>
      <c r="N1470" s="40">
        <v>246</v>
      </c>
      <c r="O1470" s="40">
        <v>716</v>
      </c>
      <c r="P1470" s="40">
        <v>347</v>
      </c>
      <c r="Q1470" s="40">
        <v>4</v>
      </c>
      <c r="R1470" s="40">
        <v>1104</v>
      </c>
      <c r="S1470" s="40">
        <v>182</v>
      </c>
    </row>
    <row r="1471" spans="1:19" x14ac:dyDescent="0.35">
      <c r="A1471" s="38">
        <v>1468</v>
      </c>
      <c r="B1471" s="38" t="str">
        <f>_xlfn.XLOOKUP(A1471,'Model Modeshare by TAZ'!A:A,'Model Modeshare by TAZ'!B:B)</f>
        <v>Sunnyvale</v>
      </c>
      <c r="C1471" s="38" t="str">
        <f>_xlfn.XLOOKUP(A1471,'Model Modeshare by TAZ'!A:A,'Model Modeshare by TAZ'!D:D)</f>
        <v>NO</v>
      </c>
      <c r="D1471" s="6">
        <v>3</v>
      </c>
      <c r="E1471" s="6">
        <v>0</v>
      </c>
      <c r="F1471" s="6">
        <v>0</v>
      </c>
      <c r="G1471" s="6">
        <v>0</v>
      </c>
      <c r="H1471" s="6">
        <v>0</v>
      </c>
      <c r="I1471" s="6">
        <v>0</v>
      </c>
      <c r="J1471" s="6">
        <v>0</v>
      </c>
      <c r="K1471" s="40">
        <v>0</v>
      </c>
      <c r="L1471" s="40">
        <v>38</v>
      </c>
      <c r="M1471" s="40">
        <v>838</v>
      </c>
      <c r="N1471" s="40">
        <v>16</v>
      </c>
      <c r="O1471" s="40">
        <v>199</v>
      </c>
      <c r="P1471" s="40">
        <v>142</v>
      </c>
      <c r="Q1471" s="40">
        <v>0</v>
      </c>
      <c r="R1471" s="40">
        <v>441</v>
      </c>
      <c r="S1471" s="40">
        <v>40</v>
      </c>
    </row>
    <row r="1472" spans="1:19" x14ac:dyDescent="0.35">
      <c r="A1472" s="38">
        <v>1469</v>
      </c>
      <c r="B1472" s="38" t="str">
        <f>_xlfn.XLOOKUP(A1472,'Model Modeshare by TAZ'!A:A,'Model Modeshare by TAZ'!B:B)</f>
        <v>Sunnyvale</v>
      </c>
      <c r="C1472" s="38" t="str">
        <f>_xlfn.XLOOKUP(A1472,'Model Modeshare by TAZ'!A:A,'Model Modeshare by TAZ'!D:D)</f>
        <v>NO</v>
      </c>
      <c r="D1472" s="6">
        <v>3</v>
      </c>
      <c r="E1472" s="6">
        <v>0</v>
      </c>
      <c r="F1472" s="6">
        <v>0</v>
      </c>
      <c r="G1472" s="6">
        <v>0</v>
      </c>
      <c r="H1472" s="6">
        <v>0</v>
      </c>
      <c r="I1472" s="6">
        <v>0</v>
      </c>
      <c r="J1472" s="6">
        <v>0</v>
      </c>
      <c r="K1472" s="40">
        <v>0</v>
      </c>
      <c r="L1472" s="40">
        <v>2</v>
      </c>
      <c r="M1472" s="40">
        <v>30</v>
      </c>
      <c r="N1472" s="40">
        <v>3</v>
      </c>
      <c r="O1472" s="40">
        <v>23</v>
      </c>
      <c r="P1472" s="40">
        <v>0</v>
      </c>
      <c r="Q1472" s="40">
        <v>0</v>
      </c>
      <c r="R1472" s="40">
        <v>4</v>
      </c>
      <c r="S1472" s="40">
        <v>0</v>
      </c>
    </row>
    <row r="1473" spans="1:19" x14ac:dyDescent="0.35">
      <c r="A1473" s="38">
        <v>1470</v>
      </c>
      <c r="B1473" s="38" t="str">
        <f>_xlfn.XLOOKUP(A1473,'Model Modeshare by TAZ'!A:A,'Model Modeshare by TAZ'!B:B)</f>
        <v>Sunnyvale</v>
      </c>
      <c r="C1473" s="38" t="str">
        <f>_xlfn.XLOOKUP(A1473,'Model Modeshare by TAZ'!A:A,'Model Modeshare by TAZ'!D:D)</f>
        <v>NO</v>
      </c>
      <c r="D1473" s="6">
        <v>3</v>
      </c>
      <c r="E1473" s="6">
        <v>1042</v>
      </c>
      <c r="F1473" s="6">
        <v>2450</v>
      </c>
      <c r="G1473" s="6">
        <v>2471</v>
      </c>
      <c r="H1473" s="6">
        <v>1338</v>
      </c>
      <c r="I1473" s="6">
        <v>312</v>
      </c>
      <c r="J1473" s="6">
        <v>730</v>
      </c>
      <c r="K1473" s="40">
        <v>77</v>
      </c>
      <c r="L1473" s="40">
        <v>19</v>
      </c>
      <c r="M1473" s="40">
        <v>200</v>
      </c>
      <c r="N1473" s="40">
        <v>3</v>
      </c>
      <c r="O1473" s="40">
        <v>41</v>
      </c>
      <c r="P1473" s="40">
        <v>22</v>
      </c>
      <c r="Q1473" s="40">
        <v>1</v>
      </c>
      <c r="R1473" s="40">
        <v>89</v>
      </c>
      <c r="S1473" s="40">
        <v>44</v>
      </c>
    </row>
    <row r="1474" spans="1:19" x14ac:dyDescent="0.35">
      <c r="A1474" s="38">
        <v>1471</v>
      </c>
      <c r="B1474" s="38" t="str">
        <f>_xlfn.XLOOKUP(A1474,'Model Modeshare by TAZ'!A:A,'Model Modeshare by TAZ'!B:B)</f>
        <v>Mountain View</v>
      </c>
      <c r="C1474" s="38" t="str">
        <f>_xlfn.XLOOKUP(A1474,'Model Modeshare by TAZ'!A:A,'Model Modeshare by TAZ'!D:D)</f>
        <v>NO</v>
      </c>
      <c r="D1474" s="6">
        <v>3</v>
      </c>
      <c r="E1474" s="6">
        <v>0</v>
      </c>
      <c r="F1474" s="6">
        <v>0</v>
      </c>
      <c r="G1474" s="6">
        <v>0</v>
      </c>
      <c r="H1474" s="6">
        <v>0</v>
      </c>
      <c r="I1474" s="6">
        <v>0</v>
      </c>
      <c r="J1474" s="6">
        <v>0</v>
      </c>
      <c r="K1474" s="40">
        <v>1</v>
      </c>
      <c r="L1474" s="40">
        <v>44</v>
      </c>
      <c r="M1474" s="40">
        <v>716</v>
      </c>
      <c r="N1474" s="40">
        <v>355</v>
      </c>
      <c r="O1474" s="40">
        <v>313</v>
      </c>
      <c r="P1474" s="40">
        <v>33</v>
      </c>
      <c r="Q1474" s="40">
        <v>0</v>
      </c>
      <c r="R1474" s="40">
        <v>4</v>
      </c>
      <c r="S1474" s="40">
        <v>11</v>
      </c>
    </row>
    <row r="1475" spans="1:19" x14ac:dyDescent="0.35">
      <c r="A1475" s="38">
        <v>1472</v>
      </c>
      <c r="B1475" s="38" t="str">
        <f>_xlfn.XLOOKUP(A1475,'Model Modeshare by TAZ'!A:A,'Model Modeshare by TAZ'!B:B)</f>
        <v>Sunnyvale</v>
      </c>
      <c r="C1475" s="38" t="str">
        <f>_xlfn.XLOOKUP(A1475,'Model Modeshare by TAZ'!A:A,'Model Modeshare by TAZ'!D:D)</f>
        <v>NO</v>
      </c>
      <c r="D1475" s="6">
        <v>3</v>
      </c>
      <c r="E1475" s="6">
        <v>373</v>
      </c>
      <c r="F1475" s="6">
        <v>869</v>
      </c>
      <c r="G1475" s="6">
        <v>904</v>
      </c>
      <c r="H1475" s="6">
        <v>537</v>
      </c>
      <c r="I1475" s="6">
        <v>95</v>
      </c>
      <c r="J1475" s="6">
        <v>278</v>
      </c>
      <c r="K1475" s="40">
        <v>9</v>
      </c>
      <c r="L1475" s="40">
        <v>20</v>
      </c>
      <c r="M1475" s="40">
        <v>68</v>
      </c>
      <c r="N1475" s="40">
        <v>2</v>
      </c>
      <c r="O1475" s="40">
        <v>13</v>
      </c>
      <c r="P1475" s="40">
        <v>4</v>
      </c>
      <c r="Q1475" s="40">
        <v>0</v>
      </c>
      <c r="R1475" s="40">
        <v>41</v>
      </c>
      <c r="S1475" s="40">
        <v>8</v>
      </c>
    </row>
    <row r="1476" spans="1:19" x14ac:dyDescent="0.35">
      <c r="A1476" s="38">
        <v>1473</v>
      </c>
      <c r="B1476" s="38" t="str">
        <f>_xlfn.XLOOKUP(A1476,'Model Modeshare by TAZ'!A:A,'Model Modeshare by TAZ'!B:B)</f>
        <v>Sunnyvale</v>
      </c>
      <c r="C1476" s="38" t="str">
        <f>_xlfn.XLOOKUP(A1476,'Model Modeshare by TAZ'!A:A,'Model Modeshare by TAZ'!D:D)</f>
        <v>NO</v>
      </c>
      <c r="D1476" s="6">
        <v>3</v>
      </c>
      <c r="E1476" s="6">
        <v>628</v>
      </c>
      <c r="F1476" s="6">
        <v>1632</v>
      </c>
      <c r="G1476" s="6">
        <v>1632</v>
      </c>
      <c r="H1476" s="6">
        <v>894</v>
      </c>
      <c r="I1476" s="6">
        <v>290</v>
      </c>
      <c r="J1476" s="6">
        <v>338</v>
      </c>
      <c r="K1476" s="40">
        <v>6</v>
      </c>
      <c r="L1476" s="40">
        <v>98</v>
      </c>
      <c r="M1476" s="40">
        <v>903</v>
      </c>
      <c r="N1476" s="40">
        <v>85</v>
      </c>
      <c r="O1476" s="40">
        <v>249</v>
      </c>
      <c r="P1476" s="40">
        <v>121</v>
      </c>
      <c r="Q1476" s="40">
        <v>1</v>
      </c>
      <c r="R1476" s="40">
        <v>384</v>
      </c>
      <c r="S1476" s="40">
        <v>63</v>
      </c>
    </row>
    <row r="1477" spans="1:19" x14ac:dyDescent="0.35">
      <c r="A1477" s="38">
        <v>1474</v>
      </c>
      <c r="B1477" s="38" t="str">
        <f>_xlfn.XLOOKUP(A1477,'Model Modeshare by TAZ'!A:A,'Model Modeshare by TAZ'!B:B)</f>
        <v>Sunnyvale</v>
      </c>
      <c r="C1477" s="38" t="str">
        <f>_xlfn.XLOOKUP(A1477,'Model Modeshare by TAZ'!A:A,'Model Modeshare by TAZ'!D:D)</f>
        <v>NO</v>
      </c>
      <c r="D1477" s="6">
        <v>3</v>
      </c>
      <c r="E1477" s="6">
        <v>0</v>
      </c>
      <c r="F1477" s="6">
        <v>0</v>
      </c>
      <c r="G1477" s="6">
        <v>0</v>
      </c>
      <c r="H1477" s="6">
        <v>0</v>
      </c>
      <c r="I1477" s="6">
        <v>0</v>
      </c>
      <c r="J1477" s="6">
        <v>0</v>
      </c>
      <c r="K1477" s="40">
        <v>0</v>
      </c>
      <c r="L1477" s="40">
        <v>60</v>
      </c>
      <c r="M1477" s="40">
        <v>707</v>
      </c>
      <c r="N1477" s="40">
        <v>40</v>
      </c>
      <c r="O1477" s="40">
        <v>166</v>
      </c>
      <c r="P1477" s="40">
        <v>38</v>
      </c>
      <c r="Q1477" s="40">
        <v>0</v>
      </c>
      <c r="R1477" s="40">
        <v>386</v>
      </c>
      <c r="S1477" s="40">
        <v>77</v>
      </c>
    </row>
    <row r="1478" spans="1:19" x14ac:dyDescent="0.35">
      <c r="A1478" s="38">
        <v>1475</v>
      </c>
      <c r="B1478" s="38" t="str">
        <f>_xlfn.XLOOKUP(A1478,'Model Modeshare by TAZ'!A:A,'Model Modeshare by TAZ'!B:B)</f>
        <v>Sunnyvale</v>
      </c>
      <c r="C1478" s="38" t="str">
        <f>_xlfn.XLOOKUP(A1478,'Model Modeshare by TAZ'!A:A,'Model Modeshare by TAZ'!D:D)</f>
        <v>NO</v>
      </c>
      <c r="D1478" s="6">
        <v>3</v>
      </c>
      <c r="E1478" s="6">
        <v>59</v>
      </c>
      <c r="F1478" s="6">
        <v>137</v>
      </c>
      <c r="G1478" s="6">
        <v>138</v>
      </c>
      <c r="H1478" s="6">
        <v>85</v>
      </c>
      <c r="I1478" s="6">
        <v>14</v>
      </c>
      <c r="J1478" s="6">
        <v>45</v>
      </c>
      <c r="K1478" s="40">
        <v>5</v>
      </c>
      <c r="L1478" s="40">
        <v>55</v>
      </c>
      <c r="M1478" s="40">
        <v>993</v>
      </c>
      <c r="N1478" s="40">
        <v>35</v>
      </c>
      <c r="O1478" s="40">
        <v>184</v>
      </c>
      <c r="P1478" s="40">
        <v>73</v>
      </c>
      <c r="Q1478" s="40">
        <v>0</v>
      </c>
      <c r="R1478" s="40">
        <v>600</v>
      </c>
      <c r="S1478" s="40">
        <v>101</v>
      </c>
    </row>
    <row r="1479" spans="1:19" x14ac:dyDescent="0.35">
      <c r="A1479" s="38">
        <v>1476</v>
      </c>
      <c r="B1479" s="38" t="str">
        <f>_xlfn.XLOOKUP(A1479,'Model Modeshare by TAZ'!A:A,'Model Modeshare by TAZ'!B:B)</f>
        <v>Sunnyvale</v>
      </c>
      <c r="C1479" s="38" t="str">
        <f>_xlfn.XLOOKUP(A1479,'Model Modeshare by TAZ'!A:A,'Model Modeshare by TAZ'!D:D)</f>
        <v>NO</v>
      </c>
      <c r="D1479" s="6">
        <v>3</v>
      </c>
      <c r="E1479" s="6">
        <v>342</v>
      </c>
      <c r="F1479" s="6">
        <v>794</v>
      </c>
      <c r="G1479" s="6">
        <v>830</v>
      </c>
      <c r="H1479" s="6">
        <v>493</v>
      </c>
      <c r="I1479" s="6">
        <v>74</v>
      </c>
      <c r="J1479" s="6">
        <v>268</v>
      </c>
      <c r="K1479" s="40">
        <v>21</v>
      </c>
      <c r="L1479" s="40">
        <v>5</v>
      </c>
      <c r="M1479" s="40">
        <v>10</v>
      </c>
      <c r="N1479" s="40">
        <v>1</v>
      </c>
      <c r="O1479" s="40">
        <v>3</v>
      </c>
      <c r="P1479" s="40">
        <v>1</v>
      </c>
      <c r="Q1479" s="40">
        <v>0</v>
      </c>
      <c r="R1479" s="40">
        <v>4</v>
      </c>
      <c r="S1479" s="40">
        <v>1</v>
      </c>
    </row>
    <row r="1480" spans="1:19" x14ac:dyDescent="0.35">
      <c r="A1480" s="38">
        <v>1477</v>
      </c>
      <c r="B1480" s="38" t="str">
        <f>_xlfn.XLOOKUP(A1480,'Model Modeshare by TAZ'!A:A,'Model Modeshare by TAZ'!B:B)</f>
        <v>Sunnyvale</v>
      </c>
      <c r="C1480" s="38" t="str">
        <f>_xlfn.XLOOKUP(A1480,'Model Modeshare by TAZ'!A:A,'Model Modeshare by TAZ'!D:D)</f>
        <v>NO</v>
      </c>
      <c r="D1480" s="6">
        <v>3</v>
      </c>
      <c r="E1480" s="6">
        <v>385</v>
      </c>
      <c r="F1480" s="6">
        <v>833</v>
      </c>
      <c r="G1480" s="6">
        <v>833</v>
      </c>
      <c r="H1480" s="6">
        <v>577</v>
      </c>
      <c r="I1480" s="6">
        <v>200</v>
      </c>
      <c r="J1480" s="6">
        <v>185</v>
      </c>
      <c r="K1480" s="40">
        <v>37</v>
      </c>
      <c r="L1480" s="40">
        <v>15</v>
      </c>
      <c r="M1480" s="40">
        <v>728</v>
      </c>
      <c r="N1480" s="40">
        <v>19</v>
      </c>
      <c r="O1480" s="40">
        <v>141</v>
      </c>
      <c r="P1480" s="40">
        <v>38</v>
      </c>
      <c r="Q1480" s="40">
        <v>0</v>
      </c>
      <c r="R1480" s="40">
        <v>487</v>
      </c>
      <c r="S1480" s="40">
        <v>43</v>
      </c>
    </row>
    <row r="1481" spans="1:19" x14ac:dyDescent="0.35">
      <c r="A1481" s="38">
        <v>1478</v>
      </c>
      <c r="B1481" s="38" t="str">
        <f>_xlfn.XLOOKUP(A1481,'Model Modeshare by TAZ'!A:A,'Model Modeshare by TAZ'!B:B)</f>
        <v>Sunnyvale</v>
      </c>
      <c r="C1481" s="38" t="str">
        <f>_xlfn.XLOOKUP(A1481,'Model Modeshare by TAZ'!A:A,'Model Modeshare by TAZ'!D:D)</f>
        <v>NO</v>
      </c>
      <c r="D1481" s="6">
        <v>3</v>
      </c>
      <c r="E1481" s="6">
        <v>301</v>
      </c>
      <c r="F1481" s="6">
        <v>798</v>
      </c>
      <c r="G1481" s="6">
        <v>836</v>
      </c>
      <c r="H1481" s="6">
        <v>412</v>
      </c>
      <c r="I1481" s="6">
        <v>251</v>
      </c>
      <c r="J1481" s="6">
        <v>50</v>
      </c>
      <c r="K1481" s="40">
        <v>45</v>
      </c>
      <c r="L1481" s="40">
        <v>6</v>
      </c>
      <c r="M1481" s="40">
        <v>66</v>
      </c>
      <c r="N1481" s="40">
        <v>0</v>
      </c>
      <c r="O1481" s="40">
        <v>0</v>
      </c>
      <c r="P1481" s="40">
        <v>64</v>
      </c>
      <c r="Q1481" s="40">
        <v>2</v>
      </c>
      <c r="R1481" s="40">
        <v>0</v>
      </c>
      <c r="S1481" s="40">
        <v>0</v>
      </c>
    </row>
    <row r="1482" spans="1:19" x14ac:dyDescent="0.35">
      <c r="A1482" s="38">
        <v>1479</v>
      </c>
      <c r="B1482" s="38" t="str">
        <f>_xlfn.XLOOKUP(A1482,'Model Modeshare by TAZ'!A:A,'Model Modeshare by TAZ'!B:B)</f>
        <v>Sunnyvale</v>
      </c>
      <c r="C1482" s="38" t="str">
        <f>_xlfn.XLOOKUP(A1482,'Model Modeshare by TAZ'!A:A,'Model Modeshare by TAZ'!D:D)</f>
        <v>NO</v>
      </c>
      <c r="D1482" s="6">
        <v>3</v>
      </c>
      <c r="E1482" s="6">
        <v>255</v>
      </c>
      <c r="F1482" s="6">
        <v>676</v>
      </c>
      <c r="G1482" s="6">
        <v>690</v>
      </c>
      <c r="H1482" s="6">
        <v>351</v>
      </c>
      <c r="I1482" s="6">
        <v>212</v>
      </c>
      <c r="J1482" s="6">
        <v>43</v>
      </c>
      <c r="K1482" s="40">
        <v>28</v>
      </c>
      <c r="L1482" s="40">
        <v>9</v>
      </c>
      <c r="M1482" s="40">
        <v>42</v>
      </c>
      <c r="N1482" s="40">
        <v>9</v>
      </c>
      <c r="O1482" s="40">
        <v>10</v>
      </c>
      <c r="P1482" s="40">
        <v>1</v>
      </c>
      <c r="Q1482" s="40">
        <v>0</v>
      </c>
      <c r="R1482" s="40">
        <v>18</v>
      </c>
      <c r="S1482" s="40">
        <v>4</v>
      </c>
    </row>
    <row r="1483" spans="1:19" x14ac:dyDescent="0.35">
      <c r="A1483" s="38">
        <v>1480</v>
      </c>
      <c r="B1483" s="38" t="str">
        <f>_xlfn.XLOOKUP(A1483,'Model Modeshare by TAZ'!A:A,'Model Modeshare by TAZ'!B:B)</f>
        <v>Sunnyvale</v>
      </c>
      <c r="C1483" s="38" t="str">
        <f>_xlfn.XLOOKUP(A1483,'Model Modeshare by TAZ'!A:A,'Model Modeshare by TAZ'!D:D)</f>
        <v>NO</v>
      </c>
      <c r="D1483" s="6">
        <v>3</v>
      </c>
      <c r="E1483" s="6">
        <v>200</v>
      </c>
      <c r="F1483" s="6">
        <v>423</v>
      </c>
      <c r="G1483" s="6">
        <v>423</v>
      </c>
      <c r="H1483" s="6">
        <v>233</v>
      </c>
      <c r="I1483" s="6">
        <v>0</v>
      </c>
      <c r="J1483" s="6">
        <v>200</v>
      </c>
      <c r="K1483" s="40">
        <v>2</v>
      </c>
      <c r="L1483" s="40">
        <v>41</v>
      </c>
      <c r="M1483" s="40">
        <v>1674</v>
      </c>
      <c r="N1483" s="40">
        <v>971</v>
      </c>
      <c r="O1483" s="40">
        <v>207</v>
      </c>
      <c r="P1483" s="40">
        <v>232</v>
      </c>
      <c r="Q1483" s="40">
        <v>0</v>
      </c>
      <c r="R1483" s="40">
        <v>221</v>
      </c>
      <c r="S1483" s="40">
        <v>43</v>
      </c>
    </row>
    <row r="1484" spans="1:19" x14ac:dyDescent="0.35">
      <c r="A1484" s="38">
        <v>1481</v>
      </c>
      <c r="B1484" s="38" t="str">
        <f>_xlfn.XLOOKUP(A1484,'Model Modeshare by TAZ'!A:A,'Model Modeshare by TAZ'!B:B)</f>
        <v>Sunnyvale</v>
      </c>
      <c r="C1484" s="38" t="str">
        <f>_xlfn.XLOOKUP(A1484,'Model Modeshare by TAZ'!A:A,'Model Modeshare by TAZ'!D:D)</f>
        <v>NO</v>
      </c>
      <c r="D1484" s="6">
        <v>3</v>
      </c>
      <c r="E1484" s="6">
        <v>673</v>
      </c>
      <c r="F1484" s="6">
        <v>1625</v>
      </c>
      <c r="G1484" s="6">
        <v>1630</v>
      </c>
      <c r="H1484" s="6">
        <v>1034</v>
      </c>
      <c r="I1484" s="6">
        <v>350</v>
      </c>
      <c r="J1484" s="6">
        <v>323</v>
      </c>
      <c r="K1484" s="40">
        <v>65</v>
      </c>
      <c r="L1484" s="40">
        <v>1</v>
      </c>
      <c r="M1484" s="40">
        <v>22</v>
      </c>
      <c r="N1484" s="40">
        <v>2</v>
      </c>
      <c r="O1484" s="40">
        <v>8</v>
      </c>
      <c r="P1484" s="40">
        <v>7</v>
      </c>
      <c r="Q1484" s="40">
        <v>0</v>
      </c>
      <c r="R1484" s="40">
        <v>3</v>
      </c>
      <c r="S1484" s="40">
        <v>2</v>
      </c>
    </row>
    <row r="1485" spans="1:19" x14ac:dyDescent="0.35">
      <c r="A1485" s="38">
        <v>1482</v>
      </c>
      <c r="B1485" s="38" t="str">
        <f>_xlfn.XLOOKUP(A1485,'Model Modeshare by TAZ'!A:A,'Model Modeshare by TAZ'!B:B)</f>
        <v>Sunnyvale</v>
      </c>
      <c r="C1485" s="38" t="str">
        <f>_xlfn.XLOOKUP(A1485,'Model Modeshare by TAZ'!A:A,'Model Modeshare by TAZ'!D:D)</f>
        <v>NO</v>
      </c>
      <c r="D1485" s="6">
        <v>3</v>
      </c>
      <c r="E1485" s="6">
        <v>415</v>
      </c>
      <c r="F1485" s="6">
        <v>1108</v>
      </c>
      <c r="G1485" s="6">
        <v>1126</v>
      </c>
      <c r="H1485" s="6">
        <v>608</v>
      </c>
      <c r="I1485" s="6">
        <v>304</v>
      </c>
      <c r="J1485" s="6">
        <v>111</v>
      </c>
      <c r="K1485" s="40">
        <v>45</v>
      </c>
      <c r="L1485" s="40">
        <v>6</v>
      </c>
      <c r="M1485" s="40">
        <v>473</v>
      </c>
      <c r="N1485" s="40">
        <v>200</v>
      </c>
      <c r="O1485" s="40">
        <v>264</v>
      </c>
      <c r="P1485" s="40">
        <v>4</v>
      </c>
      <c r="Q1485" s="40">
        <v>0</v>
      </c>
      <c r="R1485" s="40">
        <v>3</v>
      </c>
      <c r="S1485" s="40">
        <v>2</v>
      </c>
    </row>
    <row r="1486" spans="1:19" x14ac:dyDescent="0.35">
      <c r="A1486" s="38">
        <v>1483</v>
      </c>
      <c r="B1486" s="38" t="str">
        <f>_xlfn.XLOOKUP(A1486,'Model Modeshare by TAZ'!A:A,'Model Modeshare by TAZ'!B:B)</f>
        <v>Sunnyvale</v>
      </c>
      <c r="C1486" s="38" t="str">
        <f>_xlfn.XLOOKUP(A1486,'Model Modeshare by TAZ'!A:A,'Model Modeshare by TAZ'!D:D)</f>
        <v>NO</v>
      </c>
      <c r="D1486" s="6">
        <v>3</v>
      </c>
      <c r="E1486" s="6">
        <v>369</v>
      </c>
      <c r="F1486" s="6">
        <v>812</v>
      </c>
      <c r="G1486" s="6">
        <v>817</v>
      </c>
      <c r="H1486" s="6">
        <v>446</v>
      </c>
      <c r="I1486" s="6">
        <v>182</v>
      </c>
      <c r="J1486" s="6">
        <v>187</v>
      </c>
      <c r="K1486" s="40">
        <v>11</v>
      </c>
      <c r="L1486" s="40">
        <v>11</v>
      </c>
      <c r="M1486" s="40">
        <v>421</v>
      </c>
      <c r="N1486" s="40">
        <v>54</v>
      </c>
      <c r="O1486" s="40">
        <v>66</v>
      </c>
      <c r="P1486" s="40">
        <v>96</v>
      </c>
      <c r="Q1486" s="40">
        <v>0</v>
      </c>
      <c r="R1486" s="40">
        <v>175</v>
      </c>
      <c r="S1486" s="40">
        <v>30</v>
      </c>
    </row>
    <row r="1487" spans="1:19" x14ac:dyDescent="0.35">
      <c r="A1487" s="38">
        <v>1484</v>
      </c>
      <c r="B1487" s="38" t="str">
        <f>_xlfn.XLOOKUP(A1487,'Model Modeshare by TAZ'!A:A,'Model Modeshare by TAZ'!B:B)</f>
        <v>Sunnyvale</v>
      </c>
      <c r="C1487" s="38" t="str">
        <f>_xlfn.XLOOKUP(A1487,'Model Modeshare by TAZ'!A:A,'Model Modeshare by TAZ'!D:D)</f>
        <v>NO</v>
      </c>
      <c r="D1487" s="6">
        <v>3</v>
      </c>
      <c r="E1487" s="6">
        <v>271</v>
      </c>
      <c r="F1487" s="6">
        <v>596</v>
      </c>
      <c r="G1487" s="6">
        <v>596</v>
      </c>
      <c r="H1487" s="6">
        <v>327</v>
      </c>
      <c r="I1487" s="6">
        <v>134</v>
      </c>
      <c r="J1487" s="6">
        <v>137</v>
      </c>
      <c r="K1487" s="40">
        <v>49</v>
      </c>
      <c r="L1487" s="40">
        <v>6</v>
      </c>
      <c r="M1487" s="40">
        <v>68</v>
      </c>
      <c r="N1487" s="40">
        <v>0</v>
      </c>
      <c r="O1487" s="40">
        <v>0</v>
      </c>
      <c r="P1487" s="40">
        <v>0</v>
      </c>
      <c r="Q1487" s="40">
        <v>0</v>
      </c>
      <c r="R1487" s="40">
        <v>68</v>
      </c>
      <c r="S1487" s="40">
        <v>0</v>
      </c>
    </row>
    <row r="1488" spans="1:19" x14ac:dyDescent="0.35">
      <c r="A1488" s="38">
        <v>1485</v>
      </c>
      <c r="B1488" s="38" t="str">
        <f>_xlfn.XLOOKUP(A1488,'Model Modeshare by TAZ'!A:A,'Model Modeshare by TAZ'!B:B)</f>
        <v>Sunnyvale</v>
      </c>
      <c r="C1488" s="38" t="str">
        <f>_xlfn.XLOOKUP(A1488,'Model Modeshare by TAZ'!A:A,'Model Modeshare by TAZ'!D:D)</f>
        <v>NO</v>
      </c>
      <c r="D1488" s="6">
        <v>3</v>
      </c>
      <c r="E1488" s="6">
        <v>469</v>
      </c>
      <c r="F1488" s="6">
        <v>1417</v>
      </c>
      <c r="G1488" s="6">
        <v>1422</v>
      </c>
      <c r="H1488" s="6">
        <v>782</v>
      </c>
      <c r="I1488" s="6">
        <v>247</v>
      </c>
      <c r="J1488" s="6">
        <v>222</v>
      </c>
      <c r="K1488" s="40">
        <v>62</v>
      </c>
      <c r="L1488" s="40">
        <v>14</v>
      </c>
      <c r="M1488" s="40">
        <v>54</v>
      </c>
      <c r="N1488" s="40">
        <v>11</v>
      </c>
      <c r="O1488" s="40">
        <v>35</v>
      </c>
      <c r="P1488" s="40">
        <v>6</v>
      </c>
      <c r="Q1488" s="40">
        <v>1</v>
      </c>
      <c r="R1488" s="40">
        <v>0</v>
      </c>
      <c r="S1488" s="40">
        <v>1</v>
      </c>
    </row>
    <row r="1489" spans="1:19" x14ac:dyDescent="0.35">
      <c r="A1489" s="38">
        <v>1486</v>
      </c>
      <c r="B1489" s="38" t="str">
        <f>_xlfn.XLOOKUP(A1489,'Model Modeshare by TAZ'!A:A,'Model Modeshare by TAZ'!B:B)</f>
        <v>Santa Clara</v>
      </c>
      <c r="C1489" s="38" t="str">
        <f>_xlfn.XLOOKUP(A1489,'Model Modeshare by TAZ'!A:A,'Model Modeshare by TAZ'!D:D)</f>
        <v>NO</v>
      </c>
      <c r="D1489" s="6">
        <v>3</v>
      </c>
      <c r="E1489" s="6">
        <v>690</v>
      </c>
      <c r="F1489" s="6">
        <v>1909</v>
      </c>
      <c r="G1489" s="6">
        <v>1912</v>
      </c>
      <c r="H1489" s="6">
        <v>1052</v>
      </c>
      <c r="I1489" s="6">
        <v>345</v>
      </c>
      <c r="J1489" s="6">
        <v>345</v>
      </c>
      <c r="K1489" s="40">
        <v>76</v>
      </c>
      <c r="L1489" s="40">
        <v>21</v>
      </c>
      <c r="M1489" s="40">
        <v>509</v>
      </c>
      <c r="N1489" s="40">
        <v>354</v>
      </c>
      <c r="O1489" s="40">
        <v>27</v>
      </c>
      <c r="P1489" s="40">
        <v>3</v>
      </c>
      <c r="Q1489" s="40">
        <v>0</v>
      </c>
      <c r="R1489" s="40">
        <v>10</v>
      </c>
      <c r="S1489" s="40">
        <v>115</v>
      </c>
    </row>
    <row r="1490" spans="1:19" x14ac:dyDescent="0.35">
      <c r="A1490" s="38">
        <v>1487</v>
      </c>
      <c r="B1490" s="38" t="str">
        <f>_xlfn.XLOOKUP(A1490,'Model Modeshare by TAZ'!A:A,'Model Modeshare by TAZ'!B:B)</f>
        <v>Santa Clara</v>
      </c>
      <c r="C1490" s="38" t="str">
        <f>_xlfn.XLOOKUP(A1490,'Model Modeshare by TAZ'!A:A,'Model Modeshare by TAZ'!D:D)</f>
        <v>NO</v>
      </c>
      <c r="D1490" s="6">
        <v>3</v>
      </c>
      <c r="E1490" s="6">
        <v>0</v>
      </c>
      <c r="F1490" s="6">
        <v>0</v>
      </c>
      <c r="G1490" s="6">
        <v>0</v>
      </c>
      <c r="H1490" s="6">
        <v>0</v>
      </c>
      <c r="I1490" s="6">
        <v>0</v>
      </c>
      <c r="J1490" s="6">
        <v>0</v>
      </c>
      <c r="K1490" s="40">
        <v>3</v>
      </c>
      <c r="L1490" s="40">
        <v>75</v>
      </c>
      <c r="M1490" s="40">
        <v>992</v>
      </c>
      <c r="N1490" s="40">
        <v>35</v>
      </c>
      <c r="O1490" s="40">
        <v>182</v>
      </c>
      <c r="P1490" s="40">
        <v>75</v>
      </c>
      <c r="Q1490" s="40">
        <v>0</v>
      </c>
      <c r="R1490" s="40">
        <v>600</v>
      </c>
      <c r="S1490" s="40">
        <v>100</v>
      </c>
    </row>
    <row r="1491" spans="1:19" x14ac:dyDescent="0.35">
      <c r="A1491" s="38">
        <v>1488</v>
      </c>
      <c r="B1491" s="38" t="str">
        <f>_xlfn.XLOOKUP(A1491,'Model Modeshare by TAZ'!A:A,'Model Modeshare by TAZ'!B:B)</f>
        <v>San Jose</v>
      </c>
      <c r="C1491" s="38" t="str">
        <f>_xlfn.XLOOKUP(A1491,'Model Modeshare by TAZ'!A:A,'Model Modeshare by TAZ'!D:D)</f>
        <v>NO</v>
      </c>
      <c r="D1491" s="6">
        <v>3</v>
      </c>
      <c r="E1491" s="6">
        <v>342</v>
      </c>
      <c r="F1491" s="6">
        <v>946</v>
      </c>
      <c r="G1491" s="6">
        <v>946</v>
      </c>
      <c r="H1491" s="6">
        <v>463</v>
      </c>
      <c r="I1491" s="6">
        <v>176</v>
      </c>
      <c r="J1491" s="6">
        <v>166</v>
      </c>
      <c r="K1491" s="40">
        <v>12</v>
      </c>
      <c r="L1491" s="40">
        <v>48</v>
      </c>
      <c r="M1491" s="40">
        <v>589</v>
      </c>
      <c r="N1491" s="40">
        <v>334</v>
      </c>
      <c r="O1491" s="40">
        <v>159</v>
      </c>
      <c r="P1491" s="40">
        <v>93</v>
      </c>
      <c r="Q1491" s="40">
        <v>1</v>
      </c>
      <c r="R1491" s="40">
        <v>1</v>
      </c>
      <c r="S1491" s="40">
        <v>1</v>
      </c>
    </row>
    <row r="1492" spans="1:19" x14ac:dyDescent="0.35">
      <c r="A1492" s="38">
        <v>1489</v>
      </c>
      <c r="B1492" s="38" t="str">
        <f>_xlfn.XLOOKUP(A1492,'Model Modeshare by TAZ'!A:A,'Model Modeshare by TAZ'!B:B)</f>
        <v>San Jose</v>
      </c>
      <c r="C1492" s="38" t="str">
        <f>_xlfn.XLOOKUP(A1492,'Model Modeshare by TAZ'!A:A,'Model Modeshare by TAZ'!D:D)</f>
        <v>NO</v>
      </c>
      <c r="D1492" s="6">
        <v>3</v>
      </c>
      <c r="E1492" s="6">
        <v>90</v>
      </c>
      <c r="F1492" s="6">
        <v>221</v>
      </c>
      <c r="G1492" s="6">
        <v>221</v>
      </c>
      <c r="H1492" s="6">
        <v>91</v>
      </c>
      <c r="I1492" s="6">
        <v>11</v>
      </c>
      <c r="J1492" s="6">
        <v>79</v>
      </c>
      <c r="K1492" s="40">
        <v>3</v>
      </c>
      <c r="L1492" s="40">
        <v>14</v>
      </c>
      <c r="M1492" s="40">
        <v>428</v>
      </c>
      <c r="N1492" s="40">
        <v>94</v>
      </c>
      <c r="O1492" s="40">
        <v>100</v>
      </c>
      <c r="P1492" s="40">
        <v>64</v>
      </c>
      <c r="Q1492" s="40">
        <v>0</v>
      </c>
      <c r="R1492" s="40">
        <v>162</v>
      </c>
      <c r="S1492" s="40">
        <v>8</v>
      </c>
    </row>
    <row r="1493" spans="1:19" x14ac:dyDescent="0.35">
      <c r="A1493" s="38">
        <v>1490</v>
      </c>
      <c r="B1493" s="38" t="str">
        <f>_xlfn.XLOOKUP(A1493,'Model Modeshare by TAZ'!A:A,'Model Modeshare by TAZ'!B:B)</f>
        <v>Campbell</v>
      </c>
      <c r="C1493" s="38" t="str">
        <f>_xlfn.XLOOKUP(A1493,'Model Modeshare by TAZ'!A:A,'Model Modeshare by TAZ'!D:D)</f>
        <v>NO</v>
      </c>
      <c r="D1493" s="6">
        <v>3</v>
      </c>
      <c r="E1493" s="6">
        <v>0</v>
      </c>
      <c r="F1493" s="6">
        <v>0</v>
      </c>
      <c r="G1493" s="6">
        <v>0</v>
      </c>
      <c r="H1493" s="6">
        <v>0</v>
      </c>
      <c r="I1493" s="6">
        <v>0</v>
      </c>
      <c r="J1493" s="6">
        <v>0</v>
      </c>
      <c r="K1493" s="40">
        <v>0</v>
      </c>
      <c r="L1493" s="40">
        <v>60</v>
      </c>
      <c r="M1493" s="40">
        <v>2628</v>
      </c>
      <c r="N1493" s="40">
        <v>116</v>
      </c>
      <c r="O1493" s="40">
        <v>433</v>
      </c>
      <c r="P1493" s="40">
        <v>322</v>
      </c>
      <c r="Q1493" s="40">
        <v>0</v>
      </c>
      <c r="R1493" s="40">
        <v>1566</v>
      </c>
      <c r="S1493" s="40">
        <v>191</v>
      </c>
    </row>
    <row r="1494" spans="1:19" x14ac:dyDescent="0.35">
      <c r="A1494" s="38">
        <v>1701</v>
      </c>
      <c r="B1494" s="38" t="str">
        <f>_xlfn.XLOOKUP(A1494,'Model Modeshare by TAZ'!A:A,'Model Modeshare by TAZ'!B:B)</f>
        <v>San Francisco</v>
      </c>
      <c r="C1494" s="38" t="str">
        <f>_xlfn.XLOOKUP(A1494,'Model Modeshare by TAZ'!A:A,'Model Modeshare by TAZ'!D:D)</f>
        <v>NO</v>
      </c>
      <c r="D1494" s="6">
        <v>1</v>
      </c>
      <c r="E1494" s="6">
        <v>32</v>
      </c>
      <c r="F1494" s="6">
        <v>58</v>
      </c>
      <c r="G1494" s="6">
        <v>60</v>
      </c>
      <c r="H1494" s="6">
        <v>36</v>
      </c>
      <c r="I1494" s="6">
        <v>1</v>
      </c>
      <c r="J1494" s="6">
        <v>31</v>
      </c>
      <c r="K1494" s="40">
        <v>1</v>
      </c>
      <c r="L1494" s="40">
        <v>15</v>
      </c>
      <c r="M1494" s="40">
        <v>16674</v>
      </c>
      <c r="N1494" s="40">
        <v>2008</v>
      </c>
      <c r="O1494" s="40">
        <v>6962</v>
      </c>
      <c r="P1494" s="40">
        <v>7028</v>
      </c>
      <c r="Q1494" s="40">
        <v>35</v>
      </c>
      <c r="R1494" s="40">
        <v>268</v>
      </c>
      <c r="S1494" s="40">
        <v>373</v>
      </c>
    </row>
    <row r="1495" spans="1:19" x14ac:dyDescent="0.35">
      <c r="A1495" s="38">
        <v>1702</v>
      </c>
      <c r="B1495" s="38" t="str">
        <f>_xlfn.XLOOKUP(A1495,'Model Modeshare by TAZ'!A:A,'Model Modeshare by TAZ'!B:B)</f>
        <v>San Francisco</v>
      </c>
      <c r="C1495" s="38" t="str">
        <f>_xlfn.XLOOKUP(A1495,'Model Modeshare by TAZ'!A:A,'Model Modeshare by TAZ'!D:D)</f>
        <v>NO</v>
      </c>
      <c r="D1495" s="6">
        <v>1</v>
      </c>
      <c r="E1495" s="6">
        <v>162</v>
      </c>
      <c r="F1495" s="6">
        <v>292</v>
      </c>
      <c r="G1495" s="6">
        <v>301</v>
      </c>
      <c r="H1495" s="6">
        <v>182</v>
      </c>
      <c r="I1495" s="6">
        <v>3</v>
      </c>
      <c r="J1495" s="6">
        <v>159</v>
      </c>
      <c r="K1495" s="40">
        <v>1</v>
      </c>
      <c r="L1495" s="40">
        <v>24</v>
      </c>
      <c r="M1495" s="40">
        <v>25943</v>
      </c>
      <c r="N1495" s="40">
        <v>3125</v>
      </c>
      <c r="O1495" s="40">
        <v>10832</v>
      </c>
      <c r="P1495" s="40">
        <v>10934</v>
      </c>
      <c r="Q1495" s="40">
        <v>53</v>
      </c>
      <c r="R1495" s="40">
        <v>418</v>
      </c>
      <c r="S1495" s="40">
        <v>580</v>
      </c>
    </row>
    <row r="1496" spans="1:19" x14ac:dyDescent="0.35">
      <c r="A1496" s="38">
        <v>1703</v>
      </c>
      <c r="B1496" s="38" t="str">
        <f>_xlfn.XLOOKUP(A1496,'Model Modeshare by TAZ'!A:A,'Model Modeshare by TAZ'!B:B)</f>
        <v>San Francisco</v>
      </c>
      <c r="C1496" s="38" t="str">
        <f>_xlfn.XLOOKUP(A1496,'Model Modeshare by TAZ'!A:A,'Model Modeshare by TAZ'!D:D)</f>
        <v>NO</v>
      </c>
      <c r="D1496" s="6">
        <v>1</v>
      </c>
      <c r="E1496" s="6">
        <v>255</v>
      </c>
      <c r="F1496" s="6">
        <v>460</v>
      </c>
      <c r="G1496" s="6">
        <v>474</v>
      </c>
      <c r="H1496" s="6">
        <v>287</v>
      </c>
      <c r="I1496" s="6">
        <v>6</v>
      </c>
      <c r="J1496" s="6">
        <v>249</v>
      </c>
      <c r="K1496" s="40">
        <v>1</v>
      </c>
      <c r="L1496" s="40">
        <v>2</v>
      </c>
      <c r="M1496" s="40">
        <v>2218</v>
      </c>
      <c r="N1496" s="40">
        <v>268</v>
      </c>
      <c r="O1496" s="40">
        <v>926</v>
      </c>
      <c r="P1496" s="40">
        <v>934</v>
      </c>
      <c r="Q1496" s="40">
        <v>4</v>
      </c>
      <c r="R1496" s="40">
        <v>36</v>
      </c>
      <c r="S1496" s="40">
        <v>50</v>
      </c>
    </row>
    <row r="1497" spans="1:19" x14ac:dyDescent="0.35">
      <c r="A1497" s="38">
        <v>1704</v>
      </c>
      <c r="B1497" s="38" t="str">
        <f>_xlfn.XLOOKUP(A1497,'Model Modeshare by TAZ'!A:A,'Model Modeshare by TAZ'!B:B)</f>
        <v>San Francisco</v>
      </c>
      <c r="C1497" s="38" t="str">
        <f>_xlfn.XLOOKUP(A1497,'Model Modeshare by TAZ'!A:A,'Model Modeshare by TAZ'!D:D)</f>
        <v>NO</v>
      </c>
      <c r="D1497" s="6">
        <v>1</v>
      </c>
      <c r="E1497" s="6">
        <v>58</v>
      </c>
      <c r="F1497" s="6">
        <v>79</v>
      </c>
      <c r="G1497" s="6">
        <v>84</v>
      </c>
      <c r="H1497" s="6">
        <v>54</v>
      </c>
      <c r="I1497" s="6">
        <v>1</v>
      </c>
      <c r="J1497" s="6">
        <v>57</v>
      </c>
      <c r="K1497" s="40">
        <v>1</v>
      </c>
      <c r="L1497" s="40">
        <v>18</v>
      </c>
      <c r="M1497" s="40">
        <v>18250</v>
      </c>
      <c r="N1497" s="40">
        <v>2199</v>
      </c>
      <c r="O1497" s="40">
        <v>7620</v>
      </c>
      <c r="P1497" s="40">
        <v>7691</v>
      </c>
      <c r="Q1497" s="40">
        <v>37</v>
      </c>
      <c r="R1497" s="40">
        <v>294</v>
      </c>
      <c r="S1497" s="40">
        <v>408</v>
      </c>
    </row>
    <row r="1498" spans="1:19" x14ac:dyDescent="0.35">
      <c r="A1498" s="38">
        <v>1705</v>
      </c>
      <c r="B1498" s="38" t="str">
        <f>_xlfn.XLOOKUP(A1498,'Model Modeshare by TAZ'!A:A,'Model Modeshare by TAZ'!B:B)</f>
        <v>San Francisco</v>
      </c>
      <c r="C1498" s="38" t="str">
        <f>_xlfn.XLOOKUP(A1498,'Model Modeshare by TAZ'!A:A,'Model Modeshare by TAZ'!D:D)</f>
        <v>NO</v>
      </c>
      <c r="D1498" s="6">
        <v>1</v>
      </c>
      <c r="E1498" s="6">
        <v>553</v>
      </c>
      <c r="F1498" s="6">
        <v>748</v>
      </c>
      <c r="G1498" s="6">
        <v>797</v>
      </c>
      <c r="H1498" s="6">
        <v>509</v>
      </c>
      <c r="I1498" s="6">
        <v>11</v>
      </c>
      <c r="J1498" s="6">
        <v>542</v>
      </c>
      <c r="K1498" s="40">
        <v>1</v>
      </c>
      <c r="L1498" s="40">
        <v>15</v>
      </c>
      <c r="M1498" s="40">
        <v>18613</v>
      </c>
      <c r="N1498" s="40">
        <v>2243</v>
      </c>
      <c r="O1498" s="40">
        <v>7771</v>
      </c>
      <c r="P1498" s="40">
        <v>7845</v>
      </c>
      <c r="Q1498" s="40">
        <v>38</v>
      </c>
      <c r="R1498" s="40">
        <v>300</v>
      </c>
      <c r="S1498" s="40">
        <v>416</v>
      </c>
    </row>
    <row r="1499" spans="1:19" x14ac:dyDescent="0.35">
      <c r="A1499" s="38">
        <v>1706</v>
      </c>
      <c r="B1499" s="38" t="str">
        <f>_xlfn.XLOOKUP(A1499,'Model Modeshare by TAZ'!A:A,'Model Modeshare by TAZ'!B:B)</f>
        <v>San Francisco</v>
      </c>
      <c r="C1499" s="38" t="str">
        <f>_xlfn.XLOOKUP(A1499,'Model Modeshare by TAZ'!A:A,'Model Modeshare by TAZ'!D:D)</f>
        <v>NO</v>
      </c>
      <c r="D1499" s="6">
        <v>1</v>
      </c>
      <c r="E1499" s="6">
        <v>2133</v>
      </c>
      <c r="F1499" s="6">
        <v>3278</v>
      </c>
      <c r="G1499" s="6">
        <v>3908</v>
      </c>
      <c r="H1499" s="6">
        <v>2551</v>
      </c>
      <c r="I1499" s="6">
        <v>13</v>
      </c>
      <c r="J1499" s="6">
        <v>2120</v>
      </c>
      <c r="K1499" s="40">
        <v>7</v>
      </c>
      <c r="L1499" s="40">
        <v>8</v>
      </c>
      <c r="M1499" s="40">
        <v>3659</v>
      </c>
      <c r="N1499" s="40">
        <v>410</v>
      </c>
      <c r="O1499" s="40">
        <v>2843</v>
      </c>
      <c r="P1499" s="40">
        <v>369</v>
      </c>
      <c r="Q1499" s="40">
        <v>3</v>
      </c>
      <c r="R1499" s="40">
        <v>25</v>
      </c>
      <c r="S1499" s="40">
        <v>10</v>
      </c>
    </row>
    <row r="1500" spans="1:19" x14ac:dyDescent="0.35">
      <c r="A1500" s="38">
        <v>1707</v>
      </c>
      <c r="B1500" s="38" t="str">
        <f>_xlfn.XLOOKUP(A1500,'Model Modeshare by TAZ'!A:A,'Model Modeshare by TAZ'!B:B)</f>
        <v>San Francisco</v>
      </c>
      <c r="C1500" s="38" t="str">
        <f>_xlfn.XLOOKUP(A1500,'Model Modeshare by TAZ'!A:A,'Model Modeshare by TAZ'!D:D)</f>
        <v>NO</v>
      </c>
      <c r="D1500" s="6">
        <v>1</v>
      </c>
      <c r="E1500" s="6">
        <v>3246</v>
      </c>
      <c r="F1500" s="6">
        <v>4718</v>
      </c>
      <c r="G1500" s="6">
        <v>4718</v>
      </c>
      <c r="H1500" s="6">
        <v>2386</v>
      </c>
      <c r="I1500" s="6">
        <v>6</v>
      </c>
      <c r="J1500" s="6">
        <v>3240</v>
      </c>
      <c r="K1500" s="40">
        <v>13</v>
      </c>
      <c r="L1500" s="40">
        <v>14</v>
      </c>
      <c r="M1500" s="40">
        <v>9430</v>
      </c>
      <c r="N1500" s="40">
        <v>2006</v>
      </c>
      <c r="O1500" s="40">
        <v>4962</v>
      </c>
      <c r="P1500" s="40">
        <v>1965</v>
      </c>
      <c r="Q1500" s="40">
        <v>2</v>
      </c>
      <c r="R1500" s="40">
        <v>291</v>
      </c>
      <c r="S1500" s="40">
        <v>204</v>
      </c>
    </row>
    <row r="1501" spans="1:19" x14ac:dyDescent="0.35">
      <c r="A1501" s="38">
        <v>1708</v>
      </c>
      <c r="B1501" s="38" t="str">
        <f>_xlfn.XLOOKUP(A1501,'Model Modeshare by TAZ'!A:A,'Model Modeshare by TAZ'!B:B)</f>
        <v>San Francisco</v>
      </c>
      <c r="C1501" s="38" t="str">
        <f>_xlfn.XLOOKUP(A1501,'Model Modeshare by TAZ'!A:A,'Model Modeshare by TAZ'!D:D)</f>
        <v>NO</v>
      </c>
      <c r="D1501" s="6">
        <v>1</v>
      </c>
      <c r="E1501" s="6">
        <v>4399</v>
      </c>
      <c r="F1501" s="6">
        <v>6886</v>
      </c>
      <c r="G1501" s="6">
        <v>7286</v>
      </c>
      <c r="H1501" s="6">
        <v>2519</v>
      </c>
      <c r="I1501" s="6">
        <v>17</v>
      </c>
      <c r="J1501" s="6">
        <v>4382</v>
      </c>
      <c r="K1501" s="40">
        <v>8</v>
      </c>
      <c r="L1501" s="40">
        <v>15</v>
      </c>
      <c r="M1501" s="40">
        <v>4049</v>
      </c>
      <c r="N1501" s="40">
        <v>573</v>
      </c>
      <c r="O1501" s="40">
        <v>2084</v>
      </c>
      <c r="P1501" s="40">
        <v>1296</v>
      </c>
      <c r="Q1501" s="40">
        <v>2</v>
      </c>
      <c r="R1501" s="40">
        <v>52</v>
      </c>
      <c r="S1501" s="40">
        <v>41</v>
      </c>
    </row>
    <row r="1502" spans="1:19" x14ac:dyDescent="0.35">
      <c r="A1502" s="38">
        <v>1709</v>
      </c>
      <c r="B1502" s="38" t="str">
        <f>_xlfn.XLOOKUP(A1502,'Model Modeshare by TAZ'!A:A,'Model Modeshare by TAZ'!B:B)</f>
        <v>San Francisco</v>
      </c>
      <c r="C1502" s="38" t="str">
        <f>_xlfn.XLOOKUP(A1502,'Model Modeshare by TAZ'!A:A,'Model Modeshare by TAZ'!D:D)</f>
        <v>NO</v>
      </c>
      <c r="D1502" s="6">
        <v>1</v>
      </c>
      <c r="E1502" s="6">
        <v>4990</v>
      </c>
      <c r="F1502" s="6">
        <v>7788</v>
      </c>
      <c r="G1502" s="6">
        <v>8261</v>
      </c>
      <c r="H1502" s="6">
        <v>4323</v>
      </c>
      <c r="I1502" s="6">
        <v>30</v>
      </c>
      <c r="J1502" s="6">
        <v>4960</v>
      </c>
      <c r="K1502" s="40">
        <v>9</v>
      </c>
      <c r="L1502" s="40">
        <v>47</v>
      </c>
      <c r="M1502" s="40">
        <v>15998</v>
      </c>
      <c r="N1502" s="40">
        <v>1554</v>
      </c>
      <c r="O1502" s="40">
        <v>9585</v>
      </c>
      <c r="P1502" s="40">
        <v>4159</v>
      </c>
      <c r="Q1502" s="40">
        <v>2</v>
      </c>
      <c r="R1502" s="40">
        <v>446</v>
      </c>
      <c r="S1502" s="40">
        <v>253</v>
      </c>
    </row>
    <row r="1503" spans="1:19" x14ac:dyDescent="0.35">
      <c r="A1503" s="38">
        <v>1710</v>
      </c>
      <c r="B1503" s="38" t="str">
        <f>_xlfn.XLOOKUP(A1503,'Model Modeshare by TAZ'!A:A,'Model Modeshare by TAZ'!B:B)</f>
        <v>San Francisco</v>
      </c>
      <c r="C1503" s="38" t="str">
        <f>_xlfn.XLOOKUP(A1503,'Model Modeshare by TAZ'!A:A,'Model Modeshare by TAZ'!D:D)</f>
        <v>NO</v>
      </c>
      <c r="D1503" s="6">
        <v>1</v>
      </c>
      <c r="E1503" s="6">
        <v>2154</v>
      </c>
      <c r="F1503" s="6">
        <v>3808</v>
      </c>
      <c r="G1503" s="6">
        <v>3862</v>
      </c>
      <c r="H1503" s="6">
        <v>2233</v>
      </c>
      <c r="I1503" s="6">
        <v>51</v>
      </c>
      <c r="J1503" s="6">
        <v>2103</v>
      </c>
      <c r="K1503" s="40">
        <v>9</v>
      </c>
      <c r="L1503" s="40">
        <v>35</v>
      </c>
      <c r="M1503" s="40">
        <v>5611</v>
      </c>
      <c r="N1503" s="40">
        <v>897</v>
      </c>
      <c r="O1503" s="40">
        <v>2135</v>
      </c>
      <c r="P1503" s="40">
        <v>2141</v>
      </c>
      <c r="Q1503" s="40">
        <v>1</v>
      </c>
      <c r="R1503" s="40">
        <v>292</v>
      </c>
      <c r="S1503" s="40">
        <v>146</v>
      </c>
    </row>
    <row r="1504" spans="1:19" x14ac:dyDescent="0.35">
      <c r="A1504" s="38">
        <v>1711</v>
      </c>
      <c r="B1504" s="38" t="str">
        <f>_xlfn.XLOOKUP(A1504,'Model Modeshare by TAZ'!A:A,'Model Modeshare by TAZ'!B:B)</f>
        <v>San Francisco</v>
      </c>
      <c r="C1504" s="38" t="str">
        <f>_xlfn.XLOOKUP(A1504,'Model Modeshare by TAZ'!A:A,'Model Modeshare by TAZ'!D:D)</f>
        <v>NO</v>
      </c>
      <c r="D1504" s="6">
        <v>1</v>
      </c>
      <c r="E1504" s="6">
        <v>2257</v>
      </c>
      <c r="F1504" s="6">
        <v>3848</v>
      </c>
      <c r="G1504" s="6">
        <v>3931</v>
      </c>
      <c r="H1504" s="6">
        <v>1866</v>
      </c>
      <c r="I1504" s="6">
        <v>52</v>
      </c>
      <c r="J1504" s="6">
        <v>2205</v>
      </c>
      <c r="K1504" s="40">
        <v>13</v>
      </c>
      <c r="L1504" s="40">
        <v>38</v>
      </c>
      <c r="M1504" s="40">
        <v>12826</v>
      </c>
      <c r="N1504" s="40">
        <v>2052</v>
      </c>
      <c r="O1504" s="40">
        <v>4879</v>
      </c>
      <c r="P1504" s="40">
        <v>4894</v>
      </c>
      <c r="Q1504" s="40">
        <v>1</v>
      </c>
      <c r="R1504" s="40">
        <v>667</v>
      </c>
      <c r="S1504" s="40">
        <v>333</v>
      </c>
    </row>
    <row r="1505" spans="1:19" x14ac:dyDescent="0.35">
      <c r="A1505" s="38">
        <v>1712</v>
      </c>
      <c r="B1505" s="38" t="str">
        <f>_xlfn.XLOOKUP(A1505,'Model Modeshare by TAZ'!A:A,'Model Modeshare by TAZ'!B:B)</f>
        <v>San Francisco</v>
      </c>
      <c r="C1505" s="38" t="str">
        <f>_xlfn.XLOOKUP(A1505,'Model Modeshare by TAZ'!A:A,'Model Modeshare by TAZ'!D:D)</f>
        <v>NO</v>
      </c>
      <c r="D1505" s="6">
        <v>1</v>
      </c>
      <c r="E1505" s="6">
        <v>789</v>
      </c>
      <c r="F1505" s="6">
        <v>1060</v>
      </c>
      <c r="G1505" s="6">
        <v>1060</v>
      </c>
      <c r="H1505" s="6">
        <v>904</v>
      </c>
      <c r="I1505" s="6">
        <v>3</v>
      </c>
      <c r="J1505" s="6">
        <v>786</v>
      </c>
      <c r="K1505" s="40">
        <v>1</v>
      </c>
      <c r="L1505" s="40">
        <v>16</v>
      </c>
      <c r="M1505" s="40">
        <v>10281</v>
      </c>
      <c r="N1505" s="40">
        <v>862</v>
      </c>
      <c r="O1505" s="40">
        <v>3758</v>
      </c>
      <c r="P1505" s="40">
        <v>5136</v>
      </c>
      <c r="Q1505" s="40">
        <v>18</v>
      </c>
      <c r="R1505" s="40">
        <v>235</v>
      </c>
      <c r="S1505" s="40">
        <v>272</v>
      </c>
    </row>
    <row r="1506" spans="1:19" x14ac:dyDescent="0.35">
      <c r="A1506" s="38">
        <v>1713</v>
      </c>
      <c r="B1506" s="38" t="str">
        <f>_xlfn.XLOOKUP(A1506,'Model Modeshare by TAZ'!A:A,'Model Modeshare by TAZ'!B:B)</f>
        <v>San Francisco</v>
      </c>
      <c r="C1506" s="38" t="str">
        <f>_xlfn.XLOOKUP(A1506,'Model Modeshare by TAZ'!A:A,'Model Modeshare by TAZ'!D:D)</f>
        <v>NO</v>
      </c>
      <c r="D1506" s="6">
        <v>1</v>
      </c>
      <c r="E1506" s="6">
        <v>9</v>
      </c>
      <c r="F1506" s="6">
        <v>12</v>
      </c>
      <c r="G1506" s="6">
        <v>12</v>
      </c>
      <c r="H1506" s="6">
        <v>10</v>
      </c>
      <c r="I1506" s="6">
        <v>0</v>
      </c>
      <c r="J1506" s="6">
        <v>9</v>
      </c>
      <c r="K1506" s="40">
        <v>1</v>
      </c>
      <c r="L1506" s="40">
        <v>19</v>
      </c>
      <c r="M1506" s="40">
        <v>18128</v>
      </c>
      <c r="N1506" s="40">
        <v>1520</v>
      </c>
      <c r="O1506" s="40">
        <v>6627</v>
      </c>
      <c r="P1506" s="40">
        <v>9055</v>
      </c>
      <c r="Q1506" s="40">
        <v>33</v>
      </c>
      <c r="R1506" s="40">
        <v>414</v>
      </c>
      <c r="S1506" s="40">
        <v>479</v>
      </c>
    </row>
    <row r="1507" spans="1:19" x14ac:dyDescent="0.35">
      <c r="A1507" s="38">
        <v>1714</v>
      </c>
      <c r="B1507" s="38" t="str">
        <f>_xlfn.XLOOKUP(A1507,'Model Modeshare by TAZ'!A:A,'Model Modeshare by TAZ'!B:B)</f>
        <v>San Francisco</v>
      </c>
      <c r="C1507" s="38" t="str">
        <f>_xlfn.XLOOKUP(A1507,'Model Modeshare by TAZ'!A:A,'Model Modeshare by TAZ'!D:D)</f>
        <v>NO</v>
      </c>
      <c r="D1507" s="6">
        <v>1</v>
      </c>
      <c r="E1507" s="6">
        <v>173</v>
      </c>
      <c r="F1507" s="6">
        <v>233</v>
      </c>
      <c r="G1507" s="6">
        <v>233</v>
      </c>
      <c r="H1507" s="6">
        <v>198</v>
      </c>
      <c r="I1507" s="6">
        <v>0</v>
      </c>
      <c r="J1507" s="6">
        <v>173</v>
      </c>
      <c r="K1507" s="40">
        <v>1</v>
      </c>
      <c r="L1507" s="40">
        <v>26</v>
      </c>
      <c r="M1507" s="40">
        <v>29300</v>
      </c>
      <c r="N1507" s="40">
        <v>2456</v>
      </c>
      <c r="O1507" s="40">
        <v>10713</v>
      </c>
      <c r="P1507" s="40">
        <v>14636</v>
      </c>
      <c r="Q1507" s="40">
        <v>53</v>
      </c>
      <c r="R1507" s="40">
        <v>669</v>
      </c>
      <c r="S1507" s="40">
        <v>774</v>
      </c>
    </row>
    <row r="1508" spans="1:19" x14ac:dyDescent="0.35">
      <c r="A1508" s="38">
        <v>1715</v>
      </c>
      <c r="B1508" s="38" t="str">
        <f>_xlfn.XLOOKUP(A1508,'Model Modeshare by TAZ'!A:A,'Model Modeshare by TAZ'!B:B)</f>
        <v>San Francisco</v>
      </c>
      <c r="C1508" s="38" t="str">
        <f>_xlfn.XLOOKUP(A1508,'Model Modeshare by TAZ'!A:A,'Model Modeshare by TAZ'!D:D)</f>
        <v>NO</v>
      </c>
      <c r="D1508" s="6">
        <v>1</v>
      </c>
      <c r="E1508" s="6">
        <v>239</v>
      </c>
      <c r="F1508" s="6">
        <v>321</v>
      </c>
      <c r="G1508" s="6">
        <v>321</v>
      </c>
      <c r="H1508" s="6">
        <v>274</v>
      </c>
      <c r="I1508" s="6">
        <v>1</v>
      </c>
      <c r="J1508" s="6">
        <v>238</v>
      </c>
      <c r="K1508" s="40">
        <v>3</v>
      </c>
      <c r="L1508" s="40">
        <v>14</v>
      </c>
      <c r="M1508" s="40">
        <v>12824</v>
      </c>
      <c r="N1508" s="40">
        <v>1075</v>
      </c>
      <c r="O1508" s="40">
        <v>4688</v>
      </c>
      <c r="P1508" s="40">
        <v>6406</v>
      </c>
      <c r="Q1508" s="40">
        <v>23</v>
      </c>
      <c r="R1508" s="40">
        <v>293</v>
      </c>
      <c r="S1508" s="40">
        <v>340</v>
      </c>
    </row>
    <row r="1509" spans="1:19" x14ac:dyDescent="0.35">
      <c r="A1509" s="38">
        <v>1716</v>
      </c>
      <c r="B1509" s="38" t="str">
        <f>_xlfn.XLOOKUP(A1509,'Model Modeshare by TAZ'!A:A,'Model Modeshare by TAZ'!B:B)</f>
        <v>San Francisco</v>
      </c>
      <c r="C1509" s="38" t="str">
        <f>_xlfn.XLOOKUP(A1509,'Model Modeshare by TAZ'!A:A,'Model Modeshare by TAZ'!D:D)</f>
        <v>NO</v>
      </c>
      <c r="D1509" s="6">
        <v>1</v>
      </c>
      <c r="E1509" s="6">
        <v>2217</v>
      </c>
      <c r="F1509" s="6">
        <v>3934</v>
      </c>
      <c r="G1509" s="6">
        <v>3934</v>
      </c>
      <c r="H1509" s="6">
        <v>2688</v>
      </c>
      <c r="I1509" s="6">
        <v>24</v>
      </c>
      <c r="J1509" s="6">
        <v>2193</v>
      </c>
      <c r="K1509" s="40">
        <v>7</v>
      </c>
      <c r="L1509" s="40">
        <v>73</v>
      </c>
      <c r="M1509" s="40">
        <v>23879</v>
      </c>
      <c r="N1509" s="40">
        <v>2282</v>
      </c>
      <c r="O1509" s="40">
        <v>9394</v>
      </c>
      <c r="P1509" s="40">
        <v>8722</v>
      </c>
      <c r="Q1509" s="40">
        <v>1</v>
      </c>
      <c r="R1509" s="40">
        <v>2365</v>
      </c>
      <c r="S1509" s="40">
        <v>1117</v>
      </c>
    </row>
    <row r="1510" spans="1:19" x14ac:dyDescent="0.35">
      <c r="A1510" s="38">
        <v>1717</v>
      </c>
      <c r="B1510" s="38" t="str">
        <f>_xlfn.XLOOKUP(A1510,'Model Modeshare by TAZ'!A:A,'Model Modeshare by TAZ'!B:B)</f>
        <v>San Francisco</v>
      </c>
      <c r="C1510" s="38" t="str">
        <f>_xlfn.XLOOKUP(A1510,'Model Modeshare by TAZ'!A:A,'Model Modeshare by TAZ'!D:D)</f>
        <v>NO</v>
      </c>
      <c r="D1510" s="6">
        <v>1</v>
      </c>
      <c r="E1510" s="6">
        <v>3925</v>
      </c>
      <c r="F1510" s="6">
        <v>7001</v>
      </c>
      <c r="G1510" s="6">
        <v>7497</v>
      </c>
      <c r="H1510" s="6">
        <v>4636</v>
      </c>
      <c r="I1510" s="6">
        <v>43</v>
      </c>
      <c r="J1510" s="6">
        <v>3882</v>
      </c>
      <c r="K1510" s="40">
        <v>23</v>
      </c>
      <c r="L1510" s="40">
        <v>36</v>
      </c>
      <c r="M1510" s="40">
        <v>5410</v>
      </c>
      <c r="N1510" s="40">
        <v>517</v>
      </c>
      <c r="O1510" s="40">
        <v>2128</v>
      </c>
      <c r="P1510" s="40">
        <v>1976</v>
      </c>
      <c r="Q1510" s="40">
        <v>0</v>
      </c>
      <c r="R1510" s="40">
        <v>536</v>
      </c>
      <c r="S1510" s="40">
        <v>253</v>
      </c>
    </row>
    <row r="1511" spans="1:19" x14ac:dyDescent="0.35">
      <c r="A1511" s="38">
        <v>1718</v>
      </c>
      <c r="B1511" s="38" t="str">
        <f>_xlfn.XLOOKUP(A1511,'Model Modeshare by TAZ'!A:A,'Model Modeshare by TAZ'!B:B)</f>
        <v>San Francisco</v>
      </c>
      <c r="C1511" s="38" t="str">
        <f>_xlfn.XLOOKUP(A1511,'Model Modeshare by TAZ'!A:A,'Model Modeshare by TAZ'!D:D)</f>
        <v>NO</v>
      </c>
      <c r="D1511" s="6">
        <v>1</v>
      </c>
      <c r="E1511" s="6">
        <v>948</v>
      </c>
      <c r="F1511" s="6">
        <v>1683</v>
      </c>
      <c r="G1511" s="6">
        <v>2175</v>
      </c>
      <c r="H1511" s="6">
        <v>1326</v>
      </c>
      <c r="I1511" s="6">
        <v>64</v>
      </c>
      <c r="J1511" s="6">
        <v>884</v>
      </c>
      <c r="K1511" s="40">
        <v>2</v>
      </c>
      <c r="L1511" s="40">
        <v>50</v>
      </c>
      <c r="M1511" s="40">
        <v>6590</v>
      </c>
      <c r="N1511" s="40">
        <v>511</v>
      </c>
      <c r="O1511" s="40">
        <v>2268</v>
      </c>
      <c r="P1511" s="40">
        <v>2397</v>
      </c>
      <c r="Q1511" s="40">
        <v>16</v>
      </c>
      <c r="R1511" s="40">
        <v>448</v>
      </c>
      <c r="S1511" s="40">
        <v>951</v>
      </c>
    </row>
    <row r="1512" spans="1:19" x14ac:dyDescent="0.35">
      <c r="A1512" s="38">
        <v>1719</v>
      </c>
      <c r="B1512" s="38" t="str">
        <f>_xlfn.XLOOKUP(A1512,'Model Modeshare by TAZ'!A:A,'Model Modeshare by TAZ'!B:B)</f>
        <v>San Francisco</v>
      </c>
      <c r="C1512" s="38" t="str">
        <f>_xlfn.XLOOKUP(A1512,'Model Modeshare by TAZ'!A:A,'Model Modeshare by TAZ'!D:D)</f>
        <v>NO</v>
      </c>
      <c r="D1512" s="6">
        <v>1</v>
      </c>
      <c r="E1512" s="6">
        <v>366</v>
      </c>
      <c r="F1512" s="6">
        <v>591</v>
      </c>
      <c r="G1512" s="6">
        <v>1104</v>
      </c>
      <c r="H1512" s="6">
        <v>515</v>
      </c>
      <c r="I1512" s="6">
        <v>24</v>
      </c>
      <c r="J1512" s="6">
        <v>342</v>
      </c>
      <c r="K1512" s="40">
        <v>9</v>
      </c>
      <c r="L1512" s="40">
        <v>74</v>
      </c>
      <c r="M1512" s="40">
        <v>9152</v>
      </c>
      <c r="N1512" s="40">
        <v>709</v>
      </c>
      <c r="O1512" s="40">
        <v>3149</v>
      </c>
      <c r="P1512" s="40">
        <v>3329</v>
      </c>
      <c r="Q1512" s="40">
        <v>23</v>
      </c>
      <c r="R1512" s="40">
        <v>623</v>
      </c>
      <c r="S1512" s="40">
        <v>1320</v>
      </c>
    </row>
    <row r="1513" spans="1:19" x14ac:dyDescent="0.35">
      <c r="A1513" s="38">
        <v>1720</v>
      </c>
      <c r="B1513" s="38" t="str">
        <f>_xlfn.XLOOKUP(A1513,'Model Modeshare by TAZ'!A:A,'Model Modeshare by TAZ'!B:B)</f>
        <v>San Francisco</v>
      </c>
      <c r="C1513" s="38" t="str">
        <f>_xlfn.XLOOKUP(A1513,'Model Modeshare by TAZ'!A:A,'Model Modeshare by TAZ'!D:D)</f>
        <v>NO</v>
      </c>
      <c r="D1513" s="6">
        <v>1</v>
      </c>
      <c r="E1513" s="6">
        <v>1847</v>
      </c>
      <c r="F1513" s="6">
        <v>3544</v>
      </c>
      <c r="G1513" s="6">
        <v>3834</v>
      </c>
      <c r="H1513" s="6">
        <v>2200</v>
      </c>
      <c r="I1513" s="6">
        <v>88</v>
      </c>
      <c r="J1513" s="6">
        <v>1759</v>
      </c>
      <c r="K1513" s="40">
        <v>12</v>
      </c>
      <c r="L1513" s="40">
        <v>35</v>
      </c>
      <c r="M1513" s="40">
        <v>6049</v>
      </c>
      <c r="N1513" s="40">
        <v>345</v>
      </c>
      <c r="O1513" s="40">
        <v>3019</v>
      </c>
      <c r="P1513" s="40">
        <v>1915</v>
      </c>
      <c r="Q1513" s="40">
        <v>0</v>
      </c>
      <c r="R1513" s="40">
        <v>428</v>
      </c>
      <c r="S1513" s="40">
        <v>343</v>
      </c>
    </row>
    <row r="1514" spans="1:19" x14ac:dyDescent="0.35">
      <c r="A1514" s="38">
        <v>1721</v>
      </c>
      <c r="B1514" s="38" t="str">
        <f>_xlfn.XLOOKUP(A1514,'Model Modeshare by TAZ'!A:A,'Model Modeshare by TAZ'!B:B)</f>
        <v>San Francisco</v>
      </c>
      <c r="C1514" s="38" t="str">
        <f>_xlfn.XLOOKUP(A1514,'Model Modeshare by TAZ'!A:A,'Model Modeshare by TAZ'!D:D)</f>
        <v>NO</v>
      </c>
      <c r="D1514" s="6">
        <v>1</v>
      </c>
      <c r="E1514" s="6">
        <v>2681</v>
      </c>
      <c r="F1514" s="6">
        <v>4118</v>
      </c>
      <c r="G1514" s="6">
        <v>4231</v>
      </c>
      <c r="H1514" s="6">
        <v>1696</v>
      </c>
      <c r="I1514" s="6">
        <v>129</v>
      </c>
      <c r="J1514" s="6">
        <v>2552</v>
      </c>
      <c r="K1514" s="40">
        <v>15</v>
      </c>
      <c r="L1514" s="40">
        <v>44</v>
      </c>
      <c r="M1514" s="40">
        <v>4048</v>
      </c>
      <c r="N1514" s="40">
        <v>231</v>
      </c>
      <c r="O1514" s="40">
        <v>2020</v>
      </c>
      <c r="P1514" s="40">
        <v>1281</v>
      </c>
      <c r="Q1514" s="40">
        <v>0</v>
      </c>
      <c r="R1514" s="40">
        <v>286</v>
      </c>
      <c r="S1514" s="40">
        <v>229</v>
      </c>
    </row>
    <row r="1515" spans="1:19" x14ac:dyDescent="0.35">
      <c r="A1515" s="38">
        <v>1722</v>
      </c>
      <c r="B1515" s="38" t="str">
        <f>_xlfn.XLOOKUP(A1515,'Model Modeshare by TAZ'!A:A,'Model Modeshare by TAZ'!B:B)</f>
        <v>San Francisco</v>
      </c>
      <c r="C1515" s="38" t="str">
        <f>_xlfn.XLOOKUP(A1515,'Model Modeshare by TAZ'!A:A,'Model Modeshare by TAZ'!D:D)</f>
        <v>NO</v>
      </c>
      <c r="D1515" s="6">
        <v>1</v>
      </c>
      <c r="E1515" s="6">
        <v>1163</v>
      </c>
      <c r="F1515" s="6">
        <v>1750</v>
      </c>
      <c r="G1515" s="6">
        <v>1750</v>
      </c>
      <c r="H1515" s="6">
        <v>959</v>
      </c>
      <c r="I1515" s="6">
        <v>58</v>
      </c>
      <c r="J1515" s="6">
        <v>1105</v>
      </c>
      <c r="K1515" s="40">
        <v>9</v>
      </c>
      <c r="L1515" s="40">
        <v>46</v>
      </c>
      <c r="M1515" s="40">
        <v>15513</v>
      </c>
      <c r="N1515" s="40">
        <v>1332</v>
      </c>
      <c r="O1515" s="40">
        <v>7766</v>
      </c>
      <c r="P1515" s="40">
        <v>5192</v>
      </c>
      <c r="Q1515" s="40">
        <v>7</v>
      </c>
      <c r="R1515" s="40">
        <v>995</v>
      </c>
      <c r="S1515" s="40">
        <v>221</v>
      </c>
    </row>
    <row r="1516" spans="1:19" x14ac:dyDescent="0.35">
      <c r="A1516" s="38">
        <v>1723</v>
      </c>
      <c r="B1516" s="38" t="str">
        <f>_xlfn.XLOOKUP(A1516,'Model Modeshare by TAZ'!A:A,'Model Modeshare by TAZ'!B:B)</f>
        <v>San Francisco</v>
      </c>
      <c r="C1516" s="38" t="str">
        <f>_xlfn.XLOOKUP(A1516,'Model Modeshare by TAZ'!A:A,'Model Modeshare by TAZ'!D:D)</f>
        <v>NO</v>
      </c>
      <c r="D1516" s="6">
        <v>1</v>
      </c>
      <c r="E1516" s="6">
        <v>451</v>
      </c>
      <c r="F1516" s="6">
        <v>934</v>
      </c>
      <c r="G1516" s="6">
        <v>934</v>
      </c>
      <c r="H1516" s="6">
        <v>500</v>
      </c>
      <c r="I1516" s="6">
        <v>23</v>
      </c>
      <c r="J1516" s="6">
        <v>428</v>
      </c>
      <c r="K1516" s="40">
        <v>4</v>
      </c>
      <c r="L1516" s="40">
        <v>20</v>
      </c>
      <c r="M1516" s="40">
        <v>9770</v>
      </c>
      <c r="N1516" s="40">
        <v>839</v>
      </c>
      <c r="O1516" s="40">
        <v>4892</v>
      </c>
      <c r="P1516" s="40">
        <v>3270</v>
      </c>
      <c r="Q1516" s="40">
        <v>4</v>
      </c>
      <c r="R1516" s="40">
        <v>627</v>
      </c>
      <c r="S1516" s="40">
        <v>139</v>
      </c>
    </row>
    <row r="1517" spans="1:19" x14ac:dyDescent="0.35">
      <c r="A1517" s="38">
        <v>1724</v>
      </c>
      <c r="B1517" s="38" t="str">
        <f>_xlfn.XLOOKUP(A1517,'Model Modeshare by TAZ'!A:A,'Model Modeshare by TAZ'!B:B)</f>
        <v>San Francisco</v>
      </c>
      <c r="C1517" s="38" t="str">
        <f>_xlfn.XLOOKUP(A1517,'Model Modeshare by TAZ'!A:A,'Model Modeshare by TAZ'!D:D)</f>
        <v>NO</v>
      </c>
      <c r="D1517" s="6">
        <v>1</v>
      </c>
      <c r="E1517" s="6">
        <v>384</v>
      </c>
      <c r="F1517" s="6">
        <v>727</v>
      </c>
      <c r="G1517" s="6">
        <v>727</v>
      </c>
      <c r="H1517" s="6">
        <v>248</v>
      </c>
      <c r="I1517" s="6">
        <v>0</v>
      </c>
      <c r="J1517" s="6">
        <v>384</v>
      </c>
      <c r="K1517" s="40">
        <v>2</v>
      </c>
      <c r="L1517" s="40">
        <v>20</v>
      </c>
      <c r="M1517" s="40">
        <v>12878</v>
      </c>
      <c r="N1517" s="40">
        <v>1205</v>
      </c>
      <c r="O1517" s="40">
        <v>5611</v>
      </c>
      <c r="P1517" s="40">
        <v>4798</v>
      </c>
      <c r="Q1517" s="40">
        <v>20</v>
      </c>
      <c r="R1517" s="40">
        <v>571</v>
      </c>
      <c r="S1517" s="40">
        <v>673</v>
      </c>
    </row>
    <row r="1518" spans="1:19" x14ac:dyDescent="0.35">
      <c r="A1518" s="38">
        <v>1725</v>
      </c>
      <c r="B1518" s="38" t="str">
        <f>_xlfn.XLOOKUP(A1518,'Model Modeshare by TAZ'!A:A,'Model Modeshare by TAZ'!B:B)</f>
        <v>San Francisco</v>
      </c>
      <c r="C1518" s="38" t="str">
        <f>_xlfn.XLOOKUP(A1518,'Model Modeshare by TAZ'!A:A,'Model Modeshare by TAZ'!D:D)</f>
        <v>NO</v>
      </c>
      <c r="D1518" s="6">
        <v>1</v>
      </c>
      <c r="E1518" s="6">
        <v>1720</v>
      </c>
      <c r="F1518" s="6">
        <v>3959</v>
      </c>
      <c r="G1518" s="6">
        <v>3959</v>
      </c>
      <c r="H1518" s="6">
        <v>1651</v>
      </c>
      <c r="I1518" s="6">
        <v>116</v>
      </c>
      <c r="J1518" s="6">
        <v>1604</v>
      </c>
      <c r="K1518" s="40">
        <v>4</v>
      </c>
      <c r="L1518" s="40">
        <v>4</v>
      </c>
      <c r="M1518" s="40">
        <v>1982</v>
      </c>
      <c r="N1518" s="40">
        <v>1187</v>
      </c>
      <c r="O1518" s="40">
        <v>373</v>
      </c>
      <c r="P1518" s="40">
        <v>186</v>
      </c>
      <c r="Q1518" s="40">
        <v>0</v>
      </c>
      <c r="R1518" s="40">
        <v>217</v>
      </c>
      <c r="S1518" s="40">
        <v>19</v>
      </c>
    </row>
    <row r="1519" spans="1:19" x14ac:dyDescent="0.35">
      <c r="A1519" s="38">
        <v>1726</v>
      </c>
      <c r="B1519" s="38" t="str">
        <f>_xlfn.XLOOKUP(A1519,'Model Modeshare by TAZ'!A:A,'Model Modeshare by TAZ'!B:B)</f>
        <v>San Francisco</v>
      </c>
      <c r="C1519" s="38" t="str">
        <f>_xlfn.XLOOKUP(A1519,'Model Modeshare by TAZ'!A:A,'Model Modeshare by TAZ'!D:D)</f>
        <v>NO</v>
      </c>
      <c r="D1519" s="6">
        <v>1</v>
      </c>
      <c r="E1519" s="6">
        <v>708</v>
      </c>
      <c r="F1519" s="6">
        <v>1549</v>
      </c>
      <c r="G1519" s="6">
        <v>1562</v>
      </c>
      <c r="H1519" s="6">
        <v>730</v>
      </c>
      <c r="I1519" s="6">
        <v>32</v>
      </c>
      <c r="J1519" s="6">
        <v>676</v>
      </c>
      <c r="K1519" s="40">
        <v>2</v>
      </c>
      <c r="L1519" s="40">
        <v>5</v>
      </c>
      <c r="M1519" s="40">
        <v>3345</v>
      </c>
      <c r="N1519" s="40">
        <v>973</v>
      </c>
      <c r="O1519" s="40">
        <v>950</v>
      </c>
      <c r="P1519" s="40">
        <v>985</v>
      </c>
      <c r="Q1519" s="40">
        <v>26</v>
      </c>
      <c r="R1519" s="40">
        <v>311</v>
      </c>
      <c r="S1519" s="40">
        <v>101</v>
      </c>
    </row>
    <row r="1520" spans="1:19" x14ac:dyDescent="0.35">
      <c r="A1520" s="38">
        <v>1727</v>
      </c>
      <c r="B1520" s="38" t="str">
        <f>_xlfn.XLOOKUP(A1520,'Model Modeshare by TAZ'!A:A,'Model Modeshare by TAZ'!B:B)</f>
        <v>San Francisco</v>
      </c>
      <c r="C1520" s="38" t="str">
        <f>_xlfn.XLOOKUP(A1520,'Model Modeshare by TAZ'!A:A,'Model Modeshare by TAZ'!D:D)</f>
        <v>NO</v>
      </c>
      <c r="D1520" s="6">
        <v>1</v>
      </c>
      <c r="E1520" s="6">
        <v>1534</v>
      </c>
      <c r="F1520" s="6">
        <v>3032</v>
      </c>
      <c r="G1520" s="6">
        <v>3061</v>
      </c>
      <c r="H1520" s="6">
        <v>1402</v>
      </c>
      <c r="I1520" s="6">
        <v>60</v>
      </c>
      <c r="J1520" s="6">
        <v>1474</v>
      </c>
      <c r="K1520" s="40">
        <v>8</v>
      </c>
      <c r="L1520" s="40">
        <v>6</v>
      </c>
      <c r="M1520" s="40">
        <v>1394</v>
      </c>
      <c r="N1520" s="40">
        <v>419</v>
      </c>
      <c r="O1520" s="40">
        <v>617</v>
      </c>
      <c r="P1520" s="40">
        <v>100</v>
      </c>
      <c r="Q1520" s="40">
        <v>0</v>
      </c>
      <c r="R1520" s="40">
        <v>231</v>
      </c>
      <c r="S1520" s="40">
        <v>27</v>
      </c>
    </row>
    <row r="1521" spans="1:19" x14ac:dyDescent="0.35">
      <c r="A1521" s="38">
        <v>1728</v>
      </c>
      <c r="B1521" s="38" t="str">
        <f>_xlfn.XLOOKUP(A1521,'Model Modeshare by TAZ'!A:A,'Model Modeshare by TAZ'!B:B)</f>
        <v>San Francisco</v>
      </c>
      <c r="C1521" s="38" t="str">
        <f>_xlfn.XLOOKUP(A1521,'Model Modeshare by TAZ'!A:A,'Model Modeshare by TAZ'!D:D)</f>
        <v>NO</v>
      </c>
      <c r="D1521" s="6">
        <v>1</v>
      </c>
      <c r="E1521" s="6">
        <v>1916</v>
      </c>
      <c r="F1521" s="6">
        <v>3330</v>
      </c>
      <c r="G1521" s="6">
        <v>3335</v>
      </c>
      <c r="H1521" s="6">
        <v>1974</v>
      </c>
      <c r="I1521" s="6">
        <v>70</v>
      </c>
      <c r="J1521" s="6">
        <v>1846</v>
      </c>
      <c r="K1521" s="40">
        <v>20</v>
      </c>
      <c r="L1521" s="40">
        <v>5</v>
      </c>
      <c r="M1521" s="40">
        <v>1308</v>
      </c>
      <c r="N1521" s="40">
        <v>154</v>
      </c>
      <c r="O1521" s="40">
        <v>978</v>
      </c>
      <c r="P1521" s="40">
        <v>132</v>
      </c>
      <c r="Q1521" s="40">
        <v>0</v>
      </c>
      <c r="R1521" s="40">
        <v>33</v>
      </c>
      <c r="S1521" s="40">
        <v>11</v>
      </c>
    </row>
    <row r="1522" spans="1:19" x14ac:dyDescent="0.35">
      <c r="A1522" s="38">
        <v>1729</v>
      </c>
      <c r="B1522" s="38" t="str">
        <f>_xlfn.XLOOKUP(A1522,'Model Modeshare by TAZ'!A:A,'Model Modeshare by TAZ'!B:B)</f>
        <v>San Francisco</v>
      </c>
      <c r="C1522" s="38" t="str">
        <f>_xlfn.XLOOKUP(A1522,'Model Modeshare by TAZ'!A:A,'Model Modeshare by TAZ'!D:D)</f>
        <v>NO</v>
      </c>
      <c r="D1522" s="6">
        <v>1</v>
      </c>
      <c r="E1522" s="6">
        <v>3323</v>
      </c>
      <c r="F1522" s="6">
        <v>5122</v>
      </c>
      <c r="G1522" s="6">
        <v>5409</v>
      </c>
      <c r="H1522" s="6">
        <v>3592</v>
      </c>
      <c r="I1522" s="6">
        <v>45</v>
      </c>
      <c r="J1522" s="6">
        <v>3278</v>
      </c>
      <c r="K1522" s="40">
        <v>15</v>
      </c>
      <c r="L1522" s="40">
        <v>4</v>
      </c>
      <c r="M1522" s="40">
        <v>2273</v>
      </c>
      <c r="N1522" s="40">
        <v>272</v>
      </c>
      <c r="O1522" s="40">
        <v>1922</v>
      </c>
      <c r="P1522" s="40">
        <v>76</v>
      </c>
      <c r="Q1522" s="40">
        <v>0</v>
      </c>
      <c r="R1522" s="40">
        <v>0</v>
      </c>
      <c r="S1522" s="40">
        <v>3</v>
      </c>
    </row>
    <row r="1523" spans="1:19" x14ac:dyDescent="0.35">
      <c r="A1523" s="38">
        <v>1730</v>
      </c>
      <c r="B1523" s="38" t="str">
        <f>_xlfn.XLOOKUP(A1523,'Model Modeshare by TAZ'!A:A,'Model Modeshare by TAZ'!B:B)</f>
        <v>San Francisco</v>
      </c>
      <c r="C1523" s="38" t="str">
        <f>_xlfn.XLOOKUP(A1523,'Model Modeshare by TAZ'!A:A,'Model Modeshare by TAZ'!D:D)</f>
        <v>NO</v>
      </c>
      <c r="D1523" s="6">
        <v>1</v>
      </c>
      <c r="E1523" s="6">
        <v>4500</v>
      </c>
      <c r="F1523" s="6">
        <v>7590</v>
      </c>
      <c r="G1523" s="6">
        <v>7999</v>
      </c>
      <c r="H1523" s="6">
        <v>4643</v>
      </c>
      <c r="I1523" s="6">
        <v>27</v>
      </c>
      <c r="J1523" s="6">
        <v>4473</v>
      </c>
      <c r="K1523" s="40">
        <v>14</v>
      </c>
      <c r="L1523" s="40">
        <v>10</v>
      </c>
      <c r="M1523" s="40">
        <v>1487</v>
      </c>
      <c r="N1523" s="40">
        <v>596</v>
      </c>
      <c r="O1523" s="40">
        <v>684</v>
      </c>
      <c r="P1523" s="40">
        <v>114</v>
      </c>
      <c r="Q1523" s="40">
        <v>0</v>
      </c>
      <c r="R1523" s="40">
        <v>25</v>
      </c>
      <c r="S1523" s="40">
        <v>68</v>
      </c>
    </row>
    <row r="1524" spans="1:19" x14ac:dyDescent="0.35">
      <c r="A1524" s="38">
        <v>1731</v>
      </c>
      <c r="B1524" s="38" t="str">
        <f>_xlfn.XLOOKUP(A1524,'Model Modeshare by TAZ'!A:A,'Model Modeshare by TAZ'!B:B)</f>
        <v>San Francisco</v>
      </c>
      <c r="C1524" s="38" t="str">
        <f>_xlfn.XLOOKUP(A1524,'Model Modeshare by TAZ'!A:A,'Model Modeshare by TAZ'!D:D)</f>
        <v>NO</v>
      </c>
      <c r="D1524" s="6">
        <v>1</v>
      </c>
      <c r="E1524" s="6">
        <v>2594</v>
      </c>
      <c r="F1524" s="6">
        <v>3875</v>
      </c>
      <c r="G1524" s="6">
        <v>3962</v>
      </c>
      <c r="H1524" s="6">
        <v>2400</v>
      </c>
      <c r="I1524" s="6">
        <v>35</v>
      </c>
      <c r="J1524" s="6">
        <v>2559</v>
      </c>
      <c r="K1524" s="40">
        <v>9</v>
      </c>
      <c r="L1524" s="40">
        <v>9</v>
      </c>
      <c r="M1524" s="40">
        <v>2126</v>
      </c>
      <c r="N1524" s="40">
        <v>305</v>
      </c>
      <c r="O1524" s="40">
        <v>1346</v>
      </c>
      <c r="P1524" s="40">
        <v>454</v>
      </c>
      <c r="Q1524" s="40">
        <v>0</v>
      </c>
      <c r="R1524" s="40">
        <v>12</v>
      </c>
      <c r="S1524" s="40">
        <v>9</v>
      </c>
    </row>
    <row r="1525" spans="1:19" x14ac:dyDescent="0.35">
      <c r="A1525" s="38">
        <v>1732</v>
      </c>
      <c r="B1525" s="38" t="str">
        <f>_xlfn.XLOOKUP(A1525,'Model Modeshare by TAZ'!A:A,'Model Modeshare by TAZ'!B:B)</f>
        <v>San Francisco</v>
      </c>
      <c r="C1525" s="38" t="str">
        <f>_xlfn.XLOOKUP(A1525,'Model Modeshare by TAZ'!A:A,'Model Modeshare by TAZ'!D:D)</f>
        <v>NO</v>
      </c>
      <c r="D1525" s="6">
        <v>1</v>
      </c>
      <c r="E1525" s="6">
        <v>3073</v>
      </c>
      <c r="F1525" s="6">
        <v>5070</v>
      </c>
      <c r="G1525" s="6">
        <v>5081</v>
      </c>
      <c r="H1525" s="6">
        <v>3580</v>
      </c>
      <c r="I1525" s="6">
        <v>61</v>
      </c>
      <c r="J1525" s="6">
        <v>3012</v>
      </c>
      <c r="K1525" s="40">
        <v>21</v>
      </c>
      <c r="L1525" s="40">
        <v>13</v>
      </c>
      <c r="M1525" s="40">
        <v>4081</v>
      </c>
      <c r="N1525" s="40">
        <v>1152</v>
      </c>
      <c r="O1525" s="40">
        <v>2357</v>
      </c>
      <c r="P1525" s="40">
        <v>502</v>
      </c>
      <c r="Q1525" s="40">
        <v>1</v>
      </c>
      <c r="R1525" s="40">
        <v>7</v>
      </c>
      <c r="S1525" s="40">
        <v>61</v>
      </c>
    </row>
    <row r="1526" spans="1:19" x14ac:dyDescent="0.35">
      <c r="A1526" s="38">
        <v>1733</v>
      </c>
      <c r="B1526" s="38" t="str">
        <f>_xlfn.XLOOKUP(A1526,'Model Modeshare by TAZ'!A:A,'Model Modeshare by TAZ'!B:B)</f>
        <v>San Francisco</v>
      </c>
      <c r="C1526" s="38" t="str">
        <f>_xlfn.XLOOKUP(A1526,'Model Modeshare by TAZ'!A:A,'Model Modeshare by TAZ'!D:D)</f>
        <v>NO</v>
      </c>
      <c r="D1526" s="6">
        <v>1</v>
      </c>
      <c r="E1526" s="6">
        <v>2624</v>
      </c>
      <c r="F1526" s="6">
        <v>4742</v>
      </c>
      <c r="G1526" s="6">
        <v>4742</v>
      </c>
      <c r="H1526" s="6">
        <v>3571</v>
      </c>
      <c r="I1526" s="6">
        <v>86</v>
      </c>
      <c r="J1526" s="6">
        <v>2538</v>
      </c>
      <c r="K1526" s="40">
        <v>24</v>
      </c>
      <c r="L1526" s="40">
        <v>9</v>
      </c>
      <c r="M1526" s="40">
        <v>1433</v>
      </c>
      <c r="N1526" s="40">
        <v>542</v>
      </c>
      <c r="O1526" s="40">
        <v>525</v>
      </c>
      <c r="P1526" s="40">
        <v>150</v>
      </c>
      <c r="Q1526" s="40">
        <v>4</v>
      </c>
      <c r="R1526" s="40">
        <v>203</v>
      </c>
      <c r="S1526" s="40">
        <v>9</v>
      </c>
    </row>
    <row r="1527" spans="1:19" x14ac:dyDescent="0.35">
      <c r="A1527" s="38">
        <v>1734</v>
      </c>
      <c r="B1527" s="38" t="str">
        <f>_xlfn.XLOOKUP(A1527,'Model Modeshare by TAZ'!A:A,'Model Modeshare by TAZ'!B:B)</f>
        <v>San Francisco</v>
      </c>
      <c r="C1527" s="38" t="str">
        <f>_xlfn.XLOOKUP(A1527,'Model Modeshare by TAZ'!A:A,'Model Modeshare by TAZ'!D:D)</f>
        <v>NO</v>
      </c>
      <c r="D1527" s="6">
        <v>1</v>
      </c>
      <c r="E1527" s="6">
        <v>2667</v>
      </c>
      <c r="F1527" s="6">
        <v>4363</v>
      </c>
      <c r="G1527" s="6">
        <v>4363</v>
      </c>
      <c r="H1527" s="6">
        <v>3155</v>
      </c>
      <c r="I1527" s="6">
        <v>85</v>
      </c>
      <c r="J1527" s="6">
        <v>2582</v>
      </c>
      <c r="K1527" s="40">
        <v>29</v>
      </c>
      <c r="L1527" s="40">
        <v>4</v>
      </c>
      <c r="M1527" s="40">
        <v>987</v>
      </c>
      <c r="N1527" s="40">
        <v>487</v>
      </c>
      <c r="O1527" s="40">
        <v>309</v>
      </c>
      <c r="P1527" s="40">
        <v>184</v>
      </c>
      <c r="Q1527" s="40">
        <v>1</v>
      </c>
      <c r="R1527" s="40">
        <v>3</v>
      </c>
      <c r="S1527" s="40">
        <v>3</v>
      </c>
    </row>
    <row r="1528" spans="1:19" x14ac:dyDescent="0.35">
      <c r="A1528" s="38">
        <v>1735</v>
      </c>
      <c r="B1528" s="38" t="str">
        <f>_xlfn.XLOOKUP(A1528,'Model Modeshare by TAZ'!A:A,'Model Modeshare by TAZ'!B:B)</f>
        <v>San Francisco</v>
      </c>
      <c r="C1528" s="38" t="str">
        <f>_xlfn.XLOOKUP(A1528,'Model Modeshare by TAZ'!A:A,'Model Modeshare by TAZ'!D:D)</f>
        <v>NO</v>
      </c>
      <c r="D1528" s="6">
        <v>1</v>
      </c>
      <c r="E1528" s="6">
        <v>2425</v>
      </c>
      <c r="F1528" s="6">
        <v>4514</v>
      </c>
      <c r="G1528" s="6">
        <v>4514</v>
      </c>
      <c r="H1528" s="6">
        <v>2831</v>
      </c>
      <c r="I1528" s="6">
        <v>219</v>
      </c>
      <c r="J1528" s="6">
        <v>2206</v>
      </c>
      <c r="K1528" s="40">
        <v>30</v>
      </c>
      <c r="L1528" s="40">
        <v>2</v>
      </c>
      <c r="M1528" s="40">
        <v>493</v>
      </c>
      <c r="N1528" s="40">
        <v>23</v>
      </c>
      <c r="O1528" s="40">
        <v>171</v>
      </c>
      <c r="P1528" s="40">
        <v>159</v>
      </c>
      <c r="Q1528" s="40">
        <v>0</v>
      </c>
      <c r="R1528" s="40">
        <v>133</v>
      </c>
      <c r="S1528" s="40">
        <v>7</v>
      </c>
    </row>
    <row r="1529" spans="1:19" x14ac:dyDescent="0.35">
      <c r="A1529" s="38">
        <v>1736</v>
      </c>
      <c r="B1529" s="38" t="str">
        <f>_xlfn.XLOOKUP(A1529,'Model Modeshare by TAZ'!A:A,'Model Modeshare by TAZ'!B:B)</f>
        <v>San Francisco</v>
      </c>
      <c r="C1529" s="38" t="str">
        <f>_xlfn.XLOOKUP(A1529,'Model Modeshare by TAZ'!A:A,'Model Modeshare by TAZ'!D:D)</f>
        <v>NO</v>
      </c>
      <c r="D1529" s="6">
        <v>1</v>
      </c>
      <c r="E1529" s="6">
        <v>2623</v>
      </c>
      <c r="F1529" s="6">
        <v>5791</v>
      </c>
      <c r="G1529" s="6">
        <v>5791</v>
      </c>
      <c r="H1529" s="6">
        <v>2909</v>
      </c>
      <c r="I1529" s="6">
        <v>99</v>
      </c>
      <c r="J1529" s="6">
        <v>2524</v>
      </c>
      <c r="K1529" s="40">
        <v>14</v>
      </c>
      <c r="L1529" s="40">
        <v>7</v>
      </c>
      <c r="M1529" s="40">
        <v>2443</v>
      </c>
      <c r="N1529" s="40">
        <v>1072</v>
      </c>
      <c r="O1529" s="40">
        <v>475</v>
      </c>
      <c r="P1529" s="40">
        <v>421</v>
      </c>
      <c r="Q1529" s="40">
        <v>1</v>
      </c>
      <c r="R1529" s="40">
        <v>440</v>
      </c>
      <c r="S1529" s="40">
        <v>33</v>
      </c>
    </row>
    <row r="1530" spans="1:19" x14ac:dyDescent="0.35">
      <c r="A1530" s="38">
        <v>1737</v>
      </c>
      <c r="B1530" s="38" t="str">
        <f>_xlfn.XLOOKUP(A1530,'Model Modeshare by TAZ'!A:A,'Model Modeshare by TAZ'!B:B)</f>
        <v>San Francisco</v>
      </c>
      <c r="C1530" s="38" t="str">
        <f>_xlfn.XLOOKUP(A1530,'Model Modeshare by TAZ'!A:A,'Model Modeshare by TAZ'!D:D)</f>
        <v>NO</v>
      </c>
      <c r="D1530" s="6">
        <v>1</v>
      </c>
      <c r="E1530" s="6">
        <v>1704</v>
      </c>
      <c r="F1530" s="6">
        <v>3338</v>
      </c>
      <c r="G1530" s="6">
        <v>3338</v>
      </c>
      <c r="H1530" s="6">
        <v>1816</v>
      </c>
      <c r="I1530" s="6">
        <v>67</v>
      </c>
      <c r="J1530" s="6">
        <v>1637</v>
      </c>
      <c r="K1530" s="40">
        <v>12</v>
      </c>
      <c r="L1530" s="40">
        <v>8</v>
      </c>
      <c r="M1530" s="40">
        <v>2859</v>
      </c>
      <c r="N1530" s="40">
        <v>652</v>
      </c>
      <c r="O1530" s="40">
        <v>1748</v>
      </c>
      <c r="P1530" s="40">
        <v>279</v>
      </c>
      <c r="Q1530" s="40">
        <v>2</v>
      </c>
      <c r="R1530" s="40">
        <v>96</v>
      </c>
      <c r="S1530" s="40">
        <v>81</v>
      </c>
    </row>
    <row r="1531" spans="1:19" x14ac:dyDescent="0.35">
      <c r="A1531" s="38">
        <v>1738</v>
      </c>
      <c r="B1531" s="38" t="str">
        <f>_xlfn.XLOOKUP(A1531,'Model Modeshare by TAZ'!A:A,'Model Modeshare by TAZ'!B:B)</f>
        <v>San Francisco</v>
      </c>
      <c r="C1531" s="38" t="str">
        <f>_xlfn.XLOOKUP(A1531,'Model Modeshare by TAZ'!A:A,'Model Modeshare by TAZ'!D:D)</f>
        <v>NO</v>
      </c>
      <c r="D1531" s="6">
        <v>1</v>
      </c>
      <c r="E1531" s="6">
        <v>2482</v>
      </c>
      <c r="F1531" s="6">
        <v>4958</v>
      </c>
      <c r="G1531" s="6">
        <v>4975</v>
      </c>
      <c r="H1531" s="6">
        <v>3157</v>
      </c>
      <c r="I1531" s="6">
        <v>172</v>
      </c>
      <c r="J1531" s="6">
        <v>2310</v>
      </c>
      <c r="K1531" s="40">
        <v>37</v>
      </c>
      <c r="L1531" s="40">
        <v>6</v>
      </c>
      <c r="M1531" s="40">
        <v>1029</v>
      </c>
      <c r="N1531" s="40">
        <v>136</v>
      </c>
      <c r="O1531" s="40">
        <v>614</v>
      </c>
      <c r="P1531" s="40">
        <v>257</v>
      </c>
      <c r="Q1531" s="40">
        <v>1</v>
      </c>
      <c r="R1531" s="40">
        <v>16</v>
      </c>
      <c r="S1531" s="40">
        <v>5</v>
      </c>
    </row>
    <row r="1532" spans="1:19" x14ac:dyDescent="0.35">
      <c r="A1532" s="38">
        <v>1739</v>
      </c>
      <c r="B1532" s="38" t="str">
        <f>_xlfn.XLOOKUP(A1532,'Model Modeshare by TAZ'!A:A,'Model Modeshare by TAZ'!B:B)</f>
        <v>San Francisco</v>
      </c>
      <c r="C1532" s="38" t="str">
        <f>_xlfn.XLOOKUP(A1532,'Model Modeshare by TAZ'!A:A,'Model Modeshare by TAZ'!D:D)</f>
        <v>NO</v>
      </c>
      <c r="D1532" s="6">
        <v>1</v>
      </c>
      <c r="E1532" s="6">
        <v>2035</v>
      </c>
      <c r="F1532" s="6">
        <v>4342</v>
      </c>
      <c r="G1532" s="6">
        <v>4342</v>
      </c>
      <c r="H1532" s="6">
        <v>2593</v>
      </c>
      <c r="I1532" s="6">
        <v>182</v>
      </c>
      <c r="J1532" s="6">
        <v>1853</v>
      </c>
      <c r="K1532" s="40">
        <v>31</v>
      </c>
      <c r="L1532" s="40">
        <v>6</v>
      </c>
      <c r="M1532" s="40">
        <v>1054</v>
      </c>
      <c r="N1532" s="40">
        <v>582</v>
      </c>
      <c r="O1532" s="40">
        <v>311</v>
      </c>
      <c r="P1532" s="40">
        <v>92</v>
      </c>
      <c r="Q1532" s="40">
        <v>1</v>
      </c>
      <c r="R1532" s="40">
        <v>46</v>
      </c>
      <c r="S1532" s="40">
        <v>21</v>
      </c>
    </row>
    <row r="1533" spans="1:19" x14ac:dyDescent="0.35">
      <c r="A1533" s="38">
        <v>1740</v>
      </c>
      <c r="B1533" s="38" t="str">
        <f>_xlfn.XLOOKUP(A1533,'Model Modeshare by TAZ'!A:A,'Model Modeshare by TAZ'!B:B)</f>
        <v>San Francisco</v>
      </c>
      <c r="C1533" s="38" t="str">
        <f>_xlfn.XLOOKUP(A1533,'Model Modeshare by TAZ'!A:A,'Model Modeshare by TAZ'!D:D)</f>
        <v>NO</v>
      </c>
      <c r="D1533" s="6">
        <v>1</v>
      </c>
      <c r="E1533" s="6">
        <v>2536</v>
      </c>
      <c r="F1533" s="6">
        <v>4277</v>
      </c>
      <c r="G1533" s="6">
        <v>4282</v>
      </c>
      <c r="H1533" s="6">
        <v>2721</v>
      </c>
      <c r="I1533" s="6">
        <v>173</v>
      </c>
      <c r="J1533" s="6">
        <v>2363</v>
      </c>
      <c r="K1533" s="40">
        <v>43</v>
      </c>
      <c r="L1533" s="40">
        <v>28</v>
      </c>
      <c r="M1533" s="40">
        <v>7836</v>
      </c>
      <c r="N1533" s="40">
        <v>1833</v>
      </c>
      <c r="O1533" s="40">
        <v>2752</v>
      </c>
      <c r="P1533" s="40">
        <v>2362</v>
      </c>
      <c r="Q1533" s="40">
        <v>3</v>
      </c>
      <c r="R1533" s="40">
        <v>330</v>
      </c>
      <c r="S1533" s="40">
        <v>556</v>
      </c>
    </row>
    <row r="1534" spans="1:19" x14ac:dyDescent="0.35">
      <c r="A1534" s="38">
        <v>1741</v>
      </c>
      <c r="B1534" s="38" t="str">
        <f>_xlfn.XLOOKUP(A1534,'Model Modeshare by TAZ'!A:A,'Model Modeshare by TAZ'!B:B)</f>
        <v>San Francisco</v>
      </c>
      <c r="C1534" s="38" t="str">
        <f>_xlfn.XLOOKUP(A1534,'Model Modeshare by TAZ'!A:A,'Model Modeshare by TAZ'!D:D)</f>
        <v>NO</v>
      </c>
      <c r="D1534" s="6">
        <v>1</v>
      </c>
      <c r="E1534" s="6">
        <v>2058</v>
      </c>
      <c r="F1534" s="6">
        <v>3999</v>
      </c>
      <c r="G1534" s="6">
        <v>3999</v>
      </c>
      <c r="H1534" s="6">
        <v>2174</v>
      </c>
      <c r="I1534" s="6">
        <v>74</v>
      </c>
      <c r="J1534" s="6">
        <v>1984</v>
      </c>
      <c r="K1534" s="40">
        <v>20</v>
      </c>
      <c r="L1534" s="40">
        <v>90</v>
      </c>
      <c r="M1534" s="40">
        <v>9875</v>
      </c>
      <c r="N1534" s="40">
        <v>1623</v>
      </c>
      <c r="O1534" s="40">
        <v>4826</v>
      </c>
      <c r="P1534" s="40">
        <v>2982</v>
      </c>
      <c r="Q1534" s="40">
        <v>5</v>
      </c>
      <c r="R1534" s="40">
        <v>291</v>
      </c>
      <c r="S1534" s="40">
        <v>149</v>
      </c>
    </row>
    <row r="1535" spans="1:19" x14ac:dyDescent="0.35">
      <c r="A1535" s="38">
        <v>1742</v>
      </c>
      <c r="B1535" s="38" t="str">
        <f>_xlfn.XLOOKUP(A1535,'Model Modeshare by TAZ'!A:A,'Model Modeshare by TAZ'!B:B)</f>
        <v>San Francisco</v>
      </c>
      <c r="C1535" s="38" t="str">
        <f>_xlfn.XLOOKUP(A1535,'Model Modeshare by TAZ'!A:A,'Model Modeshare by TAZ'!D:D)</f>
        <v>NO</v>
      </c>
      <c r="D1535" s="6">
        <v>1</v>
      </c>
      <c r="E1535" s="6">
        <v>602</v>
      </c>
      <c r="F1535" s="6">
        <v>1930</v>
      </c>
      <c r="G1535" s="6">
        <v>3090</v>
      </c>
      <c r="H1535" s="6">
        <v>1433</v>
      </c>
      <c r="I1535" s="6">
        <v>141</v>
      </c>
      <c r="J1535" s="6">
        <v>461</v>
      </c>
      <c r="K1535" s="40">
        <v>116</v>
      </c>
      <c r="L1535" s="40">
        <v>484</v>
      </c>
      <c r="M1535" s="40">
        <v>620</v>
      </c>
      <c r="N1535" s="40">
        <v>56</v>
      </c>
      <c r="O1535" s="40">
        <v>274</v>
      </c>
      <c r="P1535" s="40">
        <v>256</v>
      </c>
      <c r="Q1535" s="40">
        <v>0</v>
      </c>
      <c r="R1535" s="40">
        <v>15</v>
      </c>
      <c r="S1535" s="40">
        <v>20</v>
      </c>
    </row>
    <row r="1536" spans="1:19" x14ac:dyDescent="0.35">
      <c r="A1536" s="38">
        <v>1743</v>
      </c>
      <c r="B1536" s="38" t="str">
        <f>_xlfn.XLOOKUP(A1536,'Model Modeshare by TAZ'!A:A,'Model Modeshare by TAZ'!B:B)</f>
        <v>San Francisco</v>
      </c>
      <c r="C1536" s="38" t="str">
        <f>_xlfn.XLOOKUP(A1536,'Model Modeshare by TAZ'!A:A,'Model Modeshare by TAZ'!D:D)</f>
        <v>NO</v>
      </c>
      <c r="D1536" s="6">
        <v>1</v>
      </c>
      <c r="E1536" s="6">
        <v>3190</v>
      </c>
      <c r="F1536" s="6">
        <v>5308</v>
      </c>
      <c r="G1536" s="6">
        <v>5308</v>
      </c>
      <c r="H1536" s="6">
        <v>3763</v>
      </c>
      <c r="I1536" s="6">
        <v>392</v>
      </c>
      <c r="J1536" s="6">
        <v>2798</v>
      </c>
      <c r="K1536" s="40">
        <v>57</v>
      </c>
      <c r="L1536" s="40">
        <v>5</v>
      </c>
      <c r="M1536" s="40">
        <v>1733</v>
      </c>
      <c r="N1536" s="40">
        <v>441</v>
      </c>
      <c r="O1536" s="40">
        <v>936</v>
      </c>
      <c r="P1536" s="40">
        <v>324</v>
      </c>
      <c r="Q1536" s="40">
        <v>0</v>
      </c>
      <c r="R1536" s="40">
        <v>15</v>
      </c>
      <c r="S1536" s="40">
        <v>17</v>
      </c>
    </row>
    <row r="1537" spans="1:19" x14ac:dyDescent="0.35">
      <c r="A1537" s="38">
        <v>1744</v>
      </c>
      <c r="B1537" s="38" t="str">
        <f>_xlfn.XLOOKUP(A1537,'Model Modeshare by TAZ'!A:A,'Model Modeshare by TAZ'!B:B)</f>
        <v>San Francisco</v>
      </c>
      <c r="C1537" s="38" t="str">
        <f>_xlfn.XLOOKUP(A1537,'Model Modeshare by TAZ'!A:A,'Model Modeshare by TAZ'!D:D)</f>
        <v>NO</v>
      </c>
      <c r="D1537" s="6">
        <v>1</v>
      </c>
      <c r="E1537" s="6">
        <v>3580</v>
      </c>
      <c r="F1537" s="6">
        <v>6291</v>
      </c>
      <c r="G1537" s="6">
        <v>6387</v>
      </c>
      <c r="H1537" s="6">
        <v>4847</v>
      </c>
      <c r="I1537" s="6">
        <v>250</v>
      </c>
      <c r="J1537" s="6">
        <v>3330</v>
      </c>
      <c r="K1537" s="40">
        <v>56</v>
      </c>
      <c r="L1537" s="40">
        <v>14</v>
      </c>
      <c r="M1537" s="40">
        <v>1605</v>
      </c>
      <c r="N1537" s="40">
        <v>675</v>
      </c>
      <c r="O1537" s="40">
        <v>767</v>
      </c>
      <c r="P1537" s="40">
        <v>141</v>
      </c>
      <c r="Q1537" s="40">
        <v>5</v>
      </c>
      <c r="R1537" s="40">
        <v>1</v>
      </c>
      <c r="S1537" s="40">
        <v>17</v>
      </c>
    </row>
    <row r="1538" spans="1:19" x14ac:dyDescent="0.35">
      <c r="A1538" s="38">
        <v>1745</v>
      </c>
      <c r="B1538" s="38" t="str">
        <f>_xlfn.XLOOKUP(A1538,'Model Modeshare by TAZ'!A:A,'Model Modeshare by TAZ'!B:B)</f>
        <v>San Francisco</v>
      </c>
      <c r="C1538" s="38" t="str">
        <f>_xlfn.XLOOKUP(A1538,'Model Modeshare by TAZ'!A:A,'Model Modeshare by TAZ'!D:D)</f>
        <v>NO</v>
      </c>
      <c r="D1538" s="6">
        <v>1</v>
      </c>
      <c r="E1538" s="6">
        <v>2612</v>
      </c>
      <c r="F1538" s="6">
        <v>4872</v>
      </c>
      <c r="G1538" s="6">
        <v>4872</v>
      </c>
      <c r="H1538" s="6">
        <v>3539</v>
      </c>
      <c r="I1538" s="6">
        <v>235</v>
      </c>
      <c r="J1538" s="6">
        <v>2377</v>
      </c>
      <c r="K1538" s="40">
        <v>40</v>
      </c>
      <c r="L1538" s="40">
        <v>15</v>
      </c>
      <c r="M1538" s="40">
        <v>3186</v>
      </c>
      <c r="N1538" s="40">
        <v>685</v>
      </c>
      <c r="O1538" s="40">
        <v>800</v>
      </c>
      <c r="P1538" s="40">
        <v>1104</v>
      </c>
      <c r="Q1538" s="40">
        <v>1</v>
      </c>
      <c r="R1538" s="40">
        <v>4</v>
      </c>
      <c r="S1538" s="40">
        <v>592</v>
      </c>
    </row>
    <row r="1539" spans="1:19" x14ac:dyDescent="0.35">
      <c r="A1539" s="38">
        <v>1746</v>
      </c>
      <c r="B1539" s="38" t="str">
        <f>_xlfn.XLOOKUP(A1539,'Model Modeshare by TAZ'!A:A,'Model Modeshare by TAZ'!B:B)</f>
        <v>San Francisco</v>
      </c>
      <c r="C1539" s="38" t="str">
        <f>_xlfn.XLOOKUP(A1539,'Model Modeshare by TAZ'!A:A,'Model Modeshare by TAZ'!D:D)</f>
        <v>NO</v>
      </c>
      <c r="D1539" s="6">
        <v>1</v>
      </c>
      <c r="E1539" s="6">
        <v>4196</v>
      </c>
      <c r="F1539" s="6">
        <v>6853</v>
      </c>
      <c r="G1539" s="6">
        <v>6985</v>
      </c>
      <c r="H1539" s="6">
        <v>5369</v>
      </c>
      <c r="I1539" s="6">
        <v>164</v>
      </c>
      <c r="J1539" s="6">
        <v>4032</v>
      </c>
      <c r="K1539" s="40">
        <v>42</v>
      </c>
      <c r="L1539" s="40">
        <v>8</v>
      </c>
      <c r="M1539" s="40">
        <v>1642</v>
      </c>
      <c r="N1539" s="40">
        <v>465</v>
      </c>
      <c r="O1539" s="40">
        <v>910</v>
      </c>
      <c r="P1539" s="40">
        <v>251</v>
      </c>
      <c r="Q1539" s="40">
        <v>1</v>
      </c>
      <c r="R1539" s="40">
        <v>5</v>
      </c>
      <c r="S1539" s="40">
        <v>10</v>
      </c>
    </row>
    <row r="1540" spans="1:19" x14ac:dyDescent="0.35">
      <c r="A1540" s="38">
        <v>1747</v>
      </c>
      <c r="B1540" s="38" t="str">
        <f>_xlfn.XLOOKUP(A1540,'Model Modeshare by TAZ'!A:A,'Model Modeshare by TAZ'!B:B)</f>
        <v>San Francisco</v>
      </c>
      <c r="C1540" s="38" t="str">
        <f>_xlfn.XLOOKUP(A1540,'Model Modeshare by TAZ'!A:A,'Model Modeshare by TAZ'!D:D)</f>
        <v>NO</v>
      </c>
      <c r="D1540" s="6">
        <v>1</v>
      </c>
      <c r="E1540" s="6">
        <v>1604</v>
      </c>
      <c r="F1540" s="6">
        <v>2662</v>
      </c>
      <c r="G1540" s="6">
        <v>2704</v>
      </c>
      <c r="H1540" s="6">
        <v>1731</v>
      </c>
      <c r="I1540" s="6">
        <v>136</v>
      </c>
      <c r="J1540" s="6">
        <v>1468</v>
      </c>
      <c r="K1540" s="40">
        <v>24</v>
      </c>
      <c r="L1540" s="40">
        <v>11</v>
      </c>
      <c r="M1540" s="40">
        <v>2588</v>
      </c>
      <c r="N1540" s="40">
        <v>205</v>
      </c>
      <c r="O1540" s="40">
        <v>1875</v>
      </c>
      <c r="P1540" s="40">
        <v>487</v>
      </c>
      <c r="Q1540" s="40">
        <v>4</v>
      </c>
      <c r="R1540" s="40">
        <v>13</v>
      </c>
      <c r="S1540" s="40">
        <v>3</v>
      </c>
    </row>
    <row r="1541" spans="1:19" x14ac:dyDescent="0.35">
      <c r="A1541" s="38">
        <v>1748</v>
      </c>
      <c r="B1541" s="38" t="str">
        <f>_xlfn.XLOOKUP(A1541,'Model Modeshare by TAZ'!A:A,'Model Modeshare by TAZ'!B:B)</f>
        <v>San Francisco</v>
      </c>
      <c r="C1541" s="38" t="str">
        <f>_xlfn.XLOOKUP(A1541,'Model Modeshare by TAZ'!A:A,'Model Modeshare by TAZ'!D:D)</f>
        <v>NO</v>
      </c>
      <c r="D1541" s="6">
        <v>1</v>
      </c>
      <c r="E1541" s="6">
        <v>2032</v>
      </c>
      <c r="F1541" s="6">
        <v>3956</v>
      </c>
      <c r="G1541" s="6">
        <v>4000</v>
      </c>
      <c r="H1541" s="6">
        <v>2773</v>
      </c>
      <c r="I1541" s="6">
        <v>305</v>
      </c>
      <c r="J1541" s="6">
        <v>1727</v>
      </c>
      <c r="K1541" s="40">
        <v>40</v>
      </c>
      <c r="L1541" s="40">
        <v>4</v>
      </c>
      <c r="M1541" s="40">
        <v>801</v>
      </c>
      <c r="N1541" s="40">
        <v>55</v>
      </c>
      <c r="O1541" s="40">
        <v>653</v>
      </c>
      <c r="P1541" s="40">
        <v>75</v>
      </c>
      <c r="Q1541" s="40">
        <v>1</v>
      </c>
      <c r="R1541" s="40">
        <v>2</v>
      </c>
      <c r="S1541" s="40">
        <v>16</v>
      </c>
    </row>
    <row r="1542" spans="1:19" x14ac:dyDescent="0.35">
      <c r="A1542" s="38">
        <v>1749</v>
      </c>
      <c r="B1542" s="38" t="str">
        <f>_xlfn.XLOOKUP(A1542,'Model Modeshare by TAZ'!A:A,'Model Modeshare by TAZ'!B:B)</f>
        <v>San Francisco</v>
      </c>
      <c r="C1542" s="38" t="str">
        <f>_xlfn.XLOOKUP(A1542,'Model Modeshare by TAZ'!A:A,'Model Modeshare by TAZ'!D:D)</f>
        <v>NO</v>
      </c>
      <c r="D1542" s="6">
        <v>1</v>
      </c>
      <c r="E1542" s="6">
        <v>2229</v>
      </c>
      <c r="F1542" s="6">
        <v>3843</v>
      </c>
      <c r="G1542" s="6">
        <v>3877</v>
      </c>
      <c r="H1542" s="6">
        <v>2168</v>
      </c>
      <c r="I1542" s="6">
        <v>524</v>
      </c>
      <c r="J1542" s="6">
        <v>1705</v>
      </c>
      <c r="K1542" s="40">
        <v>76</v>
      </c>
      <c r="L1542" s="40">
        <v>6</v>
      </c>
      <c r="M1542" s="40">
        <v>1240</v>
      </c>
      <c r="N1542" s="40">
        <v>274</v>
      </c>
      <c r="O1542" s="40">
        <v>807</v>
      </c>
      <c r="P1542" s="40">
        <v>139</v>
      </c>
      <c r="Q1542" s="40">
        <v>2</v>
      </c>
      <c r="R1542" s="40">
        <v>1</v>
      </c>
      <c r="S1542" s="40">
        <v>17</v>
      </c>
    </row>
    <row r="1543" spans="1:19" x14ac:dyDescent="0.35">
      <c r="A1543" s="38">
        <v>1750</v>
      </c>
      <c r="B1543" s="38" t="str">
        <f>_xlfn.XLOOKUP(A1543,'Model Modeshare by TAZ'!A:A,'Model Modeshare by TAZ'!B:B)</f>
        <v>San Francisco</v>
      </c>
      <c r="C1543" s="38" t="str">
        <f>_xlfn.XLOOKUP(A1543,'Model Modeshare by TAZ'!A:A,'Model Modeshare by TAZ'!D:D)</f>
        <v>NO</v>
      </c>
      <c r="D1543" s="6">
        <v>1</v>
      </c>
      <c r="E1543" s="6">
        <v>2371</v>
      </c>
      <c r="F1543" s="6">
        <v>4778</v>
      </c>
      <c r="G1543" s="6">
        <v>4783</v>
      </c>
      <c r="H1543" s="6">
        <v>2999</v>
      </c>
      <c r="I1543" s="6">
        <v>404</v>
      </c>
      <c r="J1543" s="6">
        <v>1967</v>
      </c>
      <c r="K1543" s="40">
        <v>59</v>
      </c>
      <c r="L1543" s="40">
        <v>12</v>
      </c>
      <c r="M1543" s="40">
        <v>2110</v>
      </c>
      <c r="N1543" s="40">
        <v>1200</v>
      </c>
      <c r="O1543" s="40">
        <v>642</v>
      </c>
      <c r="P1543" s="40">
        <v>258</v>
      </c>
      <c r="Q1543" s="40">
        <v>2</v>
      </c>
      <c r="R1543" s="40">
        <v>4</v>
      </c>
      <c r="S1543" s="40">
        <v>4</v>
      </c>
    </row>
    <row r="1544" spans="1:19" x14ac:dyDescent="0.35">
      <c r="A1544" s="38">
        <v>1751</v>
      </c>
      <c r="B1544" s="38" t="str">
        <f>_xlfn.XLOOKUP(A1544,'Model Modeshare by TAZ'!A:A,'Model Modeshare by TAZ'!B:B)</f>
        <v>San Francisco</v>
      </c>
      <c r="C1544" s="38" t="str">
        <f>_xlfn.XLOOKUP(A1544,'Model Modeshare by TAZ'!A:A,'Model Modeshare by TAZ'!D:D)</f>
        <v>NO</v>
      </c>
      <c r="D1544" s="6">
        <v>1</v>
      </c>
      <c r="E1544" s="6">
        <v>2187</v>
      </c>
      <c r="F1544" s="6">
        <v>3860</v>
      </c>
      <c r="G1544" s="6">
        <v>3860</v>
      </c>
      <c r="H1544" s="6">
        <v>2327</v>
      </c>
      <c r="I1544" s="6">
        <v>324</v>
      </c>
      <c r="J1544" s="6">
        <v>1863</v>
      </c>
      <c r="K1544" s="40">
        <v>46</v>
      </c>
      <c r="L1544" s="40">
        <v>15</v>
      </c>
      <c r="M1544" s="40">
        <v>438</v>
      </c>
      <c r="N1544" s="40">
        <v>58</v>
      </c>
      <c r="O1544" s="40">
        <v>303</v>
      </c>
      <c r="P1544" s="40">
        <v>73</v>
      </c>
      <c r="Q1544" s="40">
        <v>1</v>
      </c>
      <c r="R1544" s="40">
        <v>0</v>
      </c>
      <c r="S1544" s="40">
        <v>3</v>
      </c>
    </row>
    <row r="1545" spans="1:19" x14ac:dyDescent="0.35">
      <c r="A1545" s="38">
        <v>1752</v>
      </c>
      <c r="B1545" s="38" t="str">
        <f>_xlfn.XLOOKUP(A1545,'Model Modeshare by TAZ'!A:A,'Model Modeshare by TAZ'!B:B)</f>
        <v>San Francisco</v>
      </c>
      <c r="C1545" s="38" t="str">
        <f>_xlfn.XLOOKUP(A1545,'Model Modeshare by TAZ'!A:A,'Model Modeshare by TAZ'!D:D)</f>
        <v>NO</v>
      </c>
      <c r="D1545" s="6">
        <v>1</v>
      </c>
      <c r="E1545" s="6">
        <v>1306</v>
      </c>
      <c r="F1545" s="6">
        <v>3828</v>
      </c>
      <c r="G1545" s="6">
        <v>3828</v>
      </c>
      <c r="H1545" s="6">
        <v>2332</v>
      </c>
      <c r="I1545" s="6">
        <v>345</v>
      </c>
      <c r="J1545" s="6">
        <v>961</v>
      </c>
      <c r="K1545" s="40">
        <v>57</v>
      </c>
      <c r="L1545" s="40">
        <v>280</v>
      </c>
      <c r="M1545" s="40">
        <v>4814</v>
      </c>
      <c r="N1545" s="40">
        <v>720</v>
      </c>
      <c r="O1545" s="40">
        <v>2089</v>
      </c>
      <c r="P1545" s="40">
        <v>1951</v>
      </c>
      <c r="Q1545" s="40">
        <v>0</v>
      </c>
      <c r="R1545" s="40">
        <v>49</v>
      </c>
      <c r="S1545" s="40">
        <v>4</v>
      </c>
    </row>
    <row r="1546" spans="1:19" x14ac:dyDescent="0.35">
      <c r="A1546" s="38">
        <v>1753</v>
      </c>
      <c r="B1546" s="38" t="str">
        <f>_xlfn.XLOOKUP(A1546,'Model Modeshare by TAZ'!A:A,'Model Modeshare by TAZ'!B:B)</f>
        <v>San Francisco</v>
      </c>
      <c r="C1546" s="38" t="str">
        <f>_xlfn.XLOOKUP(A1546,'Model Modeshare by TAZ'!A:A,'Model Modeshare by TAZ'!D:D)</f>
        <v>NO</v>
      </c>
      <c r="D1546" s="6">
        <v>1</v>
      </c>
      <c r="E1546" s="6">
        <v>93</v>
      </c>
      <c r="F1546" s="6">
        <v>127</v>
      </c>
      <c r="G1546" s="6">
        <v>127</v>
      </c>
      <c r="H1546" s="6">
        <v>109</v>
      </c>
      <c r="I1546" s="6">
        <v>0</v>
      </c>
      <c r="J1546" s="6">
        <v>93</v>
      </c>
      <c r="K1546" s="40">
        <v>5</v>
      </c>
      <c r="L1546" s="40">
        <v>13</v>
      </c>
      <c r="M1546" s="40">
        <v>2686</v>
      </c>
      <c r="N1546" s="40">
        <v>382</v>
      </c>
      <c r="O1546" s="40">
        <v>2020</v>
      </c>
      <c r="P1546" s="40">
        <v>250</v>
      </c>
      <c r="Q1546" s="40">
        <v>0</v>
      </c>
      <c r="R1546" s="40">
        <v>17</v>
      </c>
      <c r="S1546" s="40">
        <v>17</v>
      </c>
    </row>
    <row r="1547" spans="1:19" x14ac:dyDescent="0.35">
      <c r="A1547" s="38">
        <v>1754</v>
      </c>
      <c r="B1547" s="38" t="str">
        <f>_xlfn.XLOOKUP(A1547,'Model Modeshare by TAZ'!A:A,'Model Modeshare by TAZ'!B:B)</f>
        <v>San Francisco</v>
      </c>
      <c r="C1547" s="38" t="str">
        <f>_xlfn.XLOOKUP(A1547,'Model Modeshare by TAZ'!A:A,'Model Modeshare by TAZ'!D:D)</f>
        <v>NO</v>
      </c>
      <c r="D1547" s="6">
        <v>1</v>
      </c>
      <c r="E1547" s="6">
        <v>2679</v>
      </c>
      <c r="F1547" s="6">
        <v>6750</v>
      </c>
      <c r="G1547" s="6">
        <v>6860</v>
      </c>
      <c r="H1547" s="6">
        <v>3678</v>
      </c>
      <c r="I1547" s="6">
        <v>1212</v>
      </c>
      <c r="J1547" s="6">
        <v>1467</v>
      </c>
      <c r="K1547" s="40">
        <v>105</v>
      </c>
      <c r="L1547" s="40">
        <v>4</v>
      </c>
      <c r="M1547" s="40">
        <v>695</v>
      </c>
      <c r="N1547" s="40">
        <v>571</v>
      </c>
      <c r="O1547" s="40">
        <v>82</v>
      </c>
      <c r="P1547" s="40">
        <v>40</v>
      </c>
      <c r="Q1547" s="40">
        <v>0</v>
      </c>
      <c r="R1547" s="40">
        <v>3</v>
      </c>
      <c r="S1547" s="40">
        <v>0</v>
      </c>
    </row>
    <row r="1548" spans="1:19" x14ac:dyDescent="0.35">
      <c r="A1548" s="38">
        <v>1755</v>
      </c>
      <c r="B1548" s="38" t="str">
        <f>_xlfn.XLOOKUP(A1548,'Model Modeshare by TAZ'!A:A,'Model Modeshare by TAZ'!B:B)</f>
        <v>San Francisco</v>
      </c>
      <c r="C1548" s="38" t="str">
        <f>_xlfn.XLOOKUP(A1548,'Model Modeshare by TAZ'!A:A,'Model Modeshare by TAZ'!D:D)</f>
        <v>NO</v>
      </c>
      <c r="D1548" s="6">
        <v>1</v>
      </c>
      <c r="E1548" s="6">
        <v>1512</v>
      </c>
      <c r="F1548" s="6">
        <v>3701</v>
      </c>
      <c r="G1548" s="6">
        <v>3701</v>
      </c>
      <c r="H1548" s="6">
        <v>1948</v>
      </c>
      <c r="I1548" s="6">
        <v>753</v>
      </c>
      <c r="J1548" s="6">
        <v>759</v>
      </c>
      <c r="K1548" s="40">
        <v>58</v>
      </c>
      <c r="L1548" s="40">
        <v>1</v>
      </c>
      <c r="M1548" s="40">
        <v>168</v>
      </c>
      <c r="N1548" s="40">
        <v>137</v>
      </c>
      <c r="O1548" s="40">
        <v>20</v>
      </c>
      <c r="P1548" s="40">
        <v>10</v>
      </c>
      <c r="Q1548" s="40">
        <v>0</v>
      </c>
      <c r="R1548" s="40">
        <v>1</v>
      </c>
      <c r="S1548" s="40">
        <v>0</v>
      </c>
    </row>
    <row r="1549" spans="1:19" x14ac:dyDescent="0.35">
      <c r="A1549" s="38">
        <v>1756</v>
      </c>
      <c r="B1549" s="38" t="str">
        <f>_xlfn.XLOOKUP(A1549,'Model Modeshare by TAZ'!A:A,'Model Modeshare by TAZ'!B:B)</f>
        <v>San Francisco</v>
      </c>
      <c r="C1549" s="38" t="str">
        <f>_xlfn.XLOOKUP(A1549,'Model Modeshare by TAZ'!A:A,'Model Modeshare by TAZ'!D:D)</f>
        <v>NO</v>
      </c>
      <c r="D1549" s="6">
        <v>1</v>
      </c>
      <c r="E1549" s="6">
        <v>72</v>
      </c>
      <c r="F1549" s="6">
        <v>115</v>
      </c>
      <c r="G1549" s="6">
        <v>320</v>
      </c>
      <c r="H1549" s="6">
        <v>79</v>
      </c>
      <c r="I1549" s="6">
        <v>16</v>
      </c>
      <c r="J1549" s="6">
        <v>56</v>
      </c>
      <c r="K1549" s="40">
        <v>2</v>
      </c>
      <c r="L1549" s="40">
        <v>157</v>
      </c>
      <c r="M1549" s="40">
        <v>2513</v>
      </c>
      <c r="N1549" s="40">
        <v>33</v>
      </c>
      <c r="O1549" s="40">
        <v>1884</v>
      </c>
      <c r="P1549" s="40">
        <v>592</v>
      </c>
      <c r="Q1549" s="40">
        <v>0</v>
      </c>
      <c r="R1549" s="40">
        <v>5</v>
      </c>
      <c r="S1549" s="40">
        <v>0</v>
      </c>
    </row>
    <row r="1550" spans="1:19" x14ac:dyDescent="0.35">
      <c r="A1550" s="38">
        <v>1757</v>
      </c>
      <c r="B1550" s="38" t="str">
        <f>_xlfn.XLOOKUP(A1550,'Model Modeshare by TAZ'!A:A,'Model Modeshare by TAZ'!B:B)</f>
        <v>San Francisco</v>
      </c>
      <c r="C1550" s="38" t="str">
        <f>_xlfn.XLOOKUP(A1550,'Model Modeshare by TAZ'!A:A,'Model Modeshare by TAZ'!D:D)</f>
        <v>NO</v>
      </c>
      <c r="D1550" s="6">
        <v>1</v>
      </c>
      <c r="E1550" s="6">
        <v>897</v>
      </c>
      <c r="F1550" s="6">
        <v>2456</v>
      </c>
      <c r="G1550" s="6">
        <v>2456</v>
      </c>
      <c r="H1550" s="6">
        <v>983</v>
      </c>
      <c r="I1550" s="6">
        <v>672</v>
      </c>
      <c r="J1550" s="6">
        <v>225</v>
      </c>
      <c r="K1550" s="40">
        <v>80</v>
      </c>
      <c r="L1550" s="40">
        <v>3</v>
      </c>
      <c r="M1550" s="40">
        <v>109</v>
      </c>
      <c r="N1550" s="40">
        <v>7</v>
      </c>
      <c r="O1550" s="40">
        <v>63</v>
      </c>
      <c r="P1550" s="40">
        <v>38</v>
      </c>
      <c r="Q1550" s="40">
        <v>0</v>
      </c>
      <c r="R1550" s="40">
        <v>0</v>
      </c>
      <c r="S1550" s="40">
        <v>0</v>
      </c>
    </row>
    <row r="1551" spans="1:19" x14ac:dyDescent="0.35">
      <c r="A1551" s="38">
        <v>1758</v>
      </c>
      <c r="B1551" s="38" t="str">
        <f>_xlfn.XLOOKUP(A1551,'Model Modeshare by TAZ'!A:A,'Model Modeshare by TAZ'!B:B)</f>
        <v>San Francisco</v>
      </c>
      <c r="C1551" s="38" t="str">
        <f>_xlfn.XLOOKUP(A1551,'Model Modeshare by TAZ'!A:A,'Model Modeshare by TAZ'!D:D)</f>
        <v>NO</v>
      </c>
      <c r="D1551" s="6">
        <v>1</v>
      </c>
      <c r="E1551" s="6">
        <v>2338</v>
      </c>
      <c r="F1551" s="6">
        <v>4868</v>
      </c>
      <c r="G1551" s="6">
        <v>4897</v>
      </c>
      <c r="H1551" s="6">
        <v>2920</v>
      </c>
      <c r="I1551" s="6">
        <v>347</v>
      </c>
      <c r="J1551" s="6">
        <v>1991</v>
      </c>
      <c r="K1551" s="40">
        <v>54</v>
      </c>
      <c r="L1551" s="40">
        <v>11</v>
      </c>
      <c r="M1551" s="40">
        <v>899</v>
      </c>
      <c r="N1551" s="40">
        <v>598</v>
      </c>
      <c r="O1551" s="40">
        <v>257</v>
      </c>
      <c r="P1551" s="40">
        <v>42</v>
      </c>
      <c r="Q1551" s="40">
        <v>0</v>
      </c>
      <c r="R1551" s="40">
        <v>2</v>
      </c>
      <c r="S1551" s="40">
        <v>0</v>
      </c>
    </row>
    <row r="1552" spans="1:19" x14ac:dyDescent="0.35">
      <c r="A1552" s="38">
        <v>1759</v>
      </c>
      <c r="B1552" s="38" t="str">
        <f>_xlfn.XLOOKUP(A1552,'Model Modeshare by TAZ'!A:A,'Model Modeshare by TAZ'!B:B)</f>
        <v>San Francisco</v>
      </c>
      <c r="C1552" s="38" t="str">
        <f>_xlfn.XLOOKUP(A1552,'Model Modeshare by TAZ'!A:A,'Model Modeshare by TAZ'!D:D)</f>
        <v>NO</v>
      </c>
      <c r="D1552" s="6">
        <v>1</v>
      </c>
      <c r="E1552" s="6">
        <v>3067</v>
      </c>
      <c r="F1552" s="6">
        <v>7902</v>
      </c>
      <c r="G1552" s="6">
        <v>7960</v>
      </c>
      <c r="H1552" s="6">
        <v>4486</v>
      </c>
      <c r="I1552" s="6">
        <v>1337</v>
      </c>
      <c r="J1552" s="6">
        <v>1730</v>
      </c>
      <c r="K1552" s="40">
        <v>110</v>
      </c>
      <c r="L1552" s="40">
        <v>21</v>
      </c>
      <c r="M1552" s="40">
        <v>1425</v>
      </c>
      <c r="N1552" s="40">
        <v>455</v>
      </c>
      <c r="O1552" s="40">
        <v>772</v>
      </c>
      <c r="P1552" s="40">
        <v>168</v>
      </c>
      <c r="Q1552" s="40">
        <v>28</v>
      </c>
      <c r="R1552" s="40">
        <v>0</v>
      </c>
      <c r="S1552" s="40">
        <v>2</v>
      </c>
    </row>
    <row r="1553" spans="1:19" x14ac:dyDescent="0.35">
      <c r="A1553" s="38">
        <v>1760</v>
      </c>
      <c r="B1553" s="38" t="str">
        <f>_xlfn.XLOOKUP(A1553,'Model Modeshare by TAZ'!A:A,'Model Modeshare by TAZ'!B:B)</f>
        <v>San Francisco</v>
      </c>
      <c r="C1553" s="38" t="str">
        <f>_xlfn.XLOOKUP(A1553,'Model Modeshare by TAZ'!A:A,'Model Modeshare by TAZ'!D:D)</f>
        <v>NO</v>
      </c>
      <c r="D1553" s="6">
        <v>1</v>
      </c>
      <c r="E1553" s="6">
        <v>1564</v>
      </c>
      <c r="F1553" s="6">
        <v>4213</v>
      </c>
      <c r="G1553" s="6">
        <v>4218</v>
      </c>
      <c r="H1553" s="6">
        <v>2491</v>
      </c>
      <c r="I1553" s="6">
        <v>671</v>
      </c>
      <c r="J1553" s="6">
        <v>893</v>
      </c>
      <c r="K1553" s="40">
        <v>55</v>
      </c>
      <c r="L1553" s="40">
        <v>2</v>
      </c>
      <c r="M1553" s="40">
        <v>260</v>
      </c>
      <c r="N1553" s="40">
        <v>95</v>
      </c>
      <c r="O1553" s="40">
        <v>89</v>
      </c>
      <c r="P1553" s="40">
        <v>74</v>
      </c>
      <c r="Q1553" s="40">
        <v>0</v>
      </c>
      <c r="R1553" s="40">
        <v>0</v>
      </c>
      <c r="S1553" s="40">
        <v>2</v>
      </c>
    </row>
    <row r="1554" spans="1:19" x14ac:dyDescent="0.35">
      <c r="A1554" s="38">
        <v>1761</v>
      </c>
      <c r="B1554" s="38" t="str">
        <f>_xlfn.XLOOKUP(A1554,'Model Modeshare by TAZ'!A:A,'Model Modeshare by TAZ'!B:B)</f>
        <v>San Francisco</v>
      </c>
      <c r="C1554" s="38" t="str">
        <f>_xlfn.XLOOKUP(A1554,'Model Modeshare by TAZ'!A:A,'Model Modeshare by TAZ'!D:D)</f>
        <v>NO</v>
      </c>
      <c r="D1554" s="6">
        <v>1</v>
      </c>
      <c r="E1554" s="6">
        <v>1904</v>
      </c>
      <c r="F1554" s="6">
        <v>4316</v>
      </c>
      <c r="G1554" s="6">
        <v>4316</v>
      </c>
      <c r="H1554" s="6">
        <v>2653</v>
      </c>
      <c r="I1554" s="6">
        <v>447</v>
      </c>
      <c r="J1554" s="6">
        <v>1457</v>
      </c>
      <c r="K1554" s="40">
        <v>54</v>
      </c>
      <c r="L1554" s="40">
        <v>4</v>
      </c>
      <c r="M1554" s="40">
        <v>524</v>
      </c>
      <c r="N1554" s="40">
        <v>192</v>
      </c>
      <c r="O1554" s="40">
        <v>177</v>
      </c>
      <c r="P1554" s="40">
        <v>149</v>
      </c>
      <c r="Q1554" s="40">
        <v>0</v>
      </c>
      <c r="R1554" s="40">
        <v>0</v>
      </c>
      <c r="S1554" s="40">
        <v>5</v>
      </c>
    </row>
    <row r="1555" spans="1:19" x14ac:dyDescent="0.35">
      <c r="A1555" s="38">
        <v>1762</v>
      </c>
      <c r="B1555" s="38" t="str">
        <f>_xlfn.XLOOKUP(A1555,'Model Modeshare by TAZ'!A:A,'Model Modeshare by TAZ'!B:B)</f>
        <v>San Francisco</v>
      </c>
      <c r="C1555" s="38" t="str">
        <f>_xlfn.XLOOKUP(A1555,'Model Modeshare by TAZ'!A:A,'Model Modeshare by TAZ'!D:D)</f>
        <v>NO</v>
      </c>
      <c r="D1555" s="6">
        <v>1</v>
      </c>
      <c r="E1555" s="6">
        <v>3174</v>
      </c>
      <c r="F1555" s="6">
        <v>7266</v>
      </c>
      <c r="G1555" s="6">
        <v>7271</v>
      </c>
      <c r="H1555" s="6">
        <v>4397</v>
      </c>
      <c r="I1555" s="6">
        <v>585</v>
      </c>
      <c r="J1555" s="6">
        <v>2589</v>
      </c>
      <c r="K1555" s="40">
        <v>80</v>
      </c>
      <c r="L1555" s="40">
        <v>11</v>
      </c>
      <c r="M1555" s="40">
        <v>1260</v>
      </c>
      <c r="N1555" s="40">
        <v>675</v>
      </c>
      <c r="O1555" s="40">
        <v>385</v>
      </c>
      <c r="P1555" s="40">
        <v>180</v>
      </c>
      <c r="Q1555" s="40">
        <v>1</v>
      </c>
      <c r="R1555" s="40">
        <v>11</v>
      </c>
      <c r="S1555" s="40">
        <v>8</v>
      </c>
    </row>
    <row r="1556" spans="1:19" x14ac:dyDescent="0.35">
      <c r="A1556" s="38">
        <v>1763</v>
      </c>
      <c r="B1556" s="38" t="str">
        <f>_xlfn.XLOOKUP(A1556,'Model Modeshare by TAZ'!A:A,'Model Modeshare by TAZ'!B:B)</f>
        <v>San Francisco</v>
      </c>
      <c r="C1556" s="38" t="str">
        <f>_xlfn.XLOOKUP(A1556,'Model Modeshare by TAZ'!A:A,'Model Modeshare by TAZ'!D:D)</f>
        <v>NO</v>
      </c>
      <c r="D1556" s="6">
        <v>1</v>
      </c>
      <c r="E1556" s="6">
        <v>2211</v>
      </c>
      <c r="F1556" s="6">
        <v>5642</v>
      </c>
      <c r="G1556" s="6">
        <v>5647</v>
      </c>
      <c r="H1556" s="6">
        <v>3336</v>
      </c>
      <c r="I1556" s="6">
        <v>725</v>
      </c>
      <c r="J1556" s="6">
        <v>1486</v>
      </c>
      <c r="K1556" s="40">
        <v>71</v>
      </c>
      <c r="L1556" s="40">
        <v>5</v>
      </c>
      <c r="M1556" s="40">
        <v>585</v>
      </c>
      <c r="N1556" s="40">
        <v>254</v>
      </c>
      <c r="O1556" s="40">
        <v>257</v>
      </c>
      <c r="P1556" s="40">
        <v>68</v>
      </c>
      <c r="Q1556" s="40">
        <v>3</v>
      </c>
      <c r="R1556" s="40">
        <v>0</v>
      </c>
      <c r="S1556" s="40">
        <v>2</v>
      </c>
    </row>
    <row r="1557" spans="1:19" x14ac:dyDescent="0.35">
      <c r="A1557" s="38">
        <v>1764</v>
      </c>
      <c r="B1557" s="38" t="str">
        <f>_xlfn.XLOOKUP(A1557,'Model Modeshare by TAZ'!A:A,'Model Modeshare by TAZ'!B:B)</f>
        <v>San Francisco</v>
      </c>
      <c r="C1557" s="38" t="str">
        <f>_xlfn.XLOOKUP(A1557,'Model Modeshare by TAZ'!A:A,'Model Modeshare by TAZ'!D:D)</f>
        <v>NO</v>
      </c>
      <c r="D1557" s="6">
        <v>1</v>
      </c>
      <c r="E1557" s="6">
        <v>3020</v>
      </c>
      <c r="F1557" s="6">
        <v>7305</v>
      </c>
      <c r="G1557" s="6">
        <v>7322</v>
      </c>
      <c r="H1557" s="6">
        <v>3980</v>
      </c>
      <c r="I1557" s="6">
        <v>767</v>
      </c>
      <c r="J1557" s="6">
        <v>2253</v>
      </c>
      <c r="K1557" s="40">
        <v>80</v>
      </c>
      <c r="L1557" s="40">
        <v>6</v>
      </c>
      <c r="M1557" s="40">
        <v>3327</v>
      </c>
      <c r="N1557" s="40">
        <v>1157</v>
      </c>
      <c r="O1557" s="40">
        <v>823</v>
      </c>
      <c r="P1557" s="40">
        <v>1284</v>
      </c>
      <c r="Q1557" s="40">
        <v>3</v>
      </c>
      <c r="R1557" s="40">
        <v>8</v>
      </c>
      <c r="S1557" s="40">
        <v>52</v>
      </c>
    </row>
    <row r="1558" spans="1:19" x14ac:dyDescent="0.35">
      <c r="A1558" s="38">
        <v>1765</v>
      </c>
      <c r="B1558" s="38" t="str">
        <f>_xlfn.XLOOKUP(A1558,'Model Modeshare by TAZ'!A:A,'Model Modeshare by TAZ'!B:B)</f>
        <v>San Francisco</v>
      </c>
      <c r="C1558" s="38" t="str">
        <f>_xlfn.XLOOKUP(A1558,'Model Modeshare by TAZ'!A:A,'Model Modeshare by TAZ'!D:D)</f>
        <v>NO</v>
      </c>
      <c r="D1558" s="6">
        <v>1</v>
      </c>
      <c r="E1558" s="6">
        <v>2433</v>
      </c>
      <c r="F1558" s="6">
        <v>5534</v>
      </c>
      <c r="G1558" s="6">
        <v>5563</v>
      </c>
      <c r="H1558" s="6">
        <v>3251</v>
      </c>
      <c r="I1558" s="6">
        <v>417</v>
      </c>
      <c r="J1558" s="6">
        <v>2016</v>
      </c>
      <c r="K1558" s="40">
        <v>56</v>
      </c>
      <c r="L1558" s="40">
        <v>14</v>
      </c>
      <c r="M1558" s="40">
        <v>2070</v>
      </c>
      <c r="N1558" s="40">
        <v>792</v>
      </c>
      <c r="O1558" s="40">
        <v>1018</v>
      </c>
      <c r="P1558" s="40">
        <v>236</v>
      </c>
      <c r="Q1558" s="40">
        <v>0</v>
      </c>
      <c r="R1558" s="40">
        <v>20</v>
      </c>
      <c r="S1558" s="40">
        <v>4</v>
      </c>
    </row>
    <row r="1559" spans="1:19" x14ac:dyDescent="0.35">
      <c r="A1559" s="38">
        <v>1766</v>
      </c>
      <c r="B1559" s="38" t="str">
        <f>_xlfn.XLOOKUP(A1559,'Model Modeshare by TAZ'!A:A,'Model Modeshare by TAZ'!B:B)</f>
        <v>San Francisco</v>
      </c>
      <c r="C1559" s="38" t="str">
        <f>_xlfn.XLOOKUP(A1559,'Model Modeshare by TAZ'!A:A,'Model Modeshare by TAZ'!D:D)</f>
        <v>NO</v>
      </c>
      <c r="D1559" s="6">
        <v>1</v>
      </c>
      <c r="E1559" s="6">
        <v>1946</v>
      </c>
      <c r="F1559" s="6">
        <v>4464</v>
      </c>
      <c r="G1559" s="6">
        <v>4525</v>
      </c>
      <c r="H1559" s="6">
        <v>2691</v>
      </c>
      <c r="I1559" s="6">
        <v>372</v>
      </c>
      <c r="J1559" s="6">
        <v>1574</v>
      </c>
      <c r="K1559" s="40">
        <v>49</v>
      </c>
      <c r="L1559" s="40">
        <v>15</v>
      </c>
      <c r="M1559" s="40">
        <v>2600</v>
      </c>
      <c r="N1559" s="40">
        <v>1339</v>
      </c>
      <c r="O1559" s="40">
        <v>809</v>
      </c>
      <c r="P1559" s="40">
        <v>433</v>
      </c>
      <c r="Q1559" s="40">
        <v>1</v>
      </c>
      <c r="R1559" s="40">
        <v>4</v>
      </c>
      <c r="S1559" s="40">
        <v>13</v>
      </c>
    </row>
    <row r="1560" spans="1:19" x14ac:dyDescent="0.35">
      <c r="A1560" s="38">
        <v>1767</v>
      </c>
      <c r="B1560" s="38" t="str">
        <f>_xlfn.XLOOKUP(A1560,'Model Modeshare by TAZ'!A:A,'Model Modeshare by TAZ'!B:B)</f>
        <v>San Francisco</v>
      </c>
      <c r="C1560" s="38" t="str">
        <f>_xlfn.XLOOKUP(A1560,'Model Modeshare by TAZ'!A:A,'Model Modeshare by TAZ'!D:D)</f>
        <v>NO</v>
      </c>
      <c r="D1560" s="6">
        <v>1</v>
      </c>
      <c r="E1560" s="6">
        <v>2109</v>
      </c>
      <c r="F1560" s="6">
        <v>5080</v>
      </c>
      <c r="G1560" s="6">
        <v>5093</v>
      </c>
      <c r="H1560" s="6">
        <v>3215</v>
      </c>
      <c r="I1560" s="6">
        <v>439</v>
      </c>
      <c r="J1560" s="6">
        <v>1670</v>
      </c>
      <c r="K1560" s="40">
        <v>53</v>
      </c>
      <c r="L1560" s="40">
        <v>7</v>
      </c>
      <c r="M1560" s="40">
        <v>2008</v>
      </c>
      <c r="N1560" s="40">
        <v>354</v>
      </c>
      <c r="O1560" s="40">
        <v>1458</v>
      </c>
      <c r="P1560" s="40">
        <v>192</v>
      </c>
      <c r="Q1560" s="40">
        <v>0</v>
      </c>
      <c r="R1560" s="40">
        <v>2</v>
      </c>
      <c r="S1560" s="40">
        <v>2</v>
      </c>
    </row>
    <row r="1561" spans="1:19" x14ac:dyDescent="0.35">
      <c r="A1561" s="38">
        <v>1768</v>
      </c>
      <c r="B1561" s="38" t="str">
        <f>_xlfn.XLOOKUP(A1561,'Model Modeshare by TAZ'!A:A,'Model Modeshare by TAZ'!B:B)</f>
        <v>San Francisco</v>
      </c>
      <c r="C1561" s="38" t="str">
        <f>_xlfn.XLOOKUP(A1561,'Model Modeshare by TAZ'!A:A,'Model Modeshare by TAZ'!D:D)</f>
        <v>NO</v>
      </c>
      <c r="D1561" s="6">
        <v>1</v>
      </c>
      <c r="E1561" s="6">
        <v>1462</v>
      </c>
      <c r="F1561" s="6">
        <v>3261</v>
      </c>
      <c r="G1561" s="6">
        <v>3274</v>
      </c>
      <c r="H1561" s="6">
        <v>1855</v>
      </c>
      <c r="I1561" s="6">
        <v>315</v>
      </c>
      <c r="J1561" s="6">
        <v>1147</v>
      </c>
      <c r="K1561" s="40">
        <v>34</v>
      </c>
      <c r="L1561" s="40">
        <v>4</v>
      </c>
      <c r="M1561" s="40">
        <v>753</v>
      </c>
      <c r="N1561" s="40">
        <v>379</v>
      </c>
      <c r="O1561" s="40">
        <v>243</v>
      </c>
      <c r="P1561" s="40">
        <v>122</v>
      </c>
      <c r="Q1561" s="40">
        <v>4</v>
      </c>
      <c r="R1561" s="40">
        <v>2</v>
      </c>
      <c r="S1561" s="40">
        <v>4</v>
      </c>
    </row>
    <row r="1562" spans="1:19" x14ac:dyDescent="0.35">
      <c r="A1562" s="38">
        <v>1769</v>
      </c>
      <c r="B1562" s="38" t="str">
        <f>_xlfn.XLOOKUP(A1562,'Model Modeshare by TAZ'!A:A,'Model Modeshare by TAZ'!B:B)</f>
        <v>San Francisco</v>
      </c>
      <c r="C1562" s="38" t="str">
        <f>_xlfn.XLOOKUP(A1562,'Model Modeshare by TAZ'!A:A,'Model Modeshare by TAZ'!D:D)</f>
        <v>NO</v>
      </c>
      <c r="D1562" s="6">
        <v>1</v>
      </c>
      <c r="E1562" s="6">
        <v>2776</v>
      </c>
      <c r="F1562" s="6">
        <v>6014</v>
      </c>
      <c r="G1562" s="6">
        <v>9124</v>
      </c>
      <c r="H1562" s="6">
        <v>4969</v>
      </c>
      <c r="I1562" s="6">
        <v>647</v>
      </c>
      <c r="J1562" s="6">
        <v>2129</v>
      </c>
      <c r="K1562" s="40">
        <v>97</v>
      </c>
      <c r="L1562" s="40">
        <v>46</v>
      </c>
      <c r="M1562" s="40">
        <v>4979</v>
      </c>
      <c r="N1562" s="40">
        <v>582</v>
      </c>
      <c r="O1562" s="40">
        <v>3456</v>
      </c>
      <c r="P1562" s="40">
        <v>921</v>
      </c>
      <c r="Q1562" s="40">
        <v>0</v>
      </c>
      <c r="R1562" s="40">
        <v>4</v>
      </c>
      <c r="S1562" s="40">
        <v>16</v>
      </c>
    </row>
    <row r="1563" spans="1:19" x14ac:dyDescent="0.35">
      <c r="A1563" s="38">
        <v>1770</v>
      </c>
      <c r="B1563" s="38" t="str">
        <f>_xlfn.XLOOKUP(A1563,'Model Modeshare by TAZ'!A:A,'Model Modeshare by TAZ'!B:B)</f>
        <v>San Francisco</v>
      </c>
      <c r="C1563" s="38" t="str">
        <f>_xlfn.XLOOKUP(A1563,'Model Modeshare by TAZ'!A:A,'Model Modeshare by TAZ'!D:D)</f>
        <v>NO</v>
      </c>
      <c r="D1563" s="6">
        <v>1</v>
      </c>
      <c r="E1563" s="6">
        <v>2911</v>
      </c>
      <c r="F1563" s="6">
        <v>6087</v>
      </c>
      <c r="G1563" s="6">
        <v>6102</v>
      </c>
      <c r="H1563" s="6">
        <v>3745</v>
      </c>
      <c r="I1563" s="6">
        <v>520</v>
      </c>
      <c r="J1563" s="6">
        <v>2391</v>
      </c>
      <c r="K1563" s="40">
        <v>82</v>
      </c>
      <c r="L1563" s="40">
        <v>29</v>
      </c>
      <c r="M1563" s="40">
        <v>7849</v>
      </c>
      <c r="N1563" s="40">
        <v>797</v>
      </c>
      <c r="O1563" s="40">
        <v>2253</v>
      </c>
      <c r="P1563" s="40">
        <v>4770</v>
      </c>
      <c r="Q1563" s="40">
        <v>8</v>
      </c>
      <c r="R1563" s="40">
        <v>10</v>
      </c>
      <c r="S1563" s="40">
        <v>11</v>
      </c>
    </row>
    <row r="1564" spans="1:19" x14ac:dyDescent="0.35">
      <c r="A1564" s="38">
        <v>1771</v>
      </c>
      <c r="B1564" s="38" t="str">
        <f>_xlfn.XLOOKUP(A1564,'Model Modeshare by TAZ'!A:A,'Model Modeshare by TAZ'!B:B)</f>
        <v>San Francisco</v>
      </c>
      <c r="C1564" s="38" t="str">
        <f>_xlfn.XLOOKUP(A1564,'Model Modeshare by TAZ'!A:A,'Model Modeshare by TAZ'!D:D)</f>
        <v>NO</v>
      </c>
      <c r="D1564" s="6">
        <v>1</v>
      </c>
      <c r="E1564" s="6">
        <v>1892</v>
      </c>
      <c r="F1564" s="6">
        <v>4285</v>
      </c>
      <c r="G1564" s="6">
        <v>4561</v>
      </c>
      <c r="H1564" s="6">
        <v>2234</v>
      </c>
      <c r="I1564" s="6">
        <v>611</v>
      </c>
      <c r="J1564" s="6">
        <v>1281</v>
      </c>
      <c r="K1564" s="40">
        <v>72</v>
      </c>
      <c r="L1564" s="40">
        <v>11</v>
      </c>
      <c r="M1564" s="40">
        <v>2452</v>
      </c>
      <c r="N1564" s="40">
        <v>227</v>
      </c>
      <c r="O1564" s="40">
        <v>1640</v>
      </c>
      <c r="P1564" s="40">
        <v>568</v>
      </c>
      <c r="Q1564" s="40">
        <v>5</v>
      </c>
      <c r="R1564" s="40">
        <v>10</v>
      </c>
      <c r="S1564" s="40">
        <v>2</v>
      </c>
    </row>
    <row r="1565" spans="1:19" x14ac:dyDescent="0.35">
      <c r="A1565" s="38">
        <v>1772</v>
      </c>
      <c r="B1565" s="38" t="str">
        <f>_xlfn.XLOOKUP(A1565,'Model Modeshare by TAZ'!A:A,'Model Modeshare by TAZ'!B:B)</f>
        <v>San Francisco</v>
      </c>
      <c r="C1565" s="38" t="str">
        <f>_xlfn.XLOOKUP(A1565,'Model Modeshare by TAZ'!A:A,'Model Modeshare by TAZ'!D:D)</f>
        <v>NO</v>
      </c>
      <c r="D1565" s="6">
        <v>1</v>
      </c>
      <c r="E1565" s="6">
        <v>950</v>
      </c>
      <c r="F1565" s="6">
        <v>2054</v>
      </c>
      <c r="G1565" s="6">
        <v>2234</v>
      </c>
      <c r="H1565" s="6">
        <v>1499</v>
      </c>
      <c r="I1565" s="6">
        <v>198</v>
      </c>
      <c r="J1565" s="6">
        <v>752</v>
      </c>
      <c r="K1565" s="40">
        <v>21</v>
      </c>
      <c r="L1565" s="40">
        <v>13</v>
      </c>
      <c r="M1565" s="40">
        <v>1978</v>
      </c>
      <c r="N1565" s="40">
        <v>430</v>
      </c>
      <c r="O1565" s="40">
        <v>1318</v>
      </c>
      <c r="P1565" s="40">
        <v>187</v>
      </c>
      <c r="Q1565" s="40">
        <v>0</v>
      </c>
      <c r="R1565" s="40">
        <v>16</v>
      </c>
      <c r="S1565" s="40">
        <v>27</v>
      </c>
    </row>
    <row r="1566" spans="1:19" x14ac:dyDescent="0.35">
      <c r="A1566" s="38">
        <v>1773</v>
      </c>
      <c r="B1566" s="38" t="str">
        <f>_xlfn.XLOOKUP(A1566,'Model Modeshare by TAZ'!A:A,'Model Modeshare by TAZ'!B:B)</f>
        <v>San Francisco</v>
      </c>
      <c r="C1566" s="38" t="str">
        <f>_xlfn.XLOOKUP(A1566,'Model Modeshare by TAZ'!A:A,'Model Modeshare by TAZ'!D:D)</f>
        <v>NO</v>
      </c>
      <c r="D1566" s="6">
        <v>1</v>
      </c>
      <c r="E1566" s="6">
        <v>2431</v>
      </c>
      <c r="F1566" s="6">
        <v>4176</v>
      </c>
      <c r="G1566" s="6">
        <v>4267</v>
      </c>
      <c r="H1566" s="6">
        <v>2510</v>
      </c>
      <c r="I1566" s="6">
        <v>194</v>
      </c>
      <c r="J1566" s="6">
        <v>2237</v>
      </c>
      <c r="K1566" s="40">
        <v>32</v>
      </c>
      <c r="L1566" s="40">
        <v>9</v>
      </c>
      <c r="M1566" s="40">
        <v>1530</v>
      </c>
      <c r="N1566" s="40">
        <v>404</v>
      </c>
      <c r="O1566" s="40">
        <v>879</v>
      </c>
      <c r="P1566" s="40">
        <v>218</v>
      </c>
      <c r="Q1566" s="40">
        <v>1</v>
      </c>
      <c r="R1566" s="40">
        <v>15</v>
      </c>
      <c r="S1566" s="40">
        <v>13</v>
      </c>
    </row>
    <row r="1567" spans="1:19" x14ac:dyDescent="0.35">
      <c r="A1567" s="38">
        <v>1774</v>
      </c>
      <c r="B1567" s="38" t="str">
        <f>_xlfn.XLOOKUP(A1567,'Model Modeshare by TAZ'!A:A,'Model Modeshare by TAZ'!B:B)</f>
        <v>San Francisco</v>
      </c>
      <c r="C1567" s="38" t="str">
        <f>_xlfn.XLOOKUP(A1567,'Model Modeshare by TAZ'!A:A,'Model Modeshare by TAZ'!D:D)</f>
        <v>NO</v>
      </c>
      <c r="D1567" s="6">
        <v>1</v>
      </c>
      <c r="E1567" s="6">
        <v>2280</v>
      </c>
      <c r="F1567" s="6">
        <v>3576</v>
      </c>
      <c r="G1567" s="6">
        <v>3651</v>
      </c>
      <c r="H1567" s="6">
        <v>1809</v>
      </c>
      <c r="I1567" s="6">
        <v>71</v>
      </c>
      <c r="J1567" s="6">
        <v>2209</v>
      </c>
      <c r="K1567" s="40">
        <v>17</v>
      </c>
      <c r="L1567" s="40">
        <v>24</v>
      </c>
      <c r="M1567" s="40">
        <v>5964</v>
      </c>
      <c r="N1567" s="40">
        <v>1439</v>
      </c>
      <c r="O1567" s="40">
        <v>3892</v>
      </c>
      <c r="P1567" s="40">
        <v>577</v>
      </c>
      <c r="Q1567" s="40">
        <v>0</v>
      </c>
      <c r="R1567" s="40">
        <v>19</v>
      </c>
      <c r="S1567" s="40">
        <v>37</v>
      </c>
    </row>
    <row r="1568" spans="1:19" x14ac:dyDescent="0.35">
      <c r="A1568" s="38">
        <v>1775</v>
      </c>
      <c r="B1568" s="38" t="str">
        <f>_xlfn.XLOOKUP(A1568,'Model Modeshare by TAZ'!A:A,'Model Modeshare by TAZ'!B:B)</f>
        <v>San Francisco</v>
      </c>
      <c r="C1568" s="38" t="str">
        <f>_xlfn.XLOOKUP(A1568,'Model Modeshare by TAZ'!A:A,'Model Modeshare by TAZ'!D:D)</f>
        <v>NO</v>
      </c>
      <c r="D1568" s="6">
        <v>1</v>
      </c>
      <c r="E1568" s="6">
        <v>1488</v>
      </c>
      <c r="F1568" s="6">
        <v>2134</v>
      </c>
      <c r="G1568" s="6">
        <v>2178</v>
      </c>
      <c r="H1568" s="6">
        <v>1470</v>
      </c>
      <c r="I1568" s="6">
        <v>0</v>
      </c>
      <c r="J1568" s="6">
        <v>1488</v>
      </c>
      <c r="K1568" s="40">
        <v>10</v>
      </c>
      <c r="L1568" s="40">
        <v>13</v>
      </c>
      <c r="M1568" s="40">
        <v>3393</v>
      </c>
      <c r="N1568" s="40">
        <v>563</v>
      </c>
      <c r="O1568" s="40">
        <v>2340</v>
      </c>
      <c r="P1568" s="40">
        <v>479</v>
      </c>
      <c r="Q1568" s="40">
        <v>0</v>
      </c>
      <c r="R1568" s="40">
        <v>2</v>
      </c>
      <c r="S1568" s="40">
        <v>9</v>
      </c>
    </row>
    <row r="1569" spans="1:19" x14ac:dyDescent="0.35">
      <c r="A1569" s="38">
        <v>1776</v>
      </c>
      <c r="B1569" s="38" t="str">
        <f>_xlfn.XLOOKUP(A1569,'Model Modeshare by TAZ'!A:A,'Model Modeshare by TAZ'!B:B)</f>
        <v>San Francisco</v>
      </c>
      <c r="C1569" s="38" t="str">
        <f>_xlfn.XLOOKUP(A1569,'Model Modeshare by TAZ'!A:A,'Model Modeshare by TAZ'!D:D)</f>
        <v>NO</v>
      </c>
      <c r="D1569" s="6">
        <v>1</v>
      </c>
      <c r="E1569" s="6">
        <v>1737</v>
      </c>
      <c r="F1569" s="6">
        <v>2769</v>
      </c>
      <c r="G1569" s="6">
        <v>2769</v>
      </c>
      <c r="H1569" s="6">
        <v>1582</v>
      </c>
      <c r="I1569" s="6">
        <v>7</v>
      </c>
      <c r="J1569" s="6">
        <v>1730</v>
      </c>
      <c r="K1569" s="40">
        <v>7</v>
      </c>
      <c r="L1569" s="40">
        <v>13</v>
      </c>
      <c r="M1569" s="40">
        <v>2665</v>
      </c>
      <c r="N1569" s="40">
        <v>263</v>
      </c>
      <c r="O1569" s="40">
        <v>871</v>
      </c>
      <c r="P1569" s="40">
        <v>1475</v>
      </c>
      <c r="Q1569" s="40">
        <v>5</v>
      </c>
      <c r="R1569" s="40">
        <v>1</v>
      </c>
      <c r="S1569" s="40">
        <v>50</v>
      </c>
    </row>
    <row r="1570" spans="1:19" x14ac:dyDescent="0.35">
      <c r="A1570" s="38">
        <v>1777</v>
      </c>
      <c r="B1570" s="38" t="str">
        <f>_xlfn.XLOOKUP(A1570,'Model Modeshare by TAZ'!A:A,'Model Modeshare by TAZ'!B:B)</f>
        <v>San Francisco</v>
      </c>
      <c r="C1570" s="38" t="str">
        <f>_xlfn.XLOOKUP(A1570,'Model Modeshare by TAZ'!A:A,'Model Modeshare by TAZ'!D:D)</f>
        <v>NO</v>
      </c>
      <c r="D1570" s="6">
        <v>1</v>
      </c>
      <c r="E1570" s="6">
        <v>2116</v>
      </c>
      <c r="F1570" s="6">
        <v>4239</v>
      </c>
      <c r="G1570" s="6">
        <v>4332</v>
      </c>
      <c r="H1570" s="6">
        <v>2251</v>
      </c>
      <c r="I1570" s="6">
        <v>32</v>
      </c>
      <c r="J1570" s="6">
        <v>2084</v>
      </c>
      <c r="K1570" s="40">
        <v>15</v>
      </c>
      <c r="L1570" s="40">
        <v>25</v>
      </c>
      <c r="M1570" s="40">
        <v>1670</v>
      </c>
      <c r="N1570" s="40">
        <v>589</v>
      </c>
      <c r="O1570" s="40">
        <v>841</v>
      </c>
      <c r="P1570" s="40">
        <v>233</v>
      </c>
      <c r="Q1570" s="40">
        <v>1</v>
      </c>
      <c r="R1570" s="40">
        <v>0</v>
      </c>
      <c r="S1570" s="40">
        <v>6</v>
      </c>
    </row>
    <row r="1571" spans="1:19" x14ac:dyDescent="0.35">
      <c r="A1571" s="38">
        <v>1778</v>
      </c>
      <c r="B1571" s="38" t="str">
        <f>_xlfn.XLOOKUP(A1571,'Model Modeshare by TAZ'!A:A,'Model Modeshare by TAZ'!B:B)</f>
        <v>San Francisco</v>
      </c>
      <c r="C1571" s="38" t="str">
        <f>_xlfn.XLOOKUP(A1571,'Model Modeshare by TAZ'!A:A,'Model Modeshare by TAZ'!D:D)</f>
        <v>NO</v>
      </c>
      <c r="D1571" s="6">
        <v>1</v>
      </c>
      <c r="E1571" s="6">
        <v>2602</v>
      </c>
      <c r="F1571" s="6">
        <v>5485</v>
      </c>
      <c r="G1571" s="6">
        <v>5498</v>
      </c>
      <c r="H1571" s="6">
        <v>2555</v>
      </c>
      <c r="I1571" s="6">
        <v>232</v>
      </c>
      <c r="J1571" s="6">
        <v>2370</v>
      </c>
      <c r="K1571" s="40">
        <v>22</v>
      </c>
      <c r="L1571" s="40">
        <v>9</v>
      </c>
      <c r="M1571" s="40">
        <v>935</v>
      </c>
      <c r="N1571" s="40">
        <v>38</v>
      </c>
      <c r="O1571" s="40">
        <v>537</v>
      </c>
      <c r="P1571" s="40">
        <v>286</v>
      </c>
      <c r="Q1571" s="40">
        <v>9</v>
      </c>
      <c r="R1571" s="40">
        <v>59</v>
      </c>
      <c r="S1571" s="40">
        <v>6</v>
      </c>
    </row>
    <row r="1572" spans="1:19" x14ac:dyDescent="0.35">
      <c r="A1572" s="38">
        <v>1779</v>
      </c>
      <c r="B1572" s="38" t="str">
        <f>_xlfn.XLOOKUP(A1572,'Model Modeshare by TAZ'!A:A,'Model Modeshare by TAZ'!B:B)</f>
        <v>San Francisco</v>
      </c>
      <c r="C1572" s="38" t="str">
        <f>_xlfn.XLOOKUP(A1572,'Model Modeshare by TAZ'!A:A,'Model Modeshare by TAZ'!D:D)</f>
        <v>NO</v>
      </c>
      <c r="D1572" s="6">
        <v>1</v>
      </c>
      <c r="E1572" s="6">
        <v>1784</v>
      </c>
      <c r="F1572" s="6">
        <v>2909</v>
      </c>
      <c r="G1572" s="6">
        <v>2937</v>
      </c>
      <c r="H1572" s="6">
        <v>2234</v>
      </c>
      <c r="I1572" s="6">
        <v>64</v>
      </c>
      <c r="J1572" s="6">
        <v>1720</v>
      </c>
      <c r="K1572" s="40">
        <v>10</v>
      </c>
      <c r="L1572" s="40">
        <v>25</v>
      </c>
      <c r="M1572" s="40">
        <v>4120</v>
      </c>
      <c r="N1572" s="40">
        <v>156</v>
      </c>
      <c r="O1572" s="40">
        <v>2517</v>
      </c>
      <c r="P1572" s="40">
        <v>1420</v>
      </c>
      <c r="Q1572" s="40">
        <v>0</v>
      </c>
      <c r="R1572" s="40">
        <v>9</v>
      </c>
      <c r="S1572" s="40">
        <v>17</v>
      </c>
    </row>
    <row r="1573" spans="1:19" x14ac:dyDescent="0.35">
      <c r="A1573" s="38">
        <v>1780</v>
      </c>
      <c r="B1573" s="38" t="str">
        <f>_xlfn.XLOOKUP(A1573,'Model Modeshare by TAZ'!A:A,'Model Modeshare by TAZ'!B:B)</f>
        <v>San Francisco</v>
      </c>
      <c r="C1573" s="38" t="str">
        <f>_xlfn.XLOOKUP(A1573,'Model Modeshare by TAZ'!A:A,'Model Modeshare by TAZ'!D:D)</f>
        <v>NO</v>
      </c>
      <c r="D1573" s="6">
        <v>1</v>
      </c>
      <c r="E1573" s="6">
        <v>2037</v>
      </c>
      <c r="F1573" s="6">
        <v>4324</v>
      </c>
      <c r="G1573" s="6">
        <v>4469</v>
      </c>
      <c r="H1573" s="6">
        <v>3214</v>
      </c>
      <c r="I1573" s="6">
        <v>316</v>
      </c>
      <c r="J1573" s="6">
        <v>1721</v>
      </c>
      <c r="K1573" s="40">
        <v>31</v>
      </c>
      <c r="L1573" s="40">
        <v>6</v>
      </c>
      <c r="M1573" s="40">
        <v>341</v>
      </c>
      <c r="N1573" s="40">
        <v>62</v>
      </c>
      <c r="O1573" s="40">
        <v>185</v>
      </c>
      <c r="P1573" s="40">
        <v>85</v>
      </c>
      <c r="Q1573" s="40">
        <v>0</v>
      </c>
      <c r="R1573" s="40">
        <v>5</v>
      </c>
      <c r="S1573" s="40">
        <v>3</v>
      </c>
    </row>
    <row r="1574" spans="1:19" x14ac:dyDescent="0.35">
      <c r="A1574" s="38">
        <v>1781</v>
      </c>
      <c r="B1574" s="38" t="str">
        <f>_xlfn.XLOOKUP(A1574,'Model Modeshare by TAZ'!A:A,'Model Modeshare by TAZ'!B:B)</f>
        <v>San Francisco</v>
      </c>
      <c r="C1574" s="38" t="str">
        <f>_xlfn.XLOOKUP(A1574,'Model Modeshare by TAZ'!A:A,'Model Modeshare by TAZ'!D:D)</f>
        <v>NO</v>
      </c>
      <c r="D1574" s="6">
        <v>1</v>
      </c>
      <c r="E1574" s="6">
        <v>3396</v>
      </c>
      <c r="F1574" s="6">
        <v>6390</v>
      </c>
      <c r="G1574" s="6">
        <v>6525</v>
      </c>
      <c r="H1574" s="6">
        <v>4639</v>
      </c>
      <c r="I1574" s="6">
        <v>253</v>
      </c>
      <c r="J1574" s="6">
        <v>3143</v>
      </c>
      <c r="K1574" s="40">
        <v>39</v>
      </c>
      <c r="L1574" s="40">
        <v>21</v>
      </c>
      <c r="M1574" s="40">
        <v>3294</v>
      </c>
      <c r="N1574" s="40">
        <v>402</v>
      </c>
      <c r="O1574" s="40">
        <v>1835</v>
      </c>
      <c r="P1574" s="40">
        <v>653</v>
      </c>
      <c r="Q1574" s="40">
        <v>1</v>
      </c>
      <c r="R1574" s="40">
        <v>245</v>
      </c>
      <c r="S1574" s="40">
        <v>159</v>
      </c>
    </row>
    <row r="1575" spans="1:19" x14ac:dyDescent="0.35">
      <c r="A1575" s="38">
        <v>1782</v>
      </c>
      <c r="B1575" s="38" t="str">
        <f>_xlfn.XLOOKUP(A1575,'Model Modeshare by TAZ'!A:A,'Model Modeshare by TAZ'!B:B)</f>
        <v>San Francisco</v>
      </c>
      <c r="C1575" s="38" t="str">
        <f>_xlfn.XLOOKUP(A1575,'Model Modeshare by TAZ'!A:A,'Model Modeshare by TAZ'!D:D)</f>
        <v>NO</v>
      </c>
      <c r="D1575" s="6">
        <v>1</v>
      </c>
      <c r="E1575" s="6">
        <v>1550</v>
      </c>
      <c r="F1575" s="6">
        <v>2908</v>
      </c>
      <c r="G1575" s="6">
        <v>2940</v>
      </c>
      <c r="H1575" s="6">
        <v>1970</v>
      </c>
      <c r="I1575" s="6">
        <v>128</v>
      </c>
      <c r="J1575" s="6">
        <v>1422</v>
      </c>
      <c r="K1575" s="40">
        <v>29</v>
      </c>
      <c r="L1575" s="40">
        <v>15</v>
      </c>
      <c r="M1575" s="40">
        <v>1596</v>
      </c>
      <c r="N1575" s="40">
        <v>425</v>
      </c>
      <c r="O1575" s="40">
        <v>1061</v>
      </c>
      <c r="P1575" s="40">
        <v>80</v>
      </c>
      <c r="Q1575" s="40">
        <v>0</v>
      </c>
      <c r="R1575" s="40">
        <v>1</v>
      </c>
      <c r="S1575" s="40">
        <v>28</v>
      </c>
    </row>
    <row r="1576" spans="1:19" x14ac:dyDescent="0.35">
      <c r="A1576" s="38">
        <v>1783</v>
      </c>
      <c r="B1576" s="38" t="str">
        <f>_xlfn.XLOOKUP(A1576,'Model Modeshare by TAZ'!A:A,'Model Modeshare by TAZ'!B:B)</f>
        <v>San Francisco</v>
      </c>
      <c r="C1576" s="38" t="str">
        <f>_xlfn.XLOOKUP(A1576,'Model Modeshare by TAZ'!A:A,'Model Modeshare by TAZ'!D:D)</f>
        <v>NO</v>
      </c>
      <c r="D1576" s="6">
        <v>1</v>
      </c>
      <c r="E1576" s="6">
        <v>2165</v>
      </c>
      <c r="F1576" s="6">
        <v>3959</v>
      </c>
      <c r="G1576" s="6">
        <v>3959</v>
      </c>
      <c r="H1576" s="6">
        <v>2833</v>
      </c>
      <c r="I1576" s="6">
        <v>572</v>
      </c>
      <c r="J1576" s="6">
        <v>1593</v>
      </c>
      <c r="K1576" s="40">
        <v>60</v>
      </c>
      <c r="L1576" s="40">
        <v>2</v>
      </c>
      <c r="M1576" s="40">
        <v>537</v>
      </c>
      <c r="N1576" s="40">
        <v>163</v>
      </c>
      <c r="O1576" s="40">
        <v>305</v>
      </c>
      <c r="P1576" s="40">
        <v>60</v>
      </c>
      <c r="Q1576" s="40">
        <v>0</v>
      </c>
      <c r="R1576" s="40">
        <v>0</v>
      </c>
      <c r="S1576" s="40">
        <v>9</v>
      </c>
    </row>
    <row r="1577" spans="1:19" x14ac:dyDescent="0.35">
      <c r="A1577" s="38">
        <v>1784</v>
      </c>
      <c r="B1577" s="38" t="str">
        <f>_xlfn.XLOOKUP(A1577,'Model Modeshare by TAZ'!A:A,'Model Modeshare by TAZ'!B:B)</f>
        <v>San Francisco</v>
      </c>
      <c r="C1577" s="38" t="str">
        <f>_xlfn.XLOOKUP(A1577,'Model Modeshare by TAZ'!A:A,'Model Modeshare by TAZ'!D:D)</f>
        <v>NO</v>
      </c>
      <c r="D1577" s="6">
        <v>1</v>
      </c>
      <c r="E1577" s="6">
        <v>2422</v>
      </c>
      <c r="F1577" s="6">
        <v>4751</v>
      </c>
      <c r="G1577" s="6">
        <v>4863</v>
      </c>
      <c r="H1577" s="6">
        <v>3778</v>
      </c>
      <c r="I1577" s="6">
        <v>260</v>
      </c>
      <c r="J1577" s="6">
        <v>2162</v>
      </c>
      <c r="K1577" s="40">
        <v>42</v>
      </c>
      <c r="L1577" s="40">
        <v>4</v>
      </c>
      <c r="M1577" s="40">
        <v>531</v>
      </c>
      <c r="N1577" s="40">
        <v>9</v>
      </c>
      <c r="O1577" s="40">
        <v>501</v>
      </c>
      <c r="P1577" s="40">
        <v>7</v>
      </c>
      <c r="Q1577" s="40">
        <v>0</v>
      </c>
      <c r="R1577" s="40">
        <v>5</v>
      </c>
      <c r="S1577" s="40">
        <v>9</v>
      </c>
    </row>
    <row r="1578" spans="1:19" x14ac:dyDescent="0.35">
      <c r="A1578" s="38">
        <v>1785</v>
      </c>
      <c r="B1578" s="38" t="str">
        <f>_xlfn.XLOOKUP(A1578,'Model Modeshare by TAZ'!A:A,'Model Modeshare by TAZ'!B:B)</f>
        <v>San Francisco</v>
      </c>
      <c r="C1578" s="38" t="str">
        <f>_xlfn.XLOOKUP(A1578,'Model Modeshare by TAZ'!A:A,'Model Modeshare by TAZ'!D:D)</f>
        <v>NO</v>
      </c>
      <c r="D1578" s="6">
        <v>1</v>
      </c>
      <c r="E1578" s="6">
        <v>1874</v>
      </c>
      <c r="F1578" s="6">
        <v>4114</v>
      </c>
      <c r="G1578" s="6">
        <v>4320</v>
      </c>
      <c r="H1578" s="6">
        <v>3241</v>
      </c>
      <c r="I1578" s="6">
        <v>89</v>
      </c>
      <c r="J1578" s="6">
        <v>1785</v>
      </c>
      <c r="K1578" s="40">
        <v>26</v>
      </c>
      <c r="L1578" s="40">
        <v>11</v>
      </c>
      <c r="M1578" s="40">
        <v>1263</v>
      </c>
      <c r="N1578" s="40">
        <v>227</v>
      </c>
      <c r="O1578" s="40">
        <v>789</v>
      </c>
      <c r="P1578" s="40">
        <v>236</v>
      </c>
      <c r="Q1578" s="40">
        <v>0</v>
      </c>
      <c r="R1578" s="40">
        <v>1</v>
      </c>
      <c r="S1578" s="40">
        <v>10</v>
      </c>
    </row>
    <row r="1579" spans="1:19" x14ac:dyDescent="0.35">
      <c r="A1579" s="38">
        <v>1786</v>
      </c>
      <c r="B1579" s="38" t="str">
        <f>_xlfn.XLOOKUP(A1579,'Model Modeshare by TAZ'!A:A,'Model Modeshare by TAZ'!B:B)</f>
        <v>San Francisco</v>
      </c>
      <c r="C1579" s="38" t="str">
        <f>_xlfn.XLOOKUP(A1579,'Model Modeshare by TAZ'!A:A,'Model Modeshare by TAZ'!D:D)</f>
        <v>NO</v>
      </c>
      <c r="D1579" s="6">
        <v>1</v>
      </c>
      <c r="E1579" s="6">
        <v>3222</v>
      </c>
      <c r="F1579" s="6">
        <v>7122</v>
      </c>
      <c r="G1579" s="6">
        <v>7287</v>
      </c>
      <c r="H1579" s="6">
        <v>4369</v>
      </c>
      <c r="I1579" s="6">
        <v>226</v>
      </c>
      <c r="J1579" s="6">
        <v>2996</v>
      </c>
      <c r="K1579" s="40">
        <v>51</v>
      </c>
      <c r="L1579" s="40">
        <v>16</v>
      </c>
      <c r="M1579" s="40">
        <v>1542</v>
      </c>
      <c r="N1579" s="40">
        <v>27</v>
      </c>
      <c r="O1579" s="40">
        <v>1429</v>
      </c>
      <c r="P1579" s="40">
        <v>81</v>
      </c>
      <c r="Q1579" s="40">
        <v>1</v>
      </c>
      <c r="R1579" s="40">
        <v>2</v>
      </c>
      <c r="S1579" s="40">
        <v>2</v>
      </c>
    </row>
    <row r="1580" spans="1:19" x14ac:dyDescent="0.35">
      <c r="A1580" s="38">
        <v>1787</v>
      </c>
      <c r="B1580" s="38" t="str">
        <f>_xlfn.XLOOKUP(A1580,'Model Modeshare by TAZ'!A:A,'Model Modeshare by TAZ'!B:B)</f>
        <v>San Francisco</v>
      </c>
      <c r="C1580" s="38" t="str">
        <f>_xlfn.XLOOKUP(A1580,'Model Modeshare by TAZ'!A:A,'Model Modeshare by TAZ'!D:D)</f>
        <v>NO</v>
      </c>
      <c r="D1580" s="6">
        <v>1</v>
      </c>
      <c r="E1580" s="6">
        <v>2383</v>
      </c>
      <c r="F1580" s="6">
        <v>5510</v>
      </c>
      <c r="G1580" s="6">
        <v>5890</v>
      </c>
      <c r="H1580" s="6">
        <v>3609</v>
      </c>
      <c r="I1580" s="6">
        <v>184</v>
      </c>
      <c r="J1580" s="6">
        <v>2199</v>
      </c>
      <c r="K1580" s="40">
        <v>43</v>
      </c>
      <c r="L1580" s="40">
        <v>14</v>
      </c>
      <c r="M1580" s="40">
        <v>1009</v>
      </c>
      <c r="N1580" s="40">
        <v>95</v>
      </c>
      <c r="O1580" s="40">
        <v>813</v>
      </c>
      <c r="P1580" s="40">
        <v>101</v>
      </c>
      <c r="Q1580" s="40">
        <v>0</v>
      </c>
      <c r="R1580" s="40">
        <v>0</v>
      </c>
      <c r="S1580" s="40">
        <v>0</v>
      </c>
    </row>
    <row r="1581" spans="1:19" x14ac:dyDescent="0.35">
      <c r="A1581" s="38">
        <v>1788</v>
      </c>
      <c r="B1581" s="38" t="str">
        <f>_xlfn.XLOOKUP(A1581,'Model Modeshare by TAZ'!A:A,'Model Modeshare by TAZ'!B:B)</f>
        <v>San Francisco</v>
      </c>
      <c r="C1581" s="38" t="str">
        <f>_xlfn.XLOOKUP(A1581,'Model Modeshare by TAZ'!A:A,'Model Modeshare by TAZ'!D:D)</f>
        <v>NO</v>
      </c>
      <c r="D1581" s="6">
        <v>1</v>
      </c>
      <c r="E1581" s="6">
        <v>2525</v>
      </c>
      <c r="F1581" s="6">
        <v>5606</v>
      </c>
      <c r="G1581" s="6">
        <v>5676</v>
      </c>
      <c r="H1581" s="6">
        <v>4376</v>
      </c>
      <c r="I1581" s="6">
        <v>158</v>
      </c>
      <c r="J1581" s="6">
        <v>2367</v>
      </c>
      <c r="K1581" s="40">
        <v>40</v>
      </c>
      <c r="L1581" s="40">
        <v>11</v>
      </c>
      <c r="M1581" s="40">
        <v>2105</v>
      </c>
      <c r="N1581" s="40">
        <v>940</v>
      </c>
      <c r="O1581" s="40">
        <v>1054</v>
      </c>
      <c r="P1581" s="40">
        <v>84</v>
      </c>
      <c r="Q1581" s="40">
        <v>0</v>
      </c>
      <c r="R1581" s="40">
        <v>0</v>
      </c>
      <c r="S1581" s="40">
        <v>28</v>
      </c>
    </row>
    <row r="1582" spans="1:19" x14ac:dyDescent="0.35">
      <c r="A1582" s="38">
        <v>1789</v>
      </c>
      <c r="B1582" s="38" t="str">
        <f>_xlfn.XLOOKUP(A1582,'Model Modeshare by TAZ'!A:A,'Model Modeshare by TAZ'!B:B)</f>
        <v>San Francisco</v>
      </c>
      <c r="C1582" s="38" t="str">
        <f>_xlfn.XLOOKUP(A1582,'Model Modeshare by TAZ'!A:A,'Model Modeshare by TAZ'!D:D)</f>
        <v>NO</v>
      </c>
      <c r="D1582" s="6">
        <v>1</v>
      </c>
      <c r="E1582" s="6">
        <v>3416</v>
      </c>
      <c r="F1582" s="6">
        <v>7387</v>
      </c>
      <c r="G1582" s="6">
        <v>7511</v>
      </c>
      <c r="H1582" s="6">
        <v>5059</v>
      </c>
      <c r="I1582" s="6">
        <v>639</v>
      </c>
      <c r="J1582" s="6">
        <v>2777</v>
      </c>
      <c r="K1582" s="40">
        <v>89</v>
      </c>
      <c r="L1582" s="40">
        <v>5</v>
      </c>
      <c r="M1582" s="40">
        <v>989</v>
      </c>
      <c r="N1582" s="40">
        <v>359</v>
      </c>
      <c r="O1582" s="40">
        <v>535</v>
      </c>
      <c r="P1582" s="40">
        <v>49</v>
      </c>
      <c r="Q1582" s="40">
        <v>0</v>
      </c>
      <c r="R1582" s="40">
        <v>26</v>
      </c>
      <c r="S1582" s="40">
        <v>20</v>
      </c>
    </row>
    <row r="1583" spans="1:19" x14ac:dyDescent="0.35">
      <c r="A1583" s="38">
        <v>1790</v>
      </c>
      <c r="B1583" s="38" t="str">
        <f>_xlfn.XLOOKUP(A1583,'Model Modeshare by TAZ'!A:A,'Model Modeshare by TAZ'!B:B)</f>
        <v>San Francisco</v>
      </c>
      <c r="C1583" s="38" t="str">
        <f>_xlfn.XLOOKUP(A1583,'Model Modeshare by TAZ'!A:A,'Model Modeshare by TAZ'!D:D)</f>
        <v>NO</v>
      </c>
      <c r="D1583" s="6">
        <v>1</v>
      </c>
      <c r="E1583" s="6">
        <v>2113</v>
      </c>
      <c r="F1583" s="6">
        <v>4730</v>
      </c>
      <c r="G1583" s="6">
        <v>4933</v>
      </c>
      <c r="H1583" s="6">
        <v>3221</v>
      </c>
      <c r="I1583" s="6">
        <v>283</v>
      </c>
      <c r="J1583" s="6">
        <v>1830</v>
      </c>
      <c r="K1583" s="40">
        <v>42</v>
      </c>
      <c r="L1583" s="40">
        <v>9</v>
      </c>
      <c r="M1583" s="40">
        <v>31163</v>
      </c>
      <c r="N1583" s="40">
        <v>299</v>
      </c>
      <c r="O1583" s="40">
        <v>23679</v>
      </c>
      <c r="P1583" s="40">
        <v>6081</v>
      </c>
      <c r="Q1583" s="40">
        <v>5</v>
      </c>
      <c r="R1583" s="40">
        <v>485</v>
      </c>
      <c r="S1583" s="40">
        <v>613</v>
      </c>
    </row>
    <row r="1584" spans="1:19" x14ac:dyDescent="0.35">
      <c r="A1584" s="38">
        <v>1791</v>
      </c>
      <c r="B1584" s="38" t="str">
        <f>_xlfn.XLOOKUP(A1584,'Model Modeshare by TAZ'!A:A,'Model Modeshare by TAZ'!B:B)</f>
        <v>San Francisco</v>
      </c>
      <c r="C1584" s="38" t="str">
        <f>_xlfn.XLOOKUP(A1584,'Model Modeshare by TAZ'!A:A,'Model Modeshare by TAZ'!D:D)</f>
        <v>NO</v>
      </c>
      <c r="D1584" s="6">
        <v>1</v>
      </c>
      <c r="E1584" s="6">
        <v>2242</v>
      </c>
      <c r="F1584" s="6">
        <v>4609</v>
      </c>
      <c r="G1584" s="6">
        <v>5073</v>
      </c>
      <c r="H1584" s="6">
        <v>2918</v>
      </c>
      <c r="I1584" s="6">
        <v>940</v>
      </c>
      <c r="J1584" s="6">
        <v>1302</v>
      </c>
      <c r="K1584" s="40">
        <v>91</v>
      </c>
      <c r="L1584" s="40">
        <v>100</v>
      </c>
      <c r="M1584" s="40">
        <v>285</v>
      </c>
      <c r="N1584" s="40">
        <v>2</v>
      </c>
      <c r="O1584" s="40">
        <v>252</v>
      </c>
      <c r="P1584" s="40">
        <v>32</v>
      </c>
      <c r="Q1584" s="40">
        <v>0</v>
      </c>
      <c r="R1584" s="40">
        <v>0</v>
      </c>
      <c r="S1584" s="40">
        <v>0</v>
      </c>
    </row>
    <row r="1585" spans="1:19" x14ac:dyDescent="0.35">
      <c r="A1585" s="38">
        <v>1792</v>
      </c>
      <c r="B1585" s="38" t="str">
        <f>_xlfn.XLOOKUP(A1585,'Model Modeshare by TAZ'!A:A,'Model Modeshare by TAZ'!B:B)</f>
        <v>San Francisco</v>
      </c>
      <c r="C1585" s="38" t="str">
        <f>_xlfn.XLOOKUP(A1585,'Model Modeshare by TAZ'!A:A,'Model Modeshare by TAZ'!D:D)</f>
        <v>NO</v>
      </c>
      <c r="D1585" s="6">
        <v>1</v>
      </c>
      <c r="E1585" s="6">
        <v>1040</v>
      </c>
      <c r="F1585" s="6">
        <v>2404</v>
      </c>
      <c r="G1585" s="6">
        <v>2950</v>
      </c>
      <c r="H1585" s="6">
        <v>1176</v>
      </c>
      <c r="I1585" s="6">
        <v>899</v>
      </c>
      <c r="J1585" s="6">
        <v>141</v>
      </c>
      <c r="K1585" s="40">
        <v>83</v>
      </c>
      <c r="L1585" s="40">
        <v>75</v>
      </c>
      <c r="M1585" s="40">
        <v>1177</v>
      </c>
      <c r="N1585" s="40">
        <v>28</v>
      </c>
      <c r="O1585" s="40">
        <v>1077</v>
      </c>
      <c r="P1585" s="40">
        <v>56</v>
      </c>
      <c r="Q1585" s="40">
        <v>0</v>
      </c>
      <c r="R1585" s="40">
        <v>0</v>
      </c>
      <c r="S1585" s="40">
        <v>16</v>
      </c>
    </row>
    <row r="1586" spans="1:19" x14ac:dyDescent="0.35">
      <c r="A1586" s="38">
        <v>1793</v>
      </c>
      <c r="B1586" s="38" t="str">
        <f>_xlfn.XLOOKUP(A1586,'Model Modeshare by TAZ'!A:A,'Model Modeshare by TAZ'!B:B)</f>
        <v>San Francisco</v>
      </c>
      <c r="C1586" s="38" t="str">
        <f>_xlfn.XLOOKUP(A1586,'Model Modeshare by TAZ'!A:A,'Model Modeshare by TAZ'!D:D)</f>
        <v>NO</v>
      </c>
      <c r="D1586" s="6">
        <v>1</v>
      </c>
      <c r="E1586" s="6">
        <v>4096</v>
      </c>
      <c r="F1586" s="6">
        <v>7579</v>
      </c>
      <c r="G1586" s="6">
        <v>7579</v>
      </c>
      <c r="H1586" s="6">
        <v>5275</v>
      </c>
      <c r="I1586" s="6">
        <v>1042</v>
      </c>
      <c r="J1586" s="6">
        <v>3054</v>
      </c>
      <c r="K1586" s="40">
        <v>109</v>
      </c>
      <c r="L1586" s="40">
        <v>1</v>
      </c>
      <c r="M1586" s="40">
        <v>401</v>
      </c>
      <c r="N1586" s="40">
        <v>26</v>
      </c>
      <c r="O1586" s="40">
        <v>333</v>
      </c>
      <c r="P1586" s="40">
        <v>39</v>
      </c>
      <c r="Q1586" s="40">
        <v>0</v>
      </c>
      <c r="R1586" s="40">
        <v>1</v>
      </c>
      <c r="S1586" s="40">
        <v>1</v>
      </c>
    </row>
    <row r="1587" spans="1:19" x14ac:dyDescent="0.35">
      <c r="A1587" s="38">
        <v>1794</v>
      </c>
      <c r="B1587" s="38" t="str">
        <f>_xlfn.XLOOKUP(A1587,'Model Modeshare by TAZ'!A:A,'Model Modeshare by TAZ'!B:B)</f>
        <v>San Francisco</v>
      </c>
      <c r="C1587" s="38" t="str">
        <f>_xlfn.XLOOKUP(A1587,'Model Modeshare by TAZ'!A:A,'Model Modeshare by TAZ'!D:D)</f>
        <v>NO</v>
      </c>
      <c r="D1587" s="6">
        <v>1</v>
      </c>
      <c r="E1587" s="6">
        <v>1401</v>
      </c>
      <c r="F1587" s="6">
        <v>2854</v>
      </c>
      <c r="G1587" s="6">
        <v>2890</v>
      </c>
      <c r="H1587" s="6">
        <v>2052</v>
      </c>
      <c r="I1587" s="6">
        <v>300</v>
      </c>
      <c r="J1587" s="6">
        <v>1101</v>
      </c>
      <c r="K1587" s="40">
        <v>36</v>
      </c>
      <c r="L1587" s="40">
        <v>5</v>
      </c>
      <c r="M1587" s="40">
        <v>1110</v>
      </c>
      <c r="N1587" s="40">
        <v>825</v>
      </c>
      <c r="O1587" s="40">
        <v>154</v>
      </c>
      <c r="P1587" s="40">
        <v>126</v>
      </c>
      <c r="Q1587" s="40">
        <v>0</v>
      </c>
      <c r="R1587" s="40">
        <v>2</v>
      </c>
      <c r="S1587" s="40">
        <v>3</v>
      </c>
    </row>
    <row r="1588" spans="1:19" x14ac:dyDescent="0.35">
      <c r="A1588" s="38">
        <v>1795</v>
      </c>
      <c r="B1588" s="38" t="str">
        <f>_xlfn.XLOOKUP(A1588,'Model Modeshare by TAZ'!A:A,'Model Modeshare by TAZ'!B:B)</f>
        <v>San Francisco</v>
      </c>
      <c r="C1588" s="38" t="str">
        <f>_xlfn.XLOOKUP(A1588,'Model Modeshare by TAZ'!A:A,'Model Modeshare by TAZ'!D:D)</f>
        <v>NO</v>
      </c>
      <c r="D1588" s="6">
        <v>1</v>
      </c>
      <c r="E1588" s="6">
        <v>1421</v>
      </c>
      <c r="F1588" s="6">
        <v>3078</v>
      </c>
      <c r="G1588" s="6">
        <v>3098</v>
      </c>
      <c r="H1588" s="6">
        <v>1909</v>
      </c>
      <c r="I1588" s="6">
        <v>641</v>
      </c>
      <c r="J1588" s="6">
        <v>780</v>
      </c>
      <c r="K1588" s="40">
        <v>51</v>
      </c>
      <c r="L1588" s="40">
        <v>3</v>
      </c>
      <c r="M1588" s="40">
        <v>417</v>
      </c>
      <c r="N1588" s="40">
        <v>328</v>
      </c>
      <c r="O1588" s="40">
        <v>59</v>
      </c>
      <c r="P1588" s="40">
        <v>10</v>
      </c>
      <c r="Q1588" s="40">
        <v>0</v>
      </c>
      <c r="R1588" s="40">
        <v>8</v>
      </c>
      <c r="S1588" s="40">
        <v>12</v>
      </c>
    </row>
    <row r="1589" spans="1:19" x14ac:dyDescent="0.35">
      <c r="A1589" s="38">
        <v>1796</v>
      </c>
      <c r="B1589" s="38" t="str">
        <f>_xlfn.XLOOKUP(A1589,'Model Modeshare by TAZ'!A:A,'Model Modeshare by TAZ'!B:B)</f>
        <v>San Francisco</v>
      </c>
      <c r="C1589" s="38" t="str">
        <f>_xlfn.XLOOKUP(A1589,'Model Modeshare by TAZ'!A:A,'Model Modeshare by TAZ'!D:D)</f>
        <v>NO</v>
      </c>
      <c r="D1589" s="6">
        <v>1</v>
      </c>
      <c r="E1589" s="6">
        <v>1227</v>
      </c>
      <c r="F1589" s="6">
        <v>2714</v>
      </c>
      <c r="G1589" s="6">
        <v>2714</v>
      </c>
      <c r="H1589" s="6">
        <v>1683</v>
      </c>
      <c r="I1589" s="6">
        <v>563</v>
      </c>
      <c r="J1589" s="6">
        <v>664</v>
      </c>
      <c r="K1589" s="40">
        <v>44</v>
      </c>
      <c r="L1589" s="40">
        <v>1</v>
      </c>
      <c r="M1589" s="40">
        <v>309</v>
      </c>
      <c r="N1589" s="40">
        <v>125</v>
      </c>
      <c r="O1589" s="40">
        <v>129</v>
      </c>
      <c r="P1589" s="40">
        <v>49</v>
      </c>
      <c r="Q1589" s="40">
        <v>0</v>
      </c>
      <c r="R1589" s="40">
        <v>3</v>
      </c>
      <c r="S1589" s="40">
        <v>3</v>
      </c>
    </row>
    <row r="1590" spans="1:19" x14ac:dyDescent="0.35">
      <c r="A1590" s="38">
        <v>1797</v>
      </c>
      <c r="B1590" s="38" t="str">
        <f>_xlfn.XLOOKUP(A1590,'Model Modeshare by TAZ'!A:A,'Model Modeshare by TAZ'!B:B)</f>
        <v>San Francisco</v>
      </c>
      <c r="C1590" s="38" t="str">
        <f>_xlfn.XLOOKUP(A1590,'Model Modeshare by TAZ'!A:A,'Model Modeshare by TAZ'!D:D)</f>
        <v>NO</v>
      </c>
      <c r="D1590" s="6">
        <v>1</v>
      </c>
      <c r="E1590" s="6">
        <v>1666</v>
      </c>
      <c r="F1590" s="6">
        <v>3736</v>
      </c>
      <c r="G1590" s="6">
        <v>3736</v>
      </c>
      <c r="H1590" s="6">
        <v>2434</v>
      </c>
      <c r="I1590" s="6">
        <v>473</v>
      </c>
      <c r="J1590" s="6">
        <v>1193</v>
      </c>
      <c r="K1590" s="40">
        <v>47</v>
      </c>
      <c r="L1590" s="40">
        <v>5</v>
      </c>
      <c r="M1590" s="40">
        <v>743</v>
      </c>
      <c r="N1590" s="40">
        <v>547</v>
      </c>
      <c r="O1590" s="40">
        <v>139</v>
      </c>
      <c r="P1590" s="40">
        <v>48</v>
      </c>
      <c r="Q1590" s="40">
        <v>2</v>
      </c>
      <c r="R1590" s="40">
        <v>2</v>
      </c>
      <c r="S1590" s="40">
        <v>5</v>
      </c>
    </row>
    <row r="1591" spans="1:19" x14ac:dyDescent="0.35">
      <c r="A1591" s="38">
        <v>1798</v>
      </c>
      <c r="B1591" s="38" t="str">
        <f>_xlfn.XLOOKUP(A1591,'Model Modeshare by TAZ'!A:A,'Model Modeshare by TAZ'!B:B)</f>
        <v>San Francisco</v>
      </c>
      <c r="C1591" s="38" t="str">
        <f>_xlfn.XLOOKUP(A1591,'Model Modeshare by TAZ'!A:A,'Model Modeshare by TAZ'!D:D)</f>
        <v>NO</v>
      </c>
      <c r="D1591" s="6">
        <v>1</v>
      </c>
      <c r="E1591" s="6">
        <v>1919</v>
      </c>
      <c r="F1591" s="6">
        <v>4180</v>
      </c>
      <c r="G1591" s="6">
        <v>4180</v>
      </c>
      <c r="H1591" s="6">
        <v>2628</v>
      </c>
      <c r="I1591" s="6">
        <v>546</v>
      </c>
      <c r="J1591" s="6">
        <v>1373</v>
      </c>
      <c r="K1591" s="40">
        <v>60</v>
      </c>
      <c r="L1591" s="40">
        <v>5</v>
      </c>
      <c r="M1591" s="40">
        <v>861</v>
      </c>
      <c r="N1591" s="40">
        <v>474</v>
      </c>
      <c r="O1591" s="40">
        <v>204</v>
      </c>
      <c r="P1591" s="40">
        <v>172</v>
      </c>
      <c r="Q1591" s="40">
        <v>0</v>
      </c>
      <c r="R1591" s="40">
        <v>2</v>
      </c>
      <c r="S1591" s="40">
        <v>9</v>
      </c>
    </row>
    <row r="1592" spans="1:19" x14ac:dyDescent="0.35">
      <c r="A1592" s="38">
        <v>1799</v>
      </c>
      <c r="B1592" s="38" t="str">
        <f>_xlfn.XLOOKUP(A1592,'Model Modeshare by TAZ'!A:A,'Model Modeshare by TAZ'!B:B)</f>
        <v>San Francisco</v>
      </c>
      <c r="C1592" s="38" t="str">
        <f>_xlfn.XLOOKUP(A1592,'Model Modeshare by TAZ'!A:A,'Model Modeshare by TAZ'!D:D)</f>
        <v>NO</v>
      </c>
      <c r="D1592" s="6">
        <v>1</v>
      </c>
      <c r="E1592" s="6">
        <v>2165</v>
      </c>
      <c r="F1592" s="6">
        <v>4445</v>
      </c>
      <c r="G1592" s="6">
        <v>4618</v>
      </c>
      <c r="H1592" s="6">
        <v>3256</v>
      </c>
      <c r="I1592" s="6">
        <v>208</v>
      </c>
      <c r="J1592" s="6">
        <v>1957</v>
      </c>
      <c r="K1592" s="40">
        <v>38</v>
      </c>
      <c r="L1592" s="40">
        <v>4</v>
      </c>
      <c r="M1592" s="40">
        <v>757</v>
      </c>
      <c r="N1592" s="40">
        <v>153</v>
      </c>
      <c r="O1592" s="40">
        <v>229</v>
      </c>
      <c r="P1592" s="40">
        <v>359</v>
      </c>
      <c r="Q1592" s="40">
        <v>0</v>
      </c>
      <c r="R1592" s="40">
        <v>1</v>
      </c>
      <c r="S1592" s="40">
        <v>15</v>
      </c>
    </row>
    <row r="1593" spans="1:19" x14ac:dyDescent="0.35">
      <c r="A1593" s="38">
        <v>1800</v>
      </c>
      <c r="B1593" s="38" t="str">
        <f>_xlfn.XLOOKUP(A1593,'Model Modeshare by TAZ'!A:A,'Model Modeshare by TAZ'!B:B)</f>
        <v>San Francisco</v>
      </c>
      <c r="C1593" s="38" t="str">
        <f>_xlfn.XLOOKUP(A1593,'Model Modeshare by TAZ'!A:A,'Model Modeshare by TAZ'!D:D)</f>
        <v>NO</v>
      </c>
      <c r="D1593" s="6">
        <v>1</v>
      </c>
      <c r="E1593" s="6">
        <v>1894</v>
      </c>
      <c r="F1593" s="6">
        <v>4842</v>
      </c>
      <c r="G1593" s="6">
        <v>4927</v>
      </c>
      <c r="H1593" s="6">
        <v>3173</v>
      </c>
      <c r="I1593" s="6">
        <v>110</v>
      </c>
      <c r="J1593" s="6">
        <v>1784</v>
      </c>
      <c r="K1593" s="40">
        <v>27</v>
      </c>
      <c r="L1593" s="40">
        <v>19</v>
      </c>
      <c r="M1593" s="40">
        <v>3118</v>
      </c>
      <c r="N1593" s="40">
        <v>1440</v>
      </c>
      <c r="O1593" s="40">
        <v>839</v>
      </c>
      <c r="P1593" s="40">
        <v>778</v>
      </c>
      <c r="Q1593" s="40">
        <v>0</v>
      </c>
      <c r="R1593" s="40">
        <v>39</v>
      </c>
      <c r="S1593" s="40">
        <v>22</v>
      </c>
    </row>
    <row r="1594" spans="1:19" x14ac:dyDescent="0.35">
      <c r="A1594" s="38">
        <v>1801</v>
      </c>
      <c r="B1594" s="38" t="str">
        <f>_xlfn.XLOOKUP(A1594,'Model Modeshare by TAZ'!A:A,'Model Modeshare by TAZ'!B:B)</f>
        <v>San Francisco</v>
      </c>
      <c r="C1594" s="38" t="str">
        <f>_xlfn.XLOOKUP(A1594,'Model Modeshare by TAZ'!A:A,'Model Modeshare by TAZ'!D:D)</f>
        <v>NO</v>
      </c>
      <c r="D1594" s="6">
        <v>1</v>
      </c>
      <c r="E1594" s="6">
        <v>2846</v>
      </c>
      <c r="F1594" s="6">
        <v>6122</v>
      </c>
      <c r="G1594" s="6">
        <v>6292</v>
      </c>
      <c r="H1594" s="6">
        <v>4287</v>
      </c>
      <c r="I1594" s="6">
        <v>188</v>
      </c>
      <c r="J1594" s="6">
        <v>2658</v>
      </c>
      <c r="K1594" s="40">
        <v>33</v>
      </c>
      <c r="L1594" s="40">
        <v>19</v>
      </c>
      <c r="M1594" s="40">
        <v>2783</v>
      </c>
      <c r="N1594" s="40">
        <v>1028</v>
      </c>
      <c r="O1594" s="40">
        <v>1085</v>
      </c>
      <c r="P1594" s="40">
        <v>413</v>
      </c>
      <c r="Q1594" s="40">
        <v>0</v>
      </c>
      <c r="R1594" s="40">
        <v>215</v>
      </c>
      <c r="S1594" s="40">
        <v>41</v>
      </c>
    </row>
    <row r="1595" spans="1:19" x14ac:dyDescent="0.35">
      <c r="A1595" s="38">
        <v>1802</v>
      </c>
      <c r="B1595" s="38" t="str">
        <f>_xlfn.XLOOKUP(A1595,'Model Modeshare by TAZ'!A:A,'Model Modeshare by TAZ'!B:B)</f>
        <v>San Francisco</v>
      </c>
      <c r="C1595" s="38" t="str">
        <f>_xlfn.XLOOKUP(A1595,'Model Modeshare by TAZ'!A:A,'Model Modeshare by TAZ'!D:D)</f>
        <v>NO</v>
      </c>
      <c r="D1595" s="6">
        <v>1</v>
      </c>
      <c r="E1595" s="6">
        <v>2656</v>
      </c>
      <c r="F1595" s="6">
        <v>5111</v>
      </c>
      <c r="G1595" s="6">
        <v>5169</v>
      </c>
      <c r="H1595" s="6">
        <v>4062</v>
      </c>
      <c r="I1595" s="6">
        <v>215</v>
      </c>
      <c r="J1595" s="6">
        <v>2441</v>
      </c>
      <c r="K1595" s="40">
        <v>45</v>
      </c>
      <c r="L1595" s="40">
        <v>3</v>
      </c>
      <c r="M1595" s="40">
        <v>1303</v>
      </c>
      <c r="N1595" s="40">
        <v>577</v>
      </c>
      <c r="O1595" s="40">
        <v>519</v>
      </c>
      <c r="P1595" s="40">
        <v>153</v>
      </c>
      <c r="Q1595" s="40">
        <v>3</v>
      </c>
      <c r="R1595" s="40">
        <v>42</v>
      </c>
      <c r="S1595" s="40">
        <v>9</v>
      </c>
    </row>
    <row r="1596" spans="1:19" x14ac:dyDescent="0.35">
      <c r="A1596" s="38">
        <v>1803</v>
      </c>
      <c r="B1596" s="38" t="str">
        <f>_xlfn.XLOOKUP(A1596,'Model Modeshare by TAZ'!A:A,'Model Modeshare by TAZ'!B:B)</f>
        <v>San Francisco</v>
      </c>
      <c r="C1596" s="38" t="str">
        <f>_xlfn.XLOOKUP(A1596,'Model Modeshare by TAZ'!A:A,'Model Modeshare by TAZ'!D:D)</f>
        <v>NO</v>
      </c>
      <c r="D1596" s="6">
        <v>1</v>
      </c>
      <c r="E1596" s="6">
        <v>2729</v>
      </c>
      <c r="F1596" s="6">
        <v>5047</v>
      </c>
      <c r="G1596" s="6">
        <v>5052</v>
      </c>
      <c r="H1596" s="6">
        <v>3307</v>
      </c>
      <c r="I1596" s="6">
        <v>645</v>
      </c>
      <c r="J1596" s="6">
        <v>2084</v>
      </c>
      <c r="K1596" s="40">
        <v>67</v>
      </c>
      <c r="L1596" s="40">
        <v>8</v>
      </c>
      <c r="M1596" s="40">
        <v>982</v>
      </c>
      <c r="N1596" s="40">
        <v>766</v>
      </c>
      <c r="O1596" s="40">
        <v>117</v>
      </c>
      <c r="P1596" s="40">
        <v>92</v>
      </c>
      <c r="Q1596" s="40">
        <v>0</v>
      </c>
      <c r="R1596" s="40">
        <v>2</v>
      </c>
      <c r="S1596" s="40">
        <v>4</v>
      </c>
    </row>
    <row r="1597" spans="1:19" x14ac:dyDescent="0.35">
      <c r="A1597" s="38">
        <v>1804</v>
      </c>
      <c r="B1597" s="38" t="str">
        <f>_xlfn.XLOOKUP(A1597,'Model Modeshare by TAZ'!A:A,'Model Modeshare by TAZ'!B:B)</f>
        <v>San Francisco</v>
      </c>
      <c r="C1597" s="38" t="str">
        <f>_xlfn.XLOOKUP(A1597,'Model Modeshare by TAZ'!A:A,'Model Modeshare by TAZ'!D:D)</f>
        <v>NO</v>
      </c>
      <c r="D1597" s="6">
        <v>1</v>
      </c>
      <c r="E1597" s="6">
        <v>1720</v>
      </c>
      <c r="F1597" s="6">
        <v>3110</v>
      </c>
      <c r="G1597" s="6">
        <v>3128</v>
      </c>
      <c r="H1597" s="6">
        <v>2221</v>
      </c>
      <c r="I1597" s="6">
        <v>98</v>
      </c>
      <c r="J1597" s="6">
        <v>1622</v>
      </c>
      <c r="K1597" s="40">
        <v>25</v>
      </c>
      <c r="L1597" s="40">
        <v>13</v>
      </c>
      <c r="M1597" s="40">
        <v>1766</v>
      </c>
      <c r="N1597" s="40">
        <v>560</v>
      </c>
      <c r="O1597" s="40">
        <v>1043</v>
      </c>
      <c r="P1597" s="40">
        <v>101</v>
      </c>
      <c r="Q1597" s="40">
        <v>0</v>
      </c>
      <c r="R1597" s="40">
        <v>4</v>
      </c>
      <c r="S1597" s="40">
        <v>58</v>
      </c>
    </row>
    <row r="1598" spans="1:19" x14ac:dyDescent="0.35">
      <c r="A1598" s="38">
        <v>1805</v>
      </c>
      <c r="B1598" s="38" t="str">
        <f>_xlfn.XLOOKUP(A1598,'Model Modeshare by TAZ'!A:A,'Model Modeshare by TAZ'!B:B)</f>
        <v>San Francisco</v>
      </c>
      <c r="C1598" s="38" t="str">
        <f>_xlfn.XLOOKUP(A1598,'Model Modeshare by TAZ'!A:A,'Model Modeshare by TAZ'!D:D)</f>
        <v>NO</v>
      </c>
      <c r="D1598" s="6">
        <v>1</v>
      </c>
      <c r="E1598" s="6">
        <v>3189</v>
      </c>
      <c r="F1598" s="6">
        <v>5946</v>
      </c>
      <c r="G1598" s="6">
        <v>6013</v>
      </c>
      <c r="H1598" s="6">
        <v>3608</v>
      </c>
      <c r="I1598" s="6">
        <v>80</v>
      </c>
      <c r="J1598" s="6">
        <v>3109</v>
      </c>
      <c r="K1598" s="40">
        <v>34</v>
      </c>
      <c r="L1598" s="40">
        <v>10</v>
      </c>
      <c r="M1598" s="40">
        <v>1497</v>
      </c>
      <c r="N1598" s="40">
        <v>267</v>
      </c>
      <c r="O1598" s="40">
        <v>1066</v>
      </c>
      <c r="P1598" s="40">
        <v>129</v>
      </c>
      <c r="Q1598" s="40">
        <v>0</v>
      </c>
      <c r="R1598" s="40">
        <v>27</v>
      </c>
      <c r="S1598" s="40">
        <v>8</v>
      </c>
    </row>
    <row r="1599" spans="1:19" x14ac:dyDescent="0.35">
      <c r="A1599" s="38">
        <v>1806</v>
      </c>
      <c r="B1599" s="38" t="str">
        <f>_xlfn.XLOOKUP(A1599,'Model Modeshare by TAZ'!A:A,'Model Modeshare by TAZ'!B:B)</f>
        <v>San Francisco</v>
      </c>
      <c r="C1599" s="38" t="str">
        <f>_xlfn.XLOOKUP(A1599,'Model Modeshare by TAZ'!A:A,'Model Modeshare by TAZ'!D:D)</f>
        <v>NO</v>
      </c>
      <c r="D1599" s="6">
        <v>1</v>
      </c>
      <c r="E1599" s="6">
        <v>3115</v>
      </c>
      <c r="F1599" s="6">
        <v>5742</v>
      </c>
      <c r="G1599" s="6">
        <v>5959</v>
      </c>
      <c r="H1599" s="6">
        <v>3417</v>
      </c>
      <c r="I1599" s="6">
        <v>129</v>
      </c>
      <c r="J1599" s="6">
        <v>2986</v>
      </c>
      <c r="K1599" s="40">
        <v>22</v>
      </c>
      <c r="L1599" s="40">
        <v>38</v>
      </c>
      <c r="M1599" s="40">
        <v>5202</v>
      </c>
      <c r="N1599" s="40">
        <v>492</v>
      </c>
      <c r="O1599" s="40">
        <v>3173</v>
      </c>
      <c r="P1599" s="40">
        <v>1116</v>
      </c>
      <c r="Q1599" s="40">
        <v>1</v>
      </c>
      <c r="R1599" s="40">
        <v>344</v>
      </c>
      <c r="S1599" s="40">
        <v>77</v>
      </c>
    </row>
    <row r="1600" spans="1:19" x14ac:dyDescent="0.35">
      <c r="A1600" s="38">
        <v>1807</v>
      </c>
      <c r="B1600" s="38" t="str">
        <f>_xlfn.XLOOKUP(A1600,'Model Modeshare by TAZ'!A:A,'Model Modeshare by TAZ'!B:B)</f>
        <v>San Francisco</v>
      </c>
      <c r="C1600" s="38" t="str">
        <f>_xlfn.XLOOKUP(A1600,'Model Modeshare by TAZ'!A:A,'Model Modeshare by TAZ'!D:D)</f>
        <v>NO</v>
      </c>
      <c r="D1600" s="6">
        <v>1</v>
      </c>
      <c r="E1600" s="6">
        <v>758</v>
      </c>
      <c r="F1600" s="6">
        <v>1762</v>
      </c>
      <c r="G1600" s="6">
        <v>1791</v>
      </c>
      <c r="H1600" s="6">
        <v>1107</v>
      </c>
      <c r="I1600" s="6">
        <v>64</v>
      </c>
      <c r="J1600" s="6">
        <v>694</v>
      </c>
      <c r="K1600" s="40">
        <v>10</v>
      </c>
      <c r="L1600" s="40">
        <v>106</v>
      </c>
      <c r="M1600" s="40">
        <v>13422</v>
      </c>
      <c r="N1600" s="40">
        <v>943</v>
      </c>
      <c r="O1600" s="40">
        <v>4012</v>
      </c>
      <c r="P1600" s="40">
        <v>5393</v>
      </c>
      <c r="Q1600" s="40">
        <v>5</v>
      </c>
      <c r="R1600" s="40">
        <v>2132</v>
      </c>
      <c r="S1600" s="40">
        <v>937</v>
      </c>
    </row>
    <row r="1601" spans="1:19" x14ac:dyDescent="0.35">
      <c r="A1601" s="38">
        <v>1808</v>
      </c>
      <c r="B1601" s="38" t="str">
        <f>_xlfn.XLOOKUP(A1601,'Model Modeshare by TAZ'!A:A,'Model Modeshare by TAZ'!B:B)</f>
        <v>San Francisco</v>
      </c>
      <c r="C1601" s="38" t="str">
        <f>_xlfn.XLOOKUP(A1601,'Model Modeshare by TAZ'!A:A,'Model Modeshare by TAZ'!D:D)</f>
        <v>NO</v>
      </c>
      <c r="D1601" s="6">
        <v>1</v>
      </c>
      <c r="E1601" s="6">
        <v>448</v>
      </c>
      <c r="F1601" s="6">
        <v>832</v>
      </c>
      <c r="G1601" s="6">
        <v>854</v>
      </c>
      <c r="H1601" s="6">
        <v>619</v>
      </c>
      <c r="I1601" s="6">
        <v>2</v>
      </c>
      <c r="J1601" s="6">
        <v>446</v>
      </c>
      <c r="K1601" s="40">
        <v>7</v>
      </c>
      <c r="L1601" s="40">
        <v>103</v>
      </c>
      <c r="M1601" s="40">
        <v>4744</v>
      </c>
      <c r="N1601" s="40">
        <v>549</v>
      </c>
      <c r="O1601" s="40">
        <v>1996</v>
      </c>
      <c r="P1601" s="40">
        <v>1393</v>
      </c>
      <c r="Q1601" s="40">
        <v>0</v>
      </c>
      <c r="R1601" s="40">
        <v>337</v>
      </c>
      <c r="S1601" s="40">
        <v>469</v>
      </c>
    </row>
    <row r="1602" spans="1:19" x14ac:dyDescent="0.35">
      <c r="A1602" s="38">
        <v>1809</v>
      </c>
      <c r="B1602" s="38" t="str">
        <f>_xlfn.XLOOKUP(A1602,'Model Modeshare by TAZ'!A:A,'Model Modeshare by TAZ'!B:B)</f>
        <v>San Francisco</v>
      </c>
      <c r="C1602" s="38" t="str">
        <f>_xlfn.XLOOKUP(A1602,'Model Modeshare by TAZ'!A:A,'Model Modeshare by TAZ'!D:D)</f>
        <v>NO</v>
      </c>
      <c r="D1602" s="6">
        <v>1</v>
      </c>
      <c r="E1602" s="6">
        <v>3613</v>
      </c>
      <c r="F1602" s="6">
        <v>7166</v>
      </c>
      <c r="G1602" s="6">
        <v>7363</v>
      </c>
      <c r="H1602" s="6">
        <v>4881</v>
      </c>
      <c r="I1602" s="6">
        <v>11</v>
      </c>
      <c r="J1602" s="6">
        <v>3602</v>
      </c>
      <c r="K1602" s="40">
        <v>24</v>
      </c>
      <c r="L1602" s="40">
        <v>135</v>
      </c>
      <c r="M1602" s="40">
        <v>5966</v>
      </c>
      <c r="N1602" s="40">
        <v>691</v>
      </c>
      <c r="O1602" s="40">
        <v>2510</v>
      </c>
      <c r="P1602" s="40">
        <v>1752</v>
      </c>
      <c r="Q1602" s="40">
        <v>0</v>
      </c>
      <c r="R1602" s="40">
        <v>424</v>
      </c>
      <c r="S1602" s="40">
        <v>590</v>
      </c>
    </row>
    <row r="1603" spans="1:19" x14ac:dyDescent="0.35">
      <c r="A1603" s="38">
        <v>1810</v>
      </c>
      <c r="B1603" s="38" t="str">
        <f>_xlfn.XLOOKUP(A1603,'Model Modeshare by TAZ'!A:A,'Model Modeshare by TAZ'!B:B)</f>
        <v>San Francisco</v>
      </c>
      <c r="C1603" s="38" t="str">
        <f>_xlfn.XLOOKUP(A1603,'Model Modeshare by TAZ'!A:A,'Model Modeshare by TAZ'!D:D)</f>
        <v>NO</v>
      </c>
      <c r="D1603" s="6">
        <v>1</v>
      </c>
      <c r="E1603" s="6">
        <v>1125</v>
      </c>
      <c r="F1603" s="6">
        <v>2242</v>
      </c>
      <c r="G1603" s="6">
        <v>2312</v>
      </c>
      <c r="H1603" s="6">
        <v>1571</v>
      </c>
      <c r="I1603" s="6">
        <v>3</v>
      </c>
      <c r="J1603" s="6">
        <v>1122</v>
      </c>
      <c r="K1603" s="40">
        <v>11</v>
      </c>
      <c r="L1603" s="40">
        <v>34</v>
      </c>
      <c r="M1603" s="40">
        <v>3242</v>
      </c>
      <c r="N1603" s="40">
        <v>377</v>
      </c>
      <c r="O1603" s="40">
        <v>1363</v>
      </c>
      <c r="P1603" s="40">
        <v>952</v>
      </c>
      <c r="Q1603" s="40">
        <v>0</v>
      </c>
      <c r="R1603" s="40">
        <v>230</v>
      </c>
      <c r="S1603" s="40">
        <v>320</v>
      </c>
    </row>
    <row r="1604" spans="1:19" x14ac:dyDescent="0.35">
      <c r="A1604" s="38">
        <v>1811</v>
      </c>
      <c r="B1604" s="38" t="str">
        <f>_xlfn.XLOOKUP(A1604,'Model Modeshare by TAZ'!A:A,'Model Modeshare by TAZ'!B:B)</f>
        <v>San Francisco</v>
      </c>
      <c r="C1604" s="38" t="str">
        <f>_xlfn.XLOOKUP(A1604,'Model Modeshare by TAZ'!A:A,'Model Modeshare by TAZ'!D:D)</f>
        <v>NO</v>
      </c>
      <c r="D1604" s="6">
        <v>1</v>
      </c>
      <c r="E1604" s="6">
        <v>949</v>
      </c>
      <c r="F1604" s="6">
        <v>2082</v>
      </c>
      <c r="G1604" s="6">
        <v>2082</v>
      </c>
      <c r="H1604" s="6">
        <v>1596</v>
      </c>
      <c r="I1604" s="6">
        <v>94</v>
      </c>
      <c r="J1604" s="6">
        <v>855</v>
      </c>
      <c r="K1604" s="40">
        <v>12</v>
      </c>
      <c r="L1604" s="40">
        <v>211</v>
      </c>
      <c r="M1604" s="40">
        <v>3636</v>
      </c>
      <c r="N1604" s="40">
        <v>260</v>
      </c>
      <c r="O1604" s="40">
        <v>1852</v>
      </c>
      <c r="P1604" s="40">
        <v>885</v>
      </c>
      <c r="Q1604" s="40">
        <v>3</v>
      </c>
      <c r="R1604" s="40">
        <v>393</v>
      </c>
      <c r="S1604" s="40">
        <v>243</v>
      </c>
    </row>
    <row r="1605" spans="1:19" x14ac:dyDescent="0.35">
      <c r="A1605" s="38">
        <v>1812</v>
      </c>
      <c r="B1605" s="38" t="str">
        <f>_xlfn.XLOOKUP(A1605,'Model Modeshare by TAZ'!A:A,'Model Modeshare by TAZ'!B:B)</f>
        <v>San Francisco</v>
      </c>
      <c r="C1605" s="38" t="str">
        <f>_xlfn.XLOOKUP(A1605,'Model Modeshare by TAZ'!A:A,'Model Modeshare by TAZ'!D:D)</f>
        <v>NO</v>
      </c>
      <c r="D1605" s="6">
        <v>1</v>
      </c>
      <c r="E1605" s="6">
        <v>1003</v>
      </c>
      <c r="F1605" s="6">
        <v>2195</v>
      </c>
      <c r="G1605" s="6">
        <v>2239</v>
      </c>
      <c r="H1605" s="6">
        <v>1625</v>
      </c>
      <c r="I1605" s="6">
        <v>302</v>
      </c>
      <c r="J1605" s="6">
        <v>701</v>
      </c>
      <c r="K1605" s="40">
        <v>28</v>
      </c>
      <c r="L1605" s="40">
        <v>10</v>
      </c>
      <c r="M1605" s="40">
        <v>906</v>
      </c>
      <c r="N1605" s="40">
        <v>70</v>
      </c>
      <c r="O1605" s="40">
        <v>563</v>
      </c>
      <c r="P1605" s="40">
        <v>158</v>
      </c>
      <c r="Q1605" s="40">
        <v>1</v>
      </c>
      <c r="R1605" s="40">
        <v>53</v>
      </c>
      <c r="S1605" s="40">
        <v>62</v>
      </c>
    </row>
    <row r="1606" spans="1:19" x14ac:dyDescent="0.35">
      <c r="A1606" s="38">
        <v>1813</v>
      </c>
      <c r="B1606" s="38" t="str">
        <f>_xlfn.XLOOKUP(A1606,'Model Modeshare by TAZ'!A:A,'Model Modeshare by TAZ'!B:B)</f>
        <v>San Francisco</v>
      </c>
      <c r="C1606" s="38" t="str">
        <f>_xlfn.XLOOKUP(A1606,'Model Modeshare by TAZ'!A:A,'Model Modeshare by TAZ'!D:D)</f>
        <v>NO</v>
      </c>
      <c r="D1606" s="6">
        <v>1</v>
      </c>
      <c r="E1606" s="6">
        <v>2466</v>
      </c>
      <c r="F1606" s="6">
        <v>5990</v>
      </c>
      <c r="G1606" s="6">
        <v>5990</v>
      </c>
      <c r="H1606" s="6">
        <v>3325</v>
      </c>
      <c r="I1606" s="6">
        <v>851</v>
      </c>
      <c r="J1606" s="6">
        <v>1615</v>
      </c>
      <c r="K1606" s="40">
        <v>82</v>
      </c>
      <c r="L1606" s="40">
        <v>27</v>
      </c>
      <c r="M1606" s="40">
        <v>871</v>
      </c>
      <c r="N1606" s="40">
        <v>67</v>
      </c>
      <c r="O1606" s="40">
        <v>540</v>
      </c>
      <c r="P1606" s="40">
        <v>154</v>
      </c>
      <c r="Q1606" s="40">
        <v>0</v>
      </c>
      <c r="R1606" s="40">
        <v>51</v>
      </c>
      <c r="S1606" s="40">
        <v>60</v>
      </c>
    </row>
    <row r="1607" spans="1:19" x14ac:dyDescent="0.35">
      <c r="A1607" s="38">
        <v>1814</v>
      </c>
      <c r="B1607" s="38" t="str">
        <f>_xlfn.XLOOKUP(A1607,'Model Modeshare by TAZ'!A:A,'Model Modeshare by TAZ'!B:B)</f>
        <v>San Francisco</v>
      </c>
      <c r="C1607" s="38" t="str">
        <f>_xlfn.XLOOKUP(A1607,'Model Modeshare by TAZ'!A:A,'Model Modeshare by TAZ'!D:D)</f>
        <v>NO</v>
      </c>
      <c r="D1607" s="6">
        <v>1</v>
      </c>
      <c r="E1607" s="6">
        <v>1653</v>
      </c>
      <c r="F1607" s="6">
        <v>3456</v>
      </c>
      <c r="G1607" s="6">
        <v>3456</v>
      </c>
      <c r="H1607" s="6">
        <v>2253</v>
      </c>
      <c r="I1607" s="6">
        <v>585</v>
      </c>
      <c r="J1607" s="6">
        <v>1068</v>
      </c>
      <c r="K1607" s="40">
        <v>49</v>
      </c>
      <c r="L1607" s="40">
        <v>20</v>
      </c>
      <c r="M1607" s="40">
        <v>1027</v>
      </c>
      <c r="N1607" s="40">
        <v>81</v>
      </c>
      <c r="O1607" s="40">
        <v>622</v>
      </c>
      <c r="P1607" s="40">
        <v>194</v>
      </c>
      <c r="Q1607" s="40">
        <v>1</v>
      </c>
      <c r="R1607" s="40">
        <v>58</v>
      </c>
      <c r="S1607" s="40">
        <v>71</v>
      </c>
    </row>
    <row r="1608" spans="1:19" x14ac:dyDescent="0.35">
      <c r="A1608" s="38">
        <v>1815</v>
      </c>
      <c r="B1608" s="38" t="str">
        <f>_xlfn.XLOOKUP(A1608,'Model Modeshare by TAZ'!A:A,'Model Modeshare by TAZ'!B:B)</f>
        <v>San Francisco</v>
      </c>
      <c r="C1608" s="38" t="str">
        <f>_xlfn.XLOOKUP(A1608,'Model Modeshare by TAZ'!A:A,'Model Modeshare by TAZ'!D:D)</f>
        <v>NO</v>
      </c>
      <c r="D1608" s="6">
        <v>1</v>
      </c>
      <c r="E1608" s="6">
        <v>672</v>
      </c>
      <c r="F1608" s="6">
        <v>1864</v>
      </c>
      <c r="G1608" s="6">
        <v>2402</v>
      </c>
      <c r="H1608" s="6">
        <v>1177</v>
      </c>
      <c r="I1608" s="6">
        <v>159</v>
      </c>
      <c r="J1608" s="6">
        <v>513</v>
      </c>
      <c r="K1608" s="40">
        <v>17</v>
      </c>
      <c r="L1608" s="40">
        <v>26</v>
      </c>
      <c r="M1608" s="40">
        <v>963</v>
      </c>
      <c r="N1608" s="40">
        <v>49</v>
      </c>
      <c r="O1608" s="40">
        <v>531</v>
      </c>
      <c r="P1608" s="40">
        <v>263</v>
      </c>
      <c r="Q1608" s="40">
        <v>0</v>
      </c>
      <c r="R1608" s="40">
        <v>85</v>
      </c>
      <c r="S1608" s="40">
        <v>34</v>
      </c>
    </row>
    <row r="1609" spans="1:19" x14ac:dyDescent="0.35">
      <c r="A1609" s="38">
        <v>1816</v>
      </c>
      <c r="B1609" s="38" t="str">
        <f>_xlfn.XLOOKUP(A1609,'Model Modeshare by TAZ'!A:A,'Model Modeshare by TAZ'!B:B)</f>
        <v>San Francisco</v>
      </c>
      <c r="C1609" s="38" t="str">
        <f>_xlfn.XLOOKUP(A1609,'Model Modeshare by TAZ'!A:A,'Model Modeshare by TAZ'!D:D)</f>
        <v>NO</v>
      </c>
      <c r="D1609" s="6">
        <v>1</v>
      </c>
      <c r="E1609" s="6">
        <v>1947</v>
      </c>
      <c r="F1609" s="6">
        <v>5175</v>
      </c>
      <c r="G1609" s="6">
        <v>5278</v>
      </c>
      <c r="H1609" s="6">
        <v>3519</v>
      </c>
      <c r="I1609" s="6">
        <v>308</v>
      </c>
      <c r="J1609" s="6">
        <v>1639</v>
      </c>
      <c r="K1609" s="40">
        <v>36</v>
      </c>
      <c r="L1609" s="40">
        <v>49</v>
      </c>
      <c r="M1609" s="40">
        <v>3316</v>
      </c>
      <c r="N1609" s="40">
        <v>172</v>
      </c>
      <c r="O1609" s="40">
        <v>1829</v>
      </c>
      <c r="P1609" s="40">
        <v>905</v>
      </c>
      <c r="Q1609" s="40">
        <v>0</v>
      </c>
      <c r="R1609" s="40">
        <v>294</v>
      </c>
      <c r="S1609" s="40">
        <v>117</v>
      </c>
    </row>
    <row r="1610" spans="1:19" x14ac:dyDescent="0.35">
      <c r="A1610" s="38">
        <v>1817</v>
      </c>
      <c r="B1610" s="38" t="str">
        <f>_xlfn.XLOOKUP(A1610,'Model Modeshare by TAZ'!A:A,'Model Modeshare by TAZ'!B:B)</f>
        <v>San Francisco</v>
      </c>
      <c r="C1610" s="38" t="str">
        <f>_xlfn.XLOOKUP(A1610,'Model Modeshare by TAZ'!A:A,'Model Modeshare by TAZ'!D:D)</f>
        <v>NO</v>
      </c>
      <c r="D1610" s="6">
        <v>1</v>
      </c>
      <c r="E1610" s="6">
        <v>1570</v>
      </c>
      <c r="F1610" s="6">
        <v>4584</v>
      </c>
      <c r="G1610" s="6">
        <v>4637</v>
      </c>
      <c r="H1610" s="6">
        <v>2737</v>
      </c>
      <c r="I1610" s="6">
        <v>367</v>
      </c>
      <c r="J1610" s="6">
        <v>1203</v>
      </c>
      <c r="K1610" s="40">
        <v>35</v>
      </c>
      <c r="L1610" s="40">
        <v>9</v>
      </c>
      <c r="M1610" s="40">
        <v>646</v>
      </c>
      <c r="N1610" s="40">
        <v>34</v>
      </c>
      <c r="O1610" s="40">
        <v>355</v>
      </c>
      <c r="P1610" s="40">
        <v>178</v>
      </c>
      <c r="Q1610" s="40">
        <v>0</v>
      </c>
      <c r="R1610" s="40">
        <v>56</v>
      </c>
      <c r="S1610" s="40">
        <v>22</v>
      </c>
    </row>
    <row r="1611" spans="1:19" x14ac:dyDescent="0.35">
      <c r="A1611" s="38">
        <v>1818</v>
      </c>
      <c r="B1611" s="38" t="str">
        <f>_xlfn.XLOOKUP(A1611,'Model Modeshare by TAZ'!A:A,'Model Modeshare by TAZ'!B:B)</f>
        <v>San Francisco</v>
      </c>
      <c r="C1611" s="38" t="str">
        <f>_xlfn.XLOOKUP(A1611,'Model Modeshare by TAZ'!A:A,'Model Modeshare by TAZ'!D:D)</f>
        <v>NO</v>
      </c>
      <c r="D1611" s="6">
        <v>1</v>
      </c>
      <c r="E1611" s="6">
        <v>1540</v>
      </c>
      <c r="F1611" s="6">
        <v>5662</v>
      </c>
      <c r="G1611" s="6">
        <v>5691</v>
      </c>
      <c r="H1611" s="6">
        <v>3213</v>
      </c>
      <c r="I1611" s="6">
        <v>212</v>
      </c>
      <c r="J1611" s="6">
        <v>1328</v>
      </c>
      <c r="K1611" s="40">
        <v>27</v>
      </c>
      <c r="L1611" s="40">
        <v>8</v>
      </c>
      <c r="M1611" s="40">
        <v>477</v>
      </c>
      <c r="N1611" s="40">
        <v>87</v>
      </c>
      <c r="O1611" s="40">
        <v>244</v>
      </c>
      <c r="P1611" s="40">
        <v>126</v>
      </c>
      <c r="Q1611" s="40">
        <v>2</v>
      </c>
      <c r="R1611" s="40">
        <v>11</v>
      </c>
      <c r="S1611" s="40">
        <v>6</v>
      </c>
    </row>
    <row r="1612" spans="1:19" x14ac:dyDescent="0.35">
      <c r="A1612" s="38">
        <v>1819</v>
      </c>
      <c r="B1612" s="38" t="str">
        <f>_xlfn.XLOOKUP(A1612,'Model Modeshare by TAZ'!A:A,'Model Modeshare by TAZ'!B:B)</f>
        <v>San Francisco</v>
      </c>
      <c r="C1612" s="38" t="str">
        <f>_xlfn.XLOOKUP(A1612,'Model Modeshare by TAZ'!A:A,'Model Modeshare by TAZ'!D:D)</f>
        <v>NO</v>
      </c>
      <c r="D1612" s="6">
        <v>1</v>
      </c>
      <c r="E1612" s="6">
        <v>832</v>
      </c>
      <c r="F1612" s="6">
        <v>2642</v>
      </c>
      <c r="G1612" s="6">
        <v>2712</v>
      </c>
      <c r="H1612" s="6">
        <v>1805</v>
      </c>
      <c r="I1612" s="6">
        <v>153</v>
      </c>
      <c r="J1612" s="6">
        <v>679</v>
      </c>
      <c r="K1612" s="40">
        <v>20</v>
      </c>
      <c r="L1612" s="40">
        <v>4</v>
      </c>
      <c r="M1612" s="40">
        <v>338</v>
      </c>
      <c r="N1612" s="40">
        <v>63</v>
      </c>
      <c r="O1612" s="40">
        <v>171</v>
      </c>
      <c r="P1612" s="40">
        <v>90</v>
      </c>
      <c r="Q1612" s="40">
        <v>1</v>
      </c>
      <c r="R1612" s="40">
        <v>8</v>
      </c>
      <c r="S1612" s="40">
        <v>5</v>
      </c>
    </row>
    <row r="1613" spans="1:19" x14ac:dyDescent="0.35">
      <c r="A1613" s="38">
        <v>1820</v>
      </c>
      <c r="B1613" s="38" t="str">
        <f>_xlfn.XLOOKUP(A1613,'Model Modeshare by TAZ'!A:A,'Model Modeshare by TAZ'!B:B)</f>
        <v>San Francisco</v>
      </c>
      <c r="C1613" s="38" t="str">
        <f>_xlfn.XLOOKUP(A1613,'Model Modeshare by TAZ'!A:A,'Model Modeshare by TAZ'!D:D)</f>
        <v>NO</v>
      </c>
      <c r="D1613" s="6">
        <v>1</v>
      </c>
      <c r="E1613" s="6">
        <v>1161</v>
      </c>
      <c r="F1613" s="6">
        <v>3159</v>
      </c>
      <c r="G1613" s="6">
        <v>3159</v>
      </c>
      <c r="H1613" s="6">
        <v>1879</v>
      </c>
      <c r="I1613" s="6">
        <v>308</v>
      </c>
      <c r="J1613" s="6">
        <v>853</v>
      </c>
      <c r="K1613" s="40">
        <v>30</v>
      </c>
      <c r="L1613" s="40">
        <v>10</v>
      </c>
      <c r="M1613" s="40">
        <v>532</v>
      </c>
      <c r="N1613" s="40">
        <v>98</v>
      </c>
      <c r="O1613" s="40">
        <v>270</v>
      </c>
      <c r="P1613" s="40">
        <v>145</v>
      </c>
      <c r="Q1613" s="40">
        <v>2</v>
      </c>
      <c r="R1613" s="40">
        <v>10</v>
      </c>
      <c r="S1613" s="40">
        <v>7</v>
      </c>
    </row>
    <row r="1614" spans="1:19" x14ac:dyDescent="0.35">
      <c r="A1614" s="38">
        <v>1821</v>
      </c>
      <c r="B1614" s="38" t="str">
        <f>_xlfn.XLOOKUP(A1614,'Model Modeshare by TAZ'!A:A,'Model Modeshare by TAZ'!B:B)</f>
        <v>San Francisco</v>
      </c>
      <c r="C1614" s="38" t="str">
        <f>_xlfn.XLOOKUP(A1614,'Model Modeshare by TAZ'!A:A,'Model Modeshare by TAZ'!D:D)</f>
        <v>NO</v>
      </c>
      <c r="D1614" s="6">
        <v>1</v>
      </c>
      <c r="E1614" s="6">
        <v>1396</v>
      </c>
      <c r="F1614" s="6">
        <v>3564</v>
      </c>
      <c r="G1614" s="6">
        <v>3609</v>
      </c>
      <c r="H1614" s="6">
        <v>2061</v>
      </c>
      <c r="I1614" s="6">
        <v>966</v>
      </c>
      <c r="J1614" s="6">
        <v>430</v>
      </c>
      <c r="K1614" s="40">
        <v>52</v>
      </c>
      <c r="L1614" s="40">
        <v>11</v>
      </c>
      <c r="M1614" s="40">
        <v>417</v>
      </c>
      <c r="N1614" s="40">
        <v>166</v>
      </c>
      <c r="O1614" s="40">
        <v>43</v>
      </c>
      <c r="P1614" s="40">
        <v>115</v>
      </c>
      <c r="Q1614" s="40">
        <v>0</v>
      </c>
      <c r="R1614" s="40">
        <v>57</v>
      </c>
      <c r="S1614" s="40">
        <v>35</v>
      </c>
    </row>
    <row r="1615" spans="1:19" x14ac:dyDescent="0.35">
      <c r="A1615" s="38">
        <v>1822</v>
      </c>
      <c r="B1615" s="38" t="str">
        <f>_xlfn.XLOOKUP(A1615,'Model Modeshare by TAZ'!A:A,'Model Modeshare by TAZ'!B:B)</f>
        <v>San Francisco</v>
      </c>
      <c r="C1615" s="38" t="str">
        <f>_xlfn.XLOOKUP(A1615,'Model Modeshare by TAZ'!A:A,'Model Modeshare by TAZ'!D:D)</f>
        <v>NO</v>
      </c>
      <c r="D1615" s="6">
        <v>1</v>
      </c>
      <c r="E1615" s="6">
        <v>2126</v>
      </c>
      <c r="F1615" s="6">
        <v>5849</v>
      </c>
      <c r="G1615" s="6">
        <v>5866</v>
      </c>
      <c r="H1615" s="6">
        <v>3404</v>
      </c>
      <c r="I1615" s="6">
        <v>1209</v>
      </c>
      <c r="J1615" s="6">
        <v>917</v>
      </c>
      <c r="K1615" s="40">
        <v>72</v>
      </c>
      <c r="L1615" s="40">
        <v>5</v>
      </c>
      <c r="M1615" s="40">
        <v>561</v>
      </c>
      <c r="N1615" s="40">
        <v>189</v>
      </c>
      <c r="O1615" s="40">
        <v>304</v>
      </c>
      <c r="P1615" s="40">
        <v>57</v>
      </c>
      <c r="Q1615" s="40">
        <v>1</v>
      </c>
      <c r="R1615" s="40">
        <v>8</v>
      </c>
      <c r="S1615" s="40">
        <v>3</v>
      </c>
    </row>
    <row r="1616" spans="1:19" x14ac:dyDescent="0.35">
      <c r="A1616" s="38">
        <v>1823</v>
      </c>
      <c r="B1616" s="38" t="str">
        <f>_xlfn.XLOOKUP(A1616,'Model Modeshare by TAZ'!A:A,'Model Modeshare by TAZ'!B:B)</f>
        <v>San Francisco</v>
      </c>
      <c r="C1616" s="38" t="str">
        <f>_xlfn.XLOOKUP(A1616,'Model Modeshare by TAZ'!A:A,'Model Modeshare by TAZ'!D:D)</f>
        <v>NO</v>
      </c>
      <c r="D1616" s="6">
        <v>1</v>
      </c>
      <c r="E1616" s="6">
        <v>1725</v>
      </c>
      <c r="F1616" s="6">
        <v>4217</v>
      </c>
      <c r="G1616" s="6">
        <v>4328</v>
      </c>
      <c r="H1616" s="6">
        <v>2829</v>
      </c>
      <c r="I1616" s="6">
        <v>585</v>
      </c>
      <c r="J1616" s="6">
        <v>1140</v>
      </c>
      <c r="K1616" s="40">
        <v>37</v>
      </c>
      <c r="L1616" s="40">
        <v>16</v>
      </c>
      <c r="M1616" s="40">
        <v>2925</v>
      </c>
      <c r="N1616" s="40">
        <v>418</v>
      </c>
      <c r="O1616" s="40">
        <v>2352</v>
      </c>
      <c r="P1616" s="40">
        <v>123</v>
      </c>
      <c r="Q1616" s="40">
        <v>0</v>
      </c>
      <c r="R1616" s="40">
        <v>4</v>
      </c>
      <c r="S1616" s="40">
        <v>28</v>
      </c>
    </row>
    <row r="1617" spans="1:19" x14ac:dyDescent="0.35">
      <c r="A1617" s="38">
        <v>1824</v>
      </c>
      <c r="B1617" s="38" t="str">
        <f>_xlfn.XLOOKUP(A1617,'Model Modeshare by TAZ'!A:A,'Model Modeshare by TAZ'!B:B)</f>
        <v>San Francisco</v>
      </c>
      <c r="C1617" s="38" t="str">
        <f>_xlfn.XLOOKUP(A1617,'Model Modeshare by TAZ'!A:A,'Model Modeshare by TAZ'!D:D)</f>
        <v>NO</v>
      </c>
      <c r="D1617" s="6">
        <v>1</v>
      </c>
      <c r="E1617" s="6">
        <v>1307</v>
      </c>
      <c r="F1617" s="6">
        <v>4030</v>
      </c>
      <c r="G1617" s="6">
        <v>4044</v>
      </c>
      <c r="H1617" s="6">
        <v>2200</v>
      </c>
      <c r="I1617" s="6">
        <v>738</v>
      </c>
      <c r="J1617" s="6">
        <v>569</v>
      </c>
      <c r="K1617" s="40">
        <v>39</v>
      </c>
      <c r="L1617" s="40">
        <v>3</v>
      </c>
      <c r="M1617" s="40">
        <v>537</v>
      </c>
      <c r="N1617" s="40">
        <v>281</v>
      </c>
      <c r="O1617" s="40">
        <v>152</v>
      </c>
      <c r="P1617" s="40">
        <v>89</v>
      </c>
      <c r="Q1617" s="40">
        <v>0</v>
      </c>
      <c r="R1617" s="40">
        <v>10</v>
      </c>
      <c r="S1617" s="40">
        <v>5</v>
      </c>
    </row>
    <row r="1618" spans="1:19" x14ac:dyDescent="0.35">
      <c r="A1618" s="38">
        <v>1825</v>
      </c>
      <c r="B1618" s="38" t="str">
        <f>_xlfn.XLOOKUP(A1618,'Model Modeshare by TAZ'!A:A,'Model Modeshare by TAZ'!B:B)</f>
        <v>San Francisco</v>
      </c>
      <c r="C1618" s="38" t="str">
        <f>_xlfn.XLOOKUP(A1618,'Model Modeshare by TAZ'!A:A,'Model Modeshare by TAZ'!D:D)</f>
        <v>NO</v>
      </c>
      <c r="D1618" s="6">
        <v>1</v>
      </c>
      <c r="E1618" s="6">
        <v>1117</v>
      </c>
      <c r="F1618" s="6">
        <v>2960</v>
      </c>
      <c r="G1618" s="6">
        <v>2965</v>
      </c>
      <c r="H1618" s="6">
        <v>1866</v>
      </c>
      <c r="I1618" s="6">
        <v>879</v>
      </c>
      <c r="J1618" s="6">
        <v>238</v>
      </c>
      <c r="K1618" s="40">
        <v>38</v>
      </c>
      <c r="L1618" s="40">
        <v>3</v>
      </c>
      <c r="M1618" s="40">
        <v>264</v>
      </c>
      <c r="N1618" s="40">
        <v>138</v>
      </c>
      <c r="O1618" s="40">
        <v>74</v>
      </c>
      <c r="P1618" s="40">
        <v>44</v>
      </c>
      <c r="Q1618" s="40">
        <v>0</v>
      </c>
      <c r="R1618" s="40">
        <v>5</v>
      </c>
      <c r="S1618" s="40">
        <v>3</v>
      </c>
    </row>
    <row r="1619" spans="1:19" x14ac:dyDescent="0.35">
      <c r="A1619" s="38">
        <v>1826</v>
      </c>
      <c r="B1619" s="38" t="str">
        <f>_xlfn.XLOOKUP(A1619,'Model Modeshare by TAZ'!A:A,'Model Modeshare by TAZ'!B:B)</f>
        <v>San Francisco</v>
      </c>
      <c r="C1619" s="38" t="str">
        <f>_xlfn.XLOOKUP(A1619,'Model Modeshare by TAZ'!A:A,'Model Modeshare by TAZ'!D:D)</f>
        <v>NO</v>
      </c>
      <c r="D1619" s="6">
        <v>1</v>
      </c>
      <c r="E1619" s="6">
        <v>1447</v>
      </c>
      <c r="F1619" s="6">
        <v>5296</v>
      </c>
      <c r="G1619" s="6">
        <v>5315</v>
      </c>
      <c r="H1619" s="6">
        <v>2722</v>
      </c>
      <c r="I1619" s="6">
        <v>872</v>
      </c>
      <c r="J1619" s="6">
        <v>575</v>
      </c>
      <c r="K1619" s="40">
        <v>63</v>
      </c>
      <c r="L1619" s="40">
        <v>1</v>
      </c>
      <c r="M1619" s="40">
        <v>147</v>
      </c>
      <c r="N1619" s="40">
        <v>77</v>
      </c>
      <c r="O1619" s="40">
        <v>41</v>
      </c>
      <c r="P1619" s="40">
        <v>26</v>
      </c>
      <c r="Q1619" s="40">
        <v>0</v>
      </c>
      <c r="R1619" s="40">
        <v>2</v>
      </c>
      <c r="S1619" s="40">
        <v>2</v>
      </c>
    </row>
    <row r="1620" spans="1:19" x14ac:dyDescent="0.35">
      <c r="A1620" s="38">
        <v>1827</v>
      </c>
      <c r="B1620" s="38" t="str">
        <f>_xlfn.XLOOKUP(A1620,'Model Modeshare by TAZ'!A:A,'Model Modeshare by TAZ'!B:B)</f>
        <v>San Francisco</v>
      </c>
      <c r="C1620" s="38" t="str">
        <f>_xlfn.XLOOKUP(A1620,'Model Modeshare by TAZ'!A:A,'Model Modeshare by TAZ'!D:D)</f>
        <v>NO</v>
      </c>
      <c r="D1620" s="6">
        <v>1</v>
      </c>
      <c r="E1620" s="6">
        <v>1867</v>
      </c>
      <c r="F1620" s="6">
        <v>4077</v>
      </c>
      <c r="G1620" s="6">
        <v>4112</v>
      </c>
      <c r="H1620" s="6">
        <v>2422</v>
      </c>
      <c r="I1620" s="6">
        <v>1042</v>
      </c>
      <c r="J1620" s="6">
        <v>825</v>
      </c>
      <c r="K1620" s="40">
        <v>71</v>
      </c>
      <c r="L1620" s="40">
        <v>6</v>
      </c>
      <c r="M1620" s="40">
        <v>544</v>
      </c>
      <c r="N1620" s="40">
        <v>296</v>
      </c>
      <c r="O1620" s="40">
        <v>178</v>
      </c>
      <c r="P1620" s="40">
        <v>43</v>
      </c>
      <c r="Q1620" s="40">
        <v>2</v>
      </c>
      <c r="R1620" s="40">
        <v>20</v>
      </c>
      <c r="S1620" s="40">
        <v>5</v>
      </c>
    </row>
    <row r="1621" spans="1:19" x14ac:dyDescent="0.35">
      <c r="A1621" s="38">
        <v>1828</v>
      </c>
      <c r="B1621" s="38" t="str">
        <f>_xlfn.XLOOKUP(A1621,'Model Modeshare by TAZ'!A:A,'Model Modeshare by TAZ'!B:B)</f>
        <v>San Francisco</v>
      </c>
      <c r="C1621" s="38" t="str">
        <f>_xlfn.XLOOKUP(A1621,'Model Modeshare by TAZ'!A:A,'Model Modeshare by TAZ'!D:D)</f>
        <v>NO</v>
      </c>
      <c r="D1621" s="6">
        <v>1</v>
      </c>
      <c r="E1621" s="6">
        <v>2580</v>
      </c>
      <c r="F1621" s="6">
        <v>4839</v>
      </c>
      <c r="G1621" s="6">
        <v>4920</v>
      </c>
      <c r="H1621" s="6">
        <v>3385</v>
      </c>
      <c r="I1621" s="6">
        <v>713</v>
      </c>
      <c r="J1621" s="6">
        <v>1867</v>
      </c>
      <c r="K1621" s="40">
        <v>69</v>
      </c>
      <c r="L1621" s="40">
        <v>4</v>
      </c>
      <c r="M1621" s="40">
        <v>582</v>
      </c>
      <c r="N1621" s="40">
        <v>255</v>
      </c>
      <c r="O1621" s="40">
        <v>182</v>
      </c>
      <c r="P1621" s="40">
        <v>49</v>
      </c>
      <c r="Q1621" s="40">
        <v>3</v>
      </c>
      <c r="R1621" s="40">
        <v>87</v>
      </c>
      <c r="S1621" s="40">
        <v>6</v>
      </c>
    </row>
    <row r="1622" spans="1:19" x14ac:dyDescent="0.35">
      <c r="A1622" s="38">
        <v>1829</v>
      </c>
      <c r="B1622" s="38" t="str">
        <f>_xlfn.XLOOKUP(A1622,'Model Modeshare by TAZ'!A:A,'Model Modeshare by TAZ'!B:B)</f>
        <v>San Francisco</v>
      </c>
      <c r="C1622" s="38" t="str">
        <f>_xlfn.XLOOKUP(A1622,'Model Modeshare by TAZ'!A:A,'Model Modeshare by TAZ'!D:D)</f>
        <v>NO</v>
      </c>
      <c r="D1622" s="6">
        <v>1</v>
      </c>
      <c r="E1622" s="6">
        <v>2171</v>
      </c>
      <c r="F1622" s="6">
        <v>4551</v>
      </c>
      <c r="G1622" s="6">
        <v>4551</v>
      </c>
      <c r="H1622" s="6">
        <v>2952</v>
      </c>
      <c r="I1622" s="6">
        <v>912</v>
      </c>
      <c r="J1622" s="6">
        <v>1259</v>
      </c>
      <c r="K1622" s="40">
        <v>76</v>
      </c>
      <c r="L1622" s="40">
        <v>1</v>
      </c>
      <c r="M1622" s="40">
        <v>347</v>
      </c>
      <c r="N1622" s="40">
        <v>226</v>
      </c>
      <c r="O1622" s="40">
        <v>47</v>
      </c>
      <c r="P1622" s="40">
        <v>73</v>
      </c>
      <c r="Q1622" s="40">
        <v>1</v>
      </c>
      <c r="R1622" s="40">
        <v>0</v>
      </c>
      <c r="S1622" s="40">
        <v>0</v>
      </c>
    </row>
    <row r="1623" spans="1:19" x14ac:dyDescent="0.35">
      <c r="A1623" s="38">
        <v>1830</v>
      </c>
      <c r="B1623" s="38" t="str">
        <f>_xlfn.XLOOKUP(A1623,'Model Modeshare by TAZ'!A:A,'Model Modeshare by TAZ'!B:B)</f>
        <v>San Francisco</v>
      </c>
      <c r="C1623" s="38" t="str">
        <f>_xlfn.XLOOKUP(A1623,'Model Modeshare by TAZ'!A:A,'Model Modeshare by TAZ'!D:D)</f>
        <v>NO</v>
      </c>
      <c r="D1623" s="6">
        <v>1</v>
      </c>
      <c r="E1623" s="6">
        <v>1839</v>
      </c>
      <c r="F1623" s="6">
        <v>4094</v>
      </c>
      <c r="G1623" s="6">
        <v>4094</v>
      </c>
      <c r="H1623" s="6">
        <v>2283</v>
      </c>
      <c r="I1623" s="6">
        <v>1289</v>
      </c>
      <c r="J1623" s="6">
        <v>550</v>
      </c>
      <c r="K1623" s="40">
        <v>103</v>
      </c>
      <c r="L1623" s="40">
        <v>43</v>
      </c>
      <c r="M1623" s="40">
        <v>652</v>
      </c>
      <c r="N1623" s="40">
        <v>339</v>
      </c>
      <c r="O1623" s="40">
        <v>178</v>
      </c>
      <c r="P1623" s="40">
        <v>120</v>
      </c>
      <c r="Q1623" s="40">
        <v>0</v>
      </c>
      <c r="R1623" s="40">
        <v>14</v>
      </c>
      <c r="S1623" s="40">
        <v>0</v>
      </c>
    </row>
    <row r="1624" spans="1:19" x14ac:dyDescent="0.35">
      <c r="A1624" s="38">
        <v>1831</v>
      </c>
      <c r="B1624" s="38" t="str">
        <f>_xlfn.XLOOKUP(A1624,'Model Modeshare by TAZ'!A:A,'Model Modeshare by TAZ'!B:B)</f>
        <v>San Francisco</v>
      </c>
      <c r="C1624" s="38" t="str">
        <f>_xlfn.XLOOKUP(A1624,'Model Modeshare by TAZ'!A:A,'Model Modeshare by TAZ'!D:D)</f>
        <v>NO</v>
      </c>
      <c r="D1624" s="6">
        <v>1</v>
      </c>
      <c r="E1624" s="6">
        <v>2613</v>
      </c>
      <c r="F1624" s="6">
        <v>6573</v>
      </c>
      <c r="G1624" s="6">
        <v>6573</v>
      </c>
      <c r="H1624" s="6">
        <v>3580</v>
      </c>
      <c r="I1624" s="6">
        <v>2520</v>
      </c>
      <c r="J1624" s="6">
        <v>93</v>
      </c>
      <c r="K1624" s="40">
        <v>199</v>
      </c>
      <c r="L1624" s="40">
        <v>1</v>
      </c>
      <c r="M1624" s="40">
        <v>268</v>
      </c>
      <c r="N1624" s="40">
        <v>104</v>
      </c>
      <c r="O1624" s="40">
        <v>90</v>
      </c>
      <c r="P1624" s="40">
        <v>50</v>
      </c>
      <c r="Q1624" s="40">
        <v>0</v>
      </c>
      <c r="R1624" s="40">
        <v>20</v>
      </c>
      <c r="S1624" s="40">
        <v>4</v>
      </c>
    </row>
    <row r="1625" spans="1:19" x14ac:dyDescent="0.35">
      <c r="A1625" s="38">
        <v>1832</v>
      </c>
      <c r="B1625" s="38" t="str">
        <f>_xlfn.XLOOKUP(A1625,'Model Modeshare by TAZ'!A:A,'Model Modeshare by TAZ'!B:B)</f>
        <v>San Francisco</v>
      </c>
      <c r="C1625" s="38" t="str">
        <f>_xlfn.XLOOKUP(A1625,'Model Modeshare by TAZ'!A:A,'Model Modeshare by TAZ'!D:D)</f>
        <v>NO</v>
      </c>
      <c r="D1625" s="6">
        <v>1</v>
      </c>
      <c r="E1625" s="6">
        <v>1304</v>
      </c>
      <c r="F1625" s="6">
        <v>3603</v>
      </c>
      <c r="G1625" s="6">
        <v>3609</v>
      </c>
      <c r="H1625" s="6">
        <v>1857</v>
      </c>
      <c r="I1625" s="6">
        <v>1108</v>
      </c>
      <c r="J1625" s="6">
        <v>196</v>
      </c>
      <c r="K1625" s="40">
        <v>105</v>
      </c>
      <c r="L1625" s="40">
        <v>15</v>
      </c>
      <c r="M1625" s="40">
        <v>811</v>
      </c>
      <c r="N1625" s="40">
        <v>237</v>
      </c>
      <c r="O1625" s="40">
        <v>344</v>
      </c>
      <c r="P1625" s="40">
        <v>169</v>
      </c>
      <c r="Q1625" s="40">
        <v>0</v>
      </c>
      <c r="R1625" s="40">
        <v>3</v>
      </c>
      <c r="S1625" s="40">
        <v>58</v>
      </c>
    </row>
    <row r="1626" spans="1:19" x14ac:dyDescent="0.35">
      <c r="A1626" s="38">
        <v>1833</v>
      </c>
      <c r="B1626" s="38" t="str">
        <f>_xlfn.XLOOKUP(A1626,'Model Modeshare by TAZ'!A:A,'Model Modeshare by TAZ'!B:B)</f>
        <v>San Francisco</v>
      </c>
      <c r="C1626" s="38" t="str">
        <f>_xlfn.XLOOKUP(A1626,'Model Modeshare by TAZ'!A:A,'Model Modeshare by TAZ'!D:D)</f>
        <v>NO</v>
      </c>
      <c r="D1626" s="6">
        <v>1</v>
      </c>
      <c r="E1626" s="6">
        <v>2495</v>
      </c>
      <c r="F1626" s="6">
        <v>6900</v>
      </c>
      <c r="G1626" s="6">
        <v>6908</v>
      </c>
      <c r="H1626" s="6">
        <v>4100</v>
      </c>
      <c r="I1626" s="6">
        <v>1855</v>
      </c>
      <c r="J1626" s="6">
        <v>640</v>
      </c>
      <c r="K1626" s="40">
        <v>116</v>
      </c>
      <c r="L1626" s="40">
        <v>67</v>
      </c>
      <c r="M1626" s="40">
        <v>632</v>
      </c>
      <c r="N1626" s="40">
        <v>65</v>
      </c>
      <c r="O1626" s="40">
        <v>513</v>
      </c>
      <c r="P1626" s="40">
        <v>41</v>
      </c>
      <c r="Q1626" s="40">
        <v>0</v>
      </c>
      <c r="R1626" s="40">
        <v>11</v>
      </c>
      <c r="S1626" s="40">
        <v>2</v>
      </c>
    </row>
    <row r="1627" spans="1:19" x14ac:dyDescent="0.35">
      <c r="A1627" s="38">
        <v>1834</v>
      </c>
      <c r="B1627" s="38" t="str">
        <f>_xlfn.XLOOKUP(A1627,'Model Modeshare by TAZ'!A:A,'Model Modeshare by TAZ'!B:B)</f>
        <v>San Francisco</v>
      </c>
      <c r="C1627" s="38" t="str">
        <f>_xlfn.XLOOKUP(A1627,'Model Modeshare by TAZ'!A:A,'Model Modeshare by TAZ'!D:D)</f>
        <v>NO</v>
      </c>
      <c r="D1627" s="6">
        <v>1</v>
      </c>
      <c r="E1627" s="6">
        <v>2765</v>
      </c>
      <c r="F1627" s="6">
        <v>9424</v>
      </c>
      <c r="G1627" s="6">
        <v>9519</v>
      </c>
      <c r="H1627" s="6">
        <v>5234</v>
      </c>
      <c r="I1627" s="6">
        <v>2333</v>
      </c>
      <c r="J1627" s="6">
        <v>432</v>
      </c>
      <c r="K1627" s="40">
        <v>118</v>
      </c>
      <c r="L1627" s="40">
        <v>17</v>
      </c>
      <c r="M1627" s="40">
        <v>1015</v>
      </c>
      <c r="N1627" s="40">
        <v>305</v>
      </c>
      <c r="O1627" s="40">
        <v>262</v>
      </c>
      <c r="P1627" s="40">
        <v>439</v>
      </c>
      <c r="Q1627" s="40">
        <v>2</v>
      </c>
      <c r="R1627" s="40">
        <v>3</v>
      </c>
      <c r="S1627" s="40">
        <v>4</v>
      </c>
    </row>
    <row r="1628" spans="1:19" x14ac:dyDescent="0.35">
      <c r="A1628" s="38">
        <v>1835</v>
      </c>
      <c r="B1628" s="38" t="str">
        <f>_xlfn.XLOOKUP(A1628,'Model Modeshare by TAZ'!A:A,'Model Modeshare by TAZ'!B:B)</f>
        <v>San Francisco</v>
      </c>
      <c r="C1628" s="38" t="str">
        <f>_xlfn.XLOOKUP(A1628,'Model Modeshare by TAZ'!A:A,'Model Modeshare by TAZ'!D:D)</f>
        <v>NO</v>
      </c>
      <c r="D1628" s="6">
        <v>1</v>
      </c>
      <c r="E1628" s="6">
        <v>1566</v>
      </c>
      <c r="F1628" s="6">
        <v>5893</v>
      </c>
      <c r="G1628" s="6">
        <v>5901</v>
      </c>
      <c r="H1628" s="6">
        <v>2900</v>
      </c>
      <c r="I1628" s="6">
        <v>1073</v>
      </c>
      <c r="J1628" s="6">
        <v>493</v>
      </c>
      <c r="K1628" s="40">
        <v>59</v>
      </c>
      <c r="L1628" s="40">
        <v>6</v>
      </c>
      <c r="M1628" s="40">
        <v>526</v>
      </c>
      <c r="N1628" s="40">
        <v>61</v>
      </c>
      <c r="O1628" s="40">
        <v>269</v>
      </c>
      <c r="P1628" s="40">
        <v>194</v>
      </c>
      <c r="Q1628" s="40">
        <v>0</v>
      </c>
      <c r="R1628" s="40">
        <v>3</v>
      </c>
      <c r="S1628" s="40">
        <v>0</v>
      </c>
    </row>
    <row r="1629" spans="1:19" x14ac:dyDescent="0.35">
      <c r="A1629" s="38">
        <v>1836</v>
      </c>
      <c r="B1629" s="38" t="str">
        <f>_xlfn.XLOOKUP(A1629,'Model Modeshare by TAZ'!A:A,'Model Modeshare by TAZ'!B:B)</f>
        <v>San Francisco</v>
      </c>
      <c r="C1629" s="38" t="str">
        <f>_xlfn.XLOOKUP(A1629,'Model Modeshare by TAZ'!A:A,'Model Modeshare by TAZ'!D:D)</f>
        <v>NO</v>
      </c>
      <c r="D1629" s="6">
        <v>1</v>
      </c>
      <c r="E1629" s="6">
        <v>984</v>
      </c>
      <c r="F1629" s="6">
        <v>3065</v>
      </c>
      <c r="G1629" s="6">
        <v>3359</v>
      </c>
      <c r="H1629" s="6">
        <v>1876</v>
      </c>
      <c r="I1629" s="6">
        <v>955</v>
      </c>
      <c r="J1629" s="6">
        <v>29</v>
      </c>
      <c r="K1629" s="40">
        <v>50</v>
      </c>
      <c r="L1629" s="40">
        <v>9</v>
      </c>
      <c r="M1629" s="40">
        <v>644</v>
      </c>
      <c r="N1629" s="40">
        <v>74</v>
      </c>
      <c r="O1629" s="40">
        <v>328</v>
      </c>
      <c r="P1629" s="40">
        <v>238</v>
      </c>
      <c r="Q1629" s="40">
        <v>0</v>
      </c>
      <c r="R1629" s="40">
        <v>4</v>
      </c>
      <c r="S1629" s="40">
        <v>0</v>
      </c>
    </row>
    <row r="1630" spans="1:19" x14ac:dyDescent="0.35">
      <c r="A1630" s="38">
        <v>1837</v>
      </c>
      <c r="B1630" s="38" t="str">
        <f>_xlfn.XLOOKUP(A1630,'Model Modeshare by TAZ'!A:A,'Model Modeshare by TAZ'!B:B)</f>
        <v>San Francisco</v>
      </c>
      <c r="C1630" s="38" t="str">
        <f>_xlfn.XLOOKUP(A1630,'Model Modeshare by TAZ'!A:A,'Model Modeshare by TAZ'!D:D)</f>
        <v>NO</v>
      </c>
      <c r="D1630" s="6">
        <v>1</v>
      </c>
      <c r="E1630" s="6">
        <v>1598</v>
      </c>
      <c r="F1630" s="6">
        <v>5493</v>
      </c>
      <c r="G1630" s="6">
        <v>5504</v>
      </c>
      <c r="H1630" s="6">
        <v>2879</v>
      </c>
      <c r="I1630" s="6">
        <v>1519</v>
      </c>
      <c r="J1630" s="6">
        <v>79</v>
      </c>
      <c r="K1630" s="40">
        <v>84</v>
      </c>
      <c r="L1630" s="40">
        <v>4</v>
      </c>
      <c r="M1630" s="40">
        <v>178</v>
      </c>
      <c r="N1630" s="40">
        <v>111</v>
      </c>
      <c r="O1630" s="40">
        <v>35</v>
      </c>
      <c r="P1630" s="40">
        <v>27</v>
      </c>
      <c r="Q1630" s="40">
        <v>0</v>
      </c>
      <c r="R1630" s="40">
        <v>2</v>
      </c>
      <c r="S1630" s="40">
        <v>2</v>
      </c>
    </row>
    <row r="1631" spans="1:19" x14ac:dyDescent="0.35">
      <c r="A1631" s="38">
        <v>1838</v>
      </c>
      <c r="B1631" s="38" t="str">
        <f>_xlfn.XLOOKUP(A1631,'Model Modeshare by TAZ'!A:A,'Model Modeshare by TAZ'!B:B)</f>
        <v>San Francisco</v>
      </c>
      <c r="C1631" s="38" t="str">
        <f>_xlfn.XLOOKUP(A1631,'Model Modeshare by TAZ'!A:A,'Model Modeshare by TAZ'!D:D)</f>
        <v>NO</v>
      </c>
      <c r="D1631" s="6">
        <v>1</v>
      </c>
      <c r="E1631" s="6">
        <v>2692</v>
      </c>
      <c r="F1631" s="6">
        <v>9762</v>
      </c>
      <c r="G1631" s="6">
        <v>9855</v>
      </c>
      <c r="H1631" s="6">
        <v>4934</v>
      </c>
      <c r="I1631" s="6">
        <v>2208</v>
      </c>
      <c r="J1631" s="6">
        <v>484</v>
      </c>
      <c r="K1631" s="40">
        <v>120</v>
      </c>
      <c r="L1631" s="40">
        <v>26</v>
      </c>
      <c r="M1631" s="40">
        <v>1298</v>
      </c>
      <c r="N1631" s="40">
        <v>469</v>
      </c>
      <c r="O1631" s="40">
        <v>492</v>
      </c>
      <c r="P1631" s="40">
        <v>262</v>
      </c>
      <c r="Q1631" s="40">
        <v>0</v>
      </c>
      <c r="R1631" s="40">
        <v>30</v>
      </c>
      <c r="S1631" s="40">
        <v>44</v>
      </c>
    </row>
    <row r="1632" spans="1:19" x14ac:dyDescent="0.35">
      <c r="A1632" s="38">
        <v>1839</v>
      </c>
      <c r="B1632" s="38" t="str">
        <f>_xlfn.XLOOKUP(A1632,'Model Modeshare by TAZ'!A:A,'Model Modeshare by TAZ'!B:B)</f>
        <v>San Francisco</v>
      </c>
      <c r="C1632" s="38" t="str">
        <f>_xlfn.XLOOKUP(A1632,'Model Modeshare by TAZ'!A:A,'Model Modeshare by TAZ'!D:D)</f>
        <v>NO</v>
      </c>
      <c r="D1632" s="6">
        <v>1</v>
      </c>
      <c r="E1632" s="6">
        <v>1333</v>
      </c>
      <c r="F1632" s="6">
        <v>5163</v>
      </c>
      <c r="G1632" s="6">
        <v>5204</v>
      </c>
      <c r="H1632" s="6">
        <v>2648</v>
      </c>
      <c r="I1632" s="6">
        <v>1057</v>
      </c>
      <c r="J1632" s="6">
        <v>276</v>
      </c>
      <c r="K1632" s="40">
        <v>65</v>
      </c>
      <c r="L1632" s="40">
        <v>18</v>
      </c>
      <c r="M1632" s="40">
        <v>647</v>
      </c>
      <c r="N1632" s="40">
        <v>136</v>
      </c>
      <c r="O1632" s="40">
        <v>215</v>
      </c>
      <c r="P1632" s="40">
        <v>115</v>
      </c>
      <c r="Q1632" s="40">
        <v>0</v>
      </c>
      <c r="R1632" s="40">
        <v>83</v>
      </c>
      <c r="S1632" s="40">
        <v>98</v>
      </c>
    </row>
    <row r="1633" spans="1:19" x14ac:dyDescent="0.35">
      <c r="A1633" s="38">
        <v>1840</v>
      </c>
      <c r="B1633" s="38" t="str">
        <f>_xlfn.XLOOKUP(A1633,'Model Modeshare by TAZ'!A:A,'Model Modeshare by TAZ'!B:B)</f>
        <v>San Francisco</v>
      </c>
      <c r="C1633" s="38" t="str">
        <f>_xlfn.XLOOKUP(A1633,'Model Modeshare by TAZ'!A:A,'Model Modeshare by TAZ'!D:D)</f>
        <v>NO</v>
      </c>
      <c r="D1633" s="6">
        <v>1</v>
      </c>
      <c r="E1633" s="6">
        <v>1190</v>
      </c>
      <c r="F1633" s="6">
        <v>4325</v>
      </c>
      <c r="G1633" s="6">
        <v>4330</v>
      </c>
      <c r="H1633" s="6">
        <v>2119</v>
      </c>
      <c r="I1633" s="6">
        <v>908</v>
      </c>
      <c r="J1633" s="6">
        <v>282</v>
      </c>
      <c r="K1633" s="40">
        <v>61</v>
      </c>
      <c r="L1633" s="40">
        <v>3</v>
      </c>
      <c r="M1633" s="40">
        <v>163</v>
      </c>
      <c r="N1633" s="40">
        <v>34</v>
      </c>
      <c r="O1633" s="40">
        <v>54</v>
      </c>
      <c r="P1633" s="40">
        <v>30</v>
      </c>
      <c r="Q1633" s="40">
        <v>0</v>
      </c>
      <c r="R1633" s="40">
        <v>21</v>
      </c>
      <c r="S1633" s="40">
        <v>25</v>
      </c>
    </row>
    <row r="1634" spans="1:19" x14ac:dyDescent="0.35">
      <c r="A1634" s="38">
        <v>1841</v>
      </c>
      <c r="B1634" s="38" t="str">
        <f>_xlfn.XLOOKUP(A1634,'Model Modeshare by TAZ'!A:A,'Model Modeshare by TAZ'!B:B)</f>
        <v>San Francisco</v>
      </c>
      <c r="C1634" s="38" t="str">
        <f>_xlfn.XLOOKUP(A1634,'Model Modeshare by TAZ'!A:A,'Model Modeshare by TAZ'!D:D)</f>
        <v>NO</v>
      </c>
      <c r="D1634" s="6">
        <v>1</v>
      </c>
      <c r="E1634" s="6">
        <v>743</v>
      </c>
      <c r="F1634" s="6">
        <v>2739</v>
      </c>
      <c r="G1634" s="6">
        <v>2806</v>
      </c>
      <c r="H1634" s="6">
        <v>1335</v>
      </c>
      <c r="I1634" s="6">
        <v>364</v>
      </c>
      <c r="J1634" s="6">
        <v>379</v>
      </c>
      <c r="K1634" s="40">
        <v>25</v>
      </c>
      <c r="L1634" s="40">
        <v>5</v>
      </c>
      <c r="M1634" s="40">
        <v>275</v>
      </c>
      <c r="N1634" s="40">
        <v>58</v>
      </c>
      <c r="O1634" s="40">
        <v>92</v>
      </c>
      <c r="P1634" s="40">
        <v>51</v>
      </c>
      <c r="Q1634" s="40">
        <v>0</v>
      </c>
      <c r="R1634" s="40">
        <v>34</v>
      </c>
      <c r="S1634" s="40">
        <v>40</v>
      </c>
    </row>
    <row r="1635" spans="1:19" x14ac:dyDescent="0.35">
      <c r="A1635" s="38">
        <v>1842</v>
      </c>
      <c r="B1635" s="38" t="str">
        <f>_xlfn.XLOOKUP(A1635,'Model Modeshare by TAZ'!A:A,'Model Modeshare by TAZ'!B:B)</f>
        <v>San Francisco</v>
      </c>
      <c r="C1635" s="38" t="str">
        <f>_xlfn.XLOOKUP(A1635,'Model Modeshare by TAZ'!A:A,'Model Modeshare by TAZ'!D:D)</f>
        <v>NO</v>
      </c>
      <c r="D1635" s="6">
        <v>1</v>
      </c>
      <c r="E1635" s="6">
        <v>142</v>
      </c>
      <c r="F1635" s="6">
        <v>260</v>
      </c>
      <c r="G1635" s="6">
        <v>260</v>
      </c>
      <c r="H1635" s="6">
        <v>174</v>
      </c>
      <c r="I1635" s="6">
        <v>44</v>
      </c>
      <c r="J1635" s="6">
        <v>98</v>
      </c>
      <c r="K1635" s="40">
        <v>7</v>
      </c>
      <c r="L1635" s="40">
        <v>481</v>
      </c>
      <c r="M1635" s="40">
        <v>15733</v>
      </c>
      <c r="N1635" s="40">
        <v>1890</v>
      </c>
      <c r="O1635" s="40">
        <v>4680</v>
      </c>
      <c r="P1635" s="40">
        <v>7206</v>
      </c>
      <c r="Q1635" s="40">
        <v>1</v>
      </c>
      <c r="R1635" s="40">
        <v>844</v>
      </c>
      <c r="S1635" s="40">
        <v>1112</v>
      </c>
    </row>
    <row r="1636" spans="1:19" x14ac:dyDescent="0.35">
      <c r="A1636" s="38">
        <v>1843</v>
      </c>
      <c r="B1636" s="38" t="str">
        <f>_xlfn.XLOOKUP(A1636,'Model Modeshare by TAZ'!A:A,'Model Modeshare by TAZ'!B:B)</f>
        <v>San Francisco</v>
      </c>
      <c r="C1636" s="38" t="str">
        <f>_xlfn.XLOOKUP(A1636,'Model Modeshare by TAZ'!A:A,'Model Modeshare by TAZ'!D:D)</f>
        <v>NO</v>
      </c>
      <c r="D1636" s="6">
        <v>1</v>
      </c>
      <c r="E1636" s="6">
        <v>439</v>
      </c>
      <c r="F1636" s="6">
        <v>1392</v>
      </c>
      <c r="G1636" s="6">
        <v>1437</v>
      </c>
      <c r="H1636" s="6">
        <v>559</v>
      </c>
      <c r="I1636" s="6">
        <v>291</v>
      </c>
      <c r="J1636" s="6">
        <v>148</v>
      </c>
      <c r="K1636" s="40">
        <v>16</v>
      </c>
      <c r="L1636" s="40">
        <v>10</v>
      </c>
      <c r="M1636" s="40">
        <v>677</v>
      </c>
      <c r="N1636" s="40">
        <v>66</v>
      </c>
      <c r="O1636" s="40">
        <v>216</v>
      </c>
      <c r="P1636" s="40">
        <v>300</v>
      </c>
      <c r="Q1636" s="40">
        <v>0</v>
      </c>
      <c r="R1636" s="40">
        <v>49</v>
      </c>
      <c r="S1636" s="40">
        <v>46</v>
      </c>
    </row>
    <row r="1637" spans="1:19" x14ac:dyDescent="0.35">
      <c r="A1637" s="38">
        <v>1844</v>
      </c>
      <c r="B1637" s="38" t="str">
        <f>_xlfn.XLOOKUP(A1637,'Model Modeshare by TAZ'!A:A,'Model Modeshare by TAZ'!B:B)</f>
        <v>San Francisco</v>
      </c>
      <c r="C1637" s="38" t="str">
        <f>_xlfn.XLOOKUP(A1637,'Model Modeshare by TAZ'!A:A,'Model Modeshare by TAZ'!D:D)</f>
        <v>NO</v>
      </c>
      <c r="D1637" s="6">
        <v>1</v>
      </c>
      <c r="E1637" s="6">
        <v>1569</v>
      </c>
      <c r="F1637" s="6">
        <v>4659</v>
      </c>
      <c r="G1637" s="6">
        <v>4659</v>
      </c>
      <c r="H1637" s="6">
        <v>1949</v>
      </c>
      <c r="I1637" s="6">
        <v>656</v>
      </c>
      <c r="J1637" s="6">
        <v>913</v>
      </c>
      <c r="K1637" s="40">
        <v>38</v>
      </c>
      <c r="L1637" s="40">
        <v>7</v>
      </c>
      <c r="M1637" s="40">
        <v>461</v>
      </c>
      <c r="N1637" s="40">
        <v>42</v>
      </c>
      <c r="O1637" s="40">
        <v>152</v>
      </c>
      <c r="P1637" s="40">
        <v>198</v>
      </c>
      <c r="Q1637" s="40">
        <v>0</v>
      </c>
      <c r="R1637" s="40">
        <v>41</v>
      </c>
      <c r="S1637" s="40">
        <v>29</v>
      </c>
    </row>
    <row r="1638" spans="1:19" x14ac:dyDescent="0.35">
      <c r="A1638" s="38">
        <v>1845</v>
      </c>
      <c r="B1638" s="38" t="str">
        <f>_xlfn.XLOOKUP(A1638,'Model Modeshare by TAZ'!A:A,'Model Modeshare by TAZ'!B:B)</f>
        <v>San Francisco</v>
      </c>
      <c r="C1638" s="38" t="str">
        <f>_xlfn.XLOOKUP(A1638,'Model Modeshare by TAZ'!A:A,'Model Modeshare by TAZ'!D:D)</f>
        <v>NO</v>
      </c>
      <c r="D1638" s="6">
        <v>1</v>
      </c>
      <c r="E1638" s="6">
        <v>1045</v>
      </c>
      <c r="F1638" s="6">
        <v>2904</v>
      </c>
      <c r="G1638" s="6">
        <v>2904</v>
      </c>
      <c r="H1638" s="6">
        <v>740</v>
      </c>
      <c r="I1638" s="6">
        <v>152</v>
      </c>
      <c r="J1638" s="6">
        <v>893</v>
      </c>
      <c r="K1638" s="40">
        <v>52</v>
      </c>
      <c r="L1638" s="40">
        <v>70</v>
      </c>
      <c r="M1638" s="40">
        <v>897</v>
      </c>
      <c r="N1638" s="40">
        <v>79</v>
      </c>
      <c r="O1638" s="40">
        <v>303</v>
      </c>
      <c r="P1638" s="40">
        <v>390</v>
      </c>
      <c r="Q1638" s="40">
        <v>0</v>
      </c>
      <c r="R1638" s="40">
        <v>72</v>
      </c>
      <c r="S1638" s="40">
        <v>54</v>
      </c>
    </row>
    <row r="1639" spans="1:19" x14ac:dyDescent="0.35">
      <c r="A1639" s="38">
        <v>1846</v>
      </c>
      <c r="B1639" s="38" t="str">
        <f>_xlfn.XLOOKUP(A1639,'Model Modeshare by TAZ'!A:A,'Model Modeshare by TAZ'!B:B)</f>
        <v>San Francisco</v>
      </c>
      <c r="C1639" s="38" t="str">
        <f>_xlfn.XLOOKUP(A1639,'Model Modeshare by TAZ'!A:A,'Model Modeshare by TAZ'!D:D)</f>
        <v>NO</v>
      </c>
      <c r="D1639" s="6">
        <v>1</v>
      </c>
      <c r="E1639" s="6">
        <v>188</v>
      </c>
      <c r="F1639" s="6">
        <v>476</v>
      </c>
      <c r="G1639" s="6">
        <v>476</v>
      </c>
      <c r="H1639" s="6">
        <v>250</v>
      </c>
      <c r="I1639" s="6">
        <v>99</v>
      </c>
      <c r="J1639" s="6">
        <v>89</v>
      </c>
      <c r="K1639" s="40">
        <v>3</v>
      </c>
      <c r="L1639" s="40">
        <v>651</v>
      </c>
      <c r="M1639" s="40">
        <v>292</v>
      </c>
      <c r="N1639" s="40">
        <v>22</v>
      </c>
      <c r="O1639" s="40">
        <v>114</v>
      </c>
      <c r="P1639" s="40">
        <v>127</v>
      </c>
      <c r="Q1639" s="40">
        <v>0</v>
      </c>
      <c r="R1639" s="40">
        <v>18</v>
      </c>
      <c r="S1639" s="40">
        <v>12</v>
      </c>
    </row>
    <row r="1640" spans="1:19" x14ac:dyDescent="0.35">
      <c r="A1640" s="38">
        <v>1847</v>
      </c>
      <c r="B1640" s="38" t="str">
        <f>_xlfn.XLOOKUP(A1640,'Model Modeshare by TAZ'!A:A,'Model Modeshare by TAZ'!B:B)</f>
        <v>San Francisco</v>
      </c>
      <c r="C1640" s="38" t="str">
        <f>_xlfn.XLOOKUP(A1640,'Model Modeshare by TAZ'!A:A,'Model Modeshare by TAZ'!D:D)</f>
        <v>NO</v>
      </c>
      <c r="D1640" s="6">
        <v>1</v>
      </c>
      <c r="E1640" s="6">
        <v>1253</v>
      </c>
      <c r="F1640" s="6">
        <v>4361</v>
      </c>
      <c r="G1640" s="6">
        <v>4414</v>
      </c>
      <c r="H1640" s="6">
        <v>2052</v>
      </c>
      <c r="I1640" s="6">
        <v>876</v>
      </c>
      <c r="J1640" s="6">
        <v>377</v>
      </c>
      <c r="K1640" s="40">
        <v>63</v>
      </c>
      <c r="L1640" s="40">
        <v>43</v>
      </c>
      <c r="M1640" s="40">
        <v>2034</v>
      </c>
      <c r="N1640" s="40">
        <v>343</v>
      </c>
      <c r="O1640" s="40">
        <v>507</v>
      </c>
      <c r="P1640" s="40">
        <v>330</v>
      </c>
      <c r="Q1640" s="40">
        <v>0</v>
      </c>
      <c r="R1640" s="40">
        <v>679</v>
      </c>
      <c r="S1640" s="40">
        <v>175</v>
      </c>
    </row>
    <row r="1641" spans="1:19" x14ac:dyDescent="0.35">
      <c r="A1641" s="38">
        <v>1848</v>
      </c>
      <c r="B1641" s="38" t="str">
        <f>_xlfn.XLOOKUP(A1641,'Model Modeshare by TAZ'!A:A,'Model Modeshare by TAZ'!B:B)</f>
        <v>San Francisco</v>
      </c>
      <c r="C1641" s="38" t="str">
        <f>_xlfn.XLOOKUP(A1641,'Model Modeshare by TAZ'!A:A,'Model Modeshare by TAZ'!D:D)</f>
        <v>NO</v>
      </c>
      <c r="D1641" s="6">
        <v>1</v>
      </c>
      <c r="E1641" s="6">
        <v>861</v>
      </c>
      <c r="F1641" s="6">
        <v>3176</v>
      </c>
      <c r="G1641" s="6">
        <v>3176</v>
      </c>
      <c r="H1641" s="6">
        <v>1415</v>
      </c>
      <c r="I1641" s="6">
        <v>527</v>
      </c>
      <c r="J1641" s="6">
        <v>334</v>
      </c>
      <c r="K1641" s="40">
        <v>55</v>
      </c>
      <c r="L1641" s="40">
        <v>54</v>
      </c>
      <c r="M1641" s="40">
        <v>2430</v>
      </c>
      <c r="N1641" s="40">
        <v>465</v>
      </c>
      <c r="O1641" s="40">
        <v>427</v>
      </c>
      <c r="P1641" s="40">
        <v>615</v>
      </c>
      <c r="Q1641" s="40">
        <v>0</v>
      </c>
      <c r="R1641" s="40">
        <v>709</v>
      </c>
      <c r="S1641" s="40">
        <v>215</v>
      </c>
    </row>
    <row r="1642" spans="1:19" x14ac:dyDescent="0.35">
      <c r="A1642" s="38">
        <v>1849</v>
      </c>
      <c r="B1642" s="38" t="str">
        <f>_xlfn.XLOOKUP(A1642,'Model Modeshare by TAZ'!A:A,'Model Modeshare by TAZ'!B:B)</f>
        <v>San Francisco</v>
      </c>
      <c r="C1642" s="38" t="str">
        <f>_xlfn.XLOOKUP(A1642,'Model Modeshare by TAZ'!A:A,'Model Modeshare by TAZ'!D:D)</f>
        <v>NO</v>
      </c>
      <c r="D1642" s="6">
        <v>1</v>
      </c>
      <c r="E1642" s="6">
        <v>1594</v>
      </c>
      <c r="F1642" s="6">
        <v>4719</v>
      </c>
      <c r="G1642" s="6">
        <v>4730</v>
      </c>
      <c r="H1642" s="6">
        <v>2574</v>
      </c>
      <c r="I1642" s="6">
        <v>1132</v>
      </c>
      <c r="J1642" s="6">
        <v>462</v>
      </c>
      <c r="K1642" s="40">
        <v>78</v>
      </c>
      <c r="L1642" s="40">
        <v>140</v>
      </c>
      <c r="M1642" s="40">
        <v>1653</v>
      </c>
      <c r="N1642" s="40">
        <v>82</v>
      </c>
      <c r="O1642" s="40">
        <v>178</v>
      </c>
      <c r="P1642" s="40">
        <v>1236</v>
      </c>
      <c r="Q1642" s="40">
        <v>0</v>
      </c>
      <c r="R1642" s="40">
        <v>128</v>
      </c>
      <c r="S1642" s="40">
        <v>29</v>
      </c>
    </row>
    <row r="1643" spans="1:19" x14ac:dyDescent="0.35">
      <c r="A1643" s="38">
        <v>1850</v>
      </c>
      <c r="B1643" s="38" t="str">
        <f>_xlfn.XLOOKUP(A1643,'Model Modeshare by TAZ'!A:A,'Model Modeshare by TAZ'!B:B)</f>
        <v>San Francisco</v>
      </c>
      <c r="C1643" s="38" t="str">
        <f>_xlfn.XLOOKUP(A1643,'Model Modeshare by TAZ'!A:A,'Model Modeshare by TAZ'!D:D)</f>
        <v>NO</v>
      </c>
      <c r="D1643" s="6">
        <v>1</v>
      </c>
      <c r="E1643" s="6">
        <v>949</v>
      </c>
      <c r="F1643" s="6">
        <v>3203</v>
      </c>
      <c r="G1643" s="6">
        <v>3203</v>
      </c>
      <c r="H1643" s="6">
        <v>1666</v>
      </c>
      <c r="I1643" s="6">
        <v>692</v>
      </c>
      <c r="J1643" s="6">
        <v>257</v>
      </c>
      <c r="K1643" s="40">
        <v>32</v>
      </c>
      <c r="L1643" s="40">
        <v>70</v>
      </c>
      <c r="M1643" s="40">
        <v>2082</v>
      </c>
      <c r="N1643" s="40">
        <v>121</v>
      </c>
      <c r="O1643" s="40">
        <v>366</v>
      </c>
      <c r="P1643" s="40">
        <v>860</v>
      </c>
      <c r="Q1643" s="40">
        <v>10</v>
      </c>
      <c r="R1643" s="40">
        <v>536</v>
      </c>
      <c r="S1643" s="40">
        <v>189</v>
      </c>
    </row>
    <row r="1644" spans="1:19" x14ac:dyDescent="0.35">
      <c r="A1644" s="38">
        <v>1851</v>
      </c>
      <c r="B1644" s="38" t="str">
        <f>_xlfn.XLOOKUP(A1644,'Model Modeshare by TAZ'!A:A,'Model Modeshare by TAZ'!B:B)</f>
        <v>San Francisco</v>
      </c>
      <c r="C1644" s="38" t="str">
        <f>_xlfn.XLOOKUP(A1644,'Model Modeshare by TAZ'!A:A,'Model Modeshare by TAZ'!D:D)</f>
        <v>NO</v>
      </c>
      <c r="D1644" s="6">
        <v>1</v>
      </c>
      <c r="E1644" s="6">
        <v>619</v>
      </c>
      <c r="F1644" s="6">
        <v>2040</v>
      </c>
      <c r="G1644" s="6">
        <v>2061</v>
      </c>
      <c r="H1644" s="6">
        <v>1073</v>
      </c>
      <c r="I1644" s="6">
        <v>438</v>
      </c>
      <c r="J1644" s="6">
        <v>181</v>
      </c>
      <c r="K1644" s="40">
        <v>27</v>
      </c>
      <c r="L1644" s="40">
        <v>1</v>
      </c>
      <c r="M1644" s="40">
        <v>79</v>
      </c>
      <c r="N1644" s="40">
        <v>31</v>
      </c>
      <c r="O1644" s="40">
        <v>8</v>
      </c>
      <c r="P1644" s="40">
        <v>12</v>
      </c>
      <c r="Q1644" s="40">
        <v>0</v>
      </c>
      <c r="R1644" s="40">
        <v>27</v>
      </c>
      <c r="S1644" s="40">
        <v>0</v>
      </c>
    </row>
    <row r="1645" spans="1:19" x14ac:dyDescent="0.35">
      <c r="A1645" s="38">
        <v>1852</v>
      </c>
      <c r="B1645" s="38" t="str">
        <f>_xlfn.XLOOKUP(A1645,'Model Modeshare by TAZ'!A:A,'Model Modeshare by TAZ'!B:B)</f>
        <v>San Francisco</v>
      </c>
      <c r="C1645" s="38" t="str">
        <f>_xlfn.XLOOKUP(A1645,'Model Modeshare by TAZ'!A:A,'Model Modeshare by TAZ'!D:D)</f>
        <v>NO</v>
      </c>
      <c r="D1645" s="6">
        <v>1</v>
      </c>
      <c r="E1645" s="6">
        <v>1504</v>
      </c>
      <c r="F1645" s="6">
        <v>4421</v>
      </c>
      <c r="G1645" s="6">
        <v>4498</v>
      </c>
      <c r="H1645" s="6">
        <v>2551</v>
      </c>
      <c r="I1645" s="6">
        <v>1416</v>
      </c>
      <c r="J1645" s="6">
        <v>88</v>
      </c>
      <c r="K1645" s="40">
        <v>72</v>
      </c>
      <c r="L1645" s="40">
        <v>27</v>
      </c>
      <c r="M1645" s="40">
        <v>270</v>
      </c>
      <c r="N1645" s="40">
        <v>6</v>
      </c>
      <c r="O1645" s="40">
        <v>52</v>
      </c>
      <c r="P1645" s="40">
        <v>211</v>
      </c>
      <c r="Q1645" s="40">
        <v>1</v>
      </c>
      <c r="R1645" s="40">
        <v>0</v>
      </c>
      <c r="S1645" s="40">
        <v>0</v>
      </c>
    </row>
    <row r="1646" spans="1:19" x14ac:dyDescent="0.35">
      <c r="A1646" s="38">
        <v>1853</v>
      </c>
      <c r="B1646" s="38" t="str">
        <f>_xlfn.XLOOKUP(A1646,'Model Modeshare by TAZ'!A:A,'Model Modeshare by TAZ'!B:B)</f>
        <v>San Francisco</v>
      </c>
      <c r="C1646" s="38" t="str">
        <f>_xlfn.XLOOKUP(A1646,'Model Modeshare by TAZ'!A:A,'Model Modeshare by TAZ'!D:D)</f>
        <v>NO</v>
      </c>
      <c r="D1646" s="6">
        <v>1</v>
      </c>
      <c r="E1646" s="6">
        <v>1177</v>
      </c>
      <c r="F1646" s="6">
        <v>4649</v>
      </c>
      <c r="G1646" s="6">
        <v>4670</v>
      </c>
      <c r="H1646" s="6">
        <v>2546</v>
      </c>
      <c r="I1646" s="6">
        <v>1017</v>
      </c>
      <c r="J1646" s="6">
        <v>160</v>
      </c>
      <c r="K1646" s="40">
        <v>59</v>
      </c>
      <c r="L1646" s="40">
        <v>1</v>
      </c>
      <c r="M1646" s="40">
        <v>63</v>
      </c>
      <c r="N1646" s="40">
        <v>7</v>
      </c>
      <c r="O1646" s="40">
        <v>15</v>
      </c>
      <c r="P1646" s="40">
        <v>27</v>
      </c>
      <c r="Q1646" s="40">
        <v>1</v>
      </c>
      <c r="R1646" s="40">
        <v>13</v>
      </c>
      <c r="S1646" s="40">
        <v>1</v>
      </c>
    </row>
    <row r="1647" spans="1:19" x14ac:dyDescent="0.35">
      <c r="A1647" s="38">
        <v>1854</v>
      </c>
      <c r="B1647" s="38" t="str">
        <f>_xlfn.XLOOKUP(A1647,'Model Modeshare by TAZ'!A:A,'Model Modeshare by TAZ'!B:B)</f>
        <v>San Francisco</v>
      </c>
      <c r="C1647" s="38" t="str">
        <f>_xlfn.XLOOKUP(A1647,'Model Modeshare by TAZ'!A:A,'Model Modeshare by TAZ'!D:D)</f>
        <v>NO</v>
      </c>
      <c r="D1647" s="6">
        <v>1</v>
      </c>
      <c r="E1647" s="6">
        <v>1051</v>
      </c>
      <c r="F1647" s="6">
        <v>3809</v>
      </c>
      <c r="G1647" s="6">
        <v>3868</v>
      </c>
      <c r="H1647" s="6">
        <v>1771</v>
      </c>
      <c r="I1647" s="6">
        <v>677</v>
      </c>
      <c r="J1647" s="6">
        <v>374</v>
      </c>
      <c r="K1647" s="40">
        <v>48</v>
      </c>
      <c r="L1647" s="40">
        <v>14</v>
      </c>
      <c r="M1647" s="40">
        <v>292</v>
      </c>
      <c r="N1647" s="40">
        <v>29</v>
      </c>
      <c r="O1647" s="40">
        <v>67</v>
      </c>
      <c r="P1647" s="40">
        <v>124</v>
      </c>
      <c r="Q1647" s="40">
        <v>5</v>
      </c>
      <c r="R1647" s="40">
        <v>57</v>
      </c>
      <c r="S1647" s="40">
        <v>10</v>
      </c>
    </row>
    <row r="1648" spans="1:19" x14ac:dyDescent="0.35">
      <c r="A1648" s="38">
        <v>1855</v>
      </c>
      <c r="B1648" s="38" t="str">
        <f>_xlfn.XLOOKUP(A1648,'Model Modeshare by TAZ'!A:A,'Model Modeshare by TAZ'!B:B)</f>
        <v>San Francisco</v>
      </c>
      <c r="C1648" s="38" t="str">
        <f>_xlfn.XLOOKUP(A1648,'Model Modeshare by TAZ'!A:A,'Model Modeshare by TAZ'!D:D)</f>
        <v>NO</v>
      </c>
      <c r="D1648" s="6">
        <v>1</v>
      </c>
      <c r="E1648" s="6">
        <v>1061</v>
      </c>
      <c r="F1648" s="6">
        <v>3689</v>
      </c>
      <c r="G1648" s="6">
        <v>3710</v>
      </c>
      <c r="H1648" s="6">
        <v>1649</v>
      </c>
      <c r="I1648" s="6">
        <v>1000</v>
      </c>
      <c r="J1648" s="6">
        <v>61</v>
      </c>
      <c r="K1648" s="40">
        <v>49</v>
      </c>
      <c r="L1648" s="40">
        <v>3</v>
      </c>
      <c r="M1648" s="40">
        <v>153</v>
      </c>
      <c r="N1648" s="40">
        <v>17</v>
      </c>
      <c r="O1648" s="40">
        <v>38</v>
      </c>
      <c r="P1648" s="40">
        <v>66</v>
      </c>
      <c r="Q1648" s="40">
        <v>1</v>
      </c>
      <c r="R1648" s="40">
        <v>31</v>
      </c>
      <c r="S1648" s="40">
        <v>1</v>
      </c>
    </row>
    <row r="1649" spans="1:19" x14ac:dyDescent="0.35">
      <c r="A1649" s="38">
        <v>1856</v>
      </c>
      <c r="B1649" s="38" t="str">
        <f>_xlfn.XLOOKUP(A1649,'Model Modeshare by TAZ'!A:A,'Model Modeshare by TAZ'!B:B)</f>
        <v>San Francisco</v>
      </c>
      <c r="C1649" s="38" t="str">
        <f>_xlfn.XLOOKUP(A1649,'Model Modeshare by TAZ'!A:A,'Model Modeshare by TAZ'!D:D)</f>
        <v>NO</v>
      </c>
      <c r="D1649" s="6">
        <v>1</v>
      </c>
      <c r="E1649" s="6">
        <v>700</v>
      </c>
      <c r="F1649" s="6">
        <v>2821</v>
      </c>
      <c r="G1649" s="6">
        <v>2823</v>
      </c>
      <c r="H1649" s="6">
        <v>1327</v>
      </c>
      <c r="I1649" s="6">
        <v>601</v>
      </c>
      <c r="J1649" s="6">
        <v>99</v>
      </c>
      <c r="K1649" s="40">
        <v>25</v>
      </c>
      <c r="L1649" s="40">
        <v>2</v>
      </c>
      <c r="M1649" s="40">
        <v>22</v>
      </c>
      <c r="N1649" s="40">
        <v>2</v>
      </c>
      <c r="O1649" s="40">
        <v>5</v>
      </c>
      <c r="P1649" s="40">
        <v>9</v>
      </c>
      <c r="Q1649" s="40">
        <v>0</v>
      </c>
      <c r="R1649" s="40">
        <v>5</v>
      </c>
      <c r="S1649" s="40">
        <v>0</v>
      </c>
    </row>
    <row r="1650" spans="1:19" x14ac:dyDescent="0.35">
      <c r="A1650" s="38">
        <v>1857</v>
      </c>
      <c r="B1650" s="38" t="str">
        <f>_xlfn.XLOOKUP(A1650,'Model Modeshare by TAZ'!A:A,'Model Modeshare by TAZ'!B:B)</f>
        <v>San Francisco</v>
      </c>
      <c r="C1650" s="38" t="str">
        <f>_xlfn.XLOOKUP(A1650,'Model Modeshare by TAZ'!A:A,'Model Modeshare by TAZ'!D:D)</f>
        <v>NO</v>
      </c>
      <c r="D1650" s="6">
        <v>1</v>
      </c>
      <c r="E1650" s="6">
        <v>951</v>
      </c>
      <c r="F1650" s="6">
        <v>3430</v>
      </c>
      <c r="G1650" s="6">
        <v>3430</v>
      </c>
      <c r="H1650" s="6">
        <v>1196</v>
      </c>
      <c r="I1650" s="6">
        <v>328</v>
      </c>
      <c r="J1650" s="6">
        <v>623</v>
      </c>
      <c r="K1650" s="40">
        <v>12</v>
      </c>
      <c r="L1650" s="40">
        <v>32</v>
      </c>
      <c r="M1650" s="40">
        <v>72</v>
      </c>
      <c r="N1650" s="40">
        <v>41</v>
      </c>
      <c r="O1650" s="40">
        <v>29</v>
      </c>
      <c r="P1650" s="40">
        <v>2</v>
      </c>
      <c r="Q1650" s="40">
        <v>0</v>
      </c>
      <c r="R1650" s="40">
        <v>0</v>
      </c>
      <c r="S1650" s="40">
        <v>0</v>
      </c>
    </row>
    <row r="1651" spans="1:19" x14ac:dyDescent="0.35">
      <c r="A1651" s="38">
        <v>1858</v>
      </c>
      <c r="B1651" s="38" t="str">
        <f>_xlfn.XLOOKUP(A1651,'Model Modeshare by TAZ'!A:A,'Model Modeshare by TAZ'!B:B)</f>
        <v>San Francisco</v>
      </c>
      <c r="C1651" s="38" t="str">
        <f>_xlfn.XLOOKUP(A1651,'Model Modeshare by TAZ'!A:A,'Model Modeshare by TAZ'!D:D)</f>
        <v>NO</v>
      </c>
      <c r="D1651" s="6">
        <v>1</v>
      </c>
      <c r="E1651" s="6">
        <v>302</v>
      </c>
      <c r="F1651" s="6">
        <v>852</v>
      </c>
      <c r="G1651" s="6">
        <v>917</v>
      </c>
      <c r="H1651" s="6">
        <v>271</v>
      </c>
      <c r="I1651" s="6">
        <v>274</v>
      </c>
      <c r="J1651" s="6">
        <v>28</v>
      </c>
      <c r="K1651" s="40">
        <v>9</v>
      </c>
      <c r="L1651" s="40">
        <v>22</v>
      </c>
      <c r="M1651" s="40">
        <v>402</v>
      </c>
      <c r="N1651" s="40">
        <v>190</v>
      </c>
      <c r="O1651" s="40">
        <v>157</v>
      </c>
      <c r="P1651" s="40">
        <v>55</v>
      </c>
      <c r="Q1651" s="40">
        <v>0</v>
      </c>
      <c r="R1651" s="40">
        <v>0</v>
      </c>
      <c r="S1651" s="40">
        <v>0</v>
      </c>
    </row>
    <row r="1652" spans="1:19" x14ac:dyDescent="0.35">
      <c r="A1652" s="38">
        <v>1859</v>
      </c>
      <c r="B1652" s="38" t="str">
        <f>_xlfn.XLOOKUP(A1652,'Model Modeshare by TAZ'!A:A,'Model Modeshare by TAZ'!B:B)</f>
        <v>San Francisco</v>
      </c>
      <c r="C1652" s="38" t="str">
        <f>_xlfn.XLOOKUP(A1652,'Model Modeshare by TAZ'!A:A,'Model Modeshare by TAZ'!D:D)</f>
        <v>NO</v>
      </c>
      <c r="D1652" s="6">
        <v>1</v>
      </c>
      <c r="E1652" s="6">
        <v>1533</v>
      </c>
      <c r="F1652" s="6">
        <v>4717</v>
      </c>
      <c r="G1652" s="6">
        <v>4717</v>
      </c>
      <c r="H1652" s="6">
        <v>2574</v>
      </c>
      <c r="I1652" s="6">
        <v>1205</v>
      </c>
      <c r="J1652" s="6">
        <v>328</v>
      </c>
      <c r="K1652" s="40">
        <v>83</v>
      </c>
      <c r="L1652" s="40">
        <v>3</v>
      </c>
      <c r="M1652" s="40">
        <v>140</v>
      </c>
      <c r="N1652" s="40">
        <v>30</v>
      </c>
      <c r="O1652" s="40">
        <v>44</v>
      </c>
      <c r="P1652" s="40">
        <v>60</v>
      </c>
      <c r="Q1652" s="40">
        <v>0</v>
      </c>
      <c r="R1652" s="40">
        <v>2</v>
      </c>
      <c r="S1652" s="40">
        <v>4</v>
      </c>
    </row>
    <row r="1653" spans="1:19" x14ac:dyDescent="0.35">
      <c r="A1653" s="38">
        <v>1860</v>
      </c>
      <c r="B1653" s="38" t="str">
        <f>_xlfn.XLOOKUP(A1653,'Model Modeshare by TAZ'!A:A,'Model Modeshare by TAZ'!B:B)</f>
        <v>San Francisco</v>
      </c>
      <c r="C1653" s="38" t="str">
        <f>_xlfn.XLOOKUP(A1653,'Model Modeshare by TAZ'!A:A,'Model Modeshare by TAZ'!D:D)</f>
        <v>NO</v>
      </c>
      <c r="D1653" s="6">
        <v>1</v>
      </c>
      <c r="E1653" s="6">
        <v>1395</v>
      </c>
      <c r="F1653" s="6">
        <v>5250</v>
      </c>
      <c r="G1653" s="6">
        <v>5261</v>
      </c>
      <c r="H1653" s="6">
        <v>2712</v>
      </c>
      <c r="I1653" s="6">
        <v>1260</v>
      </c>
      <c r="J1653" s="6">
        <v>135</v>
      </c>
      <c r="K1653" s="40">
        <v>62</v>
      </c>
      <c r="L1653" s="40">
        <v>2</v>
      </c>
      <c r="M1653" s="40">
        <v>222</v>
      </c>
      <c r="N1653" s="40">
        <v>26</v>
      </c>
      <c r="O1653" s="40">
        <v>115</v>
      </c>
      <c r="P1653" s="40">
        <v>80</v>
      </c>
      <c r="Q1653" s="40">
        <v>0</v>
      </c>
      <c r="R1653" s="40">
        <v>1</v>
      </c>
      <c r="S1653" s="40">
        <v>0</v>
      </c>
    </row>
    <row r="1654" spans="1:19" x14ac:dyDescent="0.35">
      <c r="A1654" s="38">
        <v>1861</v>
      </c>
      <c r="B1654" s="38" t="str">
        <f>_xlfn.XLOOKUP(A1654,'Model Modeshare by TAZ'!A:A,'Model Modeshare by TAZ'!B:B)</f>
        <v>San Francisco</v>
      </c>
      <c r="C1654" s="38" t="str">
        <f>_xlfn.XLOOKUP(A1654,'Model Modeshare by TAZ'!A:A,'Model Modeshare by TAZ'!D:D)</f>
        <v>NO</v>
      </c>
      <c r="D1654" s="6">
        <v>1</v>
      </c>
      <c r="E1654" s="6">
        <v>1276</v>
      </c>
      <c r="F1654" s="6">
        <v>4919</v>
      </c>
      <c r="G1654" s="6">
        <v>4924</v>
      </c>
      <c r="H1654" s="6">
        <v>2633</v>
      </c>
      <c r="I1654" s="6">
        <v>1088</v>
      </c>
      <c r="J1654" s="6">
        <v>188</v>
      </c>
      <c r="K1654" s="40">
        <v>50</v>
      </c>
      <c r="L1654" s="40">
        <v>4</v>
      </c>
      <c r="M1654" s="40">
        <v>192</v>
      </c>
      <c r="N1654" s="40">
        <v>23</v>
      </c>
      <c r="O1654" s="40">
        <v>98</v>
      </c>
      <c r="P1654" s="40">
        <v>70</v>
      </c>
      <c r="Q1654" s="40">
        <v>0</v>
      </c>
      <c r="R1654" s="40">
        <v>2</v>
      </c>
      <c r="S1654" s="40">
        <v>0</v>
      </c>
    </row>
    <row r="1655" spans="1:19" x14ac:dyDescent="0.35">
      <c r="A1655" s="38">
        <v>1862</v>
      </c>
      <c r="B1655" s="38" t="str">
        <f>_xlfn.XLOOKUP(A1655,'Model Modeshare by TAZ'!A:A,'Model Modeshare by TAZ'!B:B)</f>
        <v>San Francisco</v>
      </c>
      <c r="C1655" s="38" t="str">
        <f>_xlfn.XLOOKUP(A1655,'Model Modeshare by TAZ'!A:A,'Model Modeshare by TAZ'!D:D)</f>
        <v>NO</v>
      </c>
      <c r="D1655" s="6">
        <v>1</v>
      </c>
      <c r="E1655" s="6">
        <v>1406</v>
      </c>
      <c r="F1655" s="6">
        <v>4807</v>
      </c>
      <c r="G1655" s="6">
        <v>4830</v>
      </c>
      <c r="H1655" s="6">
        <v>2484</v>
      </c>
      <c r="I1655" s="6">
        <v>1164</v>
      </c>
      <c r="J1655" s="6">
        <v>242</v>
      </c>
      <c r="K1655" s="40">
        <v>56</v>
      </c>
      <c r="L1655" s="40">
        <v>4</v>
      </c>
      <c r="M1655" s="40">
        <v>445</v>
      </c>
      <c r="N1655" s="40">
        <v>97</v>
      </c>
      <c r="O1655" s="40">
        <v>142</v>
      </c>
      <c r="P1655" s="40">
        <v>188</v>
      </c>
      <c r="Q1655" s="40">
        <v>0</v>
      </c>
      <c r="R1655" s="40">
        <v>5</v>
      </c>
      <c r="S1655" s="40">
        <v>14</v>
      </c>
    </row>
    <row r="1656" spans="1:19" x14ac:dyDescent="0.35">
      <c r="A1656" s="38">
        <v>1863</v>
      </c>
      <c r="B1656" s="38" t="str">
        <f>_xlfn.XLOOKUP(A1656,'Model Modeshare by TAZ'!A:A,'Model Modeshare by TAZ'!B:B)</f>
        <v>San Francisco</v>
      </c>
      <c r="C1656" s="38" t="str">
        <f>_xlfn.XLOOKUP(A1656,'Model Modeshare by TAZ'!A:A,'Model Modeshare by TAZ'!D:D)</f>
        <v>NO</v>
      </c>
      <c r="D1656" s="6">
        <v>1</v>
      </c>
      <c r="E1656" s="6">
        <v>1212</v>
      </c>
      <c r="F1656" s="6">
        <v>4741</v>
      </c>
      <c r="G1656" s="6">
        <v>4828</v>
      </c>
      <c r="H1656" s="6">
        <v>2384</v>
      </c>
      <c r="I1656" s="6">
        <v>974</v>
      </c>
      <c r="J1656" s="6">
        <v>238</v>
      </c>
      <c r="K1656" s="40">
        <v>62</v>
      </c>
      <c r="L1656" s="40">
        <v>3</v>
      </c>
      <c r="M1656" s="40">
        <v>124</v>
      </c>
      <c r="N1656" s="40">
        <v>27</v>
      </c>
      <c r="O1656" s="40">
        <v>38</v>
      </c>
      <c r="P1656" s="40">
        <v>52</v>
      </c>
      <c r="Q1656" s="40">
        <v>0</v>
      </c>
      <c r="R1656" s="40">
        <v>2</v>
      </c>
      <c r="S1656" s="40">
        <v>4</v>
      </c>
    </row>
    <row r="1657" spans="1:19" x14ac:dyDescent="0.35">
      <c r="A1657" s="38">
        <v>1864</v>
      </c>
      <c r="B1657" s="38" t="str">
        <f>_xlfn.XLOOKUP(A1657,'Model Modeshare by TAZ'!A:A,'Model Modeshare by TAZ'!B:B)</f>
        <v>San Francisco</v>
      </c>
      <c r="C1657" s="38" t="str">
        <f>_xlfn.XLOOKUP(A1657,'Model Modeshare by TAZ'!A:A,'Model Modeshare by TAZ'!D:D)</f>
        <v>NO</v>
      </c>
      <c r="D1657" s="6">
        <v>1</v>
      </c>
      <c r="E1657" s="6">
        <v>2007</v>
      </c>
      <c r="F1657" s="6">
        <v>7591</v>
      </c>
      <c r="G1657" s="6">
        <v>7687</v>
      </c>
      <c r="H1657" s="6">
        <v>3772</v>
      </c>
      <c r="I1657" s="6">
        <v>1632</v>
      </c>
      <c r="J1657" s="6">
        <v>375</v>
      </c>
      <c r="K1657" s="40">
        <v>87</v>
      </c>
      <c r="L1657" s="40">
        <v>21</v>
      </c>
      <c r="M1657" s="40">
        <v>689</v>
      </c>
      <c r="N1657" s="40">
        <v>78</v>
      </c>
      <c r="O1657" s="40">
        <v>318</v>
      </c>
      <c r="P1657" s="40">
        <v>290</v>
      </c>
      <c r="Q1657" s="40">
        <v>0</v>
      </c>
      <c r="R1657" s="40">
        <v>0</v>
      </c>
      <c r="S1657" s="40">
        <v>3</v>
      </c>
    </row>
    <row r="1658" spans="1:19" x14ac:dyDescent="0.35">
      <c r="A1658" s="38">
        <v>1865</v>
      </c>
      <c r="B1658" s="38" t="str">
        <f>_xlfn.XLOOKUP(A1658,'Model Modeshare by TAZ'!A:A,'Model Modeshare by TAZ'!B:B)</f>
        <v>San Francisco</v>
      </c>
      <c r="C1658" s="38" t="str">
        <f>_xlfn.XLOOKUP(A1658,'Model Modeshare by TAZ'!A:A,'Model Modeshare by TAZ'!D:D)</f>
        <v>NO</v>
      </c>
      <c r="D1658" s="6">
        <v>1</v>
      </c>
      <c r="E1658" s="6">
        <v>1964</v>
      </c>
      <c r="F1658" s="6">
        <v>7048</v>
      </c>
      <c r="G1658" s="6">
        <v>7059</v>
      </c>
      <c r="H1658" s="6">
        <v>3818</v>
      </c>
      <c r="I1658" s="6">
        <v>1482</v>
      </c>
      <c r="J1658" s="6">
        <v>482</v>
      </c>
      <c r="K1658" s="40">
        <v>75</v>
      </c>
      <c r="L1658" s="40">
        <v>42</v>
      </c>
      <c r="M1658" s="40">
        <v>1621</v>
      </c>
      <c r="N1658" s="40">
        <v>465</v>
      </c>
      <c r="O1658" s="40">
        <v>369</v>
      </c>
      <c r="P1658" s="40">
        <v>708</v>
      </c>
      <c r="Q1658" s="40">
        <v>9</v>
      </c>
      <c r="R1658" s="40">
        <v>54</v>
      </c>
      <c r="S1658" s="40">
        <v>16</v>
      </c>
    </row>
    <row r="1659" spans="1:19" x14ac:dyDescent="0.35">
      <c r="A1659" s="38">
        <v>1866</v>
      </c>
      <c r="B1659" s="38" t="str">
        <f>_xlfn.XLOOKUP(A1659,'Model Modeshare by TAZ'!A:A,'Model Modeshare by TAZ'!B:B)</f>
        <v>San Francisco</v>
      </c>
      <c r="C1659" s="38" t="str">
        <f>_xlfn.XLOOKUP(A1659,'Model Modeshare by TAZ'!A:A,'Model Modeshare by TAZ'!D:D)</f>
        <v>NO</v>
      </c>
      <c r="D1659" s="6">
        <v>1</v>
      </c>
      <c r="E1659" s="6">
        <v>2836</v>
      </c>
      <c r="F1659" s="6">
        <v>10391</v>
      </c>
      <c r="G1659" s="6">
        <v>10520</v>
      </c>
      <c r="H1659" s="6">
        <v>5846</v>
      </c>
      <c r="I1659" s="6">
        <v>2303</v>
      </c>
      <c r="J1659" s="6">
        <v>533</v>
      </c>
      <c r="K1659" s="40">
        <v>122</v>
      </c>
      <c r="L1659" s="40">
        <v>12</v>
      </c>
      <c r="M1659" s="40">
        <v>647</v>
      </c>
      <c r="N1659" s="40">
        <v>270</v>
      </c>
      <c r="O1659" s="40">
        <v>232</v>
      </c>
      <c r="P1659" s="40">
        <v>135</v>
      </c>
      <c r="Q1659" s="40">
        <v>6</v>
      </c>
      <c r="R1659" s="40">
        <v>2</v>
      </c>
      <c r="S1659" s="40">
        <v>2</v>
      </c>
    </row>
    <row r="1660" spans="1:19" x14ac:dyDescent="0.35">
      <c r="A1660" s="38">
        <v>1867</v>
      </c>
      <c r="B1660" s="38" t="str">
        <f>_xlfn.XLOOKUP(A1660,'Model Modeshare by TAZ'!A:A,'Model Modeshare by TAZ'!B:B)</f>
        <v>San Francisco</v>
      </c>
      <c r="C1660" s="38" t="str">
        <f>_xlfn.XLOOKUP(A1660,'Model Modeshare by TAZ'!A:A,'Model Modeshare by TAZ'!D:D)</f>
        <v>NO</v>
      </c>
      <c r="D1660" s="6">
        <v>1</v>
      </c>
      <c r="E1660" s="6">
        <v>1866</v>
      </c>
      <c r="F1660" s="6">
        <v>6893</v>
      </c>
      <c r="G1660" s="6">
        <v>7013</v>
      </c>
      <c r="H1660" s="6">
        <v>3194</v>
      </c>
      <c r="I1660" s="6">
        <v>1654</v>
      </c>
      <c r="J1660" s="6">
        <v>212</v>
      </c>
      <c r="K1660" s="40">
        <v>104</v>
      </c>
      <c r="L1660" s="40">
        <v>15</v>
      </c>
      <c r="M1660" s="40">
        <v>261</v>
      </c>
      <c r="N1660" s="40">
        <v>86</v>
      </c>
      <c r="O1660" s="40">
        <v>54</v>
      </c>
      <c r="P1660" s="40">
        <v>121</v>
      </c>
      <c r="Q1660" s="40">
        <v>0</v>
      </c>
      <c r="R1660" s="40">
        <v>0</v>
      </c>
      <c r="S1660" s="40">
        <v>0</v>
      </c>
    </row>
    <row r="1661" spans="1:19" x14ac:dyDescent="0.35">
      <c r="A1661" s="38">
        <v>1868</v>
      </c>
      <c r="B1661" s="38" t="str">
        <f>_xlfn.XLOOKUP(A1661,'Model Modeshare by TAZ'!A:A,'Model Modeshare by TAZ'!B:B)</f>
        <v>San Francisco</v>
      </c>
      <c r="C1661" s="38" t="str">
        <f>_xlfn.XLOOKUP(A1661,'Model Modeshare by TAZ'!A:A,'Model Modeshare by TAZ'!D:D)</f>
        <v>NO</v>
      </c>
      <c r="D1661" s="6">
        <v>1</v>
      </c>
      <c r="E1661" s="6">
        <v>3256</v>
      </c>
      <c r="F1661" s="6">
        <v>10435</v>
      </c>
      <c r="G1661" s="6">
        <v>10466</v>
      </c>
      <c r="H1661" s="6">
        <v>5435</v>
      </c>
      <c r="I1661" s="6">
        <v>2871</v>
      </c>
      <c r="J1661" s="6">
        <v>385</v>
      </c>
      <c r="K1661" s="40">
        <v>142</v>
      </c>
      <c r="L1661" s="40">
        <v>26</v>
      </c>
      <c r="M1661" s="40">
        <v>622</v>
      </c>
      <c r="N1661" s="40">
        <v>260</v>
      </c>
      <c r="O1661" s="40">
        <v>305</v>
      </c>
      <c r="P1661" s="40">
        <v>51</v>
      </c>
      <c r="Q1661" s="40">
        <v>0</v>
      </c>
      <c r="R1661" s="40">
        <v>0</v>
      </c>
      <c r="S1661" s="40">
        <v>6</v>
      </c>
    </row>
    <row r="1662" spans="1:19" x14ac:dyDescent="0.35">
      <c r="A1662" s="38">
        <v>1869</v>
      </c>
      <c r="B1662" s="38" t="str">
        <f>_xlfn.XLOOKUP(A1662,'Model Modeshare by TAZ'!A:A,'Model Modeshare by TAZ'!B:B)</f>
        <v>San Francisco</v>
      </c>
      <c r="C1662" s="38" t="str">
        <f>_xlfn.XLOOKUP(A1662,'Model Modeshare by TAZ'!A:A,'Model Modeshare by TAZ'!D:D)</f>
        <v>NO</v>
      </c>
      <c r="D1662" s="6">
        <v>1</v>
      </c>
      <c r="E1662" s="6">
        <v>2343</v>
      </c>
      <c r="F1662" s="6">
        <v>6860</v>
      </c>
      <c r="G1662" s="6">
        <v>6891</v>
      </c>
      <c r="H1662" s="6">
        <v>3452</v>
      </c>
      <c r="I1662" s="6">
        <v>2169</v>
      </c>
      <c r="J1662" s="6">
        <v>174</v>
      </c>
      <c r="K1662" s="40">
        <v>270</v>
      </c>
      <c r="L1662" s="40">
        <v>20</v>
      </c>
      <c r="M1662" s="40">
        <v>1482</v>
      </c>
      <c r="N1662" s="40">
        <v>302</v>
      </c>
      <c r="O1662" s="40">
        <v>935</v>
      </c>
      <c r="P1662" s="40">
        <v>235</v>
      </c>
      <c r="Q1662" s="40">
        <v>0</v>
      </c>
      <c r="R1662" s="40">
        <v>5</v>
      </c>
      <c r="S1662" s="40">
        <v>5</v>
      </c>
    </row>
    <row r="1663" spans="1:19" x14ac:dyDescent="0.35">
      <c r="A1663" s="38">
        <v>1870</v>
      </c>
      <c r="B1663" s="38" t="str">
        <f>_xlfn.XLOOKUP(A1663,'Model Modeshare by TAZ'!A:A,'Model Modeshare by TAZ'!B:B)</f>
        <v>San Francisco</v>
      </c>
      <c r="C1663" s="38" t="str">
        <f>_xlfn.XLOOKUP(A1663,'Model Modeshare by TAZ'!A:A,'Model Modeshare by TAZ'!D:D)</f>
        <v>NO</v>
      </c>
      <c r="D1663" s="6">
        <v>1</v>
      </c>
      <c r="E1663" s="6">
        <v>2256</v>
      </c>
      <c r="F1663" s="6">
        <v>5994</v>
      </c>
      <c r="G1663" s="6">
        <v>6124</v>
      </c>
      <c r="H1663" s="6">
        <v>3206</v>
      </c>
      <c r="I1663" s="6">
        <v>1961</v>
      </c>
      <c r="J1663" s="6">
        <v>295</v>
      </c>
      <c r="K1663" s="40">
        <v>164</v>
      </c>
      <c r="L1663" s="40">
        <v>19</v>
      </c>
      <c r="M1663" s="40">
        <v>2245</v>
      </c>
      <c r="N1663" s="40">
        <v>667</v>
      </c>
      <c r="O1663" s="40">
        <v>1007</v>
      </c>
      <c r="P1663" s="40">
        <v>540</v>
      </c>
      <c r="Q1663" s="40">
        <v>1</v>
      </c>
      <c r="R1663" s="40">
        <v>16</v>
      </c>
      <c r="S1663" s="40">
        <v>14</v>
      </c>
    </row>
    <row r="1664" spans="1:19" x14ac:dyDescent="0.35">
      <c r="A1664" s="38">
        <v>1871</v>
      </c>
      <c r="B1664" s="38" t="str">
        <f>_xlfn.XLOOKUP(A1664,'Model Modeshare by TAZ'!A:A,'Model Modeshare by TAZ'!B:B)</f>
        <v>San Francisco</v>
      </c>
      <c r="C1664" s="38" t="str">
        <f>_xlfn.XLOOKUP(A1664,'Model Modeshare by TAZ'!A:A,'Model Modeshare by TAZ'!D:D)</f>
        <v>NO</v>
      </c>
      <c r="D1664" s="6">
        <v>1</v>
      </c>
      <c r="E1664" s="6">
        <v>917</v>
      </c>
      <c r="F1664" s="6">
        <v>2515</v>
      </c>
      <c r="G1664" s="6">
        <v>2524</v>
      </c>
      <c r="H1664" s="6">
        <v>1184</v>
      </c>
      <c r="I1664" s="6">
        <v>879</v>
      </c>
      <c r="J1664" s="6">
        <v>38</v>
      </c>
      <c r="K1664" s="40">
        <v>74</v>
      </c>
      <c r="L1664" s="40">
        <v>4</v>
      </c>
      <c r="M1664" s="40">
        <v>536</v>
      </c>
      <c r="N1664" s="40">
        <v>130</v>
      </c>
      <c r="O1664" s="40">
        <v>369</v>
      </c>
      <c r="P1664" s="40">
        <v>29</v>
      </c>
      <c r="Q1664" s="40">
        <v>0</v>
      </c>
      <c r="R1664" s="40">
        <v>3</v>
      </c>
      <c r="S1664" s="40">
        <v>5</v>
      </c>
    </row>
    <row r="1665" spans="1:19" x14ac:dyDescent="0.35">
      <c r="A1665" s="38">
        <v>1872</v>
      </c>
      <c r="B1665" s="38" t="str">
        <f>_xlfn.XLOOKUP(A1665,'Model Modeshare by TAZ'!A:A,'Model Modeshare by TAZ'!B:B)</f>
        <v>San Francisco</v>
      </c>
      <c r="C1665" s="38" t="str">
        <f>_xlfn.XLOOKUP(A1665,'Model Modeshare by TAZ'!A:A,'Model Modeshare by TAZ'!D:D)</f>
        <v>NO</v>
      </c>
      <c r="D1665" s="6">
        <v>1</v>
      </c>
      <c r="E1665" s="6">
        <v>1967</v>
      </c>
      <c r="F1665" s="6">
        <v>5568</v>
      </c>
      <c r="G1665" s="6">
        <v>5568</v>
      </c>
      <c r="H1665" s="6">
        <v>2987</v>
      </c>
      <c r="I1665" s="6">
        <v>1697</v>
      </c>
      <c r="J1665" s="6">
        <v>270</v>
      </c>
      <c r="K1665" s="40">
        <v>142</v>
      </c>
      <c r="L1665" s="40">
        <v>13</v>
      </c>
      <c r="M1665" s="40">
        <v>857</v>
      </c>
      <c r="N1665" s="40">
        <v>321</v>
      </c>
      <c r="O1665" s="40">
        <v>245</v>
      </c>
      <c r="P1665" s="40">
        <v>264</v>
      </c>
      <c r="Q1665" s="40">
        <v>2</v>
      </c>
      <c r="R1665" s="40">
        <v>0</v>
      </c>
      <c r="S1665" s="40">
        <v>25</v>
      </c>
    </row>
    <row r="1666" spans="1:19" x14ac:dyDescent="0.35">
      <c r="A1666" s="38">
        <v>1873</v>
      </c>
      <c r="B1666" s="38" t="str">
        <f>_xlfn.XLOOKUP(A1666,'Model Modeshare by TAZ'!A:A,'Model Modeshare by TAZ'!B:B)</f>
        <v>San Francisco</v>
      </c>
      <c r="C1666" s="38" t="str">
        <f>_xlfn.XLOOKUP(A1666,'Model Modeshare by TAZ'!A:A,'Model Modeshare by TAZ'!D:D)</f>
        <v>NO</v>
      </c>
      <c r="D1666" s="6">
        <v>1</v>
      </c>
      <c r="E1666" s="6">
        <v>1462</v>
      </c>
      <c r="F1666" s="6">
        <v>4139</v>
      </c>
      <c r="G1666" s="6">
        <v>4139</v>
      </c>
      <c r="H1666" s="6">
        <v>2107</v>
      </c>
      <c r="I1666" s="6">
        <v>1253</v>
      </c>
      <c r="J1666" s="6">
        <v>209</v>
      </c>
      <c r="K1666" s="40">
        <v>91</v>
      </c>
      <c r="L1666" s="40">
        <v>1</v>
      </c>
      <c r="M1666" s="40">
        <v>218</v>
      </c>
      <c r="N1666" s="40">
        <v>51</v>
      </c>
      <c r="O1666" s="40">
        <v>129</v>
      </c>
      <c r="P1666" s="40">
        <v>33</v>
      </c>
      <c r="Q1666" s="40">
        <v>0</v>
      </c>
      <c r="R1666" s="40">
        <v>0</v>
      </c>
      <c r="S1666" s="40">
        <v>5</v>
      </c>
    </row>
    <row r="1667" spans="1:19" x14ac:dyDescent="0.35">
      <c r="A1667" s="38">
        <v>1874</v>
      </c>
      <c r="B1667" s="38" t="str">
        <f>_xlfn.XLOOKUP(A1667,'Model Modeshare by TAZ'!A:A,'Model Modeshare by TAZ'!B:B)</f>
        <v>San Francisco</v>
      </c>
      <c r="C1667" s="38" t="str">
        <f>_xlfn.XLOOKUP(A1667,'Model Modeshare by TAZ'!A:A,'Model Modeshare by TAZ'!D:D)</f>
        <v>NO</v>
      </c>
      <c r="D1667" s="6">
        <v>1</v>
      </c>
      <c r="E1667" s="6">
        <v>2346</v>
      </c>
      <c r="F1667" s="6">
        <v>5905</v>
      </c>
      <c r="G1667" s="6">
        <v>5983</v>
      </c>
      <c r="H1667" s="6">
        <v>3479</v>
      </c>
      <c r="I1667" s="6">
        <v>1344</v>
      </c>
      <c r="J1667" s="6">
        <v>1002</v>
      </c>
      <c r="K1667" s="40">
        <v>113</v>
      </c>
      <c r="L1667" s="40">
        <v>3</v>
      </c>
      <c r="M1667" s="40">
        <v>271</v>
      </c>
      <c r="N1667" s="40">
        <v>61</v>
      </c>
      <c r="O1667" s="40">
        <v>163</v>
      </c>
      <c r="P1667" s="40">
        <v>41</v>
      </c>
      <c r="Q1667" s="40">
        <v>0</v>
      </c>
      <c r="R1667" s="40">
        <v>0</v>
      </c>
      <c r="S1667" s="40">
        <v>6</v>
      </c>
    </row>
    <row r="1668" spans="1:19" x14ac:dyDescent="0.35">
      <c r="A1668" s="38">
        <v>1875</v>
      </c>
      <c r="B1668" s="38" t="str">
        <f>_xlfn.XLOOKUP(A1668,'Model Modeshare by TAZ'!A:A,'Model Modeshare by TAZ'!B:B)</f>
        <v>San Francisco</v>
      </c>
      <c r="C1668" s="38" t="str">
        <f>_xlfn.XLOOKUP(A1668,'Model Modeshare by TAZ'!A:A,'Model Modeshare by TAZ'!D:D)</f>
        <v>NO</v>
      </c>
      <c r="D1668" s="6">
        <v>1</v>
      </c>
      <c r="E1668" s="6">
        <v>2138</v>
      </c>
      <c r="F1668" s="6">
        <v>4562</v>
      </c>
      <c r="G1668" s="6">
        <v>4599</v>
      </c>
      <c r="H1668" s="6">
        <v>2841</v>
      </c>
      <c r="I1668" s="6">
        <v>357</v>
      </c>
      <c r="J1668" s="6">
        <v>1781</v>
      </c>
      <c r="K1668" s="40">
        <v>47</v>
      </c>
      <c r="L1668" s="40">
        <v>6</v>
      </c>
      <c r="M1668" s="40">
        <v>1445</v>
      </c>
      <c r="N1668" s="40">
        <v>633</v>
      </c>
      <c r="O1668" s="40">
        <v>673</v>
      </c>
      <c r="P1668" s="40">
        <v>105</v>
      </c>
      <c r="Q1668" s="40">
        <v>2</v>
      </c>
      <c r="R1668" s="40">
        <v>7</v>
      </c>
      <c r="S1668" s="40">
        <v>25</v>
      </c>
    </row>
    <row r="1669" spans="1:19" x14ac:dyDescent="0.35">
      <c r="A1669" s="38">
        <v>1876</v>
      </c>
      <c r="B1669" s="38" t="str">
        <f>_xlfn.XLOOKUP(A1669,'Model Modeshare by TAZ'!A:A,'Model Modeshare by TAZ'!B:B)</f>
        <v>San Francisco</v>
      </c>
      <c r="C1669" s="38" t="str">
        <f>_xlfn.XLOOKUP(A1669,'Model Modeshare by TAZ'!A:A,'Model Modeshare by TAZ'!D:D)</f>
        <v>NO</v>
      </c>
      <c r="D1669" s="6">
        <v>1</v>
      </c>
      <c r="E1669" s="6">
        <v>1906</v>
      </c>
      <c r="F1669" s="6">
        <v>4319</v>
      </c>
      <c r="G1669" s="6">
        <v>4325</v>
      </c>
      <c r="H1669" s="6">
        <v>2817</v>
      </c>
      <c r="I1669" s="6">
        <v>404</v>
      </c>
      <c r="J1669" s="6">
        <v>1502</v>
      </c>
      <c r="K1669" s="40">
        <v>48</v>
      </c>
      <c r="L1669" s="40">
        <v>7</v>
      </c>
      <c r="M1669" s="40">
        <v>657</v>
      </c>
      <c r="N1669" s="40">
        <v>287</v>
      </c>
      <c r="O1669" s="40">
        <v>305</v>
      </c>
      <c r="P1669" s="40">
        <v>49</v>
      </c>
      <c r="Q1669" s="40">
        <v>1</v>
      </c>
      <c r="R1669" s="40">
        <v>4</v>
      </c>
      <c r="S1669" s="40">
        <v>11</v>
      </c>
    </row>
    <row r="1670" spans="1:19" x14ac:dyDescent="0.35">
      <c r="A1670" s="38">
        <v>1877</v>
      </c>
      <c r="B1670" s="38" t="str">
        <f>_xlfn.XLOOKUP(A1670,'Model Modeshare by TAZ'!A:A,'Model Modeshare by TAZ'!B:B)</f>
        <v>San Francisco</v>
      </c>
      <c r="C1670" s="38" t="str">
        <f>_xlfn.XLOOKUP(A1670,'Model Modeshare by TAZ'!A:A,'Model Modeshare by TAZ'!D:D)</f>
        <v>NO</v>
      </c>
      <c r="D1670" s="6">
        <v>1</v>
      </c>
      <c r="E1670" s="6">
        <v>3560</v>
      </c>
      <c r="F1670" s="6">
        <v>9570</v>
      </c>
      <c r="G1670" s="6">
        <v>9607</v>
      </c>
      <c r="H1670" s="6">
        <v>5337</v>
      </c>
      <c r="I1670" s="6">
        <v>1765</v>
      </c>
      <c r="J1670" s="6">
        <v>1795</v>
      </c>
      <c r="K1670" s="40">
        <v>133</v>
      </c>
      <c r="L1670" s="40">
        <v>14</v>
      </c>
      <c r="M1670" s="40">
        <v>1941</v>
      </c>
      <c r="N1670" s="40">
        <v>875</v>
      </c>
      <c r="O1670" s="40">
        <v>677</v>
      </c>
      <c r="P1670" s="40">
        <v>350</v>
      </c>
      <c r="Q1670" s="40">
        <v>1</v>
      </c>
      <c r="R1670" s="40">
        <v>4</v>
      </c>
      <c r="S1670" s="40">
        <v>34</v>
      </c>
    </row>
    <row r="1671" spans="1:19" x14ac:dyDescent="0.35">
      <c r="A1671" s="38">
        <v>1878</v>
      </c>
      <c r="B1671" s="38" t="str">
        <f>_xlfn.XLOOKUP(A1671,'Model Modeshare by TAZ'!A:A,'Model Modeshare by TAZ'!B:B)</f>
        <v>San Francisco</v>
      </c>
      <c r="C1671" s="38" t="str">
        <f>_xlfn.XLOOKUP(A1671,'Model Modeshare by TAZ'!A:A,'Model Modeshare by TAZ'!D:D)</f>
        <v>NO</v>
      </c>
      <c r="D1671" s="6">
        <v>1</v>
      </c>
      <c r="E1671" s="6">
        <v>2461</v>
      </c>
      <c r="F1671" s="6">
        <v>7103</v>
      </c>
      <c r="G1671" s="6">
        <v>7113</v>
      </c>
      <c r="H1671" s="6">
        <v>3963</v>
      </c>
      <c r="I1671" s="6">
        <v>1817</v>
      </c>
      <c r="J1671" s="6">
        <v>644</v>
      </c>
      <c r="K1671" s="40">
        <v>121</v>
      </c>
      <c r="L1671" s="40">
        <v>5</v>
      </c>
      <c r="M1671" s="40">
        <v>427</v>
      </c>
      <c r="N1671" s="40">
        <v>58</v>
      </c>
      <c r="O1671" s="40">
        <v>243</v>
      </c>
      <c r="P1671" s="40">
        <v>124</v>
      </c>
      <c r="Q1671" s="40">
        <v>0</v>
      </c>
      <c r="R1671" s="40">
        <v>0</v>
      </c>
      <c r="S1671" s="40">
        <v>2</v>
      </c>
    </row>
    <row r="1672" spans="1:19" x14ac:dyDescent="0.35">
      <c r="A1672" s="38">
        <v>1879</v>
      </c>
      <c r="B1672" s="38" t="str">
        <f>_xlfn.XLOOKUP(A1672,'Model Modeshare by TAZ'!A:A,'Model Modeshare by TAZ'!B:B)</f>
        <v>San Francisco</v>
      </c>
      <c r="C1672" s="38" t="str">
        <f>_xlfn.XLOOKUP(A1672,'Model Modeshare by TAZ'!A:A,'Model Modeshare by TAZ'!D:D)</f>
        <v>NO</v>
      </c>
      <c r="D1672" s="6">
        <v>1</v>
      </c>
      <c r="E1672" s="6">
        <v>2849</v>
      </c>
      <c r="F1672" s="6">
        <v>8859</v>
      </c>
      <c r="G1672" s="6">
        <v>8868</v>
      </c>
      <c r="H1672" s="6">
        <v>4562</v>
      </c>
      <c r="I1672" s="6">
        <v>2123</v>
      </c>
      <c r="J1672" s="6">
        <v>726</v>
      </c>
      <c r="K1672" s="40">
        <v>134</v>
      </c>
      <c r="L1672" s="40">
        <v>9</v>
      </c>
      <c r="M1672" s="40">
        <v>447</v>
      </c>
      <c r="N1672" s="40">
        <v>233</v>
      </c>
      <c r="O1672" s="40">
        <v>94</v>
      </c>
      <c r="P1672" s="40">
        <v>113</v>
      </c>
      <c r="Q1672" s="40">
        <v>0</v>
      </c>
      <c r="R1672" s="40">
        <v>0</v>
      </c>
      <c r="S1672" s="40">
        <v>8</v>
      </c>
    </row>
    <row r="1673" spans="1:19" x14ac:dyDescent="0.35">
      <c r="A1673" s="38">
        <v>1880</v>
      </c>
      <c r="B1673" s="38" t="str">
        <f>_xlfn.XLOOKUP(A1673,'Model Modeshare by TAZ'!A:A,'Model Modeshare by TAZ'!B:B)</f>
        <v>San Francisco</v>
      </c>
      <c r="C1673" s="38" t="str">
        <f>_xlfn.XLOOKUP(A1673,'Model Modeshare by TAZ'!A:A,'Model Modeshare by TAZ'!D:D)</f>
        <v>NO</v>
      </c>
      <c r="D1673" s="6">
        <v>1</v>
      </c>
      <c r="E1673" s="6">
        <v>1827</v>
      </c>
      <c r="F1673" s="6">
        <v>4591</v>
      </c>
      <c r="G1673" s="6">
        <v>4632</v>
      </c>
      <c r="H1673" s="6">
        <v>2790</v>
      </c>
      <c r="I1673" s="6">
        <v>579</v>
      </c>
      <c r="J1673" s="6">
        <v>1248</v>
      </c>
      <c r="K1673" s="40">
        <v>55</v>
      </c>
      <c r="L1673" s="40">
        <v>3</v>
      </c>
      <c r="M1673" s="40">
        <v>284</v>
      </c>
      <c r="N1673" s="40">
        <v>108</v>
      </c>
      <c r="O1673" s="40">
        <v>138</v>
      </c>
      <c r="P1673" s="40">
        <v>36</v>
      </c>
      <c r="Q1673" s="40">
        <v>0</v>
      </c>
      <c r="R1673" s="40">
        <v>0</v>
      </c>
      <c r="S1673" s="40">
        <v>2</v>
      </c>
    </row>
    <row r="1674" spans="1:19" x14ac:dyDescent="0.35">
      <c r="A1674" s="38">
        <v>1881</v>
      </c>
      <c r="B1674" s="38" t="str">
        <f>_xlfn.XLOOKUP(A1674,'Model Modeshare by TAZ'!A:A,'Model Modeshare by TAZ'!B:B)</f>
        <v>San Francisco</v>
      </c>
      <c r="C1674" s="38" t="str">
        <f>_xlfn.XLOOKUP(A1674,'Model Modeshare by TAZ'!A:A,'Model Modeshare by TAZ'!D:D)</f>
        <v>NO</v>
      </c>
      <c r="D1674" s="6">
        <v>1</v>
      </c>
      <c r="E1674" s="6">
        <v>1965</v>
      </c>
      <c r="F1674" s="6">
        <v>5847</v>
      </c>
      <c r="G1674" s="6">
        <v>5853</v>
      </c>
      <c r="H1674" s="6">
        <v>2980</v>
      </c>
      <c r="I1674" s="6">
        <v>1503</v>
      </c>
      <c r="J1674" s="6">
        <v>462</v>
      </c>
      <c r="K1674" s="40">
        <v>90</v>
      </c>
      <c r="L1674" s="40">
        <v>3</v>
      </c>
      <c r="M1674" s="40">
        <v>295</v>
      </c>
      <c r="N1674" s="40">
        <v>112</v>
      </c>
      <c r="O1674" s="40">
        <v>142</v>
      </c>
      <c r="P1674" s="40">
        <v>39</v>
      </c>
      <c r="Q1674" s="40">
        <v>1</v>
      </c>
      <c r="R1674" s="40">
        <v>0</v>
      </c>
      <c r="S1674" s="40">
        <v>2</v>
      </c>
    </row>
    <row r="1675" spans="1:19" x14ac:dyDescent="0.35">
      <c r="A1675" s="38">
        <v>1882</v>
      </c>
      <c r="B1675" s="38" t="str">
        <f>_xlfn.XLOOKUP(A1675,'Model Modeshare by TAZ'!A:A,'Model Modeshare by TAZ'!B:B)</f>
        <v>San Francisco</v>
      </c>
      <c r="C1675" s="38" t="str">
        <f>_xlfn.XLOOKUP(A1675,'Model Modeshare by TAZ'!A:A,'Model Modeshare by TAZ'!D:D)</f>
        <v>NO</v>
      </c>
      <c r="D1675" s="6">
        <v>1</v>
      </c>
      <c r="E1675" s="6">
        <v>2514</v>
      </c>
      <c r="F1675" s="6">
        <v>6466</v>
      </c>
      <c r="G1675" s="6">
        <v>6473</v>
      </c>
      <c r="H1675" s="6">
        <v>3736</v>
      </c>
      <c r="I1675" s="6">
        <v>1952</v>
      </c>
      <c r="J1675" s="6">
        <v>562</v>
      </c>
      <c r="K1675" s="40">
        <v>118</v>
      </c>
      <c r="L1675" s="40">
        <v>2</v>
      </c>
      <c r="M1675" s="40">
        <v>339</v>
      </c>
      <c r="N1675" s="40">
        <v>133</v>
      </c>
      <c r="O1675" s="40">
        <v>172</v>
      </c>
      <c r="P1675" s="40">
        <v>34</v>
      </c>
      <c r="Q1675" s="40">
        <v>0</v>
      </c>
      <c r="R1675" s="40">
        <v>0</v>
      </c>
      <c r="S1675" s="40">
        <v>0</v>
      </c>
    </row>
    <row r="1676" spans="1:19" x14ac:dyDescent="0.35">
      <c r="A1676" s="38">
        <v>1883</v>
      </c>
      <c r="B1676" s="38" t="str">
        <f>_xlfn.XLOOKUP(A1676,'Model Modeshare by TAZ'!A:A,'Model Modeshare by TAZ'!B:B)</f>
        <v>San Francisco</v>
      </c>
      <c r="C1676" s="38" t="str">
        <f>_xlfn.XLOOKUP(A1676,'Model Modeshare by TAZ'!A:A,'Model Modeshare by TAZ'!D:D)</f>
        <v>NO</v>
      </c>
      <c r="D1676" s="6">
        <v>1</v>
      </c>
      <c r="E1676" s="6">
        <v>2594</v>
      </c>
      <c r="F1676" s="6">
        <v>7485</v>
      </c>
      <c r="G1676" s="6">
        <v>7514</v>
      </c>
      <c r="H1676" s="6">
        <v>3847</v>
      </c>
      <c r="I1676" s="6">
        <v>2240</v>
      </c>
      <c r="J1676" s="6">
        <v>354</v>
      </c>
      <c r="K1676" s="40">
        <v>130</v>
      </c>
      <c r="L1676" s="40">
        <v>18</v>
      </c>
      <c r="M1676" s="40">
        <v>691</v>
      </c>
      <c r="N1676" s="40">
        <v>282</v>
      </c>
      <c r="O1676" s="40">
        <v>337</v>
      </c>
      <c r="P1676" s="40">
        <v>62</v>
      </c>
      <c r="Q1676" s="40">
        <v>0</v>
      </c>
      <c r="R1676" s="40">
        <v>6</v>
      </c>
      <c r="S1676" s="40">
        <v>5</v>
      </c>
    </row>
    <row r="1677" spans="1:19" x14ac:dyDescent="0.35">
      <c r="A1677" s="38">
        <v>1884</v>
      </c>
      <c r="B1677" s="38" t="str">
        <f>_xlfn.XLOOKUP(A1677,'Model Modeshare by TAZ'!A:A,'Model Modeshare by TAZ'!B:B)</f>
        <v>San Francisco</v>
      </c>
      <c r="C1677" s="38" t="str">
        <f>_xlfn.XLOOKUP(A1677,'Model Modeshare by TAZ'!A:A,'Model Modeshare by TAZ'!D:D)</f>
        <v>NO</v>
      </c>
      <c r="D1677" s="6">
        <v>1</v>
      </c>
      <c r="E1677" s="6">
        <v>3204</v>
      </c>
      <c r="F1677" s="6">
        <v>10176</v>
      </c>
      <c r="G1677" s="6">
        <v>10220</v>
      </c>
      <c r="H1677" s="6">
        <v>5074</v>
      </c>
      <c r="I1677" s="6">
        <v>2957</v>
      </c>
      <c r="J1677" s="6">
        <v>247</v>
      </c>
      <c r="K1677" s="40">
        <v>178</v>
      </c>
      <c r="L1677" s="40">
        <v>6</v>
      </c>
      <c r="M1677" s="40">
        <v>1032</v>
      </c>
      <c r="N1677" s="40">
        <v>583</v>
      </c>
      <c r="O1677" s="40">
        <v>158</v>
      </c>
      <c r="P1677" s="40">
        <v>284</v>
      </c>
      <c r="Q1677" s="40">
        <v>1</v>
      </c>
      <c r="R1677" s="40">
        <v>2</v>
      </c>
      <c r="S1677" s="40">
        <v>4</v>
      </c>
    </row>
    <row r="1678" spans="1:19" x14ac:dyDescent="0.35">
      <c r="A1678" s="38">
        <v>1885</v>
      </c>
      <c r="B1678" s="38" t="str">
        <f>_xlfn.XLOOKUP(A1678,'Model Modeshare by TAZ'!A:A,'Model Modeshare by TAZ'!B:B)</f>
        <v>San Francisco</v>
      </c>
      <c r="C1678" s="38" t="str">
        <f>_xlfn.XLOOKUP(A1678,'Model Modeshare by TAZ'!A:A,'Model Modeshare by TAZ'!D:D)</f>
        <v>NO</v>
      </c>
      <c r="D1678" s="6">
        <v>1</v>
      </c>
      <c r="E1678" s="6">
        <v>3006</v>
      </c>
      <c r="F1678" s="6">
        <v>8451</v>
      </c>
      <c r="G1678" s="6">
        <v>8594</v>
      </c>
      <c r="H1678" s="6">
        <v>4655</v>
      </c>
      <c r="I1678" s="6">
        <v>2330</v>
      </c>
      <c r="J1678" s="6">
        <v>676</v>
      </c>
      <c r="K1678" s="40">
        <v>145</v>
      </c>
      <c r="L1678" s="40">
        <v>40</v>
      </c>
      <c r="M1678" s="40">
        <v>2076</v>
      </c>
      <c r="N1678" s="40">
        <v>329</v>
      </c>
      <c r="O1678" s="40">
        <v>869</v>
      </c>
      <c r="P1678" s="40">
        <v>857</v>
      </c>
      <c r="Q1678" s="40">
        <v>1</v>
      </c>
      <c r="R1678" s="40">
        <v>12</v>
      </c>
      <c r="S1678" s="40">
        <v>8</v>
      </c>
    </row>
    <row r="1679" spans="1:19" x14ac:dyDescent="0.35">
      <c r="A1679" s="38">
        <v>1886</v>
      </c>
      <c r="B1679" s="38" t="str">
        <f>_xlfn.XLOOKUP(A1679,'Model Modeshare by TAZ'!A:A,'Model Modeshare by TAZ'!B:B)</f>
        <v>San Francisco</v>
      </c>
      <c r="C1679" s="38" t="str">
        <f>_xlfn.XLOOKUP(A1679,'Model Modeshare by TAZ'!A:A,'Model Modeshare by TAZ'!D:D)</f>
        <v>NO</v>
      </c>
      <c r="D1679" s="6">
        <v>1</v>
      </c>
      <c r="E1679" s="6">
        <v>2714</v>
      </c>
      <c r="F1679" s="6">
        <v>8083</v>
      </c>
      <c r="G1679" s="6">
        <v>8177</v>
      </c>
      <c r="H1679" s="6">
        <v>4295</v>
      </c>
      <c r="I1679" s="6">
        <v>2417</v>
      </c>
      <c r="J1679" s="6">
        <v>297</v>
      </c>
      <c r="K1679" s="40">
        <v>172</v>
      </c>
      <c r="L1679" s="40">
        <v>15</v>
      </c>
      <c r="M1679" s="40">
        <v>1302</v>
      </c>
      <c r="N1679" s="40">
        <v>412</v>
      </c>
      <c r="O1679" s="40">
        <v>657</v>
      </c>
      <c r="P1679" s="40">
        <v>209</v>
      </c>
      <c r="Q1679" s="40">
        <v>6</v>
      </c>
      <c r="R1679" s="40">
        <v>1</v>
      </c>
      <c r="S1679" s="40">
        <v>17</v>
      </c>
    </row>
    <row r="1680" spans="1:19" x14ac:dyDescent="0.35">
      <c r="A1680" s="38">
        <v>1887</v>
      </c>
      <c r="B1680" s="38" t="str">
        <f>_xlfn.XLOOKUP(A1680,'Model Modeshare by TAZ'!A:A,'Model Modeshare by TAZ'!B:B)</f>
        <v>San Francisco</v>
      </c>
      <c r="C1680" s="38" t="str">
        <f>_xlfn.XLOOKUP(A1680,'Model Modeshare by TAZ'!A:A,'Model Modeshare by TAZ'!D:D)</f>
        <v>NO</v>
      </c>
      <c r="D1680" s="6">
        <v>1</v>
      </c>
      <c r="E1680" s="6">
        <v>1463</v>
      </c>
      <c r="F1680" s="6">
        <v>4012</v>
      </c>
      <c r="G1680" s="6">
        <v>4042</v>
      </c>
      <c r="H1680" s="6">
        <v>1856</v>
      </c>
      <c r="I1680" s="6">
        <v>1419</v>
      </c>
      <c r="J1680" s="6">
        <v>44</v>
      </c>
      <c r="K1680" s="40">
        <v>116</v>
      </c>
      <c r="L1680" s="40">
        <v>10</v>
      </c>
      <c r="M1680" s="40">
        <v>1505</v>
      </c>
      <c r="N1680" s="40">
        <v>897</v>
      </c>
      <c r="O1680" s="40">
        <v>407</v>
      </c>
      <c r="P1680" s="40">
        <v>173</v>
      </c>
      <c r="Q1680" s="40">
        <v>0</v>
      </c>
      <c r="R1680" s="40">
        <v>3</v>
      </c>
      <c r="S1680" s="40">
        <v>25</v>
      </c>
    </row>
    <row r="1681" spans="1:19" x14ac:dyDescent="0.35">
      <c r="A1681" s="38">
        <v>1888</v>
      </c>
      <c r="B1681" s="38" t="str">
        <f>_xlfn.XLOOKUP(A1681,'Model Modeshare by TAZ'!A:A,'Model Modeshare by TAZ'!B:B)</f>
        <v>San Francisco</v>
      </c>
      <c r="C1681" s="38" t="str">
        <f>_xlfn.XLOOKUP(A1681,'Model Modeshare by TAZ'!A:A,'Model Modeshare by TAZ'!D:D)</f>
        <v>NO</v>
      </c>
      <c r="D1681" s="6">
        <v>1</v>
      </c>
      <c r="E1681" s="6">
        <v>640</v>
      </c>
      <c r="F1681" s="6">
        <v>1624</v>
      </c>
      <c r="G1681" s="6">
        <v>4165</v>
      </c>
      <c r="H1681" s="6">
        <v>1492</v>
      </c>
      <c r="I1681" s="6">
        <v>71</v>
      </c>
      <c r="J1681" s="6">
        <v>569</v>
      </c>
      <c r="K1681" s="40">
        <v>11</v>
      </c>
      <c r="L1681" s="40">
        <v>178</v>
      </c>
      <c r="M1681" s="40">
        <v>3743</v>
      </c>
      <c r="N1681" s="40">
        <v>1257</v>
      </c>
      <c r="O1681" s="40">
        <v>1922</v>
      </c>
      <c r="P1681" s="40">
        <v>499</v>
      </c>
      <c r="Q1681" s="40">
        <v>0</v>
      </c>
      <c r="R1681" s="40">
        <v>1</v>
      </c>
      <c r="S1681" s="40">
        <v>63</v>
      </c>
    </row>
    <row r="1682" spans="1:19" x14ac:dyDescent="0.35">
      <c r="A1682" s="38">
        <v>1889</v>
      </c>
      <c r="B1682" s="38" t="str">
        <f>_xlfn.XLOOKUP(A1682,'Model Modeshare by TAZ'!A:A,'Model Modeshare by TAZ'!B:B)</f>
        <v>San Francisco</v>
      </c>
      <c r="C1682" s="38" t="str">
        <f>_xlfn.XLOOKUP(A1682,'Model Modeshare by TAZ'!A:A,'Model Modeshare by TAZ'!D:D)</f>
        <v>NO</v>
      </c>
      <c r="D1682" s="6">
        <v>1</v>
      </c>
      <c r="E1682" s="6">
        <v>3177</v>
      </c>
      <c r="F1682" s="6">
        <v>8474</v>
      </c>
      <c r="G1682" s="6">
        <v>8474</v>
      </c>
      <c r="H1682" s="6">
        <v>4046</v>
      </c>
      <c r="I1682" s="6">
        <v>727</v>
      </c>
      <c r="J1682" s="6">
        <v>2450</v>
      </c>
      <c r="K1682" s="40">
        <v>72</v>
      </c>
      <c r="L1682" s="40">
        <v>6</v>
      </c>
      <c r="M1682" s="40">
        <v>1166</v>
      </c>
      <c r="N1682" s="40">
        <v>391</v>
      </c>
      <c r="O1682" s="40">
        <v>600</v>
      </c>
      <c r="P1682" s="40">
        <v>155</v>
      </c>
      <c r="Q1682" s="40">
        <v>0</v>
      </c>
      <c r="R1682" s="40">
        <v>0</v>
      </c>
      <c r="S1682" s="40">
        <v>20</v>
      </c>
    </row>
    <row r="1683" spans="1:19" x14ac:dyDescent="0.35">
      <c r="A1683" s="38">
        <v>1890</v>
      </c>
      <c r="B1683" s="38" t="str">
        <f>_xlfn.XLOOKUP(A1683,'Model Modeshare by TAZ'!A:A,'Model Modeshare by TAZ'!B:B)</f>
        <v>San Francisco</v>
      </c>
      <c r="C1683" s="38" t="str">
        <f>_xlfn.XLOOKUP(A1683,'Model Modeshare by TAZ'!A:A,'Model Modeshare by TAZ'!D:D)</f>
        <v>NO</v>
      </c>
      <c r="D1683" s="6">
        <v>1</v>
      </c>
      <c r="E1683" s="6">
        <v>998</v>
      </c>
      <c r="F1683" s="6">
        <v>1652</v>
      </c>
      <c r="G1683" s="6">
        <v>1662</v>
      </c>
      <c r="H1683" s="6">
        <v>790</v>
      </c>
      <c r="I1683" s="6">
        <v>159</v>
      </c>
      <c r="J1683" s="6">
        <v>839</v>
      </c>
      <c r="K1683" s="40">
        <v>14</v>
      </c>
      <c r="L1683" s="40">
        <v>28</v>
      </c>
      <c r="M1683" s="40">
        <v>927</v>
      </c>
      <c r="N1683" s="40">
        <v>254</v>
      </c>
      <c r="O1683" s="40">
        <v>531</v>
      </c>
      <c r="P1683" s="40">
        <v>132</v>
      </c>
      <c r="Q1683" s="40">
        <v>0</v>
      </c>
      <c r="R1683" s="40">
        <v>2</v>
      </c>
      <c r="S1683" s="40">
        <v>9</v>
      </c>
    </row>
    <row r="1684" spans="1:19" x14ac:dyDescent="0.35">
      <c r="A1684" s="38">
        <v>2047</v>
      </c>
      <c r="B1684" s="38" t="str">
        <f>_xlfn.XLOOKUP(A1684,'Model Modeshare by TAZ'!A:A,'Model Modeshare by TAZ'!B:B)</f>
        <v>Unincorporated</v>
      </c>
      <c r="C1684" s="38" t="str">
        <f>_xlfn.XLOOKUP(A1684,'Model Modeshare by TAZ'!A:A,'Model Modeshare by TAZ'!D:D)</f>
        <v>NO</v>
      </c>
      <c r="D1684" s="6">
        <v>4</v>
      </c>
      <c r="E1684" s="6">
        <v>2455</v>
      </c>
      <c r="F1684" s="6">
        <v>7321</v>
      </c>
      <c r="G1684" s="6">
        <v>7413</v>
      </c>
      <c r="H1684" s="6">
        <v>3870</v>
      </c>
      <c r="I1684" s="6">
        <v>1667</v>
      </c>
      <c r="J1684" s="6">
        <v>788</v>
      </c>
      <c r="K1684" s="40">
        <v>4601</v>
      </c>
      <c r="L1684" s="40">
        <v>2964</v>
      </c>
      <c r="M1684" s="40">
        <v>20542</v>
      </c>
      <c r="N1684" s="40">
        <v>286</v>
      </c>
      <c r="O1684" s="40">
        <v>13159</v>
      </c>
      <c r="P1684" s="40">
        <v>4686</v>
      </c>
      <c r="Q1684" s="40">
        <v>119</v>
      </c>
      <c r="R1684" s="40">
        <v>1421</v>
      </c>
      <c r="S1684" s="40">
        <v>871</v>
      </c>
    </row>
    <row r="1685" spans="1:19" x14ac:dyDescent="0.35">
      <c r="A1685" s="38">
        <v>2048</v>
      </c>
      <c r="B1685" s="38" t="str">
        <f>_xlfn.XLOOKUP(A1685,'Model Modeshare by TAZ'!A:A,'Model Modeshare by TAZ'!B:B)</f>
        <v>Livermore</v>
      </c>
      <c r="C1685" s="38" t="str">
        <f>_xlfn.XLOOKUP(A1685,'Model Modeshare by TAZ'!A:A,'Model Modeshare by TAZ'!D:D)</f>
        <v>NO</v>
      </c>
      <c r="D1685" s="6">
        <v>4</v>
      </c>
      <c r="E1685" s="6">
        <v>1773</v>
      </c>
      <c r="F1685" s="6">
        <v>4747</v>
      </c>
      <c r="G1685" s="6">
        <v>4759</v>
      </c>
      <c r="H1685" s="6">
        <v>2424</v>
      </c>
      <c r="I1685" s="6">
        <v>1191</v>
      </c>
      <c r="J1685" s="6">
        <v>582</v>
      </c>
      <c r="K1685" s="40">
        <v>970</v>
      </c>
      <c r="L1685" s="40">
        <v>60</v>
      </c>
      <c r="M1685" s="40">
        <v>2425</v>
      </c>
      <c r="N1685" s="40">
        <v>297</v>
      </c>
      <c r="O1685" s="40">
        <v>827</v>
      </c>
      <c r="P1685" s="40">
        <v>641</v>
      </c>
      <c r="Q1685" s="40">
        <v>19</v>
      </c>
      <c r="R1685" s="40">
        <v>504</v>
      </c>
      <c r="S1685" s="40">
        <v>137</v>
      </c>
    </row>
    <row r="1686" spans="1:19" x14ac:dyDescent="0.35">
      <c r="A1686" s="38">
        <v>2049</v>
      </c>
      <c r="B1686" s="38" t="str">
        <f>_xlfn.XLOOKUP(A1686,'Model Modeshare by TAZ'!A:A,'Model Modeshare by TAZ'!B:B)</f>
        <v>Livermore</v>
      </c>
      <c r="C1686" s="38" t="str">
        <f>_xlfn.XLOOKUP(A1686,'Model Modeshare by TAZ'!A:A,'Model Modeshare by TAZ'!D:D)</f>
        <v>NO</v>
      </c>
      <c r="D1686" s="6">
        <v>4</v>
      </c>
      <c r="E1686" s="6">
        <v>2178</v>
      </c>
      <c r="F1686" s="6">
        <v>5992</v>
      </c>
      <c r="G1686" s="6">
        <v>6047</v>
      </c>
      <c r="H1686" s="6">
        <v>3251</v>
      </c>
      <c r="I1686" s="6">
        <v>1773</v>
      </c>
      <c r="J1686" s="6">
        <v>405</v>
      </c>
      <c r="K1686" s="40">
        <v>473</v>
      </c>
      <c r="L1686" s="40">
        <v>151</v>
      </c>
      <c r="M1686" s="40">
        <v>1768</v>
      </c>
      <c r="N1686" s="40">
        <v>216</v>
      </c>
      <c r="O1686" s="40">
        <v>603</v>
      </c>
      <c r="P1686" s="40">
        <v>468</v>
      </c>
      <c r="Q1686" s="40">
        <v>14</v>
      </c>
      <c r="R1686" s="40">
        <v>366</v>
      </c>
      <c r="S1686" s="40">
        <v>100</v>
      </c>
    </row>
    <row r="1687" spans="1:19" x14ac:dyDescent="0.35">
      <c r="A1687" s="38">
        <v>2050</v>
      </c>
      <c r="B1687" s="38" t="str">
        <f>_xlfn.XLOOKUP(A1687,'Model Modeshare by TAZ'!A:A,'Model Modeshare by TAZ'!B:B)</f>
        <v>Livermore</v>
      </c>
      <c r="C1687" s="38" t="str">
        <f>_xlfn.XLOOKUP(A1687,'Model Modeshare by TAZ'!A:A,'Model Modeshare by TAZ'!D:D)</f>
        <v>NO</v>
      </c>
      <c r="D1687" s="6">
        <v>4</v>
      </c>
      <c r="E1687" s="6">
        <v>2878</v>
      </c>
      <c r="F1687" s="6">
        <v>8373</v>
      </c>
      <c r="G1687" s="6">
        <v>8384</v>
      </c>
      <c r="H1687" s="6">
        <v>4707</v>
      </c>
      <c r="I1687" s="6">
        <v>2202</v>
      </c>
      <c r="J1687" s="6">
        <v>676</v>
      </c>
      <c r="K1687" s="40">
        <v>817</v>
      </c>
      <c r="L1687" s="40">
        <v>268</v>
      </c>
      <c r="M1687" s="40">
        <v>5572</v>
      </c>
      <c r="N1687" s="40">
        <v>682</v>
      </c>
      <c r="O1687" s="40">
        <v>1902</v>
      </c>
      <c r="P1687" s="40">
        <v>1472</v>
      </c>
      <c r="Q1687" s="40">
        <v>46</v>
      </c>
      <c r="R1687" s="40">
        <v>1157</v>
      </c>
      <c r="S1687" s="40">
        <v>314</v>
      </c>
    </row>
    <row r="1688" spans="1:19" x14ac:dyDescent="0.35">
      <c r="A1688" s="38">
        <v>2051</v>
      </c>
      <c r="B1688" s="38" t="str">
        <f>_xlfn.XLOOKUP(A1688,'Model Modeshare by TAZ'!A:A,'Model Modeshare by TAZ'!B:B)</f>
        <v>Livermore</v>
      </c>
      <c r="C1688" s="38" t="str">
        <f>_xlfn.XLOOKUP(A1688,'Model Modeshare by TAZ'!A:A,'Model Modeshare by TAZ'!D:D)</f>
        <v>NO</v>
      </c>
      <c r="D1688" s="6">
        <v>4</v>
      </c>
      <c r="E1688" s="6">
        <v>2572</v>
      </c>
      <c r="F1688" s="6">
        <v>7018</v>
      </c>
      <c r="G1688" s="6">
        <v>7039</v>
      </c>
      <c r="H1688" s="6">
        <v>3844</v>
      </c>
      <c r="I1688" s="6">
        <v>2020</v>
      </c>
      <c r="J1688" s="6">
        <v>552</v>
      </c>
      <c r="K1688" s="40">
        <v>494</v>
      </c>
      <c r="L1688" s="40">
        <v>37</v>
      </c>
      <c r="M1688" s="40">
        <v>540</v>
      </c>
      <c r="N1688" s="40">
        <v>30</v>
      </c>
      <c r="O1688" s="40">
        <v>227</v>
      </c>
      <c r="P1688" s="40">
        <v>118</v>
      </c>
      <c r="Q1688" s="40">
        <v>0</v>
      </c>
      <c r="R1688" s="40">
        <v>101</v>
      </c>
      <c r="S1688" s="40">
        <v>63</v>
      </c>
    </row>
    <row r="1689" spans="1:19" x14ac:dyDescent="0.35">
      <c r="A1689" s="38">
        <v>2052</v>
      </c>
      <c r="B1689" s="38" t="str">
        <f>_xlfn.XLOOKUP(A1689,'Model Modeshare by TAZ'!A:A,'Model Modeshare by TAZ'!B:B)</f>
        <v>Unincorporated</v>
      </c>
      <c r="C1689" s="38" t="str">
        <f>_xlfn.XLOOKUP(A1689,'Model Modeshare by TAZ'!A:A,'Model Modeshare by TAZ'!D:D)</f>
        <v>NO</v>
      </c>
      <c r="D1689" s="6">
        <v>4</v>
      </c>
      <c r="E1689" s="6">
        <v>1551</v>
      </c>
      <c r="F1689" s="6">
        <v>4369</v>
      </c>
      <c r="G1689" s="6">
        <v>4391</v>
      </c>
      <c r="H1689" s="6">
        <v>2684</v>
      </c>
      <c r="I1689" s="6">
        <v>1357</v>
      </c>
      <c r="J1689" s="6">
        <v>194</v>
      </c>
      <c r="K1689" s="40">
        <v>1562</v>
      </c>
      <c r="L1689" s="40">
        <v>207</v>
      </c>
      <c r="M1689" s="40">
        <v>1775</v>
      </c>
      <c r="N1689" s="40">
        <v>97</v>
      </c>
      <c r="O1689" s="40">
        <v>745</v>
      </c>
      <c r="P1689" s="40">
        <v>394</v>
      </c>
      <c r="Q1689" s="40">
        <v>0</v>
      </c>
      <c r="R1689" s="40">
        <v>332</v>
      </c>
      <c r="S1689" s="40">
        <v>206</v>
      </c>
    </row>
    <row r="1690" spans="1:19" x14ac:dyDescent="0.35">
      <c r="A1690" s="38">
        <v>2053</v>
      </c>
      <c r="B1690" s="38" t="str">
        <f>_xlfn.XLOOKUP(A1690,'Model Modeshare by TAZ'!A:A,'Model Modeshare by TAZ'!B:B)</f>
        <v>Livermore</v>
      </c>
      <c r="C1690" s="38" t="str">
        <f>_xlfn.XLOOKUP(A1690,'Model Modeshare by TAZ'!A:A,'Model Modeshare by TAZ'!D:D)</f>
        <v>NO</v>
      </c>
      <c r="D1690" s="6">
        <v>4</v>
      </c>
      <c r="E1690" s="6">
        <v>2397</v>
      </c>
      <c r="F1690" s="6">
        <v>6127</v>
      </c>
      <c r="G1690" s="6">
        <v>6149</v>
      </c>
      <c r="H1690" s="6">
        <v>3301</v>
      </c>
      <c r="I1690" s="6">
        <v>1672</v>
      </c>
      <c r="J1690" s="6">
        <v>725</v>
      </c>
      <c r="K1690" s="40">
        <v>508</v>
      </c>
      <c r="L1690" s="40">
        <v>140</v>
      </c>
      <c r="M1690" s="40">
        <v>3456</v>
      </c>
      <c r="N1690" s="40">
        <v>1213</v>
      </c>
      <c r="O1690" s="40">
        <v>1782</v>
      </c>
      <c r="P1690" s="40">
        <v>383</v>
      </c>
      <c r="Q1690" s="40">
        <v>0</v>
      </c>
      <c r="R1690" s="40">
        <v>67</v>
      </c>
      <c r="S1690" s="40">
        <v>10</v>
      </c>
    </row>
    <row r="1691" spans="1:19" x14ac:dyDescent="0.35">
      <c r="A1691" s="38">
        <v>2054</v>
      </c>
      <c r="B1691" s="38" t="str">
        <f>_xlfn.XLOOKUP(A1691,'Model Modeshare by TAZ'!A:A,'Model Modeshare by TAZ'!B:B)</f>
        <v>Livermore</v>
      </c>
      <c r="C1691" s="38" t="str">
        <f>_xlfn.XLOOKUP(A1691,'Model Modeshare by TAZ'!A:A,'Model Modeshare by TAZ'!D:D)</f>
        <v>NO</v>
      </c>
      <c r="D1691" s="6">
        <v>4</v>
      </c>
      <c r="E1691" s="6">
        <v>2614</v>
      </c>
      <c r="F1691" s="6">
        <v>8071</v>
      </c>
      <c r="G1691" s="6">
        <v>8112</v>
      </c>
      <c r="H1691" s="6">
        <v>4570</v>
      </c>
      <c r="I1691" s="6">
        <v>2073</v>
      </c>
      <c r="J1691" s="6">
        <v>541</v>
      </c>
      <c r="K1691" s="40">
        <v>443</v>
      </c>
      <c r="L1691" s="40">
        <v>79</v>
      </c>
      <c r="M1691" s="40">
        <v>636</v>
      </c>
      <c r="N1691" s="40">
        <v>224</v>
      </c>
      <c r="O1691" s="40">
        <v>329</v>
      </c>
      <c r="P1691" s="40">
        <v>70</v>
      </c>
      <c r="Q1691" s="40">
        <v>0</v>
      </c>
      <c r="R1691" s="40">
        <v>12</v>
      </c>
      <c r="S1691" s="40">
        <v>1</v>
      </c>
    </row>
    <row r="1692" spans="1:19" x14ac:dyDescent="0.35">
      <c r="A1692" s="38">
        <v>2055</v>
      </c>
      <c r="B1692" s="38" t="str">
        <f>_xlfn.XLOOKUP(A1692,'Model Modeshare by TAZ'!A:A,'Model Modeshare by TAZ'!B:B)</f>
        <v>Livermore</v>
      </c>
      <c r="C1692" s="38" t="str">
        <f>_xlfn.XLOOKUP(A1692,'Model Modeshare by TAZ'!A:A,'Model Modeshare by TAZ'!D:D)</f>
        <v>NO</v>
      </c>
      <c r="D1692" s="6">
        <v>4</v>
      </c>
      <c r="E1692" s="6">
        <v>1979</v>
      </c>
      <c r="F1692" s="6">
        <v>5124</v>
      </c>
      <c r="G1692" s="6">
        <v>5157</v>
      </c>
      <c r="H1692" s="6">
        <v>2865</v>
      </c>
      <c r="I1692" s="6">
        <v>1551</v>
      </c>
      <c r="J1692" s="6">
        <v>428</v>
      </c>
      <c r="K1692" s="40">
        <v>650</v>
      </c>
      <c r="L1692" s="40">
        <v>75</v>
      </c>
      <c r="M1692" s="40">
        <v>2961</v>
      </c>
      <c r="N1692" s="40">
        <v>1422</v>
      </c>
      <c r="O1692" s="40">
        <v>1109</v>
      </c>
      <c r="P1692" s="40">
        <v>256</v>
      </c>
      <c r="Q1692" s="40">
        <v>20</v>
      </c>
      <c r="R1692" s="40">
        <v>115</v>
      </c>
      <c r="S1692" s="40">
        <v>40</v>
      </c>
    </row>
    <row r="1693" spans="1:19" x14ac:dyDescent="0.35">
      <c r="A1693" s="38">
        <v>2056</v>
      </c>
      <c r="B1693" s="38" t="str">
        <f>_xlfn.XLOOKUP(A1693,'Model Modeshare by TAZ'!A:A,'Model Modeshare by TAZ'!B:B)</f>
        <v>Livermore</v>
      </c>
      <c r="C1693" s="38" t="str">
        <f>_xlfn.XLOOKUP(A1693,'Model Modeshare by TAZ'!A:A,'Model Modeshare by TAZ'!D:D)</f>
        <v>NO</v>
      </c>
      <c r="D1693" s="6">
        <v>4</v>
      </c>
      <c r="E1693" s="6">
        <v>2886</v>
      </c>
      <c r="F1693" s="6">
        <v>6971</v>
      </c>
      <c r="G1693" s="6">
        <v>7104</v>
      </c>
      <c r="H1693" s="6">
        <v>3727</v>
      </c>
      <c r="I1693" s="6">
        <v>2001</v>
      </c>
      <c r="J1693" s="6">
        <v>885</v>
      </c>
      <c r="K1693" s="40">
        <v>518</v>
      </c>
      <c r="L1693" s="40">
        <v>146</v>
      </c>
      <c r="M1693" s="40">
        <v>7461</v>
      </c>
      <c r="N1693" s="40">
        <v>3603</v>
      </c>
      <c r="O1693" s="40">
        <v>2797</v>
      </c>
      <c r="P1693" s="40">
        <v>638</v>
      </c>
      <c r="Q1693" s="40">
        <v>48</v>
      </c>
      <c r="R1693" s="40">
        <v>276</v>
      </c>
      <c r="S1693" s="40">
        <v>100</v>
      </c>
    </row>
    <row r="1694" spans="1:19" x14ac:dyDescent="0.35">
      <c r="A1694" s="38">
        <v>2057</v>
      </c>
      <c r="B1694" s="38" t="str">
        <f>_xlfn.XLOOKUP(A1694,'Model Modeshare by TAZ'!A:A,'Model Modeshare by TAZ'!B:B)</f>
        <v>Livermore</v>
      </c>
      <c r="C1694" s="38" t="str">
        <f>_xlfn.XLOOKUP(A1694,'Model Modeshare by TAZ'!A:A,'Model Modeshare by TAZ'!D:D)</f>
        <v>NO</v>
      </c>
      <c r="D1694" s="6">
        <v>4</v>
      </c>
      <c r="E1694" s="6">
        <v>1393</v>
      </c>
      <c r="F1694" s="6">
        <v>4094</v>
      </c>
      <c r="G1694" s="6">
        <v>4111</v>
      </c>
      <c r="H1694" s="6">
        <v>1797</v>
      </c>
      <c r="I1694" s="6">
        <v>1373</v>
      </c>
      <c r="J1694" s="6">
        <v>20</v>
      </c>
      <c r="K1694" s="40">
        <v>813</v>
      </c>
      <c r="L1694" s="40">
        <v>12</v>
      </c>
      <c r="M1694" s="40">
        <v>362</v>
      </c>
      <c r="N1694" s="40">
        <v>6</v>
      </c>
      <c r="O1694" s="40">
        <v>239</v>
      </c>
      <c r="P1694" s="40">
        <v>76</v>
      </c>
      <c r="Q1694" s="40">
        <v>1</v>
      </c>
      <c r="R1694" s="40">
        <v>25</v>
      </c>
      <c r="S1694" s="40">
        <v>16</v>
      </c>
    </row>
    <row r="1695" spans="1:19" x14ac:dyDescent="0.35">
      <c r="A1695" s="38">
        <v>2058</v>
      </c>
      <c r="B1695" s="38" t="str">
        <f>_xlfn.XLOOKUP(A1695,'Model Modeshare by TAZ'!A:A,'Model Modeshare by TAZ'!B:B)</f>
        <v>Livermore</v>
      </c>
      <c r="C1695" s="38" t="str">
        <f>_xlfn.XLOOKUP(A1695,'Model Modeshare by TAZ'!A:A,'Model Modeshare by TAZ'!D:D)</f>
        <v>NO</v>
      </c>
      <c r="D1695" s="6">
        <v>4</v>
      </c>
      <c r="E1695" s="6">
        <v>3082</v>
      </c>
      <c r="F1695" s="6">
        <v>9215</v>
      </c>
      <c r="G1695" s="6">
        <v>9215</v>
      </c>
      <c r="H1695" s="6">
        <v>4559</v>
      </c>
      <c r="I1695" s="6">
        <v>2694</v>
      </c>
      <c r="J1695" s="6">
        <v>388</v>
      </c>
      <c r="K1695" s="40">
        <v>641</v>
      </c>
      <c r="L1695" s="40">
        <v>58</v>
      </c>
      <c r="M1695" s="40">
        <v>773</v>
      </c>
      <c r="N1695" s="40">
        <v>201</v>
      </c>
      <c r="O1695" s="40">
        <v>344</v>
      </c>
      <c r="P1695" s="40">
        <v>188</v>
      </c>
      <c r="Q1695" s="40">
        <v>10</v>
      </c>
      <c r="R1695" s="40">
        <v>0</v>
      </c>
      <c r="S1695" s="40">
        <v>31</v>
      </c>
    </row>
    <row r="1696" spans="1:19" x14ac:dyDescent="0.35">
      <c r="A1696" s="38">
        <v>2059</v>
      </c>
      <c r="B1696" s="38" t="str">
        <f>_xlfn.XLOOKUP(A1696,'Model Modeshare by TAZ'!A:A,'Model Modeshare by TAZ'!B:B)</f>
        <v>Livermore</v>
      </c>
      <c r="C1696" s="38" t="str">
        <f>_xlfn.XLOOKUP(A1696,'Model Modeshare by TAZ'!A:A,'Model Modeshare by TAZ'!D:D)</f>
        <v>NO</v>
      </c>
      <c r="D1696" s="6">
        <v>4</v>
      </c>
      <c r="E1696" s="6">
        <v>1052</v>
      </c>
      <c r="F1696" s="6">
        <v>3004</v>
      </c>
      <c r="G1696" s="6">
        <v>3028</v>
      </c>
      <c r="H1696" s="6">
        <v>1557</v>
      </c>
      <c r="I1696" s="6">
        <v>1021</v>
      </c>
      <c r="J1696" s="6">
        <v>31</v>
      </c>
      <c r="K1696" s="40">
        <v>236</v>
      </c>
      <c r="L1696" s="40">
        <v>55</v>
      </c>
      <c r="M1696" s="40">
        <v>288</v>
      </c>
      <c r="N1696" s="40">
        <v>75</v>
      </c>
      <c r="O1696" s="40">
        <v>128</v>
      </c>
      <c r="P1696" s="40">
        <v>71</v>
      </c>
      <c r="Q1696" s="40">
        <v>2</v>
      </c>
      <c r="R1696" s="40">
        <v>0</v>
      </c>
      <c r="S1696" s="40">
        <v>11</v>
      </c>
    </row>
    <row r="1697" spans="1:19" x14ac:dyDescent="0.35">
      <c r="A1697" s="38">
        <v>2060</v>
      </c>
      <c r="B1697" s="38" t="str">
        <f>_xlfn.XLOOKUP(A1697,'Model Modeshare by TAZ'!A:A,'Model Modeshare by TAZ'!B:B)</f>
        <v>Livermore</v>
      </c>
      <c r="C1697" s="38" t="str">
        <f>_xlfn.XLOOKUP(A1697,'Model Modeshare by TAZ'!A:A,'Model Modeshare by TAZ'!D:D)</f>
        <v>NO</v>
      </c>
      <c r="D1697" s="6">
        <v>4</v>
      </c>
      <c r="E1697" s="6">
        <v>2540</v>
      </c>
      <c r="F1697" s="6">
        <v>7631</v>
      </c>
      <c r="G1697" s="6">
        <v>7638</v>
      </c>
      <c r="H1697" s="6">
        <v>4300</v>
      </c>
      <c r="I1697" s="6">
        <v>2134</v>
      </c>
      <c r="J1697" s="6">
        <v>406</v>
      </c>
      <c r="K1697" s="40">
        <v>752</v>
      </c>
      <c r="L1697" s="40">
        <v>594</v>
      </c>
      <c r="M1697" s="40">
        <v>6180</v>
      </c>
      <c r="N1697" s="40">
        <v>409</v>
      </c>
      <c r="O1697" s="40">
        <v>2476</v>
      </c>
      <c r="P1697" s="40">
        <v>569</v>
      </c>
      <c r="Q1697" s="40">
        <v>3</v>
      </c>
      <c r="R1697" s="40">
        <v>1582</v>
      </c>
      <c r="S1697" s="40">
        <v>1141</v>
      </c>
    </row>
    <row r="1698" spans="1:19" x14ac:dyDescent="0.35">
      <c r="A1698" s="38">
        <v>2061</v>
      </c>
      <c r="B1698" s="38" t="str">
        <f>_xlfn.XLOOKUP(A1698,'Model Modeshare by TAZ'!A:A,'Model Modeshare by TAZ'!B:B)</f>
        <v>Dublin</v>
      </c>
      <c r="C1698" s="38" t="str">
        <f>_xlfn.XLOOKUP(A1698,'Model Modeshare by TAZ'!A:A,'Model Modeshare by TAZ'!D:D)</f>
        <v>NO</v>
      </c>
      <c r="D1698" s="6">
        <v>4</v>
      </c>
      <c r="E1698" s="6">
        <v>5865</v>
      </c>
      <c r="F1698" s="6">
        <v>17456</v>
      </c>
      <c r="G1698" s="6">
        <v>17456</v>
      </c>
      <c r="H1698" s="6">
        <v>8657</v>
      </c>
      <c r="I1698" s="6">
        <v>4763</v>
      </c>
      <c r="J1698" s="6">
        <v>1102</v>
      </c>
      <c r="K1698" s="40">
        <v>2183</v>
      </c>
      <c r="L1698" s="40">
        <v>135</v>
      </c>
      <c r="M1698" s="40">
        <v>4440</v>
      </c>
      <c r="N1698" s="40">
        <v>84</v>
      </c>
      <c r="O1698" s="40">
        <v>455</v>
      </c>
      <c r="P1698" s="40">
        <v>141</v>
      </c>
      <c r="Q1698" s="40">
        <v>52</v>
      </c>
      <c r="R1698" s="40">
        <v>3708</v>
      </c>
      <c r="S1698" s="40">
        <v>0</v>
      </c>
    </row>
    <row r="1699" spans="1:19" x14ac:dyDescent="0.35">
      <c r="A1699" s="38">
        <v>2062</v>
      </c>
      <c r="B1699" s="38" t="str">
        <f>_xlfn.XLOOKUP(A1699,'Model Modeshare by TAZ'!A:A,'Model Modeshare by TAZ'!B:B)</f>
        <v>Dublin</v>
      </c>
      <c r="C1699" s="38" t="str">
        <f>_xlfn.XLOOKUP(A1699,'Model Modeshare by TAZ'!A:A,'Model Modeshare by TAZ'!D:D)</f>
        <v>NO</v>
      </c>
      <c r="D1699" s="6">
        <v>4</v>
      </c>
      <c r="E1699" s="6">
        <v>3220</v>
      </c>
      <c r="F1699" s="6">
        <v>8962</v>
      </c>
      <c r="G1699" s="6">
        <v>11851</v>
      </c>
      <c r="H1699" s="6">
        <v>4892</v>
      </c>
      <c r="I1699" s="6">
        <v>1415</v>
      </c>
      <c r="J1699" s="6">
        <v>1805</v>
      </c>
      <c r="K1699" s="40">
        <v>517</v>
      </c>
      <c r="L1699" s="40">
        <v>1299</v>
      </c>
      <c r="M1699" s="40">
        <v>8041</v>
      </c>
      <c r="N1699" s="40">
        <v>1267</v>
      </c>
      <c r="O1699" s="40">
        <v>3921</v>
      </c>
      <c r="P1699" s="40">
        <v>1167</v>
      </c>
      <c r="Q1699" s="40">
        <v>2</v>
      </c>
      <c r="R1699" s="40">
        <v>1477</v>
      </c>
      <c r="S1699" s="40">
        <v>207</v>
      </c>
    </row>
    <row r="1700" spans="1:19" x14ac:dyDescent="0.35">
      <c r="A1700" s="38">
        <v>2063</v>
      </c>
      <c r="B1700" s="38" t="str">
        <f>_xlfn.XLOOKUP(A1700,'Model Modeshare by TAZ'!A:A,'Model Modeshare by TAZ'!B:B)</f>
        <v>Dublin</v>
      </c>
      <c r="C1700" s="38" t="str">
        <f>_xlfn.XLOOKUP(A1700,'Model Modeshare by TAZ'!A:A,'Model Modeshare by TAZ'!D:D)</f>
        <v>NO</v>
      </c>
      <c r="D1700" s="6">
        <v>4</v>
      </c>
      <c r="E1700" s="6">
        <v>2446</v>
      </c>
      <c r="F1700" s="6">
        <v>5903</v>
      </c>
      <c r="G1700" s="6">
        <v>5903</v>
      </c>
      <c r="H1700" s="6">
        <v>3667</v>
      </c>
      <c r="I1700" s="6">
        <v>922</v>
      </c>
      <c r="J1700" s="6">
        <v>1524</v>
      </c>
      <c r="K1700" s="40">
        <v>247</v>
      </c>
      <c r="L1700" s="40">
        <v>21</v>
      </c>
      <c r="M1700" s="40">
        <v>138</v>
      </c>
      <c r="N1700" s="40">
        <v>24</v>
      </c>
      <c r="O1700" s="40">
        <v>65</v>
      </c>
      <c r="P1700" s="40">
        <v>21</v>
      </c>
      <c r="Q1700" s="40">
        <v>0</v>
      </c>
      <c r="R1700" s="40">
        <v>25</v>
      </c>
      <c r="S1700" s="40">
        <v>4</v>
      </c>
    </row>
    <row r="1701" spans="1:19" x14ac:dyDescent="0.35">
      <c r="A1701" s="38">
        <v>2064</v>
      </c>
      <c r="B1701" s="38" t="str">
        <f>_xlfn.XLOOKUP(A1701,'Model Modeshare by TAZ'!A:A,'Model Modeshare by TAZ'!B:B)</f>
        <v>Dublin</v>
      </c>
      <c r="C1701" s="38" t="str">
        <f>_xlfn.XLOOKUP(A1701,'Model Modeshare by TAZ'!A:A,'Model Modeshare by TAZ'!D:D)</f>
        <v>NO</v>
      </c>
      <c r="D1701" s="6">
        <v>4</v>
      </c>
      <c r="E1701" s="6">
        <v>1804</v>
      </c>
      <c r="F1701" s="6">
        <v>5200</v>
      </c>
      <c r="G1701" s="6">
        <v>5223</v>
      </c>
      <c r="H1701" s="6">
        <v>2956</v>
      </c>
      <c r="I1701" s="6">
        <v>1564</v>
      </c>
      <c r="J1701" s="6">
        <v>240</v>
      </c>
      <c r="K1701" s="40">
        <v>371</v>
      </c>
      <c r="L1701" s="40">
        <v>351</v>
      </c>
      <c r="M1701" s="40">
        <v>5716</v>
      </c>
      <c r="N1701" s="40">
        <v>2027</v>
      </c>
      <c r="O1701" s="40">
        <v>1159</v>
      </c>
      <c r="P1701" s="40">
        <v>1777</v>
      </c>
      <c r="Q1701" s="40">
        <v>10</v>
      </c>
      <c r="R1701" s="40">
        <v>472</v>
      </c>
      <c r="S1701" s="40">
        <v>270</v>
      </c>
    </row>
    <row r="1702" spans="1:19" x14ac:dyDescent="0.35">
      <c r="A1702" s="38">
        <v>2065</v>
      </c>
      <c r="B1702" s="38" t="str">
        <f>_xlfn.XLOOKUP(A1702,'Model Modeshare by TAZ'!A:A,'Model Modeshare by TAZ'!B:B)</f>
        <v>Dublin</v>
      </c>
      <c r="C1702" s="38" t="str">
        <f>_xlfn.XLOOKUP(A1702,'Model Modeshare by TAZ'!A:A,'Model Modeshare by TAZ'!D:D)</f>
        <v>NO</v>
      </c>
      <c r="D1702" s="6">
        <v>4</v>
      </c>
      <c r="E1702" s="6">
        <v>2040</v>
      </c>
      <c r="F1702" s="6">
        <v>5966</v>
      </c>
      <c r="G1702" s="6">
        <v>6042</v>
      </c>
      <c r="H1702" s="6">
        <v>2921</v>
      </c>
      <c r="I1702" s="6">
        <v>1820</v>
      </c>
      <c r="J1702" s="6">
        <v>220</v>
      </c>
      <c r="K1702" s="40">
        <v>468</v>
      </c>
      <c r="L1702" s="40">
        <v>291</v>
      </c>
      <c r="M1702" s="40">
        <v>5118</v>
      </c>
      <c r="N1702" s="40">
        <v>949</v>
      </c>
      <c r="O1702" s="40">
        <v>2432</v>
      </c>
      <c r="P1702" s="40">
        <v>1352</v>
      </c>
      <c r="Q1702" s="40">
        <v>8</v>
      </c>
      <c r="R1702" s="40">
        <v>68</v>
      </c>
      <c r="S1702" s="40">
        <v>309</v>
      </c>
    </row>
    <row r="1703" spans="1:19" x14ac:dyDescent="0.35">
      <c r="A1703" s="38">
        <v>2066</v>
      </c>
      <c r="B1703" s="38" t="str">
        <f>_xlfn.XLOOKUP(A1703,'Model Modeshare by TAZ'!A:A,'Model Modeshare by TAZ'!B:B)</f>
        <v>Dublin</v>
      </c>
      <c r="C1703" s="38" t="str">
        <f>_xlfn.XLOOKUP(A1703,'Model Modeshare by TAZ'!A:A,'Model Modeshare by TAZ'!D:D)</f>
        <v>NO</v>
      </c>
      <c r="D1703" s="6">
        <v>4</v>
      </c>
      <c r="E1703" s="6">
        <v>3102</v>
      </c>
      <c r="F1703" s="6">
        <v>8854</v>
      </c>
      <c r="G1703" s="6">
        <v>8865</v>
      </c>
      <c r="H1703" s="6">
        <v>4723</v>
      </c>
      <c r="I1703" s="6">
        <v>2735</v>
      </c>
      <c r="J1703" s="6">
        <v>367</v>
      </c>
      <c r="K1703" s="40">
        <v>767</v>
      </c>
      <c r="L1703" s="40">
        <v>79</v>
      </c>
      <c r="M1703" s="40">
        <v>2222</v>
      </c>
      <c r="N1703" s="40">
        <v>197</v>
      </c>
      <c r="O1703" s="40">
        <v>849</v>
      </c>
      <c r="P1703" s="40">
        <v>354</v>
      </c>
      <c r="Q1703" s="40">
        <v>2</v>
      </c>
      <c r="R1703" s="40">
        <v>771</v>
      </c>
      <c r="S1703" s="40">
        <v>48</v>
      </c>
    </row>
    <row r="1704" spans="1:19" x14ac:dyDescent="0.35">
      <c r="A1704" s="38">
        <v>2067</v>
      </c>
      <c r="B1704" s="38" t="str">
        <f>_xlfn.XLOOKUP(A1704,'Model Modeshare by TAZ'!A:A,'Model Modeshare by TAZ'!B:B)</f>
        <v>Unincorporated</v>
      </c>
      <c r="C1704" s="38" t="str">
        <f>_xlfn.XLOOKUP(A1704,'Model Modeshare by TAZ'!A:A,'Model Modeshare by TAZ'!D:D)</f>
        <v>NO</v>
      </c>
      <c r="D1704" s="6">
        <v>4</v>
      </c>
      <c r="E1704" s="6">
        <v>1352</v>
      </c>
      <c r="F1704" s="6">
        <v>3668</v>
      </c>
      <c r="G1704" s="6">
        <v>3668</v>
      </c>
      <c r="H1704" s="6">
        <v>1842</v>
      </c>
      <c r="I1704" s="6">
        <v>1154</v>
      </c>
      <c r="J1704" s="6">
        <v>198</v>
      </c>
      <c r="K1704" s="40">
        <v>1055</v>
      </c>
      <c r="L1704" s="40">
        <v>13</v>
      </c>
      <c r="M1704" s="40">
        <v>770</v>
      </c>
      <c r="N1704" s="40">
        <v>13</v>
      </c>
      <c r="O1704" s="40">
        <v>27</v>
      </c>
      <c r="P1704" s="40">
        <v>444</v>
      </c>
      <c r="Q1704" s="40">
        <v>173</v>
      </c>
      <c r="R1704" s="40">
        <v>25</v>
      </c>
      <c r="S1704" s="40">
        <v>89</v>
      </c>
    </row>
    <row r="1705" spans="1:19" x14ac:dyDescent="0.35">
      <c r="A1705" s="38">
        <v>2068</v>
      </c>
      <c r="B1705" s="38" t="str">
        <f>_xlfn.XLOOKUP(A1705,'Model Modeshare by TAZ'!A:A,'Model Modeshare by TAZ'!B:B)</f>
        <v>Pleasanton</v>
      </c>
      <c r="C1705" s="38" t="str">
        <f>_xlfn.XLOOKUP(A1705,'Model Modeshare by TAZ'!A:A,'Model Modeshare by TAZ'!D:D)</f>
        <v>NO</v>
      </c>
      <c r="D1705" s="6">
        <v>4</v>
      </c>
      <c r="E1705" s="6">
        <v>3353</v>
      </c>
      <c r="F1705" s="6">
        <v>9769</v>
      </c>
      <c r="G1705" s="6">
        <v>9784</v>
      </c>
      <c r="H1705" s="6">
        <v>4237</v>
      </c>
      <c r="I1705" s="6">
        <v>2625</v>
      </c>
      <c r="J1705" s="6">
        <v>728</v>
      </c>
      <c r="K1705" s="40">
        <v>744</v>
      </c>
      <c r="L1705" s="40">
        <v>283</v>
      </c>
      <c r="M1705" s="40">
        <v>11737</v>
      </c>
      <c r="N1705" s="40">
        <v>4118</v>
      </c>
      <c r="O1705" s="40">
        <v>1666</v>
      </c>
      <c r="P1705" s="40">
        <v>3812</v>
      </c>
      <c r="Q1705" s="40">
        <v>7</v>
      </c>
      <c r="R1705" s="40">
        <v>816</v>
      </c>
      <c r="S1705" s="40">
        <v>1318</v>
      </c>
    </row>
    <row r="1706" spans="1:19" x14ac:dyDescent="0.35">
      <c r="A1706" s="38">
        <v>2069</v>
      </c>
      <c r="B1706" s="38" t="str">
        <f>_xlfn.XLOOKUP(A1706,'Model Modeshare by TAZ'!A:A,'Model Modeshare by TAZ'!B:B)</f>
        <v>Pleasanton</v>
      </c>
      <c r="C1706" s="38" t="str">
        <f>_xlfn.XLOOKUP(A1706,'Model Modeshare by TAZ'!A:A,'Model Modeshare by TAZ'!D:D)</f>
        <v>NO</v>
      </c>
      <c r="D1706" s="6">
        <v>4</v>
      </c>
      <c r="E1706" s="6">
        <v>1629</v>
      </c>
      <c r="F1706" s="6">
        <v>5007</v>
      </c>
      <c r="G1706" s="6">
        <v>5051</v>
      </c>
      <c r="H1706" s="6">
        <v>2595</v>
      </c>
      <c r="I1706" s="6">
        <v>1625</v>
      </c>
      <c r="J1706" s="6">
        <v>4</v>
      </c>
      <c r="K1706" s="40">
        <v>515</v>
      </c>
      <c r="L1706" s="40">
        <v>272</v>
      </c>
      <c r="M1706" s="40">
        <v>5942</v>
      </c>
      <c r="N1706" s="40">
        <v>599</v>
      </c>
      <c r="O1706" s="40">
        <v>1764</v>
      </c>
      <c r="P1706" s="40">
        <v>2367</v>
      </c>
      <c r="Q1706" s="40">
        <v>3</v>
      </c>
      <c r="R1706" s="40">
        <v>832</v>
      </c>
      <c r="S1706" s="40">
        <v>377</v>
      </c>
    </row>
    <row r="1707" spans="1:19" x14ac:dyDescent="0.35">
      <c r="A1707" s="38">
        <v>2070</v>
      </c>
      <c r="B1707" s="38" t="str">
        <f>_xlfn.XLOOKUP(A1707,'Model Modeshare by TAZ'!A:A,'Model Modeshare by TAZ'!B:B)</f>
        <v>Pleasanton</v>
      </c>
      <c r="C1707" s="38" t="str">
        <f>_xlfn.XLOOKUP(A1707,'Model Modeshare by TAZ'!A:A,'Model Modeshare by TAZ'!D:D)</f>
        <v>NO</v>
      </c>
      <c r="D1707" s="6">
        <v>4</v>
      </c>
      <c r="E1707" s="6">
        <v>2059</v>
      </c>
      <c r="F1707" s="6">
        <v>6072</v>
      </c>
      <c r="G1707" s="6">
        <v>6092</v>
      </c>
      <c r="H1707" s="6">
        <v>3056</v>
      </c>
      <c r="I1707" s="6">
        <v>1937</v>
      </c>
      <c r="J1707" s="6">
        <v>122</v>
      </c>
      <c r="K1707" s="40">
        <v>437</v>
      </c>
      <c r="L1707" s="40">
        <v>14</v>
      </c>
      <c r="M1707" s="40">
        <v>435</v>
      </c>
      <c r="N1707" s="40">
        <v>50</v>
      </c>
      <c r="O1707" s="40">
        <v>39</v>
      </c>
      <c r="P1707" s="40">
        <v>184</v>
      </c>
      <c r="Q1707" s="40">
        <v>2</v>
      </c>
      <c r="R1707" s="40">
        <v>126</v>
      </c>
      <c r="S1707" s="40">
        <v>33</v>
      </c>
    </row>
    <row r="1708" spans="1:19" x14ac:dyDescent="0.35">
      <c r="A1708" s="38">
        <v>2071</v>
      </c>
      <c r="B1708" s="38" t="str">
        <f>_xlfn.XLOOKUP(A1708,'Model Modeshare by TAZ'!A:A,'Model Modeshare by TAZ'!B:B)</f>
        <v>Pleasanton</v>
      </c>
      <c r="C1708" s="38" t="str">
        <f>_xlfn.XLOOKUP(A1708,'Model Modeshare by TAZ'!A:A,'Model Modeshare by TAZ'!D:D)</f>
        <v>NO</v>
      </c>
      <c r="D1708" s="6">
        <v>4</v>
      </c>
      <c r="E1708" s="6">
        <v>2291</v>
      </c>
      <c r="F1708" s="6">
        <v>5243</v>
      </c>
      <c r="G1708" s="6">
        <v>5243</v>
      </c>
      <c r="H1708" s="6">
        <v>2802</v>
      </c>
      <c r="I1708" s="6">
        <v>786</v>
      </c>
      <c r="J1708" s="6">
        <v>1505</v>
      </c>
      <c r="K1708" s="40">
        <v>191</v>
      </c>
      <c r="L1708" s="40">
        <v>274</v>
      </c>
      <c r="M1708" s="40">
        <v>9563</v>
      </c>
      <c r="N1708" s="40">
        <v>2398</v>
      </c>
      <c r="O1708" s="40">
        <v>2696</v>
      </c>
      <c r="P1708" s="40">
        <v>3596</v>
      </c>
      <c r="Q1708" s="40">
        <v>4</v>
      </c>
      <c r="R1708" s="40">
        <v>611</v>
      </c>
      <c r="S1708" s="40">
        <v>260</v>
      </c>
    </row>
    <row r="1709" spans="1:19" x14ac:dyDescent="0.35">
      <c r="A1709" s="38">
        <v>2072</v>
      </c>
      <c r="B1709" s="38" t="str">
        <f>_xlfn.XLOOKUP(A1709,'Model Modeshare by TAZ'!A:A,'Model Modeshare by TAZ'!B:B)</f>
        <v>Pleasanton</v>
      </c>
      <c r="C1709" s="38" t="str">
        <f>_xlfn.XLOOKUP(A1709,'Model Modeshare by TAZ'!A:A,'Model Modeshare by TAZ'!D:D)</f>
        <v>NO</v>
      </c>
      <c r="D1709" s="6">
        <v>4</v>
      </c>
      <c r="E1709" s="6">
        <v>1490</v>
      </c>
      <c r="F1709" s="6">
        <v>3980</v>
      </c>
      <c r="G1709" s="6">
        <v>4004</v>
      </c>
      <c r="H1709" s="6">
        <v>1845</v>
      </c>
      <c r="I1709" s="6">
        <v>1298</v>
      </c>
      <c r="J1709" s="6">
        <v>192</v>
      </c>
      <c r="K1709" s="40">
        <v>308</v>
      </c>
      <c r="L1709" s="40">
        <v>87</v>
      </c>
      <c r="M1709" s="40">
        <v>1754</v>
      </c>
      <c r="N1709" s="40">
        <v>547</v>
      </c>
      <c r="O1709" s="40">
        <v>774</v>
      </c>
      <c r="P1709" s="40">
        <v>407</v>
      </c>
      <c r="Q1709" s="40">
        <v>6</v>
      </c>
      <c r="R1709" s="40">
        <v>0</v>
      </c>
      <c r="S1709" s="40">
        <v>19</v>
      </c>
    </row>
    <row r="1710" spans="1:19" x14ac:dyDescent="0.35">
      <c r="A1710" s="38">
        <v>2073</v>
      </c>
      <c r="B1710" s="38" t="str">
        <f>_xlfn.XLOOKUP(A1710,'Model Modeshare by TAZ'!A:A,'Model Modeshare by TAZ'!B:B)</f>
        <v>Pleasanton</v>
      </c>
      <c r="C1710" s="38" t="str">
        <f>_xlfn.XLOOKUP(A1710,'Model Modeshare by TAZ'!A:A,'Model Modeshare by TAZ'!D:D)</f>
        <v>NO</v>
      </c>
      <c r="D1710" s="6">
        <v>4</v>
      </c>
      <c r="E1710" s="6">
        <v>1801</v>
      </c>
      <c r="F1710" s="6">
        <v>5331</v>
      </c>
      <c r="G1710" s="6">
        <v>5397</v>
      </c>
      <c r="H1710" s="6">
        <v>2649</v>
      </c>
      <c r="I1710" s="6">
        <v>1483</v>
      </c>
      <c r="J1710" s="6">
        <v>318</v>
      </c>
      <c r="K1710" s="40">
        <v>306</v>
      </c>
      <c r="L1710" s="40">
        <v>81</v>
      </c>
      <c r="M1710" s="40">
        <v>685</v>
      </c>
      <c r="N1710" s="40">
        <v>263</v>
      </c>
      <c r="O1710" s="40">
        <v>141</v>
      </c>
      <c r="P1710" s="40">
        <v>266</v>
      </c>
      <c r="Q1710" s="40">
        <v>0</v>
      </c>
      <c r="R1710" s="40">
        <v>9</v>
      </c>
      <c r="S1710" s="40">
        <v>7</v>
      </c>
    </row>
    <row r="1711" spans="1:19" x14ac:dyDescent="0.35">
      <c r="A1711" s="38">
        <v>2074</v>
      </c>
      <c r="B1711" s="38" t="str">
        <f>_xlfn.XLOOKUP(A1711,'Model Modeshare by TAZ'!A:A,'Model Modeshare by TAZ'!B:B)</f>
        <v>Pleasanton</v>
      </c>
      <c r="C1711" s="38" t="str">
        <f>_xlfn.XLOOKUP(A1711,'Model Modeshare by TAZ'!A:A,'Model Modeshare by TAZ'!D:D)</f>
        <v>NO</v>
      </c>
      <c r="D1711" s="6">
        <v>4</v>
      </c>
      <c r="E1711" s="6">
        <v>3805</v>
      </c>
      <c r="F1711" s="6">
        <v>11454</v>
      </c>
      <c r="G1711" s="6">
        <v>11471</v>
      </c>
      <c r="H1711" s="6">
        <v>5405</v>
      </c>
      <c r="I1711" s="6">
        <v>2103</v>
      </c>
      <c r="J1711" s="6">
        <v>1702</v>
      </c>
      <c r="K1711" s="40">
        <v>665</v>
      </c>
      <c r="L1711" s="40">
        <v>734</v>
      </c>
      <c r="M1711" s="40">
        <v>21341</v>
      </c>
      <c r="N1711" s="40">
        <v>2787</v>
      </c>
      <c r="O1711" s="40">
        <v>8121</v>
      </c>
      <c r="P1711" s="40">
        <v>7873</v>
      </c>
      <c r="Q1711" s="40">
        <v>0</v>
      </c>
      <c r="R1711" s="40">
        <v>1275</v>
      </c>
      <c r="S1711" s="40">
        <v>1284</v>
      </c>
    </row>
    <row r="1712" spans="1:19" x14ac:dyDescent="0.35">
      <c r="A1712" s="38">
        <v>2075</v>
      </c>
      <c r="B1712" s="38" t="str">
        <f>_xlfn.XLOOKUP(A1712,'Model Modeshare by TAZ'!A:A,'Model Modeshare by TAZ'!B:B)</f>
        <v>Pleasanton</v>
      </c>
      <c r="C1712" s="38" t="str">
        <f>_xlfn.XLOOKUP(A1712,'Model Modeshare by TAZ'!A:A,'Model Modeshare by TAZ'!D:D)</f>
        <v>NO</v>
      </c>
      <c r="D1712" s="6">
        <v>4</v>
      </c>
      <c r="E1712" s="6">
        <v>3545</v>
      </c>
      <c r="F1712" s="6">
        <v>9737</v>
      </c>
      <c r="G1712" s="6">
        <v>9737</v>
      </c>
      <c r="H1712" s="6">
        <v>4967</v>
      </c>
      <c r="I1712" s="6">
        <v>3138</v>
      </c>
      <c r="J1712" s="6">
        <v>407</v>
      </c>
      <c r="K1712" s="40">
        <v>656</v>
      </c>
      <c r="L1712" s="40">
        <v>402</v>
      </c>
      <c r="M1712" s="40">
        <v>4700</v>
      </c>
      <c r="N1712" s="40">
        <v>250</v>
      </c>
      <c r="O1712" s="40">
        <v>1080</v>
      </c>
      <c r="P1712" s="40">
        <v>1245</v>
      </c>
      <c r="Q1712" s="40">
        <v>168</v>
      </c>
      <c r="R1712" s="40">
        <v>1794</v>
      </c>
      <c r="S1712" s="40">
        <v>164</v>
      </c>
    </row>
    <row r="1713" spans="1:19" x14ac:dyDescent="0.35">
      <c r="A1713" s="38">
        <v>2076</v>
      </c>
      <c r="B1713" s="38" t="str">
        <f>_xlfn.XLOOKUP(A1713,'Model Modeshare by TAZ'!A:A,'Model Modeshare by TAZ'!B:B)</f>
        <v>Pleasanton</v>
      </c>
      <c r="C1713" s="38" t="str">
        <f>_xlfn.XLOOKUP(A1713,'Model Modeshare by TAZ'!A:A,'Model Modeshare by TAZ'!D:D)</f>
        <v>NO</v>
      </c>
      <c r="D1713" s="6">
        <v>4</v>
      </c>
      <c r="E1713" s="6">
        <v>1924</v>
      </c>
      <c r="F1713" s="6">
        <v>5033</v>
      </c>
      <c r="G1713" s="6">
        <v>5180</v>
      </c>
      <c r="H1713" s="6">
        <v>2572</v>
      </c>
      <c r="I1713" s="6">
        <v>1304</v>
      </c>
      <c r="J1713" s="6">
        <v>620</v>
      </c>
      <c r="K1713" s="40">
        <v>382</v>
      </c>
      <c r="L1713" s="40">
        <v>94</v>
      </c>
      <c r="M1713" s="40">
        <v>1686</v>
      </c>
      <c r="N1713" s="40">
        <v>182</v>
      </c>
      <c r="O1713" s="40">
        <v>634</v>
      </c>
      <c r="P1713" s="40">
        <v>394</v>
      </c>
      <c r="Q1713" s="40">
        <v>2</v>
      </c>
      <c r="R1713" s="40">
        <v>403</v>
      </c>
      <c r="S1713" s="40">
        <v>71</v>
      </c>
    </row>
    <row r="1714" spans="1:19" x14ac:dyDescent="0.35">
      <c r="A1714" s="38">
        <v>2077</v>
      </c>
      <c r="B1714" s="38" t="str">
        <f>_xlfn.XLOOKUP(A1714,'Model Modeshare by TAZ'!A:A,'Model Modeshare by TAZ'!B:B)</f>
        <v>Unincorporated</v>
      </c>
      <c r="C1714" s="38" t="str">
        <f>_xlfn.XLOOKUP(A1714,'Model Modeshare by TAZ'!A:A,'Model Modeshare by TAZ'!D:D)</f>
        <v>NO</v>
      </c>
      <c r="D1714" s="6">
        <v>4</v>
      </c>
      <c r="E1714" s="6">
        <v>1887</v>
      </c>
      <c r="F1714" s="6">
        <v>4871</v>
      </c>
      <c r="G1714" s="6">
        <v>4871</v>
      </c>
      <c r="H1714" s="6">
        <v>2500</v>
      </c>
      <c r="I1714" s="6">
        <v>1335</v>
      </c>
      <c r="J1714" s="6">
        <v>552</v>
      </c>
      <c r="K1714" s="40">
        <v>421</v>
      </c>
      <c r="L1714" s="40">
        <v>13</v>
      </c>
      <c r="M1714" s="40">
        <v>336</v>
      </c>
      <c r="N1714" s="40">
        <v>29</v>
      </c>
      <c r="O1714" s="40">
        <v>131</v>
      </c>
      <c r="P1714" s="40">
        <v>71</v>
      </c>
      <c r="Q1714" s="40">
        <v>1</v>
      </c>
      <c r="R1714" s="40">
        <v>90</v>
      </c>
      <c r="S1714" s="40">
        <v>15</v>
      </c>
    </row>
    <row r="1715" spans="1:19" x14ac:dyDescent="0.35">
      <c r="A1715" s="38">
        <v>2078</v>
      </c>
      <c r="B1715" s="38" t="str">
        <f>_xlfn.XLOOKUP(A1715,'Model Modeshare by TAZ'!A:A,'Model Modeshare by TAZ'!B:B)</f>
        <v>Unincorporated</v>
      </c>
      <c r="C1715" s="38" t="str">
        <f>_xlfn.XLOOKUP(A1715,'Model Modeshare by TAZ'!A:A,'Model Modeshare by TAZ'!D:D)</f>
        <v>NO</v>
      </c>
      <c r="D1715" s="6">
        <v>4</v>
      </c>
      <c r="E1715" s="6">
        <v>2873</v>
      </c>
      <c r="F1715" s="6">
        <v>8680</v>
      </c>
      <c r="G1715" s="6">
        <v>8680</v>
      </c>
      <c r="H1715" s="6">
        <v>4014</v>
      </c>
      <c r="I1715" s="6">
        <v>2692</v>
      </c>
      <c r="J1715" s="6">
        <v>181</v>
      </c>
      <c r="K1715" s="40">
        <v>2570</v>
      </c>
      <c r="L1715" s="40">
        <v>117</v>
      </c>
      <c r="M1715" s="40">
        <v>1972</v>
      </c>
      <c r="N1715" s="40">
        <v>143</v>
      </c>
      <c r="O1715" s="40">
        <v>334</v>
      </c>
      <c r="P1715" s="40">
        <v>340</v>
      </c>
      <c r="Q1715" s="40">
        <v>56</v>
      </c>
      <c r="R1715" s="40">
        <v>1014</v>
      </c>
      <c r="S1715" s="40">
        <v>84</v>
      </c>
    </row>
    <row r="1716" spans="1:19" x14ac:dyDescent="0.35">
      <c r="A1716" s="38">
        <v>2079</v>
      </c>
      <c r="B1716" s="38" t="str">
        <f>_xlfn.XLOOKUP(A1716,'Model Modeshare by TAZ'!A:A,'Model Modeshare by TAZ'!B:B)</f>
        <v>Fremont</v>
      </c>
      <c r="C1716" s="38" t="str">
        <f>_xlfn.XLOOKUP(A1716,'Model Modeshare by TAZ'!A:A,'Model Modeshare by TAZ'!D:D)</f>
        <v>NO</v>
      </c>
      <c r="D1716" s="6">
        <v>4</v>
      </c>
      <c r="E1716" s="6">
        <v>1180</v>
      </c>
      <c r="F1716" s="6">
        <v>3802</v>
      </c>
      <c r="G1716" s="6">
        <v>3802</v>
      </c>
      <c r="H1716" s="6">
        <v>1827</v>
      </c>
      <c r="I1716" s="6">
        <v>1177</v>
      </c>
      <c r="J1716" s="6">
        <v>3</v>
      </c>
      <c r="K1716" s="40">
        <v>523</v>
      </c>
      <c r="L1716" s="40">
        <v>15</v>
      </c>
      <c r="M1716" s="40">
        <v>191</v>
      </c>
      <c r="N1716" s="40">
        <v>0</v>
      </c>
      <c r="O1716" s="40">
        <v>13</v>
      </c>
      <c r="P1716" s="40">
        <v>146</v>
      </c>
      <c r="Q1716" s="40">
        <v>32</v>
      </c>
      <c r="R1716" s="40">
        <v>0</v>
      </c>
      <c r="S1716" s="40">
        <v>0</v>
      </c>
    </row>
    <row r="1717" spans="1:19" x14ac:dyDescent="0.35">
      <c r="A1717" s="38">
        <v>2080</v>
      </c>
      <c r="B1717" s="38" t="str">
        <f>_xlfn.XLOOKUP(A1717,'Model Modeshare by TAZ'!A:A,'Model Modeshare by TAZ'!B:B)</f>
        <v>Fremont</v>
      </c>
      <c r="C1717" s="38" t="str">
        <f>_xlfn.XLOOKUP(A1717,'Model Modeshare by TAZ'!A:A,'Model Modeshare by TAZ'!D:D)</f>
        <v>NO</v>
      </c>
      <c r="D1717" s="6">
        <v>4</v>
      </c>
      <c r="E1717" s="6">
        <v>1215</v>
      </c>
      <c r="F1717" s="6">
        <v>4173</v>
      </c>
      <c r="G1717" s="6">
        <v>4173</v>
      </c>
      <c r="H1717" s="6">
        <v>2044</v>
      </c>
      <c r="I1717" s="6">
        <v>1101</v>
      </c>
      <c r="J1717" s="6">
        <v>114</v>
      </c>
      <c r="K1717" s="40">
        <v>312</v>
      </c>
      <c r="L1717" s="40">
        <v>73</v>
      </c>
      <c r="M1717" s="40">
        <v>284</v>
      </c>
      <c r="N1717" s="40">
        <v>25</v>
      </c>
      <c r="O1717" s="40">
        <v>66</v>
      </c>
      <c r="P1717" s="40">
        <v>45</v>
      </c>
      <c r="Q1717" s="40">
        <v>0</v>
      </c>
      <c r="R1717" s="40">
        <v>92</v>
      </c>
      <c r="S1717" s="40">
        <v>56</v>
      </c>
    </row>
    <row r="1718" spans="1:19" x14ac:dyDescent="0.35">
      <c r="A1718" s="38">
        <v>2081</v>
      </c>
      <c r="B1718" s="38" t="str">
        <f>_xlfn.XLOOKUP(A1718,'Model Modeshare by TAZ'!A:A,'Model Modeshare by TAZ'!B:B)</f>
        <v>Fremont</v>
      </c>
      <c r="C1718" s="38" t="str">
        <f>_xlfn.XLOOKUP(A1718,'Model Modeshare by TAZ'!A:A,'Model Modeshare by TAZ'!D:D)</f>
        <v>NO</v>
      </c>
      <c r="D1718" s="6">
        <v>4</v>
      </c>
      <c r="E1718" s="6">
        <v>2060</v>
      </c>
      <c r="F1718" s="6">
        <v>6544</v>
      </c>
      <c r="G1718" s="6">
        <v>6544</v>
      </c>
      <c r="H1718" s="6">
        <v>3200</v>
      </c>
      <c r="I1718" s="6">
        <v>1106</v>
      </c>
      <c r="J1718" s="6">
        <v>954</v>
      </c>
      <c r="K1718" s="40">
        <v>270</v>
      </c>
      <c r="L1718" s="40">
        <v>138</v>
      </c>
      <c r="M1718" s="40">
        <v>826</v>
      </c>
      <c r="N1718" s="40">
        <v>74</v>
      </c>
      <c r="O1718" s="40">
        <v>191</v>
      </c>
      <c r="P1718" s="40">
        <v>130</v>
      </c>
      <c r="Q1718" s="40">
        <v>0</v>
      </c>
      <c r="R1718" s="40">
        <v>267</v>
      </c>
      <c r="S1718" s="40">
        <v>164</v>
      </c>
    </row>
    <row r="1719" spans="1:19" x14ac:dyDescent="0.35">
      <c r="A1719" s="38">
        <v>2082</v>
      </c>
      <c r="B1719" s="38" t="str">
        <f>_xlfn.XLOOKUP(A1719,'Model Modeshare by TAZ'!A:A,'Model Modeshare by TAZ'!B:B)</f>
        <v>Fremont</v>
      </c>
      <c r="C1719" s="38" t="str">
        <f>_xlfn.XLOOKUP(A1719,'Model Modeshare by TAZ'!A:A,'Model Modeshare by TAZ'!D:D)</f>
        <v>NO</v>
      </c>
      <c r="D1719" s="6">
        <v>4</v>
      </c>
      <c r="E1719" s="6">
        <v>558</v>
      </c>
      <c r="F1719" s="6">
        <v>1717</v>
      </c>
      <c r="G1719" s="6">
        <v>1737</v>
      </c>
      <c r="H1719" s="6">
        <v>816</v>
      </c>
      <c r="I1719" s="6">
        <v>335</v>
      </c>
      <c r="J1719" s="6">
        <v>223</v>
      </c>
      <c r="K1719" s="40">
        <v>1</v>
      </c>
      <c r="L1719" s="40">
        <v>489</v>
      </c>
      <c r="M1719" s="40">
        <v>7495</v>
      </c>
      <c r="N1719" s="40">
        <v>694</v>
      </c>
      <c r="O1719" s="40">
        <v>1767</v>
      </c>
      <c r="P1719" s="40">
        <v>1099</v>
      </c>
      <c r="Q1719" s="40">
        <v>18</v>
      </c>
      <c r="R1719" s="40">
        <v>2761</v>
      </c>
      <c r="S1719" s="40">
        <v>1157</v>
      </c>
    </row>
    <row r="1720" spans="1:19" x14ac:dyDescent="0.35">
      <c r="A1720" s="38">
        <v>2083</v>
      </c>
      <c r="B1720" s="38" t="str">
        <f>_xlfn.XLOOKUP(A1720,'Model Modeshare by TAZ'!A:A,'Model Modeshare by TAZ'!B:B)</f>
        <v>Fremont</v>
      </c>
      <c r="C1720" s="38" t="str">
        <f>_xlfn.XLOOKUP(A1720,'Model Modeshare by TAZ'!A:A,'Model Modeshare by TAZ'!D:D)</f>
        <v>NO</v>
      </c>
      <c r="D1720" s="6">
        <v>4</v>
      </c>
      <c r="E1720" s="6">
        <v>61</v>
      </c>
      <c r="F1720" s="6">
        <v>188</v>
      </c>
      <c r="G1720" s="6">
        <v>190</v>
      </c>
      <c r="H1720" s="6">
        <v>89</v>
      </c>
      <c r="I1720" s="6">
        <v>37</v>
      </c>
      <c r="J1720" s="6">
        <v>24</v>
      </c>
      <c r="K1720" s="40">
        <v>1</v>
      </c>
      <c r="L1720" s="40">
        <v>1944</v>
      </c>
      <c r="M1720" s="40">
        <v>24675</v>
      </c>
      <c r="N1720" s="40">
        <v>2284</v>
      </c>
      <c r="O1720" s="40">
        <v>5815</v>
      </c>
      <c r="P1720" s="40">
        <v>3618</v>
      </c>
      <c r="Q1720" s="40">
        <v>58</v>
      </c>
      <c r="R1720" s="40">
        <v>9090</v>
      </c>
      <c r="S1720" s="40">
        <v>3810</v>
      </c>
    </row>
    <row r="1721" spans="1:19" x14ac:dyDescent="0.35">
      <c r="A1721" s="38">
        <v>2084</v>
      </c>
      <c r="B1721" s="38" t="str">
        <f>_xlfn.XLOOKUP(A1721,'Model Modeshare by TAZ'!A:A,'Model Modeshare by TAZ'!B:B)</f>
        <v>Fremont</v>
      </c>
      <c r="C1721" s="38" t="str">
        <f>_xlfn.XLOOKUP(A1721,'Model Modeshare by TAZ'!A:A,'Model Modeshare by TAZ'!D:D)</f>
        <v>NO</v>
      </c>
      <c r="D1721" s="6">
        <v>4</v>
      </c>
      <c r="E1721" s="6">
        <v>235</v>
      </c>
      <c r="F1721" s="6">
        <v>725</v>
      </c>
      <c r="G1721" s="6">
        <v>733</v>
      </c>
      <c r="H1721" s="6">
        <v>345</v>
      </c>
      <c r="I1721" s="6">
        <v>154</v>
      </c>
      <c r="J1721" s="6">
        <v>81</v>
      </c>
      <c r="K1721" s="40">
        <v>38</v>
      </c>
      <c r="L1721" s="40">
        <v>1461</v>
      </c>
      <c r="M1721" s="40">
        <v>29342</v>
      </c>
      <c r="N1721" s="40">
        <v>2717</v>
      </c>
      <c r="O1721" s="40">
        <v>6915</v>
      </c>
      <c r="P1721" s="40">
        <v>4304</v>
      </c>
      <c r="Q1721" s="40">
        <v>69</v>
      </c>
      <c r="R1721" s="40">
        <v>10808</v>
      </c>
      <c r="S1721" s="40">
        <v>4530</v>
      </c>
    </row>
    <row r="1722" spans="1:19" x14ac:dyDescent="0.35">
      <c r="A1722" s="38">
        <v>2085</v>
      </c>
      <c r="B1722" s="38" t="str">
        <f>_xlfn.XLOOKUP(A1722,'Model Modeshare by TAZ'!A:A,'Model Modeshare by TAZ'!B:B)</f>
        <v>Fremont</v>
      </c>
      <c r="C1722" s="38" t="str">
        <f>_xlfn.XLOOKUP(A1722,'Model Modeshare by TAZ'!A:A,'Model Modeshare by TAZ'!D:D)</f>
        <v>NO</v>
      </c>
      <c r="D1722" s="6">
        <v>4</v>
      </c>
      <c r="E1722" s="6">
        <v>1531</v>
      </c>
      <c r="F1722" s="6">
        <v>4772</v>
      </c>
      <c r="G1722" s="6">
        <v>4786</v>
      </c>
      <c r="H1722" s="6">
        <v>2135</v>
      </c>
      <c r="I1722" s="6">
        <v>1520</v>
      </c>
      <c r="J1722" s="6">
        <v>11</v>
      </c>
      <c r="K1722" s="40">
        <v>516</v>
      </c>
      <c r="L1722" s="40">
        <v>28</v>
      </c>
      <c r="M1722" s="40">
        <v>516</v>
      </c>
      <c r="N1722" s="40">
        <v>41</v>
      </c>
      <c r="O1722" s="40">
        <v>229</v>
      </c>
      <c r="P1722" s="40">
        <v>151</v>
      </c>
      <c r="Q1722" s="40">
        <v>4</v>
      </c>
      <c r="R1722" s="40">
        <v>74</v>
      </c>
      <c r="S1722" s="40">
        <v>17</v>
      </c>
    </row>
    <row r="1723" spans="1:19" x14ac:dyDescent="0.35">
      <c r="A1723" s="38">
        <v>2086</v>
      </c>
      <c r="B1723" s="38" t="str">
        <f>_xlfn.XLOOKUP(A1723,'Model Modeshare by TAZ'!A:A,'Model Modeshare by TAZ'!B:B)</f>
        <v>Fremont</v>
      </c>
      <c r="C1723" s="38" t="str">
        <f>_xlfn.XLOOKUP(A1723,'Model Modeshare by TAZ'!A:A,'Model Modeshare by TAZ'!D:D)</f>
        <v>NO</v>
      </c>
      <c r="D1723" s="6">
        <v>4</v>
      </c>
      <c r="E1723" s="6">
        <v>1235</v>
      </c>
      <c r="F1723" s="6">
        <v>3934</v>
      </c>
      <c r="G1723" s="6">
        <v>4039</v>
      </c>
      <c r="H1723" s="6">
        <v>1781</v>
      </c>
      <c r="I1723" s="6">
        <v>1220</v>
      </c>
      <c r="J1723" s="6">
        <v>15</v>
      </c>
      <c r="K1723" s="40">
        <v>713</v>
      </c>
      <c r="L1723" s="40">
        <v>231</v>
      </c>
      <c r="M1723" s="40">
        <v>745</v>
      </c>
      <c r="N1723" s="40">
        <v>56</v>
      </c>
      <c r="O1723" s="40">
        <v>339</v>
      </c>
      <c r="P1723" s="40">
        <v>222</v>
      </c>
      <c r="Q1723" s="40">
        <v>2</v>
      </c>
      <c r="R1723" s="40">
        <v>102</v>
      </c>
      <c r="S1723" s="40">
        <v>24</v>
      </c>
    </row>
    <row r="1724" spans="1:19" x14ac:dyDescent="0.35">
      <c r="A1724" s="38">
        <v>2087</v>
      </c>
      <c r="B1724" s="38" t="str">
        <f>_xlfn.XLOOKUP(A1724,'Model Modeshare by TAZ'!A:A,'Model Modeshare by TAZ'!B:B)</f>
        <v>Fremont</v>
      </c>
      <c r="C1724" s="38" t="str">
        <f>_xlfn.XLOOKUP(A1724,'Model Modeshare by TAZ'!A:A,'Model Modeshare by TAZ'!D:D)</f>
        <v>NO</v>
      </c>
      <c r="D1724" s="6">
        <v>4</v>
      </c>
      <c r="E1724" s="6">
        <v>3178</v>
      </c>
      <c r="F1724" s="6">
        <v>9951</v>
      </c>
      <c r="G1724" s="6">
        <v>10029</v>
      </c>
      <c r="H1724" s="6">
        <v>4517</v>
      </c>
      <c r="I1724" s="6">
        <v>2862</v>
      </c>
      <c r="J1724" s="6">
        <v>316</v>
      </c>
      <c r="K1724" s="40">
        <v>992</v>
      </c>
      <c r="L1724" s="40">
        <v>66</v>
      </c>
      <c r="M1724" s="40">
        <v>1219</v>
      </c>
      <c r="N1724" s="40">
        <v>92</v>
      </c>
      <c r="O1724" s="40">
        <v>553</v>
      </c>
      <c r="P1724" s="40">
        <v>363</v>
      </c>
      <c r="Q1724" s="40">
        <v>5</v>
      </c>
      <c r="R1724" s="40">
        <v>166</v>
      </c>
      <c r="S1724" s="40">
        <v>40</v>
      </c>
    </row>
    <row r="1725" spans="1:19" x14ac:dyDescent="0.35">
      <c r="A1725" s="38">
        <v>2088</v>
      </c>
      <c r="B1725" s="38" t="str">
        <f>_xlfn.XLOOKUP(A1725,'Model Modeshare by TAZ'!A:A,'Model Modeshare by TAZ'!B:B)</f>
        <v>Fremont</v>
      </c>
      <c r="C1725" s="38" t="str">
        <f>_xlfn.XLOOKUP(A1725,'Model Modeshare by TAZ'!A:A,'Model Modeshare by TAZ'!D:D)</f>
        <v>NO</v>
      </c>
      <c r="D1725" s="6">
        <v>4</v>
      </c>
      <c r="E1725" s="6">
        <v>2138</v>
      </c>
      <c r="F1725" s="6">
        <v>7215</v>
      </c>
      <c r="G1725" s="6">
        <v>7235</v>
      </c>
      <c r="H1725" s="6">
        <v>3151</v>
      </c>
      <c r="I1725" s="6">
        <v>1982</v>
      </c>
      <c r="J1725" s="6">
        <v>156</v>
      </c>
      <c r="K1725" s="40">
        <v>786</v>
      </c>
      <c r="L1725" s="40">
        <v>48</v>
      </c>
      <c r="M1725" s="40">
        <v>3991</v>
      </c>
      <c r="N1725" s="40">
        <v>342</v>
      </c>
      <c r="O1725" s="40">
        <v>2820</v>
      </c>
      <c r="P1725" s="40">
        <v>578</v>
      </c>
      <c r="Q1725" s="40">
        <v>29</v>
      </c>
      <c r="R1725" s="40">
        <v>131</v>
      </c>
      <c r="S1725" s="40">
        <v>91</v>
      </c>
    </row>
    <row r="1726" spans="1:19" x14ac:dyDescent="0.35">
      <c r="A1726" s="38">
        <v>2089</v>
      </c>
      <c r="B1726" s="38" t="str">
        <f>_xlfn.XLOOKUP(A1726,'Model Modeshare by TAZ'!A:A,'Model Modeshare by TAZ'!B:B)</f>
        <v>Fremont</v>
      </c>
      <c r="C1726" s="38" t="str">
        <f>_xlfn.XLOOKUP(A1726,'Model Modeshare by TAZ'!A:A,'Model Modeshare by TAZ'!D:D)</f>
        <v>NO</v>
      </c>
      <c r="D1726" s="6">
        <v>4</v>
      </c>
      <c r="E1726" s="6">
        <v>833</v>
      </c>
      <c r="F1726" s="6">
        <v>2895</v>
      </c>
      <c r="G1726" s="6">
        <v>2906</v>
      </c>
      <c r="H1726" s="6">
        <v>1678</v>
      </c>
      <c r="I1726" s="6">
        <v>831</v>
      </c>
      <c r="J1726" s="6">
        <v>2</v>
      </c>
      <c r="K1726" s="40">
        <v>179</v>
      </c>
      <c r="L1726" s="40">
        <v>3</v>
      </c>
      <c r="M1726" s="40">
        <v>162</v>
      </c>
      <c r="N1726" s="40">
        <v>8</v>
      </c>
      <c r="O1726" s="40">
        <v>90</v>
      </c>
      <c r="P1726" s="40">
        <v>32</v>
      </c>
      <c r="Q1726" s="40">
        <v>0</v>
      </c>
      <c r="R1726" s="40">
        <v>33</v>
      </c>
      <c r="S1726" s="40">
        <v>0</v>
      </c>
    </row>
    <row r="1727" spans="1:19" x14ac:dyDescent="0.35">
      <c r="A1727" s="38">
        <v>2090</v>
      </c>
      <c r="B1727" s="38" t="str">
        <f>_xlfn.XLOOKUP(A1727,'Model Modeshare by TAZ'!A:A,'Model Modeshare by TAZ'!B:B)</f>
        <v>Fremont</v>
      </c>
      <c r="C1727" s="38" t="str">
        <f>_xlfn.XLOOKUP(A1727,'Model Modeshare by TAZ'!A:A,'Model Modeshare by TAZ'!D:D)</f>
        <v>NO</v>
      </c>
      <c r="D1727" s="6">
        <v>4</v>
      </c>
      <c r="E1727" s="6">
        <v>1859</v>
      </c>
      <c r="F1727" s="6">
        <v>6447</v>
      </c>
      <c r="G1727" s="6">
        <v>6495</v>
      </c>
      <c r="H1727" s="6">
        <v>3180</v>
      </c>
      <c r="I1727" s="6">
        <v>1405</v>
      </c>
      <c r="J1727" s="6">
        <v>454</v>
      </c>
      <c r="K1727" s="40">
        <v>335</v>
      </c>
      <c r="L1727" s="40">
        <v>38</v>
      </c>
      <c r="M1727" s="40">
        <v>285</v>
      </c>
      <c r="N1727" s="40">
        <v>15</v>
      </c>
      <c r="O1727" s="40">
        <v>158</v>
      </c>
      <c r="P1727" s="40">
        <v>57</v>
      </c>
      <c r="Q1727" s="40">
        <v>0</v>
      </c>
      <c r="R1727" s="40">
        <v>55</v>
      </c>
      <c r="S1727" s="40">
        <v>0</v>
      </c>
    </row>
    <row r="1728" spans="1:19" x14ac:dyDescent="0.35">
      <c r="A1728" s="38">
        <v>2091</v>
      </c>
      <c r="B1728" s="38" t="str">
        <f>_xlfn.XLOOKUP(A1728,'Model Modeshare by TAZ'!A:A,'Model Modeshare by TAZ'!B:B)</f>
        <v>Fremont</v>
      </c>
      <c r="C1728" s="38" t="str">
        <f>_xlfn.XLOOKUP(A1728,'Model Modeshare by TAZ'!A:A,'Model Modeshare by TAZ'!D:D)</f>
        <v>NO</v>
      </c>
      <c r="D1728" s="6">
        <v>4</v>
      </c>
      <c r="E1728" s="6">
        <v>2382</v>
      </c>
      <c r="F1728" s="6">
        <v>8135</v>
      </c>
      <c r="G1728" s="6">
        <v>8163</v>
      </c>
      <c r="H1728" s="6">
        <v>4079</v>
      </c>
      <c r="I1728" s="6">
        <v>2028</v>
      </c>
      <c r="J1728" s="6">
        <v>354</v>
      </c>
      <c r="K1728" s="40">
        <v>395</v>
      </c>
      <c r="L1728" s="40">
        <v>126</v>
      </c>
      <c r="M1728" s="40">
        <v>781</v>
      </c>
      <c r="N1728" s="40">
        <v>50</v>
      </c>
      <c r="O1728" s="40">
        <v>403</v>
      </c>
      <c r="P1728" s="40">
        <v>223</v>
      </c>
      <c r="Q1728" s="40">
        <v>67</v>
      </c>
      <c r="R1728" s="40">
        <v>12</v>
      </c>
      <c r="S1728" s="40">
        <v>26</v>
      </c>
    </row>
    <row r="1729" spans="1:19" x14ac:dyDescent="0.35">
      <c r="A1729" s="38">
        <v>2092</v>
      </c>
      <c r="B1729" s="38" t="str">
        <f>_xlfn.XLOOKUP(A1729,'Model Modeshare by TAZ'!A:A,'Model Modeshare by TAZ'!B:B)</f>
        <v>Fremont</v>
      </c>
      <c r="C1729" s="38" t="str">
        <f>_xlfn.XLOOKUP(A1729,'Model Modeshare by TAZ'!A:A,'Model Modeshare by TAZ'!D:D)</f>
        <v>NO</v>
      </c>
      <c r="D1729" s="6">
        <v>4</v>
      </c>
      <c r="E1729" s="6">
        <v>1975</v>
      </c>
      <c r="F1729" s="6">
        <v>6465</v>
      </c>
      <c r="G1729" s="6">
        <v>6475</v>
      </c>
      <c r="H1729" s="6">
        <v>3634</v>
      </c>
      <c r="I1729" s="6">
        <v>1602</v>
      </c>
      <c r="J1729" s="6">
        <v>373</v>
      </c>
      <c r="K1729" s="40">
        <v>355</v>
      </c>
      <c r="L1729" s="40">
        <v>35</v>
      </c>
      <c r="M1729" s="40">
        <v>353</v>
      </c>
      <c r="N1729" s="40">
        <v>64</v>
      </c>
      <c r="O1729" s="40">
        <v>235</v>
      </c>
      <c r="P1729" s="40">
        <v>42</v>
      </c>
      <c r="Q1729" s="40">
        <v>5</v>
      </c>
      <c r="R1729" s="40">
        <v>0</v>
      </c>
      <c r="S1729" s="40">
        <v>6</v>
      </c>
    </row>
    <row r="1730" spans="1:19" x14ac:dyDescent="0.35">
      <c r="A1730" s="38">
        <v>2093</v>
      </c>
      <c r="B1730" s="38" t="str">
        <f>_xlfn.XLOOKUP(A1730,'Model Modeshare by TAZ'!A:A,'Model Modeshare by TAZ'!B:B)</f>
        <v>Fremont</v>
      </c>
      <c r="C1730" s="38" t="str">
        <f>_xlfn.XLOOKUP(A1730,'Model Modeshare by TAZ'!A:A,'Model Modeshare by TAZ'!D:D)</f>
        <v>NO</v>
      </c>
      <c r="D1730" s="6">
        <v>4</v>
      </c>
      <c r="E1730" s="6">
        <v>3581</v>
      </c>
      <c r="F1730" s="6">
        <v>10619</v>
      </c>
      <c r="G1730" s="6">
        <v>10650</v>
      </c>
      <c r="H1730" s="6">
        <v>5177</v>
      </c>
      <c r="I1730" s="6">
        <v>1484</v>
      </c>
      <c r="J1730" s="6">
        <v>2097</v>
      </c>
      <c r="K1730" s="40">
        <v>412</v>
      </c>
      <c r="L1730" s="40">
        <v>166</v>
      </c>
      <c r="M1730" s="40">
        <v>3682</v>
      </c>
      <c r="N1730" s="40">
        <v>1003</v>
      </c>
      <c r="O1730" s="40">
        <v>1477</v>
      </c>
      <c r="P1730" s="40">
        <v>653</v>
      </c>
      <c r="Q1730" s="40">
        <v>35</v>
      </c>
      <c r="R1730" s="40">
        <v>64</v>
      </c>
      <c r="S1730" s="40">
        <v>450</v>
      </c>
    </row>
    <row r="1731" spans="1:19" x14ac:dyDescent="0.35">
      <c r="A1731" s="38">
        <v>2094</v>
      </c>
      <c r="B1731" s="38" t="str">
        <f>_xlfn.XLOOKUP(A1731,'Model Modeshare by TAZ'!A:A,'Model Modeshare by TAZ'!B:B)</f>
        <v>Fremont</v>
      </c>
      <c r="C1731" s="38" t="str">
        <f>_xlfn.XLOOKUP(A1731,'Model Modeshare by TAZ'!A:A,'Model Modeshare by TAZ'!D:D)</f>
        <v>NO</v>
      </c>
      <c r="D1731" s="6">
        <v>4</v>
      </c>
      <c r="E1731" s="6">
        <v>1229</v>
      </c>
      <c r="F1731" s="6">
        <v>3894</v>
      </c>
      <c r="G1731" s="6">
        <v>3917</v>
      </c>
      <c r="H1731" s="6">
        <v>2417</v>
      </c>
      <c r="I1731" s="6">
        <v>748</v>
      </c>
      <c r="J1731" s="6">
        <v>481</v>
      </c>
      <c r="K1731" s="40">
        <v>176</v>
      </c>
      <c r="L1731" s="40">
        <v>9</v>
      </c>
      <c r="M1731" s="40">
        <v>590</v>
      </c>
      <c r="N1731" s="40">
        <v>115</v>
      </c>
      <c r="O1731" s="40">
        <v>168</v>
      </c>
      <c r="P1731" s="40">
        <v>181</v>
      </c>
      <c r="Q1731" s="40">
        <v>1</v>
      </c>
      <c r="R1731" s="40">
        <v>81</v>
      </c>
      <c r="S1731" s="40">
        <v>43</v>
      </c>
    </row>
    <row r="1732" spans="1:19" x14ac:dyDescent="0.35">
      <c r="A1732" s="38">
        <v>2095</v>
      </c>
      <c r="B1732" s="38" t="str">
        <f>_xlfn.XLOOKUP(A1732,'Model Modeshare by TAZ'!A:A,'Model Modeshare by TAZ'!B:B)</f>
        <v>Fremont</v>
      </c>
      <c r="C1732" s="38" t="str">
        <f>_xlfn.XLOOKUP(A1732,'Model Modeshare by TAZ'!A:A,'Model Modeshare by TAZ'!D:D)</f>
        <v>NO</v>
      </c>
      <c r="D1732" s="6">
        <v>4</v>
      </c>
      <c r="E1732" s="6">
        <v>3238</v>
      </c>
      <c r="F1732" s="6">
        <v>9141</v>
      </c>
      <c r="G1732" s="6">
        <v>9141</v>
      </c>
      <c r="H1732" s="6">
        <v>4700</v>
      </c>
      <c r="I1732" s="6">
        <v>734</v>
      </c>
      <c r="J1732" s="6">
        <v>2504</v>
      </c>
      <c r="K1732" s="40">
        <v>169</v>
      </c>
      <c r="L1732" s="40">
        <v>72</v>
      </c>
      <c r="M1732" s="40">
        <v>2061</v>
      </c>
      <c r="N1732" s="40">
        <v>403</v>
      </c>
      <c r="O1732" s="40">
        <v>591</v>
      </c>
      <c r="P1732" s="40">
        <v>624</v>
      </c>
      <c r="Q1732" s="40">
        <v>6</v>
      </c>
      <c r="R1732" s="40">
        <v>288</v>
      </c>
      <c r="S1732" s="40">
        <v>149</v>
      </c>
    </row>
    <row r="1733" spans="1:19" x14ac:dyDescent="0.35">
      <c r="A1733" s="38">
        <v>2096</v>
      </c>
      <c r="B1733" s="38" t="str">
        <f>_xlfn.XLOOKUP(A1733,'Model Modeshare by TAZ'!A:A,'Model Modeshare by TAZ'!B:B)</f>
        <v>Fremont</v>
      </c>
      <c r="C1733" s="38" t="str">
        <f>_xlfn.XLOOKUP(A1733,'Model Modeshare by TAZ'!A:A,'Model Modeshare by TAZ'!D:D)</f>
        <v>NO</v>
      </c>
      <c r="D1733" s="6">
        <v>4</v>
      </c>
      <c r="E1733" s="6">
        <v>2219</v>
      </c>
      <c r="F1733" s="6">
        <v>7277</v>
      </c>
      <c r="G1733" s="6">
        <v>7541</v>
      </c>
      <c r="H1733" s="6">
        <v>3971</v>
      </c>
      <c r="I1733" s="6">
        <v>1639</v>
      </c>
      <c r="J1733" s="6">
        <v>580</v>
      </c>
      <c r="K1733" s="40">
        <v>407</v>
      </c>
      <c r="L1733" s="40">
        <v>77</v>
      </c>
      <c r="M1733" s="40">
        <v>1674</v>
      </c>
      <c r="N1733" s="40">
        <v>158</v>
      </c>
      <c r="O1733" s="40">
        <v>1090</v>
      </c>
      <c r="P1733" s="40">
        <v>355</v>
      </c>
      <c r="Q1733" s="40">
        <v>0</v>
      </c>
      <c r="R1733" s="40">
        <v>14</v>
      </c>
      <c r="S1733" s="40">
        <v>57</v>
      </c>
    </row>
    <row r="1734" spans="1:19" x14ac:dyDescent="0.35">
      <c r="A1734" s="38">
        <v>2097</v>
      </c>
      <c r="B1734" s="38" t="str">
        <f>_xlfn.XLOOKUP(A1734,'Model Modeshare by TAZ'!A:A,'Model Modeshare by TAZ'!B:B)</f>
        <v>Fremont</v>
      </c>
      <c r="C1734" s="38" t="str">
        <f>_xlfn.XLOOKUP(A1734,'Model Modeshare by TAZ'!A:A,'Model Modeshare by TAZ'!D:D)</f>
        <v>NO</v>
      </c>
      <c r="D1734" s="6">
        <v>4</v>
      </c>
      <c r="E1734" s="6">
        <v>925</v>
      </c>
      <c r="F1734" s="6">
        <v>3023</v>
      </c>
      <c r="G1734" s="6">
        <v>3051</v>
      </c>
      <c r="H1734" s="6">
        <v>1482</v>
      </c>
      <c r="I1734" s="6">
        <v>894</v>
      </c>
      <c r="J1734" s="6">
        <v>31</v>
      </c>
      <c r="K1734" s="40">
        <v>167</v>
      </c>
      <c r="L1734" s="40">
        <v>106</v>
      </c>
      <c r="M1734" s="40">
        <v>1464</v>
      </c>
      <c r="N1734" s="40">
        <v>582</v>
      </c>
      <c r="O1734" s="40">
        <v>611</v>
      </c>
      <c r="P1734" s="40">
        <v>163</v>
      </c>
      <c r="Q1734" s="40">
        <v>0</v>
      </c>
      <c r="R1734" s="40">
        <v>95</v>
      </c>
      <c r="S1734" s="40">
        <v>12</v>
      </c>
    </row>
    <row r="1735" spans="1:19" x14ac:dyDescent="0.35">
      <c r="A1735" s="38">
        <v>2098</v>
      </c>
      <c r="B1735" s="38" t="str">
        <f>_xlfn.XLOOKUP(A1735,'Model Modeshare by TAZ'!A:A,'Model Modeshare by TAZ'!B:B)</f>
        <v>Fremont</v>
      </c>
      <c r="C1735" s="38" t="str">
        <f>_xlfn.XLOOKUP(A1735,'Model Modeshare by TAZ'!A:A,'Model Modeshare by TAZ'!D:D)</f>
        <v>NO</v>
      </c>
      <c r="D1735" s="6">
        <v>4</v>
      </c>
      <c r="E1735" s="6">
        <v>1037</v>
      </c>
      <c r="F1735" s="6">
        <v>3215</v>
      </c>
      <c r="G1735" s="6">
        <v>3227</v>
      </c>
      <c r="H1735" s="6">
        <v>1613</v>
      </c>
      <c r="I1735" s="6">
        <v>895</v>
      </c>
      <c r="J1735" s="6">
        <v>142</v>
      </c>
      <c r="K1735" s="40">
        <v>193</v>
      </c>
      <c r="L1735" s="40">
        <v>78</v>
      </c>
      <c r="M1735" s="40">
        <v>566</v>
      </c>
      <c r="N1735" s="40">
        <v>310</v>
      </c>
      <c r="O1735" s="40">
        <v>186</v>
      </c>
      <c r="P1735" s="40">
        <v>57</v>
      </c>
      <c r="Q1735" s="40">
        <v>6</v>
      </c>
      <c r="R1735" s="40">
        <v>6</v>
      </c>
      <c r="S1735" s="40">
        <v>1</v>
      </c>
    </row>
    <row r="1736" spans="1:19" x14ac:dyDescent="0.35">
      <c r="A1736" s="38">
        <v>2099</v>
      </c>
      <c r="B1736" s="38" t="str">
        <f>_xlfn.XLOOKUP(A1736,'Model Modeshare by TAZ'!A:A,'Model Modeshare by TAZ'!B:B)</f>
        <v>Newark</v>
      </c>
      <c r="C1736" s="38" t="str">
        <f>_xlfn.XLOOKUP(A1736,'Model Modeshare by TAZ'!A:A,'Model Modeshare by TAZ'!D:D)</f>
        <v>NO</v>
      </c>
      <c r="D1736" s="6">
        <v>4</v>
      </c>
      <c r="E1736" s="6">
        <v>3081</v>
      </c>
      <c r="F1736" s="6">
        <v>9741</v>
      </c>
      <c r="G1736" s="6">
        <v>9760</v>
      </c>
      <c r="H1736" s="6">
        <v>4973</v>
      </c>
      <c r="I1736" s="6">
        <v>2348</v>
      </c>
      <c r="J1736" s="6">
        <v>733</v>
      </c>
      <c r="K1736" s="40">
        <v>531</v>
      </c>
      <c r="L1736" s="40">
        <v>663</v>
      </c>
      <c r="M1736" s="40">
        <v>8255</v>
      </c>
      <c r="N1736" s="40">
        <v>2914</v>
      </c>
      <c r="O1736" s="40">
        <v>1533</v>
      </c>
      <c r="P1736" s="40">
        <v>954</v>
      </c>
      <c r="Q1736" s="40">
        <v>3</v>
      </c>
      <c r="R1736" s="40">
        <v>1655</v>
      </c>
      <c r="S1736" s="40">
        <v>1197</v>
      </c>
    </row>
    <row r="1737" spans="1:19" x14ac:dyDescent="0.35">
      <c r="A1737" s="38">
        <v>2100</v>
      </c>
      <c r="B1737" s="38" t="str">
        <f>_xlfn.XLOOKUP(A1737,'Model Modeshare by TAZ'!A:A,'Model Modeshare by TAZ'!B:B)</f>
        <v>Newark</v>
      </c>
      <c r="C1737" s="38" t="str">
        <f>_xlfn.XLOOKUP(A1737,'Model Modeshare by TAZ'!A:A,'Model Modeshare by TAZ'!D:D)</f>
        <v>NO</v>
      </c>
      <c r="D1737" s="6">
        <v>4</v>
      </c>
      <c r="E1737" s="6">
        <v>2426</v>
      </c>
      <c r="F1737" s="6">
        <v>8710</v>
      </c>
      <c r="G1737" s="6">
        <v>8715</v>
      </c>
      <c r="H1737" s="6">
        <v>4251</v>
      </c>
      <c r="I1737" s="6">
        <v>1685</v>
      </c>
      <c r="J1737" s="6">
        <v>741</v>
      </c>
      <c r="K1737" s="40">
        <v>378</v>
      </c>
      <c r="L1737" s="40">
        <v>687</v>
      </c>
      <c r="M1737" s="40">
        <v>5933</v>
      </c>
      <c r="N1737" s="40">
        <v>986</v>
      </c>
      <c r="O1737" s="40">
        <v>936</v>
      </c>
      <c r="P1737" s="40">
        <v>1376</v>
      </c>
      <c r="Q1737" s="40">
        <v>2</v>
      </c>
      <c r="R1737" s="40">
        <v>2011</v>
      </c>
      <c r="S1737" s="40">
        <v>622</v>
      </c>
    </row>
    <row r="1738" spans="1:19" x14ac:dyDescent="0.35">
      <c r="A1738" s="38">
        <v>2101</v>
      </c>
      <c r="B1738" s="38" t="str">
        <f>_xlfn.XLOOKUP(A1738,'Model Modeshare by TAZ'!A:A,'Model Modeshare by TAZ'!B:B)</f>
        <v>Fremont</v>
      </c>
      <c r="C1738" s="38" t="str">
        <f>_xlfn.XLOOKUP(A1738,'Model Modeshare by TAZ'!A:A,'Model Modeshare by TAZ'!D:D)</f>
        <v>NO</v>
      </c>
      <c r="D1738" s="6">
        <v>4</v>
      </c>
      <c r="E1738" s="6">
        <v>3851</v>
      </c>
      <c r="F1738" s="6">
        <v>12389</v>
      </c>
      <c r="G1738" s="6">
        <v>12410</v>
      </c>
      <c r="H1738" s="6">
        <v>5956</v>
      </c>
      <c r="I1738" s="6">
        <v>2526</v>
      </c>
      <c r="J1738" s="6">
        <v>1325</v>
      </c>
      <c r="K1738" s="40">
        <v>666</v>
      </c>
      <c r="L1738" s="40">
        <v>244</v>
      </c>
      <c r="M1738" s="40">
        <v>5104</v>
      </c>
      <c r="N1738" s="40">
        <v>472</v>
      </c>
      <c r="O1738" s="40">
        <v>1203</v>
      </c>
      <c r="P1738" s="40">
        <v>749</v>
      </c>
      <c r="Q1738" s="40">
        <v>11</v>
      </c>
      <c r="R1738" s="40">
        <v>1880</v>
      </c>
      <c r="S1738" s="40">
        <v>789</v>
      </c>
    </row>
    <row r="1739" spans="1:19" x14ac:dyDescent="0.35">
      <c r="A1739" s="38">
        <v>2102</v>
      </c>
      <c r="B1739" s="38" t="str">
        <f>_xlfn.XLOOKUP(A1739,'Model Modeshare by TAZ'!A:A,'Model Modeshare by TAZ'!B:B)</f>
        <v>Newark</v>
      </c>
      <c r="C1739" s="38" t="str">
        <f>_xlfn.XLOOKUP(A1739,'Model Modeshare by TAZ'!A:A,'Model Modeshare by TAZ'!D:D)</f>
        <v>NO</v>
      </c>
      <c r="D1739" s="6">
        <v>4</v>
      </c>
      <c r="E1739" s="6">
        <v>1897</v>
      </c>
      <c r="F1739" s="6">
        <v>6716</v>
      </c>
      <c r="G1739" s="6">
        <v>6741</v>
      </c>
      <c r="H1739" s="6">
        <v>3338</v>
      </c>
      <c r="I1739" s="6">
        <v>1738</v>
      </c>
      <c r="J1739" s="6">
        <v>159</v>
      </c>
      <c r="K1739" s="40">
        <v>371</v>
      </c>
      <c r="L1739" s="40">
        <v>106</v>
      </c>
      <c r="M1739" s="40">
        <v>1624</v>
      </c>
      <c r="N1739" s="40">
        <v>644</v>
      </c>
      <c r="O1739" s="40">
        <v>796</v>
      </c>
      <c r="P1739" s="40">
        <v>99</v>
      </c>
      <c r="Q1739" s="40">
        <v>4</v>
      </c>
      <c r="R1739" s="40">
        <v>11</v>
      </c>
      <c r="S1739" s="40">
        <v>69</v>
      </c>
    </row>
    <row r="1740" spans="1:19" x14ac:dyDescent="0.35">
      <c r="A1740" s="38">
        <v>2103</v>
      </c>
      <c r="B1740" s="38" t="str">
        <f>_xlfn.XLOOKUP(A1740,'Model Modeshare by TAZ'!A:A,'Model Modeshare by TAZ'!B:B)</f>
        <v>Newark</v>
      </c>
      <c r="C1740" s="38" t="str">
        <f>_xlfn.XLOOKUP(A1740,'Model Modeshare by TAZ'!A:A,'Model Modeshare by TAZ'!D:D)</f>
        <v>NO</v>
      </c>
      <c r="D1740" s="6">
        <v>4</v>
      </c>
      <c r="E1740" s="6">
        <v>2531</v>
      </c>
      <c r="F1740" s="6">
        <v>7539</v>
      </c>
      <c r="G1740" s="6">
        <v>7555</v>
      </c>
      <c r="H1740" s="6">
        <v>3606</v>
      </c>
      <c r="I1740" s="6">
        <v>2268</v>
      </c>
      <c r="J1740" s="6">
        <v>263</v>
      </c>
      <c r="K1740" s="40">
        <v>464</v>
      </c>
      <c r="L1740" s="40">
        <v>155</v>
      </c>
      <c r="M1740" s="40">
        <v>1297</v>
      </c>
      <c r="N1740" s="40">
        <v>838</v>
      </c>
      <c r="O1740" s="40">
        <v>311</v>
      </c>
      <c r="P1740" s="40">
        <v>139</v>
      </c>
      <c r="Q1740" s="40">
        <v>0</v>
      </c>
      <c r="R1740" s="40">
        <v>5</v>
      </c>
      <c r="S1740" s="40">
        <v>4</v>
      </c>
    </row>
    <row r="1741" spans="1:19" x14ac:dyDescent="0.35">
      <c r="A1741" s="38">
        <v>2104</v>
      </c>
      <c r="B1741" s="38" t="str">
        <f>_xlfn.XLOOKUP(A1741,'Model Modeshare by TAZ'!A:A,'Model Modeshare by TAZ'!B:B)</f>
        <v>Newark</v>
      </c>
      <c r="C1741" s="38" t="str">
        <f>_xlfn.XLOOKUP(A1741,'Model Modeshare by TAZ'!A:A,'Model Modeshare by TAZ'!D:D)</f>
        <v>NO</v>
      </c>
      <c r="D1741" s="6">
        <v>4</v>
      </c>
      <c r="E1741" s="6">
        <v>1549</v>
      </c>
      <c r="F1741" s="6">
        <v>5037</v>
      </c>
      <c r="G1741" s="6">
        <v>5057</v>
      </c>
      <c r="H1741" s="6">
        <v>2726</v>
      </c>
      <c r="I1741" s="6">
        <v>1175</v>
      </c>
      <c r="J1741" s="6">
        <v>374</v>
      </c>
      <c r="K1741" s="40">
        <v>197</v>
      </c>
      <c r="L1741" s="40">
        <v>20</v>
      </c>
      <c r="M1741" s="40">
        <v>483</v>
      </c>
      <c r="N1741" s="40">
        <v>142</v>
      </c>
      <c r="O1741" s="40">
        <v>119</v>
      </c>
      <c r="P1741" s="40">
        <v>207</v>
      </c>
      <c r="Q1741" s="40">
        <v>3</v>
      </c>
      <c r="R1741" s="40">
        <v>0</v>
      </c>
      <c r="S1741" s="40">
        <v>12</v>
      </c>
    </row>
    <row r="1742" spans="1:19" x14ac:dyDescent="0.35">
      <c r="A1742" s="38">
        <v>2105</v>
      </c>
      <c r="B1742" s="38" t="str">
        <f>_xlfn.XLOOKUP(A1742,'Model Modeshare by TAZ'!A:A,'Model Modeshare by TAZ'!B:B)</f>
        <v>Newark</v>
      </c>
      <c r="C1742" s="38" t="str">
        <f>_xlfn.XLOOKUP(A1742,'Model Modeshare by TAZ'!A:A,'Model Modeshare by TAZ'!D:D)</f>
        <v>NO</v>
      </c>
      <c r="D1742" s="6">
        <v>4</v>
      </c>
      <c r="E1742" s="6">
        <v>2038</v>
      </c>
      <c r="F1742" s="6">
        <v>6784</v>
      </c>
      <c r="G1742" s="6">
        <v>6850</v>
      </c>
      <c r="H1742" s="6">
        <v>3567</v>
      </c>
      <c r="I1742" s="6">
        <v>1031</v>
      </c>
      <c r="J1742" s="6">
        <v>1007</v>
      </c>
      <c r="K1742" s="40">
        <v>232</v>
      </c>
      <c r="L1742" s="40">
        <v>218</v>
      </c>
      <c r="M1742" s="40">
        <v>1788</v>
      </c>
      <c r="N1742" s="40">
        <v>507</v>
      </c>
      <c r="O1742" s="40">
        <v>668</v>
      </c>
      <c r="P1742" s="40">
        <v>335</v>
      </c>
      <c r="Q1742" s="40">
        <v>0</v>
      </c>
      <c r="R1742" s="40">
        <v>257</v>
      </c>
      <c r="S1742" s="40">
        <v>22</v>
      </c>
    </row>
    <row r="1743" spans="1:19" x14ac:dyDescent="0.35">
      <c r="A1743" s="38">
        <v>2106</v>
      </c>
      <c r="B1743" s="38" t="str">
        <f>_xlfn.XLOOKUP(A1743,'Model Modeshare by TAZ'!A:A,'Model Modeshare by TAZ'!B:B)</f>
        <v>Fremont</v>
      </c>
      <c r="C1743" s="38" t="str">
        <f>_xlfn.XLOOKUP(A1743,'Model Modeshare by TAZ'!A:A,'Model Modeshare by TAZ'!D:D)</f>
        <v>NO</v>
      </c>
      <c r="D1743" s="6">
        <v>4</v>
      </c>
      <c r="E1743" s="6">
        <v>2672</v>
      </c>
      <c r="F1743" s="6">
        <v>7353</v>
      </c>
      <c r="G1743" s="6">
        <v>7418</v>
      </c>
      <c r="H1743" s="6">
        <v>3775</v>
      </c>
      <c r="I1743" s="6">
        <v>1236</v>
      </c>
      <c r="J1743" s="6">
        <v>1436</v>
      </c>
      <c r="K1743" s="40">
        <v>319</v>
      </c>
      <c r="L1743" s="40">
        <v>197</v>
      </c>
      <c r="M1743" s="40">
        <v>3141</v>
      </c>
      <c r="N1743" s="40">
        <v>607</v>
      </c>
      <c r="O1743" s="40">
        <v>1160</v>
      </c>
      <c r="P1743" s="40">
        <v>889</v>
      </c>
      <c r="Q1743" s="40">
        <v>114</v>
      </c>
      <c r="R1743" s="40">
        <v>266</v>
      </c>
      <c r="S1743" s="40">
        <v>104</v>
      </c>
    </row>
    <row r="1744" spans="1:19" x14ac:dyDescent="0.35">
      <c r="A1744" s="38">
        <v>2107</v>
      </c>
      <c r="B1744" s="38" t="str">
        <f>_xlfn.XLOOKUP(A1744,'Model Modeshare by TAZ'!A:A,'Model Modeshare by TAZ'!B:B)</f>
        <v>Fremont</v>
      </c>
      <c r="C1744" s="38" t="str">
        <f>_xlfn.XLOOKUP(A1744,'Model Modeshare by TAZ'!A:A,'Model Modeshare by TAZ'!D:D)</f>
        <v>NO</v>
      </c>
      <c r="D1744" s="6">
        <v>4</v>
      </c>
      <c r="E1744" s="6">
        <v>2922</v>
      </c>
      <c r="F1744" s="6">
        <v>9012</v>
      </c>
      <c r="G1744" s="6">
        <v>9071</v>
      </c>
      <c r="H1744" s="6">
        <v>4630</v>
      </c>
      <c r="I1744" s="6">
        <v>2016</v>
      </c>
      <c r="J1744" s="6">
        <v>906</v>
      </c>
      <c r="K1744" s="40">
        <v>568</v>
      </c>
      <c r="L1744" s="40">
        <v>56</v>
      </c>
      <c r="M1744" s="40">
        <v>653</v>
      </c>
      <c r="N1744" s="40">
        <v>187</v>
      </c>
      <c r="O1744" s="40">
        <v>242</v>
      </c>
      <c r="P1744" s="40">
        <v>195</v>
      </c>
      <c r="Q1744" s="40">
        <v>11</v>
      </c>
      <c r="R1744" s="40">
        <v>9</v>
      </c>
      <c r="S1744" s="40">
        <v>10</v>
      </c>
    </row>
    <row r="1745" spans="1:19" x14ac:dyDescent="0.35">
      <c r="A1745" s="38">
        <v>2108</v>
      </c>
      <c r="B1745" s="38" t="str">
        <f>_xlfn.XLOOKUP(A1745,'Model Modeshare by TAZ'!A:A,'Model Modeshare by TAZ'!B:B)</f>
        <v>Fremont</v>
      </c>
      <c r="C1745" s="38" t="str">
        <f>_xlfn.XLOOKUP(A1745,'Model Modeshare by TAZ'!A:A,'Model Modeshare by TAZ'!D:D)</f>
        <v>NO</v>
      </c>
      <c r="D1745" s="6">
        <v>4</v>
      </c>
      <c r="E1745" s="6">
        <v>2354</v>
      </c>
      <c r="F1745" s="6">
        <v>7351</v>
      </c>
      <c r="G1745" s="6">
        <v>7388</v>
      </c>
      <c r="H1745" s="6">
        <v>3691</v>
      </c>
      <c r="I1745" s="6">
        <v>1536</v>
      </c>
      <c r="J1745" s="6">
        <v>818</v>
      </c>
      <c r="K1745" s="40">
        <v>353</v>
      </c>
      <c r="L1745" s="40">
        <v>146</v>
      </c>
      <c r="M1745" s="40">
        <v>1826</v>
      </c>
      <c r="N1745" s="40">
        <v>186</v>
      </c>
      <c r="O1745" s="40">
        <v>1300</v>
      </c>
      <c r="P1745" s="40">
        <v>310</v>
      </c>
      <c r="Q1745" s="40">
        <v>0</v>
      </c>
      <c r="R1745" s="40">
        <v>1</v>
      </c>
      <c r="S1745" s="40">
        <v>28</v>
      </c>
    </row>
    <row r="1746" spans="1:19" x14ac:dyDescent="0.35">
      <c r="A1746" s="38">
        <v>2109</v>
      </c>
      <c r="B1746" s="38" t="str">
        <f>_xlfn.XLOOKUP(A1746,'Model Modeshare by TAZ'!A:A,'Model Modeshare by TAZ'!B:B)</f>
        <v>Fremont</v>
      </c>
      <c r="C1746" s="38" t="str">
        <f>_xlfn.XLOOKUP(A1746,'Model Modeshare by TAZ'!A:A,'Model Modeshare by TAZ'!D:D)</f>
        <v>NO</v>
      </c>
      <c r="D1746" s="6">
        <v>4</v>
      </c>
      <c r="E1746" s="6">
        <v>2360</v>
      </c>
      <c r="F1746" s="6">
        <v>5944</v>
      </c>
      <c r="G1746" s="6">
        <v>6313</v>
      </c>
      <c r="H1746" s="6">
        <v>2621</v>
      </c>
      <c r="I1746" s="6">
        <v>147</v>
      </c>
      <c r="J1746" s="6">
        <v>2213</v>
      </c>
      <c r="K1746" s="40">
        <v>108</v>
      </c>
      <c r="L1746" s="40">
        <v>241</v>
      </c>
      <c r="M1746" s="40">
        <v>9435</v>
      </c>
      <c r="N1746" s="40">
        <v>1839</v>
      </c>
      <c r="O1746" s="40">
        <v>2696</v>
      </c>
      <c r="P1746" s="40">
        <v>2871</v>
      </c>
      <c r="Q1746" s="40">
        <v>31</v>
      </c>
      <c r="R1746" s="40">
        <v>1323</v>
      </c>
      <c r="S1746" s="40">
        <v>676</v>
      </c>
    </row>
    <row r="1747" spans="1:19" x14ac:dyDescent="0.35">
      <c r="A1747" s="38">
        <v>2110</v>
      </c>
      <c r="B1747" s="38" t="str">
        <f>_xlfn.XLOOKUP(A1747,'Model Modeshare by TAZ'!A:A,'Model Modeshare by TAZ'!B:B)</f>
        <v>Fremont</v>
      </c>
      <c r="C1747" s="38" t="str">
        <f>_xlfn.XLOOKUP(A1747,'Model Modeshare by TAZ'!A:A,'Model Modeshare by TAZ'!D:D)</f>
        <v>NO</v>
      </c>
      <c r="D1747" s="6">
        <v>4</v>
      </c>
      <c r="E1747" s="6">
        <v>5472</v>
      </c>
      <c r="F1747" s="6">
        <v>14434</v>
      </c>
      <c r="G1747" s="6">
        <v>14434</v>
      </c>
      <c r="H1747" s="6">
        <v>8182</v>
      </c>
      <c r="I1747" s="6">
        <v>1911</v>
      </c>
      <c r="J1747" s="6">
        <v>3561</v>
      </c>
      <c r="K1747" s="40">
        <v>483</v>
      </c>
      <c r="L1747" s="40">
        <v>226</v>
      </c>
      <c r="M1747" s="40">
        <v>5781</v>
      </c>
      <c r="N1747" s="40">
        <v>894</v>
      </c>
      <c r="O1747" s="40">
        <v>2818</v>
      </c>
      <c r="P1747" s="40">
        <v>1332</v>
      </c>
      <c r="Q1747" s="40">
        <v>30</v>
      </c>
      <c r="R1747" s="40">
        <v>640</v>
      </c>
      <c r="S1747" s="40">
        <v>67</v>
      </c>
    </row>
    <row r="1748" spans="1:19" x14ac:dyDescent="0.35">
      <c r="A1748" s="38">
        <v>2111</v>
      </c>
      <c r="B1748" s="38" t="str">
        <f>_xlfn.XLOOKUP(A1748,'Model Modeshare by TAZ'!A:A,'Model Modeshare by TAZ'!B:B)</f>
        <v>Fremont</v>
      </c>
      <c r="C1748" s="38" t="str">
        <f>_xlfn.XLOOKUP(A1748,'Model Modeshare by TAZ'!A:A,'Model Modeshare by TAZ'!D:D)</f>
        <v>NO</v>
      </c>
      <c r="D1748" s="6">
        <v>4</v>
      </c>
      <c r="E1748" s="6">
        <v>1616</v>
      </c>
      <c r="F1748" s="6">
        <v>5242</v>
      </c>
      <c r="G1748" s="6">
        <v>5242</v>
      </c>
      <c r="H1748" s="6">
        <v>2424</v>
      </c>
      <c r="I1748" s="6">
        <v>1567</v>
      </c>
      <c r="J1748" s="6">
        <v>49</v>
      </c>
      <c r="K1748" s="40">
        <v>364</v>
      </c>
      <c r="L1748" s="40">
        <v>16</v>
      </c>
      <c r="M1748" s="40">
        <v>846</v>
      </c>
      <c r="N1748" s="40">
        <v>363</v>
      </c>
      <c r="O1748" s="40">
        <v>204</v>
      </c>
      <c r="P1748" s="40">
        <v>124</v>
      </c>
      <c r="Q1748" s="40">
        <v>24</v>
      </c>
      <c r="R1748" s="40">
        <v>27</v>
      </c>
      <c r="S1748" s="40">
        <v>104</v>
      </c>
    </row>
    <row r="1749" spans="1:19" x14ac:dyDescent="0.35">
      <c r="A1749" s="38">
        <v>2112</v>
      </c>
      <c r="B1749" s="38" t="str">
        <f>_xlfn.XLOOKUP(A1749,'Model Modeshare by TAZ'!A:A,'Model Modeshare by TAZ'!B:B)</f>
        <v>Fremont</v>
      </c>
      <c r="C1749" s="38" t="str">
        <f>_xlfn.XLOOKUP(A1749,'Model Modeshare by TAZ'!A:A,'Model Modeshare by TAZ'!D:D)</f>
        <v>NO</v>
      </c>
      <c r="D1749" s="6">
        <v>4</v>
      </c>
      <c r="E1749" s="6">
        <v>1052</v>
      </c>
      <c r="F1749" s="6">
        <v>3357</v>
      </c>
      <c r="G1749" s="6">
        <v>3375</v>
      </c>
      <c r="H1749" s="6">
        <v>1665</v>
      </c>
      <c r="I1749" s="6">
        <v>1032</v>
      </c>
      <c r="J1749" s="6">
        <v>20</v>
      </c>
      <c r="K1749" s="40">
        <v>532</v>
      </c>
      <c r="L1749" s="40">
        <v>46</v>
      </c>
      <c r="M1749" s="40">
        <v>752</v>
      </c>
      <c r="N1749" s="40">
        <v>87</v>
      </c>
      <c r="O1749" s="40">
        <v>167</v>
      </c>
      <c r="P1749" s="40">
        <v>493</v>
      </c>
      <c r="Q1749" s="40">
        <v>0</v>
      </c>
      <c r="R1749" s="40">
        <v>5</v>
      </c>
      <c r="S1749" s="40">
        <v>0</v>
      </c>
    </row>
    <row r="1750" spans="1:19" x14ac:dyDescent="0.35">
      <c r="A1750" s="38">
        <v>2113</v>
      </c>
      <c r="B1750" s="38" t="str">
        <f>_xlfn.XLOOKUP(A1750,'Model Modeshare by TAZ'!A:A,'Model Modeshare by TAZ'!B:B)</f>
        <v>Fremont</v>
      </c>
      <c r="C1750" s="38" t="str">
        <f>_xlfn.XLOOKUP(A1750,'Model Modeshare by TAZ'!A:A,'Model Modeshare by TAZ'!D:D)</f>
        <v>NO</v>
      </c>
      <c r="D1750" s="6">
        <v>4</v>
      </c>
      <c r="E1750" s="6">
        <v>1600</v>
      </c>
      <c r="F1750" s="6">
        <v>4149</v>
      </c>
      <c r="G1750" s="6">
        <v>4220</v>
      </c>
      <c r="H1750" s="6">
        <v>2112</v>
      </c>
      <c r="I1750" s="6">
        <v>1339</v>
      </c>
      <c r="J1750" s="6">
        <v>261</v>
      </c>
      <c r="K1750" s="40">
        <v>635</v>
      </c>
      <c r="L1750" s="40">
        <v>61</v>
      </c>
      <c r="M1750" s="40">
        <v>357</v>
      </c>
      <c r="N1750" s="40">
        <v>41</v>
      </c>
      <c r="O1750" s="40">
        <v>163</v>
      </c>
      <c r="P1750" s="40">
        <v>104</v>
      </c>
      <c r="Q1750" s="40">
        <v>0</v>
      </c>
      <c r="R1750" s="40">
        <v>15</v>
      </c>
      <c r="S1750" s="40">
        <v>35</v>
      </c>
    </row>
    <row r="1751" spans="1:19" x14ac:dyDescent="0.35">
      <c r="A1751" s="38">
        <v>2114</v>
      </c>
      <c r="B1751" s="38" t="str">
        <f>_xlfn.XLOOKUP(A1751,'Model Modeshare by TAZ'!A:A,'Model Modeshare by TAZ'!B:B)</f>
        <v>Fremont</v>
      </c>
      <c r="C1751" s="38" t="str">
        <f>_xlfn.XLOOKUP(A1751,'Model Modeshare by TAZ'!A:A,'Model Modeshare by TAZ'!D:D)</f>
        <v>NO</v>
      </c>
      <c r="D1751" s="6">
        <v>4</v>
      </c>
      <c r="E1751" s="6">
        <v>2524</v>
      </c>
      <c r="F1751" s="6">
        <v>7216</v>
      </c>
      <c r="G1751" s="6">
        <v>7268</v>
      </c>
      <c r="H1751" s="6">
        <v>3724</v>
      </c>
      <c r="I1751" s="6">
        <v>1943</v>
      </c>
      <c r="J1751" s="6">
        <v>581</v>
      </c>
      <c r="K1751" s="40">
        <v>481</v>
      </c>
      <c r="L1751" s="40">
        <v>82</v>
      </c>
      <c r="M1751" s="40">
        <v>498</v>
      </c>
      <c r="N1751" s="40">
        <v>85</v>
      </c>
      <c r="O1751" s="40">
        <v>143</v>
      </c>
      <c r="P1751" s="40">
        <v>213</v>
      </c>
      <c r="Q1751" s="40">
        <v>4</v>
      </c>
      <c r="R1751" s="40">
        <v>28</v>
      </c>
      <c r="S1751" s="40">
        <v>26</v>
      </c>
    </row>
    <row r="1752" spans="1:19" x14ac:dyDescent="0.35">
      <c r="A1752" s="38">
        <v>2115</v>
      </c>
      <c r="B1752" s="38" t="str">
        <f>_xlfn.XLOOKUP(A1752,'Model Modeshare by TAZ'!A:A,'Model Modeshare by TAZ'!B:B)</f>
        <v>Fremont</v>
      </c>
      <c r="C1752" s="38" t="str">
        <f>_xlfn.XLOOKUP(A1752,'Model Modeshare by TAZ'!A:A,'Model Modeshare by TAZ'!D:D)</f>
        <v>NO</v>
      </c>
      <c r="D1752" s="6">
        <v>4</v>
      </c>
      <c r="E1752" s="6">
        <v>1051</v>
      </c>
      <c r="F1752" s="6">
        <v>2916</v>
      </c>
      <c r="G1752" s="6">
        <v>2924</v>
      </c>
      <c r="H1752" s="6">
        <v>1538</v>
      </c>
      <c r="I1752" s="6">
        <v>511</v>
      </c>
      <c r="J1752" s="6">
        <v>540</v>
      </c>
      <c r="K1752" s="40">
        <v>189</v>
      </c>
      <c r="L1752" s="40">
        <v>20</v>
      </c>
      <c r="M1752" s="40">
        <v>78</v>
      </c>
      <c r="N1752" s="40">
        <v>24</v>
      </c>
      <c r="O1752" s="40">
        <v>37</v>
      </c>
      <c r="P1752" s="40">
        <v>10</v>
      </c>
      <c r="Q1752" s="40">
        <v>1</v>
      </c>
      <c r="R1752" s="40">
        <v>1</v>
      </c>
      <c r="S1752" s="40">
        <v>4</v>
      </c>
    </row>
    <row r="1753" spans="1:19" x14ac:dyDescent="0.35">
      <c r="A1753" s="38">
        <v>2116</v>
      </c>
      <c r="B1753" s="38" t="str">
        <f>_xlfn.XLOOKUP(A1753,'Model Modeshare by TAZ'!A:A,'Model Modeshare by TAZ'!B:B)</f>
        <v>Fremont</v>
      </c>
      <c r="C1753" s="38" t="str">
        <f>_xlfn.XLOOKUP(A1753,'Model Modeshare by TAZ'!A:A,'Model Modeshare by TAZ'!D:D)</f>
        <v>NO</v>
      </c>
      <c r="D1753" s="6">
        <v>4</v>
      </c>
      <c r="E1753" s="6">
        <v>1846</v>
      </c>
      <c r="F1753" s="6">
        <v>5803</v>
      </c>
      <c r="G1753" s="6">
        <v>5851</v>
      </c>
      <c r="H1753" s="6">
        <v>2790</v>
      </c>
      <c r="I1753" s="6">
        <v>1506</v>
      </c>
      <c r="J1753" s="6">
        <v>340</v>
      </c>
      <c r="K1753" s="40">
        <v>385</v>
      </c>
      <c r="L1753" s="40">
        <v>106</v>
      </c>
      <c r="M1753" s="40">
        <v>1035</v>
      </c>
      <c r="N1753" s="40">
        <v>329</v>
      </c>
      <c r="O1753" s="40">
        <v>491</v>
      </c>
      <c r="P1753" s="40">
        <v>138</v>
      </c>
      <c r="Q1753" s="40">
        <v>11</v>
      </c>
      <c r="R1753" s="40">
        <v>11</v>
      </c>
      <c r="S1753" s="40">
        <v>55</v>
      </c>
    </row>
    <row r="1754" spans="1:19" x14ac:dyDescent="0.35">
      <c r="A1754" s="38">
        <v>2117</v>
      </c>
      <c r="B1754" s="38" t="str">
        <f>_xlfn.XLOOKUP(A1754,'Model Modeshare by TAZ'!A:A,'Model Modeshare by TAZ'!B:B)</f>
        <v>Fremont</v>
      </c>
      <c r="C1754" s="38" t="str">
        <f>_xlfn.XLOOKUP(A1754,'Model Modeshare by TAZ'!A:A,'Model Modeshare by TAZ'!D:D)</f>
        <v>NO</v>
      </c>
      <c r="D1754" s="6">
        <v>4</v>
      </c>
      <c r="E1754" s="6">
        <v>2269</v>
      </c>
      <c r="F1754" s="6">
        <v>7881</v>
      </c>
      <c r="G1754" s="6">
        <v>7928</v>
      </c>
      <c r="H1754" s="6">
        <v>3983</v>
      </c>
      <c r="I1754" s="6">
        <v>1594</v>
      </c>
      <c r="J1754" s="6">
        <v>675</v>
      </c>
      <c r="K1754" s="40">
        <v>349</v>
      </c>
      <c r="L1754" s="40">
        <v>35</v>
      </c>
      <c r="M1754" s="40">
        <v>460</v>
      </c>
      <c r="N1754" s="40">
        <v>126</v>
      </c>
      <c r="O1754" s="40">
        <v>220</v>
      </c>
      <c r="P1754" s="40">
        <v>103</v>
      </c>
      <c r="Q1754" s="40">
        <v>7</v>
      </c>
      <c r="R1754" s="40">
        <v>3</v>
      </c>
      <c r="S1754" s="40">
        <v>1</v>
      </c>
    </row>
    <row r="1755" spans="1:19" x14ac:dyDescent="0.35">
      <c r="A1755" s="38">
        <v>2118</v>
      </c>
      <c r="B1755" s="38" t="str">
        <f>_xlfn.XLOOKUP(A1755,'Model Modeshare by TAZ'!A:A,'Model Modeshare by TAZ'!B:B)</f>
        <v>Fremont</v>
      </c>
      <c r="C1755" s="38" t="str">
        <f>_xlfn.XLOOKUP(A1755,'Model Modeshare by TAZ'!A:A,'Model Modeshare by TAZ'!D:D)</f>
        <v>NO</v>
      </c>
      <c r="D1755" s="6">
        <v>4</v>
      </c>
      <c r="E1755" s="6">
        <v>1449</v>
      </c>
      <c r="F1755" s="6">
        <v>4797</v>
      </c>
      <c r="G1755" s="6">
        <v>4827</v>
      </c>
      <c r="H1755" s="6">
        <v>2254</v>
      </c>
      <c r="I1755" s="6">
        <v>1366</v>
      </c>
      <c r="J1755" s="6">
        <v>83</v>
      </c>
      <c r="K1755" s="40">
        <v>256</v>
      </c>
      <c r="L1755" s="40">
        <v>7</v>
      </c>
      <c r="M1755" s="40">
        <v>213</v>
      </c>
      <c r="N1755" s="40">
        <v>57</v>
      </c>
      <c r="O1755" s="40">
        <v>102</v>
      </c>
      <c r="P1755" s="40">
        <v>49</v>
      </c>
      <c r="Q1755" s="40">
        <v>3</v>
      </c>
      <c r="R1755" s="40">
        <v>2</v>
      </c>
      <c r="S1755" s="40">
        <v>0</v>
      </c>
    </row>
    <row r="1756" spans="1:19" x14ac:dyDescent="0.35">
      <c r="A1756" s="38">
        <v>2119</v>
      </c>
      <c r="B1756" s="38" t="str">
        <f>_xlfn.XLOOKUP(A1756,'Model Modeshare by TAZ'!A:A,'Model Modeshare by TAZ'!B:B)</f>
        <v>Fremont</v>
      </c>
      <c r="C1756" s="38" t="str">
        <f>_xlfn.XLOOKUP(A1756,'Model Modeshare by TAZ'!A:A,'Model Modeshare by TAZ'!D:D)</f>
        <v>NO</v>
      </c>
      <c r="D1756" s="6">
        <v>4</v>
      </c>
      <c r="E1756" s="6">
        <v>2333</v>
      </c>
      <c r="F1756" s="6">
        <v>7475</v>
      </c>
      <c r="G1756" s="6">
        <v>7509</v>
      </c>
      <c r="H1756" s="6">
        <v>3664</v>
      </c>
      <c r="I1756" s="6">
        <v>1835</v>
      </c>
      <c r="J1756" s="6">
        <v>498</v>
      </c>
      <c r="K1756" s="40">
        <v>423</v>
      </c>
      <c r="L1756" s="40">
        <v>12</v>
      </c>
      <c r="M1756" s="40">
        <v>474</v>
      </c>
      <c r="N1756" s="40">
        <v>268</v>
      </c>
      <c r="O1756" s="40">
        <v>84</v>
      </c>
      <c r="P1756" s="40">
        <v>75</v>
      </c>
      <c r="Q1756" s="40">
        <v>30</v>
      </c>
      <c r="R1756" s="40">
        <v>3</v>
      </c>
      <c r="S1756" s="40">
        <v>14</v>
      </c>
    </row>
    <row r="1757" spans="1:19" x14ac:dyDescent="0.35">
      <c r="A1757" s="38">
        <v>2120</v>
      </c>
      <c r="B1757" s="38" t="str">
        <f>_xlfn.XLOOKUP(A1757,'Model Modeshare by TAZ'!A:A,'Model Modeshare by TAZ'!B:B)</f>
        <v>Fremont</v>
      </c>
      <c r="C1757" s="38" t="str">
        <f>_xlfn.XLOOKUP(A1757,'Model Modeshare by TAZ'!A:A,'Model Modeshare by TAZ'!D:D)</f>
        <v>NO</v>
      </c>
      <c r="D1757" s="6">
        <v>4</v>
      </c>
      <c r="E1757" s="6">
        <v>1799</v>
      </c>
      <c r="F1757" s="6">
        <v>6156</v>
      </c>
      <c r="G1757" s="6">
        <v>6177</v>
      </c>
      <c r="H1757" s="6">
        <v>2977</v>
      </c>
      <c r="I1757" s="6">
        <v>1552</v>
      </c>
      <c r="J1757" s="6">
        <v>247</v>
      </c>
      <c r="K1757" s="40">
        <v>406</v>
      </c>
      <c r="L1757" s="40">
        <v>4</v>
      </c>
      <c r="M1757" s="40">
        <v>447</v>
      </c>
      <c r="N1757" s="40">
        <v>87</v>
      </c>
      <c r="O1757" s="40">
        <v>286</v>
      </c>
      <c r="P1757" s="40">
        <v>74</v>
      </c>
      <c r="Q1757" s="40">
        <v>0</v>
      </c>
      <c r="R1757" s="40">
        <v>0</v>
      </c>
      <c r="S1757" s="40">
        <v>0</v>
      </c>
    </row>
    <row r="1758" spans="1:19" x14ac:dyDescent="0.35">
      <c r="A1758" s="38">
        <v>2121</v>
      </c>
      <c r="B1758" s="38" t="str">
        <f>_xlfn.XLOOKUP(A1758,'Model Modeshare by TAZ'!A:A,'Model Modeshare by TAZ'!B:B)</f>
        <v>Fremont</v>
      </c>
      <c r="C1758" s="38" t="str">
        <f>_xlfn.XLOOKUP(A1758,'Model Modeshare by TAZ'!A:A,'Model Modeshare by TAZ'!D:D)</f>
        <v>NO</v>
      </c>
      <c r="D1758" s="6">
        <v>4</v>
      </c>
      <c r="E1758" s="6">
        <v>1271</v>
      </c>
      <c r="F1758" s="6">
        <v>4600</v>
      </c>
      <c r="G1758" s="6">
        <v>4632</v>
      </c>
      <c r="H1758" s="6">
        <v>2284</v>
      </c>
      <c r="I1758" s="6">
        <v>1225</v>
      </c>
      <c r="J1758" s="6">
        <v>46</v>
      </c>
      <c r="K1758" s="40">
        <v>270</v>
      </c>
      <c r="L1758" s="40">
        <v>4</v>
      </c>
      <c r="M1758" s="40">
        <v>131</v>
      </c>
      <c r="N1758" s="40">
        <v>26</v>
      </c>
      <c r="O1758" s="40">
        <v>85</v>
      </c>
      <c r="P1758" s="40">
        <v>20</v>
      </c>
      <c r="Q1758" s="40">
        <v>0</v>
      </c>
      <c r="R1758" s="40">
        <v>0</v>
      </c>
      <c r="S1758" s="40">
        <v>0</v>
      </c>
    </row>
    <row r="1759" spans="1:19" x14ac:dyDescent="0.35">
      <c r="A1759" s="38">
        <v>2122</v>
      </c>
      <c r="B1759" s="38" t="str">
        <f>_xlfn.XLOOKUP(A1759,'Model Modeshare by TAZ'!A:A,'Model Modeshare by TAZ'!B:B)</f>
        <v>Union City</v>
      </c>
      <c r="C1759" s="38" t="str">
        <f>_xlfn.XLOOKUP(A1759,'Model Modeshare by TAZ'!A:A,'Model Modeshare by TAZ'!D:D)</f>
        <v>NO</v>
      </c>
      <c r="D1759" s="6">
        <v>4</v>
      </c>
      <c r="E1759" s="6">
        <v>2054</v>
      </c>
      <c r="F1759" s="6">
        <v>7540</v>
      </c>
      <c r="G1759" s="6">
        <v>7573</v>
      </c>
      <c r="H1759" s="6">
        <v>4000</v>
      </c>
      <c r="I1759" s="6">
        <v>1970</v>
      </c>
      <c r="J1759" s="6">
        <v>84</v>
      </c>
      <c r="K1759" s="40">
        <v>514</v>
      </c>
      <c r="L1759" s="40">
        <v>4</v>
      </c>
      <c r="M1759" s="40">
        <v>278</v>
      </c>
      <c r="N1759" s="40">
        <v>28</v>
      </c>
      <c r="O1759" s="40">
        <v>200</v>
      </c>
      <c r="P1759" s="40">
        <v>49</v>
      </c>
      <c r="Q1759" s="40">
        <v>0</v>
      </c>
      <c r="R1759" s="40">
        <v>0</v>
      </c>
      <c r="S1759" s="40">
        <v>0</v>
      </c>
    </row>
    <row r="1760" spans="1:19" x14ac:dyDescent="0.35">
      <c r="A1760" s="38">
        <v>2123</v>
      </c>
      <c r="B1760" s="38" t="str">
        <f>_xlfn.XLOOKUP(A1760,'Model Modeshare by TAZ'!A:A,'Model Modeshare by TAZ'!B:B)</f>
        <v>Union City</v>
      </c>
      <c r="C1760" s="38" t="str">
        <f>_xlfn.XLOOKUP(A1760,'Model Modeshare by TAZ'!A:A,'Model Modeshare by TAZ'!D:D)</f>
        <v>NO</v>
      </c>
      <c r="D1760" s="6">
        <v>4</v>
      </c>
      <c r="E1760" s="6">
        <v>906</v>
      </c>
      <c r="F1760" s="6">
        <v>3585</v>
      </c>
      <c r="G1760" s="6">
        <v>3634</v>
      </c>
      <c r="H1760" s="6">
        <v>1575</v>
      </c>
      <c r="I1760" s="6">
        <v>860</v>
      </c>
      <c r="J1760" s="6">
        <v>46</v>
      </c>
      <c r="K1760" s="40">
        <v>127</v>
      </c>
      <c r="L1760" s="40">
        <v>11</v>
      </c>
      <c r="M1760" s="40">
        <v>413</v>
      </c>
      <c r="N1760" s="40">
        <v>95</v>
      </c>
      <c r="O1760" s="40">
        <v>43</v>
      </c>
      <c r="P1760" s="40">
        <v>267</v>
      </c>
      <c r="Q1760" s="40">
        <v>8</v>
      </c>
      <c r="R1760" s="40">
        <v>0</v>
      </c>
      <c r="S1760" s="40">
        <v>0</v>
      </c>
    </row>
    <row r="1761" spans="1:19" x14ac:dyDescent="0.35">
      <c r="A1761" s="38">
        <v>2124</v>
      </c>
      <c r="B1761" s="38" t="str">
        <f>_xlfn.XLOOKUP(A1761,'Model Modeshare by TAZ'!A:A,'Model Modeshare by TAZ'!B:B)</f>
        <v>Union City</v>
      </c>
      <c r="C1761" s="38" t="str">
        <f>_xlfn.XLOOKUP(A1761,'Model Modeshare by TAZ'!A:A,'Model Modeshare by TAZ'!D:D)</f>
        <v>NO</v>
      </c>
      <c r="D1761" s="6">
        <v>4</v>
      </c>
      <c r="E1761" s="6">
        <v>824</v>
      </c>
      <c r="F1761" s="6">
        <v>3412</v>
      </c>
      <c r="G1761" s="6">
        <v>3516</v>
      </c>
      <c r="H1761" s="6">
        <v>1612</v>
      </c>
      <c r="I1761" s="6">
        <v>814</v>
      </c>
      <c r="J1761" s="6">
        <v>10</v>
      </c>
      <c r="K1761" s="40">
        <v>188</v>
      </c>
      <c r="L1761" s="40">
        <v>3</v>
      </c>
      <c r="M1761" s="40">
        <v>57</v>
      </c>
      <c r="N1761" s="40">
        <v>1</v>
      </c>
      <c r="O1761" s="40">
        <v>33</v>
      </c>
      <c r="P1761" s="40">
        <v>19</v>
      </c>
      <c r="Q1761" s="40">
        <v>3</v>
      </c>
      <c r="R1761" s="40">
        <v>0</v>
      </c>
      <c r="S1761" s="40">
        <v>1</v>
      </c>
    </row>
    <row r="1762" spans="1:19" x14ac:dyDescent="0.35">
      <c r="A1762" s="38">
        <v>2125</v>
      </c>
      <c r="B1762" s="38" t="str">
        <f>_xlfn.XLOOKUP(A1762,'Model Modeshare by TAZ'!A:A,'Model Modeshare by TAZ'!B:B)</f>
        <v>Union City</v>
      </c>
      <c r="C1762" s="38" t="str">
        <f>_xlfn.XLOOKUP(A1762,'Model Modeshare by TAZ'!A:A,'Model Modeshare by TAZ'!D:D)</f>
        <v>NO</v>
      </c>
      <c r="D1762" s="6">
        <v>4</v>
      </c>
      <c r="E1762" s="6">
        <v>1327</v>
      </c>
      <c r="F1762" s="6">
        <v>5184</v>
      </c>
      <c r="G1762" s="6">
        <v>5217</v>
      </c>
      <c r="H1762" s="6">
        <v>2419</v>
      </c>
      <c r="I1762" s="6">
        <v>1109</v>
      </c>
      <c r="J1762" s="6">
        <v>218</v>
      </c>
      <c r="K1762" s="40">
        <v>200</v>
      </c>
      <c r="L1762" s="40">
        <v>22</v>
      </c>
      <c r="M1762" s="40">
        <v>605</v>
      </c>
      <c r="N1762" s="40">
        <v>240</v>
      </c>
      <c r="O1762" s="40">
        <v>281</v>
      </c>
      <c r="P1762" s="40">
        <v>75</v>
      </c>
      <c r="Q1762" s="40">
        <v>0</v>
      </c>
      <c r="R1762" s="40">
        <v>2</v>
      </c>
      <c r="S1762" s="40">
        <v>8</v>
      </c>
    </row>
    <row r="1763" spans="1:19" x14ac:dyDescent="0.35">
      <c r="A1763" s="38">
        <v>2126</v>
      </c>
      <c r="B1763" s="38" t="str">
        <f>_xlfn.XLOOKUP(A1763,'Model Modeshare by TAZ'!A:A,'Model Modeshare by TAZ'!B:B)</f>
        <v>Union City</v>
      </c>
      <c r="C1763" s="38" t="str">
        <f>_xlfn.XLOOKUP(A1763,'Model Modeshare by TAZ'!A:A,'Model Modeshare by TAZ'!D:D)</f>
        <v>NO</v>
      </c>
      <c r="D1763" s="6">
        <v>4</v>
      </c>
      <c r="E1763" s="6">
        <v>879</v>
      </c>
      <c r="F1763" s="6">
        <v>3516</v>
      </c>
      <c r="G1763" s="6">
        <v>3516</v>
      </c>
      <c r="H1763" s="6">
        <v>1737</v>
      </c>
      <c r="I1763" s="6">
        <v>868</v>
      </c>
      <c r="J1763" s="6">
        <v>11</v>
      </c>
      <c r="K1763" s="40">
        <v>103</v>
      </c>
      <c r="L1763" s="40">
        <v>25</v>
      </c>
      <c r="M1763" s="40">
        <v>32</v>
      </c>
      <c r="N1763" s="40">
        <v>0</v>
      </c>
      <c r="O1763" s="40">
        <v>1</v>
      </c>
      <c r="P1763" s="40">
        <v>30</v>
      </c>
      <c r="Q1763" s="40">
        <v>0</v>
      </c>
      <c r="R1763" s="40">
        <v>0</v>
      </c>
      <c r="S1763" s="40">
        <v>1</v>
      </c>
    </row>
    <row r="1764" spans="1:19" x14ac:dyDescent="0.35">
      <c r="A1764" s="38">
        <v>2127</v>
      </c>
      <c r="B1764" s="38" t="str">
        <f>_xlfn.XLOOKUP(A1764,'Model Modeshare by TAZ'!A:A,'Model Modeshare by TAZ'!B:B)</f>
        <v>Union City</v>
      </c>
      <c r="C1764" s="38" t="str">
        <f>_xlfn.XLOOKUP(A1764,'Model Modeshare by TAZ'!A:A,'Model Modeshare by TAZ'!D:D)</f>
        <v>NO</v>
      </c>
      <c r="D1764" s="6">
        <v>4</v>
      </c>
      <c r="E1764" s="6">
        <v>860</v>
      </c>
      <c r="F1764" s="6">
        <v>3264</v>
      </c>
      <c r="G1764" s="6">
        <v>3264</v>
      </c>
      <c r="H1764" s="6">
        <v>1509</v>
      </c>
      <c r="I1764" s="6">
        <v>554</v>
      </c>
      <c r="J1764" s="6">
        <v>306</v>
      </c>
      <c r="K1764" s="40">
        <v>151</v>
      </c>
      <c r="L1764" s="40">
        <v>146</v>
      </c>
      <c r="M1764" s="40">
        <v>1670</v>
      </c>
      <c r="N1764" s="40">
        <v>113</v>
      </c>
      <c r="O1764" s="40">
        <v>306</v>
      </c>
      <c r="P1764" s="40">
        <v>115</v>
      </c>
      <c r="Q1764" s="40">
        <v>0</v>
      </c>
      <c r="R1764" s="40">
        <v>503</v>
      </c>
      <c r="S1764" s="40">
        <v>632</v>
      </c>
    </row>
    <row r="1765" spans="1:19" x14ac:dyDescent="0.35">
      <c r="A1765" s="38">
        <v>2128</v>
      </c>
      <c r="B1765" s="38" t="str">
        <f>_xlfn.XLOOKUP(A1765,'Model Modeshare by TAZ'!A:A,'Model Modeshare by TAZ'!B:B)</f>
        <v>Union City</v>
      </c>
      <c r="C1765" s="38" t="str">
        <f>_xlfn.XLOOKUP(A1765,'Model Modeshare by TAZ'!A:A,'Model Modeshare by TAZ'!D:D)</f>
        <v>NO</v>
      </c>
      <c r="D1765" s="6">
        <v>4</v>
      </c>
      <c r="E1765" s="6">
        <v>2073</v>
      </c>
      <c r="F1765" s="6">
        <v>7983</v>
      </c>
      <c r="G1765" s="6">
        <v>8076</v>
      </c>
      <c r="H1765" s="6">
        <v>4254</v>
      </c>
      <c r="I1765" s="6">
        <v>1968</v>
      </c>
      <c r="J1765" s="6">
        <v>105</v>
      </c>
      <c r="K1765" s="40">
        <v>373</v>
      </c>
      <c r="L1765" s="40">
        <v>389</v>
      </c>
      <c r="M1765" s="40">
        <v>6230</v>
      </c>
      <c r="N1765" s="40">
        <v>1044</v>
      </c>
      <c r="O1765" s="40">
        <v>1477</v>
      </c>
      <c r="P1765" s="40">
        <v>1885</v>
      </c>
      <c r="Q1765" s="40">
        <v>66</v>
      </c>
      <c r="R1765" s="40">
        <v>860</v>
      </c>
      <c r="S1765" s="40">
        <v>898</v>
      </c>
    </row>
    <row r="1766" spans="1:19" x14ac:dyDescent="0.35">
      <c r="A1766" s="38">
        <v>2129</v>
      </c>
      <c r="B1766" s="38" t="str">
        <f>_xlfn.XLOOKUP(A1766,'Model Modeshare by TAZ'!A:A,'Model Modeshare by TAZ'!B:B)</f>
        <v>Union City</v>
      </c>
      <c r="C1766" s="38" t="str">
        <f>_xlfn.XLOOKUP(A1766,'Model Modeshare by TAZ'!A:A,'Model Modeshare by TAZ'!D:D)</f>
        <v>NO</v>
      </c>
      <c r="D1766" s="6">
        <v>4</v>
      </c>
      <c r="E1766" s="6">
        <v>2088</v>
      </c>
      <c r="F1766" s="6">
        <v>6901</v>
      </c>
      <c r="G1766" s="6">
        <v>7009</v>
      </c>
      <c r="H1766" s="6">
        <v>3441</v>
      </c>
      <c r="I1766" s="6">
        <v>1523</v>
      </c>
      <c r="J1766" s="6">
        <v>565</v>
      </c>
      <c r="K1766" s="40">
        <v>355</v>
      </c>
      <c r="L1766" s="40">
        <v>654</v>
      </c>
      <c r="M1766" s="40">
        <v>5522</v>
      </c>
      <c r="N1766" s="40">
        <v>364</v>
      </c>
      <c r="O1766" s="40">
        <v>878</v>
      </c>
      <c r="P1766" s="40">
        <v>502</v>
      </c>
      <c r="Q1766" s="40">
        <v>52</v>
      </c>
      <c r="R1766" s="40">
        <v>2966</v>
      </c>
      <c r="S1766" s="40">
        <v>760</v>
      </c>
    </row>
    <row r="1767" spans="1:19" x14ac:dyDescent="0.35">
      <c r="A1767" s="38">
        <v>2130</v>
      </c>
      <c r="B1767" s="38" t="str">
        <f>_xlfn.XLOOKUP(A1767,'Model Modeshare by TAZ'!A:A,'Model Modeshare by TAZ'!B:B)</f>
        <v>Union City</v>
      </c>
      <c r="C1767" s="38" t="str">
        <f>_xlfn.XLOOKUP(A1767,'Model Modeshare by TAZ'!A:A,'Model Modeshare by TAZ'!D:D)</f>
        <v>NO</v>
      </c>
      <c r="D1767" s="6">
        <v>4</v>
      </c>
      <c r="E1767" s="6">
        <v>1492</v>
      </c>
      <c r="F1767" s="6">
        <v>4187</v>
      </c>
      <c r="G1767" s="6">
        <v>4277</v>
      </c>
      <c r="H1767" s="6">
        <v>1726</v>
      </c>
      <c r="I1767" s="6">
        <v>714</v>
      </c>
      <c r="J1767" s="6">
        <v>778</v>
      </c>
      <c r="K1767" s="40">
        <v>288</v>
      </c>
      <c r="L1767" s="40">
        <v>12</v>
      </c>
      <c r="M1767" s="40">
        <v>1170</v>
      </c>
      <c r="N1767" s="40">
        <v>37</v>
      </c>
      <c r="O1767" s="40">
        <v>690</v>
      </c>
      <c r="P1767" s="40">
        <v>385</v>
      </c>
      <c r="Q1767" s="40">
        <v>52</v>
      </c>
      <c r="R1767" s="40">
        <v>7</v>
      </c>
      <c r="S1767" s="40">
        <v>0</v>
      </c>
    </row>
    <row r="1768" spans="1:19" x14ac:dyDescent="0.35">
      <c r="A1768" s="38">
        <v>2131</v>
      </c>
      <c r="B1768" s="38" t="str">
        <f>_xlfn.XLOOKUP(A1768,'Model Modeshare by TAZ'!A:A,'Model Modeshare by TAZ'!B:B)</f>
        <v>Fremont</v>
      </c>
      <c r="C1768" s="38" t="str">
        <f>_xlfn.XLOOKUP(A1768,'Model Modeshare by TAZ'!A:A,'Model Modeshare by TAZ'!D:D)</f>
        <v>NO</v>
      </c>
      <c r="D1768" s="6">
        <v>4</v>
      </c>
      <c r="E1768" s="6">
        <v>1635</v>
      </c>
      <c r="F1768" s="6">
        <v>5244</v>
      </c>
      <c r="G1768" s="6">
        <v>5269</v>
      </c>
      <c r="H1768" s="6">
        <v>2472</v>
      </c>
      <c r="I1768" s="6">
        <v>1381</v>
      </c>
      <c r="J1768" s="6">
        <v>254</v>
      </c>
      <c r="K1768" s="40">
        <v>307</v>
      </c>
      <c r="L1768" s="40">
        <v>20</v>
      </c>
      <c r="M1768" s="40">
        <v>330</v>
      </c>
      <c r="N1768" s="40">
        <v>188</v>
      </c>
      <c r="O1768" s="40">
        <v>59</v>
      </c>
      <c r="P1768" s="40">
        <v>52</v>
      </c>
      <c r="Q1768" s="40">
        <v>21</v>
      </c>
      <c r="R1768" s="40">
        <v>2</v>
      </c>
      <c r="S1768" s="40">
        <v>8</v>
      </c>
    </row>
    <row r="1769" spans="1:19" x14ac:dyDescent="0.35">
      <c r="A1769" s="38">
        <v>2132</v>
      </c>
      <c r="B1769" s="38" t="str">
        <f>_xlfn.XLOOKUP(A1769,'Model Modeshare by TAZ'!A:A,'Model Modeshare by TAZ'!B:B)</f>
        <v>Union City</v>
      </c>
      <c r="C1769" s="38" t="str">
        <f>_xlfn.XLOOKUP(A1769,'Model Modeshare by TAZ'!A:A,'Model Modeshare by TAZ'!D:D)</f>
        <v>NO</v>
      </c>
      <c r="D1769" s="6">
        <v>4</v>
      </c>
      <c r="E1769" s="6">
        <v>1874</v>
      </c>
      <c r="F1769" s="6">
        <v>5761</v>
      </c>
      <c r="G1769" s="6">
        <v>5822</v>
      </c>
      <c r="H1769" s="6">
        <v>2772</v>
      </c>
      <c r="I1769" s="6">
        <v>1199</v>
      </c>
      <c r="J1769" s="6">
        <v>675</v>
      </c>
      <c r="K1769" s="40">
        <v>346</v>
      </c>
      <c r="L1769" s="40">
        <v>82</v>
      </c>
      <c r="M1769" s="40">
        <v>1612</v>
      </c>
      <c r="N1769" s="40">
        <v>66</v>
      </c>
      <c r="O1769" s="40">
        <v>487</v>
      </c>
      <c r="P1769" s="40">
        <v>1053</v>
      </c>
      <c r="Q1769" s="40">
        <v>5</v>
      </c>
      <c r="R1769" s="40">
        <v>1</v>
      </c>
      <c r="S1769" s="40">
        <v>1</v>
      </c>
    </row>
    <row r="1770" spans="1:19" x14ac:dyDescent="0.35">
      <c r="A1770" s="38">
        <v>2133</v>
      </c>
      <c r="B1770" s="38" t="str">
        <f>_xlfn.XLOOKUP(A1770,'Model Modeshare by TAZ'!A:A,'Model Modeshare by TAZ'!B:B)</f>
        <v>Union City</v>
      </c>
      <c r="C1770" s="38" t="str">
        <f>_xlfn.XLOOKUP(A1770,'Model Modeshare by TAZ'!A:A,'Model Modeshare by TAZ'!D:D)</f>
        <v>NO</v>
      </c>
      <c r="D1770" s="6">
        <v>4</v>
      </c>
      <c r="E1770" s="6">
        <v>3589</v>
      </c>
      <c r="F1770" s="6">
        <v>12019</v>
      </c>
      <c r="G1770" s="6">
        <v>12094</v>
      </c>
      <c r="H1770" s="6">
        <v>6302</v>
      </c>
      <c r="I1770" s="6">
        <v>2266</v>
      </c>
      <c r="J1770" s="6">
        <v>1323</v>
      </c>
      <c r="K1770" s="40">
        <v>502</v>
      </c>
      <c r="L1770" s="40">
        <v>278</v>
      </c>
      <c r="M1770" s="40">
        <v>2159</v>
      </c>
      <c r="N1770" s="40">
        <v>659</v>
      </c>
      <c r="O1770" s="40">
        <v>271</v>
      </c>
      <c r="P1770" s="40">
        <v>692</v>
      </c>
      <c r="Q1770" s="40">
        <v>0</v>
      </c>
      <c r="R1770" s="40">
        <v>178</v>
      </c>
      <c r="S1770" s="40">
        <v>359</v>
      </c>
    </row>
    <row r="1771" spans="1:19" x14ac:dyDescent="0.35">
      <c r="A1771" s="38">
        <v>2134</v>
      </c>
      <c r="B1771" s="38" t="str">
        <f>_xlfn.XLOOKUP(A1771,'Model Modeshare by TAZ'!A:A,'Model Modeshare by TAZ'!B:B)</f>
        <v>Union City</v>
      </c>
      <c r="C1771" s="38" t="str">
        <f>_xlfn.XLOOKUP(A1771,'Model Modeshare by TAZ'!A:A,'Model Modeshare by TAZ'!D:D)</f>
        <v>NO</v>
      </c>
      <c r="D1771" s="6">
        <v>4</v>
      </c>
      <c r="E1771" s="6">
        <v>1522</v>
      </c>
      <c r="F1771" s="6">
        <v>6307</v>
      </c>
      <c r="G1771" s="6">
        <v>6342</v>
      </c>
      <c r="H1771" s="6">
        <v>2822</v>
      </c>
      <c r="I1771" s="6">
        <v>1204</v>
      </c>
      <c r="J1771" s="6">
        <v>318</v>
      </c>
      <c r="K1771" s="40">
        <v>220</v>
      </c>
      <c r="L1771" s="40">
        <v>57</v>
      </c>
      <c r="M1771" s="40">
        <v>624</v>
      </c>
      <c r="N1771" s="40">
        <v>48</v>
      </c>
      <c r="O1771" s="40">
        <v>71</v>
      </c>
      <c r="P1771" s="40">
        <v>478</v>
      </c>
      <c r="Q1771" s="40">
        <v>13</v>
      </c>
      <c r="R1771" s="40">
        <v>9</v>
      </c>
      <c r="S1771" s="40">
        <v>5</v>
      </c>
    </row>
    <row r="1772" spans="1:19" x14ac:dyDescent="0.35">
      <c r="A1772" s="38">
        <v>2135</v>
      </c>
      <c r="B1772" s="38" t="str">
        <f>_xlfn.XLOOKUP(A1772,'Model Modeshare by TAZ'!A:A,'Model Modeshare by TAZ'!B:B)</f>
        <v>Union City</v>
      </c>
      <c r="C1772" s="38" t="str">
        <f>_xlfn.XLOOKUP(A1772,'Model Modeshare by TAZ'!A:A,'Model Modeshare by TAZ'!D:D)</f>
        <v>NO</v>
      </c>
      <c r="D1772" s="6">
        <v>4</v>
      </c>
      <c r="E1772" s="6">
        <v>1066</v>
      </c>
      <c r="F1772" s="6">
        <v>2561</v>
      </c>
      <c r="G1772" s="6">
        <v>2621</v>
      </c>
      <c r="H1772" s="6">
        <v>1241</v>
      </c>
      <c r="I1772" s="6">
        <v>626</v>
      </c>
      <c r="J1772" s="6">
        <v>440</v>
      </c>
      <c r="K1772" s="40">
        <v>183</v>
      </c>
      <c r="L1772" s="40">
        <v>150</v>
      </c>
      <c r="M1772" s="40">
        <v>441</v>
      </c>
      <c r="N1772" s="40">
        <v>2</v>
      </c>
      <c r="O1772" s="40">
        <v>422</v>
      </c>
      <c r="P1772" s="40">
        <v>18</v>
      </c>
      <c r="Q1772" s="40">
        <v>0</v>
      </c>
      <c r="R1772" s="40">
        <v>0</v>
      </c>
      <c r="S1772" s="40">
        <v>0</v>
      </c>
    </row>
    <row r="1773" spans="1:19" x14ac:dyDescent="0.35">
      <c r="A1773" s="38">
        <v>2136</v>
      </c>
      <c r="B1773" s="38" t="str">
        <f>_xlfn.XLOOKUP(A1773,'Model Modeshare by TAZ'!A:A,'Model Modeshare by TAZ'!B:B)</f>
        <v>Hayward</v>
      </c>
      <c r="C1773" s="38" t="str">
        <f>_xlfn.XLOOKUP(A1773,'Model Modeshare by TAZ'!A:A,'Model Modeshare by TAZ'!D:D)</f>
        <v>NO</v>
      </c>
      <c r="D1773" s="6">
        <v>4</v>
      </c>
      <c r="E1773" s="6">
        <v>1154</v>
      </c>
      <c r="F1773" s="6">
        <v>3928</v>
      </c>
      <c r="G1773" s="6">
        <v>3962</v>
      </c>
      <c r="H1773" s="6">
        <v>2019</v>
      </c>
      <c r="I1773" s="6">
        <v>935</v>
      </c>
      <c r="J1773" s="6">
        <v>219</v>
      </c>
      <c r="K1773" s="40">
        <v>276</v>
      </c>
      <c r="L1773" s="40">
        <v>40</v>
      </c>
      <c r="M1773" s="40">
        <v>583</v>
      </c>
      <c r="N1773" s="40">
        <v>225</v>
      </c>
      <c r="O1773" s="40">
        <v>225</v>
      </c>
      <c r="P1773" s="40">
        <v>109</v>
      </c>
      <c r="Q1773" s="40">
        <v>0</v>
      </c>
      <c r="R1773" s="40">
        <v>23</v>
      </c>
      <c r="S1773" s="40">
        <v>1</v>
      </c>
    </row>
    <row r="1774" spans="1:19" x14ac:dyDescent="0.35">
      <c r="A1774" s="38">
        <v>2137</v>
      </c>
      <c r="B1774" s="38" t="str">
        <f>_xlfn.XLOOKUP(A1774,'Model Modeshare by TAZ'!A:A,'Model Modeshare by TAZ'!B:B)</f>
        <v>Hayward</v>
      </c>
      <c r="C1774" s="38" t="str">
        <f>_xlfn.XLOOKUP(A1774,'Model Modeshare by TAZ'!A:A,'Model Modeshare by TAZ'!D:D)</f>
        <v>NO</v>
      </c>
      <c r="D1774" s="6">
        <v>4</v>
      </c>
      <c r="E1774" s="6">
        <v>2005</v>
      </c>
      <c r="F1774" s="6">
        <v>7495</v>
      </c>
      <c r="G1774" s="6">
        <v>7548</v>
      </c>
      <c r="H1774" s="6">
        <v>3387</v>
      </c>
      <c r="I1774" s="6">
        <v>1816</v>
      </c>
      <c r="J1774" s="6">
        <v>189</v>
      </c>
      <c r="K1774" s="40">
        <v>220</v>
      </c>
      <c r="L1774" s="40">
        <v>126</v>
      </c>
      <c r="M1774" s="40">
        <v>295</v>
      </c>
      <c r="N1774" s="40">
        <v>154</v>
      </c>
      <c r="O1774" s="40">
        <v>86</v>
      </c>
      <c r="P1774" s="40">
        <v>31</v>
      </c>
      <c r="Q1774" s="40">
        <v>5</v>
      </c>
      <c r="R1774" s="40">
        <v>16</v>
      </c>
      <c r="S1774" s="40">
        <v>2</v>
      </c>
    </row>
    <row r="1775" spans="1:19" x14ac:dyDescent="0.35">
      <c r="A1775" s="38">
        <v>2138</v>
      </c>
      <c r="B1775" s="38" t="str">
        <f>_xlfn.XLOOKUP(A1775,'Model Modeshare by TAZ'!A:A,'Model Modeshare by TAZ'!B:B)</f>
        <v>Hayward</v>
      </c>
      <c r="C1775" s="38" t="str">
        <f>_xlfn.XLOOKUP(A1775,'Model Modeshare by TAZ'!A:A,'Model Modeshare by TAZ'!D:D)</f>
        <v>NO</v>
      </c>
      <c r="D1775" s="6">
        <v>4</v>
      </c>
      <c r="E1775" s="6">
        <v>3018</v>
      </c>
      <c r="F1775" s="6">
        <v>9441</v>
      </c>
      <c r="G1775" s="6">
        <v>9578</v>
      </c>
      <c r="H1775" s="6">
        <v>4518</v>
      </c>
      <c r="I1775" s="6">
        <v>1645</v>
      </c>
      <c r="J1775" s="6">
        <v>1373</v>
      </c>
      <c r="K1775" s="40">
        <v>500</v>
      </c>
      <c r="L1775" s="40">
        <v>1102</v>
      </c>
      <c r="M1775" s="40">
        <v>12378</v>
      </c>
      <c r="N1775" s="40">
        <v>620</v>
      </c>
      <c r="O1775" s="40">
        <v>2232</v>
      </c>
      <c r="P1775" s="40">
        <v>2248</v>
      </c>
      <c r="Q1775" s="40">
        <v>3</v>
      </c>
      <c r="R1775" s="40">
        <v>4440</v>
      </c>
      <c r="S1775" s="40">
        <v>2835</v>
      </c>
    </row>
    <row r="1776" spans="1:19" x14ac:dyDescent="0.35">
      <c r="A1776" s="38">
        <v>2139</v>
      </c>
      <c r="B1776" s="38" t="str">
        <f>_xlfn.XLOOKUP(A1776,'Model Modeshare by TAZ'!A:A,'Model Modeshare by TAZ'!B:B)</f>
        <v>Hayward</v>
      </c>
      <c r="C1776" s="38" t="str">
        <f>_xlfn.XLOOKUP(A1776,'Model Modeshare by TAZ'!A:A,'Model Modeshare by TAZ'!D:D)</f>
        <v>NO</v>
      </c>
      <c r="D1776" s="6">
        <v>4</v>
      </c>
      <c r="E1776" s="6">
        <v>1187</v>
      </c>
      <c r="F1776" s="6">
        <v>4886</v>
      </c>
      <c r="G1776" s="6">
        <v>4902</v>
      </c>
      <c r="H1776" s="6">
        <v>2373</v>
      </c>
      <c r="I1776" s="6">
        <v>795</v>
      </c>
      <c r="J1776" s="6">
        <v>392</v>
      </c>
      <c r="K1776" s="40">
        <v>179</v>
      </c>
      <c r="L1776" s="40">
        <v>21</v>
      </c>
      <c r="M1776" s="40">
        <v>558</v>
      </c>
      <c r="N1776" s="40">
        <v>131</v>
      </c>
      <c r="O1776" s="40">
        <v>290</v>
      </c>
      <c r="P1776" s="40">
        <v>135</v>
      </c>
      <c r="Q1776" s="40">
        <v>0</v>
      </c>
      <c r="R1776" s="40">
        <v>0</v>
      </c>
      <c r="S1776" s="40">
        <v>2</v>
      </c>
    </row>
    <row r="1777" spans="1:19" x14ac:dyDescent="0.35">
      <c r="A1777" s="38">
        <v>2140</v>
      </c>
      <c r="B1777" s="38" t="str">
        <f>_xlfn.XLOOKUP(A1777,'Model Modeshare by TAZ'!A:A,'Model Modeshare by TAZ'!B:B)</f>
        <v>Hayward</v>
      </c>
      <c r="C1777" s="38" t="str">
        <f>_xlfn.XLOOKUP(A1777,'Model Modeshare by TAZ'!A:A,'Model Modeshare by TAZ'!D:D)</f>
        <v>NO</v>
      </c>
      <c r="D1777" s="6">
        <v>4</v>
      </c>
      <c r="E1777" s="6">
        <v>890</v>
      </c>
      <c r="F1777" s="6">
        <v>4032</v>
      </c>
      <c r="G1777" s="6">
        <v>4102</v>
      </c>
      <c r="H1777" s="6">
        <v>1979</v>
      </c>
      <c r="I1777" s="6">
        <v>882</v>
      </c>
      <c r="J1777" s="6">
        <v>8</v>
      </c>
      <c r="K1777" s="40">
        <v>158</v>
      </c>
      <c r="L1777" s="40">
        <v>46</v>
      </c>
      <c r="M1777" s="40">
        <v>304</v>
      </c>
      <c r="N1777" s="40">
        <v>18</v>
      </c>
      <c r="O1777" s="40">
        <v>281</v>
      </c>
      <c r="P1777" s="40">
        <v>6</v>
      </c>
      <c r="Q1777" s="40">
        <v>0</v>
      </c>
      <c r="R1777" s="40">
        <v>0</v>
      </c>
      <c r="S1777" s="40">
        <v>0</v>
      </c>
    </row>
    <row r="1778" spans="1:19" x14ac:dyDescent="0.35">
      <c r="A1778" s="38">
        <v>2141</v>
      </c>
      <c r="B1778" s="38" t="str">
        <f>_xlfn.XLOOKUP(A1778,'Model Modeshare by TAZ'!A:A,'Model Modeshare by TAZ'!B:B)</f>
        <v>Hayward</v>
      </c>
      <c r="C1778" s="38" t="str">
        <f>_xlfn.XLOOKUP(A1778,'Model Modeshare by TAZ'!A:A,'Model Modeshare by TAZ'!D:D)</f>
        <v>NO</v>
      </c>
      <c r="D1778" s="6">
        <v>4</v>
      </c>
      <c r="E1778" s="6">
        <v>693</v>
      </c>
      <c r="F1778" s="6">
        <v>2498</v>
      </c>
      <c r="G1778" s="6">
        <v>2509</v>
      </c>
      <c r="H1778" s="6">
        <v>1233</v>
      </c>
      <c r="I1778" s="6">
        <v>523</v>
      </c>
      <c r="J1778" s="6">
        <v>170</v>
      </c>
      <c r="K1778" s="40">
        <v>126</v>
      </c>
      <c r="L1778" s="40">
        <v>256</v>
      </c>
      <c r="M1778" s="40">
        <v>2296</v>
      </c>
      <c r="N1778" s="40">
        <v>76</v>
      </c>
      <c r="O1778" s="40">
        <v>555</v>
      </c>
      <c r="P1778" s="40">
        <v>326</v>
      </c>
      <c r="Q1778" s="40">
        <v>2</v>
      </c>
      <c r="R1778" s="40">
        <v>794</v>
      </c>
      <c r="S1778" s="40">
        <v>543</v>
      </c>
    </row>
    <row r="1779" spans="1:19" x14ac:dyDescent="0.35">
      <c r="A1779" s="38">
        <v>2142</v>
      </c>
      <c r="B1779" s="38" t="str">
        <f>_xlfn.XLOOKUP(A1779,'Model Modeshare by TAZ'!A:A,'Model Modeshare by TAZ'!B:B)</f>
        <v>Hayward</v>
      </c>
      <c r="C1779" s="38" t="str">
        <f>_xlfn.XLOOKUP(A1779,'Model Modeshare by TAZ'!A:A,'Model Modeshare by TAZ'!D:D)</f>
        <v>NO</v>
      </c>
      <c r="D1779" s="6">
        <v>4</v>
      </c>
      <c r="E1779" s="6">
        <v>3295</v>
      </c>
      <c r="F1779" s="6">
        <v>11272</v>
      </c>
      <c r="G1779" s="6">
        <v>11313</v>
      </c>
      <c r="H1779" s="6">
        <v>5815</v>
      </c>
      <c r="I1779" s="6">
        <v>2276</v>
      </c>
      <c r="J1779" s="6">
        <v>1019</v>
      </c>
      <c r="K1779" s="40">
        <v>598</v>
      </c>
      <c r="L1779" s="40">
        <v>2397</v>
      </c>
      <c r="M1779" s="40">
        <v>28416</v>
      </c>
      <c r="N1779" s="40">
        <v>3675</v>
      </c>
      <c r="O1779" s="40">
        <v>6235</v>
      </c>
      <c r="P1779" s="40">
        <v>7435</v>
      </c>
      <c r="Q1779" s="40">
        <v>35</v>
      </c>
      <c r="R1779" s="40">
        <v>7746</v>
      </c>
      <c r="S1779" s="40">
        <v>3290</v>
      </c>
    </row>
    <row r="1780" spans="1:19" x14ac:dyDescent="0.35">
      <c r="A1780" s="38">
        <v>2143</v>
      </c>
      <c r="B1780" s="38" t="str">
        <f>_xlfn.XLOOKUP(A1780,'Model Modeshare by TAZ'!A:A,'Model Modeshare by TAZ'!B:B)</f>
        <v>Hayward</v>
      </c>
      <c r="C1780" s="38" t="str">
        <f>_xlfn.XLOOKUP(A1780,'Model Modeshare by TAZ'!A:A,'Model Modeshare by TAZ'!D:D)</f>
        <v>NO</v>
      </c>
      <c r="D1780" s="6">
        <v>4</v>
      </c>
      <c r="E1780" s="6">
        <v>2301</v>
      </c>
      <c r="F1780" s="6">
        <v>7454</v>
      </c>
      <c r="G1780" s="6">
        <v>7632</v>
      </c>
      <c r="H1780" s="6">
        <v>3404</v>
      </c>
      <c r="I1780" s="6">
        <v>1481</v>
      </c>
      <c r="J1780" s="6">
        <v>820</v>
      </c>
      <c r="K1780" s="40">
        <v>283</v>
      </c>
      <c r="L1780" s="40">
        <v>343</v>
      </c>
      <c r="M1780" s="40">
        <v>2957</v>
      </c>
      <c r="N1780" s="40">
        <v>88</v>
      </c>
      <c r="O1780" s="40">
        <v>775</v>
      </c>
      <c r="P1780" s="40">
        <v>942</v>
      </c>
      <c r="Q1780" s="40">
        <v>88</v>
      </c>
      <c r="R1780" s="40">
        <v>778</v>
      </c>
      <c r="S1780" s="40">
        <v>287</v>
      </c>
    </row>
    <row r="1781" spans="1:19" x14ac:dyDescent="0.35">
      <c r="A1781" s="38">
        <v>2144</v>
      </c>
      <c r="B1781" s="38" t="str">
        <f>_xlfn.XLOOKUP(A1781,'Model Modeshare by TAZ'!A:A,'Model Modeshare by TAZ'!B:B)</f>
        <v>Hayward</v>
      </c>
      <c r="C1781" s="38" t="str">
        <f>_xlfn.XLOOKUP(A1781,'Model Modeshare by TAZ'!A:A,'Model Modeshare by TAZ'!D:D)</f>
        <v>NO</v>
      </c>
      <c r="D1781" s="6">
        <v>4</v>
      </c>
      <c r="E1781" s="6">
        <v>1242</v>
      </c>
      <c r="F1781" s="6">
        <v>3387</v>
      </c>
      <c r="G1781" s="6">
        <v>3447</v>
      </c>
      <c r="H1781" s="6">
        <v>1696</v>
      </c>
      <c r="I1781" s="6">
        <v>925</v>
      </c>
      <c r="J1781" s="6">
        <v>317</v>
      </c>
      <c r="K1781" s="40">
        <v>154</v>
      </c>
      <c r="L1781" s="40">
        <v>233</v>
      </c>
      <c r="M1781" s="40">
        <v>3143</v>
      </c>
      <c r="N1781" s="40">
        <v>1451</v>
      </c>
      <c r="O1781" s="40">
        <v>889</v>
      </c>
      <c r="P1781" s="40">
        <v>726</v>
      </c>
      <c r="Q1781" s="40">
        <v>2</v>
      </c>
      <c r="R1781" s="40">
        <v>15</v>
      </c>
      <c r="S1781" s="40">
        <v>60</v>
      </c>
    </row>
    <row r="1782" spans="1:19" x14ac:dyDescent="0.35">
      <c r="A1782" s="38">
        <v>2145</v>
      </c>
      <c r="B1782" s="38" t="str">
        <f>_xlfn.XLOOKUP(A1782,'Model Modeshare by TAZ'!A:A,'Model Modeshare by TAZ'!B:B)</f>
        <v>Hayward</v>
      </c>
      <c r="C1782" s="38" t="str">
        <f>_xlfn.XLOOKUP(A1782,'Model Modeshare by TAZ'!A:A,'Model Modeshare by TAZ'!D:D)</f>
        <v>NO</v>
      </c>
      <c r="D1782" s="6">
        <v>4</v>
      </c>
      <c r="E1782" s="6">
        <v>915</v>
      </c>
      <c r="F1782" s="6">
        <v>3261</v>
      </c>
      <c r="G1782" s="6">
        <v>3293</v>
      </c>
      <c r="H1782" s="6">
        <v>1574</v>
      </c>
      <c r="I1782" s="6">
        <v>596</v>
      </c>
      <c r="J1782" s="6">
        <v>319</v>
      </c>
      <c r="K1782" s="40">
        <v>123</v>
      </c>
      <c r="L1782" s="40">
        <v>98</v>
      </c>
      <c r="M1782" s="40">
        <v>1491</v>
      </c>
      <c r="N1782" s="40">
        <v>190</v>
      </c>
      <c r="O1782" s="40">
        <v>1011</v>
      </c>
      <c r="P1782" s="40">
        <v>259</v>
      </c>
      <c r="Q1782" s="40">
        <v>0</v>
      </c>
      <c r="R1782" s="40">
        <v>0</v>
      </c>
      <c r="S1782" s="40">
        <v>31</v>
      </c>
    </row>
    <row r="1783" spans="1:19" x14ac:dyDescent="0.35">
      <c r="A1783" s="38">
        <v>2146</v>
      </c>
      <c r="B1783" s="38" t="str">
        <f>_xlfn.XLOOKUP(A1783,'Model Modeshare by TAZ'!A:A,'Model Modeshare by TAZ'!B:B)</f>
        <v>Hayward</v>
      </c>
      <c r="C1783" s="38" t="str">
        <f>_xlfn.XLOOKUP(A1783,'Model Modeshare by TAZ'!A:A,'Model Modeshare by TAZ'!D:D)</f>
        <v>NO</v>
      </c>
      <c r="D1783" s="6">
        <v>4</v>
      </c>
      <c r="E1783" s="6">
        <v>907</v>
      </c>
      <c r="F1783" s="6">
        <v>3291</v>
      </c>
      <c r="G1783" s="6">
        <v>3301</v>
      </c>
      <c r="H1783" s="6">
        <v>1511</v>
      </c>
      <c r="I1783" s="6">
        <v>899</v>
      </c>
      <c r="J1783" s="6">
        <v>8</v>
      </c>
      <c r="K1783" s="40">
        <v>150</v>
      </c>
      <c r="L1783" s="40">
        <v>6</v>
      </c>
      <c r="M1783" s="40">
        <v>192</v>
      </c>
      <c r="N1783" s="40">
        <v>44</v>
      </c>
      <c r="O1783" s="40">
        <v>112</v>
      </c>
      <c r="P1783" s="40">
        <v>36</v>
      </c>
      <c r="Q1783" s="40">
        <v>0</v>
      </c>
      <c r="R1783" s="40">
        <v>0</v>
      </c>
      <c r="S1783" s="40">
        <v>0</v>
      </c>
    </row>
    <row r="1784" spans="1:19" x14ac:dyDescent="0.35">
      <c r="A1784" s="38">
        <v>2147</v>
      </c>
      <c r="B1784" s="38" t="str">
        <f>_xlfn.XLOOKUP(A1784,'Model Modeshare by TAZ'!A:A,'Model Modeshare by TAZ'!B:B)</f>
        <v>Hayward</v>
      </c>
      <c r="C1784" s="38" t="str">
        <f>_xlfn.XLOOKUP(A1784,'Model Modeshare by TAZ'!A:A,'Model Modeshare by TAZ'!D:D)</f>
        <v>NO</v>
      </c>
      <c r="D1784" s="6">
        <v>4</v>
      </c>
      <c r="E1784" s="6">
        <v>1177</v>
      </c>
      <c r="F1784" s="6">
        <v>4561</v>
      </c>
      <c r="G1784" s="6">
        <v>4690</v>
      </c>
      <c r="H1784" s="6">
        <v>1916</v>
      </c>
      <c r="I1784" s="6">
        <v>424</v>
      </c>
      <c r="J1784" s="6">
        <v>753</v>
      </c>
      <c r="K1784" s="40">
        <v>89</v>
      </c>
      <c r="L1784" s="40">
        <v>67</v>
      </c>
      <c r="M1784" s="40">
        <v>273</v>
      </c>
      <c r="N1784" s="40">
        <v>1</v>
      </c>
      <c r="O1784" s="40">
        <v>263</v>
      </c>
      <c r="P1784" s="40">
        <v>9</v>
      </c>
      <c r="Q1784" s="40">
        <v>0</v>
      </c>
      <c r="R1784" s="40">
        <v>0</v>
      </c>
      <c r="S1784" s="40">
        <v>0</v>
      </c>
    </row>
    <row r="1785" spans="1:19" x14ac:dyDescent="0.35">
      <c r="A1785" s="38">
        <v>2148</v>
      </c>
      <c r="B1785" s="38" t="str">
        <f>_xlfn.XLOOKUP(A1785,'Model Modeshare by TAZ'!A:A,'Model Modeshare by TAZ'!B:B)</f>
        <v>Hayward</v>
      </c>
      <c r="C1785" s="38" t="str">
        <f>_xlfn.XLOOKUP(A1785,'Model Modeshare by TAZ'!A:A,'Model Modeshare by TAZ'!D:D)</f>
        <v>NO</v>
      </c>
      <c r="D1785" s="6">
        <v>4</v>
      </c>
      <c r="E1785" s="6">
        <v>890</v>
      </c>
      <c r="F1785" s="6">
        <v>3451</v>
      </c>
      <c r="G1785" s="6">
        <v>3664</v>
      </c>
      <c r="H1785" s="6">
        <v>1540</v>
      </c>
      <c r="I1785" s="6">
        <v>615</v>
      </c>
      <c r="J1785" s="6">
        <v>275</v>
      </c>
      <c r="K1785" s="40">
        <v>118</v>
      </c>
      <c r="L1785" s="40">
        <v>28</v>
      </c>
      <c r="M1785" s="40">
        <v>605</v>
      </c>
      <c r="N1785" s="40">
        <v>105</v>
      </c>
      <c r="O1785" s="40">
        <v>410</v>
      </c>
      <c r="P1785" s="40">
        <v>5</v>
      </c>
      <c r="Q1785" s="40">
        <v>0</v>
      </c>
      <c r="R1785" s="40">
        <v>27</v>
      </c>
      <c r="S1785" s="40">
        <v>58</v>
      </c>
    </row>
    <row r="1786" spans="1:19" x14ac:dyDescent="0.35">
      <c r="A1786" s="38">
        <v>2149</v>
      </c>
      <c r="B1786" s="38" t="str">
        <f>_xlfn.XLOOKUP(A1786,'Model Modeshare by TAZ'!A:A,'Model Modeshare by TAZ'!B:B)</f>
        <v>Hayward</v>
      </c>
      <c r="C1786" s="38" t="str">
        <f>_xlfn.XLOOKUP(A1786,'Model Modeshare by TAZ'!A:A,'Model Modeshare by TAZ'!D:D)</f>
        <v>NO</v>
      </c>
      <c r="D1786" s="6">
        <v>4</v>
      </c>
      <c r="E1786" s="6">
        <v>2163</v>
      </c>
      <c r="F1786" s="6">
        <v>8789</v>
      </c>
      <c r="G1786" s="6">
        <v>8824</v>
      </c>
      <c r="H1786" s="6">
        <v>4111</v>
      </c>
      <c r="I1786" s="6">
        <v>522</v>
      </c>
      <c r="J1786" s="6">
        <v>1641</v>
      </c>
      <c r="K1786" s="40">
        <v>143</v>
      </c>
      <c r="L1786" s="40">
        <v>72</v>
      </c>
      <c r="M1786" s="40">
        <v>564</v>
      </c>
      <c r="N1786" s="40">
        <v>180</v>
      </c>
      <c r="O1786" s="40">
        <v>166</v>
      </c>
      <c r="P1786" s="40">
        <v>115</v>
      </c>
      <c r="Q1786" s="40">
        <v>2</v>
      </c>
      <c r="R1786" s="40">
        <v>6</v>
      </c>
      <c r="S1786" s="40">
        <v>94</v>
      </c>
    </row>
    <row r="1787" spans="1:19" x14ac:dyDescent="0.35">
      <c r="A1787" s="38">
        <v>2150</v>
      </c>
      <c r="B1787" s="38" t="str">
        <f>_xlfn.XLOOKUP(A1787,'Model Modeshare by TAZ'!A:A,'Model Modeshare by TAZ'!B:B)</f>
        <v>Hayward</v>
      </c>
      <c r="C1787" s="38" t="str">
        <f>_xlfn.XLOOKUP(A1787,'Model Modeshare by TAZ'!A:A,'Model Modeshare by TAZ'!D:D)</f>
        <v>NO</v>
      </c>
      <c r="D1787" s="6">
        <v>4</v>
      </c>
      <c r="E1787" s="6">
        <v>1366</v>
      </c>
      <c r="F1787" s="6">
        <v>4384</v>
      </c>
      <c r="G1787" s="6">
        <v>4407</v>
      </c>
      <c r="H1787" s="6">
        <v>2448</v>
      </c>
      <c r="I1787" s="6">
        <v>1164</v>
      </c>
      <c r="J1787" s="6">
        <v>202</v>
      </c>
      <c r="K1787" s="40">
        <v>195</v>
      </c>
      <c r="L1787" s="40">
        <v>102</v>
      </c>
      <c r="M1787" s="40">
        <v>327</v>
      </c>
      <c r="N1787" s="40">
        <v>18</v>
      </c>
      <c r="O1787" s="40">
        <v>90</v>
      </c>
      <c r="P1787" s="40">
        <v>180</v>
      </c>
      <c r="Q1787" s="40">
        <v>2</v>
      </c>
      <c r="R1787" s="40">
        <v>26</v>
      </c>
      <c r="S1787" s="40">
        <v>10</v>
      </c>
    </row>
    <row r="1788" spans="1:19" x14ac:dyDescent="0.35">
      <c r="A1788" s="38">
        <v>2151</v>
      </c>
      <c r="B1788" s="38" t="str">
        <f>_xlfn.XLOOKUP(A1788,'Model Modeshare by TAZ'!A:A,'Model Modeshare by TAZ'!B:B)</f>
        <v>Hayward</v>
      </c>
      <c r="C1788" s="38" t="str">
        <f>_xlfn.XLOOKUP(A1788,'Model Modeshare by TAZ'!A:A,'Model Modeshare by TAZ'!D:D)</f>
        <v>NO</v>
      </c>
      <c r="D1788" s="6">
        <v>4</v>
      </c>
      <c r="E1788" s="6">
        <v>660</v>
      </c>
      <c r="F1788" s="6">
        <v>2399</v>
      </c>
      <c r="G1788" s="6">
        <v>2399</v>
      </c>
      <c r="H1788" s="6">
        <v>1170</v>
      </c>
      <c r="I1788" s="6">
        <v>316</v>
      </c>
      <c r="J1788" s="6">
        <v>344</v>
      </c>
      <c r="K1788" s="40">
        <v>128</v>
      </c>
      <c r="L1788" s="40">
        <v>30</v>
      </c>
      <c r="M1788" s="40">
        <v>566</v>
      </c>
      <c r="N1788" s="40">
        <v>164</v>
      </c>
      <c r="O1788" s="40">
        <v>187</v>
      </c>
      <c r="P1788" s="40">
        <v>188</v>
      </c>
      <c r="Q1788" s="40">
        <v>5</v>
      </c>
      <c r="R1788" s="40">
        <v>17</v>
      </c>
      <c r="S1788" s="40">
        <v>6</v>
      </c>
    </row>
    <row r="1789" spans="1:19" x14ac:dyDescent="0.35">
      <c r="A1789" s="38">
        <v>2152</v>
      </c>
      <c r="B1789" s="38" t="str">
        <f>_xlfn.XLOOKUP(A1789,'Model Modeshare by TAZ'!A:A,'Model Modeshare by TAZ'!B:B)</f>
        <v>Unincorporated</v>
      </c>
      <c r="C1789" s="38" t="str">
        <f>_xlfn.XLOOKUP(A1789,'Model Modeshare by TAZ'!A:A,'Model Modeshare by TAZ'!D:D)</f>
        <v>NO</v>
      </c>
      <c r="D1789" s="6">
        <v>4</v>
      </c>
      <c r="E1789" s="6">
        <v>4236</v>
      </c>
      <c r="F1789" s="6">
        <v>12406</v>
      </c>
      <c r="G1789" s="6">
        <v>12465</v>
      </c>
      <c r="H1789" s="6">
        <v>6500</v>
      </c>
      <c r="I1789" s="6">
        <v>2058</v>
      </c>
      <c r="J1789" s="6">
        <v>2178</v>
      </c>
      <c r="K1789" s="40">
        <v>1644</v>
      </c>
      <c r="L1789" s="40">
        <v>204</v>
      </c>
      <c r="M1789" s="40">
        <v>998</v>
      </c>
      <c r="N1789" s="40">
        <v>102</v>
      </c>
      <c r="O1789" s="40">
        <v>663</v>
      </c>
      <c r="P1789" s="40">
        <v>218</v>
      </c>
      <c r="Q1789" s="40">
        <v>7</v>
      </c>
      <c r="R1789" s="40">
        <v>7</v>
      </c>
      <c r="S1789" s="40">
        <v>2</v>
      </c>
    </row>
    <row r="1790" spans="1:19" x14ac:dyDescent="0.35">
      <c r="A1790" s="38">
        <v>2153</v>
      </c>
      <c r="B1790" s="38" t="str">
        <f>_xlfn.XLOOKUP(A1790,'Model Modeshare by TAZ'!A:A,'Model Modeshare by TAZ'!B:B)</f>
        <v>Hayward</v>
      </c>
      <c r="C1790" s="38" t="str">
        <f>_xlfn.XLOOKUP(A1790,'Model Modeshare by TAZ'!A:A,'Model Modeshare by TAZ'!D:D)</f>
        <v>NO</v>
      </c>
      <c r="D1790" s="6">
        <v>4</v>
      </c>
      <c r="E1790" s="6">
        <v>1571</v>
      </c>
      <c r="F1790" s="6">
        <v>4437</v>
      </c>
      <c r="G1790" s="6">
        <v>5800</v>
      </c>
      <c r="H1790" s="6">
        <v>3015</v>
      </c>
      <c r="I1790" s="6">
        <v>1043</v>
      </c>
      <c r="J1790" s="6">
        <v>528</v>
      </c>
      <c r="K1790" s="40">
        <v>450</v>
      </c>
      <c r="L1790" s="40">
        <v>371</v>
      </c>
      <c r="M1790" s="40">
        <v>1943</v>
      </c>
      <c r="N1790" s="40">
        <v>58</v>
      </c>
      <c r="O1790" s="40">
        <v>1759</v>
      </c>
      <c r="P1790" s="40">
        <v>116</v>
      </c>
      <c r="Q1790" s="40">
        <v>1</v>
      </c>
      <c r="R1790" s="40">
        <v>5</v>
      </c>
      <c r="S1790" s="40">
        <v>4</v>
      </c>
    </row>
    <row r="1791" spans="1:19" x14ac:dyDescent="0.35">
      <c r="A1791" s="38">
        <v>2154</v>
      </c>
      <c r="B1791" s="38" t="str">
        <f>_xlfn.XLOOKUP(A1791,'Model Modeshare by TAZ'!A:A,'Model Modeshare by TAZ'!B:B)</f>
        <v>Unincorporated</v>
      </c>
      <c r="C1791" s="38" t="str">
        <f>_xlfn.XLOOKUP(A1791,'Model Modeshare by TAZ'!A:A,'Model Modeshare by TAZ'!D:D)</f>
        <v>NO</v>
      </c>
      <c r="D1791" s="6">
        <v>4</v>
      </c>
      <c r="E1791" s="6">
        <v>1021</v>
      </c>
      <c r="F1791" s="6">
        <v>2853</v>
      </c>
      <c r="G1791" s="6">
        <v>2875</v>
      </c>
      <c r="H1791" s="6">
        <v>1389</v>
      </c>
      <c r="I1791" s="6">
        <v>1006</v>
      </c>
      <c r="J1791" s="6">
        <v>15</v>
      </c>
      <c r="K1791" s="40">
        <v>819</v>
      </c>
      <c r="L1791" s="40">
        <v>9</v>
      </c>
      <c r="M1791" s="40">
        <v>178</v>
      </c>
      <c r="N1791" s="40">
        <v>61</v>
      </c>
      <c r="O1791" s="40">
        <v>101</v>
      </c>
      <c r="P1791" s="40">
        <v>16</v>
      </c>
      <c r="Q1791" s="40">
        <v>0</v>
      </c>
      <c r="R1791" s="40">
        <v>0</v>
      </c>
      <c r="S1791" s="40">
        <v>0</v>
      </c>
    </row>
    <row r="1792" spans="1:19" x14ac:dyDescent="0.35">
      <c r="A1792" s="38">
        <v>2155</v>
      </c>
      <c r="B1792" s="38" t="str">
        <f>_xlfn.XLOOKUP(A1792,'Model Modeshare by TAZ'!A:A,'Model Modeshare by TAZ'!B:B)</f>
        <v>Hayward</v>
      </c>
      <c r="C1792" s="38" t="str">
        <f>_xlfn.XLOOKUP(A1792,'Model Modeshare by TAZ'!A:A,'Model Modeshare by TAZ'!D:D)</f>
        <v>NO</v>
      </c>
      <c r="D1792" s="6">
        <v>4</v>
      </c>
      <c r="E1792" s="6">
        <v>3013</v>
      </c>
      <c r="F1792" s="6">
        <v>7812</v>
      </c>
      <c r="G1792" s="6">
        <v>7881</v>
      </c>
      <c r="H1792" s="6">
        <v>4000</v>
      </c>
      <c r="I1792" s="6">
        <v>1860</v>
      </c>
      <c r="J1792" s="6">
        <v>1153</v>
      </c>
      <c r="K1792" s="40">
        <v>515</v>
      </c>
      <c r="L1792" s="40">
        <v>99</v>
      </c>
      <c r="M1792" s="40">
        <v>958</v>
      </c>
      <c r="N1792" s="40">
        <v>110</v>
      </c>
      <c r="O1792" s="40">
        <v>604</v>
      </c>
      <c r="P1792" s="40">
        <v>142</v>
      </c>
      <c r="Q1792" s="40">
        <v>10</v>
      </c>
      <c r="R1792" s="40">
        <v>89</v>
      </c>
      <c r="S1792" s="40">
        <v>3</v>
      </c>
    </row>
    <row r="1793" spans="1:19" x14ac:dyDescent="0.35">
      <c r="A1793" s="38">
        <v>2156</v>
      </c>
      <c r="B1793" s="38" t="str">
        <f>_xlfn.XLOOKUP(A1793,'Model Modeshare by TAZ'!A:A,'Model Modeshare by TAZ'!B:B)</f>
        <v>Hayward</v>
      </c>
      <c r="C1793" s="38" t="str">
        <f>_xlfn.XLOOKUP(A1793,'Model Modeshare by TAZ'!A:A,'Model Modeshare by TAZ'!D:D)</f>
        <v>NO</v>
      </c>
      <c r="D1793" s="6">
        <v>4</v>
      </c>
      <c r="E1793" s="6">
        <v>1715</v>
      </c>
      <c r="F1793" s="6">
        <v>4955</v>
      </c>
      <c r="G1793" s="6">
        <v>4955</v>
      </c>
      <c r="H1793" s="6">
        <v>2521</v>
      </c>
      <c r="I1793" s="6">
        <v>628</v>
      </c>
      <c r="J1793" s="6">
        <v>1087</v>
      </c>
      <c r="K1793" s="40">
        <v>267</v>
      </c>
      <c r="L1793" s="40">
        <v>162</v>
      </c>
      <c r="M1793" s="40">
        <v>1523</v>
      </c>
      <c r="N1793" s="40">
        <v>712</v>
      </c>
      <c r="O1793" s="40">
        <v>276</v>
      </c>
      <c r="P1793" s="40">
        <v>497</v>
      </c>
      <c r="Q1793" s="40">
        <v>9</v>
      </c>
      <c r="R1793" s="40">
        <v>18</v>
      </c>
      <c r="S1793" s="40">
        <v>12</v>
      </c>
    </row>
    <row r="1794" spans="1:19" x14ac:dyDescent="0.35">
      <c r="A1794" s="38">
        <v>2157</v>
      </c>
      <c r="B1794" s="38" t="str">
        <f>_xlfn.XLOOKUP(A1794,'Model Modeshare by TAZ'!A:A,'Model Modeshare by TAZ'!B:B)</f>
        <v>Hayward</v>
      </c>
      <c r="C1794" s="38" t="str">
        <f>_xlfn.XLOOKUP(A1794,'Model Modeshare by TAZ'!A:A,'Model Modeshare by TAZ'!D:D)</f>
        <v>NO</v>
      </c>
      <c r="D1794" s="6">
        <v>4</v>
      </c>
      <c r="E1794" s="6">
        <v>1854</v>
      </c>
      <c r="F1794" s="6">
        <v>6438</v>
      </c>
      <c r="G1794" s="6">
        <v>6466</v>
      </c>
      <c r="H1794" s="6">
        <v>3104</v>
      </c>
      <c r="I1794" s="6">
        <v>1077</v>
      </c>
      <c r="J1794" s="6">
        <v>777</v>
      </c>
      <c r="K1794" s="40">
        <v>204</v>
      </c>
      <c r="L1794" s="40">
        <v>52</v>
      </c>
      <c r="M1794" s="40">
        <v>208</v>
      </c>
      <c r="N1794" s="40">
        <v>32</v>
      </c>
      <c r="O1794" s="40">
        <v>25</v>
      </c>
      <c r="P1794" s="40">
        <v>105</v>
      </c>
      <c r="Q1794" s="40">
        <v>4</v>
      </c>
      <c r="R1794" s="40">
        <v>34</v>
      </c>
      <c r="S1794" s="40">
        <v>8</v>
      </c>
    </row>
    <row r="1795" spans="1:19" x14ac:dyDescent="0.35">
      <c r="A1795" s="38">
        <v>2158</v>
      </c>
      <c r="B1795" s="38" t="str">
        <f>_xlfn.XLOOKUP(A1795,'Model Modeshare by TAZ'!A:A,'Model Modeshare by TAZ'!B:B)</f>
        <v>Hayward</v>
      </c>
      <c r="C1795" s="38" t="str">
        <f>_xlfn.XLOOKUP(A1795,'Model Modeshare by TAZ'!A:A,'Model Modeshare by TAZ'!D:D)</f>
        <v>NO</v>
      </c>
      <c r="D1795" s="6">
        <v>4</v>
      </c>
      <c r="E1795" s="6">
        <v>1667</v>
      </c>
      <c r="F1795" s="6">
        <v>5224</v>
      </c>
      <c r="G1795" s="6">
        <v>5234</v>
      </c>
      <c r="H1795" s="6">
        <v>2504</v>
      </c>
      <c r="I1795" s="6">
        <v>432</v>
      </c>
      <c r="J1795" s="6">
        <v>1235</v>
      </c>
      <c r="K1795" s="40">
        <v>102</v>
      </c>
      <c r="L1795" s="40">
        <v>95</v>
      </c>
      <c r="M1795" s="40">
        <v>849</v>
      </c>
      <c r="N1795" s="40">
        <v>132</v>
      </c>
      <c r="O1795" s="40">
        <v>100</v>
      </c>
      <c r="P1795" s="40">
        <v>431</v>
      </c>
      <c r="Q1795" s="40">
        <v>19</v>
      </c>
      <c r="R1795" s="40">
        <v>135</v>
      </c>
      <c r="S1795" s="40">
        <v>32</v>
      </c>
    </row>
    <row r="1796" spans="1:19" x14ac:dyDescent="0.35">
      <c r="A1796" s="38">
        <v>2159</v>
      </c>
      <c r="B1796" s="38" t="str">
        <f>_xlfn.XLOOKUP(A1796,'Model Modeshare by TAZ'!A:A,'Model Modeshare by TAZ'!B:B)</f>
        <v>Hayward</v>
      </c>
      <c r="C1796" s="38" t="str">
        <f>_xlfn.XLOOKUP(A1796,'Model Modeshare by TAZ'!A:A,'Model Modeshare by TAZ'!D:D)</f>
        <v>NO</v>
      </c>
      <c r="D1796" s="6">
        <v>4</v>
      </c>
      <c r="E1796" s="6">
        <v>1338</v>
      </c>
      <c r="F1796" s="6">
        <v>4216</v>
      </c>
      <c r="G1796" s="6">
        <v>4234</v>
      </c>
      <c r="H1796" s="6">
        <v>2222</v>
      </c>
      <c r="I1796" s="6">
        <v>740</v>
      </c>
      <c r="J1796" s="6">
        <v>598</v>
      </c>
      <c r="K1796" s="40">
        <v>133</v>
      </c>
      <c r="L1796" s="40">
        <v>68</v>
      </c>
      <c r="M1796" s="40">
        <v>3686</v>
      </c>
      <c r="N1796" s="40">
        <v>456</v>
      </c>
      <c r="O1796" s="40">
        <v>1542</v>
      </c>
      <c r="P1796" s="40">
        <v>1643</v>
      </c>
      <c r="Q1796" s="40">
        <v>1</v>
      </c>
      <c r="R1796" s="40">
        <v>36</v>
      </c>
      <c r="S1796" s="40">
        <v>9</v>
      </c>
    </row>
    <row r="1797" spans="1:19" x14ac:dyDescent="0.35">
      <c r="A1797" s="38">
        <v>2160</v>
      </c>
      <c r="B1797" s="38" t="str">
        <f>_xlfn.XLOOKUP(A1797,'Model Modeshare by TAZ'!A:A,'Model Modeshare by TAZ'!B:B)</f>
        <v>Hayward</v>
      </c>
      <c r="C1797" s="38" t="str">
        <f>_xlfn.XLOOKUP(A1797,'Model Modeshare by TAZ'!A:A,'Model Modeshare by TAZ'!D:D)</f>
        <v>NO</v>
      </c>
      <c r="D1797" s="6">
        <v>4</v>
      </c>
      <c r="E1797" s="6">
        <v>2598</v>
      </c>
      <c r="F1797" s="6">
        <v>7860</v>
      </c>
      <c r="G1797" s="6">
        <v>7962</v>
      </c>
      <c r="H1797" s="6">
        <v>4064</v>
      </c>
      <c r="I1797" s="6">
        <v>1383</v>
      </c>
      <c r="J1797" s="6">
        <v>1215</v>
      </c>
      <c r="K1797" s="40">
        <v>229</v>
      </c>
      <c r="L1797" s="40">
        <v>198</v>
      </c>
      <c r="M1797" s="40">
        <v>1109</v>
      </c>
      <c r="N1797" s="40">
        <v>126</v>
      </c>
      <c r="O1797" s="40">
        <v>426</v>
      </c>
      <c r="P1797" s="40">
        <v>227</v>
      </c>
      <c r="Q1797" s="40">
        <v>5</v>
      </c>
      <c r="R1797" s="40">
        <v>217</v>
      </c>
      <c r="S1797" s="40">
        <v>109</v>
      </c>
    </row>
    <row r="1798" spans="1:19" x14ac:dyDescent="0.35">
      <c r="A1798" s="38">
        <v>2161</v>
      </c>
      <c r="B1798" s="38" t="str">
        <f>_xlfn.XLOOKUP(A1798,'Model Modeshare by TAZ'!A:A,'Model Modeshare by TAZ'!B:B)</f>
        <v>Hayward</v>
      </c>
      <c r="C1798" s="38" t="str">
        <f>_xlfn.XLOOKUP(A1798,'Model Modeshare by TAZ'!A:A,'Model Modeshare by TAZ'!D:D)</f>
        <v>NO</v>
      </c>
      <c r="D1798" s="6">
        <v>4</v>
      </c>
      <c r="E1798" s="6">
        <v>1021</v>
      </c>
      <c r="F1798" s="6">
        <v>3154</v>
      </c>
      <c r="G1798" s="6">
        <v>3184</v>
      </c>
      <c r="H1798" s="6">
        <v>1789</v>
      </c>
      <c r="I1798" s="6">
        <v>825</v>
      </c>
      <c r="J1798" s="6">
        <v>196</v>
      </c>
      <c r="K1798" s="40">
        <v>159</v>
      </c>
      <c r="L1798" s="40">
        <v>24</v>
      </c>
      <c r="M1798" s="40">
        <v>1402</v>
      </c>
      <c r="N1798" s="40">
        <v>48</v>
      </c>
      <c r="O1798" s="40">
        <v>175</v>
      </c>
      <c r="P1798" s="40">
        <v>556</v>
      </c>
      <c r="Q1798" s="40">
        <v>2</v>
      </c>
      <c r="R1798" s="40">
        <v>348</v>
      </c>
      <c r="S1798" s="40">
        <v>273</v>
      </c>
    </row>
    <row r="1799" spans="1:19" x14ac:dyDescent="0.35">
      <c r="A1799" s="38">
        <v>2162</v>
      </c>
      <c r="B1799" s="38" t="str">
        <f>_xlfn.XLOOKUP(A1799,'Model Modeshare by TAZ'!A:A,'Model Modeshare by TAZ'!B:B)</f>
        <v>Hayward</v>
      </c>
      <c r="C1799" s="38" t="str">
        <f>_xlfn.XLOOKUP(A1799,'Model Modeshare by TAZ'!A:A,'Model Modeshare by TAZ'!D:D)</f>
        <v>NO</v>
      </c>
      <c r="D1799" s="6">
        <v>4</v>
      </c>
      <c r="E1799" s="6">
        <v>1784</v>
      </c>
      <c r="F1799" s="6">
        <v>6496</v>
      </c>
      <c r="G1799" s="6">
        <v>6502</v>
      </c>
      <c r="H1799" s="6">
        <v>3113</v>
      </c>
      <c r="I1799" s="6">
        <v>1079</v>
      </c>
      <c r="J1799" s="6">
        <v>705</v>
      </c>
      <c r="K1799" s="40">
        <v>188</v>
      </c>
      <c r="L1799" s="40">
        <v>98</v>
      </c>
      <c r="M1799" s="40">
        <v>556</v>
      </c>
      <c r="N1799" s="40">
        <v>146</v>
      </c>
      <c r="O1799" s="40">
        <v>265</v>
      </c>
      <c r="P1799" s="40">
        <v>131</v>
      </c>
      <c r="Q1799" s="40">
        <v>0</v>
      </c>
      <c r="R1799" s="40">
        <v>0</v>
      </c>
      <c r="S1799" s="40">
        <v>14</v>
      </c>
    </row>
    <row r="1800" spans="1:19" x14ac:dyDescent="0.35">
      <c r="A1800" s="38">
        <v>2163</v>
      </c>
      <c r="B1800" s="38" t="str">
        <f>_xlfn.XLOOKUP(A1800,'Model Modeshare by TAZ'!A:A,'Model Modeshare by TAZ'!B:B)</f>
        <v>Unincorporated</v>
      </c>
      <c r="C1800" s="38" t="str">
        <f>_xlfn.XLOOKUP(A1800,'Model Modeshare by TAZ'!A:A,'Model Modeshare by TAZ'!D:D)</f>
        <v>NO</v>
      </c>
      <c r="D1800" s="6">
        <v>4</v>
      </c>
      <c r="E1800" s="6">
        <v>1257</v>
      </c>
      <c r="F1800" s="6">
        <v>4145</v>
      </c>
      <c r="G1800" s="6">
        <v>4310</v>
      </c>
      <c r="H1800" s="6">
        <v>1668</v>
      </c>
      <c r="I1800" s="6">
        <v>638</v>
      </c>
      <c r="J1800" s="6">
        <v>619</v>
      </c>
      <c r="K1800" s="40">
        <v>88</v>
      </c>
      <c r="L1800" s="40">
        <v>65</v>
      </c>
      <c r="M1800" s="40">
        <v>665</v>
      </c>
      <c r="N1800" s="40">
        <v>63</v>
      </c>
      <c r="O1800" s="40">
        <v>363</v>
      </c>
      <c r="P1800" s="40">
        <v>171</v>
      </c>
      <c r="Q1800" s="40">
        <v>0</v>
      </c>
      <c r="R1800" s="40">
        <v>69</v>
      </c>
      <c r="S1800" s="40">
        <v>0</v>
      </c>
    </row>
    <row r="1801" spans="1:19" x14ac:dyDescent="0.35">
      <c r="A1801" s="38">
        <v>2164</v>
      </c>
      <c r="B1801" s="38" t="str">
        <f>_xlfn.XLOOKUP(A1801,'Model Modeshare by TAZ'!A:A,'Model Modeshare by TAZ'!B:B)</f>
        <v>Unincorporated</v>
      </c>
      <c r="C1801" s="38" t="str">
        <f>_xlfn.XLOOKUP(A1801,'Model Modeshare by TAZ'!A:A,'Model Modeshare by TAZ'!D:D)</f>
        <v>NO</v>
      </c>
      <c r="D1801" s="6">
        <v>4</v>
      </c>
      <c r="E1801" s="6">
        <v>1822</v>
      </c>
      <c r="F1801" s="6">
        <v>6061</v>
      </c>
      <c r="G1801" s="6">
        <v>6068</v>
      </c>
      <c r="H1801" s="6">
        <v>2861</v>
      </c>
      <c r="I1801" s="6">
        <v>1333</v>
      </c>
      <c r="J1801" s="6">
        <v>489</v>
      </c>
      <c r="K1801" s="40">
        <v>222</v>
      </c>
      <c r="L1801" s="40">
        <v>74</v>
      </c>
      <c r="M1801" s="40">
        <v>667</v>
      </c>
      <c r="N1801" s="40">
        <v>362</v>
      </c>
      <c r="O1801" s="40">
        <v>201</v>
      </c>
      <c r="P1801" s="40">
        <v>90</v>
      </c>
      <c r="Q1801" s="40">
        <v>0</v>
      </c>
      <c r="R1801" s="40">
        <v>13</v>
      </c>
      <c r="S1801" s="40">
        <v>1</v>
      </c>
    </row>
    <row r="1802" spans="1:19" x14ac:dyDescent="0.35">
      <c r="A1802" s="38">
        <v>2165</v>
      </c>
      <c r="B1802" s="38" t="str">
        <f>_xlfn.XLOOKUP(A1802,'Model Modeshare by TAZ'!A:A,'Model Modeshare by TAZ'!B:B)</f>
        <v>Unincorporated</v>
      </c>
      <c r="C1802" s="38" t="str">
        <f>_xlfn.XLOOKUP(A1802,'Model Modeshare by TAZ'!A:A,'Model Modeshare by TAZ'!D:D)</f>
        <v>NO</v>
      </c>
      <c r="D1802" s="6">
        <v>4</v>
      </c>
      <c r="E1802" s="6">
        <v>1406</v>
      </c>
      <c r="F1802" s="6">
        <v>4334</v>
      </c>
      <c r="G1802" s="6">
        <v>4366</v>
      </c>
      <c r="H1802" s="6">
        <v>2133</v>
      </c>
      <c r="I1802" s="6">
        <v>1380</v>
      </c>
      <c r="J1802" s="6">
        <v>26</v>
      </c>
      <c r="K1802" s="40">
        <v>246</v>
      </c>
      <c r="L1802" s="40">
        <v>25</v>
      </c>
      <c r="M1802" s="40">
        <v>160</v>
      </c>
      <c r="N1802" s="40">
        <v>48</v>
      </c>
      <c r="O1802" s="40">
        <v>104</v>
      </c>
      <c r="P1802" s="40">
        <v>2</v>
      </c>
      <c r="Q1802" s="40">
        <v>2</v>
      </c>
      <c r="R1802" s="40">
        <v>2</v>
      </c>
      <c r="S1802" s="40">
        <v>3</v>
      </c>
    </row>
    <row r="1803" spans="1:19" x14ac:dyDescent="0.35">
      <c r="A1803" s="38">
        <v>2166</v>
      </c>
      <c r="B1803" s="38" t="str">
        <f>_xlfn.XLOOKUP(A1803,'Model Modeshare by TAZ'!A:A,'Model Modeshare by TAZ'!B:B)</f>
        <v>Unincorporated</v>
      </c>
      <c r="C1803" s="38" t="str">
        <f>_xlfn.XLOOKUP(A1803,'Model Modeshare by TAZ'!A:A,'Model Modeshare by TAZ'!D:D)</f>
        <v>NO</v>
      </c>
      <c r="D1803" s="6">
        <v>4</v>
      </c>
      <c r="E1803" s="6">
        <v>1612</v>
      </c>
      <c r="F1803" s="6">
        <v>5505</v>
      </c>
      <c r="G1803" s="6">
        <v>5514</v>
      </c>
      <c r="H1803" s="6">
        <v>2418</v>
      </c>
      <c r="I1803" s="6">
        <v>1585</v>
      </c>
      <c r="J1803" s="6">
        <v>27</v>
      </c>
      <c r="K1803" s="40">
        <v>322</v>
      </c>
      <c r="L1803" s="40">
        <v>210</v>
      </c>
      <c r="M1803" s="40">
        <v>1489</v>
      </c>
      <c r="N1803" s="40">
        <v>48</v>
      </c>
      <c r="O1803" s="40">
        <v>1053</v>
      </c>
      <c r="P1803" s="40">
        <v>95</v>
      </c>
      <c r="Q1803" s="40">
        <v>15</v>
      </c>
      <c r="R1803" s="40">
        <v>96</v>
      </c>
      <c r="S1803" s="40">
        <v>182</v>
      </c>
    </row>
    <row r="1804" spans="1:19" x14ac:dyDescent="0.35">
      <c r="A1804" s="38">
        <v>2167</v>
      </c>
      <c r="B1804" s="38" t="str">
        <f>_xlfn.XLOOKUP(A1804,'Model Modeshare by TAZ'!A:A,'Model Modeshare by TAZ'!B:B)</f>
        <v>Unincorporated</v>
      </c>
      <c r="C1804" s="38" t="str">
        <f>_xlfn.XLOOKUP(A1804,'Model Modeshare by TAZ'!A:A,'Model Modeshare by TAZ'!D:D)</f>
        <v>NO</v>
      </c>
      <c r="D1804" s="6">
        <v>4</v>
      </c>
      <c r="E1804" s="6">
        <v>1645</v>
      </c>
      <c r="F1804" s="6">
        <v>5296</v>
      </c>
      <c r="G1804" s="6">
        <v>5321</v>
      </c>
      <c r="H1804" s="6">
        <v>2907</v>
      </c>
      <c r="I1804" s="6">
        <v>1528</v>
      </c>
      <c r="J1804" s="6">
        <v>117</v>
      </c>
      <c r="K1804" s="40">
        <v>239</v>
      </c>
      <c r="L1804" s="40">
        <v>90</v>
      </c>
      <c r="M1804" s="40">
        <v>816</v>
      </c>
      <c r="N1804" s="40">
        <v>617</v>
      </c>
      <c r="O1804" s="40">
        <v>153</v>
      </c>
      <c r="P1804" s="40">
        <v>36</v>
      </c>
      <c r="Q1804" s="40">
        <v>4</v>
      </c>
      <c r="R1804" s="40">
        <v>2</v>
      </c>
      <c r="S1804" s="40">
        <v>3</v>
      </c>
    </row>
    <row r="1805" spans="1:19" x14ac:dyDescent="0.35">
      <c r="A1805" s="38">
        <v>2168</v>
      </c>
      <c r="B1805" s="38" t="str">
        <f>_xlfn.XLOOKUP(A1805,'Model Modeshare by TAZ'!A:A,'Model Modeshare by TAZ'!B:B)</f>
        <v>Unincorporated</v>
      </c>
      <c r="C1805" s="38" t="str">
        <f>_xlfn.XLOOKUP(A1805,'Model Modeshare by TAZ'!A:A,'Model Modeshare by TAZ'!D:D)</f>
        <v>NO</v>
      </c>
      <c r="D1805" s="6">
        <v>4</v>
      </c>
      <c r="E1805" s="6">
        <v>1402</v>
      </c>
      <c r="F1805" s="6">
        <v>4700</v>
      </c>
      <c r="G1805" s="6">
        <v>4720</v>
      </c>
      <c r="H1805" s="6">
        <v>2162</v>
      </c>
      <c r="I1805" s="6">
        <v>1112</v>
      </c>
      <c r="J1805" s="6">
        <v>290</v>
      </c>
      <c r="K1805" s="40">
        <v>279</v>
      </c>
      <c r="L1805" s="40">
        <v>43</v>
      </c>
      <c r="M1805" s="40">
        <v>385</v>
      </c>
      <c r="N1805" s="40">
        <v>38</v>
      </c>
      <c r="O1805" s="40">
        <v>82</v>
      </c>
      <c r="P1805" s="40">
        <v>38</v>
      </c>
      <c r="Q1805" s="40">
        <v>1</v>
      </c>
      <c r="R1805" s="40">
        <v>221</v>
      </c>
      <c r="S1805" s="40">
        <v>5</v>
      </c>
    </row>
    <row r="1806" spans="1:19" x14ac:dyDescent="0.35">
      <c r="A1806" s="38">
        <v>2169</v>
      </c>
      <c r="B1806" s="38" t="str">
        <f>_xlfn.XLOOKUP(A1806,'Model Modeshare by TAZ'!A:A,'Model Modeshare by TAZ'!B:B)</f>
        <v>Unincorporated</v>
      </c>
      <c r="C1806" s="38" t="str">
        <f>_xlfn.XLOOKUP(A1806,'Model Modeshare by TAZ'!A:A,'Model Modeshare by TAZ'!D:D)</f>
        <v>NO</v>
      </c>
      <c r="D1806" s="6">
        <v>4</v>
      </c>
      <c r="E1806" s="6">
        <v>3235</v>
      </c>
      <c r="F1806" s="6">
        <v>10719</v>
      </c>
      <c r="G1806" s="6">
        <v>11240</v>
      </c>
      <c r="H1806" s="6">
        <v>4914</v>
      </c>
      <c r="I1806" s="6">
        <v>2147</v>
      </c>
      <c r="J1806" s="6">
        <v>1088</v>
      </c>
      <c r="K1806" s="40">
        <v>394</v>
      </c>
      <c r="L1806" s="40">
        <v>56</v>
      </c>
      <c r="M1806" s="40">
        <v>870</v>
      </c>
      <c r="N1806" s="40">
        <v>89</v>
      </c>
      <c r="O1806" s="40">
        <v>312</v>
      </c>
      <c r="P1806" s="40">
        <v>136</v>
      </c>
      <c r="Q1806" s="40">
        <v>10</v>
      </c>
      <c r="R1806" s="40">
        <v>194</v>
      </c>
      <c r="S1806" s="40">
        <v>129</v>
      </c>
    </row>
    <row r="1807" spans="1:19" x14ac:dyDescent="0.35">
      <c r="A1807" s="38">
        <v>2170</v>
      </c>
      <c r="B1807" s="38" t="str">
        <f>_xlfn.XLOOKUP(A1807,'Model Modeshare by TAZ'!A:A,'Model Modeshare by TAZ'!B:B)</f>
        <v>Unincorporated</v>
      </c>
      <c r="C1807" s="38" t="str">
        <f>_xlfn.XLOOKUP(A1807,'Model Modeshare by TAZ'!A:A,'Model Modeshare by TAZ'!D:D)</f>
        <v>NO</v>
      </c>
      <c r="D1807" s="6">
        <v>4</v>
      </c>
      <c r="E1807" s="6">
        <v>1415</v>
      </c>
      <c r="F1807" s="6">
        <v>3594</v>
      </c>
      <c r="G1807" s="6">
        <v>3685</v>
      </c>
      <c r="H1807" s="6">
        <v>1728</v>
      </c>
      <c r="I1807" s="6">
        <v>727</v>
      </c>
      <c r="J1807" s="6">
        <v>688</v>
      </c>
      <c r="K1807" s="40">
        <v>200</v>
      </c>
      <c r="L1807" s="40">
        <v>52</v>
      </c>
      <c r="M1807" s="40">
        <v>1039</v>
      </c>
      <c r="N1807" s="40">
        <v>353</v>
      </c>
      <c r="O1807" s="40">
        <v>315</v>
      </c>
      <c r="P1807" s="40">
        <v>246</v>
      </c>
      <c r="Q1807" s="40">
        <v>5</v>
      </c>
      <c r="R1807" s="40">
        <v>4</v>
      </c>
      <c r="S1807" s="40">
        <v>115</v>
      </c>
    </row>
    <row r="1808" spans="1:19" x14ac:dyDescent="0.35">
      <c r="A1808" s="38">
        <v>2171</v>
      </c>
      <c r="B1808" s="38" t="str">
        <f>_xlfn.XLOOKUP(A1808,'Model Modeshare by TAZ'!A:A,'Model Modeshare by TAZ'!B:B)</f>
        <v>Hayward</v>
      </c>
      <c r="C1808" s="38" t="str">
        <f>_xlfn.XLOOKUP(A1808,'Model Modeshare by TAZ'!A:A,'Model Modeshare by TAZ'!D:D)</f>
        <v>NO</v>
      </c>
      <c r="D1808" s="6">
        <v>4</v>
      </c>
      <c r="E1808" s="6">
        <v>1767</v>
      </c>
      <c r="F1808" s="6">
        <v>4331</v>
      </c>
      <c r="G1808" s="6">
        <v>4438</v>
      </c>
      <c r="H1808" s="6">
        <v>2172</v>
      </c>
      <c r="I1808" s="6">
        <v>576</v>
      </c>
      <c r="J1808" s="6">
        <v>1191</v>
      </c>
      <c r="K1808" s="40">
        <v>149</v>
      </c>
      <c r="L1808" s="40">
        <v>175</v>
      </c>
      <c r="M1808" s="40">
        <v>5136</v>
      </c>
      <c r="N1808" s="40">
        <v>1296</v>
      </c>
      <c r="O1808" s="40">
        <v>1686</v>
      </c>
      <c r="P1808" s="40">
        <v>1612</v>
      </c>
      <c r="Q1808" s="40">
        <v>3</v>
      </c>
      <c r="R1808" s="40">
        <v>414</v>
      </c>
      <c r="S1808" s="40">
        <v>124</v>
      </c>
    </row>
    <row r="1809" spans="1:19" x14ac:dyDescent="0.35">
      <c r="A1809" s="38">
        <v>2172</v>
      </c>
      <c r="B1809" s="38" t="str">
        <f>_xlfn.XLOOKUP(A1809,'Model Modeshare by TAZ'!A:A,'Model Modeshare by TAZ'!B:B)</f>
        <v>Unincorporated</v>
      </c>
      <c r="C1809" s="38" t="str">
        <f>_xlfn.XLOOKUP(A1809,'Model Modeshare by TAZ'!A:A,'Model Modeshare by TAZ'!D:D)</f>
        <v>NO</v>
      </c>
      <c r="D1809" s="6">
        <v>4</v>
      </c>
      <c r="E1809" s="6">
        <v>2489</v>
      </c>
      <c r="F1809" s="6">
        <v>5649</v>
      </c>
      <c r="G1809" s="6">
        <v>5763</v>
      </c>
      <c r="H1809" s="6">
        <v>3065</v>
      </c>
      <c r="I1809" s="6">
        <v>1187</v>
      </c>
      <c r="J1809" s="6">
        <v>1302</v>
      </c>
      <c r="K1809" s="40">
        <v>377</v>
      </c>
      <c r="L1809" s="40">
        <v>117</v>
      </c>
      <c r="M1809" s="40">
        <v>1358</v>
      </c>
      <c r="N1809" s="40">
        <v>180</v>
      </c>
      <c r="O1809" s="40">
        <v>438</v>
      </c>
      <c r="P1809" s="40">
        <v>723</v>
      </c>
      <c r="Q1809" s="40">
        <v>2</v>
      </c>
      <c r="R1809" s="40">
        <v>15</v>
      </c>
      <c r="S1809" s="40">
        <v>1</v>
      </c>
    </row>
    <row r="1810" spans="1:19" x14ac:dyDescent="0.35">
      <c r="A1810" s="38">
        <v>2173</v>
      </c>
      <c r="B1810" s="38" t="str">
        <f>_xlfn.XLOOKUP(A1810,'Model Modeshare by TAZ'!A:A,'Model Modeshare by TAZ'!B:B)</f>
        <v>Hayward</v>
      </c>
      <c r="C1810" s="38" t="str">
        <f>_xlfn.XLOOKUP(A1810,'Model Modeshare by TAZ'!A:A,'Model Modeshare by TAZ'!D:D)</f>
        <v>NO</v>
      </c>
      <c r="D1810" s="6">
        <v>4</v>
      </c>
      <c r="E1810" s="6">
        <v>1563</v>
      </c>
      <c r="F1810" s="6">
        <v>4180</v>
      </c>
      <c r="G1810" s="6">
        <v>4467</v>
      </c>
      <c r="H1810" s="6">
        <v>2422</v>
      </c>
      <c r="I1810" s="6">
        <v>903</v>
      </c>
      <c r="J1810" s="6">
        <v>660</v>
      </c>
      <c r="K1810" s="40">
        <v>294</v>
      </c>
      <c r="L1810" s="40">
        <v>12</v>
      </c>
      <c r="M1810" s="40">
        <v>882</v>
      </c>
      <c r="N1810" s="40">
        <v>92</v>
      </c>
      <c r="O1810" s="40">
        <v>607</v>
      </c>
      <c r="P1810" s="40">
        <v>158</v>
      </c>
      <c r="Q1810" s="40">
        <v>3</v>
      </c>
      <c r="R1810" s="40">
        <v>22</v>
      </c>
      <c r="S1810" s="40">
        <v>0</v>
      </c>
    </row>
    <row r="1811" spans="1:19" x14ac:dyDescent="0.35">
      <c r="A1811" s="38">
        <v>2174</v>
      </c>
      <c r="B1811" s="38" t="str">
        <f>_xlfn.XLOOKUP(A1811,'Model Modeshare by TAZ'!A:A,'Model Modeshare by TAZ'!B:B)</f>
        <v>Unincorporated</v>
      </c>
      <c r="C1811" s="38" t="str">
        <f>_xlfn.XLOOKUP(A1811,'Model Modeshare by TAZ'!A:A,'Model Modeshare by TAZ'!D:D)</f>
        <v>NO</v>
      </c>
      <c r="D1811" s="6">
        <v>4</v>
      </c>
      <c r="E1811" s="6">
        <v>1374</v>
      </c>
      <c r="F1811" s="6">
        <v>3390</v>
      </c>
      <c r="G1811" s="6">
        <v>3397</v>
      </c>
      <c r="H1811" s="6">
        <v>1740</v>
      </c>
      <c r="I1811" s="6">
        <v>649</v>
      </c>
      <c r="J1811" s="6">
        <v>725</v>
      </c>
      <c r="K1811" s="40">
        <v>188</v>
      </c>
      <c r="L1811" s="40">
        <v>42</v>
      </c>
      <c r="M1811" s="40">
        <v>467</v>
      </c>
      <c r="N1811" s="40">
        <v>166</v>
      </c>
      <c r="O1811" s="40">
        <v>170</v>
      </c>
      <c r="P1811" s="40">
        <v>29</v>
      </c>
      <c r="Q1811" s="40">
        <v>2</v>
      </c>
      <c r="R1811" s="40">
        <v>87</v>
      </c>
      <c r="S1811" s="40">
        <v>14</v>
      </c>
    </row>
    <row r="1812" spans="1:19" x14ac:dyDescent="0.35">
      <c r="A1812" s="38">
        <v>2175</v>
      </c>
      <c r="B1812" s="38" t="str">
        <f>_xlfn.XLOOKUP(A1812,'Model Modeshare by TAZ'!A:A,'Model Modeshare by TAZ'!B:B)</f>
        <v>Unincorporated</v>
      </c>
      <c r="C1812" s="38" t="str">
        <f>_xlfn.XLOOKUP(A1812,'Model Modeshare by TAZ'!A:A,'Model Modeshare by TAZ'!D:D)</f>
        <v>NO</v>
      </c>
      <c r="D1812" s="6">
        <v>4</v>
      </c>
      <c r="E1812" s="6">
        <v>1443</v>
      </c>
      <c r="F1812" s="6">
        <v>4398</v>
      </c>
      <c r="G1812" s="6">
        <v>4555</v>
      </c>
      <c r="H1812" s="6">
        <v>2277</v>
      </c>
      <c r="I1812" s="6">
        <v>1387</v>
      </c>
      <c r="J1812" s="6">
        <v>56</v>
      </c>
      <c r="K1812" s="40">
        <v>442</v>
      </c>
      <c r="L1812" s="40">
        <v>6</v>
      </c>
      <c r="M1812" s="40">
        <v>373</v>
      </c>
      <c r="N1812" s="40">
        <v>118</v>
      </c>
      <c r="O1812" s="40">
        <v>90</v>
      </c>
      <c r="P1812" s="40">
        <v>166</v>
      </c>
      <c r="Q1812" s="40">
        <v>0</v>
      </c>
      <c r="R1812" s="40">
        <v>0</v>
      </c>
      <c r="S1812" s="40">
        <v>0</v>
      </c>
    </row>
    <row r="1813" spans="1:19" x14ac:dyDescent="0.35">
      <c r="A1813" s="38">
        <v>2176</v>
      </c>
      <c r="B1813" s="38" t="str">
        <f>_xlfn.XLOOKUP(A1813,'Model Modeshare by TAZ'!A:A,'Model Modeshare by TAZ'!B:B)</f>
        <v>Unincorporated</v>
      </c>
      <c r="C1813" s="38" t="str">
        <f>_xlfn.XLOOKUP(A1813,'Model Modeshare by TAZ'!A:A,'Model Modeshare by TAZ'!D:D)</f>
        <v>NO</v>
      </c>
      <c r="D1813" s="6">
        <v>4</v>
      </c>
      <c r="E1813" s="6">
        <v>3150</v>
      </c>
      <c r="F1813" s="6">
        <v>9320</v>
      </c>
      <c r="G1813" s="6">
        <v>9348</v>
      </c>
      <c r="H1813" s="6">
        <v>4667</v>
      </c>
      <c r="I1813" s="6">
        <v>3091</v>
      </c>
      <c r="J1813" s="6">
        <v>59</v>
      </c>
      <c r="K1813" s="40">
        <v>1893</v>
      </c>
      <c r="L1813" s="40">
        <v>85</v>
      </c>
      <c r="M1813" s="40">
        <v>1108</v>
      </c>
      <c r="N1813" s="40">
        <v>84</v>
      </c>
      <c r="O1813" s="40">
        <v>838</v>
      </c>
      <c r="P1813" s="40">
        <v>136</v>
      </c>
      <c r="Q1813" s="40">
        <v>3</v>
      </c>
      <c r="R1813" s="40">
        <v>2</v>
      </c>
      <c r="S1813" s="40">
        <v>45</v>
      </c>
    </row>
    <row r="1814" spans="1:19" x14ac:dyDescent="0.35">
      <c r="A1814" s="38">
        <v>2177</v>
      </c>
      <c r="B1814" s="38" t="str">
        <f>_xlfn.XLOOKUP(A1814,'Model Modeshare by TAZ'!A:A,'Model Modeshare by TAZ'!B:B)</f>
        <v>Unincorporated</v>
      </c>
      <c r="C1814" s="38" t="str">
        <f>_xlfn.XLOOKUP(A1814,'Model Modeshare by TAZ'!A:A,'Model Modeshare by TAZ'!D:D)</f>
        <v>NO</v>
      </c>
      <c r="D1814" s="6">
        <v>4</v>
      </c>
      <c r="E1814" s="6">
        <v>2479</v>
      </c>
      <c r="F1814" s="6">
        <v>6525</v>
      </c>
      <c r="G1814" s="6">
        <v>6629</v>
      </c>
      <c r="H1814" s="6">
        <v>3239</v>
      </c>
      <c r="I1814" s="6">
        <v>2442</v>
      </c>
      <c r="J1814" s="6">
        <v>37</v>
      </c>
      <c r="K1814" s="40">
        <v>787</v>
      </c>
      <c r="L1814" s="40">
        <v>38</v>
      </c>
      <c r="M1814" s="40">
        <v>589</v>
      </c>
      <c r="N1814" s="40">
        <v>30</v>
      </c>
      <c r="O1814" s="40">
        <v>434</v>
      </c>
      <c r="P1814" s="40">
        <v>119</v>
      </c>
      <c r="Q1814" s="40">
        <v>3</v>
      </c>
      <c r="R1814" s="40">
        <v>3</v>
      </c>
      <c r="S1814" s="40">
        <v>0</v>
      </c>
    </row>
    <row r="1815" spans="1:19" x14ac:dyDescent="0.35">
      <c r="A1815" s="38">
        <v>2178</v>
      </c>
      <c r="B1815" s="38" t="str">
        <f>_xlfn.XLOOKUP(A1815,'Model Modeshare by TAZ'!A:A,'Model Modeshare by TAZ'!B:B)</f>
        <v>Unincorporated</v>
      </c>
      <c r="C1815" s="38" t="str">
        <f>_xlfn.XLOOKUP(A1815,'Model Modeshare by TAZ'!A:A,'Model Modeshare by TAZ'!D:D)</f>
        <v>NO</v>
      </c>
      <c r="D1815" s="6">
        <v>4</v>
      </c>
      <c r="E1815" s="6">
        <v>2204</v>
      </c>
      <c r="F1815" s="6">
        <v>6090</v>
      </c>
      <c r="G1815" s="6">
        <v>6124</v>
      </c>
      <c r="H1815" s="6">
        <v>2991</v>
      </c>
      <c r="I1815" s="6">
        <v>1690</v>
      </c>
      <c r="J1815" s="6">
        <v>514</v>
      </c>
      <c r="K1815" s="40">
        <v>360</v>
      </c>
      <c r="L1815" s="40">
        <v>70</v>
      </c>
      <c r="M1815" s="40">
        <v>544</v>
      </c>
      <c r="N1815" s="40">
        <v>61</v>
      </c>
      <c r="O1815" s="40">
        <v>342</v>
      </c>
      <c r="P1815" s="40">
        <v>137</v>
      </c>
      <c r="Q1815" s="40">
        <v>1</v>
      </c>
      <c r="R1815" s="40">
        <v>2</v>
      </c>
      <c r="S1815" s="40">
        <v>2</v>
      </c>
    </row>
    <row r="1816" spans="1:19" x14ac:dyDescent="0.35">
      <c r="A1816" s="38">
        <v>2179</v>
      </c>
      <c r="B1816" s="38" t="str">
        <f>_xlfn.XLOOKUP(A1816,'Model Modeshare by TAZ'!A:A,'Model Modeshare by TAZ'!B:B)</f>
        <v>Unincorporated</v>
      </c>
      <c r="C1816" s="38" t="str">
        <f>_xlfn.XLOOKUP(A1816,'Model Modeshare by TAZ'!A:A,'Model Modeshare by TAZ'!D:D)</f>
        <v>NO</v>
      </c>
      <c r="D1816" s="6">
        <v>4</v>
      </c>
      <c r="E1816" s="6">
        <v>1098</v>
      </c>
      <c r="F1816" s="6">
        <v>2832</v>
      </c>
      <c r="G1816" s="6">
        <v>2832</v>
      </c>
      <c r="H1816" s="6">
        <v>1312</v>
      </c>
      <c r="I1816" s="6">
        <v>412</v>
      </c>
      <c r="J1816" s="6">
        <v>686</v>
      </c>
      <c r="K1816" s="40">
        <v>123</v>
      </c>
      <c r="L1816" s="40">
        <v>50</v>
      </c>
      <c r="M1816" s="40">
        <v>1336</v>
      </c>
      <c r="N1816" s="40">
        <v>544</v>
      </c>
      <c r="O1816" s="40">
        <v>474</v>
      </c>
      <c r="P1816" s="40">
        <v>294</v>
      </c>
      <c r="Q1816" s="40">
        <v>8</v>
      </c>
      <c r="R1816" s="40">
        <v>7</v>
      </c>
      <c r="S1816" s="40">
        <v>9</v>
      </c>
    </row>
    <row r="1817" spans="1:19" x14ac:dyDescent="0.35">
      <c r="A1817" s="38">
        <v>2180</v>
      </c>
      <c r="B1817" s="38" t="str">
        <f>_xlfn.XLOOKUP(A1817,'Model Modeshare by TAZ'!A:A,'Model Modeshare by TAZ'!B:B)</f>
        <v>Unincorporated</v>
      </c>
      <c r="C1817" s="38" t="str">
        <f>_xlfn.XLOOKUP(A1817,'Model Modeshare by TAZ'!A:A,'Model Modeshare by TAZ'!D:D)</f>
        <v>NO</v>
      </c>
      <c r="D1817" s="6">
        <v>4</v>
      </c>
      <c r="E1817" s="6">
        <v>1803</v>
      </c>
      <c r="F1817" s="6">
        <v>4661</v>
      </c>
      <c r="G1817" s="6">
        <v>4946</v>
      </c>
      <c r="H1817" s="6">
        <v>2194</v>
      </c>
      <c r="I1817" s="6">
        <v>591</v>
      </c>
      <c r="J1817" s="6">
        <v>1212</v>
      </c>
      <c r="K1817" s="40">
        <v>150</v>
      </c>
      <c r="L1817" s="40">
        <v>122</v>
      </c>
      <c r="M1817" s="40">
        <v>5433</v>
      </c>
      <c r="N1817" s="40">
        <v>1880</v>
      </c>
      <c r="O1817" s="40">
        <v>2553</v>
      </c>
      <c r="P1817" s="40">
        <v>785</v>
      </c>
      <c r="Q1817" s="40">
        <v>0</v>
      </c>
      <c r="R1817" s="40">
        <v>118</v>
      </c>
      <c r="S1817" s="40">
        <v>97</v>
      </c>
    </row>
    <row r="1818" spans="1:19" x14ac:dyDescent="0.35">
      <c r="A1818" s="38">
        <v>2181</v>
      </c>
      <c r="B1818" s="38" t="str">
        <f>_xlfn.XLOOKUP(A1818,'Model Modeshare by TAZ'!A:A,'Model Modeshare by TAZ'!B:B)</f>
        <v>Unincorporated</v>
      </c>
      <c r="C1818" s="38" t="str">
        <f>_xlfn.XLOOKUP(A1818,'Model Modeshare by TAZ'!A:A,'Model Modeshare by TAZ'!D:D)</f>
        <v>NO</v>
      </c>
      <c r="D1818" s="6">
        <v>4</v>
      </c>
      <c r="E1818" s="6">
        <v>1329</v>
      </c>
      <c r="F1818" s="6">
        <v>4013</v>
      </c>
      <c r="G1818" s="6">
        <v>4066</v>
      </c>
      <c r="H1818" s="6">
        <v>2096</v>
      </c>
      <c r="I1818" s="6">
        <v>1198</v>
      </c>
      <c r="J1818" s="6">
        <v>131</v>
      </c>
      <c r="K1818" s="40">
        <v>282</v>
      </c>
      <c r="L1818" s="40">
        <v>33</v>
      </c>
      <c r="M1818" s="40">
        <v>428</v>
      </c>
      <c r="N1818" s="40">
        <v>51</v>
      </c>
      <c r="O1818" s="40">
        <v>340</v>
      </c>
      <c r="P1818" s="40">
        <v>36</v>
      </c>
      <c r="Q1818" s="40">
        <v>1</v>
      </c>
      <c r="R1818" s="40">
        <v>0</v>
      </c>
      <c r="S1818" s="40">
        <v>0</v>
      </c>
    </row>
    <row r="1819" spans="1:19" x14ac:dyDescent="0.35">
      <c r="A1819" s="38">
        <v>2182</v>
      </c>
      <c r="B1819" s="38" t="str">
        <f>_xlfn.XLOOKUP(A1819,'Model Modeshare by TAZ'!A:A,'Model Modeshare by TAZ'!B:B)</f>
        <v>Unincorporated</v>
      </c>
      <c r="C1819" s="38" t="str">
        <f>_xlfn.XLOOKUP(A1819,'Model Modeshare by TAZ'!A:A,'Model Modeshare by TAZ'!D:D)</f>
        <v>NO</v>
      </c>
      <c r="D1819" s="6">
        <v>4</v>
      </c>
      <c r="E1819" s="6">
        <v>1292</v>
      </c>
      <c r="F1819" s="6">
        <v>3806</v>
      </c>
      <c r="G1819" s="6">
        <v>3827</v>
      </c>
      <c r="H1819" s="6">
        <v>1850</v>
      </c>
      <c r="I1819" s="6">
        <v>1259</v>
      </c>
      <c r="J1819" s="6">
        <v>33</v>
      </c>
      <c r="K1819" s="40">
        <v>448</v>
      </c>
      <c r="L1819" s="40">
        <v>10</v>
      </c>
      <c r="M1819" s="40">
        <v>320</v>
      </c>
      <c r="N1819" s="40">
        <v>71</v>
      </c>
      <c r="O1819" s="40">
        <v>176</v>
      </c>
      <c r="P1819" s="40">
        <v>72</v>
      </c>
      <c r="Q1819" s="40">
        <v>0</v>
      </c>
      <c r="R1819" s="40">
        <v>0</v>
      </c>
      <c r="S1819" s="40">
        <v>1</v>
      </c>
    </row>
    <row r="1820" spans="1:19" x14ac:dyDescent="0.35">
      <c r="A1820" s="38">
        <v>2183</v>
      </c>
      <c r="B1820" s="38" t="str">
        <f>_xlfn.XLOOKUP(A1820,'Model Modeshare by TAZ'!A:A,'Model Modeshare by TAZ'!B:B)</f>
        <v>Unincorporated</v>
      </c>
      <c r="C1820" s="38" t="str">
        <f>_xlfn.XLOOKUP(A1820,'Model Modeshare by TAZ'!A:A,'Model Modeshare by TAZ'!D:D)</f>
        <v>NO</v>
      </c>
      <c r="D1820" s="6">
        <v>4</v>
      </c>
      <c r="E1820" s="6">
        <v>729</v>
      </c>
      <c r="F1820" s="6">
        <v>2100</v>
      </c>
      <c r="G1820" s="6">
        <v>2100</v>
      </c>
      <c r="H1820" s="6">
        <v>1199</v>
      </c>
      <c r="I1820" s="6">
        <v>724</v>
      </c>
      <c r="J1820" s="6">
        <v>5</v>
      </c>
      <c r="K1820" s="40">
        <v>198</v>
      </c>
      <c r="L1820" s="40">
        <v>11</v>
      </c>
      <c r="M1820" s="40">
        <v>99</v>
      </c>
      <c r="N1820" s="40">
        <v>10</v>
      </c>
      <c r="O1820" s="40">
        <v>61</v>
      </c>
      <c r="P1820" s="40">
        <v>25</v>
      </c>
      <c r="Q1820" s="40">
        <v>0</v>
      </c>
      <c r="R1820" s="40">
        <v>2</v>
      </c>
      <c r="S1820" s="40">
        <v>0</v>
      </c>
    </row>
    <row r="1821" spans="1:19" x14ac:dyDescent="0.35">
      <c r="A1821" s="38">
        <v>2184</v>
      </c>
      <c r="B1821" s="38" t="str">
        <f>_xlfn.XLOOKUP(A1821,'Model Modeshare by TAZ'!A:A,'Model Modeshare by TAZ'!B:B)</f>
        <v>Unincorporated</v>
      </c>
      <c r="C1821" s="38" t="str">
        <f>_xlfn.XLOOKUP(A1821,'Model Modeshare by TAZ'!A:A,'Model Modeshare by TAZ'!D:D)</f>
        <v>NO</v>
      </c>
      <c r="D1821" s="6">
        <v>4</v>
      </c>
      <c r="E1821" s="6">
        <v>2188</v>
      </c>
      <c r="F1821" s="6">
        <v>6016</v>
      </c>
      <c r="G1821" s="6">
        <v>6031</v>
      </c>
      <c r="H1821" s="6">
        <v>3075</v>
      </c>
      <c r="I1821" s="6">
        <v>2016</v>
      </c>
      <c r="J1821" s="6">
        <v>172</v>
      </c>
      <c r="K1821" s="40">
        <v>463</v>
      </c>
      <c r="L1821" s="40">
        <v>44</v>
      </c>
      <c r="M1821" s="40">
        <v>442</v>
      </c>
      <c r="N1821" s="40">
        <v>95</v>
      </c>
      <c r="O1821" s="40">
        <v>192</v>
      </c>
      <c r="P1821" s="40">
        <v>128</v>
      </c>
      <c r="Q1821" s="40">
        <v>2</v>
      </c>
      <c r="R1821" s="40">
        <v>0</v>
      </c>
      <c r="S1821" s="40">
        <v>25</v>
      </c>
    </row>
    <row r="1822" spans="1:19" x14ac:dyDescent="0.35">
      <c r="A1822" s="38">
        <v>2185</v>
      </c>
      <c r="B1822" s="38" t="str">
        <f>_xlfn.XLOOKUP(A1822,'Model Modeshare by TAZ'!A:A,'Model Modeshare by TAZ'!B:B)</f>
        <v>Unincorporated</v>
      </c>
      <c r="C1822" s="38" t="str">
        <f>_xlfn.XLOOKUP(A1822,'Model Modeshare by TAZ'!A:A,'Model Modeshare by TAZ'!D:D)</f>
        <v>NO</v>
      </c>
      <c r="D1822" s="6">
        <v>4</v>
      </c>
      <c r="E1822" s="6">
        <v>1963</v>
      </c>
      <c r="F1822" s="6">
        <v>5238</v>
      </c>
      <c r="G1822" s="6">
        <v>5755</v>
      </c>
      <c r="H1822" s="6">
        <v>2666</v>
      </c>
      <c r="I1822" s="6">
        <v>1352</v>
      </c>
      <c r="J1822" s="6">
        <v>611</v>
      </c>
      <c r="K1822" s="40">
        <v>265</v>
      </c>
      <c r="L1822" s="40">
        <v>164</v>
      </c>
      <c r="M1822" s="40">
        <v>1933</v>
      </c>
      <c r="N1822" s="40">
        <v>398</v>
      </c>
      <c r="O1822" s="40">
        <v>617</v>
      </c>
      <c r="P1822" s="40">
        <v>847</v>
      </c>
      <c r="Q1822" s="40">
        <v>0</v>
      </c>
      <c r="R1822" s="40">
        <v>38</v>
      </c>
      <c r="S1822" s="40">
        <v>33</v>
      </c>
    </row>
    <row r="1823" spans="1:19" x14ac:dyDescent="0.35">
      <c r="A1823" s="38">
        <v>2186</v>
      </c>
      <c r="B1823" s="38" t="str">
        <f>_xlfn.XLOOKUP(A1823,'Model Modeshare by TAZ'!A:A,'Model Modeshare by TAZ'!B:B)</f>
        <v>Unincorporated</v>
      </c>
      <c r="C1823" s="38" t="str">
        <f>_xlfn.XLOOKUP(A1823,'Model Modeshare by TAZ'!A:A,'Model Modeshare by TAZ'!D:D)</f>
        <v>NO</v>
      </c>
      <c r="D1823" s="6">
        <v>4</v>
      </c>
      <c r="E1823" s="6">
        <v>2420</v>
      </c>
      <c r="F1823" s="6">
        <v>7617</v>
      </c>
      <c r="G1823" s="6">
        <v>7645</v>
      </c>
      <c r="H1823" s="6">
        <v>2973</v>
      </c>
      <c r="I1823" s="6">
        <v>524</v>
      </c>
      <c r="J1823" s="6">
        <v>1896</v>
      </c>
      <c r="K1823" s="40">
        <v>141</v>
      </c>
      <c r="L1823" s="40">
        <v>55</v>
      </c>
      <c r="M1823" s="40">
        <v>345</v>
      </c>
      <c r="N1823" s="40">
        <v>104</v>
      </c>
      <c r="O1823" s="40">
        <v>86</v>
      </c>
      <c r="P1823" s="40">
        <v>65</v>
      </c>
      <c r="Q1823" s="40">
        <v>13</v>
      </c>
      <c r="R1823" s="40">
        <v>65</v>
      </c>
      <c r="S1823" s="40">
        <v>12</v>
      </c>
    </row>
    <row r="1824" spans="1:19" x14ac:dyDescent="0.35">
      <c r="A1824" s="38">
        <v>2187</v>
      </c>
      <c r="B1824" s="38" t="str">
        <f>_xlfn.XLOOKUP(A1824,'Model Modeshare by TAZ'!A:A,'Model Modeshare by TAZ'!B:B)</f>
        <v>Unincorporated</v>
      </c>
      <c r="C1824" s="38" t="str">
        <f>_xlfn.XLOOKUP(A1824,'Model Modeshare by TAZ'!A:A,'Model Modeshare by TAZ'!D:D)</f>
        <v>NO</v>
      </c>
      <c r="D1824" s="6">
        <v>4</v>
      </c>
      <c r="E1824" s="6">
        <v>1799</v>
      </c>
      <c r="F1824" s="6">
        <v>5124</v>
      </c>
      <c r="G1824" s="6">
        <v>5136</v>
      </c>
      <c r="H1824" s="6">
        <v>2089</v>
      </c>
      <c r="I1824" s="6">
        <v>955</v>
      </c>
      <c r="J1824" s="6">
        <v>844</v>
      </c>
      <c r="K1824" s="40">
        <v>221</v>
      </c>
      <c r="L1824" s="40">
        <v>43</v>
      </c>
      <c r="M1824" s="40">
        <v>460</v>
      </c>
      <c r="N1824" s="40">
        <v>98</v>
      </c>
      <c r="O1824" s="40">
        <v>255</v>
      </c>
      <c r="P1824" s="40">
        <v>48</v>
      </c>
      <c r="Q1824" s="40">
        <v>15</v>
      </c>
      <c r="R1824" s="40">
        <v>12</v>
      </c>
      <c r="S1824" s="40">
        <v>32</v>
      </c>
    </row>
    <row r="1825" spans="1:19" x14ac:dyDescent="0.35">
      <c r="A1825" s="38">
        <v>2188</v>
      </c>
      <c r="B1825" s="38" t="str">
        <f>_xlfn.XLOOKUP(A1825,'Model Modeshare by TAZ'!A:A,'Model Modeshare by TAZ'!B:B)</f>
        <v>Unincorporated</v>
      </c>
      <c r="C1825" s="38" t="str">
        <f>_xlfn.XLOOKUP(A1825,'Model Modeshare by TAZ'!A:A,'Model Modeshare by TAZ'!D:D)</f>
        <v>NO</v>
      </c>
      <c r="D1825" s="6">
        <v>4</v>
      </c>
      <c r="E1825" s="6">
        <v>2556</v>
      </c>
      <c r="F1825" s="6">
        <v>8400</v>
      </c>
      <c r="G1825" s="6">
        <v>8494</v>
      </c>
      <c r="H1825" s="6">
        <v>3670</v>
      </c>
      <c r="I1825" s="6">
        <v>1566</v>
      </c>
      <c r="J1825" s="6">
        <v>990</v>
      </c>
      <c r="K1825" s="40">
        <v>230</v>
      </c>
      <c r="L1825" s="40">
        <v>145</v>
      </c>
      <c r="M1825" s="40">
        <v>1872</v>
      </c>
      <c r="N1825" s="40">
        <v>807</v>
      </c>
      <c r="O1825" s="40">
        <v>710</v>
      </c>
      <c r="P1825" s="40">
        <v>298</v>
      </c>
      <c r="Q1825" s="40">
        <v>21</v>
      </c>
      <c r="R1825" s="40">
        <v>30</v>
      </c>
      <c r="S1825" s="40">
        <v>7</v>
      </c>
    </row>
    <row r="1826" spans="1:19" x14ac:dyDescent="0.35">
      <c r="A1826" s="38">
        <v>2189</v>
      </c>
      <c r="B1826" s="38" t="str">
        <f>_xlfn.XLOOKUP(A1826,'Model Modeshare by TAZ'!A:A,'Model Modeshare by TAZ'!B:B)</f>
        <v>Unincorporated</v>
      </c>
      <c r="C1826" s="38" t="str">
        <f>_xlfn.XLOOKUP(A1826,'Model Modeshare by TAZ'!A:A,'Model Modeshare by TAZ'!D:D)</f>
        <v>NO</v>
      </c>
      <c r="D1826" s="6">
        <v>4</v>
      </c>
      <c r="E1826" s="6">
        <v>1065</v>
      </c>
      <c r="F1826" s="6">
        <v>3335</v>
      </c>
      <c r="G1826" s="6">
        <v>3372</v>
      </c>
      <c r="H1826" s="6">
        <v>1743</v>
      </c>
      <c r="I1826" s="6">
        <v>642</v>
      </c>
      <c r="J1826" s="6">
        <v>423</v>
      </c>
      <c r="K1826" s="40">
        <v>125</v>
      </c>
      <c r="L1826" s="40">
        <v>115</v>
      </c>
      <c r="M1826" s="40">
        <v>1822</v>
      </c>
      <c r="N1826" s="40">
        <v>322</v>
      </c>
      <c r="O1826" s="40">
        <v>1217</v>
      </c>
      <c r="P1826" s="40">
        <v>190</v>
      </c>
      <c r="Q1826" s="40">
        <v>9</v>
      </c>
      <c r="R1826" s="40">
        <v>65</v>
      </c>
      <c r="S1826" s="40">
        <v>21</v>
      </c>
    </row>
    <row r="1827" spans="1:19" x14ac:dyDescent="0.35">
      <c r="A1827" s="38">
        <v>2190</v>
      </c>
      <c r="B1827" s="38" t="str">
        <f>_xlfn.XLOOKUP(A1827,'Model Modeshare by TAZ'!A:A,'Model Modeshare by TAZ'!B:B)</f>
        <v>San Leandro</v>
      </c>
      <c r="C1827" s="38" t="str">
        <f>_xlfn.XLOOKUP(A1827,'Model Modeshare by TAZ'!A:A,'Model Modeshare by TAZ'!D:D)</f>
        <v>NO</v>
      </c>
      <c r="D1827" s="6">
        <v>4</v>
      </c>
      <c r="E1827" s="6">
        <v>2158</v>
      </c>
      <c r="F1827" s="6">
        <v>5661</v>
      </c>
      <c r="G1827" s="6">
        <v>5661</v>
      </c>
      <c r="H1827" s="6">
        <v>2703</v>
      </c>
      <c r="I1827" s="6">
        <v>1455</v>
      </c>
      <c r="J1827" s="6">
        <v>703</v>
      </c>
      <c r="K1827" s="40">
        <v>313</v>
      </c>
      <c r="L1827" s="40">
        <v>71</v>
      </c>
      <c r="M1827" s="40">
        <v>1483</v>
      </c>
      <c r="N1827" s="40">
        <v>623</v>
      </c>
      <c r="O1827" s="40">
        <v>271</v>
      </c>
      <c r="P1827" s="40">
        <v>350</v>
      </c>
      <c r="Q1827" s="40">
        <v>10</v>
      </c>
      <c r="R1827" s="40">
        <v>157</v>
      </c>
      <c r="S1827" s="40">
        <v>72</v>
      </c>
    </row>
    <row r="1828" spans="1:19" x14ac:dyDescent="0.35">
      <c r="A1828" s="38">
        <v>2191</v>
      </c>
      <c r="B1828" s="38" t="str">
        <f>_xlfn.XLOOKUP(A1828,'Model Modeshare by TAZ'!A:A,'Model Modeshare by TAZ'!B:B)</f>
        <v>San Leandro</v>
      </c>
      <c r="C1828" s="38" t="str">
        <f>_xlfn.XLOOKUP(A1828,'Model Modeshare by TAZ'!A:A,'Model Modeshare by TAZ'!D:D)</f>
        <v>NO</v>
      </c>
      <c r="D1828" s="6">
        <v>4</v>
      </c>
      <c r="E1828" s="6">
        <v>1390</v>
      </c>
      <c r="F1828" s="6">
        <v>4781</v>
      </c>
      <c r="G1828" s="6">
        <v>4796</v>
      </c>
      <c r="H1828" s="6">
        <v>2361</v>
      </c>
      <c r="I1828" s="6">
        <v>1289</v>
      </c>
      <c r="J1828" s="6">
        <v>101</v>
      </c>
      <c r="K1828" s="40">
        <v>274</v>
      </c>
      <c r="L1828" s="40">
        <v>7</v>
      </c>
      <c r="M1828" s="40">
        <v>275</v>
      </c>
      <c r="N1828" s="40">
        <v>109</v>
      </c>
      <c r="O1828" s="40">
        <v>125</v>
      </c>
      <c r="P1828" s="40">
        <v>41</v>
      </c>
      <c r="Q1828" s="40">
        <v>0</v>
      </c>
      <c r="R1828" s="40">
        <v>0</v>
      </c>
      <c r="S1828" s="40">
        <v>0</v>
      </c>
    </row>
    <row r="1829" spans="1:19" x14ac:dyDescent="0.35">
      <c r="A1829" s="38">
        <v>2192</v>
      </c>
      <c r="B1829" s="38" t="str">
        <f>_xlfn.XLOOKUP(A1829,'Model Modeshare by TAZ'!A:A,'Model Modeshare by TAZ'!B:B)</f>
        <v>San Leandro</v>
      </c>
      <c r="C1829" s="38" t="str">
        <f>_xlfn.XLOOKUP(A1829,'Model Modeshare by TAZ'!A:A,'Model Modeshare by TAZ'!D:D)</f>
        <v>NO</v>
      </c>
      <c r="D1829" s="6">
        <v>4</v>
      </c>
      <c r="E1829" s="6">
        <v>2262</v>
      </c>
      <c r="F1829" s="6">
        <v>6424</v>
      </c>
      <c r="G1829" s="6">
        <v>6431</v>
      </c>
      <c r="H1829" s="6">
        <v>3347</v>
      </c>
      <c r="I1829" s="6">
        <v>1660</v>
      </c>
      <c r="J1829" s="6">
        <v>602</v>
      </c>
      <c r="K1829" s="40">
        <v>312</v>
      </c>
      <c r="L1829" s="40">
        <v>585</v>
      </c>
      <c r="M1829" s="40">
        <v>4980</v>
      </c>
      <c r="N1829" s="40">
        <v>229</v>
      </c>
      <c r="O1829" s="40">
        <v>609</v>
      </c>
      <c r="P1829" s="40">
        <v>679</v>
      </c>
      <c r="Q1829" s="40">
        <v>4</v>
      </c>
      <c r="R1829" s="40">
        <v>1380</v>
      </c>
      <c r="S1829" s="40">
        <v>2079</v>
      </c>
    </row>
    <row r="1830" spans="1:19" x14ac:dyDescent="0.35">
      <c r="A1830" s="38">
        <v>2193</v>
      </c>
      <c r="B1830" s="38" t="str">
        <f>_xlfn.XLOOKUP(A1830,'Model Modeshare by TAZ'!A:A,'Model Modeshare by TAZ'!B:B)</f>
        <v>San Leandro</v>
      </c>
      <c r="C1830" s="38" t="str">
        <f>_xlfn.XLOOKUP(A1830,'Model Modeshare by TAZ'!A:A,'Model Modeshare by TAZ'!D:D)</f>
        <v>NO</v>
      </c>
      <c r="D1830" s="6">
        <v>4</v>
      </c>
      <c r="E1830" s="6">
        <v>2303</v>
      </c>
      <c r="F1830" s="6">
        <v>7590</v>
      </c>
      <c r="G1830" s="6">
        <v>7630</v>
      </c>
      <c r="H1830" s="6">
        <v>3605</v>
      </c>
      <c r="I1830" s="6">
        <v>2211</v>
      </c>
      <c r="J1830" s="6">
        <v>92</v>
      </c>
      <c r="K1830" s="40">
        <v>431</v>
      </c>
      <c r="L1830" s="40">
        <v>162</v>
      </c>
      <c r="M1830" s="40">
        <v>1829</v>
      </c>
      <c r="N1830" s="40">
        <v>197</v>
      </c>
      <c r="O1830" s="40">
        <v>518</v>
      </c>
      <c r="P1830" s="40">
        <v>696</v>
      </c>
      <c r="Q1830" s="40">
        <v>2</v>
      </c>
      <c r="R1830" s="40">
        <v>196</v>
      </c>
      <c r="S1830" s="40">
        <v>221</v>
      </c>
    </row>
    <row r="1831" spans="1:19" x14ac:dyDescent="0.35">
      <c r="A1831" s="38">
        <v>2194</v>
      </c>
      <c r="B1831" s="38" t="str">
        <f>_xlfn.XLOOKUP(A1831,'Model Modeshare by TAZ'!A:A,'Model Modeshare by TAZ'!B:B)</f>
        <v>San Leandro</v>
      </c>
      <c r="C1831" s="38" t="str">
        <f>_xlfn.XLOOKUP(A1831,'Model Modeshare by TAZ'!A:A,'Model Modeshare by TAZ'!D:D)</f>
        <v>NO</v>
      </c>
      <c r="D1831" s="6">
        <v>4</v>
      </c>
      <c r="E1831" s="6">
        <v>2774</v>
      </c>
      <c r="F1831" s="6">
        <v>7406</v>
      </c>
      <c r="G1831" s="6">
        <v>7529</v>
      </c>
      <c r="H1831" s="6">
        <v>3925</v>
      </c>
      <c r="I1831" s="6">
        <v>1380</v>
      </c>
      <c r="J1831" s="6">
        <v>1394</v>
      </c>
      <c r="K1831" s="40">
        <v>313</v>
      </c>
      <c r="L1831" s="40">
        <v>459</v>
      </c>
      <c r="M1831" s="40">
        <v>4516</v>
      </c>
      <c r="N1831" s="40">
        <v>679</v>
      </c>
      <c r="O1831" s="40">
        <v>1275</v>
      </c>
      <c r="P1831" s="40">
        <v>916</v>
      </c>
      <c r="Q1831" s="40">
        <v>9</v>
      </c>
      <c r="R1831" s="40">
        <v>705</v>
      </c>
      <c r="S1831" s="40">
        <v>932</v>
      </c>
    </row>
    <row r="1832" spans="1:19" x14ac:dyDescent="0.35">
      <c r="A1832" s="38">
        <v>2195</v>
      </c>
      <c r="B1832" s="38" t="str">
        <f>_xlfn.XLOOKUP(A1832,'Model Modeshare by TAZ'!A:A,'Model Modeshare by TAZ'!B:B)</f>
        <v>San Leandro</v>
      </c>
      <c r="C1832" s="38" t="str">
        <f>_xlfn.XLOOKUP(A1832,'Model Modeshare by TAZ'!A:A,'Model Modeshare by TAZ'!D:D)</f>
        <v>NO</v>
      </c>
      <c r="D1832" s="6">
        <v>4</v>
      </c>
      <c r="E1832" s="6">
        <v>1279</v>
      </c>
      <c r="F1832" s="6">
        <v>3926</v>
      </c>
      <c r="G1832" s="6">
        <v>3942</v>
      </c>
      <c r="H1832" s="6">
        <v>2020</v>
      </c>
      <c r="I1832" s="6">
        <v>880</v>
      </c>
      <c r="J1832" s="6">
        <v>399</v>
      </c>
      <c r="K1832" s="40">
        <v>192</v>
      </c>
      <c r="L1832" s="40">
        <v>161</v>
      </c>
      <c r="M1832" s="40">
        <v>1915</v>
      </c>
      <c r="N1832" s="40">
        <v>481</v>
      </c>
      <c r="O1832" s="40">
        <v>580</v>
      </c>
      <c r="P1832" s="40">
        <v>367</v>
      </c>
      <c r="Q1832" s="40">
        <v>12</v>
      </c>
      <c r="R1832" s="40">
        <v>338</v>
      </c>
      <c r="S1832" s="40">
        <v>137</v>
      </c>
    </row>
    <row r="1833" spans="1:19" x14ac:dyDescent="0.35">
      <c r="A1833" s="38">
        <v>2196</v>
      </c>
      <c r="B1833" s="38" t="str">
        <f>_xlfn.XLOOKUP(A1833,'Model Modeshare by TAZ'!A:A,'Model Modeshare by TAZ'!B:B)</f>
        <v>San Leandro</v>
      </c>
      <c r="C1833" s="38" t="str">
        <f>_xlfn.XLOOKUP(A1833,'Model Modeshare by TAZ'!A:A,'Model Modeshare by TAZ'!D:D)</f>
        <v>NO</v>
      </c>
      <c r="D1833" s="6">
        <v>4</v>
      </c>
      <c r="E1833" s="6">
        <v>3509</v>
      </c>
      <c r="F1833" s="6">
        <v>8008</v>
      </c>
      <c r="G1833" s="6">
        <v>8015</v>
      </c>
      <c r="H1833" s="6">
        <v>4425</v>
      </c>
      <c r="I1833" s="6">
        <v>1027</v>
      </c>
      <c r="J1833" s="6">
        <v>2482</v>
      </c>
      <c r="K1833" s="40">
        <v>183</v>
      </c>
      <c r="L1833" s="40">
        <v>250</v>
      </c>
      <c r="M1833" s="40">
        <v>3212</v>
      </c>
      <c r="N1833" s="40">
        <v>703</v>
      </c>
      <c r="O1833" s="40">
        <v>981</v>
      </c>
      <c r="P1833" s="40">
        <v>619</v>
      </c>
      <c r="Q1833" s="40">
        <v>20</v>
      </c>
      <c r="R1833" s="40">
        <v>634</v>
      </c>
      <c r="S1833" s="40">
        <v>255</v>
      </c>
    </row>
    <row r="1834" spans="1:19" x14ac:dyDescent="0.35">
      <c r="A1834" s="38">
        <v>2197</v>
      </c>
      <c r="B1834" s="38" t="str">
        <f>_xlfn.XLOOKUP(A1834,'Model Modeshare by TAZ'!A:A,'Model Modeshare by TAZ'!B:B)</f>
        <v>San Leandro</v>
      </c>
      <c r="C1834" s="38" t="str">
        <f>_xlfn.XLOOKUP(A1834,'Model Modeshare by TAZ'!A:A,'Model Modeshare by TAZ'!D:D)</f>
        <v>NO</v>
      </c>
      <c r="D1834" s="6">
        <v>4</v>
      </c>
      <c r="E1834" s="6">
        <v>1314</v>
      </c>
      <c r="F1834" s="6">
        <v>3645</v>
      </c>
      <c r="G1834" s="6">
        <v>3650</v>
      </c>
      <c r="H1834" s="6">
        <v>1758</v>
      </c>
      <c r="I1834" s="6">
        <v>1227</v>
      </c>
      <c r="J1834" s="6">
        <v>87</v>
      </c>
      <c r="K1834" s="40">
        <v>304</v>
      </c>
      <c r="L1834" s="40">
        <v>7</v>
      </c>
      <c r="M1834" s="40">
        <v>480</v>
      </c>
      <c r="N1834" s="40">
        <v>50</v>
      </c>
      <c r="O1834" s="40">
        <v>84</v>
      </c>
      <c r="P1834" s="40">
        <v>284</v>
      </c>
      <c r="Q1834" s="40">
        <v>0</v>
      </c>
      <c r="R1834" s="40">
        <v>53</v>
      </c>
      <c r="S1834" s="40">
        <v>9</v>
      </c>
    </row>
    <row r="1835" spans="1:19" x14ac:dyDescent="0.35">
      <c r="A1835" s="38">
        <v>2198</v>
      </c>
      <c r="B1835" s="38" t="str">
        <f>_xlfn.XLOOKUP(A1835,'Model Modeshare by TAZ'!A:A,'Model Modeshare by TAZ'!B:B)</f>
        <v>Unincorporated</v>
      </c>
      <c r="C1835" s="38" t="str">
        <f>_xlfn.XLOOKUP(A1835,'Model Modeshare by TAZ'!A:A,'Model Modeshare by TAZ'!D:D)</f>
        <v>NO</v>
      </c>
      <c r="D1835" s="6">
        <v>4</v>
      </c>
      <c r="E1835" s="6">
        <v>1420</v>
      </c>
      <c r="F1835" s="6">
        <v>3725</v>
      </c>
      <c r="G1835" s="6">
        <v>3784</v>
      </c>
      <c r="H1835" s="6">
        <v>1854</v>
      </c>
      <c r="I1835" s="6">
        <v>1367</v>
      </c>
      <c r="J1835" s="6">
        <v>53</v>
      </c>
      <c r="K1835" s="40">
        <v>522</v>
      </c>
      <c r="L1835" s="40">
        <v>39</v>
      </c>
      <c r="M1835" s="40">
        <v>801</v>
      </c>
      <c r="N1835" s="40">
        <v>128</v>
      </c>
      <c r="O1835" s="40">
        <v>98</v>
      </c>
      <c r="P1835" s="40">
        <v>435</v>
      </c>
      <c r="Q1835" s="40">
        <v>10</v>
      </c>
      <c r="R1835" s="40">
        <v>17</v>
      </c>
      <c r="S1835" s="40">
        <v>113</v>
      </c>
    </row>
    <row r="1836" spans="1:19" x14ac:dyDescent="0.35">
      <c r="A1836" s="38">
        <v>2199</v>
      </c>
      <c r="B1836" s="38" t="str">
        <f>_xlfn.XLOOKUP(A1836,'Model Modeshare by TAZ'!A:A,'Model Modeshare by TAZ'!B:B)</f>
        <v>San Leandro</v>
      </c>
      <c r="C1836" s="38" t="str">
        <f>_xlfn.XLOOKUP(A1836,'Model Modeshare by TAZ'!A:A,'Model Modeshare by TAZ'!D:D)</f>
        <v>NO</v>
      </c>
      <c r="D1836" s="6">
        <v>4</v>
      </c>
      <c r="E1836" s="6">
        <v>1096</v>
      </c>
      <c r="F1836" s="6">
        <v>2951</v>
      </c>
      <c r="G1836" s="6">
        <v>2951</v>
      </c>
      <c r="H1836" s="6">
        <v>1531</v>
      </c>
      <c r="I1836" s="6">
        <v>888</v>
      </c>
      <c r="J1836" s="6">
        <v>208</v>
      </c>
      <c r="K1836" s="40">
        <v>193</v>
      </c>
      <c r="L1836" s="40">
        <v>9</v>
      </c>
      <c r="M1836" s="40">
        <v>324</v>
      </c>
      <c r="N1836" s="40">
        <v>88</v>
      </c>
      <c r="O1836" s="40">
        <v>151</v>
      </c>
      <c r="P1836" s="40">
        <v>63</v>
      </c>
      <c r="Q1836" s="40">
        <v>2</v>
      </c>
      <c r="R1836" s="40">
        <v>20</v>
      </c>
      <c r="S1836" s="40">
        <v>1</v>
      </c>
    </row>
    <row r="1837" spans="1:19" x14ac:dyDescent="0.35">
      <c r="A1837" s="38">
        <v>2200</v>
      </c>
      <c r="B1837" s="38" t="str">
        <f>_xlfn.XLOOKUP(A1837,'Model Modeshare by TAZ'!A:A,'Model Modeshare by TAZ'!B:B)</f>
        <v>San Leandro</v>
      </c>
      <c r="C1837" s="38" t="str">
        <f>_xlfn.XLOOKUP(A1837,'Model Modeshare by TAZ'!A:A,'Model Modeshare by TAZ'!D:D)</f>
        <v>NO</v>
      </c>
      <c r="D1837" s="6">
        <v>4</v>
      </c>
      <c r="E1837" s="6">
        <v>1403</v>
      </c>
      <c r="F1837" s="6">
        <v>3482</v>
      </c>
      <c r="G1837" s="6">
        <v>3492</v>
      </c>
      <c r="H1837" s="6">
        <v>2085</v>
      </c>
      <c r="I1837" s="6">
        <v>1188</v>
      </c>
      <c r="J1837" s="6">
        <v>215</v>
      </c>
      <c r="K1837" s="40">
        <v>230</v>
      </c>
      <c r="L1837" s="40">
        <v>28</v>
      </c>
      <c r="M1837" s="40">
        <v>461</v>
      </c>
      <c r="N1837" s="40">
        <v>188</v>
      </c>
      <c r="O1837" s="40">
        <v>191</v>
      </c>
      <c r="P1837" s="40">
        <v>70</v>
      </c>
      <c r="Q1837" s="40">
        <v>0</v>
      </c>
      <c r="R1837" s="40">
        <v>3</v>
      </c>
      <c r="S1837" s="40">
        <v>9</v>
      </c>
    </row>
    <row r="1838" spans="1:19" x14ac:dyDescent="0.35">
      <c r="A1838" s="38">
        <v>2201</v>
      </c>
      <c r="B1838" s="38" t="str">
        <f>_xlfn.XLOOKUP(A1838,'Model Modeshare by TAZ'!A:A,'Model Modeshare by TAZ'!B:B)</f>
        <v>San Leandro</v>
      </c>
      <c r="C1838" s="38" t="str">
        <f>_xlfn.XLOOKUP(A1838,'Model Modeshare by TAZ'!A:A,'Model Modeshare by TAZ'!D:D)</f>
        <v>NO</v>
      </c>
      <c r="D1838" s="6">
        <v>4</v>
      </c>
      <c r="E1838" s="6">
        <v>1759</v>
      </c>
      <c r="F1838" s="6">
        <v>4254</v>
      </c>
      <c r="G1838" s="6">
        <v>4312</v>
      </c>
      <c r="H1838" s="6">
        <v>2099</v>
      </c>
      <c r="I1838" s="6">
        <v>956</v>
      </c>
      <c r="J1838" s="6">
        <v>803</v>
      </c>
      <c r="K1838" s="40">
        <v>219</v>
      </c>
      <c r="L1838" s="40">
        <v>29</v>
      </c>
      <c r="M1838" s="40">
        <v>991</v>
      </c>
      <c r="N1838" s="40">
        <v>583</v>
      </c>
      <c r="O1838" s="40">
        <v>87</v>
      </c>
      <c r="P1838" s="40">
        <v>259</v>
      </c>
      <c r="Q1838" s="40">
        <v>4</v>
      </c>
      <c r="R1838" s="40">
        <v>8</v>
      </c>
      <c r="S1838" s="40">
        <v>50</v>
      </c>
    </row>
    <row r="1839" spans="1:19" x14ac:dyDescent="0.35">
      <c r="A1839" s="38">
        <v>2202</v>
      </c>
      <c r="B1839" s="38" t="str">
        <f>_xlfn.XLOOKUP(A1839,'Model Modeshare by TAZ'!A:A,'Model Modeshare by TAZ'!B:B)</f>
        <v>San Leandro</v>
      </c>
      <c r="C1839" s="38" t="str">
        <f>_xlfn.XLOOKUP(A1839,'Model Modeshare by TAZ'!A:A,'Model Modeshare by TAZ'!D:D)</f>
        <v>NO</v>
      </c>
      <c r="D1839" s="6">
        <v>4</v>
      </c>
      <c r="E1839" s="6">
        <v>1667</v>
      </c>
      <c r="F1839" s="6">
        <v>4584</v>
      </c>
      <c r="G1839" s="6">
        <v>4584</v>
      </c>
      <c r="H1839" s="6">
        <v>2546</v>
      </c>
      <c r="I1839" s="6">
        <v>1207</v>
      </c>
      <c r="J1839" s="6">
        <v>460</v>
      </c>
      <c r="K1839" s="40">
        <v>194</v>
      </c>
      <c r="L1839" s="40">
        <v>47</v>
      </c>
      <c r="M1839" s="40">
        <v>14314</v>
      </c>
      <c r="N1839" s="40">
        <v>2635</v>
      </c>
      <c r="O1839" s="40">
        <v>2438</v>
      </c>
      <c r="P1839" s="40">
        <v>7104</v>
      </c>
      <c r="Q1839" s="40">
        <v>207</v>
      </c>
      <c r="R1839" s="40">
        <v>828</v>
      </c>
      <c r="S1839" s="40">
        <v>1103</v>
      </c>
    </row>
    <row r="1840" spans="1:19" x14ac:dyDescent="0.35">
      <c r="A1840" s="38">
        <v>2203</v>
      </c>
      <c r="B1840" s="38" t="str">
        <f>_xlfn.XLOOKUP(A1840,'Model Modeshare by TAZ'!A:A,'Model Modeshare by TAZ'!B:B)</f>
        <v>San Leandro</v>
      </c>
      <c r="C1840" s="38" t="str">
        <f>_xlfn.XLOOKUP(A1840,'Model Modeshare by TAZ'!A:A,'Model Modeshare by TAZ'!D:D)</f>
        <v>NO</v>
      </c>
      <c r="D1840" s="6">
        <v>4</v>
      </c>
      <c r="E1840" s="6">
        <v>2915</v>
      </c>
      <c r="F1840" s="6">
        <v>6936</v>
      </c>
      <c r="G1840" s="6">
        <v>7129</v>
      </c>
      <c r="H1840" s="6">
        <v>3696</v>
      </c>
      <c r="I1840" s="6">
        <v>915</v>
      </c>
      <c r="J1840" s="6">
        <v>2000</v>
      </c>
      <c r="K1840" s="40">
        <v>204</v>
      </c>
      <c r="L1840" s="40">
        <v>191</v>
      </c>
      <c r="M1840" s="40">
        <v>5222</v>
      </c>
      <c r="N1840" s="40">
        <v>886</v>
      </c>
      <c r="O1840" s="40">
        <v>1813</v>
      </c>
      <c r="P1840" s="40">
        <v>1936</v>
      </c>
      <c r="Q1840" s="40">
        <v>1</v>
      </c>
      <c r="R1840" s="40">
        <v>379</v>
      </c>
      <c r="S1840" s="40">
        <v>207</v>
      </c>
    </row>
    <row r="1841" spans="1:19" x14ac:dyDescent="0.35">
      <c r="A1841" s="38">
        <v>2204</v>
      </c>
      <c r="B1841" s="38" t="str">
        <f>_xlfn.XLOOKUP(A1841,'Model Modeshare by TAZ'!A:A,'Model Modeshare by TAZ'!B:B)</f>
        <v>San Leandro</v>
      </c>
      <c r="C1841" s="38" t="str">
        <f>_xlfn.XLOOKUP(A1841,'Model Modeshare by TAZ'!A:A,'Model Modeshare by TAZ'!D:D)</f>
        <v>NO</v>
      </c>
      <c r="D1841" s="6">
        <v>4</v>
      </c>
      <c r="E1841" s="6">
        <v>2991</v>
      </c>
      <c r="F1841" s="6">
        <v>9638</v>
      </c>
      <c r="G1841" s="6">
        <v>9657</v>
      </c>
      <c r="H1841" s="6">
        <v>4764</v>
      </c>
      <c r="I1841" s="6">
        <v>2225</v>
      </c>
      <c r="J1841" s="6">
        <v>766</v>
      </c>
      <c r="K1841" s="40">
        <v>422</v>
      </c>
      <c r="L1841" s="40">
        <v>111</v>
      </c>
      <c r="M1841" s="40">
        <v>2227</v>
      </c>
      <c r="N1841" s="40">
        <v>148</v>
      </c>
      <c r="O1841" s="40">
        <v>368</v>
      </c>
      <c r="P1841" s="40">
        <v>891</v>
      </c>
      <c r="Q1841" s="40">
        <v>0</v>
      </c>
      <c r="R1841" s="40">
        <v>712</v>
      </c>
      <c r="S1841" s="40">
        <v>108</v>
      </c>
    </row>
    <row r="1842" spans="1:19" x14ac:dyDescent="0.35">
      <c r="A1842" s="38">
        <v>2205</v>
      </c>
      <c r="B1842" s="38" t="str">
        <f>_xlfn.XLOOKUP(A1842,'Model Modeshare by TAZ'!A:A,'Model Modeshare by TAZ'!B:B)</f>
        <v>San Leandro</v>
      </c>
      <c r="C1842" s="38" t="str">
        <f>_xlfn.XLOOKUP(A1842,'Model Modeshare by TAZ'!A:A,'Model Modeshare by TAZ'!D:D)</f>
        <v>NO</v>
      </c>
      <c r="D1842" s="6">
        <v>4</v>
      </c>
      <c r="E1842" s="6">
        <v>1865</v>
      </c>
      <c r="F1842" s="6">
        <v>6246</v>
      </c>
      <c r="G1842" s="6">
        <v>6254</v>
      </c>
      <c r="H1842" s="6">
        <v>2825</v>
      </c>
      <c r="I1842" s="6">
        <v>1394</v>
      </c>
      <c r="J1842" s="6">
        <v>471</v>
      </c>
      <c r="K1842" s="40">
        <v>321</v>
      </c>
      <c r="L1842" s="40">
        <v>1682</v>
      </c>
      <c r="M1842" s="40">
        <v>12919</v>
      </c>
      <c r="N1842" s="40">
        <v>1126</v>
      </c>
      <c r="O1842" s="40">
        <v>2044</v>
      </c>
      <c r="P1842" s="40">
        <v>3214</v>
      </c>
      <c r="Q1842" s="40">
        <v>16</v>
      </c>
      <c r="R1842" s="40">
        <v>3969</v>
      </c>
      <c r="S1842" s="40">
        <v>2550</v>
      </c>
    </row>
    <row r="1843" spans="1:19" x14ac:dyDescent="0.35">
      <c r="A1843" s="38">
        <v>2206</v>
      </c>
      <c r="B1843" s="38" t="str">
        <f>_xlfn.XLOOKUP(A1843,'Model Modeshare by TAZ'!A:A,'Model Modeshare by TAZ'!B:B)</f>
        <v>Oakland</v>
      </c>
      <c r="C1843" s="38" t="str">
        <f>_xlfn.XLOOKUP(A1843,'Model Modeshare by TAZ'!A:A,'Model Modeshare by TAZ'!D:D)</f>
        <v>NO</v>
      </c>
      <c r="D1843" s="6">
        <v>4</v>
      </c>
      <c r="E1843" s="6">
        <v>0</v>
      </c>
      <c r="F1843" s="6">
        <v>0</v>
      </c>
      <c r="G1843" s="6">
        <v>0</v>
      </c>
      <c r="H1843" s="6">
        <v>0</v>
      </c>
      <c r="I1843" s="6">
        <v>0</v>
      </c>
      <c r="J1843" s="6">
        <v>0</v>
      </c>
      <c r="K1843" s="40">
        <v>0</v>
      </c>
      <c r="L1843" s="40">
        <v>2350</v>
      </c>
      <c r="M1843" s="40">
        <v>1977</v>
      </c>
      <c r="N1843" s="40">
        <v>125</v>
      </c>
      <c r="O1843" s="40">
        <v>592</v>
      </c>
      <c r="P1843" s="40">
        <v>917</v>
      </c>
      <c r="Q1843" s="40">
        <v>6</v>
      </c>
      <c r="R1843" s="40">
        <v>161</v>
      </c>
      <c r="S1843" s="40">
        <v>176</v>
      </c>
    </row>
    <row r="1844" spans="1:19" x14ac:dyDescent="0.35">
      <c r="A1844" s="38">
        <v>2207</v>
      </c>
      <c r="B1844" s="38" t="str">
        <f>_xlfn.XLOOKUP(A1844,'Model Modeshare by TAZ'!A:A,'Model Modeshare by TAZ'!B:B)</f>
        <v>Oakland</v>
      </c>
      <c r="C1844" s="38" t="str">
        <f>_xlfn.XLOOKUP(A1844,'Model Modeshare by TAZ'!A:A,'Model Modeshare by TAZ'!D:D)</f>
        <v>NO</v>
      </c>
      <c r="D1844" s="6">
        <v>4</v>
      </c>
      <c r="E1844" s="6">
        <v>1065</v>
      </c>
      <c r="F1844" s="6">
        <v>3818</v>
      </c>
      <c r="G1844" s="6">
        <v>3859</v>
      </c>
      <c r="H1844" s="6">
        <v>1571</v>
      </c>
      <c r="I1844" s="6">
        <v>917</v>
      </c>
      <c r="J1844" s="6">
        <v>148</v>
      </c>
      <c r="K1844" s="40">
        <v>157</v>
      </c>
      <c r="L1844" s="40">
        <v>895</v>
      </c>
      <c r="M1844" s="40">
        <v>15386</v>
      </c>
      <c r="N1844" s="40">
        <v>974</v>
      </c>
      <c r="O1844" s="40">
        <v>4609</v>
      </c>
      <c r="P1844" s="40">
        <v>7135</v>
      </c>
      <c r="Q1844" s="40">
        <v>45</v>
      </c>
      <c r="R1844" s="40">
        <v>1255</v>
      </c>
      <c r="S1844" s="40">
        <v>1368</v>
      </c>
    </row>
    <row r="1845" spans="1:19" x14ac:dyDescent="0.35">
      <c r="A1845" s="38">
        <v>2208</v>
      </c>
      <c r="B1845" s="38" t="str">
        <f>_xlfn.XLOOKUP(A1845,'Model Modeshare by TAZ'!A:A,'Model Modeshare by TAZ'!B:B)</f>
        <v>Oakland</v>
      </c>
      <c r="C1845" s="38" t="str">
        <f>_xlfn.XLOOKUP(A1845,'Model Modeshare by TAZ'!A:A,'Model Modeshare by TAZ'!D:D)</f>
        <v>NO</v>
      </c>
      <c r="D1845" s="6">
        <v>4</v>
      </c>
      <c r="E1845" s="6">
        <v>607</v>
      </c>
      <c r="F1845" s="6">
        <v>2307</v>
      </c>
      <c r="G1845" s="6">
        <v>2307</v>
      </c>
      <c r="H1845" s="6">
        <v>851</v>
      </c>
      <c r="I1845" s="6">
        <v>514</v>
      </c>
      <c r="J1845" s="6">
        <v>93</v>
      </c>
      <c r="K1845" s="40">
        <v>108</v>
      </c>
      <c r="L1845" s="40">
        <v>12</v>
      </c>
      <c r="M1845" s="40">
        <v>55</v>
      </c>
      <c r="N1845" s="40">
        <v>5</v>
      </c>
      <c r="O1845" s="40">
        <v>26</v>
      </c>
      <c r="P1845" s="40">
        <v>6</v>
      </c>
      <c r="Q1845" s="40">
        <v>0</v>
      </c>
      <c r="R1845" s="40">
        <v>6</v>
      </c>
      <c r="S1845" s="40">
        <v>12</v>
      </c>
    </row>
    <row r="1846" spans="1:19" x14ac:dyDescent="0.35">
      <c r="A1846" s="38">
        <v>2209</v>
      </c>
      <c r="B1846" s="38" t="str">
        <f>_xlfn.XLOOKUP(A1846,'Model Modeshare by TAZ'!A:A,'Model Modeshare by TAZ'!B:B)</f>
        <v>Oakland</v>
      </c>
      <c r="C1846" s="38" t="str">
        <f>_xlfn.XLOOKUP(A1846,'Model Modeshare by TAZ'!A:A,'Model Modeshare by TAZ'!D:D)</f>
        <v>NO</v>
      </c>
      <c r="D1846" s="6">
        <v>4</v>
      </c>
      <c r="E1846" s="6">
        <v>923</v>
      </c>
      <c r="F1846" s="6">
        <v>3583</v>
      </c>
      <c r="G1846" s="6">
        <v>3583</v>
      </c>
      <c r="H1846" s="6">
        <v>1514</v>
      </c>
      <c r="I1846" s="6">
        <v>698</v>
      </c>
      <c r="J1846" s="6">
        <v>225</v>
      </c>
      <c r="K1846" s="40">
        <v>107</v>
      </c>
      <c r="L1846" s="40">
        <v>42</v>
      </c>
      <c r="M1846" s="40">
        <v>197</v>
      </c>
      <c r="N1846" s="40">
        <v>7</v>
      </c>
      <c r="O1846" s="40">
        <v>95</v>
      </c>
      <c r="P1846" s="40">
        <v>50</v>
      </c>
      <c r="Q1846" s="40">
        <v>16</v>
      </c>
      <c r="R1846" s="40">
        <v>8</v>
      </c>
      <c r="S1846" s="40">
        <v>22</v>
      </c>
    </row>
    <row r="1847" spans="1:19" x14ac:dyDescent="0.35">
      <c r="A1847" s="38">
        <v>2210</v>
      </c>
      <c r="B1847" s="38" t="str">
        <f>_xlfn.XLOOKUP(A1847,'Model Modeshare by TAZ'!A:A,'Model Modeshare by TAZ'!B:B)</f>
        <v>Oakland</v>
      </c>
      <c r="C1847" s="38" t="str">
        <f>_xlfn.XLOOKUP(A1847,'Model Modeshare by TAZ'!A:A,'Model Modeshare by TAZ'!D:D)</f>
        <v>NO</v>
      </c>
      <c r="D1847" s="6">
        <v>4</v>
      </c>
      <c r="E1847" s="6">
        <v>1579</v>
      </c>
      <c r="F1847" s="6">
        <v>4946</v>
      </c>
      <c r="G1847" s="6">
        <v>5053</v>
      </c>
      <c r="H1847" s="6">
        <v>2078</v>
      </c>
      <c r="I1847" s="6">
        <v>1060</v>
      </c>
      <c r="J1847" s="6">
        <v>519</v>
      </c>
      <c r="K1847" s="40">
        <v>133</v>
      </c>
      <c r="L1847" s="40">
        <v>99</v>
      </c>
      <c r="M1847" s="40">
        <v>852</v>
      </c>
      <c r="N1847" s="40">
        <v>161</v>
      </c>
      <c r="O1847" s="40">
        <v>100</v>
      </c>
      <c r="P1847" s="40">
        <v>175</v>
      </c>
      <c r="Q1847" s="40">
        <v>0</v>
      </c>
      <c r="R1847" s="40">
        <v>345</v>
      </c>
      <c r="S1847" s="40">
        <v>70</v>
      </c>
    </row>
    <row r="1848" spans="1:19" x14ac:dyDescent="0.35">
      <c r="A1848" s="38">
        <v>2211</v>
      </c>
      <c r="B1848" s="38" t="str">
        <f>_xlfn.XLOOKUP(A1848,'Model Modeshare by TAZ'!A:A,'Model Modeshare by TAZ'!B:B)</f>
        <v>Oakland</v>
      </c>
      <c r="C1848" s="38" t="str">
        <f>_xlfn.XLOOKUP(A1848,'Model Modeshare by TAZ'!A:A,'Model Modeshare by TAZ'!D:D)</f>
        <v>NO</v>
      </c>
      <c r="D1848" s="6">
        <v>4</v>
      </c>
      <c r="E1848" s="6">
        <v>1308</v>
      </c>
      <c r="F1848" s="6">
        <v>4122</v>
      </c>
      <c r="G1848" s="6">
        <v>4136</v>
      </c>
      <c r="H1848" s="6">
        <v>1970</v>
      </c>
      <c r="I1848" s="6">
        <v>1079</v>
      </c>
      <c r="J1848" s="6">
        <v>229</v>
      </c>
      <c r="K1848" s="40">
        <v>94</v>
      </c>
      <c r="L1848" s="40">
        <v>63</v>
      </c>
      <c r="M1848" s="40">
        <v>396</v>
      </c>
      <c r="N1848" s="40">
        <v>201</v>
      </c>
      <c r="O1848" s="40">
        <v>88</v>
      </c>
      <c r="P1848" s="40">
        <v>70</v>
      </c>
      <c r="Q1848" s="40">
        <v>0</v>
      </c>
      <c r="R1848" s="40">
        <v>8</v>
      </c>
      <c r="S1848" s="40">
        <v>29</v>
      </c>
    </row>
    <row r="1849" spans="1:19" x14ac:dyDescent="0.35">
      <c r="A1849" s="38">
        <v>2212</v>
      </c>
      <c r="B1849" s="38" t="str">
        <f>_xlfn.XLOOKUP(A1849,'Model Modeshare by TAZ'!A:A,'Model Modeshare by TAZ'!B:B)</f>
        <v>Oakland</v>
      </c>
      <c r="C1849" s="38" t="str">
        <f>_xlfn.XLOOKUP(A1849,'Model Modeshare by TAZ'!A:A,'Model Modeshare by TAZ'!D:D)</f>
        <v>NO</v>
      </c>
      <c r="D1849" s="6">
        <v>4</v>
      </c>
      <c r="E1849" s="6">
        <v>1049</v>
      </c>
      <c r="F1849" s="6">
        <v>3850</v>
      </c>
      <c r="G1849" s="6">
        <v>3851</v>
      </c>
      <c r="H1849" s="6">
        <v>1699</v>
      </c>
      <c r="I1849" s="6">
        <v>688</v>
      </c>
      <c r="J1849" s="6">
        <v>361</v>
      </c>
      <c r="K1849" s="40">
        <v>103</v>
      </c>
      <c r="L1849" s="40">
        <v>34</v>
      </c>
      <c r="M1849" s="40">
        <v>416</v>
      </c>
      <c r="N1849" s="40">
        <v>9</v>
      </c>
      <c r="O1849" s="40">
        <v>297</v>
      </c>
      <c r="P1849" s="40">
        <v>70</v>
      </c>
      <c r="Q1849" s="40">
        <v>0</v>
      </c>
      <c r="R1849" s="40">
        <v>39</v>
      </c>
      <c r="S1849" s="40">
        <v>1</v>
      </c>
    </row>
    <row r="1850" spans="1:19" x14ac:dyDescent="0.35">
      <c r="A1850" s="38">
        <v>2213</v>
      </c>
      <c r="B1850" s="38" t="str">
        <f>_xlfn.XLOOKUP(A1850,'Model Modeshare by TAZ'!A:A,'Model Modeshare by TAZ'!B:B)</f>
        <v>Oakland</v>
      </c>
      <c r="C1850" s="38" t="str">
        <f>_xlfn.XLOOKUP(A1850,'Model Modeshare by TAZ'!A:A,'Model Modeshare by TAZ'!D:D)</f>
        <v>NO</v>
      </c>
      <c r="D1850" s="6">
        <v>4</v>
      </c>
      <c r="E1850" s="6">
        <v>1161</v>
      </c>
      <c r="F1850" s="6">
        <v>3438</v>
      </c>
      <c r="G1850" s="6">
        <v>3454</v>
      </c>
      <c r="H1850" s="6">
        <v>1588</v>
      </c>
      <c r="I1850" s="6">
        <v>747</v>
      </c>
      <c r="J1850" s="6">
        <v>414</v>
      </c>
      <c r="K1850" s="40">
        <v>128</v>
      </c>
      <c r="L1850" s="40">
        <v>10</v>
      </c>
      <c r="M1850" s="40">
        <v>61</v>
      </c>
      <c r="N1850" s="40">
        <v>18</v>
      </c>
      <c r="O1850" s="40">
        <v>12</v>
      </c>
      <c r="P1850" s="40">
        <v>6</v>
      </c>
      <c r="Q1850" s="40">
        <v>0</v>
      </c>
      <c r="R1850" s="40">
        <v>0</v>
      </c>
      <c r="S1850" s="40">
        <v>24</v>
      </c>
    </row>
    <row r="1851" spans="1:19" x14ac:dyDescent="0.35">
      <c r="A1851" s="38">
        <v>2214</v>
      </c>
      <c r="B1851" s="38" t="str">
        <f>_xlfn.XLOOKUP(A1851,'Model Modeshare by TAZ'!A:A,'Model Modeshare by TAZ'!B:B)</f>
        <v>Oakland</v>
      </c>
      <c r="C1851" s="38" t="str">
        <f>_xlfn.XLOOKUP(A1851,'Model Modeshare by TAZ'!A:A,'Model Modeshare by TAZ'!D:D)</f>
        <v>NO</v>
      </c>
      <c r="D1851" s="6">
        <v>4</v>
      </c>
      <c r="E1851" s="6">
        <v>1082</v>
      </c>
      <c r="F1851" s="6">
        <v>2953</v>
      </c>
      <c r="G1851" s="6">
        <v>2965</v>
      </c>
      <c r="H1851" s="6">
        <v>1282</v>
      </c>
      <c r="I1851" s="6">
        <v>847</v>
      </c>
      <c r="J1851" s="6">
        <v>235</v>
      </c>
      <c r="K1851" s="40">
        <v>139</v>
      </c>
      <c r="L1851" s="40">
        <v>45</v>
      </c>
      <c r="M1851" s="40">
        <v>783</v>
      </c>
      <c r="N1851" s="40">
        <v>326</v>
      </c>
      <c r="O1851" s="40">
        <v>209</v>
      </c>
      <c r="P1851" s="40">
        <v>75</v>
      </c>
      <c r="Q1851" s="40">
        <v>5</v>
      </c>
      <c r="R1851" s="40">
        <v>3</v>
      </c>
      <c r="S1851" s="40">
        <v>164</v>
      </c>
    </row>
    <row r="1852" spans="1:19" x14ac:dyDescent="0.35">
      <c r="A1852" s="38">
        <v>2215</v>
      </c>
      <c r="B1852" s="38" t="str">
        <f>_xlfn.XLOOKUP(A1852,'Model Modeshare by TAZ'!A:A,'Model Modeshare by TAZ'!B:B)</f>
        <v>Oakland</v>
      </c>
      <c r="C1852" s="38" t="str">
        <f>_xlfn.XLOOKUP(A1852,'Model Modeshare by TAZ'!A:A,'Model Modeshare by TAZ'!D:D)</f>
        <v>NO</v>
      </c>
      <c r="D1852" s="6">
        <v>4</v>
      </c>
      <c r="E1852" s="6">
        <v>1229</v>
      </c>
      <c r="F1852" s="6">
        <v>3308</v>
      </c>
      <c r="G1852" s="6">
        <v>3309</v>
      </c>
      <c r="H1852" s="6">
        <v>1633</v>
      </c>
      <c r="I1852" s="6">
        <v>1179</v>
      </c>
      <c r="J1852" s="6">
        <v>50</v>
      </c>
      <c r="K1852" s="40">
        <v>492</v>
      </c>
      <c r="L1852" s="40">
        <v>237</v>
      </c>
      <c r="M1852" s="40">
        <v>390</v>
      </c>
      <c r="N1852" s="40">
        <v>73</v>
      </c>
      <c r="O1852" s="40">
        <v>194</v>
      </c>
      <c r="P1852" s="40">
        <v>40</v>
      </c>
      <c r="Q1852" s="40">
        <v>0</v>
      </c>
      <c r="R1852" s="40">
        <v>9</v>
      </c>
      <c r="S1852" s="40">
        <v>74</v>
      </c>
    </row>
    <row r="1853" spans="1:19" x14ac:dyDescent="0.35">
      <c r="A1853" s="38">
        <v>2216</v>
      </c>
      <c r="B1853" s="38" t="str">
        <f>_xlfn.XLOOKUP(A1853,'Model Modeshare by TAZ'!A:A,'Model Modeshare by TAZ'!B:B)</f>
        <v>Oakland</v>
      </c>
      <c r="C1853" s="38" t="str">
        <f>_xlfn.XLOOKUP(A1853,'Model Modeshare by TAZ'!A:A,'Model Modeshare by TAZ'!D:D)</f>
        <v>NO</v>
      </c>
      <c r="D1853" s="6">
        <v>4</v>
      </c>
      <c r="E1853" s="6">
        <v>1383</v>
      </c>
      <c r="F1853" s="6">
        <v>3417</v>
      </c>
      <c r="G1853" s="6">
        <v>3449</v>
      </c>
      <c r="H1853" s="6">
        <v>1726</v>
      </c>
      <c r="I1853" s="6">
        <v>1276</v>
      </c>
      <c r="J1853" s="6">
        <v>107</v>
      </c>
      <c r="K1853" s="40">
        <v>455</v>
      </c>
      <c r="L1853" s="40">
        <v>239</v>
      </c>
      <c r="M1853" s="40">
        <v>539</v>
      </c>
      <c r="N1853" s="40">
        <v>8</v>
      </c>
      <c r="O1853" s="40">
        <v>196</v>
      </c>
      <c r="P1853" s="40">
        <v>271</v>
      </c>
      <c r="Q1853" s="40">
        <v>1</v>
      </c>
      <c r="R1853" s="40">
        <v>2</v>
      </c>
      <c r="S1853" s="40">
        <v>61</v>
      </c>
    </row>
    <row r="1854" spans="1:19" x14ac:dyDescent="0.35">
      <c r="A1854" s="38">
        <v>2217</v>
      </c>
      <c r="B1854" s="38" t="str">
        <f>_xlfn.XLOOKUP(A1854,'Model Modeshare by TAZ'!A:A,'Model Modeshare by TAZ'!B:B)</f>
        <v>Oakland</v>
      </c>
      <c r="C1854" s="38" t="str">
        <f>_xlfn.XLOOKUP(A1854,'Model Modeshare by TAZ'!A:A,'Model Modeshare by TAZ'!D:D)</f>
        <v>NO</v>
      </c>
      <c r="D1854" s="6">
        <v>4</v>
      </c>
      <c r="E1854" s="6">
        <v>2656</v>
      </c>
      <c r="F1854" s="6">
        <v>6253</v>
      </c>
      <c r="G1854" s="6">
        <v>6253</v>
      </c>
      <c r="H1854" s="6">
        <v>3742</v>
      </c>
      <c r="I1854" s="6">
        <v>1960</v>
      </c>
      <c r="J1854" s="6">
        <v>696</v>
      </c>
      <c r="K1854" s="40">
        <v>1088</v>
      </c>
      <c r="L1854" s="40">
        <v>190</v>
      </c>
      <c r="M1854" s="40">
        <v>1124</v>
      </c>
      <c r="N1854" s="40">
        <v>98</v>
      </c>
      <c r="O1854" s="40">
        <v>788</v>
      </c>
      <c r="P1854" s="40">
        <v>169</v>
      </c>
      <c r="Q1854" s="40">
        <v>2</v>
      </c>
      <c r="R1854" s="40">
        <v>10</v>
      </c>
      <c r="S1854" s="40">
        <v>57</v>
      </c>
    </row>
    <row r="1855" spans="1:19" x14ac:dyDescent="0.35">
      <c r="A1855" s="38">
        <v>2218</v>
      </c>
      <c r="B1855" s="38" t="str">
        <f>_xlfn.XLOOKUP(A1855,'Model Modeshare by TAZ'!A:A,'Model Modeshare by TAZ'!B:B)</f>
        <v>Oakland</v>
      </c>
      <c r="C1855" s="38" t="str">
        <f>_xlfn.XLOOKUP(A1855,'Model Modeshare by TAZ'!A:A,'Model Modeshare by TAZ'!D:D)</f>
        <v>NO</v>
      </c>
      <c r="D1855" s="6">
        <v>4</v>
      </c>
      <c r="E1855" s="6">
        <v>1734</v>
      </c>
      <c r="F1855" s="6">
        <v>4845</v>
      </c>
      <c r="G1855" s="6">
        <v>4871</v>
      </c>
      <c r="H1855" s="6">
        <v>2482</v>
      </c>
      <c r="I1855" s="6">
        <v>1473</v>
      </c>
      <c r="J1855" s="6">
        <v>261</v>
      </c>
      <c r="K1855" s="40">
        <v>360</v>
      </c>
      <c r="L1855" s="40">
        <v>14</v>
      </c>
      <c r="M1855" s="40">
        <v>601</v>
      </c>
      <c r="N1855" s="40">
        <v>159</v>
      </c>
      <c r="O1855" s="40">
        <v>315</v>
      </c>
      <c r="P1855" s="40">
        <v>124</v>
      </c>
      <c r="Q1855" s="40">
        <v>0</v>
      </c>
      <c r="R1855" s="40">
        <v>2</v>
      </c>
      <c r="S1855" s="40">
        <v>2</v>
      </c>
    </row>
    <row r="1856" spans="1:19" x14ac:dyDescent="0.35">
      <c r="A1856" s="38">
        <v>2219</v>
      </c>
      <c r="B1856" s="38" t="str">
        <f>_xlfn.XLOOKUP(A1856,'Model Modeshare by TAZ'!A:A,'Model Modeshare by TAZ'!B:B)</f>
        <v>Oakland</v>
      </c>
      <c r="C1856" s="38" t="str">
        <f>_xlfn.XLOOKUP(A1856,'Model Modeshare by TAZ'!A:A,'Model Modeshare by TAZ'!D:D)</f>
        <v>NO</v>
      </c>
      <c r="D1856" s="6">
        <v>4</v>
      </c>
      <c r="E1856" s="6">
        <v>1283</v>
      </c>
      <c r="F1856" s="6">
        <v>3242</v>
      </c>
      <c r="G1856" s="6">
        <v>3288</v>
      </c>
      <c r="H1856" s="6">
        <v>1282</v>
      </c>
      <c r="I1856" s="6">
        <v>944</v>
      </c>
      <c r="J1856" s="6">
        <v>339</v>
      </c>
      <c r="K1856" s="40">
        <v>226</v>
      </c>
      <c r="L1856" s="40">
        <v>108</v>
      </c>
      <c r="M1856" s="40">
        <v>354</v>
      </c>
      <c r="N1856" s="40">
        <v>26</v>
      </c>
      <c r="O1856" s="40">
        <v>129</v>
      </c>
      <c r="P1856" s="40">
        <v>55</v>
      </c>
      <c r="Q1856" s="40">
        <v>0</v>
      </c>
      <c r="R1856" s="40">
        <v>132</v>
      </c>
      <c r="S1856" s="40">
        <v>13</v>
      </c>
    </row>
    <row r="1857" spans="1:19" x14ac:dyDescent="0.35">
      <c r="A1857" s="38">
        <v>2220</v>
      </c>
      <c r="B1857" s="38" t="str">
        <f>_xlfn.XLOOKUP(A1857,'Model Modeshare by TAZ'!A:A,'Model Modeshare by TAZ'!B:B)</f>
        <v>Oakland</v>
      </c>
      <c r="C1857" s="38" t="str">
        <f>_xlfn.XLOOKUP(A1857,'Model Modeshare by TAZ'!A:A,'Model Modeshare by TAZ'!D:D)</f>
        <v>NO</v>
      </c>
      <c r="D1857" s="6">
        <v>4</v>
      </c>
      <c r="E1857" s="6">
        <v>1520</v>
      </c>
      <c r="F1857" s="6">
        <v>5430</v>
      </c>
      <c r="G1857" s="6">
        <v>5480</v>
      </c>
      <c r="H1857" s="6">
        <v>2297</v>
      </c>
      <c r="I1857" s="6">
        <v>849</v>
      </c>
      <c r="J1857" s="6">
        <v>671</v>
      </c>
      <c r="K1857" s="40">
        <v>189</v>
      </c>
      <c r="L1857" s="40">
        <v>9</v>
      </c>
      <c r="M1857" s="40">
        <v>248</v>
      </c>
      <c r="N1857" s="40">
        <v>22</v>
      </c>
      <c r="O1857" s="40">
        <v>203</v>
      </c>
      <c r="P1857" s="40">
        <v>21</v>
      </c>
      <c r="Q1857" s="40">
        <v>0</v>
      </c>
      <c r="R1857" s="40">
        <v>2</v>
      </c>
      <c r="S1857" s="40">
        <v>0</v>
      </c>
    </row>
    <row r="1858" spans="1:19" x14ac:dyDescent="0.35">
      <c r="A1858" s="38">
        <v>2221</v>
      </c>
      <c r="B1858" s="38" t="str">
        <f>_xlfn.XLOOKUP(A1858,'Model Modeshare by TAZ'!A:A,'Model Modeshare by TAZ'!B:B)</f>
        <v>Oakland</v>
      </c>
      <c r="C1858" s="38" t="str">
        <f>_xlfn.XLOOKUP(A1858,'Model Modeshare by TAZ'!A:A,'Model Modeshare by TAZ'!D:D)</f>
        <v>NO</v>
      </c>
      <c r="D1858" s="6">
        <v>4</v>
      </c>
      <c r="E1858" s="6">
        <v>1090</v>
      </c>
      <c r="F1858" s="6">
        <v>3137</v>
      </c>
      <c r="G1858" s="6">
        <v>3142</v>
      </c>
      <c r="H1858" s="6">
        <v>1264</v>
      </c>
      <c r="I1858" s="6">
        <v>763</v>
      </c>
      <c r="J1858" s="6">
        <v>327</v>
      </c>
      <c r="K1858" s="40">
        <v>120</v>
      </c>
      <c r="L1858" s="40">
        <v>10</v>
      </c>
      <c r="M1858" s="40">
        <v>173</v>
      </c>
      <c r="N1858" s="40">
        <v>91</v>
      </c>
      <c r="O1858" s="40">
        <v>68</v>
      </c>
      <c r="P1858" s="40">
        <v>13</v>
      </c>
      <c r="Q1858" s="40">
        <v>0</v>
      </c>
      <c r="R1858" s="40">
        <v>1</v>
      </c>
      <c r="S1858" s="40">
        <v>0</v>
      </c>
    </row>
    <row r="1859" spans="1:19" x14ac:dyDescent="0.35">
      <c r="A1859" s="38">
        <v>2222</v>
      </c>
      <c r="B1859" s="38" t="str">
        <f>_xlfn.XLOOKUP(A1859,'Model Modeshare by TAZ'!A:A,'Model Modeshare by TAZ'!B:B)</f>
        <v>Oakland</v>
      </c>
      <c r="C1859" s="38" t="str">
        <f>_xlfn.XLOOKUP(A1859,'Model Modeshare by TAZ'!A:A,'Model Modeshare by TAZ'!D:D)</f>
        <v>NO</v>
      </c>
      <c r="D1859" s="6">
        <v>4</v>
      </c>
      <c r="E1859" s="6">
        <v>1683</v>
      </c>
      <c r="F1859" s="6">
        <v>5995</v>
      </c>
      <c r="G1859" s="6">
        <v>6008</v>
      </c>
      <c r="H1859" s="6">
        <v>2363</v>
      </c>
      <c r="I1859" s="6">
        <v>1161</v>
      </c>
      <c r="J1859" s="6">
        <v>522</v>
      </c>
      <c r="K1859" s="40">
        <v>155</v>
      </c>
      <c r="L1859" s="40">
        <v>41</v>
      </c>
      <c r="M1859" s="40">
        <v>225</v>
      </c>
      <c r="N1859" s="40">
        <v>82</v>
      </c>
      <c r="O1859" s="40">
        <v>42</v>
      </c>
      <c r="P1859" s="40">
        <v>87</v>
      </c>
      <c r="Q1859" s="40">
        <v>0</v>
      </c>
      <c r="R1859" s="40">
        <v>6</v>
      </c>
      <c r="S1859" s="40">
        <v>9</v>
      </c>
    </row>
    <row r="1860" spans="1:19" x14ac:dyDescent="0.35">
      <c r="A1860" s="38">
        <v>2223</v>
      </c>
      <c r="B1860" s="38" t="str">
        <f>_xlfn.XLOOKUP(A1860,'Model Modeshare by TAZ'!A:A,'Model Modeshare by TAZ'!B:B)</f>
        <v>Oakland</v>
      </c>
      <c r="C1860" s="38" t="str">
        <f>_xlfn.XLOOKUP(A1860,'Model Modeshare by TAZ'!A:A,'Model Modeshare by TAZ'!D:D)</f>
        <v>NO</v>
      </c>
      <c r="D1860" s="6">
        <v>4</v>
      </c>
      <c r="E1860" s="6">
        <v>1324</v>
      </c>
      <c r="F1860" s="6">
        <v>4597</v>
      </c>
      <c r="G1860" s="6">
        <v>4612</v>
      </c>
      <c r="H1860" s="6">
        <v>1934</v>
      </c>
      <c r="I1860" s="6">
        <v>877</v>
      </c>
      <c r="J1860" s="6">
        <v>447</v>
      </c>
      <c r="K1860" s="40">
        <v>145</v>
      </c>
      <c r="L1860" s="40">
        <v>40</v>
      </c>
      <c r="M1860" s="40">
        <v>285</v>
      </c>
      <c r="N1860" s="40">
        <v>54</v>
      </c>
      <c r="O1860" s="40">
        <v>190</v>
      </c>
      <c r="P1860" s="40">
        <v>39</v>
      </c>
      <c r="Q1860" s="40">
        <v>2</v>
      </c>
      <c r="R1860" s="40">
        <v>0</v>
      </c>
      <c r="S1860" s="40">
        <v>0</v>
      </c>
    </row>
    <row r="1861" spans="1:19" x14ac:dyDescent="0.35">
      <c r="A1861" s="38">
        <v>2224</v>
      </c>
      <c r="B1861" s="38" t="str">
        <f>_xlfn.XLOOKUP(A1861,'Model Modeshare by TAZ'!A:A,'Model Modeshare by TAZ'!B:B)</f>
        <v>Oakland</v>
      </c>
      <c r="C1861" s="38" t="str">
        <f>_xlfn.XLOOKUP(A1861,'Model Modeshare by TAZ'!A:A,'Model Modeshare by TAZ'!D:D)</f>
        <v>NO</v>
      </c>
      <c r="D1861" s="6">
        <v>4</v>
      </c>
      <c r="E1861" s="6">
        <v>1129</v>
      </c>
      <c r="F1861" s="6">
        <v>4469</v>
      </c>
      <c r="G1861" s="6">
        <v>4477</v>
      </c>
      <c r="H1861" s="6">
        <v>1610</v>
      </c>
      <c r="I1861" s="6">
        <v>726</v>
      </c>
      <c r="J1861" s="6">
        <v>403</v>
      </c>
      <c r="K1861" s="40">
        <v>114</v>
      </c>
      <c r="L1861" s="40">
        <v>167</v>
      </c>
      <c r="M1861" s="40">
        <v>1133</v>
      </c>
      <c r="N1861" s="40">
        <v>203</v>
      </c>
      <c r="O1861" s="40">
        <v>31</v>
      </c>
      <c r="P1861" s="40">
        <v>277</v>
      </c>
      <c r="Q1861" s="40">
        <v>0</v>
      </c>
      <c r="R1861" s="40">
        <v>450</v>
      </c>
      <c r="S1861" s="40">
        <v>172</v>
      </c>
    </row>
    <row r="1862" spans="1:19" x14ac:dyDescent="0.35">
      <c r="A1862" s="38">
        <v>2225</v>
      </c>
      <c r="B1862" s="38" t="str">
        <f>_xlfn.XLOOKUP(A1862,'Model Modeshare by TAZ'!A:A,'Model Modeshare by TAZ'!B:B)</f>
        <v>Oakland</v>
      </c>
      <c r="C1862" s="38" t="str">
        <f>_xlfn.XLOOKUP(A1862,'Model Modeshare by TAZ'!A:A,'Model Modeshare by TAZ'!D:D)</f>
        <v>NO</v>
      </c>
      <c r="D1862" s="6">
        <v>4</v>
      </c>
      <c r="E1862" s="6">
        <v>1113</v>
      </c>
      <c r="F1862" s="6">
        <v>4291</v>
      </c>
      <c r="G1862" s="6">
        <v>4321</v>
      </c>
      <c r="H1862" s="6">
        <v>1646</v>
      </c>
      <c r="I1862" s="6">
        <v>619</v>
      </c>
      <c r="J1862" s="6">
        <v>494</v>
      </c>
      <c r="K1862" s="40">
        <v>79</v>
      </c>
      <c r="L1862" s="40">
        <v>122</v>
      </c>
      <c r="M1862" s="40">
        <v>976</v>
      </c>
      <c r="N1862" s="40">
        <v>36</v>
      </c>
      <c r="O1862" s="40">
        <v>179</v>
      </c>
      <c r="P1862" s="40">
        <v>220</v>
      </c>
      <c r="Q1862" s="40">
        <v>0</v>
      </c>
      <c r="R1862" s="40">
        <v>378</v>
      </c>
      <c r="S1862" s="40">
        <v>163</v>
      </c>
    </row>
    <row r="1863" spans="1:19" x14ac:dyDescent="0.35">
      <c r="A1863" s="38">
        <v>2226</v>
      </c>
      <c r="B1863" s="38" t="str">
        <f>_xlfn.XLOOKUP(A1863,'Model Modeshare by TAZ'!A:A,'Model Modeshare by TAZ'!B:B)</f>
        <v>Oakland</v>
      </c>
      <c r="C1863" s="38" t="str">
        <f>_xlfn.XLOOKUP(A1863,'Model Modeshare by TAZ'!A:A,'Model Modeshare by TAZ'!D:D)</f>
        <v>NO</v>
      </c>
      <c r="D1863" s="6">
        <v>4</v>
      </c>
      <c r="E1863" s="6">
        <v>1006</v>
      </c>
      <c r="F1863" s="6">
        <v>3236</v>
      </c>
      <c r="G1863" s="6">
        <v>3374</v>
      </c>
      <c r="H1863" s="6">
        <v>1184</v>
      </c>
      <c r="I1863" s="6">
        <v>464</v>
      </c>
      <c r="J1863" s="6">
        <v>542</v>
      </c>
      <c r="K1863" s="40">
        <v>79</v>
      </c>
      <c r="L1863" s="40">
        <v>117</v>
      </c>
      <c r="M1863" s="40">
        <v>1351</v>
      </c>
      <c r="N1863" s="40">
        <v>32</v>
      </c>
      <c r="O1863" s="40">
        <v>181</v>
      </c>
      <c r="P1863" s="40">
        <v>276</v>
      </c>
      <c r="Q1863" s="40">
        <v>0</v>
      </c>
      <c r="R1863" s="40">
        <v>738</v>
      </c>
      <c r="S1863" s="40">
        <v>124</v>
      </c>
    </row>
    <row r="1864" spans="1:19" x14ac:dyDescent="0.35">
      <c r="A1864" s="38">
        <v>2227</v>
      </c>
      <c r="B1864" s="38" t="str">
        <f>_xlfn.XLOOKUP(A1864,'Model Modeshare by TAZ'!A:A,'Model Modeshare by TAZ'!B:B)</f>
        <v>Oakland</v>
      </c>
      <c r="C1864" s="38" t="str">
        <f>_xlfn.XLOOKUP(A1864,'Model Modeshare by TAZ'!A:A,'Model Modeshare by TAZ'!D:D)</f>
        <v>NO</v>
      </c>
      <c r="D1864" s="6">
        <v>4</v>
      </c>
      <c r="E1864" s="6">
        <v>1998</v>
      </c>
      <c r="F1864" s="6">
        <v>6505</v>
      </c>
      <c r="G1864" s="6">
        <v>6520</v>
      </c>
      <c r="H1864" s="6">
        <v>2005</v>
      </c>
      <c r="I1864" s="6">
        <v>963</v>
      </c>
      <c r="J1864" s="6">
        <v>1035</v>
      </c>
      <c r="K1864" s="40">
        <v>120</v>
      </c>
      <c r="L1864" s="40">
        <v>158</v>
      </c>
      <c r="M1864" s="40">
        <v>564</v>
      </c>
      <c r="N1864" s="40">
        <v>77</v>
      </c>
      <c r="O1864" s="40">
        <v>122</v>
      </c>
      <c r="P1864" s="40">
        <v>224</v>
      </c>
      <c r="Q1864" s="40">
        <v>0</v>
      </c>
      <c r="R1864" s="40">
        <v>82</v>
      </c>
      <c r="S1864" s="40">
        <v>58</v>
      </c>
    </row>
    <row r="1865" spans="1:19" x14ac:dyDescent="0.35">
      <c r="A1865" s="38">
        <v>2228</v>
      </c>
      <c r="B1865" s="38" t="str">
        <f>_xlfn.XLOOKUP(A1865,'Model Modeshare by TAZ'!A:A,'Model Modeshare by TAZ'!B:B)</f>
        <v>Oakland</v>
      </c>
      <c r="C1865" s="38" t="str">
        <f>_xlfn.XLOOKUP(A1865,'Model Modeshare by TAZ'!A:A,'Model Modeshare by TAZ'!D:D)</f>
        <v>NO</v>
      </c>
      <c r="D1865" s="6">
        <v>4</v>
      </c>
      <c r="E1865" s="6">
        <v>739</v>
      </c>
      <c r="F1865" s="6">
        <v>2469</v>
      </c>
      <c r="G1865" s="6">
        <v>2484</v>
      </c>
      <c r="H1865" s="6">
        <v>1278</v>
      </c>
      <c r="I1865" s="6">
        <v>376</v>
      </c>
      <c r="J1865" s="6">
        <v>363</v>
      </c>
      <c r="K1865" s="40">
        <v>64</v>
      </c>
      <c r="L1865" s="40">
        <v>408</v>
      </c>
      <c r="M1865" s="40">
        <v>3322</v>
      </c>
      <c r="N1865" s="40">
        <v>339</v>
      </c>
      <c r="O1865" s="40">
        <v>664</v>
      </c>
      <c r="P1865" s="40">
        <v>1436</v>
      </c>
      <c r="Q1865" s="40">
        <v>6</v>
      </c>
      <c r="R1865" s="40">
        <v>36</v>
      </c>
      <c r="S1865" s="40">
        <v>841</v>
      </c>
    </row>
    <row r="1866" spans="1:19" x14ac:dyDescent="0.35">
      <c r="A1866" s="38">
        <v>2229</v>
      </c>
      <c r="B1866" s="38" t="str">
        <f>_xlfn.XLOOKUP(A1866,'Model Modeshare by TAZ'!A:A,'Model Modeshare by TAZ'!B:B)</f>
        <v>Oakland</v>
      </c>
      <c r="C1866" s="38" t="str">
        <f>_xlfn.XLOOKUP(A1866,'Model Modeshare by TAZ'!A:A,'Model Modeshare by TAZ'!D:D)</f>
        <v>NO</v>
      </c>
      <c r="D1866" s="6">
        <v>4</v>
      </c>
      <c r="E1866" s="6">
        <v>1151</v>
      </c>
      <c r="F1866" s="6">
        <v>4389</v>
      </c>
      <c r="G1866" s="6">
        <v>4464</v>
      </c>
      <c r="H1866" s="6">
        <v>1800</v>
      </c>
      <c r="I1866" s="6">
        <v>547</v>
      </c>
      <c r="J1866" s="6">
        <v>604</v>
      </c>
      <c r="K1866" s="40">
        <v>70</v>
      </c>
      <c r="L1866" s="40">
        <v>57</v>
      </c>
      <c r="M1866" s="40">
        <v>340</v>
      </c>
      <c r="N1866" s="40">
        <v>72</v>
      </c>
      <c r="O1866" s="40">
        <v>147</v>
      </c>
      <c r="P1866" s="40">
        <v>104</v>
      </c>
      <c r="Q1866" s="40">
        <v>1</v>
      </c>
      <c r="R1866" s="40">
        <v>8</v>
      </c>
      <c r="S1866" s="40">
        <v>8</v>
      </c>
    </row>
    <row r="1867" spans="1:19" x14ac:dyDescent="0.35">
      <c r="A1867" s="38">
        <v>2230</v>
      </c>
      <c r="B1867" s="38" t="str">
        <f>_xlfn.XLOOKUP(A1867,'Model Modeshare by TAZ'!A:A,'Model Modeshare by TAZ'!B:B)</f>
        <v>Oakland</v>
      </c>
      <c r="C1867" s="38" t="str">
        <f>_xlfn.XLOOKUP(A1867,'Model Modeshare by TAZ'!A:A,'Model Modeshare by TAZ'!D:D)</f>
        <v>NO</v>
      </c>
      <c r="D1867" s="6">
        <v>4</v>
      </c>
      <c r="E1867" s="6">
        <v>1278</v>
      </c>
      <c r="F1867" s="6">
        <v>4143</v>
      </c>
      <c r="G1867" s="6">
        <v>4204</v>
      </c>
      <c r="H1867" s="6">
        <v>1382</v>
      </c>
      <c r="I1867" s="6">
        <v>590</v>
      </c>
      <c r="J1867" s="6">
        <v>688</v>
      </c>
      <c r="K1867" s="40">
        <v>101</v>
      </c>
      <c r="L1867" s="40">
        <v>21</v>
      </c>
      <c r="M1867" s="40">
        <v>471</v>
      </c>
      <c r="N1867" s="40">
        <v>78</v>
      </c>
      <c r="O1867" s="40">
        <v>314</v>
      </c>
      <c r="P1867" s="40">
        <v>40</v>
      </c>
      <c r="Q1867" s="40">
        <v>0</v>
      </c>
      <c r="R1867" s="40">
        <v>38</v>
      </c>
      <c r="S1867" s="40">
        <v>0</v>
      </c>
    </row>
    <row r="1868" spans="1:19" x14ac:dyDescent="0.35">
      <c r="A1868" s="38">
        <v>2231</v>
      </c>
      <c r="B1868" s="38" t="str">
        <f>_xlfn.XLOOKUP(A1868,'Model Modeshare by TAZ'!A:A,'Model Modeshare by TAZ'!B:B)</f>
        <v>Oakland</v>
      </c>
      <c r="C1868" s="38" t="str">
        <f>_xlfn.XLOOKUP(A1868,'Model Modeshare by TAZ'!A:A,'Model Modeshare by TAZ'!D:D)</f>
        <v>NO</v>
      </c>
      <c r="D1868" s="6">
        <v>4</v>
      </c>
      <c r="E1868" s="6">
        <v>2319</v>
      </c>
      <c r="F1868" s="6">
        <v>7713</v>
      </c>
      <c r="G1868" s="6">
        <v>7735</v>
      </c>
      <c r="H1868" s="6">
        <v>2979</v>
      </c>
      <c r="I1868" s="6">
        <v>1470</v>
      </c>
      <c r="J1868" s="6">
        <v>849</v>
      </c>
      <c r="K1868" s="40">
        <v>225</v>
      </c>
      <c r="L1868" s="40">
        <v>49</v>
      </c>
      <c r="M1868" s="40">
        <v>1037</v>
      </c>
      <c r="N1868" s="40">
        <v>338</v>
      </c>
      <c r="O1868" s="40">
        <v>629</v>
      </c>
      <c r="P1868" s="40">
        <v>68</v>
      </c>
      <c r="Q1868" s="40">
        <v>0</v>
      </c>
      <c r="R1868" s="40">
        <v>0</v>
      </c>
      <c r="S1868" s="40">
        <v>2</v>
      </c>
    </row>
    <row r="1869" spans="1:19" x14ac:dyDescent="0.35">
      <c r="A1869" s="38">
        <v>2232</v>
      </c>
      <c r="B1869" s="38" t="str">
        <f>_xlfn.XLOOKUP(A1869,'Model Modeshare by TAZ'!A:A,'Model Modeshare by TAZ'!B:B)</f>
        <v>Oakland</v>
      </c>
      <c r="C1869" s="38" t="str">
        <f>_xlfn.XLOOKUP(A1869,'Model Modeshare by TAZ'!A:A,'Model Modeshare by TAZ'!D:D)</f>
        <v>NO</v>
      </c>
      <c r="D1869" s="6">
        <v>4</v>
      </c>
      <c r="E1869" s="6">
        <v>1747</v>
      </c>
      <c r="F1869" s="6">
        <v>6066</v>
      </c>
      <c r="G1869" s="6">
        <v>6071</v>
      </c>
      <c r="H1869" s="6">
        <v>2065</v>
      </c>
      <c r="I1869" s="6">
        <v>1347</v>
      </c>
      <c r="J1869" s="6">
        <v>400</v>
      </c>
      <c r="K1869" s="40">
        <v>171</v>
      </c>
      <c r="L1869" s="40">
        <v>77</v>
      </c>
      <c r="M1869" s="40">
        <v>1534</v>
      </c>
      <c r="N1869" s="40">
        <v>695</v>
      </c>
      <c r="O1869" s="40">
        <v>676</v>
      </c>
      <c r="P1869" s="40">
        <v>159</v>
      </c>
      <c r="Q1869" s="40">
        <v>3</v>
      </c>
      <c r="R1869" s="40">
        <v>0</v>
      </c>
      <c r="S1869" s="40">
        <v>0</v>
      </c>
    </row>
    <row r="1870" spans="1:19" x14ac:dyDescent="0.35">
      <c r="A1870" s="38">
        <v>2233</v>
      </c>
      <c r="B1870" s="38" t="str">
        <f>_xlfn.XLOOKUP(A1870,'Model Modeshare by TAZ'!A:A,'Model Modeshare by TAZ'!B:B)</f>
        <v>Oakland</v>
      </c>
      <c r="C1870" s="38" t="str">
        <f>_xlfn.XLOOKUP(A1870,'Model Modeshare by TAZ'!A:A,'Model Modeshare by TAZ'!D:D)</f>
        <v>NO</v>
      </c>
      <c r="D1870" s="6">
        <v>4</v>
      </c>
      <c r="E1870" s="6">
        <v>1753</v>
      </c>
      <c r="F1870" s="6">
        <v>4352</v>
      </c>
      <c r="G1870" s="6">
        <v>4352</v>
      </c>
      <c r="H1870" s="6">
        <v>2374</v>
      </c>
      <c r="I1870" s="6">
        <v>1014</v>
      </c>
      <c r="J1870" s="6">
        <v>739</v>
      </c>
      <c r="K1870" s="40">
        <v>174</v>
      </c>
      <c r="L1870" s="40">
        <v>27</v>
      </c>
      <c r="M1870" s="40">
        <v>275</v>
      </c>
      <c r="N1870" s="40">
        <v>6</v>
      </c>
      <c r="O1870" s="40">
        <v>265</v>
      </c>
      <c r="P1870" s="40">
        <v>4</v>
      </c>
      <c r="Q1870" s="40">
        <v>0</v>
      </c>
      <c r="R1870" s="40">
        <v>0</v>
      </c>
      <c r="S1870" s="40">
        <v>0</v>
      </c>
    </row>
    <row r="1871" spans="1:19" x14ac:dyDescent="0.35">
      <c r="A1871" s="38">
        <v>2234</v>
      </c>
      <c r="B1871" s="38" t="str">
        <f>_xlfn.XLOOKUP(A1871,'Model Modeshare by TAZ'!A:A,'Model Modeshare by TAZ'!B:B)</f>
        <v>Oakland</v>
      </c>
      <c r="C1871" s="38" t="str">
        <f>_xlfn.XLOOKUP(A1871,'Model Modeshare by TAZ'!A:A,'Model Modeshare by TAZ'!D:D)</f>
        <v>NO</v>
      </c>
      <c r="D1871" s="6">
        <v>4</v>
      </c>
      <c r="E1871" s="6">
        <v>775</v>
      </c>
      <c r="F1871" s="6">
        <v>1904</v>
      </c>
      <c r="G1871" s="6">
        <v>2759</v>
      </c>
      <c r="H1871" s="6">
        <v>1413</v>
      </c>
      <c r="I1871" s="6">
        <v>619</v>
      </c>
      <c r="J1871" s="6">
        <v>156</v>
      </c>
      <c r="K1871" s="40">
        <v>143</v>
      </c>
      <c r="L1871" s="40">
        <v>153</v>
      </c>
      <c r="M1871" s="40">
        <v>167</v>
      </c>
      <c r="N1871" s="40">
        <v>21</v>
      </c>
      <c r="O1871" s="40">
        <v>139</v>
      </c>
      <c r="P1871" s="40">
        <v>4</v>
      </c>
      <c r="Q1871" s="40">
        <v>0</v>
      </c>
      <c r="R1871" s="40">
        <v>1</v>
      </c>
      <c r="S1871" s="40">
        <v>2</v>
      </c>
    </row>
    <row r="1872" spans="1:19" x14ac:dyDescent="0.35">
      <c r="A1872" s="38">
        <v>2235</v>
      </c>
      <c r="B1872" s="38" t="str">
        <f>_xlfn.XLOOKUP(A1872,'Model Modeshare by TAZ'!A:A,'Model Modeshare by TAZ'!B:B)</f>
        <v>Oakland</v>
      </c>
      <c r="C1872" s="38" t="str">
        <f>_xlfn.XLOOKUP(A1872,'Model Modeshare by TAZ'!A:A,'Model Modeshare by TAZ'!D:D)</f>
        <v>NO</v>
      </c>
      <c r="D1872" s="6">
        <v>4</v>
      </c>
      <c r="E1872" s="6">
        <v>1650</v>
      </c>
      <c r="F1872" s="6">
        <v>4324</v>
      </c>
      <c r="G1872" s="6">
        <v>4338</v>
      </c>
      <c r="H1872" s="6">
        <v>1983</v>
      </c>
      <c r="I1872" s="6">
        <v>1446</v>
      </c>
      <c r="J1872" s="6">
        <v>204</v>
      </c>
      <c r="K1872" s="40">
        <v>212</v>
      </c>
      <c r="L1872" s="40">
        <v>16</v>
      </c>
      <c r="M1872" s="40">
        <v>255</v>
      </c>
      <c r="N1872" s="40">
        <v>38</v>
      </c>
      <c r="O1872" s="40">
        <v>150</v>
      </c>
      <c r="P1872" s="40">
        <v>63</v>
      </c>
      <c r="Q1872" s="40">
        <v>3</v>
      </c>
      <c r="R1872" s="40">
        <v>1</v>
      </c>
      <c r="S1872" s="40">
        <v>0</v>
      </c>
    </row>
    <row r="1873" spans="1:19" x14ac:dyDescent="0.35">
      <c r="A1873" s="38">
        <v>2236</v>
      </c>
      <c r="B1873" s="38" t="str">
        <f>_xlfn.XLOOKUP(A1873,'Model Modeshare by TAZ'!A:A,'Model Modeshare by TAZ'!B:B)</f>
        <v>Oakland</v>
      </c>
      <c r="C1873" s="38" t="str">
        <f>_xlfn.XLOOKUP(A1873,'Model Modeshare by TAZ'!A:A,'Model Modeshare by TAZ'!D:D)</f>
        <v>NO</v>
      </c>
      <c r="D1873" s="6">
        <v>4</v>
      </c>
      <c r="E1873" s="6">
        <v>2189</v>
      </c>
      <c r="F1873" s="6">
        <v>6335</v>
      </c>
      <c r="G1873" s="6">
        <v>6406</v>
      </c>
      <c r="H1873" s="6">
        <v>2807</v>
      </c>
      <c r="I1873" s="6">
        <v>1388</v>
      </c>
      <c r="J1873" s="6">
        <v>801</v>
      </c>
      <c r="K1873" s="40">
        <v>221</v>
      </c>
      <c r="L1873" s="40">
        <v>31</v>
      </c>
      <c r="M1873" s="40">
        <v>566</v>
      </c>
      <c r="N1873" s="40">
        <v>20</v>
      </c>
      <c r="O1873" s="40">
        <v>195</v>
      </c>
      <c r="P1873" s="40">
        <v>20</v>
      </c>
      <c r="Q1873" s="40">
        <v>0</v>
      </c>
      <c r="R1873" s="40">
        <v>0</v>
      </c>
      <c r="S1873" s="40">
        <v>331</v>
      </c>
    </row>
    <row r="1874" spans="1:19" x14ac:dyDescent="0.35">
      <c r="A1874" s="38">
        <v>2237</v>
      </c>
      <c r="B1874" s="38" t="str">
        <f>_xlfn.XLOOKUP(A1874,'Model Modeshare by TAZ'!A:A,'Model Modeshare by TAZ'!B:B)</f>
        <v>Oakland</v>
      </c>
      <c r="C1874" s="38" t="str">
        <f>_xlfn.XLOOKUP(A1874,'Model Modeshare by TAZ'!A:A,'Model Modeshare by TAZ'!D:D)</f>
        <v>NO</v>
      </c>
      <c r="D1874" s="6">
        <v>4</v>
      </c>
      <c r="E1874" s="6">
        <v>2316</v>
      </c>
      <c r="F1874" s="6">
        <v>7858</v>
      </c>
      <c r="G1874" s="6">
        <v>7864</v>
      </c>
      <c r="H1874" s="6">
        <v>3879</v>
      </c>
      <c r="I1874" s="6">
        <v>1406</v>
      </c>
      <c r="J1874" s="6">
        <v>910</v>
      </c>
      <c r="K1874" s="40">
        <v>223</v>
      </c>
      <c r="L1874" s="40">
        <v>30</v>
      </c>
      <c r="M1874" s="40">
        <v>478</v>
      </c>
      <c r="N1874" s="40">
        <v>92</v>
      </c>
      <c r="O1874" s="40">
        <v>234</v>
      </c>
      <c r="P1874" s="40">
        <v>27</v>
      </c>
      <c r="Q1874" s="40">
        <v>3</v>
      </c>
      <c r="R1874" s="40">
        <v>17</v>
      </c>
      <c r="S1874" s="40">
        <v>105</v>
      </c>
    </row>
    <row r="1875" spans="1:19" x14ac:dyDescent="0.35">
      <c r="A1875" s="38">
        <v>2238</v>
      </c>
      <c r="B1875" s="38" t="str">
        <f>_xlfn.XLOOKUP(A1875,'Model Modeshare by TAZ'!A:A,'Model Modeshare by TAZ'!B:B)</f>
        <v>Oakland</v>
      </c>
      <c r="C1875" s="38" t="str">
        <f>_xlfn.XLOOKUP(A1875,'Model Modeshare by TAZ'!A:A,'Model Modeshare by TAZ'!D:D)</f>
        <v>NO</v>
      </c>
      <c r="D1875" s="6">
        <v>4</v>
      </c>
      <c r="E1875" s="6">
        <v>1953</v>
      </c>
      <c r="F1875" s="6">
        <v>5728</v>
      </c>
      <c r="G1875" s="6">
        <v>5902</v>
      </c>
      <c r="H1875" s="6">
        <v>2612</v>
      </c>
      <c r="I1875" s="6">
        <v>1112</v>
      </c>
      <c r="J1875" s="6">
        <v>841</v>
      </c>
      <c r="K1875" s="40">
        <v>171</v>
      </c>
      <c r="L1875" s="40">
        <v>19</v>
      </c>
      <c r="M1875" s="40">
        <v>446</v>
      </c>
      <c r="N1875" s="40">
        <v>171</v>
      </c>
      <c r="O1875" s="40">
        <v>225</v>
      </c>
      <c r="P1875" s="40">
        <v>35</v>
      </c>
      <c r="Q1875" s="40">
        <v>0</v>
      </c>
      <c r="R1875" s="40">
        <v>16</v>
      </c>
      <c r="S1875" s="40">
        <v>0</v>
      </c>
    </row>
    <row r="1876" spans="1:19" x14ac:dyDescent="0.35">
      <c r="A1876" s="38">
        <v>2239</v>
      </c>
      <c r="B1876" s="38" t="str">
        <f>_xlfn.XLOOKUP(A1876,'Model Modeshare by TAZ'!A:A,'Model Modeshare by TAZ'!B:B)</f>
        <v>Oakland</v>
      </c>
      <c r="C1876" s="38" t="str">
        <f>_xlfn.XLOOKUP(A1876,'Model Modeshare by TAZ'!A:A,'Model Modeshare by TAZ'!D:D)</f>
        <v>NO</v>
      </c>
      <c r="D1876" s="6">
        <v>4</v>
      </c>
      <c r="E1876" s="6">
        <v>1113</v>
      </c>
      <c r="F1876" s="6">
        <v>3024</v>
      </c>
      <c r="G1876" s="6">
        <v>3077</v>
      </c>
      <c r="H1876" s="6">
        <v>1677</v>
      </c>
      <c r="I1876" s="6">
        <v>942</v>
      </c>
      <c r="J1876" s="6">
        <v>171</v>
      </c>
      <c r="K1876" s="40">
        <v>200</v>
      </c>
      <c r="L1876" s="40">
        <v>50</v>
      </c>
      <c r="M1876" s="40">
        <v>285</v>
      </c>
      <c r="N1876" s="40">
        <v>49</v>
      </c>
      <c r="O1876" s="40">
        <v>142</v>
      </c>
      <c r="P1876" s="40">
        <v>93</v>
      </c>
      <c r="Q1876" s="40">
        <v>0</v>
      </c>
      <c r="R1876" s="40">
        <v>0</v>
      </c>
      <c r="S1876" s="40">
        <v>1</v>
      </c>
    </row>
    <row r="1877" spans="1:19" x14ac:dyDescent="0.35">
      <c r="A1877" s="38">
        <v>2240</v>
      </c>
      <c r="B1877" s="38" t="str">
        <f>_xlfn.XLOOKUP(A1877,'Model Modeshare by TAZ'!A:A,'Model Modeshare by TAZ'!B:B)</f>
        <v>Oakland</v>
      </c>
      <c r="C1877" s="38" t="str">
        <f>_xlfn.XLOOKUP(A1877,'Model Modeshare by TAZ'!A:A,'Model Modeshare by TAZ'!D:D)</f>
        <v>NO</v>
      </c>
      <c r="D1877" s="6">
        <v>4</v>
      </c>
      <c r="E1877" s="6">
        <v>1528</v>
      </c>
      <c r="F1877" s="6">
        <v>3979</v>
      </c>
      <c r="G1877" s="6">
        <v>3989</v>
      </c>
      <c r="H1877" s="6">
        <v>2089</v>
      </c>
      <c r="I1877" s="6">
        <v>977</v>
      </c>
      <c r="J1877" s="6">
        <v>551</v>
      </c>
      <c r="K1877" s="40">
        <v>186</v>
      </c>
      <c r="L1877" s="40">
        <v>27</v>
      </c>
      <c r="M1877" s="40">
        <v>458</v>
      </c>
      <c r="N1877" s="40">
        <v>156</v>
      </c>
      <c r="O1877" s="40">
        <v>163</v>
      </c>
      <c r="P1877" s="40">
        <v>106</v>
      </c>
      <c r="Q1877" s="40">
        <v>6</v>
      </c>
      <c r="R1877" s="40">
        <v>26</v>
      </c>
      <c r="S1877" s="40">
        <v>1</v>
      </c>
    </row>
    <row r="1878" spans="1:19" x14ac:dyDescent="0.35">
      <c r="A1878" s="38">
        <v>2241</v>
      </c>
      <c r="B1878" s="38" t="str">
        <f>_xlfn.XLOOKUP(A1878,'Model Modeshare by TAZ'!A:A,'Model Modeshare by TAZ'!B:B)</f>
        <v>Oakland</v>
      </c>
      <c r="C1878" s="38" t="str">
        <f>_xlfn.XLOOKUP(A1878,'Model Modeshare by TAZ'!A:A,'Model Modeshare by TAZ'!D:D)</f>
        <v>NO</v>
      </c>
      <c r="D1878" s="6">
        <v>4</v>
      </c>
      <c r="E1878" s="6">
        <v>1368</v>
      </c>
      <c r="F1878" s="6">
        <v>3472</v>
      </c>
      <c r="G1878" s="6">
        <v>3483</v>
      </c>
      <c r="H1878" s="6">
        <v>2032</v>
      </c>
      <c r="I1878" s="6">
        <v>1105</v>
      </c>
      <c r="J1878" s="6">
        <v>263</v>
      </c>
      <c r="K1878" s="40">
        <v>207</v>
      </c>
      <c r="L1878" s="40">
        <v>26</v>
      </c>
      <c r="M1878" s="40">
        <v>342</v>
      </c>
      <c r="N1878" s="40">
        <v>79</v>
      </c>
      <c r="O1878" s="40">
        <v>213</v>
      </c>
      <c r="P1878" s="40">
        <v>23</v>
      </c>
      <c r="Q1878" s="40">
        <v>0</v>
      </c>
      <c r="R1878" s="40">
        <v>2</v>
      </c>
      <c r="S1878" s="40">
        <v>25</v>
      </c>
    </row>
    <row r="1879" spans="1:19" x14ac:dyDescent="0.35">
      <c r="A1879" s="38">
        <v>2242</v>
      </c>
      <c r="B1879" s="38" t="str">
        <f>_xlfn.XLOOKUP(A1879,'Model Modeshare by TAZ'!A:A,'Model Modeshare by TAZ'!B:B)</f>
        <v>Oakland</v>
      </c>
      <c r="C1879" s="38" t="str">
        <f>_xlfn.XLOOKUP(A1879,'Model Modeshare by TAZ'!A:A,'Model Modeshare by TAZ'!D:D)</f>
        <v>NO</v>
      </c>
      <c r="D1879" s="6">
        <v>4</v>
      </c>
      <c r="E1879" s="6">
        <v>2130</v>
      </c>
      <c r="F1879" s="6">
        <v>4932</v>
      </c>
      <c r="G1879" s="6">
        <v>4969</v>
      </c>
      <c r="H1879" s="6">
        <v>2401</v>
      </c>
      <c r="I1879" s="6">
        <v>1696</v>
      </c>
      <c r="J1879" s="6">
        <v>434</v>
      </c>
      <c r="K1879" s="40">
        <v>357</v>
      </c>
      <c r="L1879" s="40">
        <v>60</v>
      </c>
      <c r="M1879" s="40">
        <v>1249</v>
      </c>
      <c r="N1879" s="40">
        <v>128</v>
      </c>
      <c r="O1879" s="40">
        <v>944</v>
      </c>
      <c r="P1879" s="40">
        <v>137</v>
      </c>
      <c r="Q1879" s="40">
        <v>0</v>
      </c>
      <c r="R1879" s="40">
        <v>19</v>
      </c>
      <c r="S1879" s="40">
        <v>22</v>
      </c>
    </row>
    <row r="1880" spans="1:19" x14ac:dyDescent="0.35">
      <c r="A1880" s="38">
        <v>2243</v>
      </c>
      <c r="B1880" s="38" t="str">
        <f>_xlfn.XLOOKUP(A1880,'Model Modeshare by TAZ'!A:A,'Model Modeshare by TAZ'!B:B)</f>
        <v>Oakland</v>
      </c>
      <c r="C1880" s="38" t="str">
        <f>_xlfn.XLOOKUP(A1880,'Model Modeshare by TAZ'!A:A,'Model Modeshare by TAZ'!D:D)</f>
        <v>NO</v>
      </c>
      <c r="D1880" s="6">
        <v>4</v>
      </c>
      <c r="E1880" s="6">
        <v>972</v>
      </c>
      <c r="F1880" s="6">
        <v>2309</v>
      </c>
      <c r="G1880" s="6">
        <v>2744</v>
      </c>
      <c r="H1880" s="6">
        <v>1438</v>
      </c>
      <c r="I1880" s="6">
        <v>951</v>
      </c>
      <c r="J1880" s="6">
        <v>21</v>
      </c>
      <c r="K1880" s="40">
        <v>358</v>
      </c>
      <c r="L1880" s="40">
        <v>90</v>
      </c>
      <c r="M1880" s="40">
        <v>12060</v>
      </c>
      <c r="N1880" s="40">
        <v>1474</v>
      </c>
      <c r="O1880" s="40">
        <v>6673</v>
      </c>
      <c r="P1880" s="40">
        <v>3724</v>
      </c>
      <c r="Q1880" s="40">
        <v>38</v>
      </c>
      <c r="R1880" s="40">
        <v>95</v>
      </c>
      <c r="S1880" s="40">
        <v>57</v>
      </c>
    </row>
    <row r="1881" spans="1:19" x14ac:dyDescent="0.35">
      <c r="A1881" s="38">
        <v>2244</v>
      </c>
      <c r="B1881" s="38" t="str">
        <f>_xlfn.XLOOKUP(A1881,'Model Modeshare by TAZ'!A:A,'Model Modeshare by TAZ'!B:B)</f>
        <v>Oakland</v>
      </c>
      <c r="C1881" s="38" t="str">
        <f>_xlfn.XLOOKUP(A1881,'Model Modeshare by TAZ'!A:A,'Model Modeshare by TAZ'!D:D)</f>
        <v>NO</v>
      </c>
      <c r="D1881" s="6">
        <v>4</v>
      </c>
      <c r="E1881" s="6">
        <v>1761</v>
      </c>
      <c r="F1881" s="6">
        <v>4347</v>
      </c>
      <c r="G1881" s="6">
        <v>4347</v>
      </c>
      <c r="H1881" s="6">
        <v>2433</v>
      </c>
      <c r="I1881" s="6">
        <v>1717</v>
      </c>
      <c r="J1881" s="6">
        <v>44</v>
      </c>
      <c r="K1881" s="40">
        <v>638</v>
      </c>
      <c r="L1881" s="40">
        <v>27</v>
      </c>
      <c r="M1881" s="40">
        <v>768</v>
      </c>
      <c r="N1881" s="40">
        <v>175</v>
      </c>
      <c r="O1881" s="40">
        <v>488</v>
      </c>
      <c r="P1881" s="40">
        <v>97</v>
      </c>
      <c r="Q1881" s="40">
        <v>4</v>
      </c>
      <c r="R1881" s="40">
        <v>1</v>
      </c>
      <c r="S1881" s="40">
        <v>3</v>
      </c>
    </row>
    <row r="1882" spans="1:19" x14ac:dyDescent="0.35">
      <c r="A1882" s="38">
        <v>2245</v>
      </c>
      <c r="B1882" s="38" t="str">
        <f>_xlfn.XLOOKUP(A1882,'Model Modeshare by TAZ'!A:A,'Model Modeshare by TAZ'!B:B)</f>
        <v>Oakland</v>
      </c>
      <c r="C1882" s="38" t="str">
        <f>_xlfn.XLOOKUP(A1882,'Model Modeshare by TAZ'!A:A,'Model Modeshare by TAZ'!D:D)</f>
        <v>NO</v>
      </c>
      <c r="D1882" s="6">
        <v>4</v>
      </c>
      <c r="E1882" s="6">
        <v>2339</v>
      </c>
      <c r="F1882" s="6">
        <v>5394</v>
      </c>
      <c r="G1882" s="6">
        <v>5403</v>
      </c>
      <c r="H1882" s="6">
        <v>2890</v>
      </c>
      <c r="I1882" s="6">
        <v>2137</v>
      </c>
      <c r="J1882" s="6">
        <v>202</v>
      </c>
      <c r="K1882" s="40">
        <v>697</v>
      </c>
      <c r="L1882" s="40">
        <v>50</v>
      </c>
      <c r="M1882" s="40">
        <v>2233</v>
      </c>
      <c r="N1882" s="40">
        <v>1254</v>
      </c>
      <c r="O1882" s="40">
        <v>392</v>
      </c>
      <c r="P1882" s="40">
        <v>529</v>
      </c>
      <c r="Q1882" s="40">
        <v>20</v>
      </c>
      <c r="R1882" s="40">
        <v>16</v>
      </c>
      <c r="S1882" s="40">
        <v>22</v>
      </c>
    </row>
    <row r="1883" spans="1:19" x14ac:dyDescent="0.35">
      <c r="A1883" s="38">
        <v>2246</v>
      </c>
      <c r="B1883" s="38" t="str">
        <f>_xlfn.XLOOKUP(A1883,'Model Modeshare by TAZ'!A:A,'Model Modeshare by TAZ'!B:B)</f>
        <v>Oakland</v>
      </c>
      <c r="C1883" s="38" t="str">
        <f>_xlfn.XLOOKUP(A1883,'Model Modeshare by TAZ'!A:A,'Model Modeshare by TAZ'!D:D)</f>
        <v>NO</v>
      </c>
      <c r="D1883" s="6">
        <v>4</v>
      </c>
      <c r="E1883" s="6">
        <v>2317</v>
      </c>
      <c r="F1883" s="6">
        <v>5404</v>
      </c>
      <c r="G1883" s="6">
        <v>5404</v>
      </c>
      <c r="H1883" s="6">
        <v>3449</v>
      </c>
      <c r="I1883" s="6">
        <v>1825</v>
      </c>
      <c r="J1883" s="6">
        <v>492</v>
      </c>
      <c r="K1883" s="40">
        <v>717</v>
      </c>
      <c r="L1883" s="40">
        <v>11</v>
      </c>
      <c r="M1883" s="40">
        <v>166</v>
      </c>
      <c r="N1883" s="40">
        <v>15</v>
      </c>
      <c r="O1883" s="40">
        <v>98</v>
      </c>
      <c r="P1883" s="40">
        <v>49</v>
      </c>
      <c r="Q1883" s="40">
        <v>1</v>
      </c>
      <c r="R1883" s="40">
        <v>1</v>
      </c>
      <c r="S1883" s="40">
        <v>1</v>
      </c>
    </row>
    <row r="1884" spans="1:19" x14ac:dyDescent="0.35">
      <c r="A1884" s="38">
        <v>2247</v>
      </c>
      <c r="B1884" s="38" t="str">
        <f>_xlfn.XLOOKUP(A1884,'Model Modeshare by TAZ'!A:A,'Model Modeshare by TAZ'!B:B)</f>
        <v>Oakland</v>
      </c>
      <c r="C1884" s="38" t="str">
        <f>_xlfn.XLOOKUP(A1884,'Model Modeshare by TAZ'!A:A,'Model Modeshare by TAZ'!D:D)</f>
        <v>NO</v>
      </c>
      <c r="D1884" s="6">
        <v>4</v>
      </c>
      <c r="E1884" s="6">
        <v>1414</v>
      </c>
      <c r="F1884" s="6">
        <v>3608</v>
      </c>
      <c r="G1884" s="6">
        <v>3616</v>
      </c>
      <c r="H1884" s="6">
        <v>1935</v>
      </c>
      <c r="I1884" s="6">
        <v>1119</v>
      </c>
      <c r="J1884" s="6">
        <v>295</v>
      </c>
      <c r="K1884" s="40">
        <v>331</v>
      </c>
      <c r="L1884" s="40">
        <v>28</v>
      </c>
      <c r="M1884" s="40">
        <v>448</v>
      </c>
      <c r="N1884" s="40">
        <v>3</v>
      </c>
      <c r="O1884" s="40">
        <v>175</v>
      </c>
      <c r="P1884" s="40">
        <v>229</v>
      </c>
      <c r="Q1884" s="40">
        <v>0</v>
      </c>
      <c r="R1884" s="40">
        <v>27</v>
      </c>
      <c r="S1884" s="40">
        <v>15</v>
      </c>
    </row>
    <row r="1885" spans="1:19" x14ac:dyDescent="0.35">
      <c r="A1885" s="38">
        <v>2248</v>
      </c>
      <c r="B1885" s="38" t="str">
        <f>_xlfn.XLOOKUP(A1885,'Model Modeshare by TAZ'!A:A,'Model Modeshare by TAZ'!B:B)</f>
        <v>Oakland</v>
      </c>
      <c r="C1885" s="38" t="str">
        <f>_xlfn.XLOOKUP(A1885,'Model Modeshare by TAZ'!A:A,'Model Modeshare by TAZ'!D:D)</f>
        <v>NO</v>
      </c>
      <c r="D1885" s="6">
        <v>4</v>
      </c>
      <c r="E1885" s="6">
        <v>1390</v>
      </c>
      <c r="F1885" s="6">
        <v>3662</v>
      </c>
      <c r="G1885" s="6">
        <v>3852</v>
      </c>
      <c r="H1885" s="6">
        <v>1829</v>
      </c>
      <c r="I1885" s="6">
        <v>1203</v>
      </c>
      <c r="J1885" s="6">
        <v>187</v>
      </c>
      <c r="K1885" s="40">
        <v>237</v>
      </c>
      <c r="L1885" s="40">
        <v>59</v>
      </c>
      <c r="M1885" s="40">
        <v>1649</v>
      </c>
      <c r="N1885" s="40">
        <v>327</v>
      </c>
      <c r="O1885" s="40">
        <v>1113</v>
      </c>
      <c r="P1885" s="40">
        <v>185</v>
      </c>
      <c r="Q1885" s="40">
        <v>0</v>
      </c>
      <c r="R1885" s="40">
        <v>12</v>
      </c>
      <c r="S1885" s="40">
        <v>12</v>
      </c>
    </row>
    <row r="1886" spans="1:19" x14ac:dyDescent="0.35">
      <c r="A1886" s="38">
        <v>2249</v>
      </c>
      <c r="B1886" s="38" t="str">
        <f>_xlfn.XLOOKUP(A1886,'Model Modeshare by TAZ'!A:A,'Model Modeshare by TAZ'!B:B)</f>
        <v>Piedmont</v>
      </c>
      <c r="C1886" s="38" t="str">
        <f>_xlfn.XLOOKUP(A1886,'Model Modeshare by TAZ'!A:A,'Model Modeshare by TAZ'!D:D)</f>
        <v>NO</v>
      </c>
      <c r="D1886" s="6">
        <v>4</v>
      </c>
      <c r="E1886" s="6">
        <v>2187</v>
      </c>
      <c r="F1886" s="6">
        <v>5697</v>
      </c>
      <c r="G1886" s="6">
        <v>5698</v>
      </c>
      <c r="H1886" s="6">
        <v>3086</v>
      </c>
      <c r="I1886" s="6">
        <v>2108</v>
      </c>
      <c r="J1886" s="6">
        <v>79</v>
      </c>
      <c r="K1886" s="40">
        <v>284</v>
      </c>
      <c r="L1886" s="40">
        <v>15</v>
      </c>
      <c r="M1886" s="40">
        <v>801</v>
      </c>
      <c r="N1886" s="40">
        <v>108</v>
      </c>
      <c r="O1886" s="40">
        <v>376</v>
      </c>
      <c r="P1886" s="40">
        <v>304</v>
      </c>
      <c r="Q1886" s="40">
        <v>13</v>
      </c>
      <c r="R1886" s="40">
        <v>0</v>
      </c>
      <c r="S1886" s="40">
        <v>0</v>
      </c>
    </row>
    <row r="1887" spans="1:19" x14ac:dyDescent="0.35">
      <c r="A1887" s="38">
        <v>2250</v>
      </c>
      <c r="B1887" s="38" t="str">
        <f>_xlfn.XLOOKUP(A1887,'Model Modeshare by TAZ'!A:A,'Model Modeshare by TAZ'!B:B)</f>
        <v>Piedmont</v>
      </c>
      <c r="C1887" s="38" t="str">
        <f>_xlfn.XLOOKUP(A1887,'Model Modeshare by TAZ'!A:A,'Model Modeshare by TAZ'!D:D)</f>
        <v>NO</v>
      </c>
      <c r="D1887" s="6">
        <v>4</v>
      </c>
      <c r="E1887" s="6">
        <v>2205</v>
      </c>
      <c r="F1887" s="6">
        <v>6253</v>
      </c>
      <c r="G1887" s="6">
        <v>6258</v>
      </c>
      <c r="H1887" s="6">
        <v>2709</v>
      </c>
      <c r="I1887" s="6">
        <v>2194</v>
      </c>
      <c r="J1887" s="6">
        <v>11</v>
      </c>
      <c r="K1887" s="40">
        <v>649</v>
      </c>
      <c r="L1887" s="40">
        <v>32</v>
      </c>
      <c r="M1887" s="40">
        <v>1483</v>
      </c>
      <c r="N1887" s="40">
        <v>56</v>
      </c>
      <c r="O1887" s="40">
        <v>1259</v>
      </c>
      <c r="P1887" s="40">
        <v>152</v>
      </c>
      <c r="Q1887" s="40">
        <v>12</v>
      </c>
      <c r="R1887" s="40">
        <v>4</v>
      </c>
      <c r="S1887" s="40">
        <v>0</v>
      </c>
    </row>
    <row r="1888" spans="1:19" x14ac:dyDescent="0.35">
      <c r="A1888" s="38">
        <v>2251</v>
      </c>
      <c r="B1888" s="38" t="str">
        <f>_xlfn.XLOOKUP(A1888,'Model Modeshare by TAZ'!A:A,'Model Modeshare by TAZ'!B:B)</f>
        <v>Oakland</v>
      </c>
      <c r="C1888" s="38" t="str">
        <f>_xlfn.XLOOKUP(A1888,'Model Modeshare by TAZ'!A:A,'Model Modeshare by TAZ'!D:D)</f>
        <v>NO</v>
      </c>
      <c r="D1888" s="6">
        <v>4</v>
      </c>
      <c r="E1888" s="6">
        <v>690</v>
      </c>
      <c r="F1888" s="6">
        <v>1871</v>
      </c>
      <c r="G1888" s="6">
        <v>1871</v>
      </c>
      <c r="H1888" s="6">
        <v>1007</v>
      </c>
      <c r="I1888" s="6">
        <v>643</v>
      </c>
      <c r="J1888" s="6">
        <v>47</v>
      </c>
      <c r="K1888" s="40">
        <v>258</v>
      </c>
      <c r="L1888" s="40">
        <v>1</v>
      </c>
      <c r="M1888" s="40">
        <v>66</v>
      </c>
      <c r="N1888" s="40">
        <v>47</v>
      </c>
      <c r="O1888" s="40">
        <v>19</v>
      </c>
      <c r="P1888" s="40">
        <v>0</v>
      </c>
      <c r="Q1888" s="40">
        <v>0</v>
      </c>
      <c r="R1888" s="40">
        <v>0</v>
      </c>
      <c r="S1888" s="40">
        <v>0</v>
      </c>
    </row>
    <row r="1889" spans="1:19" x14ac:dyDescent="0.35">
      <c r="A1889" s="38">
        <v>2252</v>
      </c>
      <c r="B1889" s="38" t="str">
        <f>_xlfn.XLOOKUP(A1889,'Model Modeshare by TAZ'!A:A,'Model Modeshare by TAZ'!B:B)</f>
        <v>Oakland</v>
      </c>
      <c r="C1889" s="38" t="str">
        <f>_xlfn.XLOOKUP(A1889,'Model Modeshare by TAZ'!A:A,'Model Modeshare by TAZ'!D:D)</f>
        <v>NO</v>
      </c>
      <c r="D1889" s="6">
        <v>4</v>
      </c>
      <c r="E1889" s="6">
        <v>795</v>
      </c>
      <c r="F1889" s="6">
        <v>2166</v>
      </c>
      <c r="G1889" s="6">
        <v>2166</v>
      </c>
      <c r="H1889" s="6">
        <v>1133</v>
      </c>
      <c r="I1889" s="6">
        <v>778</v>
      </c>
      <c r="J1889" s="6">
        <v>17</v>
      </c>
      <c r="K1889" s="40">
        <v>207</v>
      </c>
      <c r="L1889" s="40">
        <v>8</v>
      </c>
      <c r="M1889" s="40">
        <v>370</v>
      </c>
      <c r="N1889" s="40">
        <v>55</v>
      </c>
      <c r="O1889" s="40">
        <v>227</v>
      </c>
      <c r="P1889" s="40">
        <v>58</v>
      </c>
      <c r="Q1889" s="40">
        <v>2</v>
      </c>
      <c r="R1889" s="40">
        <v>0</v>
      </c>
      <c r="S1889" s="40">
        <v>27</v>
      </c>
    </row>
    <row r="1890" spans="1:19" x14ac:dyDescent="0.35">
      <c r="A1890" s="38">
        <v>2253</v>
      </c>
      <c r="B1890" s="38" t="str">
        <f>_xlfn.XLOOKUP(A1890,'Model Modeshare by TAZ'!A:A,'Model Modeshare by TAZ'!B:B)</f>
        <v>Oakland</v>
      </c>
      <c r="C1890" s="38" t="str">
        <f>_xlfn.XLOOKUP(A1890,'Model Modeshare by TAZ'!A:A,'Model Modeshare by TAZ'!D:D)</f>
        <v>NO</v>
      </c>
      <c r="D1890" s="6">
        <v>4</v>
      </c>
      <c r="E1890" s="6">
        <v>1243</v>
      </c>
      <c r="F1890" s="6">
        <v>2784</v>
      </c>
      <c r="G1890" s="6">
        <v>2784</v>
      </c>
      <c r="H1890" s="6">
        <v>1401</v>
      </c>
      <c r="I1890" s="6">
        <v>611</v>
      </c>
      <c r="J1890" s="6">
        <v>632</v>
      </c>
      <c r="K1890" s="40">
        <v>117</v>
      </c>
      <c r="L1890" s="40">
        <v>15</v>
      </c>
      <c r="M1890" s="40">
        <v>597</v>
      </c>
      <c r="N1890" s="40">
        <v>246</v>
      </c>
      <c r="O1890" s="40">
        <v>44</v>
      </c>
      <c r="P1890" s="40">
        <v>296</v>
      </c>
      <c r="Q1890" s="40">
        <v>0</v>
      </c>
      <c r="R1890" s="40">
        <v>3</v>
      </c>
      <c r="S1890" s="40">
        <v>9</v>
      </c>
    </row>
    <row r="1891" spans="1:19" x14ac:dyDescent="0.35">
      <c r="A1891" s="38">
        <v>2254</v>
      </c>
      <c r="B1891" s="38" t="str">
        <f>_xlfn.XLOOKUP(A1891,'Model Modeshare by TAZ'!A:A,'Model Modeshare by TAZ'!B:B)</f>
        <v>Oakland</v>
      </c>
      <c r="C1891" s="38" t="str">
        <f>_xlfn.XLOOKUP(A1891,'Model Modeshare by TAZ'!A:A,'Model Modeshare by TAZ'!D:D)</f>
        <v>NO</v>
      </c>
      <c r="D1891" s="6">
        <v>4</v>
      </c>
      <c r="E1891" s="6">
        <v>1938</v>
      </c>
      <c r="F1891" s="6">
        <v>3978</v>
      </c>
      <c r="G1891" s="6">
        <v>3978</v>
      </c>
      <c r="H1891" s="6">
        <v>2286</v>
      </c>
      <c r="I1891" s="6">
        <v>1165</v>
      </c>
      <c r="J1891" s="6">
        <v>773</v>
      </c>
      <c r="K1891" s="40">
        <v>207</v>
      </c>
      <c r="L1891" s="40">
        <v>17</v>
      </c>
      <c r="M1891" s="40">
        <v>731</v>
      </c>
      <c r="N1891" s="40">
        <v>144</v>
      </c>
      <c r="O1891" s="40">
        <v>342</v>
      </c>
      <c r="P1891" s="40">
        <v>198</v>
      </c>
      <c r="Q1891" s="40">
        <v>10</v>
      </c>
      <c r="R1891" s="40">
        <v>13</v>
      </c>
      <c r="S1891" s="40">
        <v>24</v>
      </c>
    </row>
    <row r="1892" spans="1:19" x14ac:dyDescent="0.35">
      <c r="A1892" s="38">
        <v>2255</v>
      </c>
      <c r="B1892" s="38" t="str">
        <f>_xlfn.XLOOKUP(A1892,'Model Modeshare by TAZ'!A:A,'Model Modeshare by TAZ'!B:B)</f>
        <v>Oakland</v>
      </c>
      <c r="C1892" s="38" t="str">
        <f>_xlfn.XLOOKUP(A1892,'Model Modeshare by TAZ'!A:A,'Model Modeshare by TAZ'!D:D)</f>
        <v>NO</v>
      </c>
      <c r="D1892" s="6">
        <v>4</v>
      </c>
      <c r="E1892" s="6">
        <v>2638</v>
      </c>
      <c r="F1892" s="6">
        <v>7584</v>
      </c>
      <c r="G1892" s="6">
        <v>7602</v>
      </c>
      <c r="H1892" s="6">
        <v>3547</v>
      </c>
      <c r="I1892" s="6">
        <v>1311</v>
      </c>
      <c r="J1892" s="6">
        <v>1327</v>
      </c>
      <c r="K1892" s="40">
        <v>237</v>
      </c>
      <c r="L1892" s="40">
        <v>22</v>
      </c>
      <c r="M1892" s="40">
        <v>399</v>
      </c>
      <c r="N1892" s="40">
        <v>107</v>
      </c>
      <c r="O1892" s="40">
        <v>220</v>
      </c>
      <c r="P1892" s="40">
        <v>56</v>
      </c>
      <c r="Q1892" s="40">
        <v>2</v>
      </c>
      <c r="R1892" s="40">
        <v>13</v>
      </c>
      <c r="S1892" s="40">
        <v>0</v>
      </c>
    </row>
    <row r="1893" spans="1:19" x14ac:dyDescent="0.35">
      <c r="A1893" s="38">
        <v>2256</v>
      </c>
      <c r="B1893" s="38" t="str">
        <f>_xlfn.XLOOKUP(A1893,'Model Modeshare by TAZ'!A:A,'Model Modeshare by TAZ'!B:B)</f>
        <v>Oakland</v>
      </c>
      <c r="C1893" s="38" t="str">
        <f>_xlfn.XLOOKUP(A1893,'Model Modeshare by TAZ'!A:A,'Model Modeshare by TAZ'!D:D)</f>
        <v>NO</v>
      </c>
      <c r="D1893" s="6">
        <v>4</v>
      </c>
      <c r="E1893" s="6">
        <v>2055</v>
      </c>
      <c r="F1893" s="6">
        <v>6551</v>
      </c>
      <c r="G1893" s="6">
        <v>6677</v>
      </c>
      <c r="H1893" s="6">
        <v>3164</v>
      </c>
      <c r="I1893" s="6">
        <v>1024</v>
      </c>
      <c r="J1893" s="6">
        <v>1031</v>
      </c>
      <c r="K1893" s="40">
        <v>137</v>
      </c>
      <c r="L1893" s="40">
        <v>41</v>
      </c>
      <c r="M1893" s="40">
        <v>610</v>
      </c>
      <c r="N1893" s="40">
        <v>124</v>
      </c>
      <c r="O1893" s="40">
        <v>246</v>
      </c>
      <c r="P1893" s="40">
        <v>229</v>
      </c>
      <c r="Q1893" s="40">
        <v>3</v>
      </c>
      <c r="R1893" s="40">
        <v>0</v>
      </c>
      <c r="S1893" s="40">
        <v>9</v>
      </c>
    </row>
    <row r="1894" spans="1:19" x14ac:dyDescent="0.35">
      <c r="A1894" s="38">
        <v>2257</v>
      </c>
      <c r="B1894" s="38" t="str">
        <f>_xlfn.XLOOKUP(A1894,'Model Modeshare by TAZ'!A:A,'Model Modeshare by TAZ'!B:B)</f>
        <v>Oakland</v>
      </c>
      <c r="C1894" s="38" t="str">
        <f>_xlfn.XLOOKUP(A1894,'Model Modeshare by TAZ'!A:A,'Model Modeshare by TAZ'!D:D)</f>
        <v>NO</v>
      </c>
      <c r="D1894" s="6">
        <v>4</v>
      </c>
      <c r="E1894" s="6">
        <v>1762</v>
      </c>
      <c r="F1894" s="6">
        <v>6371</v>
      </c>
      <c r="G1894" s="6">
        <v>6507</v>
      </c>
      <c r="H1894" s="6">
        <v>2788</v>
      </c>
      <c r="I1894" s="6">
        <v>779</v>
      </c>
      <c r="J1894" s="6">
        <v>983</v>
      </c>
      <c r="K1894" s="40">
        <v>82</v>
      </c>
      <c r="L1894" s="40">
        <v>82</v>
      </c>
      <c r="M1894" s="40">
        <v>2313</v>
      </c>
      <c r="N1894" s="40">
        <v>446</v>
      </c>
      <c r="O1894" s="40">
        <v>1165</v>
      </c>
      <c r="P1894" s="40">
        <v>610</v>
      </c>
      <c r="Q1894" s="40">
        <v>8</v>
      </c>
      <c r="R1894" s="40">
        <v>63</v>
      </c>
      <c r="S1894" s="40">
        <v>20</v>
      </c>
    </row>
    <row r="1895" spans="1:19" x14ac:dyDescent="0.35">
      <c r="A1895" s="38">
        <v>2258</v>
      </c>
      <c r="B1895" s="38" t="str">
        <f>_xlfn.XLOOKUP(A1895,'Model Modeshare by TAZ'!A:A,'Model Modeshare by TAZ'!B:B)</f>
        <v>Oakland</v>
      </c>
      <c r="C1895" s="38" t="str">
        <f>_xlfn.XLOOKUP(A1895,'Model Modeshare by TAZ'!A:A,'Model Modeshare by TAZ'!D:D)</f>
        <v>NO</v>
      </c>
      <c r="D1895" s="6">
        <v>4</v>
      </c>
      <c r="E1895" s="6">
        <v>1490</v>
      </c>
      <c r="F1895" s="6">
        <v>4812</v>
      </c>
      <c r="G1895" s="6">
        <v>4812</v>
      </c>
      <c r="H1895" s="6">
        <v>2279</v>
      </c>
      <c r="I1895" s="6">
        <v>688</v>
      </c>
      <c r="J1895" s="6">
        <v>802</v>
      </c>
      <c r="K1895" s="40">
        <v>116</v>
      </c>
      <c r="L1895" s="40">
        <v>347</v>
      </c>
      <c r="M1895" s="40">
        <v>5146</v>
      </c>
      <c r="N1895" s="40">
        <v>625</v>
      </c>
      <c r="O1895" s="40">
        <v>834</v>
      </c>
      <c r="P1895" s="40">
        <v>1147</v>
      </c>
      <c r="Q1895" s="40">
        <v>4</v>
      </c>
      <c r="R1895" s="40">
        <v>2193</v>
      </c>
      <c r="S1895" s="40">
        <v>344</v>
      </c>
    </row>
    <row r="1896" spans="1:19" x14ac:dyDescent="0.35">
      <c r="A1896" s="38">
        <v>2259</v>
      </c>
      <c r="B1896" s="38" t="str">
        <f>_xlfn.XLOOKUP(A1896,'Model Modeshare by TAZ'!A:A,'Model Modeshare by TAZ'!B:B)</f>
        <v>Oakland</v>
      </c>
      <c r="C1896" s="38" t="str">
        <f>_xlfn.XLOOKUP(A1896,'Model Modeshare by TAZ'!A:A,'Model Modeshare by TAZ'!D:D)</f>
        <v>NO</v>
      </c>
      <c r="D1896" s="6">
        <v>4</v>
      </c>
      <c r="E1896" s="6">
        <v>1305</v>
      </c>
      <c r="F1896" s="6">
        <v>4428</v>
      </c>
      <c r="G1896" s="6">
        <v>4673</v>
      </c>
      <c r="H1896" s="6">
        <v>2204</v>
      </c>
      <c r="I1896" s="6">
        <v>326</v>
      </c>
      <c r="J1896" s="6">
        <v>979</v>
      </c>
      <c r="K1896" s="40">
        <v>51</v>
      </c>
      <c r="L1896" s="40">
        <v>41</v>
      </c>
      <c r="M1896" s="40">
        <v>1336</v>
      </c>
      <c r="N1896" s="40">
        <v>184</v>
      </c>
      <c r="O1896" s="40">
        <v>670</v>
      </c>
      <c r="P1896" s="40">
        <v>468</v>
      </c>
      <c r="Q1896" s="40">
        <v>0</v>
      </c>
      <c r="R1896" s="40">
        <v>2</v>
      </c>
      <c r="S1896" s="40">
        <v>11</v>
      </c>
    </row>
    <row r="1897" spans="1:19" x14ac:dyDescent="0.35">
      <c r="A1897" s="38">
        <v>2260</v>
      </c>
      <c r="B1897" s="38" t="str">
        <f>_xlfn.XLOOKUP(A1897,'Model Modeshare by TAZ'!A:A,'Model Modeshare by TAZ'!B:B)</f>
        <v>Oakland</v>
      </c>
      <c r="C1897" s="38" t="str">
        <f>_xlfn.XLOOKUP(A1897,'Model Modeshare by TAZ'!A:A,'Model Modeshare by TAZ'!D:D)</f>
        <v>NO</v>
      </c>
      <c r="D1897" s="6">
        <v>4</v>
      </c>
      <c r="E1897" s="6">
        <v>1352</v>
      </c>
      <c r="F1897" s="6">
        <v>4248</v>
      </c>
      <c r="G1897" s="6">
        <v>4297</v>
      </c>
      <c r="H1897" s="6">
        <v>1936</v>
      </c>
      <c r="I1897" s="6">
        <v>573</v>
      </c>
      <c r="J1897" s="6">
        <v>779</v>
      </c>
      <c r="K1897" s="40">
        <v>72</v>
      </c>
      <c r="L1897" s="40">
        <v>26</v>
      </c>
      <c r="M1897" s="40">
        <v>422</v>
      </c>
      <c r="N1897" s="40">
        <v>57</v>
      </c>
      <c r="O1897" s="40">
        <v>213</v>
      </c>
      <c r="P1897" s="40">
        <v>149</v>
      </c>
      <c r="Q1897" s="40">
        <v>0</v>
      </c>
      <c r="R1897" s="40">
        <v>1</v>
      </c>
      <c r="S1897" s="40">
        <v>2</v>
      </c>
    </row>
    <row r="1898" spans="1:19" x14ac:dyDescent="0.35">
      <c r="A1898" s="38">
        <v>2261</v>
      </c>
      <c r="B1898" s="38" t="str">
        <f>_xlfn.XLOOKUP(A1898,'Model Modeshare by TAZ'!A:A,'Model Modeshare by TAZ'!B:B)</f>
        <v>Oakland</v>
      </c>
      <c r="C1898" s="38" t="str">
        <f>_xlfn.XLOOKUP(A1898,'Model Modeshare by TAZ'!A:A,'Model Modeshare by TAZ'!D:D)</f>
        <v>NO</v>
      </c>
      <c r="D1898" s="6">
        <v>4</v>
      </c>
      <c r="E1898" s="6">
        <v>1203</v>
      </c>
      <c r="F1898" s="6">
        <v>4097</v>
      </c>
      <c r="G1898" s="6">
        <v>4148</v>
      </c>
      <c r="H1898" s="6">
        <v>1850</v>
      </c>
      <c r="I1898" s="6">
        <v>607</v>
      </c>
      <c r="J1898" s="6">
        <v>596</v>
      </c>
      <c r="K1898" s="40">
        <v>116</v>
      </c>
      <c r="L1898" s="40">
        <v>2</v>
      </c>
      <c r="M1898" s="40">
        <v>328</v>
      </c>
      <c r="N1898" s="40">
        <v>21</v>
      </c>
      <c r="O1898" s="40">
        <v>281</v>
      </c>
      <c r="P1898" s="40">
        <v>3</v>
      </c>
      <c r="Q1898" s="40">
        <v>0</v>
      </c>
      <c r="R1898" s="40">
        <v>0</v>
      </c>
      <c r="S1898" s="40">
        <v>23</v>
      </c>
    </row>
    <row r="1899" spans="1:19" x14ac:dyDescent="0.35">
      <c r="A1899" s="38">
        <v>2262</v>
      </c>
      <c r="B1899" s="38" t="str">
        <f>_xlfn.XLOOKUP(A1899,'Model Modeshare by TAZ'!A:A,'Model Modeshare by TAZ'!B:B)</f>
        <v>Oakland</v>
      </c>
      <c r="C1899" s="38" t="str">
        <f>_xlfn.XLOOKUP(A1899,'Model Modeshare by TAZ'!A:A,'Model Modeshare by TAZ'!D:D)</f>
        <v>NO</v>
      </c>
      <c r="D1899" s="6">
        <v>4</v>
      </c>
      <c r="E1899" s="6">
        <v>716</v>
      </c>
      <c r="F1899" s="6">
        <v>1945</v>
      </c>
      <c r="G1899" s="6">
        <v>2218</v>
      </c>
      <c r="H1899" s="6">
        <v>774</v>
      </c>
      <c r="I1899" s="6">
        <v>471</v>
      </c>
      <c r="J1899" s="6">
        <v>245</v>
      </c>
      <c r="K1899" s="40">
        <v>82</v>
      </c>
      <c r="L1899" s="40">
        <v>15</v>
      </c>
      <c r="M1899" s="40">
        <v>584</v>
      </c>
      <c r="N1899" s="40">
        <v>28</v>
      </c>
      <c r="O1899" s="40">
        <v>448</v>
      </c>
      <c r="P1899" s="40">
        <v>71</v>
      </c>
      <c r="Q1899" s="40">
        <v>0</v>
      </c>
      <c r="R1899" s="40">
        <v>0</v>
      </c>
      <c r="S1899" s="40">
        <v>37</v>
      </c>
    </row>
    <row r="1900" spans="1:19" x14ac:dyDescent="0.35">
      <c r="A1900" s="38">
        <v>2263</v>
      </c>
      <c r="B1900" s="38" t="str">
        <f>_xlfn.XLOOKUP(A1900,'Model Modeshare by TAZ'!A:A,'Model Modeshare by TAZ'!B:B)</f>
        <v>Oakland</v>
      </c>
      <c r="C1900" s="38" t="str">
        <f>_xlfn.XLOOKUP(A1900,'Model Modeshare by TAZ'!A:A,'Model Modeshare by TAZ'!D:D)</f>
        <v>NO</v>
      </c>
      <c r="D1900" s="6">
        <v>4</v>
      </c>
      <c r="E1900" s="6">
        <v>1372</v>
      </c>
      <c r="F1900" s="6">
        <v>3679</v>
      </c>
      <c r="G1900" s="6">
        <v>3701</v>
      </c>
      <c r="H1900" s="6">
        <v>1712</v>
      </c>
      <c r="I1900" s="6">
        <v>502</v>
      </c>
      <c r="J1900" s="6">
        <v>870</v>
      </c>
      <c r="K1900" s="40">
        <v>107</v>
      </c>
      <c r="L1900" s="40">
        <v>25</v>
      </c>
      <c r="M1900" s="40">
        <v>5597</v>
      </c>
      <c r="N1900" s="40">
        <v>329</v>
      </c>
      <c r="O1900" s="40">
        <v>4947</v>
      </c>
      <c r="P1900" s="40">
        <v>321</v>
      </c>
      <c r="Q1900" s="40">
        <v>0</v>
      </c>
      <c r="R1900" s="40">
        <v>0</v>
      </c>
      <c r="S1900" s="40">
        <v>0</v>
      </c>
    </row>
    <row r="1901" spans="1:19" x14ac:dyDescent="0.35">
      <c r="A1901" s="38">
        <v>2264</v>
      </c>
      <c r="B1901" s="38" t="str">
        <f>_xlfn.XLOOKUP(A1901,'Model Modeshare by TAZ'!A:A,'Model Modeshare by TAZ'!B:B)</f>
        <v>Oakland</v>
      </c>
      <c r="C1901" s="38" t="str">
        <f>_xlfn.XLOOKUP(A1901,'Model Modeshare by TAZ'!A:A,'Model Modeshare by TAZ'!D:D)</f>
        <v>NO</v>
      </c>
      <c r="D1901" s="6">
        <v>4</v>
      </c>
      <c r="E1901" s="6">
        <v>1324</v>
      </c>
      <c r="F1901" s="6">
        <v>4250</v>
      </c>
      <c r="G1901" s="6">
        <v>4250</v>
      </c>
      <c r="H1901" s="6">
        <v>1993</v>
      </c>
      <c r="I1901" s="6">
        <v>762</v>
      </c>
      <c r="J1901" s="6">
        <v>562</v>
      </c>
      <c r="K1901" s="40">
        <v>127</v>
      </c>
      <c r="L1901" s="40">
        <v>1</v>
      </c>
      <c r="M1901" s="40">
        <v>61</v>
      </c>
      <c r="N1901" s="40">
        <v>21</v>
      </c>
      <c r="O1901" s="40">
        <v>39</v>
      </c>
      <c r="P1901" s="40">
        <v>1</v>
      </c>
      <c r="Q1901" s="40">
        <v>0</v>
      </c>
      <c r="R1901" s="40">
        <v>0</v>
      </c>
      <c r="S1901" s="40">
        <v>0</v>
      </c>
    </row>
    <row r="1902" spans="1:19" x14ac:dyDescent="0.35">
      <c r="A1902" s="38">
        <v>2265</v>
      </c>
      <c r="B1902" s="38" t="str">
        <f>_xlfn.XLOOKUP(A1902,'Model Modeshare by TAZ'!A:A,'Model Modeshare by TAZ'!B:B)</f>
        <v>Oakland</v>
      </c>
      <c r="C1902" s="38" t="str">
        <f>_xlfn.XLOOKUP(A1902,'Model Modeshare by TAZ'!A:A,'Model Modeshare by TAZ'!D:D)</f>
        <v>NO</v>
      </c>
      <c r="D1902" s="6">
        <v>4</v>
      </c>
      <c r="E1902" s="6">
        <v>1971</v>
      </c>
      <c r="F1902" s="6">
        <v>7424</v>
      </c>
      <c r="G1902" s="6">
        <v>7453</v>
      </c>
      <c r="H1902" s="6">
        <v>2983</v>
      </c>
      <c r="I1902" s="6">
        <v>840</v>
      </c>
      <c r="J1902" s="6">
        <v>1131</v>
      </c>
      <c r="K1902" s="40">
        <v>111</v>
      </c>
      <c r="L1902" s="40">
        <v>91</v>
      </c>
      <c r="M1902" s="40">
        <v>519</v>
      </c>
      <c r="N1902" s="40">
        <v>93</v>
      </c>
      <c r="O1902" s="40">
        <v>349</v>
      </c>
      <c r="P1902" s="40">
        <v>3</v>
      </c>
      <c r="Q1902" s="40">
        <v>0</v>
      </c>
      <c r="R1902" s="40">
        <v>17</v>
      </c>
      <c r="S1902" s="40">
        <v>56</v>
      </c>
    </row>
    <row r="1903" spans="1:19" x14ac:dyDescent="0.35">
      <c r="A1903" s="38">
        <v>2266</v>
      </c>
      <c r="B1903" s="38" t="str">
        <f>_xlfn.XLOOKUP(A1903,'Model Modeshare by TAZ'!A:A,'Model Modeshare by TAZ'!B:B)</f>
        <v>Oakland</v>
      </c>
      <c r="C1903" s="38" t="str">
        <f>_xlfn.XLOOKUP(A1903,'Model Modeshare by TAZ'!A:A,'Model Modeshare by TAZ'!D:D)</f>
        <v>NO</v>
      </c>
      <c r="D1903" s="6">
        <v>4</v>
      </c>
      <c r="E1903" s="6">
        <v>3312</v>
      </c>
      <c r="F1903" s="6">
        <v>8269</v>
      </c>
      <c r="G1903" s="6">
        <v>8374</v>
      </c>
      <c r="H1903" s="6">
        <v>4370</v>
      </c>
      <c r="I1903" s="6">
        <v>545</v>
      </c>
      <c r="J1903" s="6">
        <v>2767</v>
      </c>
      <c r="K1903" s="40">
        <v>132</v>
      </c>
      <c r="L1903" s="40">
        <v>30</v>
      </c>
      <c r="M1903" s="40">
        <v>1024</v>
      </c>
      <c r="N1903" s="40">
        <v>127</v>
      </c>
      <c r="O1903" s="40">
        <v>261</v>
      </c>
      <c r="P1903" s="40">
        <v>381</v>
      </c>
      <c r="Q1903" s="40">
        <v>0</v>
      </c>
      <c r="R1903" s="40">
        <v>194</v>
      </c>
      <c r="S1903" s="40">
        <v>62</v>
      </c>
    </row>
    <row r="1904" spans="1:19" x14ac:dyDescent="0.35">
      <c r="A1904" s="38">
        <v>2267</v>
      </c>
      <c r="B1904" s="38" t="str">
        <f>_xlfn.XLOOKUP(A1904,'Model Modeshare by TAZ'!A:A,'Model Modeshare by TAZ'!B:B)</f>
        <v>Oakland</v>
      </c>
      <c r="C1904" s="38" t="str">
        <f>_xlfn.XLOOKUP(A1904,'Model Modeshare by TAZ'!A:A,'Model Modeshare by TAZ'!D:D)</f>
        <v>NO</v>
      </c>
      <c r="D1904" s="6">
        <v>4</v>
      </c>
      <c r="E1904" s="6">
        <v>1608</v>
      </c>
      <c r="F1904" s="6">
        <v>4090</v>
      </c>
      <c r="G1904" s="6">
        <v>4090</v>
      </c>
      <c r="H1904" s="6">
        <v>2256</v>
      </c>
      <c r="I1904" s="6">
        <v>438</v>
      </c>
      <c r="J1904" s="6">
        <v>1170</v>
      </c>
      <c r="K1904" s="40">
        <v>99</v>
      </c>
      <c r="L1904" s="40">
        <v>1</v>
      </c>
      <c r="M1904" s="40">
        <v>105</v>
      </c>
      <c r="N1904" s="40">
        <v>22</v>
      </c>
      <c r="O1904" s="40">
        <v>31</v>
      </c>
      <c r="P1904" s="40">
        <v>49</v>
      </c>
      <c r="Q1904" s="40">
        <v>0</v>
      </c>
      <c r="R1904" s="40">
        <v>0</v>
      </c>
      <c r="S1904" s="40">
        <v>2</v>
      </c>
    </row>
    <row r="1905" spans="1:19" x14ac:dyDescent="0.35">
      <c r="A1905" s="38">
        <v>2268</v>
      </c>
      <c r="B1905" s="38" t="str">
        <f>_xlfn.XLOOKUP(A1905,'Model Modeshare by TAZ'!A:A,'Model Modeshare by TAZ'!B:B)</f>
        <v>Oakland</v>
      </c>
      <c r="C1905" s="38" t="str">
        <f>_xlfn.XLOOKUP(A1905,'Model Modeshare by TAZ'!A:A,'Model Modeshare by TAZ'!D:D)</f>
        <v>NO</v>
      </c>
      <c r="D1905" s="6">
        <v>4</v>
      </c>
      <c r="E1905" s="6">
        <v>1403</v>
      </c>
      <c r="F1905" s="6">
        <v>3131</v>
      </c>
      <c r="G1905" s="6">
        <v>3131</v>
      </c>
      <c r="H1905" s="6">
        <v>1832</v>
      </c>
      <c r="I1905" s="6">
        <v>460</v>
      </c>
      <c r="J1905" s="6">
        <v>943</v>
      </c>
      <c r="K1905" s="40">
        <v>98</v>
      </c>
      <c r="L1905" s="40">
        <v>5</v>
      </c>
      <c r="M1905" s="40">
        <v>152</v>
      </c>
      <c r="N1905" s="40">
        <v>4</v>
      </c>
      <c r="O1905" s="40">
        <v>94</v>
      </c>
      <c r="P1905" s="40">
        <v>48</v>
      </c>
      <c r="Q1905" s="40">
        <v>0</v>
      </c>
      <c r="R1905" s="40">
        <v>3</v>
      </c>
      <c r="S1905" s="40">
        <v>3</v>
      </c>
    </row>
    <row r="1906" spans="1:19" x14ac:dyDescent="0.35">
      <c r="A1906" s="38">
        <v>2269</v>
      </c>
      <c r="B1906" s="38" t="str">
        <f>_xlfn.XLOOKUP(A1906,'Model Modeshare by TAZ'!A:A,'Model Modeshare by TAZ'!B:B)</f>
        <v>Oakland</v>
      </c>
      <c r="C1906" s="38" t="str">
        <f>_xlfn.XLOOKUP(A1906,'Model Modeshare by TAZ'!A:A,'Model Modeshare by TAZ'!D:D)</f>
        <v>NO</v>
      </c>
      <c r="D1906" s="6">
        <v>4</v>
      </c>
      <c r="E1906" s="6">
        <v>1483</v>
      </c>
      <c r="F1906" s="6">
        <v>3259</v>
      </c>
      <c r="G1906" s="6">
        <v>3265</v>
      </c>
      <c r="H1906" s="6">
        <v>1929</v>
      </c>
      <c r="I1906" s="6">
        <v>862</v>
      </c>
      <c r="J1906" s="6">
        <v>621</v>
      </c>
      <c r="K1906" s="40">
        <v>177</v>
      </c>
      <c r="L1906" s="40">
        <v>7</v>
      </c>
      <c r="M1906" s="40">
        <v>766</v>
      </c>
      <c r="N1906" s="40">
        <v>454</v>
      </c>
      <c r="O1906" s="40">
        <v>90</v>
      </c>
      <c r="P1906" s="40">
        <v>161</v>
      </c>
      <c r="Q1906" s="40">
        <v>4</v>
      </c>
      <c r="R1906" s="40">
        <v>9</v>
      </c>
      <c r="S1906" s="40">
        <v>48</v>
      </c>
    </row>
    <row r="1907" spans="1:19" x14ac:dyDescent="0.35">
      <c r="A1907" s="38">
        <v>2270</v>
      </c>
      <c r="B1907" s="38" t="str">
        <f>_xlfn.XLOOKUP(A1907,'Model Modeshare by TAZ'!A:A,'Model Modeshare by TAZ'!B:B)</f>
        <v>Oakland</v>
      </c>
      <c r="C1907" s="38" t="str">
        <f>_xlfn.XLOOKUP(A1907,'Model Modeshare by TAZ'!A:A,'Model Modeshare by TAZ'!D:D)</f>
        <v>NO</v>
      </c>
      <c r="D1907" s="6">
        <v>4</v>
      </c>
      <c r="E1907" s="6">
        <v>1562</v>
      </c>
      <c r="F1907" s="6">
        <v>4259</v>
      </c>
      <c r="G1907" s="6">
        <v>4259</v>
      </c>
      <c r="H1907" s="6">
        <v>2295</v>
      </c>
      <c r="I1907" s="6">
        <v>1518</v>
      </c>
      <c r="J1907" s="6">
        <v>44</v>
      </c>
      <c r="K1907" s="40">
        <v>286</v>
      </c>
      <c r="L1907" s="40">
        <v>6</v>
      </c>
      <c r="M1907" s="40">
        <v>301</v>
      </c>
      <c r="N1907" s="40">
        <v>11</v>
      </c>
      <c r="O1907" s="40">
        <v>180</v>
      </c>
      <c r="P1907" s="40">
        <v>82</v>
      </c>
      <c r="Q1907" s="40">
        <v>3</v>
      </c>
      <c r="R1907" s="40">
        <v>3</v>
      </c>
      <c r="S1907" s="40">
        <v>23</v>
      </c>
    </row>
    <row r="1908" spans="1:19" x14ac:dyDescent="0.35">
      <c r="A1908" s="38">
        <v>2271</v>
      </c>
      <c r="B1908" s="38" t="str">
        <f>_xlfn.XLOOKUP(A1908,'Model Modeshare by TAZ'!A:A,'Model Modeshare by TAZ'!B:B)</f>
        <v>Oakland</v>
      </c>
      <c r="C1908" s="38" t="str">
        <f>_xlfn.XLOOKUP(A1908,'Model Modeshare by TAZ'!A:A,'Model Modeshare by TAZ'!D:D)</f>
        <v>NO</v>
      </c>
      <c r="D1908" s="6">
        <v>4</v>
      </c>
      <c r="E1908" s="6">
        <v>1845</v>
      </c>
      <c r="F1908" s="6">
        <v>3371</v>
      </c>
      <c r="G1908" s="6">
        <v>3389</v>
      </c>
      <c r="H1908" s="6">
        <v>2346</v>
      </c>
      <c r="I1908" s="6">
        <v>606</v>
      </c>
      <c r="J1908" s="6">
        <v>1239</v>
      </c>
      <c r="K1908" s="40">
        <v>118</v>
      </c>
      <c r="L1908" s="40">
        <v>48</v>
      </c>
      <c r="M1908" s="40">
        <v>2250</v>
      </c>
      <c r="N1908" s="40">
        <v>799</v>
      </c>
      <c r="O1908" s="40">
        <v>512</v>
      </c>
      <c r="P1908" s="40">
        <v>700</v>
      </c>
      <c r="Q1908" s="40">
        <v>37</v>
      </c>
      <c r="R1908" s="40">
        <v>28</v>
      </c>
      <c r="S1908" s="40">
        <v>174</v>
      </c>
    </row>
    <row r="1909" spans="1:19" x14ac:dyDescent="0.35">
      <c r="A1909" s="38">
        <v>2272</v>
      </c>
      <c r="B1909" s="38" t="str">
        <f>_xlfn.XLOOKUP(A1909,'Model Modeshare by TAZ'!A:A,'Model Modeshare by TAZ'!B:B)</f>
        <v>Oakland</v>
      </c>
      <c r="C1909" s="38" t="str">
        <f>_xlfn.XLOOKUP(A1909,'Model Modeshare by TAZ'!A:A,'Model Modeshare by TAZ'!D:D)</f>
        <v>NO</v>
      </c>
      <c r="D1909" s="6">
        <v>4</v>
      </c>
      <c r="E1909" s="6">
        <v>2253</v>
      </c>
      <c r="F1909" s="6">
        <v>3914</v>
      </c>
      <c r="G1909" s="6">
        <v>3956</v>
      </c>
      <c r="H1909" s="6">
        <v>2376</v>
      </c>
      <c r="I1909" s="6">
        <v>381</v>
      </c>
      <c r="J1909" s="6">
        <v>1872</v>
      </c>
      <c r="K1909" s="40">
        <v>97</v>
      </c>
      <c r="L1909" s="40">
        <v>20</v>
      </c>
      <c r="M1909" s="40">
        <v>364</v>
      </c>
      <c r="N1909" s="40">
        <v>112</v>
      </c>
      <c r="O1909" s="40">
        <v>176</v>
      </c>
      <c r="P1909" s="40">
        <v>54</v>
      </c>
      <c r="Q1909" s="40">
        <v>3</v>
      </c>
      <c r="R1909" s="40">
        <v>2</v>
      </c>
      <c r="S1909" s="40">
        <v>16</v>
      </c>
    </row>
    <row r="1910" spans="1:19" x14ac:dyDescent="0.35">
      <c r="A1910" s="38">
        <v>2273</v>
      </c>
      <c r="B1910" s="38" t="str">
        <f>_xlfn.XLOOKUP(A1910,'Model Modeshare by TAZ'!A:A,'Model Modeshare by TAZ'!B:B)</f>
        <v>Oakland</v>
      </c>
      <c r="C1910" s="38" t="str">
        <f>_xlfn.XLOOKUP(A1910,'Model Modeshare by TAZ'!A:A,'Model Modeshare by TAZ'!D:D)</f>
        <v>NO</v>
      </c>
      <c r="D1910" s="6">
        <v>4</v>
      </c>
      <c r="E1910" s="6">
        <v>2786</v>
      </c>
      <c r="F1910" s="6">
        <v>5046</v>
      </c>
      <c r="G1910" s="6">
        <v>5200</v>
      </c>
      <c r="H1910" s="6">
        <v>3448</v>
      </c>
      <c r="I1910" s="6">
        <v>286</v>
      </c>
      <c r="J1910" s="6">
        <v>2500</v>
      </c>
      <c r="K1910" s="40">
        <v>93</v>
      </c>
      <c r="L1910" s="40">
        <v>2</v>
      </c>
      <c r="M1910" s="40">
        <v>163</v>
      </c>
      <c r="N1910" s="40">
        <v>2</v>
      </c>
      <c r="O1910" s="40">
        <v>135</v>
      </c>
      <c r="P1910" s="40">
        <v>26</v>
      </c>
      <c r="Q1910" s="40">
        <v>0</v>
      </c>
      <c r="R1910" s="40">
        <v>0</v>
      </c>
      <c r="S1910" s="40">
        <v>0</v>
      </c>
    </row>
    <row r="1911" spans="1:19" x14ac:dyDescent="0.35">
      <c r="A1911" s="38">
        <v>2274</v>
      </c>
      <c r="B1911" s="38" t="str">
        <f>_xlfn.XLOOKUP(A1911,'Model Modeshare by TAZ'!A:A,'Model Modeshare by TAZ'!B:B)</f>
        <v>Oakland</v>
      </c>
      <c r="C1911" s="38" t="str">
        <f>_xlfn.XLOOKUP(A1911,'Model Modeshare by TAZ'!A:A,'Model Modeshare by TAZ'!D:D)</f>
        <v>NO</v>
      </c>
      <c r="D1911" s="6">
        <v>4</v>
      </c>
      <c r="E1911" s="6">
        <v>2791</v>
      </c>
      <c r="F1911" s="6">
        <v>4677</v>
      </c>
      <c r="G1911" s="6">
        <v>4741</v>
      </c>
      <c r="H1911" s="6">
        <v>3219</v>
      </c>
      <c r="I1911" s="6">
        <v>67</v>
      </c>
      <c r="J1911" s="6">
        <v>2724</v>
      </c>
      <c r="K1911" s="40">
        <v>35</v>
      </c>
      <c r="L1911" s="40">
        <v>38</v>
      </c>
      <c r="M1911" s="40">
        <v>1081</v>
      </c>
      <c r="N1911" s="40">
        <v>130</v>
      </c>
      <c r="O1911" s="40">
        <v>729</v>
      </c>
      <c r="P1911" s="40">
        <v>191</v>
      </c>
      <c r="Q1911" s="40">
        <v>2</v>
      </c>
      <c r="R1911" s="40">
        <v>4</v>
      </c>
      <c r="S1911" s="40">
        <v>25</v>
      </c>
    </row>
    <row r="1912" spans="1:19" x14ac:dyDescent="0.35">
      <c r="A1912" s="38">
        <v>2275</v>
      </c>
      <c r="B1912" s="38" t="str">
        <f>_xlfn.XLOOKUP(A1912,'Model Modeshare by TAZ'!A:A,'Model Modeshare by TAZ'!B:B)</f>
        <v>Oakland</v>
      </c>
      <c r="C1912" s="38" t="str">
        <f>_xlfn.XLOOKUP(A1912,'Model Modeshare by TAZ'!A:A,'Model Modeshare by TAZ'!D:D)</f>
        <v>NO</v>
      </c>
      <c r="D1912" s="6">
        <v>4</v>
      </c>
      <c r="E1912" s="6">
        <v>2490</v>
      </c>
      <c r="F1912" s="6">
        <v>5271</v>
      </c>
      <c r="G1912" s="6">
        <v>5289</v>
      </c>
      <c r="H1912" s="6">
        <v>3383</v>
      </c>
      <c r="I1912" s="6">
        <v>684</v>
      </c>
      <c r="J1912" s="6">
        <v>1806</v>
      </c>
      <c r="K1912" s="40">
        <v>205</v>
      </c>
      <c r="L1912" s="40">
        <v>6</v>
      </c>
      <c r="M1912" s="40">
        <v>496</v>
      </c>
      <c r="N1912" s="40">
        <v>74</v>
      </c>
      <c r="O1912" s="40">
        <v>312</v>
      </c>
      <c r="P1912" s="40">
        <v>54</v>
      </c>
      <c r="Q1912" s="40">
        <v>1</v>
      </c>
      <c r="R1912" s="40">
        <v>48</v>
      </c>
      <c r="S1912" s="40">
        <v>8</v>
      </c>
    </row>
    <row r="1913" spans="1:19" x14ac:dyDescent="0.35">
      <c r="A1913" s="38">
        <v>2276</v>
      </c>
      <c r="B1913" s="38" t="str">
        <f>_xlfn.XLOOKUP(A1913,'Model Modeshare by TAZ'!A:A,'Model Modeshare by TAZ'!B:B)</f>
        <v>Oakland</v>
      </c>
      <c r="C1913" s="38" t="str">
        <f>_xlfn.XLOOKUP(A1913,'Model Modeshare by TAZ'!A:A,'Model Modeshare by TAZ'!D:D)</f>
        <v>NO</v>
      </c>
      <c r="D1913" s="6">
        <v>4</v>
      </c>
      <c r="E1913" s="6">
        <v>2446</v>
      </c>
      <c r="F1913" s="6">
        <v>4374</v>
      </c>
      <c r="G1913" s="6">
        <v>4374</v>
      </c>
      <c r="H1913" s="6">
        <v>2574</v>
      </c>
      <c r="I1913" s="6">
        <v>224</v>
      </c>
      <c r="J1913" s="6">
        <v>2222</v>
      </c>
      <c r="K1913" s="40">
        <v>58</v>
      </c>
      <c r="L1913" s="40">
        <v>5</v>
      </c>
      <c r="M1913" s="40">
        <v>481</v>
      </c>
      <c r="N1913" s="40">
        <v>236</v>
      </c>
      <c r="O1913" s="40">
        <v>158</v>
      </c>
      <c r="P1913" s="40">
        <v>76</v>
      </c>
      <c r="Q1913" s="40">
        <v>0</v>
      </c>
      <c r="R1913" s="40">
        <v>11</v>
      </c>
      <c r="S1913" s="40">
        <v>0</v>
      </c>
    </row>
    <row r="1914" spans="1:19" x14ac:dyDescent="0.35">
      <c r="A1914" s="38">
        <v>2277</v>
      </c>
      <c r="B1914" s="38" t="str">
        <f>_xlfn.XLOOKUP(A1914,'Model Modeshare by TAZ'!A:A,'Model Modeshare by TAZ'!B:B)</f>
        <v>Oakland</v>
      </c>
      <c r="C1914" s="38" t="str">
        <f>_xlfn.XLOOKUP(A1914,'Model Modeshare by TAZ'!A:A,'Model Modeshare by TAZ'!D:D)</f>
        <v>NO</v>
      </c>
      <c r="D1914" s="6">
        <v>4</v>
      </c>
      <c r="E1914" s="6">
        <v>3506</v>
      </c>
      <c r="F1914" s="6">
        <v>5624</v>
      </c>
      <c r="G1914" s="6">
        <v>5730</v>
      </c>
      <c r="H1914" s="6">
        <v>3546</v>
      </c>
      <c r="I1914" s="6">
        <v>27</v>
      </c>
      <c r="J1914" s="6">
        <v>3479</v>
      </c>
      <c r="K1914" s="40">
        <v>45</v>
      </c>
      <c r="L1914" s="40">
        <v>55</v>
      </c>
      <c r="M1914" s="40">
        <v>8818</v>
      </c>
      <c r="N1914" s="40">
        <v>164</v>
      </c>
      <c r="O1914" s="40">
        <v>2795</v>
      </c>
      <c r="P1914" s="40">
        <v>4736</v>
      </c>
      <c r="Q1914" s="40">
        <v>37</v>
      </c>
      <c r="R1914" s="40">
        <v>792</v>
      </c>
      <c r="S1914" s="40">
        <v>294</v>
      </c>
    </row>
    <row r="1915" spans="1:19" x14ac:dyDescent="0.35">
      <c r="A1915" s="38">
        <v>2278</v>
      </c>
      <c r="B1915" s="38" t="str">
        <f>_xlfn.XLOOKUP(A1915,'Model Modeshare by TAZ'!A:A,'Model Modeshare by TAZ'!B:B)</f>
        <v>Oakland</v>
      </c>
      <c r="C1915" s="38" t="str">
        <f>_xlfn.XLOOKUP(A1915,'Model Modeshare by TAZ'!A:A,'Model Modeshare by TAZ'!D:D)</f>
        <v>NO</v>
      </c>
      <c r="D1915" s="6">
        <v>4</v>
      </c>
      <c r="E1915" s="6">
        <v>2158</v>
      </c>
      <c r="F1915" s="6">
        <v>4159</v>
      </c>
      <c r="G1915" s="6">
        <v>4159</v>
      </c>
      <c r="H1915" s="6">
        <v>2194</v>
      </c>
      <c r="I1915" s="6">
        <v>356</v>
      </c>
      <c r="J1915" s="6">
        <v>1802</v>
      </c>
      <c r="K1915" s="40">
        <v>57</v>
      </c>
      <c r="L1915" s="40">
        <v>133</v>
      </c>
      <c r="M1915" s="40">
        <v>3430</v>
      </c>
      <c r="N1915" s="40">
        <v>369</v>
      </c>
      <c r="O1915" s="40">
        <v>874</v>
      </c>
      <c r="P1915" s="40">
        <v>1591</v>
      </c>
      <c r="Q1915" s="40">
        <v>0</v>
      </c>
      <c r="R1915" s="40">
        <v>233</v>
      </c>
      <c r="S1915" s="40">
        <v>362</v>
      </c>
    </row>
    <row r="1916" spans="1:19" x14ac:dyDescent="0.35">
      <c r="A1916" s="38">
        <v>2279</v>
      </c>
      <c r="B1916" s="38" t="str">
        <f>_xlfn.XLOOKUP(A1916,'Model Modeshare by TAZ'!A:A,'Model Modeshare by TAZ'!B:B)</f>
        <v>Oakland</v>
      </c>
      <c r="C1916" s="38" t="str">
        <f>_xlfn.XLOOKUP(A1916,'Model Modeshare by TAZ'!A:A,'Model Modeshare by TAZ'!D:D)</f>
        <v>NO</v>
      </c>
      <c r="D1916" s="6">
        <v>4</v>
      </c>
      <c r="E1916" s="6">
        <v>1419</v>
      </c>
      <c r="F1916" s="6">
        <v>3378</v>
      </c>
      <c r="G1916" s="6">
        <v>3378</v>
      </c>
      <c r="H1916" s="6">
        <v>1580</v>
      </c>
      <c r="I1916" s="6">
        <v>322</v>
      </c>
      <c r="J1916" s="6">
        <v>1097</v>
      </c>
      <c r="K1916" s="40">
        <v>19</v>
      </c>
      <c r="L1916" s="40">
        <v>391</v>
      </c>
      <c r="M1916" s="40">
        <v>3898</v>
      </c>
      <c r="N1916" s="40">
        <v>401</v>
      </c>
      <c r="O1916" s="40">
        <v>1485</v>
      </c>
      <c r="P1916" s="40">
        <v>627</v>
      </c>
      <c r="Q1916" s="40">
        <v>21</v>
      </c>
      <c r="R1916" s="40">
        <v>1037</v>
      </c>
      <c r="S1916" s="40">
        <v>327</v>
      </c>
    </row>
    <row r="1917" spans="1:19" x14ac:dyDescent="0.35">
      <c r="A1917" s="38">
        <v>2280</v>
      </c>
      <c r="B1917" s="38" t="str">
        <f>_xlfn.XLOOKUP(A1917,'Model Modeshare by TAZ'!A:A,'Model Modeshare by TAZ'!B:B)</f>
        <v>Alameda</v>
      </c>
      <c r="C1917" s="38" t="str">
        <f>_xlfn.XLOOKUP(A1917,'Model Modeshare by TAZ'!A:A,'Model Modeshare by TAZ'!D:D)</f>
        <v>NO</v>
      </c>
      <c r="D1917" s="6">
        <v>4</v>
      </c>
      <c r="E1917" s="6">
        <v>1706</v>
      </c>
      <c r="F1917" s="6">
        <v>4216</v>
      </c>
      <c r="G1917" s="6">
        <v>4324</v>
      </c>
      <c r="H1917" s="6">
        <v>2315</v>
      </c>
      <c r="I1917" s="6">
        <v>784</v>
      </c>
      <c r="J1917" s="6">
        <v>922</v>
      </c>
      <c r="K1917" s="40">
        <v>200</v>
      </c>
      <c r="L1917" s="40">
        <v>182</v>
      </c>
      <c r="M1917" s="40">
        <v>2275</v>
      </c>
      <c r="N1917" s="40">
        <v>322</v>
      </c>
      <c r="O1917" s="40">
        <v>180</v>
      </c>
      <c r="P1917" s="40">
        <v>736</v>
      </c>
      <c r="Q1917" s="40">
        <v>11</v>
      </c>
      <c r="R1917" s="40">
        <v>977</v>
      </c>
      <c r="S1917" s="40">
        <v>49</v>
      </c>
    </row>
    <row r="1918" spans="1:19" x14ac:dyDescent="0.35">
      <c r="A1918" s="38">
        <v>2281</v>
      </c>
      <c r="B1918" s="38" t="str">
        <f>_xlfn.XLOOKUP(A1918,'Model Modeshare by TAZ'!A:A,'Model Modeshare by TAZ'!B:B)</f>
        <v>Alameda</v>
      </c>
      <c r="C1918" s="38" t="str">
        <f>_xlfn.XLOOKUP(A1918,'Model Modeshare by TAZ'!A:A,'Model Modeshare by TAZ'!D:D)</f>
        <v>NO</v>
      </c>
      <c r="D1918" s="6">
        <v>4</v>
      </c>
      <c r="E1918" s="6">
        <v>1401</v>
      </c>
      <c r="F1918" s="6">
        <v>3415</v>
      </c>
      <c r="G1918" s="6">
        <v>3559</v>
      </c>
      <c r="H1918" s="6">
        <v>1747</v>
      </c>
      <c r="I1918" s="6">
        <v>1200</v>
      </c>
      <c r="J1918" s="6">
        <v>201</v>
      </c>
      <c r="K1918" s="40">
        <v>232</v>
      </c>
      <c r="L1918" s="40">
        <v>46</v>
      </c>
      <c r="M1918" s="40">
        <v>1036</v>
      </c>
      <c r="N1918" s="40">
        <v>424</v>
      </c>
      <c r="O1918" s="40">
        <v>437</v>
      </c>
      <c r="P1918" s="40">
        <v>111</v>
      </c>
      <c r="Q1918" s="40">
        <v>1</v>
      </c>
      <c r="R1918" s="40">
        <v>53</v>
      </c>
      <c r="S1918" s="40">
        <v>9</v>
      </c>
    </row>
    <row r="1919" spans="1:19" x14ac:dyDescent="0.35">
      <c r="A1919" s="38">
        <v>2282</v>
      </c>
      <c r="B1919" s="38" t="str">
        <f>_xlfn.XLOOKUP(A1919,'Model Modeshare by TAZ'!A:A,'Model Modeshare by TAZ'!B:B)</f>
        <v>Alameda</v>
      </c>
      <c r="C1919" s="38" t="str">
        <f>_xlfn.XLOOKUP(A1919,'Model Modeshare by TAZ'!A:A,'Model Modeshare by TAZ'!D:D)</f>
        <v>NO</v>
      </c>
      <c r="D1919" s="6">
        <v>4</v>
      </c>
      <c r="E1919" s="6">
        <v>1943</v>
      </c>
      <c r="F1919" s="6">
        <v>4824</v>
      </c>
      <c r="G1919" s="6">
        <v>4837</v>
      </c>
      <c r="H1919" s="6">
        <v>2638</v>
      </c>
      <c r="I1919" s="6">
        <v>1095</v>
      </c>
      <c r="J1919" s="6">
        <v>848</v>
      </c>
      <c r="K1919" s="40">
        <v>207</v>
      </c>
      <c r="L1919" s="40">
        <v>29</v>
      </c>
      <c r="M1919" s="40">
        <v>1126</v>
      </c>
      <c r="N1919" s="40">
        <v>334</v>
      </c>
      <c r="O1919" s="40">
        <v>493</v>
      </c>
      <c r="P1919" s="40">
        <v>290</v>
      </c>
      <c r="Q1919" s="40">
        <v>7</v>
      </c>
      <c r="R1919" s="40">
        <v>2</v>
      </c>
      <c r="S1919" s="40">
        <v>0</v>
      </c>
    </row>
    <row r="1920" spans="1:19" x14ac:dyDescent="0.35">
      <c r="A1920" s="38">
        <v>2283</v>
      </c>
      <c r="B1920" s="38" t="str">
        <f>_xlfn.XLOOKUP(A1920,'Model Modeshare by TAZ'!A:A,'Model Modeshare by TAZ'!B:B)</f>
        <v>Alameda</v>
      </c>
      <c r="C1920" s="38" t="str">
        <f>_xlfn.XLOOKUP(A1920,'Model Modeshare by TAZ'!A:A,'Model Modeshare by TAZ'!D:D)</f>
        <v>NO</v>
      </c>
      <c r="D1920" s="6">
        <v>4</v>
      </c>
      <c r="E1920" s="6">
        <v>2708</v>
      </c>
      <c r="F1920" s="6">
        <v>6339</v>
      </c>
      <c r="G1920" s="6">
        <v>6339</v>
      </c>
      <c r="H1920" s="6">
        <v>3278</v>
      </c>
      <c r="I1920" s="6">
        <v>1804</v>
      </c>
      <c r="J1920" s="6">
        <v>904</v>
      </c>
      <c r="K1920" s="40">
        <v>222</v>
      </c>
      <c r="L1920" s="40">
        <v>21</v>
      </c>
      <c r="M1920" s="40">
        <v>353</v>
      </c>
      <c r="N1920" s="40">
        <v>124</v>
      </c>
      <c r="O1920" s="40">
        <v>153</v>
      </c>
      <c r="P1920" s="40">
        <v>67</v>
      </c>
      <c r="Q1920" s="40">
        <v>0</v>
      </c>
      <c r="R1920" s="40">
        <v>10</v>
      </c>
      <c r="S1920" s="40">
        <v>0</v>
      </c>
    </row>
    <row r="1921" spans="1:19" x14ac:dyDescent="0.35">
      <c r="A1921" s="38">
        <v>2284</v>
      </c>
      <c r="B1921" s="38" t="str">
        <f>_xlfn.XLOOKUP(A1921,'Model Modeshare by TAZ'!A:A,'Model Modeshare by TAZ'!B:B)</f>
        <v>Alameda</v>
      </c>
      <c r="C1921" s="38" t="str">
        <f>_xlfn.XLOOKUP(A1921,'Model Modeshare by TAZ'!A:A,'Model Modeshare by TAZ'!D:D)</f>
        <v>NO</v>
      </c>
      <c r="D1921" s="6">
        <v>4</v>
      </c>
      <c r="E1921" s="6">
        <v>2509</v>
      </c>
      <c r="F1921" s="6">
        <v>6977</v>
      </c>
      <c r="G1921" s="6">
        <v>6977</v>
      </c>
      <c r="H1921" s="6">
        <v>3486</v>
      </c>
      <c r="I1921" s="6">
        <v>2409</v>
      </c>
      <c r="J1921" s="6">
        <v>100</v>
      </c>
      <c r="K1921" s="40">
        <v>237</v>
      </c>
      <c r="L1921" s="40">
        <v>197</v>
      </c>
      <c r="M1921" s="40">
        <v>4578</v>
      </c>
      <c r="N1921" s="40">
        <v>723</v>
      </c>
      <c r="O1921" s="40">
        <v>1426</v>
      </c>
      <c r="P1921" s="40">
        <v>783</v>
      </c>
      <c r="Q1921" s="40">
        <v>2</v>
      </c>
      <c r="R1921" s="40">
        <v>1180</v>
      </c>
      <c r="S1921" s="40">
        <v>465</v>
      </c>
    </row>
    <row r="1922" spans="1:19" x14ac:dyDescent="0.35">
      <c r="A1922" s="38">
        <v>2285</v>
      </c>
      <c r="B1922" s="38" t="str">
        <f>_xlfn.XLOOKUP(A1922,'Model Modeshare by TAZ'!A:A,'Model Modeshare by TAZ'!B:B)</f>
        <v>Alameda</v>
      </c>
      <c r="C1922" s="38" t="str">
        <f>_xlfn.XLOOKUP(A1922,'Model Modeshare by TAZ'!A:A,'Model Modeshare by TAZ'!D:D)</f>
        <v>NO</v>
      </c>
      <c r="D1922" s="6">
        <v>4</v>
      </c>
      <c r="E1922" s="6">
        <v>2662</v>
      </c>
      <c r="F1922" s="6">
        <v>7178</v>
      </c>
      <c r="G1922" s="6">
        <v>7204</v>
      </c>
      <c r="H1922" s="6">
        <v>3507</v>
      </c>
      <c r="I1922" s="6">
        <v>2558</v>
      </c>
      <c r="J1922" s="6">
        <v>104</v>
      </c>
      <c r="K1922" s="40">
        <v>506</v>
      </c>
      <c r="L1922" s="40">
        <v>18</v>
      </c>
      <c r="M1922" s="40">
        <v>1119</v>
      </c>
      <c r="N1922" s="40">
        <v>175</v>
      </c>
      <c r="O1922" s="40">
        <v>348</v>
      </c>
      <c r="P1922" s="40">
        <v>195</v>
      </c>
      <c r="Q1922" s="40">
        <v>0</v>
      </c>
      <c r="R1922" s="40">
        <v>288</v>
      </c>
      <c r="S1922" s="40">
        <v>113</v>
      </c>
    </row>
    <row r="1923" spans="1:19" x14ac:dyDescent="0.35">
      <c r="A1923" s="38">
        <v>2286</v>
      </c>
      <c r="B1923" s="38" t="str">
        <f>_xlfn.XLOOKUP(A1923,'Model Modeshare by TAZ'!A:A,'Model Modeshare by TAZ'!B:B)</f>
        <v>Alameda</v>
      </c>
      <c r="C1923" s="38" t="str">
        <f>_xlfn.XLOOKUP(A1923,'Model Modeshare by TAZ'!A:A,'Model Modeshare by TAZ'!D:D)</f>
        <v>NO</v>
      </c>
      <c r="D1923" s="6">
        <v>4</v>
      </c>
      <c r="E1923" s="6">
        <v>1852</v>
      </c>
      <c r="F1923" s="6">
        <v>4091</v>
      </c>
      <c r="G1923" s="6">
        <v>4408</v>
      </c>
      <c r="H1923" s="6">
        <v>2383</v>
      </c>
      <c r="I1923" s="6">
        <v>442</v>
      </c>
      <c r="J1923" s="6">
        <v>1410</v>
      </c>
      <c r="K1923" s="40">
        <v>99</v>
      </c>
      <c r="L1923" s="40">
        <v>82</v>
      </c>
      <c r="M1923" s="40">
        <v>2272</v>
      </c>
      <c r="N1923" s="40">
        <v>453</v>
      </c>
      <c r="O1923" s="40">
        <v>1671</v>
      </c>
      <c r="P1923" s="40">
        <v>148</v>
      </c>
      <c r="Q1923" s="40">
        <v>0</v>
      </c>
      <c r="R1923" s="40">
        <v>0</v>
      </c>
      <c r="S1923" s="40">
        <v>0</v>
      </c>
    </row>
    <row r="1924" spans="1:19" x14ac:dyDescent="0.35">
      <c r="A1924" s="38">
        <v>2287</v>
      </c>
      <c r="B1924" s="38" t="str">
        <f>_xlfn.XLOOKUP(A1924,'Model Modeshare by TAZ'!A:A,'Model Modeshare by TAZ'!B:B)</f>
        <v>Alameda</v>
      </c>
      <c r="C1924" s="38" t="str">
        <f>_xlfn.XLOOKUP(A1924,'Model Modeshare by TAZ'!A:A,'Model Modeshare by TAZ'!D:D)</f>
        <v>NO</v>
      </c>
      <c r="D1924" s="6">
        <v>4</v>
      </c>
      <c r="E1924" s="6">
        <v>1390</v>
      </c>
      <c r="F1924" s="6">
        <v>3022</v>
      </c>
      <c r="G1924" s="6">
        <v>3022</v>
      </c>
      <c r="H1924" s="6">
        <v>1636</v>
      </c>
      <c r="I1924" s="6">
        <v>242</v>
      </c>
      <c r="J1924" s="6">
        <v>1148</v>
      </c>
      <c r="K1924" s="40">
        <v>99</v>
      </c>
      <c r="L1924" s="40">
        <v>35</v>
      </c>
      <c r="M1924" s="40">
        <v>2313</v>
      </c>
      <c r="N1924" s="40">
        <v>569</v>
      </c>
      <c r="O1924" s="40">
        <v>980</v>
      </c>
      <c r="P1924" s="40">
        <v>735</v>
      </c>
      <c r="Q1924" s="40">
        <v>2</v>
      </c>
      <c r="R1924" s="40">
        <v>24</v>
      </c>
      <c r="S1924" s="40">
        <v>3</v>
      </c>
    </row>
    <row r="1925" spans="1:19" x14ac:dyDescent="0.35">
      <c r="A1925" s="38">
        <v>2288</v>
      </c>
      <c r="B1925" s="38" t="str">
        <f>_xlfn.XLOOKUP(A1925,'Model Modeshare by TAZ'!A:A,'Model Modeshare by TAZ'!B:B)</f>
        <v>Alameda</v>
      </c>
      <c r="C1925" s="38" t="str">
        <f>_xlfn.XLOOKUP(A1925,'Model Modeshare by TAZ'!A:A,'Model Modeshare by TAZ'!D:D)</f>
        <v>NO</v>
      </c>
      <c r="D1925" s="6">
        <v>4</v>
      </c>
      <c r="E1925" s="6">
        <v>2220</v>
      </c>
      <c r="F1925" s="6">
        <v>5201</v>
      </c>
      <c r="G1925" s="6">
        <v>5201</v>
      </c>
      <c r="H1925" s="6">
        <v>2986</v>
      </c>
      <c r="I1925" s="6">
        <v>831</v>
      </c>
      <c r="J1925" s="6">
        <v>1389</v>
      </c>
      <c r="K1925" s="40">
        <v>208</v>
      </c>
      <c r="L1925" s="40">
        <v>5</v>
      </c>
      <c r="M1925" s="40">
        <v>1044</v>
      </c>
      <c r="N1925" s="40">
        <v>215</v>
      </c>
      <c r="O1925" s="40">
        <v>679</v>
      </c>
      <c r="P1925" s="40">
        <v>111</v>
      </c>
      <c r="Q1925" s="40">
        <v>0</v>
      </c>
      <c r="R1925" s="40">
        <v>24</v>
      </c>
      <c r="S1925" s="40">
        <v>15</v>
      </c>
    </row>
    <row r="1926" spans="1:19" x14ac:dyDescent="0.35">
      <c r="A1926" s="38">
        <v>2289</v>
      </c>
      <c r="B1926" s="38" t="str">
        <f>_xlfn.XLOOKUP(A1926,'Model Modeshare by TAZ'!A:A,'Model Modeshare by TAZ'!B:B)</f>
        <v>Alameda</v>
      </c>
      <c r="C1926" s="38" t="str">
        <f>_xlfn.XLOOKUP(A1926,'Model Modeshare by TAZ'!A:A,'Model Modeshare by TAZ'!D:D)</f>
        <v>NO</v>
      </c>
      <c r="D1926" s="6">
        <v>4</v>
      </c>
      <c r="E1926" s="6">
        <v>1481</v>
      </c>
      <c r="F1926" s="6">
        <v>3183</v>
      </c>
      <c r="G1926" s="6">
        <v>3263</v>
      </c>
      <c r="H1926" s="6">
        <v>1496</v>
      </c>
      <c r="I1926" s="6">
        <v>464</v>
      </c>
      <c r="J1926" s="6">
        <v>1017</v>
      </c>
      <c r="K1926" s="40">
        <v>117</v>
      </c>
      <c r="L1926" s="40">
        <v>16</v>
      </c>
      <c r="M1926" s="40">
        <v>777</v>
      </c>
      <c r="N1926" s="40">
        <v>3</v>
      </c>
      <c r="O1926" s="40">
        <v>738</v>
      </c>
      <c r="P1926" s="40">
        <v>24</v>
      </c>
      <c r="Q1926" s="40">
        <v>5</v>
      </c>
      <c r="R1926" s="40">
        <v>0</v>
      </c>
      <c r="S1926" s="40">
        <v>6</v>
      </c>
    </row>
    <row r="1927" spans="1:19" x14ac:dyDescent="0.35">
      <c r="A1927" s="38">
        <v>2290</v>
      </c>
      <c r="B1927" s="38" t="str">
        <f>_xlfn.XLOOKUP(A1927,'Model Modeshare by TAZ'!A:A,'Model Modeshare by TAZ'!B:B)</f>
        <v>Alameda</v>
      </c>
      <c r="C1927" s="38" t="str">
        <f>_xlfn.XLOOKUP(A1927,'Model Modeshare by TAZ'!A:A,'Model Modeshare by TAZ'!D:D)</f>
        <v>NO</v>
      </c>
      <c r="D1927" s="6">
        <v>4</v>
      </c>
      <c r="E1927" s="6">
        <v>1499</v>
      </c>
      <c r="F1927" s="6">
        <v>2984</v>
      </c>
      <c r="G1927" s="6">
        <v>3112</v>
      </c>
      <c r="H1927" s="6">
        <v>1611</v>
      </c>
      <c r="I1927" s="6">
        <v>588</v>
      </c>
      <c r="J1927" s="6">
        <v>911</v>
      </c>
      <c r="K1927" s="40">
        <v>87</v>
      </c>
      <c r="L1927" s="40">
        <v>19</v>
      </c>
      <c r="M1927" s="40">
        <v>459</v>
      </c>
      <c r="N1927" s="40">
        <v>90</v>
      </c>
      <c r="O1927" s="40">
        <v>279</v>
      </c>
      <c r="P1927" s="40">
        <v>89</v>
      </c>
      <c r="Q1927" s="40">
        <v>0</v>
      </c>
      <c r="R1927" s="40">
        <v>1</v>
      </c>
      <c r="S1927" s="40">
        <v>0</v>
      </c>
    </row>
    <row r="1928" spans="1:19" x14ac:dyDescent="0.35">
      <c r="A1928" s="38">
        <v>2291</v>
      </c>
      <c r="B1928" s="38" t="str">
        <f>_xlfn.XLOOKUP(A1928,'Model Modeshare by TAZ'!A:A,'Model Modeshare by TAZ'!B:B)</f>
        <v>Alameda</v>
      </c>
      <c r="C1928" s="38" t="str">
        <f>_xlfn.XLOOKUP(A1928,'Model Modeshare by TAZ'!A:A,'Model Modeshare by TAZ'!D:D)</f>
        <v>NO</v>
      </c>
      <c r="D1928" s="6">
        <v>4</v>
      </c>
      <c r="E1928" s="6">
        <v>2012</v>
      </c>
      <c r="F1928" s="6">
        <v>4818</v>
      </c>
      <c r="G1928" s="6">
        <v>4818</v>
      </c>
      <c r="H1928" s="6">
        <v>2570</v>
      </c>
      <c r="I1928" s="6">
        <v>1012</v>
      </c>
      <c r="J1928" s="6">
        <v>1000</v>
      </c>
      <c r="K1928" s="40">
        <v>161</v>
      </c>
      <c r="L1928" s="40">
        <v>25</v>
      </c>
      <c r="M1928" s="40">
        <v>645</v>
      </c>
      <c r="N1928" s="40">
        <v>197</v>
      </c>
      <c r="O1928" s="40">
        <v>344</v>
      </c>
      <c r="P1928" s="40">
        <v>99</v>
      </c>
      <c r="Q1928" s="40">
        <v>2</v>
      </c>
      <c r="R1928" s="40">
        <v>0</v>
      </c>
      <c r="S1928" s="40">
        <v>2</v>
      </c>
    </row>
    <row r="1929" spans="1:19" x14ac:dyDescent="0.35">
      <c r="A1929" s="38">
        <v>2292</v>
      </c>
      <c r="B1929" s="38" t="str">
        <f>_xlfn.XLOOKUP(A1929,'Model Modeshare by TAZ'!A:A,'Model Modeshare by TAZ'!B:B)</f>
        <v>Alameda</v>
      </c>
      <c r="C1929" s="38" t="str">
        <f>_xlfn.XLOOKUP(A1929,'Model Modeshare by TAZ'!A:A,'Model Modeshare by TAZ'!D:D)</f>
        <v>NO</v>
      </c>
      <c r="D1929" s="6">
        <v>4</v>
      </c>
      <c r="E1929" s="6">
        <v>1880</v>
      </c>
      <c r="F1929" s="6">
        <v>5271</v>
      </c>
      <c r="G1929" s="6">
        <v>5271</v>
      </c>
      <c r="H1929" s="6">
        <v>2662</v>
      </c>
      <c r="I1929" s="6">
        <v>927</v>
      </c>
      <c r="J1929" s="6">
        <v>953</v>
      </c>
      <c r="K1929" s="40">
        <v>181</v>
      </c>
      <c r="L1929" s="40">
        <v>293</v>
      </c>
      <c r="M1929" s="40">
        <v>2498</v>
      </c>
      <c r="N1929" s="40">
        <v>128</v>
      </c>
      <c r="O1929" s="40">
        <v>789</v>
      </c>
      <c r="P1929" s="40">
        <v>1291</v>
      </c>
      <c r="Q1929" s="40">
        <v>0</v>
      </c>
      <c r="R1929" s="40">
        <v>289</v>
      </c>
      <c r="S1929" s="40">
        <v>0</v>
      </c>
    </row>
    <row r="1930" spans="1:19" x14ac:dyDescent="0.35">
      <c r="A1930" s="38">
        <v>2293</v>
      </c>
      <c r="B1930" s="38" t="str">
        <f>_xlfn.XLOOKUP(A1930,'Model Modeshare by TAZ'!A:A,'Model Modeshare by TAZ'!B:B)</f>
        <v>Alameda</v>
      </c>
      <c r="C1930" s="38" t="str">
        <f>_xlfn.XLOOKUP(A1930,'Model Modeshare by TAZ'!A:A,'Model Modeshare by TAZ'!D:D)</f>
        <v>NO</v>
      </c>
      <c r="D1930" s="6">
        <v>4</v>
      </c>
      <c r="E1930" s="6">
        <v>952</v>
      </c>
      <c r="F1930" s="6">
        <v>2840</v>
      </c>
      <c r="G1930" s="6">
        <v>2840</v>
      </c>
      <c r="H1930" s="6">
        <v>1303</v>
      </c>
      <c r="I1930" s="6">
        <v>470</v>
      </c>
      <c r="J1930" s="6">
        <v>482</v>
      </c>
      <c r="K1930" s="40">
        <v>8</v>
      </c>
      <c r="L1930" s="40">
        <v>474</v>
      </c>
      <c r="M1930" s="40">
        <v>1146</v>
      </c>
      <c r="N1930" s="40">
        <v>85</v>
      </c>
      <c r="O1930" s="40">
        <v>484</v>
      </c>
      <c r="P1930" s="40">
        <v>570</v>
      </c>
      <c r="Q1930" s="40">
        <v>0</v>
      </c>
      <c r="R1930" s="40">
        <v>6</v>
      </c>
      <c r="S1930" s="40">
        <v>1</v>
      </c>
    </row>
    <row r="1931" spans="1:19" x14ac:dyDescent="0.35">
      <c r="A1931" s="38">
        <v>2294</v>
      </c>
      <c r="B1931" s="38" t="str">
        <f>_xlfn.XLOOKUP(A1931,'Model Modeshare by TAZ'!A:A,'Model Modeshare by TAZ'!B:B)</f>
        <v>Alameda</v>
      </c>
      <c r="C1931" s="38" t="str">
        <f>_xlfn.XLOOKUP(A1931,'Model Modeshare by TAZ'!A:A,'Model Modeshare by TAZ'!D:D)</f>
        <v>NO</v>
      </c>
      <c r="D1931" s="6">
        <v>4</v>
      </c>
      <c r="E1931" s="6">
        <v>1846</v>
      </c>
      <c r="F1931" s="6">
        <v>5781</v>
      </c>
      <c r="G1931" s="6">
        <v>5781</v>
      </c>
      <c r="H1931" s="6">
        <v>2475</v>
      </c>
      <c r="I1931" s="6">
        <v>411</v>
      </c>
      <c r="J1931" s="6">
        <v>1435</v>
      </c>
      <c r="K1931" s="40">
        <v>92</v>
      </c>
      <c r="L1931" s="40">
        <v>54</v>
      </c>
      <c r="M1931" s="40">
        <v>479</v>
      </c>
      <c r="N1931" s="40">
        <v>238</v>
      </c>
      <c r="O1931" s="40">
        <v>115</v>
      </c>
      <c r="P1931" s="40">
        <v>117</v>
      </c>
      <c r="Q1931" s="40">
        <v>0</v>
      </c>
      <c r="R1931" s="40">
        <v>9</v>
      </c>
      <c r="S1931" s="40">
        <v>0</v>
      </c>
    </row>
    <row r="1932" spans="1:19" x14ac:dyDescent="0.35">
      <c r="A1932" s="38">
        <v>2295</v>
      </c>
      <c r="B1932" s="38" t="str">
        <f>_xlfn.XLOOKUP(A1932,'Model Modeshare by TAZ'!A:A,'Model Modeshare by TAZ'!B:B)</f>
        <v>Alameda</v>
      </c>
      <c r="C1932" s="38" t="str">
        <f>_xlfn.XLOOKUP(A1932,'Model Modeshare by TAZ'!A:A,'Model Modeshare by TAZ'!D:D)</f>
        <v>NO</v>
      </c>
      <c r="D1932" s="6">
        <v>4</v>
      </c>
      <c r="E1932" s="6">
        <v>2287</v>
      </c>
      <c r="F1932" s="6">
        <v>5108</v>
      </c>
      <c r="G1932" s="6">
        <v>5121</v>
      </c>
      <c r="H1932" s="6">
        <v>3215</v>
      </c>
      <c r="I1932" s="6">
        <v>978</v>
      </c>
      <c r="J1932" s="6">
        <v>1309</v>
      </c>
      <c r="K1932" s="40">
        <v>138</v>
      </c>
      <c r="L1932" s="40">
        <v>86</v>
      </c>
      <c r="M1932" s="40">
        <v>596</v>
      </c>
      <c r="N1932" s="40">
        <v>163</v>
      </c>
      <c r="O1932" s="40">
        <v>230</v>
      </c>
      <c r="P1932" s="40">
        <v>189</v>
      </c>
      <c r="Q1932" s="40">
        <v>4</v>
      </c>
      <c r="R1932" s="40">
        <v>3</v>
      </c>
      <c r="S1932" s="40">
        <v>8</v>
      </c>
    </row>
    <row r="1933" spans="1:19" x14ac:dyDescent="0.35">
      <c r="A1933" s="38">
        <v>2296</v>
      </c>
      <c r="B1933" s="38" t="str">
        <f>_xlfn.XLOOKUP(A1933,'Model Modeshare by TAZ'!A:A,'Model Modeshare by TAZ'!B:B)</f>
        <v>Alameda</v>
      </c>
      <c r="C1933" s="38" t="str">
        <f>_xlfn.XLOOKUP(A1933,'Model Modeshare by TAZ'!A:A,'Model Modeshare by TAZ'!D:D)</f>
        <v>NO</v>
      </c>
      <c r="D1933" s="6">
        <v>4</v>
      </c>
      <c r="E1933" s="6">
        <v>330</v>
      </c>
      <c r="F1933" s="6">
        <v>980</v>
      </c>
      <c r="G1933" s="6">
        <v>1331</v>
      </c>
      <c r="H1933" s="6">
        <v>874</v>
      </c>
      <c r="I1933" s="6">
        <v>145</v>
      </c>
      <c r="J1933" s="6">
        <v>185</v>
      </c>
      <c r="K1933" s="40">
        <v>45</v>
      </c>
      <c r="L1933" s="40">
        <v>1315</v>
      </c>
      <c r="M1933" s="40">
        <v>952</v>
      </c>
      <c r="N1933" s="40">
        <v>73</v>
      </c>
      <c r="O1933" s="40">
        <v>573</v>
      </c>
      <c r="P1933" s="40">
        <v>269</v>
      </c>
      <c r="Q1933" s="40">
        <v>0</v>
      </c>
      <c r="R1933" s="40">
        <v>32</v>
      </c>
      <c r="S1933" s="40">
        <v>5</v>
      </c>
    </row>
    <row r="1934" spans="1:19" x14ac:dyDescent="0.35">
      <c r="A1934" s="38">
        <v>2297</v>
      </c>
      <c r="B1934" s="38" t="str">
        <f>_xlfn.XLOOKUP(A1934,'Model Modeshare by TAZ'!A:A,'Model Modeshare by TAZ'!B:B)</f>
        <v>Oakland</v>
      </c>
      <c r="C1934" s="38" t="str">
        <f>_xlfn.XLOOKUP(A1934,'Model Modeshare by TAZ'!A:A,'Model Modeshare by TAZ'!D:D)</f>
        <v>NO</v>
      </c>
      <c r="D1934" s="6">
        <v>4</v>
      </c>
      <c r="E1934" s="6">
        <v>243</v>
      </c>
      <c r="F1934" s="6">
        <v>606</v>
      </c>
      <c r="G1934" s="6">
        <v>606</v>
      </c>
      <c r="H1934" s="6">
        <v>410</v>
      </c>
      <c r="I1934" s="6">
        <v>150</v>
      </c>
      <c r="J1934" s="6">
        <v>93</v>
      </c>
      <c r="K1934" s="40">
        <v>17</v>
      </c>
      <c r="L1934" s="40">
        <v>874</v>
      </c>
      <c r="M1934" s="40">
        <v>868</v>
      </c>
      <c r="N1934" s="40">
        <v>8</v>
      </c>
      <c r="O1934" s="40">
        <v>74</v>
      </c>
      <c r="P1934" s="40">
        <v>502</v>
      </c>
      <c r="Q1934" s="40">
        <v>0</v>
      </c>
      <c r="R1934" s="40">
        <v>33</v>
      </c>
      <c r="S1934" s="40">
        <v>251</v>
      </c>
    </row>
    <row r="1935" spans="1:19" x14ac:dyDescent="0.35">
      <c r="A1935" s="38">
        <v>2298</v>
      </c>
      <c r="B1935" s="38" t="str">
        <f>_xlfn.XLOOKUP(A1935,'Model Modeshare by TAZ'!A:A,'Model Modeshare by TAZ'!B:B)</f>
        <v>Oakland</v>
      </c>
      <c r="C1935" s="38" t="str">
        <f>_xlfn.XLOOKUP(A1935,'Model Modeshare by TAZ'!A:A,'Model Modeshare by TAZ'!D:D)</f>
        <v>NO</v>
      </c>
      <c r="D1935" s="6">
        <v>4</v>
      </c>
      <c r="E1935" s="6">
        <v>29</v>
      </c>
      <c r="F1935" s="6">
        <v>58</v>
      </c>
      <c r="G1935" s="6">
        <v>58</v>
      </c>
      <c r="H1935" s="6">
        <v>47</v>
      </c>
      <c r="I1935" s="6">
        <v>8</v>
      </c>
      <c r="J1935" s="6">
        <v>21</v>
      </c>
      <c r="K1935" s="40">
        <v>8</v>
      </c>
      <c r="L1935" s="40">
        <v>268</v>
      </c>
      <c r="M1935" s="40">
        <v>2067</v>
      </c>
      <c r="N1935" s="40">
        <v>60</v>
      </c>
      <c r="O1935" s="40">
        <v>802</v>
      </c>
      <c r="P1935" s="40">
        <v>808</v>
      </c>
      <c r="Q1935" s="40">
        <v>0</v>
      </c>
      <c r="R1935" s="40">
        <v>172</v>
      </c>
      <c r="S1935" s="40">
        <v>224</v>
      </c>
    </row>
    <row r="1936" spans="1:19" x14ac:dyDescent="0.35">
      <c r="A1936" s="38">
        <v>2299</v>
      </c>
      <c r="B1936" s="38" t="str">
        <f>_xlfn.XLOOKUP(A1936,'Model Modeshare by TAZ'!A:A,'Model Modeshare by TAZ'!B:B)</f>
        <v>Oakland</v>
      </c>
      <c r="C1936" s="38" t="str">
        <f>_xlfn.XLOOKUP(A1936,'Model Modeshare by TAZ'!A:A,'Model Modeshare by TAZ'!D:D)</f>
        <v>NO</v>
      </c>
      <c r="D1936" s="6">
        <v>4</v>
      </c>
      <c r="E1936" s="6">
        <v>312</v>
      </c>
      <c r="F1936" s="6">
        <v>538</v>
      </c>
      <c r="G1936" s="6">
        <v>576</v>
      </c>
      <c r="H1936" s="6">
        <v>418</v>
      </c>
      <c r="I1936" s="6">
        <v>183</v>
      </c>
      <c r="J1936" s="6">
        <v>129</v>
      </c>
      <c r="K1936" s="40">
        <v>4</v>
      </c>
      <c r="L1936" s="40">
        <v>99</v>
      </c>
      <c r="M1936" s="40">
        <v>4797</v>
      </c>
      <c r="N1936" s="40">
        <v>760</v>
      </c>
      <c r="O1936" s="40">
        <v>1589</v>
      </c>
      <c r="P1936" s="40">
        <v>1651</v>
      </c>
      <c r="Q1936" s="40">
        <v>30</v>
      </c>
      <c r="R1936" s="40">
        <v>291</v>
      </c>
      <c r="S1936" s="40">
        <v>475</v>
      </c>
    </row>
    <row r="1937" spans="1:19" x14ac:dyDescent="0.35">
      <c r="A1937" s="38">
        <v>2300</v>
      </c>
      <c r="B1937" s="38" t="str">
        <f>_xlfn.XLOOKUP(A1937,'Model Modeshare by TAZ'!A:A,'Model Modeshare by TAZ'!B:B)</f>
        <v>Oakland</v>
      </c>
      <c r="C1937" s="38" t="str">
        <f>_xlfn.XLOOKUP(A1937,'Model Modeshare by TAZ'!A:A,'Model Modeshare by TAZ'!D:D)</f>
        <v>NO</v>
      </c>
      <c r="D1937" s="6">
        <v>4</v>
      </c>
      <c r="E1937" s="6">
        <v>1393</v>
      </c>
      <c r="F1937" s="6">
        <v>2638</v>
      </c>
      <c r="G1937" s="6">
        <v>2694</v>
      </c>
      <c r="H1937" s="6">
        <v>1147</v>
      </c>
      <c r="I1937" s="6">
        <v>45</v>
      </c>
      <c r="J1937" s="6">
        <v>1348</v>
      </c>
      <c r="K1937" s="40">
        <v>7</v>
      </c>
      <c r="L1937" s="40">
        <v>70</v>
      </c>
      <c r="M1937" s="40">
        <v>14500</v>
      </c>
      <c r="N1937" s="40">
        <v>3008</v>
      </c>
      <c r="O1937" s="40">
        <v>4966</v>
      </c>
      <c r="P1937" s="40">
        <v>2711</v>
      </c>
      <c r="Q1937" s="40">
        <v>88</v>
      </c>
      <c r="R1937" s="40">
        <v>3047</v>
      </c>
      <c r="S1937" s="40">
        <v>679</v>
      </c>
    </row>
    <row r="1938" spans="1:19" x14ac:dyDescent="0.35">
      <c r="A1938" s="38">
        <v>2301</v>
      </c>
      <c r="B1938" s="38" t="str">
        <f>_xlfn.XLOOKUP(A1938,'Model Modeshare by TAZ'!A:A,'Model Modeshare by TAZ'!B:B)</f>
        <v>Oakland</v>
      </c>
      <c r="C1938" s="38" t="str">
        <f>_xlfn.XLOOKUP(A1938,'Model Modeshare by TAZ'!A:A,'Model Modeshare by TAZ'!D:D)</f>
        <v>NO</v>
      </c>
      <c r="D1938" s="6">
        <v>4</v>
      </c>
      <c r="E1938" s="6">
        <v>997</v>
      </c>
      <c r="F1938" s="6">
        <v>1839</v>
      </c>
      <c r="G1938" s="6">
        <v>2276</v>
      </c>
      <c r="H1938" s="6">
        <v>1020</v>
      </c>
      <c r="I1938" s="6">
        <v>61</v>
      </c>
      <c r="J1938" s="6">
        <v>936</v>
      </c>
      <c r="K1938" s="40">
        <v>16</v>
      </c>
      <c r="L1938" s="40">
        <v>49</v>
      </c>
      <c r="M1938" s="40">
        <v>6458</v>
      </c>
      <c r="N1938" s="40">
        <v>287</v>
      </c>
      <c r="O1938" s="40">
        <v>1989</v>
      </c>
      <c r="P1938" s="40">
        <v>3500</v>
      </c>
      <c r="Q1938" s="40">
        <v>7</v>
      </c>
      <c r="R1938" s="40">
        <v>604</v>
      </c>
      <c r="S1938" s="40">
        <v>71</v>
      </c>
    </row>
    <row r="1939" spans="1:19" x14ac:dyDescent="0.35">
      <c r="A1939" s="38">
        <v>2302</v>
      </c>
      <c r="B1939" s="38" t="str">
        <f>_xlfn.XLOOKUP(A1939,'Model Modeshare by TAZ'!A:A,'Model Modeshare by TAZ'!B:B)</f>
        <v>Oakland</v>
      </c>
      <c r="C1939" s="38" t="str">
        <f>_xlfn.XLOOKUP(A1939,'Model Modeshare by TAZ'!A:A,'Model Modeshare by TAZ'!D:D)</f>
        <v>NO</v>
      </c>
      <c r="D1939" s="6">
        <v>4</v>
      </c>
      <c r="E1939" s="6">
        <v>2509</v>
      </c>
      <c r="F1939" s="6">
        <v>3986</v>
      </c>
      <c r="G1939" s="6">
        <v>4315</v>
      </c>
      <c r="H1939" s="6">
        <v>2233</v>
      </c>
      <c r="I1939" s="6">
        <v>52</v>
      </c>
      <c r="J1939" s="6">
        <v>2457</v>
      </c>
      <c r="K1939" s="40">
        <v>26</v>
      </c>
      <c r="L1939" s="40">
        <v>67</v>
      </c>
      <c r="M1939" s="40">
        <v>4850</v>
      </c>
      <c r="N1939" s="40">
        <v>322</v>
      </c>
      <c r="O1939" s="40">
        <v>2331</v>
      </c>
      <c r="P1939" s="40">
        <v>1646</v>
      </c>
      <c r="Q1939" s="40">
        <v>0</v>
      </c>
      <c r="R1939" s="40">
        <v>351</v>
      </c>
      <c r="S1939" s="40">
        <v>201</v>
      </c>
    </row>
    <row r="1940" spans="1:19" x14ac:dyDescent="0.35">
      <c r="A1940" s="38">
        <v>2303</v>
      </c>
      <c r="B1940" s="38" t="str">
        <f>_xlfn.XLOOKUP(A1940,'Model Modeshare by TAZ'!A:A,'Model Modeshare by TAZ'!B:B)</f>
        <v>Oakland</v>
      </c>
      <c r="C1940" s="38" t="str">
        <f>_xlfn.XLOOKUP(A1940,'Model Modeshare by TAZ'!A:A,'Model Modeshare by TAZ'!D:D)</f>
        <v>NO</v>
      </c>
      <c r="D1940" s="6">
        <v>4</v>
      </c>
      <c r="E1940" s="6">
        <v>441</v>
      </c>
      <c r="F1940" s="6">
        <v>662</v>
      </c>
      <c r="G1940" s="6">
        <v>719</v>
      </c>
      <c r="H1940" s="6">
        <v>382</v>
      </c>
      <c r="I1940" s="6">
        <v>12</v>
      </c>
      <c r="J1940" s="6">
        <v>429</v>
      </c>
      <c r="K1940" s="40">
        <v>5</v>
      </c>
      <c r="L1940" s="40">
        <v>88</v>
      </c>
      <c r="M1940" s="40">
        <v>18508</v>
      </c>
      <c r="N1940" s="40">
        <v>889</v>
      </c>
      <c r="O1940" s="40">
        <v>7046</v>
      </c>
      <c r="P1940" s="40">
        <v>9399</v>
      </c>
      <c r="Q1940" s="40">
        <v>28</v>
      </c>
      <c r="R1940" s="40">
        <v>943</v>
      </c>
      <c r="S1940" s="40">
        <v>203</v>
      </c>
    </row>
    <row r="1941" spans="1:19" x14ac:dyDescent="0.35">
      <c r="A1941" s="38">
        <v>2304</v>
      </c>
      <c r="B1941" s="38" t="str">
        <f>_xlfn.XLOOKUP(A1941,'Model Modeshare by TAZ'!A:A,'Model Modeshare by TAZ'!B:B)</f>
        <v>Oakland</v>
      </c>
      <c r="C1941" s="38" t="str">
        <f>_xlfn.XLOOKUP(A1941,'Model Modeshare by TAZ'!A:A,'Model Modeshare by TAZ'!D:D)</f>
        <v>NO</v>
      </c>
      <c r="D1941" s="6">
        <v>4</v>
      </c>
      <c r="E1941" s="6">
        <v>3502</v>
      </c>
      <c r="F1941" s="6">
        <v>6067</v>
      </c>
      <c r="G1941" s="6">
        <v>6164</v>
      </c>
      <c r="H1941" s="6">
        <v>3524</v>
      </c>
      <c r="I1941" s="6">
        <v>351</v>
      </c>
      <c r="J1941" s="6">
        <v>3151</v>
      </c>
      <c r="K1941" s="40">
        <v>95</v>
      </c>
      <c r="L1941" s="40">
        <v>99</v>
      </c>
      <c r="M1941" s="40">
        <v>2620</v>
      </c>
      <c r="N1941" s="40">
        <v>874</v>
      </c>
      <c r="O1941" s="40">
        <v>1013</v>
      </c>
      <c r="P1941" s="40">
        <v>628</v>
      </c>
      <c r="Q1941" s="40">
        <v>0</v>
      </c>
      <c r="R1941" s="40">
        <v>73</v>
      </c>
      <c r="S1941" s="40">
        <v>32</v>
      </c>
    </row>
    <row r="1942" spans="1:19" x14ac:dyDescent="0.35">
      <c r="A1942" s="38">
        <v>2305</v>
      </c>
      <c r="B1942" s="38" t="str">
        <f>_xlfn.XLOOKUP(A1942,'Model Modeshare by TAZ'!A:A,'Model Modeshare by TAZ'!B:B)</f>
        <v>Oakland</v>
      </c>
      <c r="C1942" s="38" t="str">
        <f>_xlfn.XLOOKUP(A1942,'Model Modeshare by TAZ'!A:A,'Model Modeshare by TAZ'!D:D)</f>
        <v>NO</v>
      </c>
      <c r="D1942" s="6">
        <v>4</v>
      </c>
      <c r="E1942" s="6">
        <v>1489</v>
      </c>
      <c r="F1942" s="6">
        <v>2641</v>
      </c>
      <c r="G1942" s="6">
        <v>2641</v>
      </c>
      <c r="H1942" s="6">
        <v>1866</v>
      </c>
      <c r="I1942" s="6">
        <v>188</v>
      </c>
      <c r="J1942" s="6">
        <v>1301</v>
      </c>
      <c r="K1942" s="40">
        <v>50</v>
      </c>
      <c r="L1942" s="40">
        <v>30</v>
      </c>
      <c r="M1942" s="40">
        <v>3964</v>
      </c>
      <c r="N1942" s="40">
        <v>560</v>
      </c>
      <c r="O1942" s="40">
        <v>3004</v>
      </c>
      <c r="P1942" s="40">
        <v>280</v>
      </c>
      <c r="Q1942" s="40">
        <v>0</v>
      </c>
      <c r="R1942" s="40">
        <v>8</v>
      </c>
      <c r="S1942" s="40">
        <v>111</v>
      </c>
    </row>
    <row r="1943" spans="1:19" x14ac:dyDescent="0.35">
      <c r="A1943" s="38">
        <v>2306</v>
      </c>
      <c r="B1943" s="38" t="str">
        <f>_xlfn.XLOOKUP(A1943,'Model Modeshare by TAZ'!A:A,'Model Modeshare by TAZ'!B:B)</f>
        <v>Oakland</v>
      </c>
      <c r="C1943" s="38" t="str">
        <f>_xlfn.XLOOKUP(A1943,'Model Modeshare by TAZ'!A:A,'Model Modeshare by TAZ'!D:D)</f>
        <v>NO</v>
      </c>
      <c r="D1943" s="6">
        <v>4</v>
      </c>
      <c r="E1943" s="6">
        <v>2861</v>
      </c>
      <c r="F1943" s="6">
        <v>4973</v>
      </c>
      <c r="G1943" s="6">
        <v>5118</v>
      </c>
      <c r="H1943" s="6">
        <v>3258</v>
      </c>
      <c r="I1943" s="6">
        <v>578</v>
      </c>
      <c r="J1943" s="6">
        <v>2283</v>
      </c>
      <c r="K1943" s="40">
        <v>151</v>
      </c>
      <c r="L1943" s="40">
        <v>45</v>
      </c>
      <c r="M1943" s="40">
        <v>3353</v>
      </c>
      <c r="N1943" s="40">
        <v>1045</v>
      </c>
      <c r="O1943" s="40">
        <v>1763</v>
      </c>
      <c r="P1943" s="40">
        <v>403</v>
      </c>
      <c r="Q1943" s="40">
        <v>10</v>
      </c>
      <c r="R1943" s="40">
        <v>53</v>
      </c>
      <c r="S1943" s="40">
        <v>79</v>
      </c>
    </row>
    <row r="1944" spans="1:19" x14ac:dyDescent="0.35">
      <c r="A1944" s="38">
        <v>2307</v>
      </c>
      <c r="B1944" s="38" t="str">
        <f>_xlfn.XLOOKUP(A1944,'Model Modeshare by TAZ'!A:A,'Model Modeshare by TAZ'!B:B)</f>
        <v>Oakland</v>
      </c>
      <c r="C1944" s="38" t="str">
        <f>_xlfn.XLOOKUP(A1944,'Model Modeshare by TAZ'!A:A,'Model Modeshare by TAZ'!D:D)</f>
        <v>NO</v>
      </c>
      <c r="D1944" s="6">
        <v>4</v>
      </c>
      <c r="E1944" s="6">
        <v>1128</v>
      </c>
      <c r="F1944" s="6">
        <v>2396</v>
      </c>
      <c r="G1944" s="6">
        <v>2412</v>
      </c>
      <c r="H1944" s="6">
        <v>1565</v>
      </c>
      <c r="I1944" s="6">
        <v>508</v>
      </c>
      <c r="J1944" s="6">
        <v>620</v>
      </c>
      <c r="K1944" s="40">
        <v>119</v>
      </c>
      <c r="L1944" s="40">
        <v>30</v>
      </c>
      <c r="M1944" s="40">
        <v>783</v>
      </c>
      <c r="N1944" s="40">
        <v>148</v>
      </c>
      <c r="O1944" s="40">
        <v>483</v>
      </c>
      <c r="P1944" s="40">
        <v>114</v>
      </c>
      <c r="Q1944" s="40">
        <v>4</v>
      </c>
      <c r="R1944" s="40">
        <v>5</v>
      </c>
      <c r="S1944" s="40">
        <v>30</v>
      </c>
    </row>
    <row r="1945" spans="1:19" x14ac:dyDescent="0.35">
      <c r="A1945" s="38">
        <v>2308</v>
      </c>
      <c r="B1945" s="38" t="str">
        <f>_xlfn.XLOOKUP(A1945,'Model Modeshare by TAZ'!A:A,'Model Modeshare by TAZ'!B:B)</f>
        <v>Oakland</v>
      </c>
      <c r="C1945" s="38" t="str">
        <f>_xlfn.XLOOKUP(A1945,'Model Modeshare by TAZ'!A:A,'Model Modeshare by TAZ'!D:D)</f>
        <v>NO</v>
      </c>
      <c r="D1945" s="6">
        <v>4</v>
      </c>
      <c r="E1945" s="6">
        <v>2004</v>
      </c>
      <c r="F1945" s="6">
        <v>3974</v>
      </c>
      <c r="G1945" s="6">
        <v>4068</v>
      </c>
      <c r="H1945" s="6">
        <v>2830</v>
      </c>
      <c r="I1945" s="6">
        <v>516</v>
      </c>
      <c r="J1945" s="6">
        <v>1488</v>
      </c>
      <c r="K1945" s="40">
        <v>53</v>
      </c>
      <c r="L1945" s="40">
        <v>63</v>
      </c>
      <c r="M1945" s="40">
        <v>1817</v>
      </c>
      <c r="N1945" s="40">
        <v>315</v>
      </c>
      <c r="O1945" s="40">
        <v>640</v>
      </c>
      <c r="P1945" s="40">
        <v>533</v>
      </c>
      <c r="Q1945" s="40">
        <v>0</v>
      </c>
      <c r="R1945" s="40">
        <v>224</v>
      </c>
      <c r="S1945" s="40">
        <v>106</v>
      </c>
    </row>
    <row r="1946" spans="1:19" x14ac:dyDescent="0.35">
      <c r="A1946" s="38">
        <v>2309</v>
      </c>
      <c r="B1946" s="38" t="str">
        <f>_xlfn.XLOOKUP(A1946,'Model Modeshare by TAZ'!A:A,'Model Modeshare by TAZ'!B:B)</f>
        <v>Oakland</v>
      </c>
      <c r="C1946" s="38" t="str">
        <f>_xlfn.XLOOKUP(A1946,'Model Modeshare by TAZ'!A:A,'Model Modeshare by TAZ'!D:D)</f>
        <v>NO</v>
      </c>
      <c r="D1946" s="6">
        <v>4</v>
      </c>
      <c r="E1946" s="6">
        <v>2886</v>
      </c>
      <c r="F1946" s="6">
        <v>6664</v>
      </c>
      <c r="G1946" s="6">
        <v>6702</v>
      </c>
      <c r="H1946" s="6">
        <v>3905</v>
      </c>
      <c r="I1946" s="6">
        <v>1300</v>
      </c>
      <c r="J1946" s="6">
        <v>1586</v>
      </c>
      <c r="K1946" s="40">
        <v>181</v>
      </c>
      <c r="L1946" s="40">
        <v>71</v>
      </c>
      <c r="M1946" s="40">
        <v>3932</v>
      </c>
      <c r="N1946" s="40">
        <v>175</v>
      </c>
      <c r="O1946" s="40">
        <v>2343</v>
      </c>
      <c r="P1946" s="40">
        <v>690</v>
      </c>
      <c r="Q1946" s="40">
        <v>0</v>
      </c>
      <c r="R1946" s="40">
        <v>529</v>
      </c>
      <c r="S1946" s="40">
        <v>195</v>
      </c>
    </row>
    <row r="1947" spans="1:19" x14ac:dyDescent="0.35">
      <c r="A1947" s="38">
        <v>2310</v>
      </c>
      <c r="B1947" s="38" t="str">
        <f>_xlfn.XLOOKUP(A1947,'Model Modeshare by TAZ'!A:A,'Model Modeshare by TAZ'!B:B)</f>
        <v>Oakland</v>
      </c>
      <c r="C1947" s="38" t="str">
        <f>_xlfn.XLOOKUP(A1947,'Model Modeshare by TAZ'!A:A,'Model Modeshare by TAZ'!D:D)</f>
        <v>NO</v>
      </c>
      <c r="D1947" s="6">
        <v>4</v>
      </c>
      <c r="E1947" s="6">
        <v>1441</v>
      </c>
      <c r="F1947" s="6">
        <v>3576</v>
      </c>
      <c r="G1947" s="6">
        <v>3775</v>
      </c>
      <c r="H1947" s="6">
        <v>1642</v>
      </c>
      <c r="I1947" s="6">
        <v>365</v>
      </c>
      <c r="J1947" s="6">
        <v>1076</v>
      </c>
      <c r="K1947" s="40">
        <v>103</v>
      </c>
      <c r="L1947" s="40">
        <v>83</v>
      </c>
      <c r="M1947" s="40">
        <v>756</v>
      </c>
      <c r="N1947" s="40">
        <v>87</v>
      </c>
      <c r="O1947" s="40">
        <v>392</v>
      </c>
      <c r="P1947" s="40">
        <v>167</v>
      </c>
      <c r="Q1947" s="40">
        <v>0</v>
      </c>
      <c r="R1947" s="40">
        <v>58</v>
      </c>
      <c r="S1947" s="40">
        <v>52</v>
      </c>
    </row>
    <row r="1948" spans="1:19" x14ac:dyDescent="0.35">
      <c r="A1948" s="38">
        <v>2311</v>
      </c>
      <c r="B1948" s="38" t="str">
        <f>_xlfn.XLOOKUP(A1948,'Model Modeshare by TAZ'!A:A,'Model Modeshare by TAZ'!B:B)</f>
        <v>Oakland</v>
      </c>
      <c r="C1948" s="38" t="str">
        <f>_xlfn.XLOOKUP(A1948,'Model Modeshare by TAZ'!A:A,'Model Modeshare by TAZ'!D:D)</f>
        <v>NO</v>
      </c>
      <c r="D1948" s="6">
        <v>4</v>
      </c>
      <c r="E1948" s="6">
        <v>1686</v>
      </c>
      <c r="F1948" s="6">
        <v>3293</v>
      </c>
      <c r="G1948" s="6">
        <v>4024</v>
      </c>
      <c r="H1948" s="6">
        <v>2117</v>
      </c>
      <c r="I1948" s="6">
        <v>84</v>
      </c>
      <c r="J1948" s="6">
        <v>1602</v>
      </c>
      <c r="K1948" s="40">
        <v>64</v>
      </c>
      <c r="L1948" s="40">
        <v>107</v>
      </c>
      <c r="M1948" s="40">
        <v>8351</v>
      </c>
      <c r="N1948" s="40">
        <v>866</v>
      </c>
      <c r="O1948" s="40">
        <v>5557</v>
      </c>
      <c r="P1948" s="40">
        <v>1657</v>
      </c>
      <c r="Q1948" s="40">
        <v>3</v>
      </c>
      <c r="R1948" s="40">
        <v>133</v>
      </c>
      <c r="S1948" s="40">
        <v>135</v>
      </c>
    </row>
    <row r="1949" spans="1:19" x14ac:dyDescent="0.35">
      <c r="A1949" s="38">
        <v>2312</v>
      </c>
      <c r="B1949" s="38" t="str">
        <f>_xlfn.XLOOKUP(A1949,'Model Modeshare by TAZ'!A:A,'Model Modeshare by TAZ'!B:B)</f>
        <v>Oakland</v>
      </c>
      <c r="C1949" s="38" t="str">
        <f>_xlfn.XLOOKUP(A1949,'Model Modeshare by TAZ'!A:A,'Model Modeshare by TAZ'!D:D)</f>
        <v>NO</v>
      </c>
      <c r="D1949" s="6">
        <v>4</v>
      </c>
      <c r="E1949" s="6">
        <v>459</v>
      </c>
      <c r="F1949" s="6">
        <v>1201</v>
      </c>
      <c r="G1949" s="6">
        <v>1201</v>
      </c>
      <c r="H1949" s="6">
        <v>662</v>
      </c>
      <c r="I1949" s="6">
        <v>126</v>
      </c>
      <c r="J1949" s="6">
        <v>333</v>
      </c>
      <c r="K1949" s="40">
        <v>63</v>
      </c>
      <c r="L1949" s="40">
        <v>19</v>
      </c>
      <c r="M1949" s="40">
        <v>286</v>
      </c>
      <c r="N1949" s="40">
        <v>33</v>
      </c>
      <c r="O1949" s="40">
        <v>93</v>
      </c>
      <c r="P1949" s="40">
        <v>116</v>
      </c>
      <c r="Q1949" s="40">
        <v>0</v>
      </c>
      <c r="R1949" s="40">
        <v>36</v>
      </c>
      <c r="S1949" s="40">
        <v>8</v>
      </c>
    </row>
    <row r="1950" spans="1:19" x14ac:dyDescent="0.35">
      <c r="A1950" s="38">
        <v>2313</v>
      </c>
      <c r="B1950" s="38" t="str">
        <f>_xlfn.XLOOKUP(A1950,'Model Modeshare by TAZ'!A:A,'Model Modeshare by TAZ'!B:B)</f>
        <v>Oakland</v>
      </c>
      <c r="C1950" s="38" t="str">
        <f>_xlfn.XLOOKUP(A1950,'Model Modeshare by TAZ'!A:A,'Model Modeshare by TAZ'!D:D)</f>
        <v>NO</v>
      </c>
      <c r="D1950" s="6">
        <v>4</v>
      </c>
      <c r="E1950" s="6">
        <v>414</v>
      </c>
      <c r="F1950" s="6">
        <v>839</v>
      </c>
      <c r="G1950" s="6">
        <v>839</v>
      </c>
      <c r="H1950" s="6">
        <v>377</v>
      </c>
      <c r="I1950" s="6">
        <v>34</v>
      </c>
      <c r="J1950" s="6">
        <v>380</v>
      </c>
      <c r="K1950" s="40">
        <v>30</v>
      </c>
      <c r="L1950" s="40">
        <v>8</v>
      </c>
      <c r="M1950" s="40">
        <v>810</v>
      </c>
      <c r="N1950" s="40">
        <v>117</v>
      </c>
      <c r="O1950" s="40">
        <v>344</v>
      </c>
      <c r="P1950" s="40">
        <v>61</v>
      </c>
      <c r="Q1950" s="40">
        <v>0</v>
      </c>
      <c r="R1950" s="40">
        <v>146</v>
      </c>
      <c r="S1950" s="40">
        <v>141</v>
      </c>
    </row>
    <row r="1951" spans="1:19" x14ac:dyDescent="0.35">
      <c r="A1951" s="38">
        <v>2314</v>
      </c>
      <c r="B1951" s="38" t="str">
        <f>_xlfn.XLOOKUP(A1951,'Model Modeshare by TAZ'!A:A,'Model Modeshare by TAZ'!B:B)</f>
        <v>Oakland</v>
      </c>
      <c r="C1951" s="38" t="str">
        <f>_xlfn.XLOOKUP(A1951,'Model Modeshare by TAZ'!A:A,'Model Modeshare by TAZ'!D:D)</f>
        <v>NO</v>
      </c>
      <c r="D1951" s="6">
        <v>4</v>
      </c>
      <c r="E1951" s="6">
        <v>658</v>
      </c>
      <c r="F1951" s="6">
        <v>1711</v>
      </c>
      <c r="G1951" s="6">
        <v>1711</v>
      </c>
      <c r="H1951" s="6">
        <v>510</v>
      </c>
      <c r="I1951" s="6">
        <v>208</v>
      </c>
      <c r="J1951" s="6">
        <v>450</v>
      </c>
      <c r="K1951" s="40">
        <v>57</v>
      </c>
      <c r="L1951" s="40">
        <v>13</v>
      </c>
      <c r="M1951" s="40">
        <v>414</v>
      </c>
      <c r="N1951" s="40">
        <v>1</v>
      </c>
      <c r="O1951" s="40">
        <v>156</v>
      </c>
      <c r="P1951" s="40">
        <v>193</v>
      </c>
      <c r="Q1951" s="40">
        <v>0</v>
      </c>
      <c r="R1951" s="40">
        <v>0</v>
      </c>
      <c r="S1951" s="40">
        <v>64</v>
      </c>
    </row>
    <row r="1952" spans="1:19" x14ac:dyDescent="0.35">
      <c r="A1952" s="38">
        <v>2315</v>
      </c>
      <c r="B1952" s="38" t="str">
        <f>_xlfn.XLOOKUP(A1952,'Model Modeshare by TAZ'!A:A,'Model Modeshare by TAZ'!B:B)</f>
        <v>Oakland</v>
      </c>
      <c r="C1952" s="38" t="str">
        <f>_xlfn.XLOOKUP(A1952,'Model Modeshare by TAZ'!A:A,'Model Modeshare by TAZ'!D:D)</f>
        <v>NO</v>
      </c>
      <c r="D1952" s="6">
        <v>4</v>
      </c>
      <c r="E1952" s="6">
        <v>1151</v>
      </c>
      <c r="F1952" s="6">
        <v>2741</v>
      </c>
      <c r="G1952" s="6">
        <v>2773</v>
      </c>
      <c r="H1952" s="6">
        <v>1393</v>
      </c>
      <c r="I1952" s="6">
        <v>255</v>
      </c>
      <c r="J1952" s="6">
        <v>896</v>
      </c>
      <c r="K1952" s="40">
        <v>60</v>
      </c>
      <c r="L1952" s="40">
        <v>9</v>
      </c>
      <c r="M1952" s="40">
        <v>167</v>
      </c>
      <c r="N1952" s="40">
        <v>40</v>
      </c>
      <c r="O1952" s="40">
        <v>30</v>
      </c>
      <c r="P1952" s="40">
        <v>84</v>
      </c>
      <c r="Q1952" s="40">
        <v>0</v>
      </c>
      <c r="R1952" s="40">
        <v>13</v>
      </c>
      <c r="S1952" s="40">
        <v>1</v>
      </c>
    </row>
    <row r="1953" spans="1:19" x14ac:dyDescent="0.35">
      <c r="A1953" s="38">
        <v>2316</v>
      </c>
      <c r="B1953" s="38" t="str">
        <f>_xlfn.XLOOKUP(A1953,'Model Modeshare by TAZ'!A:A,'Model Modeshare by TAZ'!B:B)</f>
        <v>Oakland</v>
      </c>
      <c r="C1953" s="38" t="str">
        <f>_xlfn.XLOOKUP(A1953,'Model Modeshare by TAZ'!A:A,'Model Modeshare by TAZ'!D:D)</f>
        <v>NO</v>
      </c>
      <c r="D1953" s="6">
        <v>4</v>
      </c>
      <c r="E1953" s="6">
        <v>162</v>
      </c>
      <c r="F1953" s="6">
        <v>387</v>
      </c>
      <c r="G1953" s="6">
        <v>388</v>
      </c>
      <c r="H1953" s="6">
        <v>143</v>
      </c>
      <c r="I1953" s="6">
        <v>75</v>
      </c>
      <c r="J1953" s="6">
        <v>87</v>
      </c>
      <c r="K1953" s="40">
        <v>30</v>
      </c>
      <c r="L1953" s="40">
        <v>51</v>
      </c>
      <c r="M1953" s="40">
        <v>620</v>
      </c>
      <c r="N1953" s="40">
        <v>24</v>
      </c>
      <c r="O1953" s="40">
        <v>107</v>
      </c>
      <c r="P1953" s="40">
        <v>214</v>
      </c>
      <c r="Q1953" s="40">
        <v>0</v>
      </c>
      <c r="R1953" s="40">
        <v>123</v>
      </c>
      <c r="S1953" s="40">
        <v>152</v>
      </c>
    </row>
    <row r="1954" spans="1:19" x14ac:dyDescent="0.35">
      <c r="A1954" s="38">
        <v>2317</v>
      </c>
      <c r="B1954" s="38" t="str">
        <f>_xlfn.XLOOKUP(A1954,'Model Modeshare by TAZ'!A:A,'Model Modeshare by TAZ'!B:B)</f>
        <v>Oakland</v>
      </c>
      <c r="C1954" s="38" t="str">
        <f>_xlfn.XLOOKUP(A1954,'Model Modeshare by TAZ'!A:A,'Model Modeshare by TAZ'!D:D)</f>
        <v>NO</v>
      </c>
      <c r="D1954" s="6">
        <v>4</v>
      </c>
      <c r="E1954" s="6">
        <v>799</v>
      </c>
      <c r="F1954" s="6">
        <v>1911</v>
      </c>
      <c r="G1954" s="6">
        <v>1915</v>
      </c>
      <c r="H1954" s="6">
        <v>705</v>
      </c>
      <c r="I1954" s="6">
        <v>87</v>
      </c>
      <c r="J1954" s="6">
        <v>712</v>
      </c>
      <c r="K1954" s="40">
        <v>47</v>
      </c>
      <c r="L1954" s="40">
        <v>17</v>
      </c>
      <c r="M1954" s="40">
        <v>267</v>
      </c>
      <c r="N1954" s="40">
        <v>68</v>
      </c>
      <c r="O1954" s="40">
        <v>31</v>
      </c>
      <c r="P1954" s="40">
        <v>79</v>
      </c>
      <c r="Q1954" s="40">
        <v>0</v>
      </c>
      <c r="R1954" s="40">
        <v>13</v>
      </c>
      <c r="S1954" s="40">
        <v>76</v>
      </c>
    </row>
    <row r="1955" spans="1:19" x14ac:dyDescent="0.35">
      <c r="A1955" s="38">
        <v>2318</v>
      </c>
      <c r="B1955" s="38" t="str">
        <f>_xlfn.XLOOKUP(A1955,'Model Modeshare by TAZ'!A:A,'Model Modeshare by TAZ'!B:B)</f>
        <v>Oakland</v>
      </c>
      <c r="C1955" s="38" t="str">
        <f>_xlfn.XLOOKUP(A1955,'Model Modeshare by TAZ'!A:A,'Model Modeshare by TAZ'!D:D)</f>
        <v>NO</v>
      </c>
      <c r="D1955" s="6">
        <v>4</v>
      </c>
      <c r="E1955" s="6">
        <v>619</v>
      </c>
      <c r="F1955" s="6">
        <v>1842</v>
      </c>
      <c r="G1955" s="6">
        <v>1853</v>
      </c>
      <c r="H1955" s="6">
        <v>846</v>
      </c>
      <c r="I1955" s="6">
        <v>256</v>
      </c>
      <c r="J1955" s="6">
        <v>363</v>
      </c>
      <c r="K1955" s="40">
        <v>41</v>
      </c>
      <c r="L1955" s="40">
        <v>26</v>
      </c>
      <c r="M1955" s="40">
        <v>413</v>
      </c>
      <c r="N1955" s="40">
        <v>5</v>
      </c>
      <c r="O1955" s="40">
        <v>90</v>
      </c>
      <c r="P1955" s="40">
        <v>224</v>
      </c>
      <c r="Q1955" s="40">
        <v>0</v>
      </c>
      <c r="R1955" s="40">
        <v>11</v>
      </c>
      <c r="S1955" s="40">
        <v>84</v>
      </c>
    </row>
    <row r="1956" spans="1:19" x14ac:dyDescent="0.35">
      <c r="A1956" s="38">
        <v>2319</v>
      </c>
      <c r="B1956" s="38" t="str">
        <f>_xlfn.XLOOKUP(A1956,'Model Modeshare by TAZ'!A:A,'Model Modeshare by TAZ'!B:B)</f>
        <v>Oakland</v>
      </c>
      <c r="C1956" s="38" t="str">
        <f>_xlfn.XLOOKUP(A1956,'Model Modeshare by TAZ'!A:A,'Model Modeshare by TAZ'!D:D)</f>
        <v>NO</v>
      </c>
      <c r="D1956" s="6">
        <v>4</v>
      </c>
      <c r="E1956" s="6">
        <v>731</v>
      </c>
      <c r="F1956" s="6">
        <v>1861</v>
      </c>
      <c r="G1956" s="6">
        <v>1866</v>
      </c>
      <c r="H1956" s="6">
        <v>856</v>
      </c>
      <c r="I1956" s="6">
        <v>361</v>
      </c>
      <c r="J1956" s="6">
        <v>370</v>
      </c>
      <c r="K1956" s="40">
        <v>49</v>
      </c>
      <c r="L1956" s="40">
        <v>26</v>
      </c>
      <c r="M1956" s="40">
        <v>204</v>
      </c>
      <c r="N1956" s="40">
        <v>25</v>
      </c>
      <c r="O1956" s="40">
        <v>74</v>
      </c>
      <c r="P1956" s="40">
        <v>70</v>
      </c>
      <c r="Q1956" s="40">
        <v>0</v>
      </c>
      <c r="R1956" s="40">
        <v>30</v>
      </c>
      <c r="S1956" s="40">
        <v>6</v>
      </c>
    </row>
    <row r="1957" spans="1:19" x14ac:dyDescent="0.35">
      <c r="A1957" s="38">
        <v>2320</v>
      </c>
      <c r="B1957" s="38" t="str">
        <f>_xlfn.XLOOKUP(A1957,'Model Modeshare by TAZ'!A:A,'Model Modeshare by TAZ'!B:B)</f>
        <v>Oakland</v>
      </c>
      <c r="C1957" s="38" t="str">
        <f>_xlfn.XLOOKUP(A1957,'Model Modeshare by TAZ'!A:A,'Model Modeshare by TAZ'!D:D)</f>
        <v>NO</v>
      </c>
      <c r="D1957" s="6">
        <v>4</v>
      </c>
      <c r="E1957" s="6">
        <v>1231</v>
      </c>
      <c r="F1957" s="6">
        <v>2596</v>
      </c>
      <c r="G1957" s="6">
        <v>2679</v>
      </c>
      <c r="H1957" s="6">
        <v>1478</v>
      </c>
      <c r="I1957" s="6">
        <v>717</v>
      </c>
      <c r="J1957" s="6">
        <v>514</v>
      </c>
      <c r="K1957" s="40">
        <v>57</v>
      </c>
      <c r="L1957" s="40">
        <v>876</v>
      </c>
      <c r="M1957" s="40">
        <v>3414</v>
      </c>
      <c r="N1957" s="40">
        <v>174</v>
      </c>
      <c r="O1957" s="40">
        <v>1861</v>
      </c>
      <c r="P1957" s="40">
        <v>526</v>
      </c>
      <c r="Q1957" s="40">
        <v>7</v>
      </c>
      <c r="R1957" s="40">
        <v>337</v>
      </c>
      <c r="S1957" s="40">
        <v>510</v>
      </c>
    </row>
    <row r="1958" spans="1:19" x14ac:dyDescent="0.35">
      <c r="A1958" s="38">
        <v>2321</v>
      </c>
      <c r="B1958" s="38" t="str">
        <f>_xlfn.XLOOKUP(A1958,'Model Modeshare by TAZ'!A:A,'Model Modeshare by TAZ'!B:B)</f>
        <v>Oakland</v>
      </c>
      <c r="C1958" s="38" t="str">
        <f>_xlfn.XLOOKUP(A1958,'Model Modeshare by TAZ'!A:A,'Model Modeshare by TAZ'!D:D)</f>
        <v>NO</v>
      </c>
      <c r="D1958" s="6">
        <v>4</v>
      </c>
      <c r="E1958" s="6">
        <v>785</v>
      </c>
      <c r="F1958" s="6">
        <v>2122</v>
      </c>
      <c r="G1958" s="6">
        <v>2185</v>
      </c>
      <c r="H1958" s="6">
        <v>1123</v>
      </c>
      <c r="I1958" s="6">
        <v>326</v>
      </c>
      <c r="J1958" s="6">
        <v>459</v>
      </c>
      <c r="K1958" s="40">
        <v>19</v>
      </c>
      <c r="L1958" s="40">
        <v>137</v>
      </c>
      <c r="M1958" s="40">
        <v>1016</v>
      </c>
      <c r="N1958" s="40">
        <v>45</v>
      </c>
      <c r="O1958" s="40">
        <v>503</v>
      </c>
      <c r="P1958" s="40">
        <v>248</v>
      </c>
      <c r="Q1958" s="40">
        <v>0</v>
      </c>
      <c r="R1958" s="40">
        <v>132</v>
      </c>
      <c r="S1958" s="40">
        <v>89</v>
      </c>
    </row>
    <row r="1959" spans="1:19" x14ac:dyDescent="0.35">
      <c r="A1959" s="38">
        <v>2322</v>
      </c>
      <c r="B1959" s="38" t="str">
        <f>_xlfn.XLOOKUP(A1959,'Model Modeshare by TAZ'!A:A,'Model Modeshare by TAZ'!B:B)</f>
        <v>Oakland</v>
      </c>
      <c r="C1959" s="38" t="str">
        <f>_xlfn.XLOOKUP(A1959,'Model Modeshare by TAZ'!A:A,'Model Modeshare by TAZ'!D:D)</f>
        <v>NO</v>
      </c>
      <c r="D1959" s="6">
        <v>4</v>
      </c>
      <c r="E1959" s="6">
        <v>1019</v>
      </c>
      <c r="F1959" s="6">
        <v>2595</v>
      </c>
      <c r="G1959" s="6">
        <v>2595</v>
      </c>
      <c r="H1959" s="6">
        <v>1455</v>
      </c>
      <c r="I1959" s="6">
        <v>389</v>
      </c>
      <c r="J1959" s="6">
        <v>630</v>
      </c>
      <c r="K1959" s="40">
        <v>57</v>
      </c>
      <c r="L1959" s="40">
        <v>54</v>
      </c>
      <c r="M1959" s="40">
        <v>374</v>
      </c>
      <c r="N1959" s="40">
        <v>12</v>
      </c>
      <c r="O1959" s="40">
        <v>194</v>
      </c>
      <c r="P1959" s="40">
        <v>77</v>
      </c>
      <c r="Q1959" s="40">
        <v>0</v>
      </c>
      <c r="R1959" s="40">
        <v>72</v>
      </c>
      <c r="S1959" s="40">
        <v>19</v>
      </c>
    </row>
    <row r="1960" spans="1:19" x14ac:dyDescent="0.35">
      <c r="A1960" s="38">
        <v>2323</v>
      </c>
      <c r="B1960" s="38" t="str">
        <f>_xlfn.XLOOKUP(A1960,'Model Modeshare by TAZ'!A:A,'Model Modeshare by TAZ'!B:B)</f>
        <v>Emeryville</v>
      </c>
      <c r="C1960" s="38" t="str">
        <f>_xlfn.XLOOKUP(A1960,'Model Modeshare by TAZ'!A:A,'Model Modeshare by TAZ'!D:D)</f>
        <v>NO</v>
      </c>
      <c r="D1960" s="6">
        <v>4</v>
      </c>
      <c r="E1960" s="6">
        <v>5832</v>
      </c>
      <c r="F1960" s="6">
        <v>10195</v>
      </c>
      <c r="G1960" s="6">
        <v>10200</v>
      </c>
      <c r="H1960" s="6">
        <v>6441</v>
      </c>
      <c r="I1960" s="6">
        <v>686</v>
      </c>
      <c r="J1960" s="6">
        <v>5146</v>
      </c>
      <c r="K1960" s="40">
        <v>79</v>
      </c>
      <c r="L1960" s="40">
        <v>500</v>
      </c>
      <c r="M1960" s="40">
        <v>22091</v>
      </c>
      <c r="N1960" s="40">
        <v>2972</v>
      </c>
      <c r="O1960" s="40">
        <v>8788</v>
      </c>
      <c r="P1960" s="40">
        <v>3386</v>
      </c>
      <c r="Q1960" s="40">
        <v>38</v>
      </c>
      <c r="R1960" s="40">
        <v>4623</v>
      </c>
      <c r="S1960" s="40">
        <v>2284</v>
      </c>
    </row>
    <row r="1961" spans="1:19" x14ac:dyDescent="0.35">
      <c r="A1961" s="38">
        <v>2324</v>
      </c>
      <c r="B1961" s="38" t="str">
        <f>_xlfn.XLOOKUP(A1961,'Model Modeshare by TAZ'!A:A,'Model Modeshare by TAZ'!B:B)</f>
        <v>Oakland</v>
      </c>
      <c r="C1961" s="38" t="str">
        <f>_xlfn.XLOOKUP(A1961,'Model Modeshare by TAZ'!A:A,'Model Modeshare by TAZ'!D:D)</f>
        <v>NO</v>
      </c>
      <c r="D1961" s="6">
        <v>4</v>
      </c>
      <c r="E1961" s="6">
        <v>1082</v>
      </c>
      <c r="F1961" s="6">
        <v>2421</v>
      </c>
      <c r="G1961" s="6">
        <v>2421</v>
      </c>
      <c r="H1961" s="6">
        <v>1463</v>
      </c>
      <c r="I1961" s="6">
        <v>562</v>
      </c>
      <c r="J1961" s="6">
        <v>520</v>
      </c>
      <c r="K1961" s="40">
        <v>72</v>
      </c>
      <c r="L1961" s="40">
        <v>29</v>
      </c>
      <c r="M1961" s="40">
        <v>425</v>
      </c>
      <c r="N1961" s="40">
        <v>93</v>
      </c>
      <c r="O1961" s="40">
        <v>119</v>
      </c>
      <c r="P1961" s="40">
        <v>115</v>
      </c>
      <c r="Q1961" s="40">
        <v>0</v>
      </c>
      <c r="R1961" s="40">
        <v>45</v>
      </c>
      <c r="S1961" s="40">
        <v>54</v>
      </c>
    </row>
    <row r="1962" spans="1:19" x14ac:dyDescent="0.35">
      <c r="A1962" s="38">
        <v>2325</v>
      </c>
      <c r="B1962" s="38" t="str">
        <f>_xlfn.XLOOKUP(A1962,'Model Modeshare by TAZ'!A:A,'Model Modeshare by TAZ'!B:B)</f>
        <v>Oakland</v>
      </c>
      <c r="C1962" s="38" t="str">
        <f>_xlfn.XLOOKUP(A1962,'Model Modeshare by TAZ'!A:A,'Model Modeshare by TAZ'!D:D)</f>
        <v>NO</v>
      </c>
      <c r="D1962" s="6">
        <v>4</v>
      </c>
      <c r="E1962" s="6">
        <v>1759</v>
      </c>
      <c r="F1962" s="6">
        <v>3902</v>
      </c>
      <c r="G1962" s="6">
        <v>3951</v>
      </c>
      <c r="H1962" s="6">
        <v>2349</v>
      </c>
      <c r="I1962" s="6">
        <v>825</v>
      </c>
      <c r="J1962" s="6">
        <v>934</v>
      </c>
      <c r="K1962" s="40">
        <v>95</v>
      </c>
      <c r="L1962" s="40">
        <v>67</v>
      </c>
      <c r="M1962" s="40">
        <v>859</v>
      </c>
      <c r="N1962" s="40">
        <v>217</v>
      </c>
      <c r="O1962" s="40">
        <v>202</v>
      </c>
      <c r="P1962" s="40">
        <v>55</v>
      </c>
      <c r="Q1962" s="40">
        <v>3</v>
      </c>
      <c r="R1962" s="40">
        <v>254</v>
      </c>
      <c r="S1962" s="40">
        <v>128</v>
      </c>
    </row>
    <row r="1963" spans="1:19" x14ac:dyDescent="0.35">
      <c r="A1963" s="38">
        <v>2326</v>
      </c>
      <c r="B1963" s="38" t="str">
        <f>_xlfn.XLOOKUP(A1963,'Model Modeshare by TAZ'!A:A,'Model Modeshare by TAZ'!B:B)</f>
        <v>Berkeley</v>
      </c>
      <c r="C1963" s="38" t="str">
        <f>_xlfn.XLOOKUP(A1963,'Model Modeshare by TAZ'!A:A,'Model Modeshare by TAZ'!D:D)</f>
        <v>NO</v>
      </c>
      <c r="D1963" s="6">
        <v>4</v>
      </c>
      <c r="E1963" s="6">
        <v>843</v>
      </c>
      <c r="F1963" s="6">
        <v>2146</v>
      </c>
      <c r="G1963" s="6">
        <v>2151</v>
      </c>
      <c r="H1963" s="6">
        <v>1083</v>
      </c>
      <c r="I1963" s="6">
        <v>452</v>
      </c>
      <c r="J1963" s="6">
        <v>391</v>
      </c>
      <c r="K1963" s="40">
        <v>59</v>
      </c>
      <c r="L1963" s="40">
        <v>16</v>
      </c>
      <c r="M1963" s="40">
        <v>76</v>
      </c>
      <c r="N1963" s="40">
        <v>23</v>
      </c>
      <c r="O1963" s="40">
        <v>38</v>
      </c>
      <c r="P1963" s="40">
        <v>5</v>
      </c>
      <c r="Q1963" s="40">
        <v>0</v>
      </c>
      <c r="R1963" s="40">
        <v>8</v>
      </c>
      <c r="S1963" s="40">
        <v>3</v>
      </c>
    </row>
    <row r="1964" spans="1:19" x14ac:dyDescent="0.35">
      <c r="A1964" s="38">
        <v>2327</v>
      </c>
      <c r="B1964" s="38" t="str">
        <f>_xlfn.XLOOKUP(A1964,'Model Modeshare by TAZ'!A:A,'Model Modeshare by TAZ'!B:B)</f>
        <v>Berkeley</v>
      </c>
      <c r="C1964" s="38" t="str">
        <f>_xlfn.XLOOKUP(A1964,'Model Modeshare by TAZ'!A:A,'Model Modeshare by TAZ'!D:D)</f>
        <v>NO</v>
      </c>
      <c r="D1964" s="6">
        <v>4</v>
      </c>
      <c r="E1964" s="6">
        <v>1521</v>
      </c>
      <c r="F1964" s="6">
        <v>4098</v>
      </c>
      <c r="G1964" s="6">
        <v>4182</v>
      </c>
      <c r="H1964" s="6">
        <v>2505</v>
      </c>
      <c r="I1964" s="6">
        <v>452</v>
      </c>
      <c r="J1964" s="6">
        <v>1069</v>
      </c>
      <c r="K1964" s="40">
        <v>94</v>
      </c>
      <c r="L1964" s="40">
        <v>26</v>
      </c>
      <c r="M1964" s="40">
        <v>368</v>
      </c>
      <c r="N1964" s="40">
        <v>111</v>
      </c>
      <c r="O1964" s="40">
        <v>190</v>
      </c>
      <c r="P1964" s="40">
        <v>16</v>
      </c>
      <c r="Q1964" s="40">
        <v>0</v>
      </c>
      <c r="R1964" s="40">
        <v>38</v>
      </c>
      <c r="S1964" s="40">
        <v>13</v>
      </c>
    </row>
    <row r="1965" spans="1:19" x14ac:dyDescent="0.35">
      <c r="A1965" s="38">
        <v>2328</v>
      </c>
      <c r="B1965" s="38" t="str">
        <f>_xlfn.XLOOKUP(A1965,'Model Modeshare by TAZ'!A:A,'Model Modeshare by TAZ'!B:B)</f>
        <v>Oakland</v>
      </c>
      <c r="C1965" s="38" t="str">
        <f>_xlfn.XLOOKUP(A1965,'Model Modeshare by TAZ'!A:A,'Model Modeshare by TAZ'!D:D)</f>
        <v>NO</v>
      </c>
      <c r="D1965" s="6">
        <v>4</v>
      </c>
      <c r="E1965" s="6">
        <v>1856</v>
      </c>
      <c r="F1965" s="6">
        <v>4706</v>
      </c>
      <c r="G1965" s="6">
        <v>4727</v>
      </c>
      <c r="H1965" s="6">
        <v>2582</v>
      </c>
      <c r="I1965" s="6">
        <v>912</v>
      </c>
      <c r="J1965" s="6">
        <v>944</v>
      </c>
      <c r="K1965" s="40">
        <v>134</v>
      </c>
      <c r="L1965" s="40">
        <v>60</v>
      </c>
      <c r="M1965" s="40">
        <v>1064</v>
      </c>
      <c r="N1965" s="40">
        <v>79</v>
      </c>
      <c r="O1965" s="40">
        <v>682</v>
      </c>
      <c r="P1965" s="40">
        <v>61</v>
      </c>
      <c r="Q1965" s="40">
        <v>0</v>
      </c>
      <c r="R1965" s="40">
        <v>142</v>
      </c>
      <c r="S1965" s="40">
        <v>100</v>
      </c>
    </row>
    <row r="1966" spans="1:19" x14ac:dyDescent="0.35">
      <c r="A1966" s="38">
        <v>2329</v>
      </c>
      <c r="B1966" s="38" t="str">
        <f>_xlfn.XLOOKUP(A1966,'Model Modeshare by TAZ'!A:A,'Model Modeshare by TAZ'!B:B)</f>
        <v>Oakland</v>
      </c>
      <c r="C1966" s="38" t="str">
        <f>_xlfn.XLOOKUP(A1966,'Model Modeshare by TAZ'!A:A,'Model Modeshare by TAZ'!D:D)</f>
        <v>NO</v>
      </c>
      <c r="D1966" s="6">
        <v>4</v>
      </c>
      <c r="E1966" s="6">
        <v>660</v>
      </c>
      <c r="F1966" s="6">
        <v>1531</v>
      </c>
      <c r="G1966" s="6">
        <v>1540</v>
      </c>
      <c r="H1966" s="6">
        <v>938</v>
      </c>
      <c r="I1966" s="6">
        <v>318</v>
      </c>
      <c r="J1966" s="6">
        <v>342</v>
      </c>
      <c r="K1966" s="40">
        <v>60</v>
      </c>
      <c r="L1966" s="40">
        <v>16</v>
      </c>
      <c r="M1966" s="40">
        <v>377</v>
      </c>
      <c r="N1966" s="40">
        <v>199</v>
      </c>
      <c r="O1966" s="40">
        <v>47</v>
      </c>
      <c r="P1966" s="40">
        <v>7</v>
      </c>
      <c r="Q1966" s="40">
        <v>0</v>
      </c>
      <c r="R1966" s="40">
        <v>11</v>
      </c>
      <c r="S1966" s="40">
        <v>112</v>
      </c>
    </row>
    <row r="1967" spans="1:19" x14ac:dyDescent="0.35">
      <c r="A1967" s="38">
        <v>2330</v>
      </c>
      <c r="B1967" s="38" t="str">
        <f>_xlfn.XLOOKUP(A1967,'Model Modeshare by TAZ'!A:A,'Model Modeshare by TAZ'!B:B)</f>
        <v>Oakland</v>
      </c>
      <c r="C1967" s="38" t="str">
        <f>_xlfn.XLOOKUP(A1967,'Model Modeshare by TAZ'!A:A,'Model Modeshare by TAZ'!D:D)</f>
        <v>NO</v>
      </c>
      <c r="D1967" s="6">
        <v>4</v>
      </c>
      <c r="E1967" s="6">
        <v>2283</v>
      </c>
      <c r="F1967" s="6">
        <v>4935</v>
      </c>
      <c r="G1967" s="6">
        <v>4964</v>
      </c>
      <c r="H1967" s="6">
        <v>3018</v>
      </c>
      <c r="I1967" s="6">
        <v>1173</v>
      </c>
      <c r="J1967" s="6">
        <v>1110</v>
      </c>
      <c r="K1967" s="40">
        <v>194</v>
      </c>
      <c r="L1967" s="40">
        <v>37</v>
      </c>
      <c r="M1967" s="40">
        <v>1869</v>
      </c>
      <c r="N1967" s="40">
        <v>557</v>
      </c>
      <c r="O1967" s="40">
        <v>821</v>
      </c>
      <c r="P1967" s="40">
        <v>329</v>
      </c>
      <c r="Q1967" s="40">
        <v>6</v>
      </c>
      <c r="R1967" s="40">
        <v>55</v>
      </c>
      <c r="S1967" s="40">
        <v>101</v>
      </c>
    </row>
    <row r="1968" spans="1:19" x14ac:dyDescent="0.35">
      <c r="A1968" s="38">
        <v>2331</v>
      </c>
      <c r="B1968" s="38" t="str">
        <f>_xlfn.XLOOKUP(A1968,'Model Modeshare by TAZ'!A:A,'Model Modeshare by TAZ'!B:B)</f>
        <v>Oakland</v>
      </c>
      <c r="C1968" s="38" t="str">
        <f>_xlfn.XLOOKUP(A1968,'Model Modeshare by TAZ'!A:A,'Model Modeshare by TAZ'!D:D)</f>
        <v>NO</v>
      </c>
      <c r="D1968" s="6">
        <v>4</v>
      </c>
      <c r="E1968" s="6">
        <v>953</v>
      </c>
      <c r="F1968" s="6">
        <v>2157</v>
      </c>
      <c r="G1968" s="6">
        <v>2248</v>
      </c>
      <c r="H1968" s="6">
        <v>1423</v>
      </c>
      <c r="I1968" s="6">
        <v>588</v>
      </c>
      <c r="J1968" s="6">
        <v>365</v>
      </c>
      <c r="K1968" s="40">
        <v>113</v>
      </c>
      <c r="L1968" s="40">
        <v>25</v>
      </c>
      <c r="M1968" s="40">
        <v>2139</v>
      </c>
      <c r="N1968" s="40">
        <v>790</v>
      </c>
      <c r="O1968" s="40">
        <v>941</v>
      </c>
      <c r="P1968" s="40">
        <v>198</v>
      </c>
      <c r="Q1968" s="40">
        <v>0</v>
      </c>
      <c r="R1968" s="40">
        <v>192</v>
      </c>
      <c r="S1968" s="40">
        <v>18</v>
      </c>
    </row>
    <row r="1969" spans="1:19" x14ac:dyDescent="0.35">
      <c r="A1969" s="38">
        <v>2332</v>
      </c>
      <c r="B1969" s="38" t="str">
        <f>_xlfn.XLOOKUP(A1969,'Model Modeshare by TAZ'!A:A,'Model Modeshare by TAZ'!B:B)</f>
        <v>Oakland</v>
      </c>
      <c r="C1969" s="38" t="str">
        <f>_xlfn.XLOOKUP(A1969,'Model Modeshare by TAZ'!A:A,'Model Modeshare by TAZ'!D:D)</f>
        <v>NO</v>
      </c>
      <c r="D1969" s="6">
        <v>4</v>
      </c>
      <c r="E1969" s="6">
        <v>1869</v>
      </c>
      <c r="F1969" s="6">
        <v>4295</v>
      </c>
      <c r="G1969" s="6">
        <v>4359</v>
      </c>
      <c r="H1969" s="6">
        <v>2681</v>
      </c>
      <c r="I1969" s="6">
        <v>916</v>
      </c>
      <c r="J1969" s="6">
        <v>953</v>
      </c>
      <c r="K1969" s="40">
        <v>125</v>
      </c>
      <c r="L1969" s="40">
        <v>37</v>
      </c>
      <c r="M1969" s="40">
        <v>916</v>
      </c>
      <c r="N1969" s="40">
        <v>239</v>
      </c>
      <c r="O1969" s="40">
        <v>396</v>
      </c>
      <c r="P1969" s="40">
        <v>138</v>
      </c>
      <c r="Q1969" s="40">
        <v>0</v>
      </c>
      <c r="R1969" s="40">
        <v>24</v>
      </c>
      <c r="S1969" s="40">
        <v>118</v>
      </c>
    </row>
    <row r="1970" spans="1:19" x14ac:dyDescent="0.35">
      <c r="A1970" s="38">
        <v>2333</v>
      </c>
      <c r="B1970" s="38" t="str">
        <f>_xlfn.XLOOKUP(A1970,'Model Modeshare by TAZ'!A:A,'Model Modeshare by TAZ'!B:B)</f>
        <v>Oakland</v>
      </c>
      <c r="C1970" s="38" t="str">
        <f>_xlfn.XLOOKUP(A1970,'Model Modeshare by TAZ'!A:A,'Model Modeshare by TAZ'!D:D)</f>
        <v>NO</v>
      </c>
      <c r="D1970" s="6">
        <v>4</v>
      </c>
      <c r="E1970" s="6">
        <v>1546</v>
      </c>
      <c r="F1970" s="6">
        <v>3529</v>
      </c>
      <c r="G1970" s="6">
        <v>3530</v>
      </c>
      <c r="H1970" s="6">
        <v>2306</v>
      </c>
      <c r="I1970" s="6">
        <v>692</v>
      </c>
      <c r="J1970" s="6">
        <v>854</v>
      </c>
      <c r="K1970" s="40">
        <v>119</v>
      </c>
      <c r="L1970" s="40">
        <v>8</v>
      </c>
      <c r="M1970" s="40">
        <v>381</v>
      </c>
      <c r="N1970" s="40">
        <v>134</v>
      </c>
      <c r="O1970" s="40">
        <v>129</v>
      </c>
      <c r="P1970" s="40">
        <v>84</v>
      </c>
      <c r="Q1970" s="40">
        <v>0</v>
      </c>
      <c r="R1970" s="40">
        <v>15</v>
      </c>
      <c r="S1970" s="40">
        <v>19</v>
      </c>
    </row>
    <row r="1971" spans="1:19" x14ac:dyDescent="0.35">
      <c r="A1971" s="38">
        <v>2334</v>
      </c>
      <c r="B1971" s="38" t="str">
        <f>_xlfn.XLOOKUP(A1971,'Model Modeshare by TAZ'!A:A,'Model Modeshare by TAZ'!B:B)</f>
        <v>Berkeley</v>
      </c>
      <c r="C1971" s="38" t="str">
        <f>_xlfn.XLOOKUP(A1971,'Model Modeshare by TAZ'!A:A,'Model Modeshare by TAZ'!D:D)</f>
        <v>NO</v>
      </c>
      <c r="D1971" s="6">
        <v>4</v>
      </c>
      <c r="E1971" s="6">
        <v>786</v>
      </c>
      <c r="F1971" s="6">
        <v>1783</v>
      </c>
      <c r="G1971" s="6">
        <v>1796</v>
      </c>
      <c r="H1971" s="6">
        <v>1150</v>
      </c>
      <c r="I1971" s="6">
        <v>313</v>
      </c>
      <c r="J1971" s="6">
        <v>473</v>
      </c>
      <c r="K1971" s="40">
        <v>40</v>
      </c>
      <c r="L1971" s="40">
        <v>44</v>
      </c>
      <c r="M1971" s="40">
        <v>897</v>
      </c>
      <c r="N1971" s="40">
        <v>134</v>
      </c>
      <c r="O1971" s="40">
        <v>698</v>
      </c>
      <c r="P1971" s="40">
        <v>47</v>
      </c>
      <c r="Q1971" s="40">
        <v>1</v>
      </c>
      <c r="R1971" s="40">
        <v>14</v>
      </c>
      <c r="S1971" s="40">
        <v>4</v>
      </c>
    </row>
    <row r="1972" spans="1:19" x14ac:dyDescent="0.35">
      <c r="A1972" s="38">
        <v>2335</v>
      </c>
      <c r="B1972" s="38" t="str">
        <f>_xlfn.XLOOKUP(A1972,'Model Modeshare by TAZ'!A:A,'Model Modeshare by TAZ'!B:B)</f>
        <v>Berkeley</v>
      </c>
      <c r="C1972" s="38" t="str">
        <f>_xlfn.XLOOKUP(A1972,'Model Modeshare by TAZ'!A:A,'Model Modeshare by TAZ'!D:D)</f>
        <v>NO</v>
      </c>
      <c r="D1972" s="6">
        <v>4</v>
      </c>
      <c r="E1972" s="6">
        <v>682</v>
      </c>
      <c r="F1972" s="6">
        <v>1414</v>
      </c>
      <c r="G1972" s="6">
        <v>1463</v>
      </c>
      <c r="H1972" s="6">
        <v>857</v>
      </c>
      <c r="I1972" s="6">
        <v>241</v>
      </c>
      <c r="J1972" s="6">
        <v>441</v>
      </c>
      <c r="K1972" s="40">
        <v>55</v>
      </c>
      <c r="L1972" s="40">
        <v>22</v>
      </c>
      <c r="M1972" s="40">
        <v>3378</v>
      </c>
      <c r="N1972" s="40">
        <v>503</v>
      </c>
      <c r="O1972" s="40">
        <v>2624</v>
      </c>
      <c r="P1972" s="40">
        <v>172</v>
      </c>
      <c r="Q1972" s="40">
        <v>3</v>
      </c>
      <c r="R1972" s="40">
        <v>58</v>
      </c>
      <c r="S1972" s="40">
        <v>19</v>
      </c>
    </row>
    <row r="1973" spans="1:19" x14ac:dyDescent="0.35">
      <c r="A1973" s="38">
        <v>2336</v>
      </c>
      <c r="B1973" s="38" t="str">
        <f>_xlfn.XLOOKUP(A1973,'Model Modeshare by TAZ'!A:A,'Model Modeshare by TAZ'!B:B)</f>
        <v>Berkeley</v>
      </c>
      <c r="C1973" s="38" t="str">
        <f>_xlfn.XLOOKUP(A1973,'Model Modeshare by TAZ'!A:A,'Model Modeshare by TAZ'!D:D)</f>
        <v>NO</v>
      </c>
      <c r="D1973" s="6">
        <v>4</v>
      </c>
      <c r="E1973" s="6">
        <v>1335</v>
      </c>
      <c r="F1973" s="6">
        <v>3171</v>
      </c>
      <c r="G1973" s="6">
        <v>3171</v>
      </c>
      <c r="H1973" s="6">
        <v>1497</v>
      </c>
      <c r="I1973" s="6">
        <v>1016</v>
      </c>
      <c r="J1973" s="6">
        <v>319</v>
      </c>
      <c r="K1973" s="40">
        <v>246</v>
      </c>
      <c r="L1973" s="40">
        <v>9</v>
      </c>
      <c r="M1973" s="40">
        <v>1653</v>
      </c>
      <c r="N1973" s="40">
        <v>918</v>
      </c>
      <c r="O1973" s="40">
        <v>397</v>
      </c>
      <c r="P1973" s="40">
        <v>278</v>
      </c>
      <c r="Q1973" s="40">
        <v>4</v>
      </c>
      <c r="R1973" s="40">
        <v>56</v>
      </c>
      <c r="S1973" s="40">
        <v>0</v>
      </c>
    </row>
    <row r="1974" spans="1:19" x14ac:dyDescent="0.35">
      <c r="A1974" s="38">
        <v>2337</v>
      </c>
      <c r="B1974" s="38" t="str">
        <f>_xlfn.XLOOKUP(A1974,'Model Modeshare by TAZ'!A:A,'Model Modeshare by TAZ'!B:B)</f>
        <v>Oakland</v>
      </c>
      <c r="C1974" s="38" t="str">
        <f>_xlfn.XLOOKUP(A1974,'Model Modeshare by TAZ'!A:A,'Model Modeshare by TAZ'!D:D)</f>
        <v>NO</v>
      </c>
      <c r="D1974" s="6">
        <v>4</v>
      </c>
      <c r="E1974" s="6">
        <v>1296</v>
      </c>
      <c r="F1974" s="6">
        <v>3027</v>
      </c>
      <c r="G1974" s="6">
        <v>3027</v>
      </c>
      <c r="H1974" s="6">
        <v>1573</v>
      </c>
      <c r="I1974" s="6">
        <v>1239</v>
      </c>
      <c r="J1974" s="6">
        <v>57</v>
      </c>
      <c r="K1974" s="40">
        <v>482</v>
      </c>
      <c r="L1974" s="40">
        <v>565</v>
      </c>
      <c r="M1974" s="40">
        <v>282</v>
      </c>
      <c r="N1974" s="40">
        <v>13</v>
      </c>
      <c r="O1974" s="40">
        <v>237</v>
      </c>
      <c r="P1974" s="40">
        <v>28</v>
      </c>
      <c r="Q1974" s="40">
        <v>1</v>
      </c>
      <c r="R1974" s="40">
        <v>2</v>
      </c>
      <c r="S1974" s="40">
        <v>1</v>
      </c>
    </row>
    <row r="1975" spans="1:19" x14ac:dyDescent="0.35">
      <c r="A1975" s="38">
        <v>2338</v>
      </c>
      <c r="B1975" s="38" t="str">
        <f>_xlfn.XLOOKUP(A1975,'Model Modeshare by TAZ'!A:A,'Model Modeshare by TAZ'!B:B)</f>
        <v>Berkeley</v>
      </c>
      <c r="C1975" s="38" t="str">
        <f>_xlfn.XLOOKUP(A1975,'Model Modeshare by TAZ'!A:A,'Model Modeshare by TAZ'!D:D)</f>
        <v>NO</v>
      </c>
      <c r="D1975" s="6">
        <v>4</v>
      </c>
      <c r="E1975" s="6">
        <v>1359</v>
      </c>
      <c r="F1975" s="6">
        <v>3243</v>
      </c>
      <c r="G1975" s="6">
        <v>4110</v>
      </c>
      <c r="H1975" s="6">
        <v>1827</v>
      </c>
      <c r="I1975" s="6">
        <v>464</v>
      </c>
      <c r="J1975" s="6">
        <v>895</v>
      </c>
      <c r="K1975" s="40">
        <v>155</v>
      </c>
      <c r="L1975" s="40">
        <v>38</v>
      </c>
      <c r="M1975" s="40">
        <v>773</v>
      </c>
      <c r="N1975" s="40">
        <v>443</v>
      </c>
      <c r="O1975" s="40">
        <v>258</v>
      </c>
      <c r="P1975" s="40">
        <v>48</v>
      </c>
      <c r="Q1975" s="40">
        <v>2</v>
      </c>
      <c r="R1975" s="40">
        <v>6</v>
      </c>
      <c r="S1975" s="40">
        <v>17</v>
      </c>
    </row>
    <row r="1976" spans="1:19" x14ac:dyDescent="0.35">
      <c r="A1976" s="38">
        <v>2339</v>
      </c>
      <c r="B1976" s="38" t="str">
        <f>_xlfn.XLOOKUP(A1976,'Model Modeshare by TAZ'!A:A,'Model Modeshare by TAZ'!B:B)</f>
        <v>Berkeley</v>
      </c>
      <c r="C1976" s="38" t="str">
        <f>_xlfn.XLOOKUP(A1976,'Model Modeshare by TAZ'!A:A,'Model Modeshare by TAZ'!D:D)</f>
        <v>NO</v>
      </c>
      <c r="D1976" s="6">
        <v>4</v>
      </c>
      <c r="E1976" s="6">
        <v>1019</v>
      </c>
      <c r="F1976" s="6">
        <v>2578</v>
      </c>
      <c r="G1976" s="6">
        <v>4895</v>
      </c>
      <c r="H1976" s="6">
        <v>1949</v>
      </c>
      <c r="I1976" s="6">
        <v>181</v>
      </c>
      <c r="J1976" s="6">
        <v>838</v>
      </c>
      <c r="K1976" s="40">
        <v>68</v>
      </c>
      <c r="L1976" s="40">
        <v>22</v>
      </c>
      <c r="M1976" s="40">
        <v>342</v>
      </c>
      <c r="N1976" s="40">
        <v>7</v>
      </c>
      <c r="O1976" s="40">
        <v>318</v>
      </c>
      <c r="P1976" s="40">
        <v>17</v>
      </c>
      <c r="Q1976" s="40">
        <v>1</v>
      </c>
      <c r="R1976" s="40">
        <v>0</v>
      </c>
      <c r="S1976" s="40">
        <v>0</v>
      </c>
    </row>
    <row r="1977" spans="1:19" x14ac:dyDescent="0.35">
      <c r="A1977" s="38">
        <v>2340</v>
      </c>
      <c r="B1977" s="38" t="str">
        <f>_xlfn.XLOOKUP(A1977,'Model Modeshare by TAZ'!A:A,'Model Modeshare by TAZ'!B:B)</f>
        <v>Berkeley</v>
      </c>
      <c r="C1977" s="38" t="str">
        <f>_xlfn.XLOOKUP(A1977,'Model Modeshare by TAZ'!A:A,'Model Modeshare by TAZ'!D:D)</f>
        <v>NO</v>
      </c>
      <c r="D1977" s="6">
        <v>4</v>
      </c>
      <c r="E1977" s="6">
        <v>1389</v>
      </c>
      <c r="F1977" s="6">
        <v>2889</v>
      </c>
      <c r="G1977" s="6">
        <v>8648</v>
      </c>
      <c r="H1977" s="6">
        <v>2574</v>
      </c>
      <c r="I1977" s="6">
        <v>45</v>
      </c>
      <c r="J1977" s="6">
        <v>1344</v>
      </c>
      <c r="K1977" s="40">
        <v>63</v>
      </c>
      <c r="L1977" s="40">
        <v>41</v>
      </c>
      <c r="M1977" s="40">
        <v>3757</v>
      </c>
      <c r="N1977" s="40">
        <v>916</v>
      </c>
      <c r="O1977" s="40">
        <v>2699</v>
      </c>
      <c r="P1977" s="40">
        <v>82</v>
      </c>
      <c r="Q1977" s="40">
        <v>1</v>
      </c>
      <c r="R1977" s="40">
        <v>33</v>
      </c>
      <c r="S1977" s="40">
        <v>26</v>
      </c>
    </row>
    <row r="1978" spans="1:19" x14ac:dyDescent="0.35">
      <c r="A1978" s="38">
        <v>2341</v>
      </c>
      <c r="B1978" s="38" t="str">
        <f>_xlfn.XLOOKUP(A1978,'Model Modeshare by TAZ'!A:A,'Model Modeshare by TAZ'!B:B)</f>
        <v>Berkeley</v>
      </c>
      <c r="C1978" s="38" t="str">
        <f>_xlfn.XLOOKUP(A1978,'Model Modeshare by TAZ'!A:A,'Model Modeshare by TAZ'!D:D)</f>
        <v>NO</v>
      </c>
      <c r="D1978" s="6">
        <v>4</v>
      </c>
      <c r="E1978" s="6">
        <v>2262</v>
      </c>
      <c r="F1978" s="6">
        <v>5350</v>
      </c>
      <c r="G1978" s="6">
        <v>5455</v>
      </c>
      <c r="H1978" s="6">
        <v>2816</v>
      </c>
      <c r="I1978" s="6">
        <v>294</v>
      </c>
      <c r="J1978" s="6">
        <v>1968</v>
      </c>
      <c r="K1978" s="40">
        <v>80</v>
      </c>
      <c r="L1978" s="40">
        <v>19</v>
      </c>
      <c r="M1978" s="40">
        <v>518</v>
      </c>
      <c r="N1978" s="40">
        <v>110</v>
      </c>
      <c r="O1978" s="40">
        <v>300</v>
      </c>
      <c r="P1978" s="40">
        <v>104</v>
      </c>
      <c r="Q1978" s="40">
        <v>0</v>
      </c>
      <c r="R1978" s="40">
        <v>1</v>
      </c>
      <c r="S1978" s="40">
        <v>4</v>
      </c>
    </row>
    <row r="1979" spans="1:19" x14ac:dyDescent="0.35">
      <c r="A1979" s="38">
        <v>2342</v>
      </c>
      <c r="B1979" s="38" t="str">
        <f>_xlfn.XLOOKUP(A1979,'Model Modeshare by TAZ'!A:A,'Model Modeshare by TAZ'!B:B)</f>
        <v>Berkeley</v>
      </c>
      <c r="C1979" s="38" t="str">
        <f>_xlfn.XLOOKUP(A1979,'Model Modeshare by TAZ'!A:A,'Model Modeshare by TAZ'!D:D)</f>
        <v>NO</v>
      </c>
      <c r="D1979" s="6">
        <v>4</v>
      </c>
      <c r="E1979" s="6">
        <v>1170</v>
      </c>
      <c r="F1979" s="6">
        <v>2698</v>
      </c>
      <c r="G1979" s="6">
        <v>2752</v>
      </c>
      <c r="H1979" s="6">
        <v>1608</v>
      </c>
      <c r="I1979" s="6">
        <v>530</v>
      </c>
      <c r="J1979" s="6">
        <v>640</v>
      </c>
      <c r="K1979" s="40">
        <v>94</v>
      </c>
      <c r="L1979" s="40">
        <v>33</v>
      </c>
      <c r="M1979" s="40">
        <v>1070</v>
      </c>
      <c r="N1979" s="40">
        <v>227</v>
      </c>
      <c r="O1979" s="40">
        <v>618</v>
      </c>
      <c r="P1979" s="40">
        <v>216</v>
      </c>
      <c r="Q1979" s="40">
        <v>0</v>
      </c>
      <c r="R1979" s="40">
        <v>2</v>
      </c>
      <c r="S1979" s="40">
        <v>7</v>
      </c>
    </row>
    <row r="1980" spans="1:19" x14ac:dyDescent="0.35">
      <c r="A1980" s="38">
        <v>2343</v>
      </c>
      <c r="B1980" s="38" t="str">
        <f>_xlfn.XLOOKUP(A1980,'Model Modeshare by TAZ'!A:A,'Model Modeshare by TAZ'!B:B)</f>
        <v>Berkeley</v>
      </c>
      <c r="C1980" s="38" t="str">
        <f>_xlfn.XLOOKUP(A1980,'Model Modeshare by TAZ'!A:A,'Model Modeshare by TAZ'!D:D)</f>
        <v>NO</v>
      </c>
      <c r="D1980" s="6">
        <v>4</v>
      </c>
      <c r="E1980" s="6">
        <v>1473</v>
      </c>
      <c r="F1980" s="6">
        <v>3091</v>
      </c>
      <c r="G1980" s="6">
        <v>3262</v>
      </c>
      <c r="H1980" s="6">
        <v>1739</v>
      </c>
      <c r="I1980" s="6">
        <v>534</v>
      </c>
      <c r="J1980" s="6">
        <v>939</v>
      </c>
      <c r="K1980" s="40">
        <v>79</v>
      </c>
      <c r="L1980" s="40">
        <v>69</v>
      </c>
      <c r="M1980" s="40">
        <v>1813</v>
      </c>
      <c r="N1980" s="40">
        <v>539</v>
      </c>
      <c r="O1980" s="40">
        <v>1090</v>
      </c>
      <c r="P1980" s="40">
        <v>125</v>
      </c>
      <c r="Q1980" s="40">
        <v>2</v>
      </c>
      <c r="R1980" s="40">
        <v>20</v>
      </c>
      <c r="S1980" s="40">
        <v>37</v>
      </c>
    </row>
    <row r="1981" spans="1:19" x14ac:dyDescent="0.35">
      <c r="A1981" s="38">
        <v>2344</v>
      </c>
      <c r="B1981" s="38" t="str">
        <f>_xlfn.XLOOKUP(A1981,'Model Modeshare by TAZ'!A:A,'Model Modeshare by TAZ'!B:B)</f>
        <v>Berkeley</v>
      </c>
      <c r="C1981" s="38" t="str">
        <f>_xlfn.XLOOKUP(A1981,'Model Modeshare by TAZ'!A:A,'Model Modeshare by TAZ'!D:D)</f>
        <v>NO</v>
      </c>
      <c r="D1981" s="6">
        <v>4</v>
      </c>
      <c r="E1981" s="6">
        <v>2084</v>
      </c>
      <c r="F1981" s="6">
        <v>5210</v>
      </c>
      <c r="G1981" s="6">
        <v>5242</v>
      </c>
      <c r="H1981" s="6">
        <v>2880</v>
      </c>
      <c r="I1981" s="6">
        <v>973</v>
      </c>
      <c r="J1981" s="6">
        <v>1111</v>
      </c>
      <c r="K1981" s="40">
        <v>151</v>
      </c>
      <c r="L1981" s="40">
        <v>31</v>
      </c>
      <c r="M1981" s="40">
        <v>380</v>
      </c>
      <c r="N1981" s="40">
        <v>9</v>
      </c>
      <c r="O1981" s="40">
        <v>285</v>
      </c>
      <c r="P1981" s="40">
        <v>70</v>
      </c>
      <c r="Q1981" s="40">
        <v>0</v>
      </c>
      <c r="R1981" s="40">
        <v>12</v>
      </c>
      <c r="S1981" s="40">
        <v>4</v>
      </c>
    </row>
    <row r="1982" spans="1:19" x14ac:dyDescent="0.35">
      <c r="A1982" s="38">
        <v>2345</v>
      </c>
      <c r="B1982" s="38" t="str">
        <f>_xlfn.XLOOKUP(A1982,'Model Modeshare by TAZ'!A:A,'Model Modeshare by TAZ'!B:B)</f>
        <v>Berkeley</v>
      </c>
      <c r="C1982" s="38" t="str">
        <f>_xlfn.XLOOKUP(A1982,'Model Modeshare by TAZ'!A:A,'Model Modeshare by TAZ'!D:D)</f>
        <v>NO</v>
      </c>
      <c r="D1982" s="6">
        <v>4</v>
      </c>
      <c r="E1982" s="6">
        <v>1665</v>
      </c>
      <c r="F1982" s="6">
        <v>4129</v>
      </c>
      <c r="G1982" s="6">
        <v>4129</v>
      </c>
      <c r="H1982" s="6">
        <v>2023</v>
      </c>
      <c r="I1982" s="6">
        <v>1100</v>
      </c>
      <c r="J1982" s="6">
        <v>565</v>
      </c>
      <c r="K1982" s="40">
        <v>90</v>
      </c>
      <c r="L1982" s="40">
        <v>67</v>
      </c>
      <c r="M1982" s="40">
        <v>545</v>
      </c>
      <c r="N1982" s="40">
        <v>43</v>
      </c>
      <c r="O1982" s="40">
        <v>442</v>
      </c>
      <c r="P1982" s="40">
        <v>26</v>
      </c>
      <c r="Q1982" s="40">
        <v>0</v>
      </c>
      <c r="R1982" s="40">
        <v>8</v>
      </c>
      <c r="S1982" s="40">
        <v>26</v>
      </c>
    </row>
    <row r="1983" spans="1:19" x14ac:dyDescent="0.35">
      <c r="A1983" s="38">
        <v>2346</v>
      </c>
      <c r="B1983" s="38" t="str">
        <f>_xlfn.XLOOKUP(A1983,'Model Modeshare by TAZ'!A:A,'Model Modeshare by TAZ'!B:B)</f>
        <v>Berkeley</v>
      </c>
      <c r="C1983" s="38" t="str">
        <f>_xlfn.XLOOKUP(A1983,'Model Modeshare by TAZ'!A:A,'Model Modeshare by TAZ'!D:D)</f>
        <v>NO</v>
      </c>
      <c r="D1983" s="6">
        <v>4</v>
      </c>
      <c r="E1983" s="6">
        <v>884</v>
      </c>
      <c r="F1983" s="6">
        <v>1953</v>
      </c>
      <c r="G1983" s="6">
        <v>2069</v>
      </c>
      <c r="H1983" s="6">
        <v>1049</v>
      </c>
      <c r="I1983" s="6">
        <v>423</v>
      </c>
      <c r="J1983" s="6">
        <v>461</v>
      </c>
      <c r="K1983" s="40">
        <v>8</v>
      </c>
      <c r="L1983" s="40">
        <v>487</v>
      </c>
      <c r="M1983" s="40">
        <v>17725</v>
      </c>
      <c r="N1983" s="40">
        <v>2245</v>
      </c>
      <c r="O1983" s="40">
        <v>7620</v>
      </c>
      <c r="P1983" s="40">
        <v>2307</v>
      </c>
      <c r="Q1983" s="40">
        <v>41</v>
      </c>
      <c r="R1983" s="40">
        <v>4209</v>
      </c>
      <c r="S1983" s="40">
        <v>1302</v>
      </c>
    </row>
    <row r="1984" spans="1:19" x14ac:dyDescent="0.35">
      <c r="A1984" s="38">
        <v>2347</v>
      </c>
      <c r="B1984" s="38" t="str">
        <f>_xlfn.XLOOKUP(A1984,'Model Modeshare by TAZ'!A:A,'Model Modeshare by TAZ'!B:B)</f>
        <v>Berkeley</v>
      </c>
      <c r="C1984" s="38" t="str">
        <f>_xlfn.XLOOKUP(A1984,'Model Modeshare by TAZ'!A:A,'Model Modeshare by TAZ'!D:D)</f>
        <v>NO</v>
      </c>
      <c r="D1984" s="6">
        <v>4</v>
      </c>
      <c r="E1984" s="6">
        <v>1130</v>
      </c>
      <c r="F1984" s="6">
        <v>2919</v>
      </c>
      <c r="G1984" s="6">
        <v>2932</v>
      </c>
      <c r="H1984" s="6">
        <v>1639</v>
      </c>
      <c r="I1984" s="6">
        <v>411</v>
      </c>
      <c r="J1984" s="6">
        <v>719</v>
      </c>
      <c r="K1984" s="40">
        <v>50</v>
      </c>
      <c r="L1984" s="40">
        <v>64</v>
      </c>
      <c r="M1984" s="40">
        <v>1238</v>
      </c>
      <c r="N1984" s="40">
        <v>377</v>
      </c>
      <c r="O1984" s="40">
        <v>465</v>
      </c>
      <c r="P1984" s="40">
        <v>226</v>
      </c>
      <c r="Q1984" s="40">
        <v>0</v>
      </c>
      <c r="R1984" s="40">
        <v>103</v>
      </c>
      <c r="S1984" s="40">
        <v>66</v>
      </c>
    </row>
    <row r="1985" spans="1:19" x14ac:dyDescent="0.35">
      <c r="A1985" s="38">
        <v>2348</v>
      </c>
      <c r="B1985" s="38" t="str">
        <f>_xlfn.XLOOKUP(A1985,'Model Modeshare by TAZ'!A:A,'Model Modeshare by TAZ'!B:B)</f>
        <v>Berkeley</v>
      </c>
      <c r="C1985" s="38" t="str">
        <f>_xlfn.XLOOKUP(A1985,'Model Modeshare by TAZ'!A:A,'Model Modeshare by TAZ'!D:D)</f>
        <v>NO</v>
      </c>
      <c r="D1985" s="6">
        <v>4</v>
      </c>
      <c r="E1985" s="6">
        <v>2011</v>
      </c>
      <c r="F1985" s="6">
        <v>4266</v>
      </c>
      <c r="G1985" s="6">
        <v>4307</v>
      </c>
      <c r="H1985" s="6">
        <v>2329</v>
      </c>
      <c r="I1985" s="6">
        <v>1058</v>
      </c>
      <c r="J1985" s="6">
        <v>953</v>
      </c>
      <c r="K1985" s="40">
        <v>153</v>
      </c>
      <c r="L1985" s="40">
        <v>30</v>
      </c>
      <c r="M1985" s="40">
        <v>2127</v>
      </c>
      <c r="N1985" s="40">
        <v>890</v>
      </c>
      <c r="O1985" s="40">
        <v>1016</v>
      </c>
      <c r="P1985" s="40">
        <v>127</v>
      </c>
      <c r="Q1985" s="40">
        <v>0</v>
      </c>
      <c r="R1985" s="40">
        <v>94</v>
      </c>
      <c r="S1985" s="40">
        <v>0</v>
      </c>
    </row>
    <row r="1986" spans="1:19" x14ac:dyDescent="0.35">
      <c r="A1986" s="38">
        <v>2349</v>
      </c>
      <c r="B1986" s="38" t="str">
        <f>_xlfn.XLOOKUP(A1986,'Model Modeshare by TAZ'!A:A,'Model Modeshare by TAZ'!B:B)</f>
        <v>Berkeley</v>
      </c>
      <c r="C1986" s="38" t="str">
        <f>_xlfn.XLOOKUP(A1986,'Model Modeshare by TAZ'!A:A,'Model Modeshare by TAZ'!D:D)</f>
        <v>NO</v>
      </c>
      <c r="D1986" s="6">
        <v>4</v>
      </c>
      <c r="E1986" s="6">
        <v>1928</v>
      </c>
      <c r="F1986" s="6">
        <v>4188</v>
      </c>
      <c r="G1986" s="6">
        <v>4284</v>
      </c>
      <c r="H1986" s="6">
        <v>2685</v>
      </c>
      <c r="I1986" s="6">
        <v>845</v>
      </c>
      <c r="J1986" s="6">
        <v>1083</v>
      </c>
      <c r="K1986" s="40">
        <v>162</v>
      </c>
      <c r="L1986" s="40">
        <v>13</v>
      </c>
      <c r="M1986" s="40">
        <v>642</v>
      </c>
      <c r="N1986" s="40">
        <v>69</v>
      </c>
      <c r="O1986" s="40">
        <v>211</v>
      </c>
      <c r="P1986" s="40">
        <v>307</v>
      </c>
      <c r="Q1986" s="40">
        <v>0</v>
      </c>
      <c r="R1986" s="40">
        <v>42</v>
      </c>
      <c r="S1986" s="40">
        <v>12</v>
      </c>
    </row>
    <row r="1987" spans="1:19" x14ac:dyDescent="0.35">
      <c r="A1987" s="38">
        <v>2350</v>
      </c>
      <c r="B1987" s="38" t="str">
        <f>_xlfn.XLOOKUP(A1987,'Model Modeshare by TAZ'!A:A,'Model Modeshare by TAZ'!B:B)</f>
        <v>Berkeley</v>
      </c>
      <c r="C1987" s="38" t="str">
        <f>_xlfn.XLOOKUP(A1987,'Model Modeshare by TAZ'!A:A,'Model Modeshare by TAZ'!D:D)</f>
        <v>NO</v>
      </c>
      <c r="D1987" s="6">
        <v>4</v>
      </c>
      <c r="E1987" s="6">
        <v>1937</v>
      </c>
      <c r="F1987" s="6">
        <v>4718</v>
      </c>
      <c r="G1987" s="6">
        <v>4931</v>
      </c>
      <c r="H1987" s="6">
        <v>2492</v>
      </c>
      <c r="I1987" s="6">
        <v>24</v>
      </c>
      <c r="J1987" s="6">
        <v>1913</v>
      </c>
      <c r="K1987" s="40">
        <v>55</v>
      </c>
      <c r="L1987" s="40">
        <v>78</v>
      </c>
      <c r="M1987" s="40">
        <v>7758</v>
      </c>
      <c r="N1987" s="40">
        <v>1886</v>
      </c>
      <c r="O1987" s="40">
        <v>3925</v>
      </c>
      <c r="P1987" s="40">
        <v>1747</v>
      </c>
      <c r="Q1987" s="40">
        <v>13</v>
      </c>
      <c r="R1987" s="40">
        <v>108</v>
      </c>
      <c r="S1987" s="40">
        <v>79</v>
      </c>
    </row>
    <row r="1988" spans="1:19" x14ac:dyDescent="0.35">
      <c r="A1988" s="38">
        <v>2351</v>
      </c>
      <c r="B1988" s="38" t="str">
        <f>_xlfn.XLOOKUP(A1988,'Model Modeshare by TAZ'!A:A,'Model Modeshare by TAZ'!B:B)</f>
        <v>Berkeley</v>
      </c>
      <c r="C1988" s="38" t="str">
        <f>_xlfn.XLOOKUP(A1988,'Model Modeshare by TAZ'!A:A,'Model Modeshare by TAZ'!D:D)</f>
        <v>NO</v>
      </c>
      <c r="D1988" s="6">
        <v>4</v>
      </c>
      <c r="E1988" s="6">
        <v>135</v>
      </c>
      <c r="F1988" s="6">
        <v>368</v>
      </c>
      <c r="G1988" s="6">
        <v>1728</v>
      </c>
      <c r="H1988" s="6">
        <v>177</v>
      </c>
      <c r="I1988" s="6">
        <v>68</v>
      </c>
      <c r="J1988" s="6">
        <v>68</v>
      </c>
      <c r="K1988" s="40">
        <v>13</v>
      </c>
      <c r="L1988" s="40">
        <v>406</v>
      </c>
      <c r="M1988" s="40">
        <v>21114</v>
      </c>
      <c r="N1988" s="40">
        <v>1481</v>
      </c>
      <c r="O1988" s="40">
        <v>17774</v>
      </c>
      <c r="P1988" s="40">
        <v>1254</v>
      </c>
      <c r="Q1988" s="40">
        <v>4</v>
      </c>
      <c r="R1988" s="40">
        <v>588</v>
      </c>
      <c r="S1988" s="40">
        <v>13</v>
      </c>
    </row>
    <row r="1989" spans="1:19" x14ac:dyDescent="0.35">
      <c r="A1989" s="38">
        <v>2352</v>
      </c>
      <c r="B1989" s="38" t="str">
        <f>_xlfn.XLOOKUP(A1989,'Model Modeshare by TAZ'!A:A,'Model Modeshare by TAZ'!B:B)</f>
        <v>Berkeley</v>
      </c>
      <c r="C1989" s="38" t="str">
        <f>_xlfn.XLOOKUP(A1989,'Model Modeshare by TAZ'!A:A,'Model Modeshare by TAZ'!D:D)</f>
        <v>NO</v>
      </c>
      <c r="D1989" s="6">
        <v>4</v>
      </c>
      <c r="E1989" s="6">
        <v>1714</v>
      </c>
      <c r="F1989" s="6">
        <v>3540</v>
      </c>
      <c r="G1989" s="6">
        <v>4661</v>
      </c>
      <c r="H1989" s="6">
        <v>2404</v>
      </c>
      <c r="I1989" s="6">
        <v>306</v>
      </c>
      <c r="J1989" s="6">
        <v>1408</v>
      </c>
      <c r="K1989" s="40">
        <v>91</v>
      </c>
      <c r="L1989" s="40">
        <v>25</v>
      </c>
      <c r="M1989" s="40">
        <v>882</v>
      </c>
      <c r="N1989" s="40">
        <v>141</v>
      </c>
      <c r="O1989" s="40">
        <v>462</v>
      </c>
      <c r="P1989" s="40">
        <v>272</v>
      </c>
      <c r="Q1989" s="40">
        <v>0</v>
      </c>
      <c r="R1989" s="40">
        <v>7</v>
      </c>
      <c r="S1989" s="40">
        <v>1</v>
      </c>
    </row>
    <row r="1990" spans="1:19" x14ac:dyDescent="0.35">
      <c r="A1990" s="38">
        <v>2353</v>
      </c>
      <c r="B1990" s="38" t="str">
        <f>_xlfn.XLOOKUP(A1990,'Model Modeshare by TAZ'!A:A,'Model Modeshare by TAZ'!B:B)</f>
        <v>Berkeley</v>
      </c>
      <c r="C1990" s="38" t="str">
        <f>_xlfn.XLOOKUP(A1990,'Model Modeshare by TAZ'!A:A,'Model Modeshare by TAZ'!D:D)</f>
        <v>NO</v>
      </c>
      <c r="D1990" s="6">
        <v>4</v>
      </c>
      <c r="E1990" s="6">
        <v>1794</v>
      </c>
      <c r="F1990" s="6">
        <v>3520</v>
      </c>
      <c r="G1990" s="6">
        <v>3520</v>
      </c>
      <c r="H1990" s="6">
        <v>2417</v>
      </c>
      <c r="I1990" s="6">
        <v>171</v>
      </c>
      <c r="J1990" s="6">
        <v>1623</v>
      </c>
      <c r="K1990" s="40">
        <v>49</v>
      </c>
      <c r="L1990" s="40">
        <v>65</v>
      </c>
      <c r="M1990" s="40">
        <v>2740</v>
      </c>
      <c r="N1990" s="40">
        <v>653</v>
      </c>
      <c r="O1990" s="40">
        <v>1264</v>
      </c>
      <c r="P1990" s="40">
        <v>792</v>
      </c>
      <c r="Q1990" s="40">
        <v>4</v>
      </c>
      <c r="R1990" s="40">
        <v>1</v>
      </c>
      <c r="S1990" s="40">
        <v>25</v>
      </c>
    </row>
    <row r="1991" spans="1:19" x14ac:dyDescent="0.35">
      <c r="A1991" s="38">
        <v>2354</v>
      </c>
      <c r="B1991" s="38" t="str">
        <f>_xlfn.XLOOKUP(A1991,'Model Modeshare by TAZ'!A:A,'Model Modeshare by TAZ'!B:B)</f>
        <v>Berkeley</v>
      </c>
      <c r="C1991" s="38" t="str">
        <f>_xlfn.XLOOKUP(A1991,'Model Modeshare by TAZ'!A:A,'Model Modeshare by TAZ'!D:D)</f>
        <v>NO</v>
      </c>
      <c r="D1991" s="6">
        <v>4</v>
      </c>
      <c r="E1991" s="6">
        <v>1749</v>
      </c>
      <c r="F1991" s="6">
        <v>3843</v>
      </c>
      <c r="G1991" s="6">
        <v>3843</v>
      </c>
      <c r="H1991" s="6">
        <v>2043</v>
      </c>
      <c r="I1991" s="6">
        <v>734</v>
      </c>
      <c r="J1991" s="6">
        <v>1015</v>
      </c>
      <c r="K1991" s="40">
        <v>79</v>
      </c>
      <c r="L1991" s="40">
        <v>24</v>
      </c>
      <c r="M1991" s="40">
        <v>387</v>
      </c>
      <c r="N1991" s="40">
        <v>114</v>
      </c>
      <c r="O1991" s="40">
        <v>162</v>
      </c>
      <c r="P1991" s="40">
        <v>74</v>
      </c>
      <c r="Q1991" s="40">
        <v>0</v>
      </c>
      <c r="R1991" s="40">
        <v>35</v>
      </c>
      <c r="S1991" s="40">
        <v>2</v>
      </c>
    </row>
    <row r="1992" spans="1:19" x14ac:dyDescent="0.35">
      <c r="A1992" s="38">
        <v>2355</v>
      </c>
      <c r="B1992" s="38" t="str">
        <f>_xlfn.XLOOKUP(A1992,'Model Modeshare by TAZ'!A:A,'Model Modeshare by TAZ'!B:B)</f>
        <v>Berkeley</v>
      </c>
      <c r="C1992" s="38" t="str">
        <f>_xlfn.XLOOKUP(A1992,'Model Modeshare by TAZ'!A:A,'Model Modeshare by TAZ'!D:D)</f>
        <v>NO</v>
      </c>
      <c r="D1992" s="6">
        <v>4</v>
      </c>
      <c r="E1992" s="6">
        <v>1612</v>
      </c>
      <c r="F1992" s="6">
        <v>3547</v>
      </c>
      <c r="G1992" s="6">
        <v>3558</v>
      </c>
      <c r="H1992" s="6">
        <v>2289</v>
      </c>
      <c r="I1992" s="6">
        <v>819</v>
      </c>
      <c r="J1992" s="6">
        <v>793</v>
      </c>
      <c r="K1992" s="40">
        <v>105</v>
      </c>
      <c r="L1992" s="40">
        <v>59</v>
      </c>
      <c r="M1992" s="40">
        <v>718</v>
      </c>
      <c r="N1992" s="40">
        <v>293</v>
      </c>
      <c r="O1992" s="40">
        <v>60</v>
      </c>
      <c r="P1992" s="40">
        <v>61</v>
      </c>
      <c r="Q1992" s="40">
        <v>0</v>
      </c>
      <c r="R1992" s="40">
        <v>2</v>
      </c>
      <c r="S1992" s="40">
        <v>303</v>
      </c>
    </row>
    <row r="1993" spans="1:19" x14ac:dyDescent="0.35">
      <c r="A1993" s="38">
        <v>2356</v>
      </c>
      <c r="B1993" s="38" t="str">
        <f>_xlfn.XLOOKUP(A1993,'Model Modeshare by TAZ'!A:A,'Model Modeshare by TAZ'!B:B)</f>
        <v>Berkeley</v>
      </c>
      <c r="C1993" s="38" t="str">
        <f>_xlfn.XLOOKUP(A1993,'Model Modeshare by TAZ'!A:A,'Model Modeshare by TAZ'!D:D)</f>
        <v>NO</v>
      </c>
      <c r="D1993" s="6">
        <v>4</v>
      </c>
      <c r="E1993" s="6">
        <v>1142</v>
      </c>
      <c r="F1993" s="6">
        <v>2605</v>
      </c>
      <c r="G1993" s="6">
        <v>2605</v>
      </c>
      <c r="H1993" s="6">
        <v>1645</v>
      </c>
      <c r="I1993" s="6">
        <v>604</v>
      </c>
      <c r="J1993" s="6">
        <v>538</v>
      </c>
      <c r="K1993" s="40">
        <v>80</v>
      </c>
      <c r="L1993" s="40">
        <v>48</v>
      </c>
      <c r="M1993" s="40">
        <v>571</v>
      </c>
      <c r="N1993" s="40">
        <v>183</v>
      </c>
      <c r="O1993" s="40">
        <v>177</v>
      </c>
      <c r="P1993" s="40">
        <v>136</v>
      </c>
      <c r="Q1993" s="40">
        <v>0</v>
      </c>
      <c r="R1993" s="40">
        <v>60</v>
      </c>
      <c r="S1993" s="40">
        <v>16</v>
      </c>
    </row>
    <row r="1994" spans="1:19" x14ac:dyDescent="0.35">
      <c r="A1994" s="38">
        <v>2357</v>
      </c>
      <c r="B1994" s="38" t="str">
        <f>_xlfn.XLOOKUP(A1994,'Model Modeshare by TAZ'!A:A,'Model Modeshare by TAZ'!B:B)</f>
        <v>Berkeley</v>
      </c>
      <c r="C1994" s="38" t="str">
        <f>_xlfn.XLOOKUP(A1994,'Model Modeshare by TAZ'!A:A,'Model Modeshare by TAZ'!D:D)</f>
        <v>NO</v>
      </c>
      <c r="D1994" s="6">
        <v>4</v>
      </c>
      <c r="E1994" s="6">
        <v>1711</v>
      </c>
      <c r="F1994" s="6">
        <v>3869</v>
      </c>
      <c r="G1994" s="6">
        <v>3879</v>
      </c>
      <c r="H1994" s="6">
        <v>2132</v>
      </c>
      <c r="I1994" s="6">
        <v>1226</v>
      </c>
      <c r="J1994" s="6">
        <v>485</v>
      </c>
      <c r="K1994" s="40">
        <v>157</v>
      </c>
      <c r="L1994" s="40">
        <v>45</v>
      </c>
      <c r="M1994" s="40">
        <v>651</v>
      </c>
      <c r="N1994" s="40">
        <v>168</v>
      </c>
      <c r="O1994" s="40">
        <v>265</v>
      </c>
      <c r="P1994" s="40">
        <v>56</v>
      </c>
      <c r="Q1994" s="40">
        <v>4</v>
      </c>
      <c r="R1994" s="40">
        <v>76</v>
      </c>
      <c r="S1994" s="40">
        <v>81</v>
      </c>
    </row>
    <row r="1995" spans="1:19" x14ac:dyDescent="0.35">
      <c r="A1995" s="38">
        <v>2358</v>
      </c>
      <c r="B1995" s="38" t="str">
        <f>_xlfn.XLOOKUP(A1995,'Model Modeshare by TAZ'!A:A,'Model Modeshare by TAZ'!B:B)</f>
        <v>Berkeley</v>
      </c>
      <c r="C1995" s="38" t="str">
        <f>_xlfn.XLOOKUP(A1995,'Model Modeshare by TAZ'!A:A,'Model Modeshare by TAZ'!D:D)</f>
        <v>NO</v>
      </c>
      <c r="D1995" s="6">
        <v>4</v>
      </c>
      <c r="E1995" s="6">
        <v>930</v>
      </c>
      <c r="F1995" s="6">
        <v>2099</v>
      </c>
      <c r="G1995" s="6">
        <v>2114</v>
      </c>
      <c r="H1995" s="6">
        <v>1082</v>
      </c>
      <c r="I1995" s="6">
        <v>718</v>
      </c>
      <c r="J1995" s="6">
        <v>212</v>
      </c>
      <c r="K1995" s="40">
        <v>104</v>
      </c>
      <c r="L1995" s="40">
        <v>29</v>
      </c>
      <c r="M1995" s="40">
        <v>335</v>
      </c>
      <c r="N1995" s="40">
        <v>154</v>
      </c>
      <c r="O1995" s="40">
        <v>93</v>
      </c>
      <c r="P1995" s="40">
        <v>66</v>
      </c>
      <c r="Q1995" s="40">
        <v>15</v>
      </c>
      <c r="R1995" s="40">
        <v>6</v>
      </c>
      <c r="S1995" s="40">
        <v>1</v>
      </c>
    </row>
    <row r="1996" spans="1:19" x14ac:dyDescent="0.35">
      <c r="A1996" s="38">
        <v>2359</v>
      </c>
      <c r="B1996" s="38" t="str">
        <f>_xlfn.XLOOKUP(A1996,'Model Modeshare by TAZ'!A:A,'Model Modeshare by TAZ'!B:B)</f>
        <v>Berkeley</v>
      </c>
      <c r="C1996" s="38" t="str">
        <f>_xlfn.XLOOKUP(A1996,'Model Modeshare by TAZ'!A:A,'Model Modeshare by TAZ'!D:D)</f>
        <v>NO</v>
      </c>
      <c r="D1996" s="6">
        <v>4</v>
      </c>
      <c r="E1996" s="6">
        <v>1622</v>
      </c>
      <c r="F1996" s="6">
        <v>3604</v>
      </c>
      <c r="G1996" s="6">
        <v>3648</v>
      </c>
      <c r="H1996" s="6">
        <v>2042</v>
      </c>
      <c r="I1996" s="6">
        <v>573</v>
      </c>
      <c r="J1996" s="6">
        <v>1049</v>
      </c>
      <c r="K1996" s="40">
        <v>113</v>
      </c>
      <c r="L1996" s="40">
        <v>25</v>
      </c>
      <c r="M1996" s="40">
        <v>1713</v>
      </c>
      <c r="N1996" s="40">
        <v>950</v>
      </c>
      <c r="O1996" s="40">
        <v>368</v>
      </c>
      <c r="P1996" s="40">
        <v>372</v>
      </c>
      <c r="Q1996" s="40">
        <v>0</v>
      </c>
      <c r="R1996" s="40">
        <v>12</v>
      </c>
      <c r="S1996" s="40">
        <v>11</v>
      </c>
    </row>
    <row r="1997" spans="1:19" x14ac:dyDescent="0.35">
      <c r="A1997" s="38">
        <v>2360</v>
      </c>
      <c r="B1997" s="38" t="str">
        <f>_xlfn.XLOOKUP(A1997,'Model Modeshare by TAZ'!A:A,'Model Modeshare by TAZ'!B:B)</f>
        <v>Berkeley</v>
      </c>
      <c r="C1997" s="38" t="str">
        <f>_xlfn.XLOOKUP(A1997,'Model Modeshare by TAZ'!A:A,'Model Modeshare by TAZ'!D:D)</f>
        <v>NO</v>
      </c>
      <c r="D1997" s="6">
        <v>4</v>
      </c>
      <c r="E1997" s="6">
        <v>1583</v>
      </c>
      <c r="F1997" s="6">
        <v>3499</v>
      </c>
      <c r="G1997" s="6">
        <v>3510</v>
      </c>
      <c r="H1997" s="6">
        <v>1819</v>
      </c>
      <c r="I1997" s="6">
        <v>1272</v>
      </c>
      <c r="J1997" s="6">
        <v>311</v>
      </c>
      <c r="K1997" s="40">
        <v>313</v>
      </c>
      <c r="L1997" s="40">
        <v>27</v>
      </c>
      <c r="M1997" s="40">
        <v>265</v>
      </c>
      <c r="N1997" s="40">
        <v>1</v>
      </c>
      <c r="O1997" s="40">
        <v>232</v>
      </c>
      <c r="P1997" s="40">
        <v>30</v>
      </c>
      <c r="Q1997" s="40">
        <v>3</v>
      </c>
      <c r="R1997" s="40">
        <v>0</v>
      </c>
      <c r="S1997" s="40">
        <v>0</v>
      </c>
    </row>
    <row r="1998" spans="1:19" x14ac:dyDescent="0.35">
      <c r="A1998" s="38">
        <v>2361</v>
      </c>
      <c r="B1998" s="38" t="str">
        <f>_xlfn.XLOOKUP(A1998,'Model Modeshare by TAZ'!A:A,'Model Modeshare by TAZ'!B:B)</f>
        <v>Berkeley</v>
      </c>
      <c r="C1998" s="38" t="str">
        <f>_xlfn.XLOOKUP(A1998,'Model Modeshare by TAZ'!A:A,'Model Modeshare by TAZ'!D:D)</f>
        <v>NO</v>
      </c>
      <c r="D1998" s="6">
        <v>4</v>
      </c>
      <c r="E1998" s="6">
        <v>1611</v>
      </c>
      <c r="F1998" s="6">
        <v>3879</v>
      </c>
      <c r="G1998" s="6">
        <v>3907</v>
      </c>
      <c r="H1998" s="6">
        <v>1972</v>
      </c>
      <c r="I1998" s="6">
        <v>1516</v>
      </c>
      <c r="J1998" s="6">
        <v>95</v>
      </c>
      <c r="K1998" s="40">
        <v>358</v>
      </c>
      <c r="L1998" s="40">
        <v>9</v>
      </c>
      <c r="M1998" s="40">
        <v>232</v>
      </c>
      <c r="N1998" s="40">
        <v>18</v>
      </c>
      <c r="O1998" s="40">
        <v>134</v>
      </c>
      <c r="P1998" s="40">
        <v>70</v>
      </c>
      <c r="Q1998" s="40">
        <v>1</v>
      </c>
      <c r="R1998" s="40">
        <v>5</v>
      </c>
      <c r="S1998" s="40">
        <v>3</v>
      </c>
    </row>
    <row r="1999" spans="1:19" x14ac:dyDescent="0.35">
      <c r="A1999" s="38">
        <v>2362</v>
      </c>
      <c r="B1999" s="38" t="str">
        <f>_xlfn.XLOOKUP(A1999,'Model Modeshare by TAZ'!A:A,'Model Modeshare by TAZ'!B:B)</f>
        <v>Berkeley</v>
      </c>
      <c r="C1999" s="38" t="str">
        <f>_xlfn.XLOOKUP(A1999,'Model Modeshare by TAZ'!A:A,'Model Modeshare by TAZ'!D:D)</f>
        <v>NO</v>
      </c>
      <c r="D1999" s="6">
        <v>4</v>
      </c>
      <c r="E1999" s="6">
        <v>842</v>
      </c>
      <c r="F1999" s="6">
        <v>2080</v>
      </c>
      <c r="G1999" s="6">
        <v>2080</v>
      </c>
      <c r="H1999" s="6">
        <v>961</v>
      </c>
      <c r="I1999" s="6">
        <v>816</v>
      </c>
      <c r="J1999" s="6">
        <v>26</v>
      </c>
      <c r="K1999" s="40">
        <v>178</v>
      </c>
      <c r="L1999" s="40">
        <v>4</v>
      </c>
      <c r="M1999" s="40">
        <v>127</v>
      </c>
      <c r="N1999" s="40">
        <v>24</v>
      </c>
      <c r="O1999" s="40">
        <v>45</v>
      </c>
      <c r="P1999" s="40">
        <v>57</v>
      </c>
      <c r="Q1999" s="40">
        <v>0</v>
      </c>
      <c r="R1999" s="40">
        <v>1</v>
      </c>
      <c r="S1999" s="40">
        <v>0</v>
      </c>
    </row>
    <row r="2000" spans="1:19" x14ac:dyDescent="0.35">
      <c r="A2000" s="38">
        <v>2363</v>
      </c>
      <c r="B2000" s="38" t="str">
        <f>_xlfn.XLOOKUP(A2000,'Model Modeshare by TAZ'!A:A,'Model Modeshare by TAZ'!B:B)</f>
        <v>Berkeley</v>
      </c>
      <c r="C2000" s="38" t="str">
        <f>_xlfn.XLOOKUP(A2000,'Model Modeshare by TAZ'!A:A,'Model Modeshare by TAZ'!D:D)</f>
        <v>NO</v>
      </c>
      <c r="D2000" s="6">
        <v>4</v>
      </c>
      <c r="E2000" s="6">
        <v>1521</v>
      </c>
      <c r="F2000" s="6">
        <v>3643</v>
      </c>
      <c r="G2000" s="6">
        <v>3643</v>
      </c>
      <c r="H2000" s="6">
        <v>1723</v>
      </c>
      <c r="I2000" s="6">
        <v>1512</v>
      </c>
      <c r="J2000" s="6">
        <v>9</v>
      </c>
      <c r="K2000" s="40">
        <v>302</v>
      </c>
      <c r="L2000" s="40">
        <v>5</v>
      </c>
      <c r="M2000" s="40">
        <v>465</v>
      </c>
      <c r="N2000" s="40">
        <v>107</v>
      </c>
      <c r="O2000" s="40">
        <v>171</v>
      </c>
      <c r="P2000" s="40">
        <v>134</v>
      </c>
      <c r="Q2000" s="40">
        <v>16</v>
      </c>
      <c r="R2000" s="40">
        <v>26</v>
      </c>
      <c r="S2000" s="40">
        <v>10</v>
      </c>
    </row>
    <row r="2001" spans="1:19" x14ac:dyDescent="0.35">
      <c r="A2001" s="38">
        <v>2364</v>
      </c>
      <c r="B2001" s="38" t="str">
        <f>_xlfn.XLOOKUP(A2001,'Model Modeshare by TAZ'!A:A,'Model Modeshare by TAZ'!B:B)</f>
        <v>Berkeley</v>
      </c>
      <c r="C2001" s="38" t="str">
        <f>_xlfn.XLOOKUP(A2001,'Model Modeshare by TAZ'!A:A,'Model Modeshare by TAZ'!D:D)</f>
        <v>NO</v>
      </c>
      <c r="D2001" s="6">
        <v>4</v>
      </c>
      <c r="E2001" s="6">
        <v>634</v>
      </c>
      <c r="F2001" s="6">
        <v>1649</v>
      </c>
      <c r="G2001" s="6">
        <v>1649</v>
      </c>
      <c r="H2001" s="6">
        <v>823</v>
      </c>
      <c r="I2001" s="6">
        <v>580</v>
      </c>
      <c r="J2001" s="6">
        <v>54</v>
      </c>
      <c r="K2001" s="40">
        <v>111</v>
      </c>
      <c r="L2001" s="40">
        <v>3</v>
      </c>
      <c r="M2001" s="40">
        <v>182</v>
      </c>
      <c r="N2001" s="40">
        <v>94</v>
      </c>
      <c r="O2001" s="40">
        <v>53</v>
      </c>
      <c r="P2001" s="40">
        <v>29</v>
      </c>
      <c r="Q2001" s="40">
        <v>0</v>
      </c>
      <c r="R2001" s="40">
        <v>6</v>
      </c>
      <c r="S2001" s="40">
        <v>0</v>
      </c>
    </row>
    <row r="2002" spans="1:19" x14ac:dyDescent="0.35">
      <c r="A2002" s="38">
        <v>2365</v>
      </c>
      <c r="B2002" s="38" t="str">
        <f>_xlfn.XLOOKUP(A2002,'Model Modeshare by TAZ'!A:A,'Model Modeshare by TAZ'!B:B)</f>
        <v>Berkeley</v>
      </c>
      <c r="C2002" s="38" t="str">
        <f>_xlfn.XLOOKUP(A2002,'Model Modeshare by TAZ'!A:A,'Model Modeshare by TAZ'!D:D)</f>
        <v>NO</v>
      </c>
      <c r="D2002" s="6">
        <v>4</v>
      </c>
      <c r="E2002" s="6">
        <v>1641</v>
      </c>
      <c r="F2002" s="6">
        <v>3953</v>
      </c>
      <c r="G2002" s="6">
        <v>3953</v>
      </c>
      <c r="H2002" s="6">
        <v>2167</v>
      </c>
      <c r="I2002" s="6">
        <v>1462</v>
      </c>
      <c r="J2002" s="6">
        <v>179</v>
      </c>
      <c r="K2002" s="40">
        <v>216</v>
      </c>
      <c r="L2002" s="40">
        <v>31</v>
      </c>
      <c r="M2002" s="40">
        <v>1445</v>
      </c>
      <c r="N2002" s="40">
        <v>877</v>
      </c>
      <c r="O2002" s="40">
        <v>259</v>
      </c>
      <c r="P2002" s="40">
        <v>261</v>
      </c>
      <c r="Q2002" s="40">
        <v>8</v>
      </c>
      <c r="R2002" s="40">
        <v>29</v>
      </c>
      <c r="S2002" s="40">
        <v>10</v>
      </c>
    </row>
    <row r="2003" spans="1:19" x14ac:dyDescent="0.35">
      <c r="A2003" s="38">
        <v>2366</v>
      </c>
      <c r="B2003" s="38" t="str">
        <f>_xlfn.XLOOKUP(A2003,'Model Modeshare by TAZ'!A:A,'Model Modeshare by TAZ'!B:B)</f>
        <v>Albany</v>
      </c>
      <c r="C2003" s="38" t="str">
        <f>_xlfn.XLOOKUP(A2003,'Model Modeshare by TAZ'!A:A,'Model Modeshare by TAZ'!D:D)</f>
        <v>NO</v>
      </c>
      <c r="D2003" s="6">
        <v>4</v>
      </c>
      <c r="E2003" s="6">
        <v>1219</v>
      </c>
      <c r="F2003" s="6">
        <v>3149</v>
      </c>
      <c r="G2003" s="6">
        <v>3161</v>
      </c>
      <c r="H2003" s="6">
        <v>1553</v>
      </c>
      <c r="I2003" s="6">
        <v>1099</v>
      </c>
      <c r="J2003" s="6">
        <v>120</v>
      </c>
      <c r="K2003" s="40">
        <v>181</v>
      </c>
      <c r="L2003" s="40">
        <v>13</v>
      </c>
      <c r="M2003" s="40">
        <v>874</v>
      </c>
      <c r="N2003" s="40">
        <v>136</v>
      </c>
      <c r="O2003" s="40">
        <v>405</v>
      </c>
      <c r="P2003" s="40">
        <v>298</v>
      </c>
      <c r="Q2003" s="40">
        <v>19</v>
      </c>
      <c r="R2003" s="40">
        <v>4</v>
      </c>
      <c r="S2003" s="40">
        <v>12</v>
      </c>
    </row>
    <row r="2004" spans="1:19" x14ac:dyDescent="0.35">
      <c r="A2004" s="38">
        <v>2367</v>
      </c>
      <c r="B2004" s="38" t="str">
        <f>_xlfn.XLOOKUP(A2004,'Model Modeshare by TAZ'!A:A,'Model Modeshare by TAZ'!B:B)</f>
        <v>Albany</v>
      </c>
      <c r="C2004" s="38" t="str">
        <f>_xlfn.XLOOKUP(A2004,'Model Modeshare by TAZ'!A:A,'Model Modeshare by TAZ'!D:D)</f>
        <v>NO</v>
      </c>
      <c r="D2004" s="6">
        <v>4</v>
      </c>
      <c r="E2004" s="6">
        <v>863</v>
      </c>
      <c r="F2004" s="6">
        <v>2413</v>
      </c>
      <c r="G2004" s="6">
        <v>2413</v>
      </c>
      <c r="H2004" s="6">
        <v>1217</v>
      </c>
      <c r="I2004" s="6">
        <v>731</v>
      </c>
      <c r="J2004" s="6">
        <v>132</v>
      </c>
      <c r="K2004" s="40">
        <v>95</v>
      </c>
      <c r="L2004" s="40">
        <v>19</v>
      </c>
      <c r="M2004" s="40">
        <v>516</v>
      </c>
      <c r="N2004" s="40">
        <v>157</v>
      </c>
      <c r="O2004" s="40">
        <v>316</v>
      </c>
      <c r="P2004" s="40">
        <v>26</v>
      </c>
      <c r="Q2004" s="40">
        <v>0</v>
      </c>
      <c r="R2004" s="40">
        <v>14</v>
      </c>
      <c r="S2004" s="40">
        <v>2</v>
      </c>
    </row>
    <row r="2005" spans="1:19" x14ac:dyDescent="0.35">
      <c r="A2005" s="38">
        <v>2368</v>
      </c>
      <c r="B2005" s="38" t="str">
        <f>_xlfn.XLOOKUP(A2005,'Model Modeshare by TAZ'!A:A,'Model Modeshare by TAZ'!B:B)</f>
        <v>Albany</v>
      </c>
      <c r="C2005" s="38" t="str">
        <f>_xlfn.XLOOKUP(A2005,'Model Modeshare by TAZ'!A:A,'Model Modeshare by TAZ'!D:D)</f>
        <v>NO</v>
      </c>
      <c r="D2005" s="6">
        <v>4</v>
      </c>
      <c r="E2005" s="6">
        <v>1230</v>
      </c>
      <c r="F2005" s="6">
        <v>3302</v>
      </c>
      <c r="G2005" s="6">
        <v>3310</v>
      </c>
      <c r="H2005" s="6">
        <v>1665</v>
      </c>
      <c r="I2005" s="6">
        <v>655</v>
      </c>
      <c r="J2005" s="6">
        <v>575</v>
      </c>
      <c r="K2005" s="40">
        <v>59</v>
      </c>
      <c r="L2005" s="40">
        <v>50</v>
      </c>
      <c r="M2005" s="40">
        <v>796</v>
      </c>
      <c r="N2005" s="40">
        <v>261</v>
      </c>
      <c r="O2005" s="40">
        <v>360</v>
      </c>
      <c r="P2005" s="40">
        <v>148</v>
      </c>
      <c r="Q2005" s="40">
        <v>0</v>
      </c>
      <c r="R2005" s="40">
        <v>5</v>
      </c>
      <c r="S2005" s="40">
        <v>22</v>
      </c>
    </row>
    <row r="2006" spans="1:19" x14ac:dyDescent="0.35">
      <c r="A2006" s="38">
        <v>2369</v>
      </c>
      <c r="B2006" s="38" t="str">
        <f>_xlfn.XLOOKUP(A2006,'Model Modeshare by TAZ'!A:A,'Model Modeshare by TAZ'!B:B)</f>
        <v>Albany</v>
      </c>
      <c r="C2006" s="38" t="str">
        <f>_xlfn.XLOOKUP(A2006,'Model Modeshare by TAZ'!A:A,'Model Modeshare by TAZ'!D:D)</f>
        <v>NO</v>
      </c>
      <c r="D2006" s="6">
        <v>4</v>
      </c>
      <c r="E2006" s="6">
        <v>934</v>
      </c>
      <c r="F2006" s="6">
        <v>2479</v>
      </c>
      <c r="G2006" s="6">
        <v>2502</v>
      </c>
      <c r="H2006" s="6">
        <v>1233</v>
      </c>
      <c r="I2006" s="6">
        <v>596</v>
      </c>
      <c r="J2006" s="6">
        <v>338</v>
      </c>
      <c r="K2006" s="40">
        <v>56</v>
      </c>
      <c r="L2006" s="40">
        <v>38</v>
      </c>
      <c r="M2006" s="40">
        <v>616</v>
      </c>
      <c r="N2006" s="40">
        <v>104</v>
      </c>
      <c r="O2006" s="40">
        <v>366</v>
      </c>
      <c r="P2006" s="40">
        <v>80</v>
      </c>
      <c r="Q2006" s="40">
        <v>0</v>
      </c>
      <c r="R2006" s="40">
        <v>3</v>
      </c>
      <c r="S2006" s="40">
        <v>62</v>
      </c>
    </row>
    <row r="2007" spans="1:19" x14ac:dyDescent="0.35">
      <c r="A2007" s="38">
        <v>2370</v>
      </c>
      <c r="B2007" s="38" t="str">
        <f>_xlfn.XLOOKUP(A2007,'Model Modeshare by TAZ'!A:A,'Model Modeshare by TAZ'!B:B)</f>
        <v>Albany</v>
      </c>
      <c r="C2007" s="38" t="str">
        <f>_xlfn.XLOOKUP(A2007,'Model Modeshare by TAZ'!A:A,'Model Modeshare by TAZ'!D:D)</f>
        <v>NO</v>
      </c>
      <c r="D2007" s="6">
        <v>4</v>
      </c>
      <c r="E2007" s="6">
        <v>1177</v>
      </c>
      <c r="F2007" s="6">
        <v>3301</v>
      </c>
      <c r="G2007" s="6">
        <v>3301</v>
      </c>
      <c r="H2007" s="6">
        <v>1131</v>
      </c>
      <c r="I2007" s="6">
        <v>54</v>
      </c>
      <c r="J2007" s="6">
        <v>1123</v>
      </c>
      <c r="K2007" s="40">
        <v>71</v>
      </c>
      <c r="L2007" s="40">
        <v>42</v>
      </c>
      <c r="M2007" s="40">
        <v>965</v>
      </c>
      <c r="N2007" s="40">
        <v>31</v>
      </c>
      <c r="O2007" s="40">
        <v>650</v>
      </c>
      <c r="P2007" s="40">
        <v>208</v>
      </c>
      <c r="Q2007" s="40">
        <v>1</v>
      </c>
      <c r="R2007" s="40">
        <v>58</v>
      </c>
      <c r="S2007" s="40">
        <v>18</v>
      </c>
    </row>
    <row r="2008" spans="1:19" x14ac:dyDescent="0.35">
      <c r="A2008" s="38">
        <v>2371</v>
      </c>
      <c r="B2008" s="38" t="str">
        <f>_xlfn.XLOOKUP(A2008,'Model Modeshare by TAZ'!A:A,'Model Modeshare by TAZ'!B:B)</f>
        <v>Albany</v>
      </c>
      <c r="C2008" s="38" t="str">
        <f>_xlfn.XLOOKUP(A2008,'Model Modeshare by TAZ'!A:A,'Model Modeshare by TAZ'!D:D)</f>
        <v>NO</v>
      </c>
      <c r="D2008" s="6">
        <v>4</v>
      </c>
      <c r="E2008" s="6">
        <v>1965</v>
      </c>
      <c r="F2008" s="6">
        <v>4694</v>
      </c>
      <c r="G2008" s="6">
        <v>4714</v>
      </c>
      <c r="H2008" s="6">
        <v>2588</v>
      </c>
      <c r="I2008" s="6">
        <v>665</v>
      </c>
      <c r="J2008" s="6">
        <v>1300</v>
      </c>
      <c r="K2008" s="40">
        <v>94</v>
      </c>
      <c r="L2008" s="40">
        <v>16</v>
      </c>
      <c r="M2008" s="40">
        <v>1061</v>
      </c>
      <c r="N2008" s="40">
        <v>327</v>
      </c>
      <c r="O2008" s="40">
        <v>301</v>
      </c>
      <c r="P2008" s="40">
        <v>205</v>
      </c>
      <c r="Q2008" s="40">
        <v>5</v>
      </c>
      <c r="R2008" s="40">
        <v>192</v>
      </c>
      <c r="S2008" s="40">
        <v>31</v>
      </c>
    </row>
    <row r="2009" spans="1:19" x14ac:dyDescent="0.35">
      <c r="A2009" s="38">
        <v>2372</v>
      </c>
      <c r="B2009" s="38" t="str">
        <f>_xlfn.XLOOKUP(A2009,'Model Modeshare by TAZ'!A:A,'Model Modeshare by TAZ'!B:B)</f>
        <v>El Cerrito</v>
      </c>
      <c r="C2009" s="38" t="str">
        <f>_xlfn.XLOOKUP(A2009,'Model Modeshare by TAZ'!A:A,'Model Modeshare by TAZ'!D:D)</f>
        <v>NO</v>
      </c>
      <c r="D2009" s="6">
        <v>5</v>
      </c>
      <c r="E2009" s="6">
        <v>689</v>
      </c>
      <c r="F2009" s="6">
        <v>1588</v>
      </c>
      <c r="G2009" s="6">
        <v>1626</v>
      </c>
      <c r="H2009" s="6">
        <v>882</v>
      </c>
      <c r="I2009" s="6">
        <v>163</v>
      </c>
      <c r="J2009" s="6">
        <v>526</v>
      </c>
      <c r="K2009" s="40">
        <v>30</v>
      </c>
      <c r="L2009" s="40">
        <v>10</v>
      </c>
      <c r="M2009" s="40">
        <v>355</v>
      </c>
      <c r="N2009" s="40">
        <v>216</v>
      </c>
      <c r="O2009" s="40">
        <v>74</v>
      </c>
      <c r="P2009" s="40">
        <v>41</v>
      </c>
      <c r="Q2009" s="40">
        <v>2</v>
      </c>
      <c r="R2009" s="40">
        <v>15</v>
      </c>
      <c r="S2009" s="40">
        <v>8</v>
      </c>
    </row>
    <row r="2010" spans="1:19" x14ac:dyDescent="0.35">
      <c r="A2010" s="38">
        <v>2373</v>
      </c>
      <c r="B2010" s="38" t="str">
        <f>_xlfn.XLOOKUP(A2010,'Model Modeshare by TAZ'!A:A,'Model Modeshare by TAZ'!B:B)</f>
        <v>El Cerrito</v>
      </c>
      <c r="C2010" s="38" t="str">
        <f>_xlfn.XLOOKUP(A2010,'Model Modeshare by TAZ'!A:A,'Model Modeshare by TAZ'!D:D)</f>
        <v>NO</v>
      </c>
      <c r="D2010" s="6">
        <v>5</v>
      </c>
      <c r="E2010" s="6">
        <v>859</v>
      </c>
      <c r="F2010" s="6">
        <v>2016</v>
      </c>
      <c r="G2010" s="6">
        <v>2016</v>
      </c>
      <c r="H2010" s="6">
        <v>1166</v>
      </c>
      <c r="I2010" s="6">
        <v>540</v>
      </c>
      <c r="J2010" s="6">
        <v>319</v>
      </c>
      <c r="K2010" s="40">
        <v>60</v>
      </c>
      <c r="L2010" s="40">
        <v>58</v>
      </c>
      <c r="M2010" s="40">
        <v>1640</v>
      </c>
      <c r="N2010" s="40">
        <v>963</v>
      </c>
      <c r="O2010" s="40">
        <v>502</v>
      </c>
      <c r="P2010" s="40">
        <v>146</v>
      </c>
      <c r="Q2010" s="40">
        <v>7</v>
      </c>
      <c r="R2010" s="40">
        <v>14</v>
      </c>
      <c r="S2010" s="40">
        <v>7</v>
      </c>
    </row>
    <row r="2011" spans="1:19" x14ac:dyDescent="0.35">
      <c r="A2011" s="38">
        <v>2374</v>
      </c>
      <c r="B2011" s="38" t="str">
        <f>_xlfn.XLOOKUP(A2011,'Model Modeshare by TAZ'!A:A,'Model Modeshare by TAZ'!B:B)</f>
        <v>El Cerrito</v>
      </c>
      <c r="C2011" s="38" t="str">
        <f>_xlfn.XLOOKUP(A2011,'Model Modeshare by TAZ'!A:A,'Model Modeshare by TAZ'!D:D)</f>
        <v>NO</v>
      </c>
      <c r="D2011" s="6">
        <v>5</v>
      </c>
      <c r="E2011" s="6">
        <v>735</v>
      </c>
      <c r="F2011" s="6">
        <v>1715</v>
      </c>
      <c r="G2011" s="6">
        <v>1735</v>
      </c>
      <c r="H2011" s="6">
        <v>802</v>
      </c>
      <c r="I2011" s="6">
        <v>729</v>
      </c>
      <c r="J2011" s="6">
        <v>6</v>
      </c>
      <c r="K2011" s="40">
        <v>82</v>
      </c>
      <c r="L2011" s="40">
        <v>25</v>
      </c>
      <c r="M2011" s="40">
        <v>262</v>
      </c>
      <c r="N2011" s="40">
        <v>8</v>
      </c>
      <c r="O2011" s="40">
        <v>245</v>
      </c>
      <c r="P2011" s="40">
        <v>7</v>
      </c>
      <c r="Q2011" s="40">
        <v>2</v>
      </c>
      <c r="R2011" s="40">
        <v>0</v>
      </c>
      <c r="S2011" s="40">
        <v>0</v>
      </c>
    </row>
    <row r="2012" spans="1:19" x14ac:dyDescent="0.35">
      <c r="A2012" s="38">
        <v>2375</v>
      </c>
      <c r="B2012" s="38" t="str">
        <f>_xlfn.XLOOKUP(A2012,'Model Modeshare by TAZ'!A:A,'Model Modeshare by TAZ'!B:B)</f>
        <v>Unincorporated</v>
      </c>
      <c r="C2012" s="38" t="str">
        <f>_xlfn.XLOOKUP(A2012,'Model Modeshare by TAZ'!A:A,'Model Modeshare by TAZ'!D:D)</f>
        <v>NO</v>
      </c>
      <c r="D2012" s="6">
        <v>5</v>
      </c>
      <c r="E2012" s="6">
        <v>1121</v>
      </c>
      <c r="F2012" s="6">
        <v>2669</v>
      </c>
      <c r="G2012" s="6">
        <v>2679</v>
      </c>
      <c r="H2012" s="6">
        <v>1406</v>
      </c>
      <c r="I2012" s="6">
        <v>1086</v>
      </c>
      <c r="J2012" s="6">
        <v>35</v>
      </c>
      <c r="K2012" s="40">
        <v>174</v>
      </c>
      <c r="L2012" s="40">
        <v>39</v>
      </c>
      <c r="M2012" s="40">
        <v>293</v>
      </c>
      <c r="N2012" s="40">
        <v>119</v>
      </c>
      <c r="O2012" s="40">
        <v>141</v>
      </c>
      <c r="P2012" s="40">
        <v>27</v>
      </c>
      <c r="Q2012" s="40">
        <v>6</v>
      </c>
      <c r="R2012" s="40">
        <v>0</v>
      </c>
      <c r="S2012" s="40">
        <v>0</v>
      </c>
    </row>
    <row r="2013" spans="1:19" x14ac:dyDescent="0.35">
      <c r="A2013" s="38">
        <v>2376</v>
      </c>
      <c r="B2013" s="38" t="str">
        <f>_xlfn.XLOOKUP(A2013,'Model Modeshare by TAZ'!A:A,'Model Modeshare by TAZ'!B:B)</f>
        <v>Unincorporated</v>
      </c>
      <c r="C2013" s="38" t="str">
        <f>_xlfn.XLOOKUP(A2013,'Model Modeshare by TAZ'!A:A,'Model Modeshare by TAZ'!D:D)</f>
        <v>NO</v>
      </c>
      <c r="D2013" s="6">
        <v>5</v>
      </c>
      <c r="E2013" s="6">
        <v>1086</v>
      </c>
      <c r="F2013" s="6">
        <v>2646</v>
      </c>
      <c r="G2013" s="6">
        <v>2646</v>
      </c>
      <c r="H2013" s="6">
        <v>1434</v>
      </c>
      <c r="I2013" s="6">
        <v>1056</v>
      </c>
      <c r="J2013" s="6">
        <v>30</v>
      </c>
      <c r="K2013" s="40">
        <v>143</v>
      </c>
      <c r="L2013" s="40">
        <v>4</v>
      </c>
      <c r="M2013" s="40">
        <v>249</v>
      </c>
      <c r="N2013" s="40">
        <v>36</v>
      </c>
      <c r="O2013" s="40">
        <v>91</v>
      </c>
      <c r="P2013" s="40">
        <v>86</v>
      </c>
      <c r="Q2013" s="40">
        <v>0</v>
      </c>
      <c r="R2013" s="40">
        <v>36</v>
      </c>
      <c r="S2013" s="40">
        <v>0</v>
      </c>
    </row>
    <row r="2014" spans="1:19" x14ac:dyDescent="0.35">
      <c r="A2014" s="38">
        <v>2377</v>
      </c>
      <c r="B2014" s="38" t="str">
        <f>_xlfn.XLOOKUP(A2014,'Model Modeshare by TAZ'!A:A,'Model Modeshare by TAZ'!B:B)</f>
        <v>El Cerrito</v>
      </c>
      <c r="C2014" s="38" t="str">
        <f>_xlfn.XLOOKUP(A2014,'Model Modeshare by TAZ'!A:A,'Model Modeshare by TAZ'!D:D)</f>
        <v>NO</v>
      </c>
      <c r="D2014" s="6">
        <v>5</v>
      </c>
      <c r="E2014" s="6">
        <v>1115</v>
      </c>
      <c r="F2014" s="6">
        <v>2916</v>
      </c>
      <c r="G2014" s="6">
        <v>2926</v>
      </c>
      <c r="H2014" s="6">
        <v>1411</v>
      </c>
      <c r="I2014" s="6">
        <v>1092</v>
      </c>
      <c r="J2014" s="6">
        <v>23</v>
      </c>
      <c r="K2014" s="40">
        <v>242</v>
      </c>
      <c r="L2014" s="40">
        <v>49</v>
      </c>
      <c r="M2014" s="40">
        <v>241</v>
      </c>
      <c r="N2014" s="40">
        <v>21</v>
      </c>
      <c r="O2014" s="40">
        <v>101</v>
      </c>
      <c r="P2014" s="40">
        <v>72</v>
      </c>
      <c r="Q2014" s="40">
        <v>5</v>
      </c>
      <c r="R2014" s="40">
        <v>1</v>
      </c>
      <c r="S2014" s="40">
        <v>40</v>
      </c>
    </row>
    <row r="2015" spans="1:19" x14ac:dyDescent="0.35">
      <c r="A2015" s="38">
        <v>2378</v>
      </c>
      <c r="B2015" s="38" t="str">
        <f>_xlfn.XLOOKUP(A2015,'Model Modeshare by TAZ'!A:A,'Model Modeshare by TAZ'!B:B)</f>
        <v>El Cerrito</v>
      </c>
      <c r="C2015" s="38" t="str">
        <f>_xlfn.XLOOKUP(A2015,'Model Modeshare by TAZ'!A:A,'Model Modeshare by TAZ'!D:D)</f>
        <v>NO</v>
      </c>
      <c r="D2015" s="6">
        <v>5</v>
      </c>
      <c r="E2015" s="6">
        <v>915</v>
      </c>
      <c r="F2015" s="6">
        <v>2319</v>
      </c>
      <c r="G2015" s="6">
        <v>2324</v>
      </c>
      <c r="H2015" s="6">
        <v>1222</v>
      </c>
      <c r="I2015" s="6">
        <v>886</v>
      </c>
      <c r="J2015" s="6">
        <v>29</v>
      </c>
      <c r="K2015" s="40">
        <v>156</v>
      </c>
      <c r="L2015" s="40">
        <v>12</v>
      </c>
      <c r="M2015" s="40">
        <v>105</v>
      </c>
      <c r="N2015" s="40">
        <v>5</v>
      </c>
      <c r="O2015" s="40">
        <v>80</v>
      </c>
      <c r="P2015" s="40">
        <v>16</v>
      </c>
      <c r="Q2015" s="40">
        <v>5</v>
      </c>
      <c r="R2015" s="40">
        <v>0</v>
      </c>
      <c r="S2015" s="40">
        <v>0</v>
      </c>
    </row>
    <row r="2016" spans="1:19" x14ac:dyDescent="0.35">
      <c r="A2016" s="38">
        <v>2379</v>
      </c>
      <c r="B2016" s="38" t="str">
        <f>_xlfn.XLOOKUP(A2016,'Model Modeshare by TAZ'!A:A,'Model Modeshare by TAZ'!B:B)</f>
        <v>El Cerrito</v>
      </c>
      <c r="C2016" s="38" t="str">
        <f>_xlfn.XLOOKUP(A2016,'Model Modeshare by TAZ'!A:A,'Model Modeshare by TAZ'!D:D)</f>
        <v>NO</v>
      </c>
      <c r="D2016" s="6">
        <v>5</v>
      </c>
      <c r="E2016" s="6">
        <v>1078</v>
      </c>
      <c r="F2016" s="6">
        <v>2739</v>
      </c>
      <c r="G2016" s="6">
        <v>2758</v>
      </c>
      <c r="H2016" s="6">
        <v>1399</v>
      </c>
      <c r="I2016" s="6">
        <v>773</v>
      </c>
      <c r="J2016" s="6">
        <v>305</v>
      </c>
      <c r="K2016" s="40">
        <v>95</v>
      </c>
      <c r="L2016" s="40">
        <v>39</v>
      </c>
      <c r="M2016" s="40">
        <v>1066</v>
      </c>
      <c r="N2016" s="40">
        <v>255</v>
      </c>
      <c r="O2016" s="40">
        <v>426</v>
      </c>
      <c r="P2016" s="40">
        <v>384</v>
      </c>
      <c r="Q2016" s="40">
        <v>1</v>
      </c>
      <c r="R2016" s="40">
        <v>0</v>
      </c>
      <c r="S2016" s="40">
        <v>0</v>
      </c>
    </row>
    <row r="2017" spans="1:19" x14ac:dyDescent="0.35">
      <c r="A2017" s="38">
        <v>2380</v>
      </c>
      <c r="B2017" s="38" t="str">
        <f>_xlfn.XLOOKUP(A2017,'Model Modeshare by TAZ'!A:A,'Model Modeshare by TAZ'!B:B)</f>
        <v>El Cerrito</v>
      </c>
      <c r="C2017" s="38" t="str">
        <f>_xlfn.XLOOKUP(A2017,'Model Modeshare by TAZ'!A:A,'Model Modeshare by TAZ'!D:D)</f>
        <v>NO</v>
      </c>
      <c r="D2017" s="6">
        <v>5</v>
      </c>
      <c r="E2017" s="6">
        <v>1090</v>
      </c>
      <c r="F2017" s="6">
        <v>2759</v>
      </c>
      <c r="G2017" s="6">
        <v>2776</v>
      </c>
      <c r="H2017" s="6">
        <v>1432</v>
      </c>
      <c r="I2017" s="6">
        <v>674</v>
      </c>
      <c r="J2017" s="6">
        <v>416</v>
      </c>
      <c r="K2017" s="40">
        <v>90</v>
      </c>
      <c r="L2017" s="40">
        <v>20</v>
      </c>
      <c r="M2017" s="40">
        <v>335</v>
      </c>
      <c r="N2017" s="40">
        <v>64</v>
      </c>
      <c r="O2017" s="40">
        <v>225</v>
      </c>
      <c r="P2017" s="40">
        <v>29</v>
      </c>
      <c r="Q2017" s="40">
        <v>4</v>
      </c>
      <c r="R2017" s="40">
        <v>7</v>
      </c>
      <c r="S2017" s="40">
        <v>7</v>
      </c>
    </row>
    <row r="2018" spans="1:19" x14ac:dyDescent="0.35">
      <c r="A2018" s="38">
        <v>2381</v>
      </c>
      <c r="B2018" s="38" t="str">
        <f>_xlfn.XLOOKUP(A2018,'Model Modeshare by TAZ'!A:A,'Model Modeshare by TAZ'!B:B)</f>
        <v>Richmond</v>
      </c>
      <c r="C2018" s="38" t="str">
        <f>_xlfn.XLOOKUP(A2018,'Model Modeshare by TAZ'!A:A,'Model Modeshare by TAZ'!D:D)</f>
        <v>NO</v>
      </c>
      <c r="D2018" s="6">
        <v>5</v>
      </c>
      <c r="E2018" s="6">
        <v>1980</v>
      </c>
      <c r="F2018" s="6">
        <v>4899</v>
      </c>
      <c r="G2018" s="6">
        <v>4912</v>
      </c>
      <c r="H2018" s="6">
        <v>2794</v>
      </c>
      <c r="I2018" s="6">
        <v>1454</v>
      </c>
      <c r="J2018" s="6">
        <v>526</v>
      </c>
      <c r="K2018" s="40">
        <v>169</v>
      </c>
      <c r="L2018" s="40">
        <v>25</v>
      </c>
      <c r="M2018" s="40">
        <v>1323</v>
      </c>
      <c r="N2018" s="40">
        <v>355</v>
      </c>
      <c r="O2018" s="40">
        <v>556</v>
      </c>
      <c r="P2018" s="40">
        <v>279</v>
      </c>
      <c r="Q2018" s="40">
        <v>7</v>
      </c>
      <c r="R2018" s="40">
        <v>60</v>
      </c>
      <c r="S2018" s="40">
        <v>66</v>
      </c>
    </row>
    <row r="2019" spans="1:19" x14ac:dyDescent="0.35">
      <c r="A2019" s="38">
        <v>2382</v>
      </c>
      <c r="B2019" s="38" t="str">
        <f>_xlfn.XLOOKUP(A2019,'Model Modeshare by TAZ'!A:A,'Model Modeshare by TAZ'!B:B)</f>
        <v>Richmond</v>
      </c>
      <c r="C2019" s="38" t="str">
        <f>_xlfn.XLOOKUP(A2019,'Model Modeshare by TAZ'!A:A,'Model Modeshare by TAZ'!D:D)</f>
        <v>NO</v>
      </c>
      <c r="D2019" s="6">
        <v>5</v>
      </c>
      <c r="E2019" s="6">
        <v>2752</v>
      </c>
      <c r="F2019" s="6">
        <v>7533</v>
      </c>
      <c r="G2019" s="6">
        <v>7567</v>
      </c>
      <c r="H2019" s="6">
        <v>3265</v>
      </c>
      <c r="I2019" s="6">
        <v>1441</v>
      </c>
      <c r="J2019" s="6">
        <v>1311</v>
      </c>
      <c r="K2019" s="40">
        <v>221</v>
      </c>
      <c r="L2019" s="40">
        <v>91</v>
      </c>
      <c r="M2019" s="40">
        <v>2030</v>
      </c>
      <c r="N2019" s="40">
        <v>32</v>
      </c>
      <c r="O2019" s="40">
        <v>667</v>
      </c>
      <c r="P2019" s="40">
        <v>638</v>
      </c>
      <c r="Q2019" s="40">
        <v>3</v>
      </c>
      <c r="R2019" s="40">
        <v>600</v>
      </c>
      <c r="S2019" s="40">
        <v>91</v>
      </c>
    </row>
    <row r="2020" spans="1:19" x14ac:dyDescent="0.35">
      <c r="A2020" s="38">
        <v>2383</v>
      </c>
      <c r="B2020" s="38" t="str">
        <f>_xlfn.XLOOKUP(A2020,'Model Modeshare by TAZ'!A:A,'Model Modeshare by TAZ'!B:B)</f>
        <v>El Cerrito</v>
      </c>
      <c r="C2020" s="38" t="str">
        <f>_xlfn.XLOOKUP(A2020,'Model Modeshare by TAZ'!A:A,'Model Modeshare by TAZ'!D:D)</f>
        <v>NO</v>
      </c>
      <c r="D2020" s="6">
        <v>5</v>
      </c>
      <c r="E2020" s="6">
        <v>1447</v>
      </c>
      <c r="F2020" s="6">
        <v>3529</v>
      </c>
      <c r="G2020" s="6">
        <v>3536</v>
      </c>
      <c r="H2020" s="6">
        <v>1784</v>
      </c>
      <c r="I2020" s="6">
        <v>524</v>
      </c>
      <c r="J2020" s="6">
        <v>923</v>
      </c>
      <c r="K2020" s="40">
        <v>79</v>
      </c>
      <c r="L2020" s="40">
        <v>89</v>
      </c>
      <c r="M2020" s="40">
        <v>1844</v>
      </c>
      <c r="N2020" s="40">
        <v>791</v>
      </c>
      <c r="O2020" s="40">
        <v>562</v>
      </c>
      <c r="P2020" s="40">
        <v>337</v>
      </c>
      <c r="Q2020" s="40">
        <v>22</v>
      </c>
      <c r="R2020" s="40">
        <v>127</v>
      </c>
      <c r="S2020" s="40">
        <v>5</v>
      </c>
    </row>
    <row r="2021" spans="1:19" x14ac:dyDescent="0.35">
      <c r="A2021" s="38">
        <v>2384</v>
      </c>
      <c r="B2021" s="38" t="str">
        <f>_xlfn.XLOOKUP(A2021,'Model Modeshare by TAZ'!A:A,'Model Modeshare by TAZ'!B:B)</f>
        <v>El Cerrito</v>
      </c>
      <c r="C2021" s="38" t="str">
        <f>_xlfn.XLOOKUP(A2021,'Model Modeshare by TAZ'!A:A,'Model Modeshare by TAZ'!D:D)</f>
        <v>NO</v>
      </c>
      <c r="D2021" s="6">
        <v>5</v>
      </c>
      <c r="E2021" s="6">
        <v>527</v>
      </c>
      <c r="F2021" s="6">
        <v>1175</v>
      </c>
      <c r="G2021" s="6">
        <v>1175</v>
      </c>
      <c r="H2021" s="6">
        <v>586</v>
      </c>
      <c r="I2021" s="6">
        <v>526</v>
      </c>
      <c r="J2021" s="6">
        <v>1</v>
      </c>
      <c r="K2021" s="40">
        <v>82</v>
      </c>
      <c r="L2021" s="40">
        <v>25</v>
      </c>
      <c r="M2021" s="40">
        <v>58</v>
      </c>
      <c r="N2021" s="40">
        <v>0</v>
      </c>
      <c r="O2021" s="40">
        <v>47</v>
      </c>
      <c r="P2021" s="40">
        <v>10</v>
      </c>
      <c r="Q2021" s="40">
        <v>0</v>
      </c>
      <c r="R2021" s="40">
        <v>0</v>
      </c>
      <c r="S2021" s="40">
        <v>0</v>
      </c>
    </row>
    <row r="2022" spans="1:19" x14ac:dyDescent="0.35">
      <c r="A2022" s="38">
        <v>2385</v>
      </c>
      <c r="B2022" s="38" t="str">
        <f>_xlfn.XLOOKUP(A2022,'Model Modeshare by TAZ'!A:A,'Model Modeshare by TAZ'!B:B)</f>
        <v>El Cerrito</v>
      </c>
      <c r="C2022" s="38" t="str">
        <f>_xlfn.XLOOKUP(A2022,'Model Modeshare by TAZ'!A:A,'Model Modeshare by TAZ'!D:D)</f>
        <v>NO</v>
      </c>
      <c r="D2022" s="6">
        <v>5</v>
      </c>
      <c r="E2022" s="6">
        <v>1599</v>
      </c>
      <c r="F2022" s="6">
        <v>3829</v>
      </c>
      <c r="G2022" s="6">
        <v>3840</v>
      </c>
      <c r="H2022" s="6">
        <v>1864</v>
      </c>
      <c r="I2022" s="6">
        <v>1541</v>
      </c>
      <c r="J2022" s="6">
        <v>58</v>
      </c>
      <c r="K2022" s="40">
        <v>202</v>
      </c>
      <c r="L2022" s="40">
        <v>16</v>
      </c>
      <c r="M2022" s="40">
        <v>396</v>
      </c>
      <c r="N2022" s="40">
        <v>13</v>
      </c>
      <c r="O2022" s="40">
        <v>196</v>
      </c>
      <c r="P2022" s="40">
        <v>125</v>
      </c>
      <c r="Q2022" s="40">
        <v>3</v>
      </c>
      <c r="R2022" s="40">
        <v>57</v>
      </c>
      <c r="S2022" s="40">
        <v>1</v>
      </c>
    </row>
    <row r="2023" spans="1:19" x14ac:dyDescent="0.35">
      <c r="A2023" s="38">
        <v>2386</v>
      </c>
      <c r="B2023" s="38" t="str">
        <f>_xlfn.XLOOKUP(A2023,'Model Modeshare by TAZ'!A:A,'Model Modeshare by TAZ'!B:B)</f>
        <v>Richmond</v>
      </c>
      <c r="C2023" s="38" t="str">
        <f>_xlfn.XLOOKUP(A2023,'Model Modeshare by TAZ'!A:A,'Model Modeshare by TAZ'!D:D)</f>
        <v>NO</v>
      </c>
      <c r="D2023" s="6">
        <v>5</v>
      </c>
      <c r="E2023" s="6">
        <v>1109</v>
      </c>
      <c r="F2023" s="6">
        <v>2840</v>
      </c>
      <c r="G2023" s="6">
        <v>2851</v>
      </c>
      <c r="H2023" s="6">
        <v>1800</v>
      </c>
      <c r="I2023" s="6">
        <v>979</v>
      </c>
      <c r="J2023" s="6">
        <v>130</v>
      </c>
      <c r="K2023" s="40">
        <v>118</v>
      </c>
      <c r="L2023" s="40">
        <v>24</v>
      </c>
      <c r="M2023" s="40">
        <v>349</v>
      </c>
      <c r="N2023" s="40">
        <v>102</v>
      </c>
      <c r="O2023" s="40">
        <v>113</v>
      </c>
      <c r="P2023" s="40">
        <v>120</v>
      </c>
      <c r="Q2023" s="40">
        <v>0</v>
      </c>
      <c r="R2023" s="40">
        <v>11</v>
      </c>
      <c r="S2023" s="40">
        <v>3</v>
      </c>
    </row>
    <row r="2024" spans="1:19" x14ac:dyDescent="0.35">
      <c r="A2024" s="38">
        <v>2387</v>
      </c>
      <c r="B2024" s="38" t="str">
        <f>_xlfn.XLOOKUP(A2024,'Model Modeshare by TAZ'!A:A,'Model Modeshare by TAZ'!B:B)</f>
        <v>Richmond</v>
      </c>
      <c r="C2024" s="38" t="str">
        <f>_xlfn.XLOOKUP(A2024,'Model Modeshare by TAZ'!A:A,'Model Modeshare by TAZ'!D:D)</f>
        <v>NO</v>
      </c>
      <c r="D2024" s="6">
        <v>5</v>
      </c>
      <c r="E2024" s="6">
        <v>1965</v>
      </c>
      <c r="F2024" s="6">
        <v>6149</v>
      </c>
      <c r="G2024" s="6">
        <v>6149</v>
      </c>
      <c r="H2024" s="6">
        <v>3395</v>
      </c>
      <c r="I2024" s="6">
        <v>1544</v>
      </c>
      <c r="J2024" s="6">
        <v>421</v>
      </c>
      <c r="K2024" s="40">
        <v>189</v>
      </c>
      <c r="L2024" s="40">
        <v>24</v>
      </c>
      <c r="M2024" s="40">
        <v>730</v>
      </c>
      <c r="N2024" s="40">
        <v>106</v>
      </c>
      <c r="O2024" s="40">
        <v>372</v>
      </c>
      <c r="P2024" s="40">
        <v>249</v>
      </c>
      <c r="Q2024" s="40">
        <v>0</v>
      </c>
      <c r="R2024" s="40">
        <v>2</v>
      </c>
      <c r="S2024" s="40">
        <v>1</v>
      </c>
    </row>
    <row r="2025" spans="1:19" x14ac:dyDescent="0.35">
      <c r="A2025" s="38">
        <v>2388</v>
      </c>
      <c r="B2025" s="38" t="str">
        <f>_xlfn.XLOOKUP(A2025,'Model Modeshare by TAZ'!A:A,'Model Modeshare by TAZ'!B:B)</f>
        <v>Richmond</v>
      </c>
      <c r="C2025" s="38" t="str">
        <f>_xlfn.XLOOKUP(A2025,'Model Modeshare by TAZ'!A:A,'Model Modeshare by TAZ'!D:D)</f>
        <v>NO</v>
      </c>
      <c r="D2025" s="6">
        <v>5</v>
      </c>
      <c r="E2025" s="6">
        <v>1702</v>
      </c>
      <c r="F2025" s="6">
        <v>4224</v>
      </c>
      <c r="G2025" s="6">
        <v>4246</v>
      </c>
      <c r="H2025" s="6">
        <v>1924</v>
      </c>
      <c r="I2025" s="6">
        <v>1059</v>
      </c>
      <c r="J2025" s="6">
        <v>643</v>
      </c>
      <c r="K2025" s="40">
        <v>124</v>
      </c>
      <c r="L2025" s="40">
        <v>41</v>
      </c>
      <c r="M2025" s="40">
        <v>2194</v>
      </c>
      <c r="N2025" s="40">
        <v>206</v>
      </c>
      <c r="O2025" s="40">
        <v>941</v>
      </c>
      <c r="P2025" s="40">
        <v>998</v>
      </c>
      <c r="Q2025" s="40">
        <v>9</v>
      </c>
      <c r="R2025" s="40">
        <v>12</v>
      </c>
      <c r="S2025" s="40">
        <v>29</v>
      </c>
    </row>
    <row r="2026" spans="1:19" x14ac:dyDescent="0.35">
      <c r="A2026" s="38">
        <v>2389</v>
      </c>
      <c r="B2026" s="38" t="str">
        <f>_xlfn.XLOOKUP(A2026,'Model Modeshare by TAZ'!A:A,'Model Modeshare by TAZ'!B:B)</f>
        <v>Richmond</v>
      </c>
      <c r="C2026" s="38" t="str">
        <f>_xlfn.XLOOKUP(A2026,'Model Modeshare by TAZ'!A:A,'Model Modeshare by TAZ'!D:D)</f>
        <v>NO</v>
      </c>
      <c r="D2026" s="6">
        <v>5</v>
      </c>
      <c r="E2026" s="6">
        <v>1139</v>
      </c>
      <c r="F2026" s="6">
        <v>4775</v>
      </c>
      <c r="G2026" s="6">
        <v>4787</v>
      </c>
      <c r="H2026" s="6">
        <v>1990</v>
      </c>
      <c r="I2026" s="6">
        <v>666</v>
      </c>
      <c r="J2026" s="6">
        <v>473</v>
      </c>
      <c r="K2026" s="40">
        <v>74</v>
      </c>
      <c r="L2026" s="40">
        <v>20</v>
      </c>
      <c r="M2026" s="40">
        <v>5262</v>
      </c>
      <c r="N2026" s="40">
        <v>317</v>
      </c>
      <c r="O2026" s="40">
        <v>1052</v>
      </c>
      <c r="P2026" s="40">
        <v>3316</v>
      </c>
      <c r="Q2026" s="40">
        <v>0</v>
      </c>
      <c r="R2026" s="40">
        <v>202</v>
      </c>
      <c r="S2026" s="40">
        <v>375</v>
      </c>
    </row>
    <row r="2027" spans="1:19" x14ac:dyDescent="0.35">
      <c r="A2027" s="38">
        <v>2390</v>
      </c>
      <c r="B2027" s="38" t="str">
        <f>_xlfn.XLOOKUP(A2027,'Model Modeshare by TAZ'!A:A,'Model Modeshare by TAZ'!B:B)</f>
        <v>Richmond</v>
      </c>
      <c r="C2027" s="38" t="str">
        <f>_xlfn.XLOOKUP(A2027,'Model Modeshare by TAZ'!A:A,'Model Modeshare by TAZ'!D:D)</f>
        <v>NO</v>
      </c>
      <c r="D2027" s="6">
        <v>5</v>
      </c>
      <c r="E2027" s="6">
        <v>2028</v>
      </c>
      <c r="F2027" s="6">
        <v>6897</v>
      </c>
      <c r="G2027" s="6">
        <v>6996</v>
      </c>
      <c r="H2027" s="6">
        <v>2953</v>
      </c>
      <c r="I2027" s="6">
        <v>1302</v>
      </c>
      <c r="J2027" s="6">
        <v>726</v>
      </c>
      <c r="K2027" s="40">
        <v>179</v>
      </c>
      <c r="L2027" s="40">
        <v>105</v>
      </c>
      <c r="M2027" s="40">
        <v>2510</v>
      </c>
      <c r="N2027" s="40">
        <v>477</v>
      </c>
      <c r="O2027" s="40">
        <v>1366</v>
      </c>
      <c r="P2027" s="40">
        <v>532</v>
      </c>
      <c r="Q2027" s="40">
        <v>72</v>
      </c>
      <c r="R2027" s="40">
        <v>25</v>
      </c>
      <c r="S2027" s="40">
        <v>39</v>
      </c>
    </row>
    <row r="2028" spans="1:19" x14ac:dyDescent="0.35">
      <c r="A2028" s="38">
        <v>2391</v>
      </c>
      <c r="B2028" s="38" t="str">
        <f>_xlfn.XLOOKUP(A2028,'Model Modeshare by TAZ'!A:A,'Model Modeshare by TAZ'!B:B)</f>
        <v>Richmond</v>
      </c>
      <c r="C2028" s="38" t="str">
        <f>_xlfn.XLOOKUP(A2028,'Model Modeshare by TAZ'!A:A,'Model Modeshare by TAZ'!D:D)</f>
        <v>NO</v>
      </c>
      <c r="D2028" s="6">
        <v>5</v>
      </c>
      <c r="E2028" s="6">
        <v>2878</v>
      </c>
      <c r="F2028" s="6">
        <v>6569</v>
      </c>
      <c r="G2028" s="6">
        <v>6569</v>
      </c>
      <c r="H2028" s="6">
        <v>3866</v>
      </c>
      <c r="I2028" s="6">
        <v>1110</v>
      </c>
      <c r="J2028" s="6">
        <v>1768</v>
      </c>
      <c r="K2028" s="40">
        <v>177</v>
      </c>
      <c r="L2028" s="40">
        <v>758</v>
      </c>
      <c r="M2028" s="40">
        <v>5877</v>
      </c>
      <c r="N2028" s="40">
        <v>1384</v>
      </c>
      <c r="O2028" s="40">
        <v>1469</v>
      </c>
      <c r="P2028" s="40">
        <v>1862</v>
      </c>
      <c r="Q2028" s="40">
        <v>16</v>
      </c>
      <c r="R2028" s="40">
        <v>817</v>
      </c>
      <c r="S2028" s="40">
        <v>330</v>
      </c>
    </row>
    <row r="2029" spans="1:19" x14ac:dyDescent="0.35">
      <c r="A2029" s="38">
        <v>2392</v>
      </c>
      <c r="B2029" s="38" t="str">
        <f>_xlfn.XLOOKUP(A2029,'Model Modeshare by TAZ'!A:A,'Model Modeshare by TAZ'!B:B)</f>
        <v>Richmond</v>
      </c>
      <c r="C2029" s="38" t="str">
        <f>_xlfn.XLOOKUP(A2029,'Model Modeshare by TAZ'!A:A,'Model Modeshare by TAZ'!D:D)</f>
        <v>NO</v>
      </c>
      <c r="D2029" s="6">
        <v>5</v>
      </c>
      <c r="E2029" s="6">
        <v>1893</v>
      </c>
      <c r="F2029" s="6">
        <v>6559</v>
      </c>
      <c r="G2029" s="6">
        <v>6668</v>
      </c>
      <c r="H2029" s="6">
        <v>2526</v>
      </c>
      <c r="I2029" s="6">
        <v>1351</v>
      </c>
      <c r="J2029" s="6">
        <v>542</v>
      </c>
      <c r="K2029" s="40">
        <v>148</v>
      </c>
      <c r="L2029" s="40">
        <v>107</v>
      </c>
      <c r="M2029" s="40">
        <v>1499</v>
      </c>
      <c r="N2029" s="40">
        <v>49</v>
      </c>
      <c r="O2029" s="40">
        <v>783</v>
      </c>
      <c r="P2029" s="40">
        <v>361</v>
      </c>
      <c r="Q2029" s="40">
        <v>0</v>
      </c>
      <c r="R2029" s="40">
        <v>275</v>
      </c>
      <c r="S2029" s="40">
        <v>30</v>
      </c>
    </row>
    <row r="2030" spans="1:19" x14ac:dyDescent="0.35">
      <c r="A2030" s="38">
        <v>2393</v>
      </c>
      <c r="B2030" s="38" t="str">
        <f>_xlfn.XLOOKUP(A2030,'Model Modeshare by TAZ'!A:A,'Model Modeshare by TAZ'!B:B)</f>
        <v>Richmond</v>
      </c>
      <c r="C2030" s="38" t="str">
        <f>_xlfn.XLOOKUP(A2030,'Model Modeshare by TAZ'!A:A,'Model Modeshare by TAZ'!D:D)</f>
        <v>NO</v>
      </c>
      <c r="D2030" s="6">
        <v>5</v>
      </c>
      <c r="E2030" s="6">
        <v>2177</v>
      </c>
      <c r="F2030" s="6">
        <v>6724</v>
      </c>
      <c r="G2030" s="6">
        <v>6835</v>
      </c>
      <c r="H2030" s="6">
        <v>2353</v>
      </c>
      <c r="I2030" s="6">
        <v>978</v>
      </c>
      <c r="J2030" s="6">
        <v>1199</v>
      </c>
      <c r="K2030" s="40">
        <v>142</v>
      </c>
      <c r="L2030" s="40">
        <v>79</v>
      </c>
      <c r="M2030" s="40">
        <v>1222</v>
      </c>
      <c r="N2030" s="40">
        <v>55</v>
      </c>
      <c r="O2030" s="40">
        <v>629</v>
      </c>
      <c r="P2030" s="40">
        <v>407</v>
      </c>
      <c r="Q2030" s="40">
        <v>0</v>
      </c>
      <c r="R2030" s="40">
        <v>68</v>
      </c>
      <c r="S2030" s="40">
        <v>63</v>
      </c>
    </row>
    <row r="2031" spans="1:19" x14ac:dyDescent="0.35">
      <c r="A2031" s="38">
        <v>2394</v>
      </c>
      <c r="B2031" s="38" t="str">
        <f>_xlfn.XLOOKUP(A2031,'Model Modeshare by TAZ'!A:A,'Model Modeshare by TAZ'!B:B)</f>
        <v>Richmond</v>
      </c>
      <c r="C2031" s="38" t="str">
        <f>_xlfn.XLOOKUP(A2031,'Model Modeshare by TAZ'!A:A,'Model Modeshare by TAZ'!D:D)</f>
        <v>NO</v>
      </c>
      <c r="D2031" s="6">
        <v>5</v>
      </c>
      <c r="E2031" s="6">
        <v>1699</v>
      </c>
      <c r="F2031" s="6">
        <v>3116</v>
      </c>
      <c r="G2031" s="6">
        <v>3116</v>
      </c>
      <c r="H2031" s="6">
        <v>1947</v>
      </c>
      <c r="I2031" s="6">
        <v>818</v>
      </c>
      <c r="J2031" s="6">
        <v>881</v>
      </c>
      <c r="K2031" s="40">
        <v>113</v>
      </c>
      <c r="L2031" s="40">
        <v>2631</v>
      </c>
      <c r="M2031" s="40">
        <v>4486</v>
      </c>
      <c r="N2031" s="40">
        <v>141</v>
      </c>
      <c r="O2031" s="40">
        <v>1371</v>
      </c>
      <c r="P2031" s="40">
        <v>1108</v>
      </c>
      <c r="Q2031" s="40">
        <v>28</v>
      </c>
      <c r="R2031" s="40">
        <v>1333</v>
      </c>
      <c r="S2031" s="40">
        <v>505</v>
      </c>
    </row>
    <row r="2032" spans="1:19" x14ac:dyDescent="0.35">
      <c r="A2032" s="38">
        <v>2395</v>
      </c>
      <c r="B2032" s="38" t="str">
        <f>_xlfn.XLOOKUP(A2032,'Model Modeshare by TAZ'!A:A,'Model Modeshare by TAZ'!B:B)</f>
        <v>Richmond</v>
      </c>
      <c r="C2032" s="38" t="str">
        <f>_xlfn.XLOOKUP(A2032,'Model Modeshare by TAZ'!A:A,'Model Modeshare by TAZ'!D:D)</f>
        <v>NO</v>
      </c>
      <c r="D2032" s="6">
        <v>5</v>
      </c>
      <c r="E2032" s="6">
        <v>1757</v>
      </c>
      <c r="F2032" s="6">
        <v>5537</v>
      </c>
      <c r="G2032" s="6">
        <v>5547</v>
      </c>
      <c r="H2032" s="6">
        <v>2364</v>
      </c>
      <c r="I2032" s="6">
        <v>1066</v>
      </c>
      <c r="J2032" s="6">
        <v>691</v>
      </c>
      <c r="K2032" s="40">
        <v>127</v>
      </c>
      <c r="L2032" s="40">
        <v>54</v>
      </c>
      <c r="M2032" s="40">
        <v>1184</v>
      </c>
      <c r="N2032" s="40">
        <v>16</v>
      </c>
      <c r="O2032" s="40">
        <v>261</v>
      </c>
      <c r="P2032" s="40">
        <v>838</v>
      </c>
      <c r="Q2032" s="40">
        <v>1</v>
      </c>
      <c r="R2032" s="40">
        <v>60</v>
      </c>
      <c r="S2032" s="40">
        <v>8</v>
      </c>
    </row>
    <row r="2033" spans="1:19" x14ac:dyDescent="0.35">
      <c r="A2033" s="38">
        <v>2396</v>
      </c>
      <c r="B2033" s="38" t="str">
        <f>_xlfn.XLOOKUP(A2033,'Model Modeshare by TAZ'!A:A,'Model Modeshare by TAZ'!B:B)</f>
        <v>Richmond</v>
      </c>
      <c r="C2033" s="38" t="str">
        <f>_xlfn.XLOOKUP(A2033,'Model Modeshare by TAZ'!A:A,'Model Modeshare by TAZ'!D:D)</f>
        <v>NO</v>
      </c>
      <c r="D2033" s="6">
        <v>5</v>
      </c>
      <c r="E2033" s="6">
        <v>1112</v>
      </c>
      <c r="F2033" s="6">
        <v>4069</v>
      </c>
      <c r="G2033" s="6">
        <v>4102</v>
      </c>
      <c r="H2033" s="6">
        <v>1628</v>
      </c>
      <c r="I2033" s="6">
        <v>749</v>
      </c>
      <c r="J2033" s="6">
        <v>363</v>
      </c>
      <c r="K2033" s="40">
        <v>99</v>
      </c>
      <c r="L2033" s="40">
        <v>24</v>
      </c>
      <c r="M2033" s="40">
        <v>275</v>
      </c>
      <c r="N2033" s="40">
        <v>25</v>
      </c>
      <c r="O2033" s="40">
        <v>182</v>
      </c>
      <c r="P2033" s="40">
        <v>45</v>
      </c>
      <c r="Q2033" s="40">
        <v>0</v>
      </c>
      <c r="R2033" s="40">
        <v>12</v>
      </c>
      <c r="S2033" s="40">
        <v>12</v>
      </c>
    </row>
    <row r="2034" spans="1:19" x14ac:dyDescent="0.35">
      <c r="A2034" s="38">
        <v>2397</v>
      </c>
      <c r="B2034" s="38" t="str">
        <f>_xlfn.XLOOKUP(A2034,'Model Modeshare by TAZ'!A:A,'Model Modeshare by TAZ'!B:B)</f>
        <v>Richmond</v>
      </c>
      <c r="C2034" s="38" t="str">
        <f>_xlfn.XLOOKUP(A2034,'Model Modeshare by TAZ'!A:A,'Model Modeshare by TAZ'!D:D)</f>
        <v>NO</v>
      </c>
      <c r="D2034" s="6">
        <v>5</v>
      </c>
      <c r="E2034" s="6">
        <v>2237</v>
      </c>
      <c r="F2034" s="6">
        <v>7585</v>
      </c>
      <c r="G2034" s="6">
        <v>7621</v>
      </c>
      <c r="H2034" s="6">
        <v>3793</v>
      </c>
      <c r="I2034" s="6">
        <v>1899</v>
      </c>
      <c r="J2034" s="6">
        <v>338</v>
      </c>
      <c r="K2034" s="40">
        <v>215</v>
      </c>
      <c r="L2034" s="40">
        <v>54</v>
      </c>
      <c r="M2034" s="40">
        <v>668</v>
      </c>
      <c r="N2034" s="40">
        <v>92</v>
      </c>
      <c r="O2034" s="40">
        <v>338</v>
      </c>
      <c r="P2034" s="40">
        <v>236</v>
      </c>
      <c r="Q2034" s="40">
        <v>1</v>
      </c>
      <c r="R2034" s="40">
        <v>1</v>
      </c>
      <c r="S2034" s="40">
        <v>1</v>
      </c>
    </row>
    <row r="2035" spans="1:19" x14ac:dyDescent="0.35">
      <c r="A2035" s="38">
        <v>2398</v>
      </c>
      <c r="B2035" s="38" t="str">
        <f>_xlfn.XLOOKUP(A2035,'Model Modeshare by TAZ'!A:A,'Model Modeshare by TAZ'!B:B)</f>
        <v>San Pablo</v>
      </c>
      <c r="C2035" s="38" t="str">
        <f>_xlfn.XLOOKUP(A2035,'Model Modeshare by TAZ'!A:A,'Model Modeshare by TAZ'!D:D)</f>
        <v>NO</v>
      </c>
      <c r="D2035" s="6">
        <v>5</v>
      </c>
      <c r="E2035" s="6">
        <v>2424</v>
      </c>
      <c r="F2035" s="6">
        <v>6998</v>
      </c>
      <c r="G2035" s="6">
        <v>7420</v>
      </c>
      <c r="H2035" s="6">
        <v>3022</v>
      </c>
      <c r="I2035" s="6">
        <v>722</v>
      </c>
      <c r="J2035" s="6">
        <v>1702</v>
      </c>
      <c r="K2035" s="40">
        <v>126</v>
      </c>
      <c r="L2035" s="40">
        <v>92</v>
      </c>
      <c r="M2035" s="40">
        <v>4114</v>
      </c>
      <c r="N2035" s="40">
        <v>1113</v>
      </c>
      <c r="O2035" s="40">
        <v>2380</v>
      </c>
      <c r="P2035" s="40">
        <v>545</v>
      </c>
      <c r="Q2035" s="40">
        <v>3</v>
      </c>
      <c r="R2035" s="40">
        <v>60</v>
      </c>
      <c r="S2035" s="40">
        <v>12</v>
      </c>
    </row>
    <row r="2036" spans="1:19" x14ac:dyDescent="0.35">
      <c r="A2036" s="38">
        <v>2399</v>
      </c>
      <c r="B2036" s="38" t="str">
        <f>_xlfn.XLOOKUP(A2036,'Model Modeshare by TAZ'!A:A,'Model Modeshare by TAZ'!B:B)</f>
        <v>San Pablo</v>
      </c>
      <c r="C2036" s="38" t="str">
        <f>_xlfn.XLOOKUP(A2036,'Model Modeshare by TAZ'!A:A,'Model Modeshare by TAZ'!D:D)</f>
        <v>NO</v>
      </c>
      <c r="D2036" s="6">
        <v>5</v>
      </c>
      <c r="E2036" s="6">
        <v>2268</v>
      </c>
      <c r="F2036" s="6">
        <v>8489</v>
      </c>
      <c r="G2036" s="6">
        <v>8522</v>
      </c>
      <c r="H2036" s="6">
        <v>3718</v>
      </c>
      <c r="I2036" s="6">
        <v>1463</v>
      </c>
      <c r="J2036" s="6">
        <v>805</v>
      </c>
      <c r="K2036" s="40">
        <v>176</v>
      </c>
      <c r="L2036" s="40">
        <v>64</v>
      </c>
      <c r="M2036" s="40">
        <v>704</v>
      </c>
      <c r="N2036" s="40">
        <v>132</v>
      </c>
      <c r="O2036" s="40">
        <v>404</v>
      </c>
      <c r="P2036" s="40">
        <v>96</v>
      </c>
      <c r="Q2036" s="40">
        <v>1</v>
      </c>
      <c r="R2036" s="40">
        <v>49</v>
      </c>
      <c r="S2036" s="40">
        <v>22</v>
      </c>
    </row>
    <row r="2037" spans="1:19" x14ac:dyDescent="0.35">
      <c r="A2037" s="38">
        <v>2400</v>
      </c>
      <c r="B2037" s="38" t="str">
        <f>_xlfn.XLOOKUP(A2037,'Model Modeshare by TAZ'!A:A,'Model Modeshare by TAZ'!B:B)</f>
        <v>Unincorporated</v>
      </c>
      <c r="C2037" s="38" t="str">
        <f>_xlfn.XLOOKUP(A2037,'Model Modeshare by TAZ'!A:A,'Model Modeshare by TAZ'!D:D)</f>
        <v>NO</v>
      </c>
      <c r="D2037" s="6">
        <v>5</v>
      </c>
      <c r="E2037" s="6">
        <v>1574</v>
      </c>
      <c r="F2037" s="6">
        <v>6122</v>
      </c>
      <c r="G2037" s="6">
        <v>6262</v>
      </c>
      <c r="H2037" s="6">
        <v>2394</v>
      </c>
      <c r="I2037" s="6">
        <v>946</v>
      </c>
      <c r="J2037" s="6">
        <v>628</v>
      </c>
      <c r="K2037" s="40">
        <v>123</v>
      </c>
      <c r="L2037" s="40">
        <v>605</v>
      </c>
      <c r="M2037" s="40">
        <v>1120</v>
      </c>
      <c r="N2037" s="40">
        <v>101</v>
      </c>
      <c r="O2037" s="40">
        <v>399</v>
      </c>
      <c r="P2037" s="40">
        <v>350</v>
      </c>
      <c r="Q2037" s="40">
        <v>43</v>
      </c>
      <c r="R2037" s="40">
        <v>151</v>
      </c>
      <c r="S2037" s="40">
        <v>77</v>
      </c>
    </row>
    <row r="2038" spans="1:19" x14ac:dyDescent="0.35">
      <c r="A2038" s="38">
        <v>2401</v>
      </c>
      <c r="B2038" s="38" t="str">
        <f>_xlfn.XLOOKUP(A2038,'Model Modeshare by TAZ'!A:A,'Model Modeshare by TAZ'!B:B)</f>
        <v>Richmond</v>
      </c>
      <c r="C2038" s="38" t="str">
        <f>_xlfn.XLOOKUP(A2038,'Model Modeshare by TAZ'!A:A,'Model Modeshare by TAZ'!D:D)</f>
        <v>NO</v>
      </c>
      <c r="D2038" s="6">
        <v>5</v>
      </c>
      <c r="E2038" s="6">
        <v>3920</v>
      </c>
      <c r="F2038" s="6">
        <v>10803</v>
      </c>
      <c r="G2038" s="6">
        <v>11402</v>
      </c>
      <c r="H2038" s="6">
        <v>5722</v>
      </c>
      <c r="I2038" s="6">
        <v>1607</v>
      </c>
      <c r="J2038" s="6">
        <v>2313</v>
      </c>
      <c r="K2038" s="40">
        <v>429</v>
      </c>
      <c r="L2038" s="40">
        <v>805</v>
      </c>
      <c r="M2038" s="40">
        <v>7046</v>
      </c>
      <c r="N2038" s="40">
        <v>1275</v>
      </c>
      <c r="O2038" s="40">
        <v>2150</v>
      </c>
      <c r="P2038" s="40">
        <v>2893</v>
      </c>
      <c r="Q2038" s="40">
        <v>47</v>
      </c>
      <c r="R2038" s="40">
        <v>598</v>
      </c>
      <c r="S2038" s="40">
        <v>82</v>
      </c>
    </row>
    <row r="2039" spans="1:19" x14ac:dyDescent="0.35">
      <c r="A2039" s="38">
        <v>2402</v>
      </c>
      <c r="B2039" s="38" t="str">
        <f>_xlfn.XLOOKUP(A2039,'Model Modeshare by TAZ'!A:A,'Model Modeshare by TAZ'!B:B)</f>
        <v>San Pablo</v>
      </c>
      <c r="C2039" s="38" t="str">
        <f>_xlfn.XLOOKUP(A2039,'Model Modeshare by TAZ'!A:A,'Model Modeshare by TAZ'!D:D)</f>
        <v>NO</v>
      </c>
      <c r="D2039" s="6">
        <v>5</v>
      </c>
      <c r="E2039" s="6">
        <v>1297</v>
      </c>
      <c r="F2039" s="6">
        <v>4371</v>
      </c>
      <c r="G2039" s="6">
        <v>4380</v>
      </c>
      <c r="H2039" s="6">
        <v>1905</v>
      </c>
      <c r="I2039" s="6">
        <v>1006</v>
      </c>
      <c r="J2039" s="6">
        <v>291</v>
      </c>
      <c r="K2039" s="40">
        <v>152</v>
      </c>
      <c r="L2039" s="40">
        <v>21</v>
      </c>
      <c r="M2039" s="40">
        <v>316</v>
      </c>
      <c r="N2039" s="40">
        <v>63</v>
      </c>
      <c r="O2039" s="40">
        <v>185</v>
      </c>
      <c r="P2039" s="40">
        <v>46</v>
      </c>
      <c r="Q2039" s="40">
        <v>1</v>
      </c>
      <c r="R2039" s="40">
        <v>17</v>
      </c>
      <c r="S2039" s="40">
        <v>5</v>
      </c>
    </row>
    <row r="2040" spans="1:19" x14ac:dyDescent="0.35">
      <c r="A2040" s="38">
        <v>2403</v>
      </c>
      <c r="B2040" s="38" t="str">
        <f>_xlfn.XLOOKUP(A2040,'Model Modeshare by TAZ'!A:A,'Model Modeshare by TAZ'!B:B)</f>
        <v>San Pablo</v>
      </c>
      <c r="C2040" s="38" t="str">
        <f>_xlfn.XLOOKUP(A2040,'Model Modeshare by TAZ'!A:A,'Model Modeshare by TAZ'!D:D)</f>
        <v>NO</v>
      </c>
      <c r="D2040" s="6">
        <v>5</v>
      </c>
      <c r="E2040" s="6">
        <v>1685</v>
      </c>
      <c r="F2040" s="6">
        <v>6319</v>
      </c>
      <c r="G2040" s="6">
        <v>6319</v>
      </c>
      <c r="H2040" s="6">
        <v>2954</v>
      </c>
      <c r="I2040" s="6">
        <v>1198</v>
      </c>
      <c r="J2040" s="6">
        <v>487</v>
      </c>
      <c r="K2040" s="40">
        <v>156</v>
      </c>
      <c r="L2040" s="40">
        <v>45</v>
      </c>
      <c r="M2040" s="40">
        <v>225</v>
      </c>
      <c r="N2040" s="40">
        <v>44</v>
      </c>
      <c r="O2040" s="40">
        <v>131</v>
      </c>
      <c r="P2040" s="40">
        <v>34</v>
      </c>
      <c r="Q2040" s="40">
        <v>1</v>
      </c>
      <c r="R2040" s="40">
        <v>12</v>
      </c>
      <c r="S2040" s="40">
        <v>4</v>
      </c>
    </row>
    <row r="2041" spans="1:19" x14ac:dyDescent="0.35">
      <c r="A2041" s="38">
        <v>2404</v>
      </c>
      <c r="B2041" s="38" t="str">
        <f>_xlfn.XLOOKUP(A2041,'Model Modeshare by TAZ'!A:A,'Model Modeshare by TAZ'!B:B)</f>
        <v>San Pablo</v>
      </c>
      <c r="C2041" s="38" t="str">
        <f>_xlfn.XLOOKUP(A2041,'Model Modeshare by TAZ'!A:A,'Model Modeshare by TAZ'!D:D)</f>
        <v>NO</v>
      </c>
      <c r="D2041" s="6">
        <v>5</v>
      </c>
      <c r="E2041" s="6">
        <v>1780</v>
      </c>
      <c r="F2041" s="6">
        <v>5493</v>
      </c>
      <c r="G2041" s="6">
        <v>5506</v>
      </c>
      <c r="H2041" s="6">
        <v>2512</v>
      </c>
      <c r="I2041" s="6">
        <v>1165</v>
      </c>
      <c r="J2041" s="6">
        <v>615</v>
      </c>
      <c r="K2041" s="40">
        <v>121</v>
      </c>
      <c r="L2041" s="40">
        <v>122</v>
      </c>
      <c r="M2041" s="40">
        <v>832</v>
      </c>
      <c r="N2041" s="40">
        <v>157</v>
      </c>
      <c r="O2041" s="40">
        <v>498</v>
      </c>
      <c r="P2041" s="40">
        <v>170</v>
      </c>
      <c r="Q2041" s="40">
        <v>0</v>
      </c>
      <c r="R2041" s="40">
        <v>2</v>
      </c>
      <c r="S2041" s="40">
        <v>5</v>
      </c>
    </row>
    <row r="2042" spans="1:19" x14ac:dyDescent="0.35">
      <c r="A2042" s="38">
        <v>2405</v>
      </c>
      <c r="B2042" s="38" t="str">
        <f>_xlfn.XLOOKUP(A2042,'Model Modeshare by TAZ'!A:A,'Model Modeshare by TAZ'!B:B)</f>
        <v>Richmond</v>
      </c>
      <c r="C2042" s="38" t="str">
        <f>_xlfn.XLOOKUP(A2042,'Model Modeshare by TAZ'!A:A,'Model Modeshare by TAZ'!D:D)</f>
        <v>NO</v>
      </c>
      <c r="D2042" s="6">
        <v>5</v>
      </c>
      <c r="E2042" s="6">
        <v>1928</v>
      </c>
      <c r="F2042" s="6">
        <v>4910</v>
      </c>
      <c r="G2042" s="6">
        <v>4950</v>
      </c>
      <c r="H2042" s="6">
        <v>2183</v>
      </c>
      <c r="I2042" s="6">
        <v>1231</v>
      </c>
      <c r="J2042" s="6">
        <v>697</v>
      </c>
      <c r="K2042" s="40">
        <v>211</v>
      </c>
      <c r="L2042" s="40">
        <v>81</v>
      </c>
      <c r="M2042" s="40">
        <v>504</v>
      </c>
      <c r="N2042" s="40">
        <v>42</v>
      </c>
      <c r="O2042" s="40">
        <v>383</v>
      </c>
      <c r="P2042" s="40">
        <v>68</v>
      </c>
      <c r="Q2042" s="40">
        <v>0</v>
      </c>
      <c r="R2042" s="40">
        <v>7</v>
      </c>
      <c r="S2042" s="40">
        <v>4</v>
      </c>
    </row>
    <row r="2043" spans="1:19" x14ac:dyDescent="0.35">
      <c r="A2043" s="38">
        <v>2406</v>
      </c>
      <c r="B2043" s="38" t="str">
        <f>_xlfn.XLOOKUP(A2043,'Model Modeshare by TAZ'!A:A,'Model Modeshare by TAZ'!B:B)</f>
        <v>Unincorporated</v>
      </c>
      <c r="C2043" s="38" t="str">
        <f>_xlfn.XLOOKUP(A2043,'Model Modeshare by TAZ'!A:A,'Model Modeshare by TAZ'!D:D)</f>
        <v>NO</v>
      </c>
      <c r="D2043" s="6">
        <v>5</v>
      </c>
      <c r="E2043" s="6">
        <v>2729</v>
      </c>
      <c r="F2043" s="6">
        <v>7303</v>
      </c>
      <c r="G2043" s="6">
        <v>7326</v>
      </c>
      <c r="H2043" s="6">
        <v>3959</v>
      </c>
      <c r="I2043" s="6">
        <v>2121</v>
      </c>
      <c r="J2043" s="6">
        <v>608</v>
      </c>
      <c r="K2043" s="40">
        <v>491</v>
      </c>
      <c r="L2043" s="40">
        <v>181</v>
      </c>
      <c r="M2043" s="40">
        <v>3319</v>
      </c>
      <c r="N2043" s="40">
        <v>560</v>
      </c>
      <c r="O2043" s="40">
        <v>2109</v>
      </c>
      <c r="P2043" s="40">
        <v>630</v>
      </c>
      <c r="Q2043" s="40">
        <v>20</v>
      </c>
      <c r="R2043" s="40">
        <v>1</v>
      </c>
      <c r="S2043" s="40">
        <v>0</v>
      </c>
    </row>
    <row r="2044" spans="1:19" x14ac:dyDescent="0.35">
      <c r="A2044" s="38">
        <v>2407</v>
      </c>
      <c r="B2044" s="38" t="str">
        <f>_xlfn.XLOOKUP(A2044,'Model Modeshare by TAZ'!A:A,'Model Modeshare by TAZ'!B:B)</f>
        <v>San Pablo</v>
      </c>
      <c r="C2044" s="38" t="str">
        <f>_xlfn.XLOOKUP(A2044,'Model Modeshare by TAZ'!A:A,'Model Modeshare by TAZ'!D:D)</f>
        <v>NO</v>
      </c>
      <c r="D2044" s="6">
        <v>5</v>
      </c>
      <c r="E2044" s="6">
        <v>980</v>
      </c>
      <c r="F2044" s="6">
        <v>2351</v>
      </c>
      <c r="G2044" s="6">
        <v>2356</v>
      </c>
      <c r="H2044" s="6">
        <v>1368</v>
      </c>
      <c r="I2044" s="6">
        <v>651</v>
      </c>
      <c r="J2044" s="6">
        <v>329</v>
      </c>
      <c r="K2044" s="40">
        <v>134</v>
      </c>
      <c r="L2044" s="40">
        <v>58</v>
      </c>
      <c r="M2044" s="40">
        <v>732</v>
      </c>
      <c r="N2044" s="40">
        <v>187</v>
      </c>
      <c r="O2044" s="40">
        <v>433</v>
      </c>
      <c r="P2044" s="40">
        <v>94</v>
      </c>
      <c r="Q2044" s="40">
        <v>2</v>
      </c>
      <c r="R2044" s="40">
        <v>11</v>
      </c>
      <c r="S2044" s="40">
        <v>6</v>
      </c>
    </row>
    <row r="2045" spans="1:19" x14ac:dyDescent="0.35">
      <c r="A2045" s="38">
        <v>2408</v>
      </c>
      <c r="B2045" s="38" t="str">
        <f>_xlfn.XLOOKUP(A2045,'Model Modeshare by TAZ'!A:A,'Model Modeshare by TAZ'!B:B)</f>
        <v>Unincorporated</v>
      </c>
      <c r="C2045" s="38" t="str">
        <f>_xlfn.XLOOKUP(A2045,'Model Modeshare by TAZ'!A:A,'Model Modeshare by TAZ'!D:D)</f>
        <v>NO</v>
      </c>
      <c r="D2045" s="6">
        <v>5</v>
      </c>
      <c r="E2045" s="6">
        <v>1243</v>
      </c>
      <c r="F2045" s="6">
        <v>3040</v>
      </c>
      <c r="G2045" s="6">
        <v>3045</v>
      </c>
      <c r="H2045" s="6">
        <v>1590</v>
      </c>
      <c r="I2045" s="6">
        <v>1190</v>
      </c>
      <c r="J2045" s="6">
        <v>53</v>
      </c>
      <c r="K2045" s="40">
        <v>181</v>
      </c>
      <c r="L2045" s="40">
        <v>35</v>
      </c>
      <c r="M2045" s="40">
        <v>189</v>
      </c>
      <c r="N2045" s="40">
        <v>9</v>
      </c>
      <c r="O2045" s="40">
        <v>154</v>
      </c>
      <c r="P2045" s="40">
        <v>22</v>
      </c>
      <c r="Q2045" s="40">
        <v>1</v>
      </c>
      <c r="R2045" s="40">
        <v>1</v>
      </c>
      <c r="S2045" s="40">
        <v>2</v>
      </c>
    </row>
    <row r="2046" spans="1:19" x14ac:dyDescent="0.35">
      <c r="A2046" s="38">
        <v>2409</v>
      </c>
      <c r="B2046" s="38" t="str">
        <f>_xlfn.XLOOKUP(A2046,'Model Modeshare by TAZ'!A:A,'Model Modeshare by TAZ'!B:B)</f>
        <v>Richmond</v>
      </c>
      <c r="C2046" s="38" t="str">
        <f>_xlfn.XLOOKUP(A2046,'Model Modeshare by TAZ'!A:A,'Model Modeshare by TAZ'!D:D)</f>
        <v>NO</v>
      </c>
      <c r="D2046" s="6">
        <v>5</v>
      </c>
      <c r="E2046" s="6">
        <v>1917</v>
      </c>
      <c r="F2046" s="6">
        <v>5152</v>
      </c>
      <c r="G2046" s="6">
        <v>5210</v>
      </c>
      <c r="H2046" s="6">
        <v>2669</v>
      </c>
      <c r="I2046" s="6">
        <v>1413</v>
      </c>
      <c r="J2046" s="6">
        <v>504</v>
      </c>
      <c r="K2046" s="40">
        <v>398</v>
      </c>
      <c r="L2046" s="40">
        <v>76</v>
      </c>
      <c r="M2046" s="40">
        <v>561</v>
      </c>
      <c r="N2046" s="40">
        <v>103</v>
      </c>
      <c r="O2046" s="40">
        <v>189</v>
      </c>
      <c r="P2046" s="40">
        <v>232</v>
      </c>
      <c r="Q2046" s="40">
        <v>0</v>
      </c>
      <c r="R2046" s="40">
        <v>17</v>
      </c>
      <c r="S2046" s="40">
        <v>20</v>
      </c>
    </row>
    <row r="2047" spans="1:19" x14ac:dyDescent="0.35">
      <c r="A2047" s="38">
        <v>2410</v>
      </c>
      <c r="B2047" s="38" t="str">
        <f>_xlfn.XLOOKUP(A2047,'Model Modeshare by TAZ'!A:A,'Model Modeshare by TAZ'!B:B)</f>
        <v>Unincorporated</v>
      </c>
      <c r="C2047" s="38" t="str">
        <f>_xlfn.XLOOKUP(A2047,'Model Modeshare by TAZ'!A:A,'Model Modeshare by TAZ'!D:D)</f>
        <v>NO</v>
      </c>
      <c r="D2047" s="6">
        <v>5</v>
      </c>
      <c r="E2047" s="6">
        <v>1573</v>
      </c>
      <c r="F2047" s="6">
        <v>4216</v>
      </c>
      <c r="G2047" s="6">
        <v>4243</v>
      </c>
      <c r="H2047" s="6">
        <v>1968</v>
      </c>
      <c r="I2047" s="6">
        <v>1046</v>
      </c>
      <c r="J2047" s="6">
        <v>527</v>
      </c>
      <c r="K2047" s="40">
        <v>345</v>
      </c>
      <c r="L2047" s="40">
        <v>93</v>
      </c>
      <c r="M2047" s="40">
        <v>1091</v>
      </c>
      <c r="N2047" s="40">
        <v>211</v>
      </c>
      <c r="O2047" s="40">
        <v>587</v>
      </c>
      <c r="P2047" s="40">
        <v>284</v>
      </c>
      <c r="Q2047" s="40">
        <v>7</v>
      </c>
      <c r="R2047" s="40">
        <v>3</v>
      </c>
      <c r="S2047" s="40">
        <v>0</v>
      </c>
    </row>
    <row r="2048" spans="1:19" x14ac:dyDescent="0.35">
      <c r="A2048" s="38">
        <v>2411</v>
      </c>
      <c r="B2048" s="38" t="str">
        <f>_xlfn.XLOOKUP(A2048,'Model Modeshare by TAZ'!A:A,'Model Modeshare by TAZ'!B:B)</f>
        <v>Richmond</v>
      </c>
      <c r="C2048" s="38" t="str">
        <f>_xlfn.XLOOKUP(A2048,'Model Modeshare by TAZ'!A:A,'Model Modeshare by TAZ'!D:D)</f>
        <v>NO</v>
      </c>
      <c r="D2048" s="6">
        <v>5</v>
      </c>
      <c r="E2048" s="6">
        <v>3168</v>
      </c>
      <c r="F2048" s="6">
        <v>9021</v>
      </c>
      <c r="G2048" s="6">
        <v>9081</v>
      </c>
      <c r="H2048" s="6">
        <v>4355</v>
      </c>
      <c r="I2048" s="6">
        <v>3008</v>
      </c>
      <c r="J2048" s="6">
        <v>160</v>
      </c>
      <c r="K2048" s="40">
        <v>892</v>
      </c>
      <c r="L2048" s="40">
        <v>299</v>
      </c>
      <c r="M2048" s="40">
        <v>975</v>
      </c>
      <c r="N2048" s="40">
        <v>186</v>
      </c>
      <c r="O2048" s="40">
        <v>585</v>
      </c>
      <c r="P2048" s="40">
        <v>186</v>
      </c>
      <c r="Q2048" s="40">
        <v>10</v>
      </c>
      <c r="R2048" s="40">
        <v>7</v>
      </c>
      <c r="S2048" s="40">
        <v>1</v>
      </c>
    </row>
    <row r="2049" spans="1:19" x14ac:dyDescent="0.35">
      <c r="A2049" s="38">
        <v>2412</v>
      </c>
      <c r="B2049" s="38" t="str">
        <f>_xlfn.XLOOKUP(A2049,'Model Modeshare by TAZ'!A:A,'Model Modeshare by TAZ'!B:B)</f>
        <v>Unincorporated</v>
      </c>
      <c r="C2049" s="38" t="str">
        <f>_xlfn.XLOOKUP(A2049,'Model Modeshare by TAZ'!A:A,'Model Modeshare by TAZ'!D:D)</f>
        <v>NO</v>
      </c>
      <c r="D2049" s="6">
        <v>5</v>
      </c>
      <c r="E2049" s="6">
        <v>1852</v>
      </c>
      <c r="F2049" s="6">
        <v>5562</v>
      </c>
      <c r="G2049" s="6">
        <v>5583</v>
      </c>
      <c r="H2049" s="6">
        <v>2430</v>
      </c>
      <c r="I2049" s="6">
        <v>1541</v>
      </c>
      <c r="J2049" s="6">
        <v>311</v>
      </c>
      <c r="K2049" s="40">
        <v>285</v>
      </c>
      <c r="L2049" s="40">
        <v>48</v>
      </c>
      <c r="M2049" s="40">
        <v>603</v>
      </c>
      <c r="N2049" s="40">
        <v>233</v>
      </c>
      <c r="O2049" s="40">
        <v>291</v>
      </c>
      <c r="P2049" s="40">
        <v>73</v>
      </c>
      <c r="Q2049" s="40">
        <v>4</v>
      </c>
      <c r="R2049" s="40">
        <v>2</v>
      </c>
      <c r="S2049" s="40">
        <v>0</v>
      </c>
    </row>
    <row r="2050" spans="1:19" x14ac:dyDescent="0.35">
      <c r="A2050" s="38">
        <v>2413</v>
      </c>
      <c r="B2050" s="38" t="str">
        <f>_xlfn.XLOOKUP(A2050,'Model Modeshare by TAZ'!A:A,'Model Modeshare by TAZ'!B:B)</f>
        <v>Unincorporated</v>
      </c>
      <c r="C2050" s="38" t="str">
        <f>_xlfn.XLOOKUP(A2050,'Model Modeshare by TAZ'!A:A,'Model Modeshare by TAZ'!D:D)</f>
        <v>NO</v>
      </c>
      <c r="D2050" s="6">
        <v>5</v>
      </c>
      <c r="E2050" s="6">
        <v>1422</v>
      </c>
      <c r="F2050" s="6">
        <v>4771</v>
      </c>
      <c r="G2050" s="6">
        <v>4793</v>
      </c>
      <c r="H2050" s="6">
        <v>2090</v>
      </c>
      <c r="I2050" s="6">
        <v>1169</v>
      </c>
      <c r="J2050" s="6">
        <v>253</v>
      </c>
      <c r="K2050" s="40">
        <v>149</v>
      </c>
      <c r="L2050" s="40">
        <v>18</v>
      </c>
      <c r="M2050" s="40">
        <v>69</v>
      </c>
      <c r="N2050" s="40">
        <v>14</v>
      </c>
      <c r="O2050" s="40">
        <v>44</v>
      </c>
      <c r="P2050" s="40">
        <v>11</v>
      </c>
      <c r="Q2050" s="40">
        <v>0</v>
      </c>
      <c r="R2050" s="40">
        <v>0</v>
      </c>
      <c r="S2050" s="40">
        <v>0</v>
      </c>
    </row>
    <row r="2051" spans="1:19" x14ac:dyDescent="0.35">
      <c r="A2051" s="38">
        <v>2414</v>
      </c>
      <c r="B2051" s="38" t="str">
        <f>_xlfn.XLOOKUP(A2051,'Model Modeshare by TAZ'!A:A,'Model Modeshare by TAZ'!B:B)</f>
        <v>Pinole</v>
      </c>
      <c r="C2051" s="38" t="str">
        <f>_xlfn.XLOOKUP(A2051,'Model Modeshare by TAZ'!A:A,'Model Modeshare by TAZ'!D:D)</f>
        <v>NO</v>
      </c>
      <c r="D2051" s="6">
        <v>5</v>
      </c>
      <c r="E2051" s="6">
        <v>1939</v>
      </c>
      <c r="F2051" s="6">
        <v>5921</v>
      </c>
      <c r="G2051" s="6">
        <v>5951</v>
      </c>
      <c r="H2051" s="6">
        <v>2918</v>
      </c>
      <c r="I2051" s="6">
        <v>1404</v>
      </c>
      <c r="J2051" s="6">
        <v>535</v>
      </c>
      <c r="K2051" s="40">
        <v>259</v>
      </c>
      <c r="L2051" s="40">
        <v>73</v>
      </c>
      <c r="M2051" s="40">
        <v>1082</v>
      </c>
      <c r="N2051" s="40">
        <v>410</v>
      </c>
      <c r="O2051" s="40">
        <v>590</v>
      </c>
      <c r="P2051" s="40">
        <v>68</v>
      </c>
      <c r="Q2051" s="40">
        <v>6</v>
      </c>
      <c r="R2051" s="40">
        <v>6</v>
      </c>
      <c r="S2051" s="40">
        <v>2</v>
      </c>
    </row>
    <row r="2052" spans="1:19" x14ac:dyDescent="0.35">
      <c r="A2052" s="38">
        <v>2415</v>
      </c>
      <c r="B2052" s="38" t="str">
        <f>_xlfn.XLOOKUP(A2052,'Model Modeshare by TAZ'!A:A,'Model Modeshare by TAZ'!B:B)</f>
        <v>Hercules</v>
      </c>
      <c r="C2052" s="38" t="str">
        <f>_xlfn.XLOOKUP(A2052,'Model Modeshare by TAZ'!A:A,'Model Modeshare by TAZ'!D:D)</f>
        <v>NO</v>
      </c>
      <c r="D2052" s="6">
        <v>5</v>
      </c>
      <c r="E2052" s="6">
        <v>5300</v>
      </c>
      <c r="F2052" s="6">
        <v>14929</v>
      </c>
      <c r="G2052" s="6">
        <v>14941</v>
      </c>
      <c r="H2052" s="6">
        <v>8161</v>
      </c>
      <c r="I2052" s="6">
        <v>3704</v>
      </c>
      <c r="J2052" s="6">
        <v>1596</v>
      </c>
      <c r="K2052" s="40">
        <v>642</v>
      </c>
      <c r="L2052" s="40">
        <v>110</v>
      </c>
      <c r="M2052" s="40">
        <v>4347</v>
      </c>
      <c r="N2052" s="40">
        <v>801</v>
      </c>
      <c r="O2052" s="40">
        <v>2000</v>
      </c>
      <c r="P2052" s="40">
        <v>927</v>
      </c>
      <c r="Q2052" s="40">
        <v>0</v>
      </c>
      <c r="R2052" s="40">
        <v>344</v>
      </c>
      <c r="S2052" s="40">
        <v>275</v>
      </c>
    </row>
    <row r="2053" spans="1:19" x14ac:dyDescent="0.35">
      <c r="A2053" s="38">
        <v>2416</v>
      </c>
      <c r="B2053" s="38" t="str">
        <f>_xlfn.XLOOKUP(A2053,'Model Modeshare by TAZ'!A:A,'Model Modeshare by TAZ'!B:B)</f>
        <v>Pinole</v>
      </c>
      <c r="C2053" s="38" t="str">
        <f>_xlfn.XLOOKUP(A2053,'Model Modeshare by TAZ'!A:A,'Model Modeshare by TAZ'!D:D)</f>
        <v>NO</v>
      </c>
      <c r="D2053" s="6">
        <v>5</v>
      </c>
      <c r="E2053" s="6">
        <v>2160</v>
      </c>
      <c r="F2053" s="6">
        <v>5818</v>
      </c>
      <c r="G2053" s="6">
        <v>5873</v>
      </c>
      <c r="H2053" s="6">
        <v>2858</v>
      </c>
      <c r="I2053" s="6">
        <v>2037</v>
      </c>
      <c r="J2053" s="6">
        <v>123</v>
      </c>
      <c r="K2053" s="40">
        <v>627</v>
      </c>
      <c r="L2053" s="40">
        <v>47</v>
      </c>
      <c r="M2053" s="40">
        <v>608</v>
      </c>
      <c r="N2053" s="40">
        <v>267</v>
      </c>
      <c r="O2053" s="40">
        <v>187</v>
      </c>
      <c r="P2053" s="40">
        <v>128</v>
      </c>
      <c r="Q2053" s="40">
        <v>1</v>
      </c>
      <c r="R2053" s="40">
        <v>16</v>
      </c>
      <c r="S2053" s="40">
        <v>9</v>
      </c>
    </row>
    <row r="2054" spans="1:19" x14ac:dyDescent="0.35">
      <c r="A2054" s="38">
        <v>2417</v>
      </c>
      <c r="B2054" s="38" t="str">
        <f>_xlfn.XLOOKUP(A2054,'Model Modeshare by TAZ'!A:A,'Model Modeshare by TAZ'!B:B)</f>
        <v>Hercules</v>
      </c>
      <c r="C2054" s="38" t="str">
        <f>_xlfn.XLOOKUP(A2054,'Model Modeshare by TAZ'!A:A,'Model Modeshare by TAZ'!D:D)</f>
        <v>NO</v>
      </c>
      <c r="D2054" s="6">
        <v>5</v>
      </c>
      <c r="E2054" s="6">
        <v>1373</v>
      </c>
      <c r="F2054" s="6">
        <v>4449</v>
      </c>
      <c r="G2054" s="6">
        <v>4466</v>
      </c>
      <c r="H2054" s="6">
        <v>2470</v>
      </c>
      <c r="I2054" s="6">
        <v>1371</v>
      </c>
      <c r="J2054" s="6">
        <v>2</v>
      </c>
      <c r="K2054" s="40">
        <v>352</v>
      </c>
      <c r="L2054" s="40">
        <v>21</v>
      </c>
      <c r="M2054" s="40">
        <v>494</v>
      </c>
      <c r="N2054" s="40">
        <v>96</v>
      </c>
      <c r="O2054" s="40">
        <v>259</v>
      </c>
      <c r="P2054" s="40">
        <v>138</v>
      </c>
      <c r="Q2054" s="40">
        <v>0</v>
      </c>
      <c r="R2054" s="40">
        <v>2</v>
      </c>
      <c r="S2054" s="40">
        <v>0</v>
      </c>
    </row>
    <row r="2055" spans="1:19" x14ac:dyDescent="0.35">
      <c r="A2055" s="38">
        <v>2418</v>
      </c>
      <c r="B2055" s="38" t="str">
        <f>_xlfn.XLOOKUP(A2055,'Model Modeshare by TAZ'!A:A,'Model Modeshare by TAZ'!B:B)</f>
        <v>Hercules</v>
      </c>
      <c r="C2055" s="38" t="str">
        <f>_xlfn.XLOOKUP(A2055,'Model Modeshare by TAZ'!A:A,'Model Modeshare by TAZ'!D:D)</f>
        <v>NO</v>
      </c>
      <c r="D2055" s="6">
        <v>5</v>
      </c>
      <c r="E2055" s="6">
        <v>2162</v>
      </c>
      <c r="F2055" s="6">
        <v>6504</v>
      </c>
      <c r="G2055" s="6">
        <v>6529</v>
      </c>
      <c r="H2055" s="6">
        <v>3124</v>
      </c>
      <c r="I2055" s="6">
        <v>1823</v>
      </c>
      <c r="J2055" s="6">
        <v>339</v>
      </c>
      <c r="K2055" s="40">
        <v>515</v>
      </c>
      <c r="L2055" s="40">
        <v>69</v>
      </c>
      <c r="M2055" s="40">
        <v>1396</v>
      </c>
      <c r="N2055" s="40">
        <v>159</v>
      </c>
      <c r="O2055" s="40">
        <v>328</v>
      </c>
      <c r="P2055" s="40">
        <v>422</v>
      </c>
      <c r="Q2055" s="40">
        <v>0</v>
      </c>
      <c r="R2055" s="40">
        <v>476</v>
      </c>
      <c r="S2055" s="40">
        <v>10</v>
      </c>
    </row>
    <row r="2056" spans="1:19" x14ac:dyDescent="0.35">
      <c r="A2056" s="38">
        <v>2419</v>
      </c>
      <c r="B2056" s="38" t="str">
        <f>_xlfn.XLOOKUP(A2056,'Model Modeshare by TAZ'!A:A,'Model Modeshare by TAZ'!B:B)</f>
        <v>Unincorporated</v>
      </c>
      <c r="C2056" s="38" t="str">
        <f>_xlfn.XLOOKUP(A2056,'Model Modeshare by TAZ'!A:A,'Model Modeshare by TAZ'!D:D)</f>
        <v>NO</v>
      </c>
      <c r="D2056" s="6">
        <v>5</v>
      </c>
      <c r="E2056" s="6">
        <v>2240</v>
      </c>
      <c r="F2056" s="6">
        <v>6406</v>
      </c>
      <c r="G2056" s="6">
        <v>6422</v>
      </c>
      <c r="H2056" s="6">
        <v>3600</v>
      </c>
      <c r="I2056" s="6">
        <v>1999</v>
      </c>
      <c r="J2056" s="6">
        <v>241</v>
      </c>
      <c r="K2056" s="40">
        <v>1198</v>
      </c>
      <c r="L2056" s="40">
        <v>143</v>
      </c>
      <c r="M2056" s="40">
        <v>363</v>
      </c>
      <c r="N2056" s="40">
        <v>20</v>
      </c>
      <c r="O2056" s="40">
        <v>58</v>
      </c>
      <c r="P2056" s="40">
        <v>187</v>
      </c>
      <c r="Q2056" s="40">
        <v>7</v>
      </c>
      <c r="R2056" s="40">
        <v>73</v>
      </c>
      <c r="S2056" s="40">
        <v>17</v>
      </c>
    </row>
    <row r="2057" spans="1:19" x14ac:dyDescent="0.35">
      <c r="A2057" s="38">
        <v>2420</v>
      </c>
      <c r="B2057" s="38" t="str">
        <f>_xlfn.XLOOKUP(A2057,'Model Modeshare by TAZ'!A:A,'Model Modeshare by TAZ'!B:B)</f>
        <v>Unincorporated</v>
      </c>
      <c r="C2057" s="38" t="str">
        <f>_xlfn.XLOOKUP(A2057,'Model Modeshare by TAZ'!A:A,'Model Modeshare by TAZ'!D:D)</f>
        <v>NO</v>
      </c>
      <c r="D2057" s="6">
        <v>5</v>
      </c>
      <c r="E2057" s="6">
        <v>1283</v>
      </c>
      <c r="F2057" s="6">
        <v>4481</v>
      </c>
      <c r="G2057" s="6">
        <v>4517</v>
      </c>
      <c r="H2057" s="6">
        <v>2025</v>
      </c>
      <c r="I2057" s="6">
        <v>1192</v>
      </c>
      <c r="J2057" s="6">
        <v>91</v>
      </c>
      <c r="K2057" s="40">
        <v>351</v>
      </c>
      <c r="L2057" s="40">
        <v>127</v>
      </c>
      <c r="M2057" s="40">
        <v>270</v>
      </c>
      <c r="N2057" s="40">
        <v>19</v>
      </c>
      <c r="O2057" s="40">
        <v>43</v>
      </c>
      <c r="P2057" s="40">
        <v>121</v>
      </c>
      <c r="Q2057" s="40">
        <v>0</v>
      </c>
      <c r="R2057" s="40">
        <v>24</v>
      </c>
      <c r="S2057" s="40">
        <v>63</v>
      </c>
    </row>
    <row r="2058" spans="1:19" x14ac:dyDescent="0.35">
      <c r="A2058" s="38">
        <v>2421</v>
      </c>
      <c r="B2058" s="38" t="str">
        <f>_xlfn.XLOOKUP(A2058,'Model Modeshare by TAZ'!A:A,'Model Modeshare by TAZ'!B:B)</f>
        <v>Unincorporated</v>
      </c>
      <c r="C2058" s="38" t="str">
        <f>_xlfn.XLOOKUP(A2058,'Model Modeshare by TAZ'!A:A,'Model Modeshare by TAZ'!D:D)</f>
        <v>NO</v>
      </c>
      <c r="D2058" s="6">
        <v>5</v>
      </c>
      <c r="E2058" s="6">
        <v>2034</v>
      </c>
      <c r="F2058" s="6">
        <v>5756</v>
      </c>
      <c r="G2058" s="6">
        <v>5764</v>
      </c>
      <c r="H2058" s="6">
        <v>2555</v>
      </c>
      <c r="I2058" s="6">
        <v>1446</v>
      </c>
      <c r="J2058" s="6">
        <v>588</v>
      </c>
      <c r="K2058" s="40">
        <v>223</v>
      </c>
      <c r="L2058" s="40">
        <v>642</v>
      </c>
      <c r="M2058" s="40">
        <v>1520</v>
      </c>
      <c r="N2058" s="40">
        <v>150</v>
      </c>
      <c r="O2058" s="40">
        <v>224</v>
      </c>
      <c r="P2058" s="40">
        <v>539</v>
      </c>
      <c r="Q2058" s="40">
        <v>0</v>
      </c>
      <c r="R2058" s="40">
        <v>460</v>
      </c>
      <c r="S2058" s="40">
        <v>148</v>
      </c>
    </row>
    <row r="2059" spans="1:19" x14ac:dyDescent="0.35">
      <c r="A2059" s="38">
        <v>2422</v>
      </c>
      <c r="B2059" s="38" t="str">
        <f>_xlfn.XLOOKUP(A2059,'Model Modeshare by TAZ'!A:A,'Model Modeshare by TAZ'!B:B)</f>
        <v>Unincorporated</v>
      </c>
      <c r="C2059" s="38" t="str">
        <f>_xlfn.XLOOKUP(A2059,'Model Modeshare by TAZ'!A:A,'Model Modeshare by TAZ'!D:D)</f>
        <v>NO</v>
      </c>
      <c r="D2059" s="6">
        <v>5</v>
      </c>
      <c r="E2059" s="6">
        <v>1482</v>
      </c>
      <c r="F2059" s="6">
        <v>3165</v>
      </c>
      <c r="G2059" s="6">
        <v>3165</v>
      </c>
      <c r="H2059" s="6">
        <v>1738</v>
      </c>
      <c r="I2059" s="6">
        <v>1092</v>
      </c>
      <c r="J2059" s="6">
        <v>390</v>
      </c>
      <c r="K2059" s="40">
        <v>305</v>
      </c>
      <c r="L2059" s="40">
        <v>63</v>
      </c>
      <c r="M2059" s="40">
        <v>1388</v>
      </c>
      <c r="N2059" s="40">
        <v>90</v>
      </c>
      <c r="O2059" s="40">
        <v>41</v>
      </c>
      <c r="P2059" s="40">
        <v>168</v>
      </c>
      <c r="Q2059" s="40">
        <v>0</v>
      </c>
      <c r="R2059" s="40">
        <v>983</v>
      </c>
      <c r="S2059" s="40">
        <v>105</v>
      </c>
    </row>
    <row r="2060" spans="1:19" x14ac:dyDescent="0.35">
      <c r="A2060" s="38">
        <v>2423</v>
      </c>
      <c r="B2060" s="38" t="str">
        <f>_xlfn.XLOOKUP(A2060,'Model Modeshare by TAZ'!A:A,'Model Modeshare by TAZ'!B:B)</f>
        <v>Unincorporated</v>
      </c>
      <c r="C2060" s="38" t="str">
        <f>_xlfn.XLOOKUP(A2060,'Model Modeshare by TAZ'!A:A,'Model Modeshare by TAZ'!D:D)</f>
        <v>NO</v>
      </c>
      <c r="D2060" s="6">
        <v>5</v>
      </c>
      <c r="E2060" s="6">
        <v>1426</v>
      </c>
      <c r="F2060" s="6">
        <v>3254</v>
      </c>
      <c r="G2060" s="6">
        <v>3295</v>
      </c>
      <c r="H2060" s="6">
        <v>1615</v>
      </c>
      <c r="I2060" s="6">
        <v>1005</v>
      </c>
      <c r="J2060" s="6">
        <v>421</v>
      </c>
      <c r="K2060" s="40">
        <v>261</v>
      </c>
      <c r="L2060" s="40">
        <v>196</v>
      </c>
      <c r="M2060" s="40">
        <v>4565</v>
      </c>
      <c r="N2060" s="40">
        <v>747</v>
      </c>
      <c r="O2060" s="40">
        <v>1776</v>
      </c>
      <c r="P2060" s="40">
        <v>2011</v>
      </c>
      <c r="Q2060" s="40">
        <v>0</v>
      </c>
      <c r="R2060" s="40">
        <v>20</v>
      </c>
      <c r="S2060" s="40">
        <v>10</v>
      </c>
    </row>
    <row r="2061" spans="1:19" x14ac:dyDescent="0.35">
      <c r="A2061" s="38">
        <v>2424</v>
      </c>
      <c r="B2061" s="38" t="str">
        <f>_xlfn.XLOOKUP(A2061,'Model Modeshare by TAZ'!A:A,'Model Modeshare by TAZ'!B:B)</f>
        <v>Martinez</v>
      </c>
      <c r="C2061" s="38" t="str">
        <f>_xlfn.XLOOKUP(A2061,'Model Modeshare by TAZ'!A:A,'Model Modeshare by TAZ'!D:D)</f>
        <v>NO</v>
      </c>
      <c r="D2061" s="6">
        <v>5</v>
      </c>
      <c r="E2061" s="6">
        <v>452</v>
      </c>
      <c r="F2061" s="6">
        <v>813</v>
      </c>
      <c r="G2061" s="6">
        <v>936</v>
      </c>
      <c r="H2061" s="6">
        <v>389</v>
      </c>
      <c r="I2061" s="6">
        <v>147</v>
      </c>
      <c r="J2061" s="6">
        <v>305</v>
      </c>
      <c r="K2061" s="40">
        <v>22</v>
      </c>
      <c r="L2061" s="40">
        <v>47</v>
      </c>
      <c r="M2061" s="40">
        <v>3020</v>
      </c>
      <c r="N2061" s="40">
        <v>473</v>
      </c>
      <c r="O2061" s="40">
        <v>789</v>
      </c>
      <c r="P2061" s="40">
        <v>1666</v>
      </c>
      <c r="Q2061" s="40">
        <v>1</v>
      </c>
      <c r="R2061" s="40">
        <v>51</v>
      </c>
      <c r="S2061" s="40">
        <v>39</v>
      </c>
    </row>
    <row r="2062" spans="1:19" x14ac:dyDescent="0.35">
      <c r="A2062" s="38">
        <v>2425</v>
      </c>
      <c r="B2062" s="38" t="str">
        <f>_xlfn.XLOOKUP(A2062,'Model Modeshare by TAZ'!A:A,'Model Modeshare by TAZ'!B:B)</f>
        <v>Martinez</v>
      </c>
      <c r="C2062" s="38" t="str">
        <f>_xlfn.XLOOKUP(A2062,'Model Modeshare by TAZ'!A:A,'Model Modeshare by TAZ'!D:D)</f>
        <v>NO</v>
      </c>
      <c r="D2062" s="6">
        <v>5</v>
      </c>
      <c r="E2062" s="6">
        <v>1087</v>
      </c>
      <c r="F2062" s="6">
        <v>2449</v>
      </c>
      <c r="G2062" s="6">
        <v>2453</v>
      </c>
      <c r="H2062" s="6">
        <v>1461</v>
      </c>
      <c r="I2062" s="6">
        <v>644</v>
      </c>
      <c r="J2062" s="6">
        <v>443</v>
      </c>
      <c r="K2062" s="40">
        <v>66</v>
      </c>
      <c r="L2062" s="40">
        <v>26</v>
      </c>
      <c r="M2062" s="40">
        <v>1875</v>
      </c>
      <c r="N2062" s="40">
        <v>436</v>
      </c>
      <c r="O2062" s="40">
        <v>721</v>
      </c>
      <c r="P2062" s="40">
        <v>529</v>
      </c>
      <c r="Q2062" s="40">
        <v>0</v>
      </c>
      <c r="R2062" s="40">
        <v>73</v>
      </c>
      <c r="S2062" s="40">
        <v>116</v>
      </c>
    </row>
    <row r="2063" spans="1:19" x14ac:dyDescent="0.35">
      <c r="A2063" s="38">
        <v>2426</v>
      </c>
      <c r="B2063" s="38" t="str">
        <f>_xlfn.XLOOKUP(A2063,'Model Modeshare by TAZ'!A:A,'Model Modeshare by TAZ'!B:B)</f>
        <v>Martinez</v>
      </c>
      <c r="C2063" s="38" t="str">
        <f>_xlfn.XLOOKUP(A2063,'Model Modeshare by TAZ'!A:A,'Model Modeshare by TAZ'!D:D)</f>
        <v>NO</v>
      </c>
      <c r="D2063" s="6">
        <v>5</v>
      </c>
      <c r="E2063" s="6">
        <v>3206</v>
      </c>
      <c r="F2063" s="6">
        <v>8183</v>
      </c>
      <c r="G2063" s="6">
        <v>8255</v>
      </c>
      <c r="H2063" s="6">
        <v>4559</v>
      </c>
      <c r="I2063" s="6">
        <v>2684</v>
      </c>
      <c r="J2063" s="6">
        <v>522</v>
      </c>
      <c r="K2063" s="40">
        <v>415</v>
      </c>
      <c r="L2063" s="40">
        <v>112</v>
      </c>
      <c r="M2063" s="40">
        <v>1863</v>
      </c>
      <c r="N2063" s="40">
        <v>87</v>
      </c>
      <c r="O2063" s="40">
        <v>361</v>
      </c>
      <c r="P2063" s="40">
        <v>866</v>
      </c>
      <c r="Q2063" s="40">
        <v>2</v>
      </c>
      <c r="R2063" s="40">
        <v>372</v>
      </c>
      <c r="S2063" s="40">
        <v>174</v>
      </c>
    </row>
    <row r="2064" spans="1:19" x14ac:dyDescent="0.35">
      <c r="A2064" s="38">
        <v>2427</v>
      </c>
      <c r="B2064" s="38" t="str">
        <f>_xlfn.XLOOKUP(A2064,'Model Modeshare by TAZ'!A:A,'Model Modeshare by TAZ'!B:B)</f>
        <v>Unincorporated</v>
      </c>
      <c r="C2064" s="38" t="str">
        <f>_xlfn.XLOOKUP(A2064,'Model Modeshare by TAZ'!A:A,'Model Modeshare by TAZ'!D:D)</f>
        <v>NO</v>
      </c>
      <c r="D2064" s="6">
        <v>5</v>
      </c>
      <c r="E2064" s="6">
        <v>1259</v>
      </c>
      <c r="F2064" s="6">
        <v>4259</v>
      </c>
      <c r="G2064" s="6">
        <v>4259</v>
      </c>
      <c r="H2064" s="6">
        <v>1971</v>
      </c>
      <c r="I2064" s="6">
        <v>1091</v>
      </c>
      <c r="J2064" s="6">
        <v>168</v>
      </c>
      <c r="K2064" s="40">
        <v>316</v>
      </c>
      <c r="L2064" s="40">
        <v>699</v>
      </c>
      <c r="M2064" s="40">
        <v>4007</v>
      </c>
      <c r="N2064" s="40">
        <v>335</v>
      </c>
      <c r="O2064" s="40">
        <v>535</v>
      </c>
      <c r="P2064" s="40">
        <v>1471</v>
      </c>
      <c r="Q2064" s="40">
        <v>4</v>
      </c>
      <c r="R2064" s="40">
        <v>1437</v>
      </c>
      <c r="S2064" s="40">
        <v>225</v>
      </c>
    </row>
    <row r="2065" spans="1:19" x14ac:dyDescent="0.35">
      <c r="A2065" s="38">
        <v>2428</v>
      </c>
      <c r="B2065" s="38" t="str">
        <f>_xlfn.XLOOKUP(A2065,'Model Modeshare by TAZ'!A:A,'Model Modeshare by TAZ'!B:B)</f>
        <v>Martinez</v>
      </c>
      <c r="C2065" s="38" t="str">
        <f>_xlfn.XLOOKUP(A2065,'Model Modeshare by TAZ'!A:A,'Model Modeshare by TAZ'!D:D)</f>
        <v>NO</v>
      </c>
      <c r="D2065" s="6">
        <v>5</v>
      </c>
      <c r="E2065" s="6">
        <v>3615</v>
      </c>
      <c r="F2065" s="6">
        <v>9353</v>
      </c>
      <c r="G2065" s="6">
        <v>9409</v>
      </c>
      <c r="H2065" s="6">
        <v>5099</v>
      </c>
      <c r="I2065" s="6">
        <v>2781</v>
      </c>
      <c r="J2065" s="6">
        <v>834</v>
      </c>
      <c r="K2065" s="40">
        <v>648</v>
      </c>
      <c r="L2065" s="40">
        <v>628</v>
      </c>
      <c r="M2065" s="40">
        <v>6174</v>
      </c>
      <c r="N2065" s="40">
        <v>561</v>
      </c>
      <c r="O2065" s="40">
        <v>1833</v>
      </c>
      <c r="P2065" s="40">
        <v>2197</v>
      </c>
      <c r="Q2065" s="40">
        <v>100</v>
      </c>
      <c r="R2065" s="40">
        <v>867</v>
      </c>
      <c r="S2065" s="40">
        <v>616</v>
      </c>
    </row>
    <row r="2066" spans="1:19" x14ac:dyDescent="0.35">
      <c r="A2066" s="38">
        <v>2429</v>
      </c>
      <c r="B2066" s="38" t="str">
        <f>_xlfn.XLOOKUP(A2066,'Model Modeshare by TAZ'!A:A,'Model Modeshare by TAZ'!B:B)</f>
        <v>Unincorporated</v>
      </c>
      <c r="C2066" s="38" t="str">
        <f>_xlfn.XLOOKUP(A2066,'Model Modeshare by TAZ'!A:A,'Model Modeshare by TAZ'!D:D)</f>
        <v>NO</v>
      </c>
      <c r="D2066" s="6">
        <v>5</v>
      </c>
      <c r="E2066" s="6">
        <v>1215</v>
      </c>
      <c r="F2066" s="6">
        <v>3389</v>
      </c>
      <c r="G2066" s="6">
        <v>3502</v>
      </c>
      <c r="H2066" s="6">
        <v>1886</v>
      </c>
      <c r="I2066" s="6">
        <v>1196</v>
      </c>
      <c r="J2066" s="6">
        <v>19</v>
      </c>
      <c r="K2066" s="40">
        <v>260</v>
      </c>
      <c r="L2066" s="40">
        <v>910</v>
      </c>
      <c r="M2066" s="40">
        <v>10638</v>
      </c>
      <c r="N2066" s="40">
        <v>1250</v>
      </c>
      <c r="O2066" s="40">
        <v>2105</v>
      </c>
      <c r="P2066" s="40">
        <v>4424</v>
      </c>
      <c r="Q2066" s="40">
        <v>11</v>
      </c>
      <c r="R2066" s="40">
        <v>2247</v>
      </c>
      <c r="S2066" s="40">
        <v>600</v>
      </c>
    </row>
    <row r="2067" spans="1:19" x14ac:dyDescent="0.35">
      <c r="A2067" s="38">
        <v>2430</v>
      </c>
      <c r="B2067" s="38" t="str">
        <f>_xlfn.XLOOKUP(A2067,'Model Modeshare by TAZ'!A:A,'Model Modeshare by TAZ'!B:B)</f>
        <v>Concord</v>
      </c>
      <c r="C2067" s="38" t="str">
        <f>_xlfn.XLOOKUP(A2067,'Model Modeshare by TAZ'!A:A,'Model Modeshare by TAZ'!D:D)</f>
        <v>NO</v>
      </c>
      <c r="D2067" s="6">
        <v>5</v>
      </c>
      <c r="E2067" s="6">
        <v>2802</v>
      </c>
      <c r="F2067" s="6">
        <v>10516</v>
      </c>
      <c r="G2067" s="6">
        <v>10520</v>
      </c>
      <c r="H2067" s="6">
        <v>5367</v>
      </c>
      <c r="I2067" s="6">
        <v>1934</v>
      </c>
      <c r="J2067" s="6">
        <v>868</v>
      </c>
      <c r="K2067" s="40">
        <v>330</v>
      </c>
      <c r="L2067" s="40">
        <v>5397</v>
      </c>
      <c r="M2067" s="40">
        <v>293</v>
      </c>
      <c r="N2067" s="40">
        <v>60</v>
      </c>
      <c r="O2067" s="40">
        <v>53</v>
      </c>
      <c r="P2067" s="40">
        <v>171</v>
      </c>
      <c r="Q2067" s="40">
        <v>1</v>
      </c>
      <c r="R2067" s="40">
        <v>5</v>
      </c>
      <c r="S2067" s="40">
        <v>2</v>
      </c>
    </row>
    <row r="2068" spans="1:19" x14ac:dyDescent="0.35">
      <c r="A2068" s="38">
        <v>2431</v>
      </c>
      <c r="B2068" s="38" t="str">
        <f>_xlfn.XLOOKUP(A2068,'Model Modeshare by TAZ'!A:A,'Model Modeshare by TAZ'!B:B)</f>
        <v>Concord</v>
      </c>
      <c r="C2068" s="38" t="str">
        <f>_xlfn.XLOOKUP(A2068,'Model Modeshare by TAZ'!A:A,'Model Modeshare by TAZ'!D:D)</f>
        <v>NO</v>
      </c>
      <c r="D2068" s="6">
        <v>5</v>
      </c>
      <c r="E2068" s="6">
        <v>3020</v>
      </c>
      <c r="F2068" s="6">
        <v>8303</v>
      </c>
      <c r="G2068" s="6">
        <v>8327</v>
      </c>
      <c r="H2068" s="6">
        <v>4332</v>
      </c>
      <c r="I2068" s="6">
        <v>2355</v>
      </c>
      <c r="J2068" s="6">
        <v>665</v>
      </c>
      <c r="K2068" s="40">
        <v>618</v>
      </c>
      <c r="L2068" s="40">
        <v>221</v>
      </c>
      <c r="M2068" s="40">
        <v>927</v>
      </c>
      <c r="N2068" s="40">
        <v>168</v>
      </c>
      <c r="O2068" s="40">
        <v>487</v>
      </c>
      <c r="P2068" s="40">
        <v>251</v>
      </c>
      <c r="Q2068" s="40">
        <v>11</v>
      </c>
      <c r="R2068" s="40">
        <v>3</v>
      </c>
      <c r="S2068" s="40">
        <v>7</v>
      </c>
    </row>
    <row r="2069" spans="1:19" x14ac:dyDescent="0.35">
      <c r="A2069" s="38">
        <v>2432</v>
      </c>
      <c r="B2069" s="38" t="str">
        <f>_xlfn.XLOOKUP(A2069,'Model Modeshare by TAZ'!A:A,'Model Modeshare by TAZ'!B:B)</f>
        <v>Clayton</v>
      </c>
      <c r="C2069" s="38" t="str">
        <f>_xlfn.XLOOKUP(A2069,'Model Modeshare by TAZ'!A:A,'Model Modeshare by TAZ'!D:D)</f>
        <v>NO</v>
      </c>
      <c r="D2069" s="6">
        <v>5</v>
      </c>
      <c r="E2069" s="6">
        <v>3168</v>
      </c>
      <c r="F2069" s="6">
        <v>8228</v>
      </c>
      <c r="G2069" s="6">
        <v>8240</v>
      </c>
      <c r="H2069" s="6">
        <v>4250</v>
      </c>
      <c r="I2069" s="6">
        <v>2889</v>
      </c>
      <c r="J2069" s="6">
        <v>279</v>
      </c>
      <c r="K2069" s="40">
        <v>817</v>
      </c>
      <c r="L2069" s="40">
        <v>21</v>
      </c>
      <c r="M2069" s="40">
        <v>1875</v>
      </c>
      <c r="N2069" s="40">
        <v>453</v>
      </c>
      <c r="O2069" s="40">
        <v>894</v>
      </c>
      <c r="P2069" s="40">
        <v>334</v>
      </c>
      <c r="Q2069" s="40">
        <v>4</v>
      </c>
      <c r="R2069" s="40">
        <v>190</v>
      </c>
      <c r="S2069" s="40">
        <v>0</v>
      </c>
    </row>
    <row r="2070" spans="1:19" x14ac:dyDescent="0.35">
      <c r="A2070" s="38">
        <v>2433</v>
      </c>
      <c r="B2070" s="38" t="str">
        <f>_xlfn.XLOOKUP(A2070,'Model Modeshare by TAZ'!A:A,'Model Modeshare by TAZ'!B:B)</f>
        <v>Clayton</v>
      </c>
      <c r="C2070" s="38" t="str">
        <f>_xlfn.XLOOKUP(A2070,'Model Modeshare by TAZ'!A:A,'Model Modeshare by TAZ'!D:D)</f>
        <v>NO</v>
      </c>
      <c r="D2070" s="6">
        <v>5</v>
      </c>
      <c r="E2070" s="6">
        <v>1485</v>
      </c>
      <c r="F2070" s="6">
        <v>4174</v>
      </c>
      <c r="G2070" s="6">
        <v>4175</v>
      </c>
      <c r="H2070" s="6">
        <v>1911</v>
      </c>
      <c r="I2070" s="6">
        <v>1468</v>
      </c>
      <c r="J2070" s="6">
        <v>17</v>
      </c>
      <c r="K2070" s="40">
        <v>476</v>
      </c>
      <c r="L2070" s="40">
        <v>48</v>
      </c>
      <c r="M2070" s="40">
        <v>300</v>
      </c>
      <c r="N2070" s="40">
        <v>59</v>
      </c>
      <c r="O2070" s="40">
        <v>123</v>
      </c>
      <c r="P2070" s="40">
        <v>107</v>
      </c>
      <c r="Q2070" s="40">
        <v>1</v>
      </c>
      <c r="R2070" s="40">
        <v>7</v>
      </c>
      <c r="S2070" s="40">
        <v>3</v>
      </c>
    </row>
    <row r="2071" spans="1:19" x14ac:dyDescent="0.35">
      <c r="A2071" s="38">
        <v>2434</v>
      </c>
      <c r="B2071" s="38" t="str">
        <f>_xlfn.XLOOKUP(A2071,'Model Modeshare by TAZ'!A:A,'Model Modeshare by TAZ'!B:B)</f>
        <v>Unincorporated</v>
      </c>
      <c r="C2071" s="38" t="str">
        <f>_xlfn.XLOOKUP(A2071,'Model Modeshare by TAZ'!A:A,'Model Modeshare by TAZ'!D:D)</f>
        <v>NO</v>
      </c>
      <c r="D2071" s="6">
        <v>5</v>
      </c>
      <c r="E2071" s="6">
        <v>341</v>
      </c>
      <c r="F2071" s="6">
        <v>1039</v>
      </c>
      <c r="G2071" s="6">
        <v>1054</v>
      </c>
      <c r="H2071" s="6">
        <v>539</v>
      </c>
      <c r="I2071" s="6">
        <v>317</v>
      </c>
      <c r="J2071" s="6">
        <v>24</v>
      </c>
      <c r="K2071" s="40">
        <v>411</v>
      </c>
      <c r="L2071" s="40">
        <v>25</v>
      </c>
      <c r="M2071" s="40">
        <v>91</v>
      </c>
      <c r="N2071" s="40">
        <v>6</v>
      </c>
      <c r="O2071" s="40">
        <v>64</v>
      </c>
      <c r="P2071" s="40">
        <v>10</v>
      </c>
      <c r="Q2071" s="40">
        <v>2</v>
      </c>
      <c r="R2071" s="40">
        <v>3</v>
      </c>
      <c r="S2071" s="40">
        <v>6</v>
      </c>
    </row>
    <row r="2072" spans="1:19" x14ac:dyDescent="0.35">
      <c r="A2072" s="38">
        <v>2435</v>
      </c>
      <c r="B2072" s="38" t="str">
        <f>_xlfn.XLOOKUP(A2072,'Model Modeshare by TAZ'!A:A,'Model Modeshare by TAZ'!B:B)</f>
        <v>Concord</v>
      </c>
      <c r="C2072" s="38" t="str">
        <f>_xlfn.XLOOKUP(A2072,'Model Modeshare by TAZ'!A:A,'Model Modeshare by TAZ'!D:D)</f>
        <v>NO</v>
      </c>
      <c r="D2072" s="6">
        <v>5</v>
      </c>
      <c r="E2072" s="6">
        <v>2870</v>
      </c>
      <c r="F2072" s="6">
        <v>8131</v>
      </c>
      <c r="G2072" s="6">
        <v>8146</v>
      </c>
      <c r="H2072" s="6">
        <v>4117</v>
      </c>
      <c r="I2072" s="6">
        <v>2662</v>
      </c>
      <c r="J2072" s="6">
        <v>208</v>
      </c>
      <c r="K2072" s="40">
        <v>978</v>
      </c>
      <c r="L2072" s="40">
        <v>464</v>
      </c>
      <c r="M2072" s="40">
        <v>641</v>
      </c>
      <c r="N2072" s="40">
        <v>185</v>
      </c>
      <c r="O2072" s="40">
        <v>310</v>
      </c>
      <c r="P2072" s="40">
        <v>125</v>
      </c>
      <c r="Q2072" s="40">
        <v>20</v>
      </c>
      <c r="R2072" s="40">
        <v>1</v>
      </c>
      <c r="S2072" s="40">
        <v>1</v>
      </c>
    </row>
    <row r="2073" spans="1:19" x14ac:dyDescent="0.35">
      <c r="A2073" s="38">
        <v>2436</v>
      </c>
      <c r="B2073" s="38" t="str">
        <f>_xlfn.XLOOKUP(A2073,'Model Modeshare by TAZ'!A:A,'Model Modeshare by TAZ'!B:B)</f>
        <v>Concord</v>
      </c>
      <c r="C2073" s="38" t="str">
        <f>_xlfn.XLOOKUP(A2073,'Model Modeshare by TAZ'!A:A,'Model Modeshare by TAZ'!D:D)</f>
        <v>NO</v>
      </c>
      <c r="D2073" s="6">
        <v>5</v>
      </c>
      <c r="E2073" s="6">
        <v>1310</v>
      </c>
      <c r="F2073" s="6">
        <v>3897</v>
      </c>
      <c r="G2073" s="6">
        <v>3897</v>
      </c>
      <c r="H2073" s="6">
        <v>1888</v>
      </c>
      <c r="I2073" s="6">
        <v>1301</v>
      </c>
      <c r="J2073" s="6">
        <v>9</v>
      </c>
      <c r="K2073" s="40">
        <v>196</v>
      </c>
      <c r="L2073" s="40">
        <v>47</v>
      </c>
      <c r="M2073" s="40">
        <v>298</v>
      </c>
      <c r="N2073" s="40">
        <v>23</v>
      </c>
      <c r="O2073" s="40">
        <v>140</v>
      </c>
      <c r="P2073" s="40">
        <v>132</v>
      </c>
      <c r="Q2073" s="40">
        <v>0</v>
      </c>
      <c r="R2073" s="40">
        <v>3</v>
      </c>
      <c r="S2073" s="40">
        <v>0</v>
      </c>
    </row>
    <row r="2074" spans="1:19" x14ac:dyDescent="0.35">
      <c r="A2074" s="38">
        <v>2437</v>
      </c>
      <c r="B2074" s="38" t="str">
        <f>_xlfn.XLOOKUP(A2074,'Model Modeshare by TAZ'!A:A,'Model Modeshare by TAZ'!B:B)</f>
        <v>Concord</v>
      </c>
      <c r="C2074" s="38" t="str">
        <f>_xlfn.XLOOKUP(A2074,'Model Modeshare by TAZ'!A:A,'Model Modeshare by TAZ'!D:D)</f>
        <v>NO</v>
      </c>
      <c r="D2074" s="6">
        <v>5</v>
      </c>
      <c r="E2074" s="6">
        <v>379</v>
      </c>
      <c r="F2074" s="6">
        <v>952</v>
      </c>
      <c r="G2074" s="6">
        <v>952</v>
      </c>
      <c r="H2074" s="6">
        <v>577</v>
      </c>
      <c r="I2074" s="6">
        <v>370</v>
      </c>
      <c r="J2074" s="6">
        <v>9</v>
      </c>
      <c r="K2074" s="40">
        <v>84</v>
      </c>
      <c r="L2074" s="40">
        <v>2</v>
      </c>
      <c r="M2074" s="40">
        <v>36</v>
      </c>
      <c r="N2074" s="40">
        <v>6</v>
      </c>
      <c r="O2074" s="40">
        <v>10</v>
      </c>
      <c r="P2074" s="40">
        <v>20</v>
      </c>
      <c r="Q2074" s="40">
        <v>0</v>
      </c>
      <c r="R2074" s="40">
        <v>0</v>
      </c>
      <c r="S2074" s="40">
        <v>0</v>
      </c>
    </row>
    <row r="2075" spans="1:19" x14ac:dyDescent="0.35">
      <c r="A2075" s="38">
        <v>2438</v>
      </c>
      <c r="B2075" s="38" t="str">
        <f>_xlfn.XLOOKUP(A2075,'Model Modeshare by TAZ'!A:A,'Model Modeshare by TAZ'!B:B)</f>
        <v>Concord</v>
      </c>
      <c r="C2075" s="38" t="str">
        <f>_xlfn.XLOOKUP(A2075,'Model Modeshare by TAZ'!A:A,'Model Modeshare by TAZ'!D:D)</f>
        <v>NO</v>
      </c>
      <c r="D2075" s="6">
        <v>5</v>
      </c>
      <c r="E2075" s="6">
        <v>3098</v>
      </c>
      <c r="F2075" s="6">
        <v>7467</v>
      </c>
      <c r="G2075" s="6">
        <v>7483</v>
      </c>
      <c r="H2075" s="6">
        <v>4050</v>
      </c>
      <c r="I2075" s="6">
        <v>1603</v>
      </c>
      <c r="J2075" s="6">
        <v>1495</v>
      </c>
      <c r="K2075" s="40">
        <v>255</v>
      </c>
      <c r="L2075" s="40">
        <v>82</v>
      </c>
      <c r="M2075" s="40">
        <v>1786</v>
      </c>
      <c r="N2075" s="40">
        <v>261</v>
      </c>
      <c r="O2075" s="40">
        <v>481</v>
      </c>
      <c r="P2075" s="40">
        <v>1041</v>
      </c>
      <c r="Q2075" s="40">
        <v>2</v>
      </c>
      <c r="R2075" s="40">
        <v>2</v>
      </c>
      <c r="S2075" s="40">
        <v>0</v>
      </c>
    </row>
    <row r="2076" spans="1:19" x14ac:dyDescent="0.35">
      <c r="A2076" s="38">
        <v>2439</v>
      </c>
      <c r="B2076" s="38" t="str">
        <f>_xlfn.XLOOKUP(A2076,'Model Modeshare by TAZ'!A:A,'Model Modeshare by TAZ'!B:B)</f>
        <v>Concord</v>
      </c>
      <c r="C2076" s="38" t="str">
        <f>_xlfn.XLOOKUP(A2076,'Model Modeshare by TAZ'!A:A,'Model Modeshare by TAZ'!D:D)</f>
        <v>NO</v>
      </c>
      <c r="D2076" s="6">
        <v>5</v>
      </c>
      <c r="E2076" s="6">
        <v>1535</v>
      </c>
      <c r="F2076" s="6">
        <v>3811</v>
      </c>
      <c r="G2076" s="6">
        <v>3818</v>
      </c>
      <c r="H2076" s="6">
        <v>1845</v>
      </c>
      <c r="I2076" s="6">
        <v>1171</v>
      </c>
      <c r="J2076" s="6">
        <v>364</v>
      </c>
      <c r="K2076" s="40">
        <v>179</v>
      </c>
      <c r="L2076" s="40">
        <v>53</v>
      </c>
      <c r="M2076" s="40">
        <v>584</v>
      </c>
      <c r="N2076" s="40">
        <v>270</v>
      </c>
      <c r="O2076" s="40">
        <v>155</v>
      </c>
      <c r="P2076" s="40">
        <v>153</v>
      </c>
      <c r="Q2076" s="40">
        <v>4</v>
      </c>
      <c r="R2076" s="40">
        <v>2</v>
      </c>
      <c r="S2076" s="40">
        <v>0</v>
      </c>
    </row>
    <row r="2077" spans="1:19" x14ac:dyDescent="0.35">
      <c r="A2077" s="38">
        <v>2440</v>
      </c>
      <c r="B2077" s="38" t="str">
        <f>_xlfn.XLOOKUP(A2077,'Model Modeshare by TAZ'!A:A,'Model Modeshare by TAZ'!B:B)</f>
        <v>Concord</v>
      </c>
      <c r="C2077" s="38" t="str">
        <f>_xlfn.XLOOKUP(A2077,'Model Modeshare by TAZ'!A:A,'Model Modeshare by TAZ'!D:D)</f>
        <v>NO</v>
      </c>
      <c r="D2077" s="6">
        <v>5</v>
      </c>
      <c r="E2077" s="6">
        <v>2256</v>
      </c>
      <c r="F2077" s="6">
        <v>5295</v>
      </c>
      <c r="G2077" s="6">
        <v>5382</v>
      </c>
      <c r="H2077" s="6">
        <v>2505</v>
      </c>
      <c r="I2077" s="6">
        <v>2057</v>
      </c>
      <c r="J2077" s="6">
        <v>199</v>
      </c>
      <c r="K2077" s="40">
        <v>387</v>
      </c>
      <c r="L2077" s="40">
        <v>82</v>
      </c>
      <c r="M2077" s="40">
        <v>1145</v>
      </c>
      <c r="N2077" s="40">
        <v>618</v>
      </c>
      <c r="O2077" s="40">
        <v>444</v>
      </c>
      <c r="P2077" s="40">
        <v>77</v>
      </c>
      <c r="Q2077" s="40">
        <v>5</v>
      </c>
      <c r="R2077" s="40">
        <v>1</v>
      </c>
      <c r="S2077" s="40">
        <v>0</v>
      </c>
    </row>
    <row r="2078" spans="1:19" x14ac:dyDescent="0.35">
      <c r="A2078" s="38">
        <v>2441</v>
      </c>
      <c r="B2078" s="38" t="str">
        <f>_xlfn.XLOOKUP(A2078,'Model Modeshare by TAZ'!A:A,'Model Modeshare by TAZ'!B:B)</f>
        <v>Concord</v>
      </c>
      <c r="C2078" s="38" t="str">
        <f>_xlfn.XLOOKUP(A2078,'Model Modeshare by TAZ'!A:A,'Model Modeshare by TAZ'!D:D)</f>
        <v>NO</v>
      </c>
      <c r="D2078" s="6">
        <v>5</v>
      </c>
      <c r="E2078" s="6">
        <v>2926</v>
      </c>
      <c r="F2078" s="6">
        <v>8336</v>
      </c>
      <c r="G2078" s="6">
        <v>8414</v>
      </c>
      <c r="H2078" s="6">
        <v>3962</v>
      </c>
      <c r="I2078" s="6">
        <v>2599</v>
      </c>
      <c r="J2078" s="6">
        <v>327</v>
      </c>
      <c r="K2078" s="40">
        <v>331</v>
      </c>
      <c r="L2078" s="40">
        <v>308</v>
      </c>
      <c r="M2078" s="40">
        <v>1246</v>
      </c>
      <c r="N2078" s="40">
        <v>138</v>
      </c>
      <c r="O2078" s="40">
        <v>810</v>
      </c>
      <c r="P2078" s="40">
        <v>248</v>
      </c>
      <c r="Q2078" s="40">
        <v>12</v>
      </c>
      <c r="R2078" s="40">
        <v>0</v>
      </c>
      <c r="S2078" s="40">
        <v>37</v>
      </c>
    </row>
    <row r="2079" spans="1:19" x14ac:dyDescent="0.35">
      <c r="A2079" s="38">
        <v>2442</v>
      </c>
      <c r="B2079" s="38" t="str">
        <f>_xlfn.XLOOKUP(A2079,'Model Modeshare by TAZ'!A:A,'Model Modeshare by TAZ'!B:B)</f>
        <v>Concord</v>
      </c>
      <c r="C2079" s="38" t="str">
        <f>_xlfn.XLOOKUP(A2079,'Model Modeshare by TAZ'!A:A,'Model Modeshare by TAZ'!D:D)</f>
        <v>NO</v>
      </c>
      <c r="D2079" s="6">
        <v>5</v>
      </c>
      <c r="E2079" s="6">
        <v>2769</v>
      </c>
      <c r="F2079" s="6">
        <v>7373</v>
      </c>
      <c r="G2079" s="6">
        <v>7516</v>
      </c>
      <c r="H2079" s="6">
        <v>3695</v>
      </c>
      <c r="I2079" s="6">
        <v>1964</v>
      </c>
      <c r="J2079" s="6">
        <v>805</v>
      </c>
      <c r="K2079" s="40">
        <v>513</v>
      </c>
      <c r="L2079" s="40">
        <v>66</v>
      </c>
      <c r="M2079" s="40">
        <v>2063</v>
      </c>
      <c r="N2079" s="40">
        <v>342</v>
      </c>
      <c r="O2079" s="40">
        <v>811</v>
      </c>
      <c r="P2079" s="40">
        <v>476</v>
      </c>
      <c r="Q2079" s="40">
        <v>6</v>
      </c>
      <c r="R2079" s="40">
        <v>410</v>
      </c>
      <c r="S2079" s="40">
        <v>18</v>
      </c>
    </row>
    <row r="2080" spans="1:19" x14ac:dyDescent="0.35">
      <c r="A2080" s="38">
        <v>2443</v>
      </c>
      <c r="B2080" s="38" t="str">
        <f>_xlfn.XLOOKUP(A2080,'Model Modeshare by TAZ'!A:A,'Model Modeshare by TAZ'!B:B)</f>
        <v>Concord</v>
      </c>
      <c r="C2080" s="38" t="str">
        <f>_xlfn.XLOOKUP(A2080,'Model Modeshare by TAZ'!A:A,'Model Modeshare by TAZ'!D:D)</f>
        <v>NO</v>
      </c>
      <c r="D2080" s="6">
        <v>5</v>
      </c>
      <c r="E2080" s="6">
        <v>1837</v>
      </c>
      <c r="F2080" s="6">
        <v>5595</v>
      </c>
      <c r="G2080" s="6">
        <v>5641</v>
      </c>
      <c r="H2080" s="6">
        <v>2646</v>
      </c>
      <c r="I2080" s="6">
        <v>1813</v>
      </c>
      <c r="J2080" s="6">
        <v>24</v>
      </c>
      <c r="K2080" s="40">
        <v>247</v>
      </c>
      <c r="L2080" s="40">
        <v>159</v>
      </c>
      <c r="M2080" s="40">
        <v>1237</v>
      </c>
      <c r="N2080" s="40">
        <v>84</v>
      </c>
      <c r="O2080" s="40">
        <v>427</v>
      </c>
      <c r="P2080" s="40">
        <v>693</v>
      </c>
      <c r="Q2080" s="40">
        <v>4</v>
      </c>
      <c r="R2080" s="40">
        <v>12</v>
      </c>
      <c r="S2080" s="40">
        <v>16</v>
      </c>
    </row>
    <row r="2081" spans="1:19" x14ac:dyDescent="0.35">
      <c r="A2081" s="38">
        <v>2444</v>
      </c>
      <c r="B2081" s="38" t="str">
        <f>_xlfn.XLOOKUP(A2081,'Model Modeshare by TAZ'!A:A,'Model Modeshare by TAZ'!B:B)</f>
        <v>Concord</v>
      </c>
      <c r="C2081" s="38" t="str">
        <f>_xlfn.XLOOKUP(A2081,'Model Modeshare by TAZ'!A:A,'Model Modeshare by TAZ'!D:D)</f>
        <v>NO</v>
      </c>
      <c r="D2081" s="6">
        <v>5</v>
      </c>
      <c r="E2081" s="6">
        <v>2118</v>
      </c>
      <c r="F2081" s="6">
        <v>6480</v>
      </c>
      <c r="G2081" s="6">
        <v>6539</v>
      </c>
      <c r="H2081" s="6">
        <v>3413</v>
      </c>
      <c r="I2081" s="6">
        <v>1798</v>
      </c>
      <c r="J2081" s="6">
        <v>320</v>
      </c>
      <c r="K2081" s="40">
        <v>308</v>
      </c>
      <c r="L2081" s="40">
        <v>145</v>
      </c>
      <c r="M2081" s="40">
        <v>2845</v>
      </c>
      <c r="N2081" s="40">
        <v>333</v>
      </c>
      <c r="O2081" s="40">
        <v>1796</v>
      </c>
      <c r="P2081" s="40">
        <v>586</v>
      </c>
      <c r="Q2081" s="40">
        <v>8</v>
      </c>
      <c r="R2081" s="40">
        <v>89</v>
      </c>
      <c r="S2081" s="40">
        <v>33</v>
      </c>
    </row>
    <row r="2082" spans="1:19" x14ac:dyDescent="0.35">
      <c r="A2082" s="38">
        <v>2445</v>
      </c>
      <c r="B2082" s="38" t="str">
        <f>_xlfn.XLOOKUP(A2082,'Model Modeshare by TAZ'!A:A,'Model Modeshare by TAZ'!B:B)</f>
        <v>Concord</v>
      </c>
      <c r="C2082" s="38" t="str">
        <f>_xlfn.XLOOKUP(A2082,'Model Modeshare by TAZ'!A:A,'Model Modeshare by TAZ'!D:D)</f>
        <v>NO</v>
      </c>
      <c r="D2082" s="6">
        <v>5</v>
      </c>
      <c r="E2082" s="6">
        <v>1432</v>
      </c>
      <c r="F2082" s="6">
        <v>2330</v>
      </c>
      <c r="G2082" s="6">
        <v>2482</v>
      </c>
      <c r="H2082" s="6">
        <v>1022</v>
      </c>
      <c r="I2082" s="6">
        <v>141</v>
      </c>
      <c r="J2082" s="6">
        <v>1291</v>
      </c>
      <c r="K2082" s="40">
        <v>35</v>
      </c>
      <c r="L2082" s="40">
        <v>134</v>
      </c>
      <c r="M2082" s="40">
        <v>7957</v>
      </c>
      <c r="N2082" s="40">
        <v>1338</v>
      </c>
      <c r="O2082" s="40">
        <v>2284</v>
      </c>
      <c r="P2082" s="40">
        <v>3991</v>
      </c>
      <c r="Q2082" s="40">
        <v>5</v>
      </c>
      <c r="R2082" s="40">
        <v>108</v>
      </c>
      <c r="S2082" s="40">
        <v>230</v>
      </c>
    </row>
    <row r="2083" spans="1:19" x14ac:dyDescent="0.35">
      <c r="A2083" s="38">
        <v>2446</v>
      </c>
      <c r="B2083" s="38" t="str">
        <f>_xlfn.XLOOKUP(A2083,'Model Modeshare by TAZ'!A:A,'Model Modeshare by TAZ'!B:B)</f>
        <v>Concord</v>
      </c>
      <c r="C2083" s="38" t="str">
        <f>_xlfn.XLOOKUP(A2083,'Model Modeshare by TAZ'!A:A,'Model Modeshare by TAZ'!D:D)</f>
        <v>NO</v>
      </c>
      <c r="D2083" s="6">
        <v>5</v>
      </c>
      <c r="E2083" s="6">
        <v>2629</v>
      </c>
      <c r="F2083" s="6">
        <v>7651</v>
      </c>
      <c r="G2083" s="6">
        <v>7651</v>
      </c>
      <c r="H2083" s="6">
        <v>3406</v>
      </c>
      <c r="I2083" s="6">
        <v>277</v>
      </c>
      <c r="J2083" s="6">
        <v>2352</v>
      </c>
      <c r="K2083" s="40">
        <v>99</v>
      </c>
      <c r="L2083" s="40">
        <v>23</v>
      </c>
      <c r="M2083" s="40">
        <v>329</v>
      </c>
      <c r="N2083" s="40">
        <v>44</v>
      </c>
      <c r="O2083" s="40">
        <v>136</v>
      </c>
      <c r="P2083" s="40">
        <v>126</v>
      </c>
      <c r="Q2083" s="40">
        <v>2</v>
      </c>
      <c r="R2083" s="40">
        <v>2</v>
      </c>
      <c r="S2083" s="40">
        <v>19</v>
      </c>
    </row>
    <row r="2084" spans="1:19" x14ac:dyDescent="0.35">
      <c r="A2084" s="38">
        <v>2447</v>
      </c>
      <c r="B2084" s="38" t="str">
        <f>_xlfn.XLOOKUP(A2084,'Model Modeshare by TAZ'!A:A,'Model Modeshare by TAZ'!B:B)</f>
        <v>Concord</v>
      </c>
      <c r="C2084" s="38" t="str">
        <f>_xlfn.XLOOKUP(A2084,'Model Modeshare by TAZ'!A:A,'Model Modeshare by TAZ'!D:D)</f>
        <v>NO</v>
      </c>
      <c r="D2084" s="6">
        <v>5</v>
      </c>
      <c r="E2084" s="6">
        <v>1506</v>
      </c>
      <c r="F2084" s="6">
        <v>5319</v>
      </c>
      <c r="G2084" s="6">
        <v>5324</v>
      </c>
      <c r="H2084" s="6">
        <v>2689</v>
      </c>
      <c r="I2084" s="6">
        <v>264</v>
      </c>
      <c r="J2084" s="6">
        <v>1242</v>
      </c>
      <c r="K2084" s="40">
        <v>57</v>
      </c>
      <c r="L2084" s="40">
        <v>57</v>
      </c>
      <c r="M2084" s="40">
        <v>327</v>
      </c>
      <c r="N2084" s="40">
        <v>45</v>
      </c>
      <c r="O2084" s="40">
        <v>134</v>
      </c>
      <c r="P2084" s="40">
        <v>124</v>
      </c>
      <c r="Q2084" s="40">
        <v>3</v>
      </c>
      <c r="R2084" s="40">
        <v>3</v>
      </c>
      <c r="S2084" s="40">
        <v>18</v>
      </c>
    </row>
    <row r="2085" spans="1:19" x14ac:dyDescent="0.35">
      <c r="A2085" s="38">
        <v>2448</v>
      </c>
      <c r="B2085" s="38" t="str">
        <f>_xlfn.XLOOKUP(A2085,'Model Modeshare by TAZ'!A:A,'Model Modeshare by TAZ'!B:B)</f>
        <v>Concord</v>
      </c>
      <c r="C2085" s="38" t="str">
        <f>_xlfn.XLOOKUP(A2085,'Model Modeshare by TAZ'!A:A,'Model Modeshare by TAZ'!D:D)</f>
        <v>NO</v>
      </c>
      <c r="D2085" s="6">
        <v>5</v>
      </c>
      <c r="E2085" s="6">
        <v>1236</v>
      </c>
      <c r="F2085" s="6">
        <v>3400</v>
      </c>
      <c r="G2085" s="6">
        <v>3442</v>
      </c>
      <c r="H2085" s="6">
        <v>1728</v>
      </c>
      <c r="I2085" s="6">
        <v>1181</v>
      </c>
      <c r="J2085" s="6">
        <v>55</v>
      </c>
      <c r="K2085" s="40">
        <v>237</v>
      </c>
      <c r="L2085" s="40">
        <v>69</v>
      </c>
      <c r="M2085" s="40">
        <v>733</v>
      </c>
      <c r="N2085" s="40">
        <v>72</v>
      </c>
      <c r="O2085" s="40">
        <v>296</v>
      </c>
      <c r="P2085" s="40">
        <v>54</v>
      </c>
      <c r="Q2085" s="40">
        <v>1</v>
      </c>
      <c r="R2085" s="40">
        <v>310</v>
      </c>
      <c r="S2085" s="40">
        <v>0</v>
      </c>
    </row>
    <row r="2086" spans="1:19" x14ac:dyDescent="0.35">
      <c r="A2086" s="38">
        <v>2449</v>
      </c>
      <c r="B2086" s="38" t="str">
        <f>_xlfn.XLOOKUP(A2086,'Model Modeshare by TAZ'!A:A,'Model Modeshare by TAZ'!B:B)</f>
        <v>Concord</v>
      </c>
      <c r="C2086" s="38" t="str">
        <f>_xlfn.XLOOKUP(A2086,'Model Modeshare by TAZ'!A:A,'Model Modeshare by TAZ'!D:D)</f>
        <v>NO</v>
      </c>
      <c r="D2086" s="6">
        <v>5</v>
      </c>
      <c r="E2086" s="6">
        <v>1282</v>
      </c>
      <c r="F2086" s="6">
        <v>3601</v>
      </c>
      <c r="G2086" s="6">
        <v>3668</v>
      </c>
      <c r="H2086" s="6">
        <v>1985</v>
      </c>
      <c r="I2086" s="6">
        <v>1081</v>
      </c>
      <c r="J2086" s="6">
        <v>201</v>
      </c>
      <c r="K2086" s="40">
        <v>391</v>
      </c>
      <c r="L2086" s="40">
        <v>33</v>
      </c>
      <c r="M2086" s="40">
        <v>478</v>
      </c>
      <c r="N2086" s="40">
        <v>158</v>
      </c>
      <c r="O2086" s="40">
        <v>138</v>
      </c>
      <c r="P2086" s="40">
        <v>129</v>
      </c>
      <c r="Q2086" s="40">
        <v>2</v>
      </c>
      <c r="R2086" s="40">
        <v>44</v>
      </c>
      <c r="S2086" s="40">
        <v>7</v>
      </c>
    </row>
    <row r="2087" spans="1:19" x14ac:dyDescent="0.35">
      <c r="A2087" s="38">
        <v>2450</v>
      </c>
      <c r="B2087" s="38" t="str">
        <f>_xlfn.XLOOKUP(A2087,'Model Modeshare by TAZ'!A:A,'Model Modeshare by TAZ'!B:B)</f>
        <v>Concord</v>
      </c>
      <c r="C2087" s="38" t="str">
        <f>_xlfn.XLOOKUP(A2087,'Model Modeshare by TAZ'!A:A,'Model Modeshare by TAZ'!D:D)</f>
        <v>NO</v>
      </c>
      <c r="D2087" s="6">
        <v>5</v>
      </c>
      <c r="E2087" s="6">
        <v>2985</v>
      </c>
      <c r="F2087" s="6">
        <v>7737</v>
      </c>
      <c r="G2087" s="6">
        <v>7989</v>
      </c>
      <c r="H2087" s="6">
        <v>4149</v>
      </c>
      <c r="I2087" s="6">
        <v>1609</v>
      </c>
      <c r="J2087" s="6">
        <v>1376</v>
      </c>
      <c r="K2087" s="40">
        <v>425</v>
      </c>
      <c r="L2087" s="40">
        <v>245</v>
      </c>
      <c r="M2087" s="40">
        <v>3682</v>
      </c>
      <c r="N2087" s="40">
        <v>430</v>
      </c>
      <c r="O2087" s="40">
        <v>903</v>
      </c>
      <c r="P2087" s="40">
        <v>1385</v>
      </c>
      <c r="Q2087" s="40">
        <v>23</v>
      </c>
      <c r="R2087" s="40">
        <v>791</v>
      </c>
      <c r="S2087" s="40">
        <v>149</v>
      </c>
    </row>
    <row r="2088" spans="1:19" x14ac:dyDescent="0.35">
      <c r="A2088" s="38">
        <v>2451</v>
      </c>
      <c r="B2088" s="38" t="str">
        <f>_xlfn.XLOOKUP(A2088,'Model Modeshare by TAZ'!A:A,'Model Modeshare by TAZ'!B:B)</f>
        <v>Concord</v>
      </c>
      <c r="C2088" s="38" t="str">
        <f>_xlfn.XLOOKUP(A2088,'Model Modeshare by TAZ'!A:A,'Model Modeshare by TAZ'!D:D)</f>
        <v>NO</v>
      </c>
      <c r="D2088" s="6">
        <v>5</v>
      </c>
      <c r="E2088" s="6">
        <v>3146</v>
      </c>
      <c r="F2088" s="6">
        <v>8385</v>
      </c>
      <c r="G2088" s="6">
        <v>8433</v>
      </c>
      <c r="H2088" s="6">
        <v>4050</v>
      </c>
      <c r="I2088" s="6">
        <v>2032</v>
      </c>
      <c r="J2088" s="6">
        <v>1114</v>
      </c>
      <c r="K2088" s="40">
        <v>504</v>
      </c>
      <c r="L2088" s="40">
        <v>41</v>
      </c>
      <c r="M2088" s="40">
        <v>1253</v>
      </c>
      <c r="N2088" s="40">
        <v>310</v>
      </c>
      <c r="O2088" s="40">
        <v>462</v>
      </c>
      <c r="P2088" s="40">
        <v>362</v>
      </c>
      <c r="Q2088" s="40">
        <v>23</v>
      </c>
      <c r="R2088" s="40">
        <v>75</v>
      </c>
      <c r="S2088" s="40">
        <v>21</v>
      </c>
    </row>
    <row r="2089" spans="1:19" x14ac:dyDescent="0.35">
      <c r="A2089" s="38">
        <v>2452</v>
      </c>
      <c r="B2089" s="38" t="str">
        <f>_xlfn.XLOOKUP(A2089,'Model Modeshare by TAZ'!A:A,'Model Modeshare by TAZ'!B:B)</f>
        <v>Concord</v>
      </c>
      <c r="C2089" s="38" t="str">
        <f>_xlfn.XLOOKUP(A2089,'Model Modeshare by TAZ'!A:A,'Model Modeshare by TAZ'!D:D)</f>
        <v>NO</v>
      </c>
      <c r="D2089" s="6">
        <v>5</v>
      </c>
      <c r="E2089" s="6">
        <v>2896</v>
      </c>
      <c r="F2089" s="6">
        <v>9981</v>
      </c>
      <c r="G2089" s="6">
        <v>9986</v>
      </c>
      <c r="H2089" s="6">
        <v>4543</v>
      </c>
      <c r="I2089" s="6">
        <v>1246</v>
      </c>
      <c r="J2089" s="6">
        <v>1650</v>
      </c>
      <c r="K2089" s="40">
        <v>293</v>
      </c>
      <c r="L2089" s="40">
        <v>104</v>
      </c>
      <c r="M2089" s="40">
        <v>1345</v>
      </c>
      <c r="N2089" s="40">
        <v>234</v>
      </c>
      <c r="O2089" s="40">
        <v>473</v>
      </c>
      <c r="P2089" s="40">
        <v>486</v>
      </c>
      <c r="Q2089" s="40">
        <v>5</v>
      </c>
      <c r="R2089" s="40">
        <v>30</v>
      </c>
      <c r="S2089" s="40">
        <v>117</v>
      </c>
    </row>
    <row r="2090" spans="1:19" x14ac:dyDescent="0.35">
      <c r="A2090" s="38">
        <v>2453</v>
      </c>
      <c r="B2090" s="38" t="str">
        <f>_xlfn.XLOOKUP(A2090,'Model Modeshare by TAZ'!A:A,'Model Modeshare by TAZ'!B:B)</f>
        <v>Pleasant Hill</v>
      </c>
      <c r="C2090" s="38" t="str">
        <f>_xlfn.XLOOKUP(A2090,'Model Modeshare by TAZ'!A:A,'Model Modeshare by TAZ'!D:D)</f>
        <v>NO</v>
      </c>
      <c r="D2090" s="6">
        <v>5</v>
      </c>
      <c r="E2090" s="6">
        <v>5412</v>
      </c>
      <c r="F2090" s="6">
        <v>10663</v>
      </c>
      <c r="G2090" s="6">
        <v>10818</v>
      </c>
      <c r="H2090" s="6">
        <v>6733</v>
      </c>
      <c r="I2090" s="6">
        <v>1511</v>
      </c>
      <c r="J2090" s="6">
        <v>3901</v>
      </c>
      <c r="K2090" s="40">
        <v>393</v>
      </c>
      <c r="L2090" s="40">
        <v>231</v>
      </c>
      <c r="M2090" s="40">
        <v>14390</v>
      </c>
      <c r="N2090" s="40">
        <v>3086</v>
      </c>
      <c r="O2090" s="40">
        <v>6723</v>
      </c>
      <c r="P2090" s="40">
        <v>2989</v>
      </c>
      <c r="Q2090" s="40">
        <v>3</v>
      </c>
      <c r="R2090" s="40">
        <v>1085</v>
      </c>
      <c r="S2090" s="40">
        <v>504</v>
      </c>
    </row>
    <row r="2091" spans="1:19" x14ac:dyDescent="0.35">
      <c r="A2091" s="38">
        <v>2454</v>
      </c>
      <c r="B2091" s="38" t="str">
        <f>_xlfn.XLOOKUP(A2091,'Model Modeshare by TAZ'!A:A,'Model Modeshare by TAZ'!B:B)</f>
        <v>Concord</v>
      </c>
      <c r="C2091" s="38" t="str">
        <f>_xlfn.XLOOKUP(A2091,'Model Modeshare by TAZ'!A:A,'Model Modeshare by TAZ'!D:D)</f>
        <v>NO</v>
      </c>
      <c r="D2091" s="6">
        <v>5</v>
      </c>
      <c r="E2091" s="6">
        <v>2828</v>
      </c>
      <c r="F2091" s="6">
        <v>7699</v>
      </c>
      <c r="G2091" s="6">
        <v>7716</v>
      </c>
      <c r="H2091" s="6">
        <v>3804</v>
      </c>
      <c r="I2091" s="6">
        <v>1283</v>
      </c>
      <c r="J2091" s="6">
        <v>1545</v>
      </c>
      <c r="K2091" s="40">
        <v>406</v>
      </c>
      <c r="L2091" s="40">
        <v>1147</v>
      </c>
      <c r="M2091" s="40">
        <v>16593</v>
      </c>
      <c r="N2091" s="40">
        <v>5648</v>
      </c>
      <c r="O2091" s="40">
        <v>4635</v>
      </c>
      <c r="P2091" s="40">
        <v>3834</v>
      </c>
      <c r="Q2091" s="40">
        <v>40</v>
      </c>
      <c r="R2091" s="40">
        <v>1366</v>
      </c>
      <c r="S2091" s="40">
        <v>1070</v>
      </c>
    </row>
    <row r="2092" spans="1:19" x14ac:dyDescent="0.35">
      <c r="A2092" s="38">
        <v>2455</v>
      </c>
      <c r="B2092" s="38" t="str">
        <f>_xlfn.XLOOKUP(A2092,'Model Modeshare by TAZ'!A:A,'Model Modeshare by TAZ'!B:B)</f>
        <v>Unincorporated</v>
      </c>
      <c r="C2092" s="38" t="str">
        <f>_xlfn.XLOOKUP(A2092,'Model Modeshare by TAZ'!A:A,'Model Modeshare by TAZ'!D:D)</f>
        <v>NO</v>
      </c>
      <c r="D2092" s="6">
        <v>5</v>
      </c>
      <c r="E2092" s="6">
        <v>2179</v>
      </c>
      <c r="F2092" s="6">
        <v>5460</v>
      </c>
      <c r="G2092" s="6">
        <v>5460</v>
      </c>
      <c r="H2092" s="6">
        <v>2640</v>
      </c>
      <c r="I2092" s="6">
        <v>1162</v>
      </c>
      <c r="J2092" s="6">
        <v>1017</v>
      </c>
      <c r="K2092" s="40">
        <v>171</v>
      </c>
      <c r="L2092" s="40">
        <v>171</v>
      </c>
      <c r="M2092" s="40">
        <v>2907</v>
      </c>
      <c r="N2092" s="40">
        <v>950</v>
      </c>
      <c r="O2092" s="40">
        <v>817</v>
      </c>
      <c r="P2092" s="40">
        <v>742</v>
      </c>
      <c r="Q2092" s="40">
        <v>6</v>
      </c>
      <c r="R2092" s="40">
        <v>349</v>
      </c>
      <c r="S2092" s="40">
        <v>43</v>
      </c>
    </row>
    <row r="2093" spans="1:19" x14ac:dyDescent="0.35">
      <c r="A2093" s="38">
        <v>2456</v>
      </c>
      <c r="B2093" s="38" t="str">
        <f>_xlfn.XLOOKUP(A2093,'Model Modeshare by TAZ'!A:A,'Model Modeshare by TAZ'!B:B)</f>
        <v>Martinez</v>
      </c>
      <c r="C2093" s="38" t="str">
        <f>_xlfn.XLOOKUP(A2093,'Model Modeshare by TAZ'!A:A,'Model Modeshare by TAZ'!D:D)</f>
        <v>NO</v>
      </c>
      <c r="D2093" s="6">
        <v>5</v>
      </c>
      <c r="E2093" s="6">
        <v>2589</v>
      </c>
      <c r="F2093" s="6">
        <v>6958</v>
      </c>
      <c r="G2093" s="6">
        <v>7349</v>
      </c>
      <c r="H2093" s="6">
        <v>3589</v>
      </c>
      <c r="I2093" s="6">
        <v>2140</v>
      </c>
      <c r="J2093" s="6">
        <v>449</v>
      </c>
      <c r="K2093" s="40">
        <v>616</v>
      </c>
      <c r="L2093" s="40">
        <v>81</v>
      </c>
      <c r="M2093" s="40">
        <v>6138</v>
      </c>
      <c r="N2093" s="40">
        <v>309</v>
      </c>
      <c r="O2093" s="40">
        <v>3601</v>
      </c>
      <c r="P2093" s="40">
        <v>1556</v>
      </c>
      <c r="Q2093" s="40">
        <v>3</v>
      </c>
      <c r="R2093" s="40">
        <v>654</v>
      </c>
      <c r="S2093" s="40">
        <v>14</v>
      </c>
    </row>
    <row r="2094" spans="1:19" x14ac:dyDescent="0.35">
      <c r="A2094" s="38">
        <v>2457</v>
      </c>
      <c r="B2094" s="38" t="str">
        <f>_xlfn.XLOOKUP(A2094,'Model Modeshare by TAZ'!A:A,'Model Modeshare by TAZ'!B:B)</f>
        <v>Martinez</v>
      </c>
      <c r="C2094" s="38" t="str">
        <f>_xlfn.XLOOKUP(A2094,'Model Modeshare by TAZ'!A:A,'Model Modeshare by TAZ'!D:D)</f>
        <v>NO</v>
      </c>
      <c r="D2094" s="6">
        <v>5</v>
      </c>
      <c r="E2094" s="6">
        <v>1856</v>
      </c>
      <c r="F2094" s="6">
        <v>4488</v>
      </c>
      <c r="G2094" s="6">
        <v>4500</v>
      </c>
      <c r="H2094" s="6">
        <v>2337</v>
      </c>
      <c r="I2094" s="6">
        <v>1583</v>
      </c>
      <c r="J2094" s="6">
        <v>273</v>
      </c>
      <c r="K2094" s="40">
        <v>800</v>
      </c>
      <c r="L2094" s="40">
        <v>35</v>
      </c>
      <c r="M2094" s="40">
        <v>395</v>
      </c>
      <c r="N2094" s="40">
        <v>110</v>
      </c>
      <c r="O2094" s="40">
        <v>147</v>
      </c>
      <c r="P2094" s="40">
        <v>113</v>
      </c>
      <c r="Q2094" s="40">
        <v>9</v>
      </c>
      <c r="R2094" s="40">
        <v>3</v>
      </c>
      <c r="S2094" s="40">
        <v>13</v>
      </c>
    </row>
    <row r="2095" spans="1:19" x14ac:dyDescent="0.35">
      <c r="A2095" s="38">
        <v>2458</v>
      </c>
      <c r="B2095" s="38" t="str">
        <f>_xlfn.XLOOKUP(A2095,'Model Modeshare by TAZ'!A:A,'Model Modeshare by TAZ'!B:B)</f>
        <v>Martinez</v>
      </c>
      <c r="C2095" s="38" t="str">
        <f>_xlfn.XLOOKUP(A2095,'Model Modeshare by TAZ'!A:A,'Model Modeshare by TAZ'!D:D)</f>
        <v>NO</v>
      </c>
      <c r="D2095" s="6">
        <v>5</v>
      </c>
      <c r="E2095" s="6">
        <v>2710</v>
      </c>
      <c r="F2095" s="6">
        <v>6900</v>
      </c>
      <c r="G2095" s="6">
        <v>6916</v>
      </c>
      <c r="H2095" s="6">
        <v>3616</v>
      </c>
      <c r="I2095" s="6">
        <v>2619</v>
      </c>
      <c r="J2095" s="6">
        <v>91</v>
      </c>
      <c r="K2095" s="40">
        <v>695</v>
      </c>
      <c r="L2095" s="40">
        <v>64</v>
      </c>
      <c r="M2095" s="40">
        <v>571</v>
      </c>
      <c r="N2095" s="40">
        <v>126</v>
      </c>
      <c r="O2095" s="40">
        <v>216</v>
      </c>
      <c r="P2095" s="40">
        <v>229</v>
      </c>
      <c r="Q2095" s="40">
        <v>0</v>
      </c>
      <c r="R2095" s="40">
        <v>0</v>
      </c>
      <c r="S2095" s="40">
        <v>0</v>
      </c>
    </row>
    <row r="2096" spans="1:19" x14ac:dyDescent="0.35">
      <c r="A2096" s="38">
        <v>2459</v>
      </c>
      <c r="B2096" s="38" t="str">
        <f>_xlfn.XLOOKUP(A2096,'Model Modeshare by TAZ'!A:A,'Model Modeshare by TAZ'!B:B)</f>
        <v>Pleasant Hill</v>
      </c>
      <c r="C2096" s="38" t="str">
        <f>_xlfn.XLOOKUP(A2096,'Model Modeshare by TAZ'!A:A,'Model Modeshare by TAZ'!D:D)</f>
        <v>NO</v>
      </c>
      <c r="D2096" s="6">
        <v>5</v>
      </c>
      <c r="E2096" s="6">
        <v>2446</v>
      </c>
      <c r="F2096" s="6">
        <v>6072</v>
      </c>
      <c r="G2096" s="6">
        <v>6089</v>
      </c>
      <c r="H2096" s="6">
        <v>2853</v>
      </c>
      <c r="I2096" s="6">
        <v>2096</v>
      </c>
      <c r="J2096" s="6">
        <v>350</v>
      </c>
      <c r="K2096" s="40">
        <v>425</v>
      </c>
      <c r="L2096" s="40">
        <v>278</v>
      </c>
      <c r="M2096" s="40">
        <v>2236</v>
      </c>
      <c r="N2096" s="40">
        <v>243</v>
      </c>
      <c r="O2096" s="40">
        <v>1508</v>
      </c>
      <c r="P2096" s="40">
        <v>346</v>
      </c>
      <c r="Q2096" s="40">
        <v>1</v>
      </c>
      <c r="R2096" s="40">
        <v>130</v>
      </c>
      <c r="S2096" s="40">
        <v>8</v>
      </c>
    </row>
    <row r="2097" spans="1:19" x14ac:dyDescent="0.35">
      <c r="A2097" s="38">
        <v>2460</v>
      </c>
      <c r="B2097" s="38" t="str">
        <f>_xlfn.XLOOKUP(A2097,'Model Modeshare by TAZ'!A:A,'Model Modeshare by TAZ'!B:B)</f>
        <v>Pleasant Hill</v>
      </c>
      <c r="C2097" s="38" t="str">
        <f>_xlfn.XLOOKUP(A2097,'Model Modeshare by TAZ'!A:A,'Model Modeshare by TAZ'!D:D)</f>
        <v>NO</v>
      </c>
      <c r="D2097" s="6">
        <v>5</v>
      </c>
      <c r="E2097" s="6">
        <v>1711</v>
      </c>
      <c r="F2097" s="6">
        <v>4661</v>
      </c>
      <c r="G2097" s="6">
        <v>4681</v>
      </c>
      <c r="H2097" s="6">
        <v>2294</v>
      </c>
      <c r="I2097" s="6">
        <v>1542</v>
      </c>
      <c r="J2097" s="6">
        <v>169</v>
      </c>
      <c r="K2097" s="40">
        <v>304</v>
      </c>
      <c r="L2097" s="40">
        <v>46</v>
      </c>
      <c r="M2097" s="40">
        <v>1280</v>
      </c>
      <c r="N2097" s="40">
        <v>601</v>
      </c>
      <c r="O2097" s="40">
        <v>509</v>
      </c>
      <c r="P2097" s="40">
        <v>143</v>
      </c>
      <c r="Q2097" s="40">
        <v>2</v>
      </c>
      <c r="R2097" s="40">
        <v>12</v>
      </c>
      <c r="S2097" s="40">
        <v>12</v>
      </c>
    </row>
    <row r="2098" spans="1:19" x14ac:dyDescent="0.35">
      <c r="A2098" s="38">
        <v>2461</v>
      </c>
      <c r="B2098" s="38" t="str">
        <f>_xlfn.XLOOKUP(A2098,'Model Modeshare by TAZ'!A:A,'Model Modeshare by TAZ'!B:B)</f>
        <v>Pleasant Hill</v>
      </c>
      <c r="C2098" s="38" t="str">
        <f>_xlfn.XLOOKUP(A2098,'Model Modeshare by TAZ'!A:A,'Model Modeshare by TAZ'!D:D)</f>
        <v>NO</v>
      </c>
      <c r="D2098" s="6">
        <v>5</v>
      </c>
      <c r="E2098" s="6">
        <v>2163</v>
      </c>
      <c r="F2098" s="6">
        <v>5479</v>
      </c>
      <c r="G2098" s="6">
        <v>5743</v>
      </c>
      <c r="H2098" s="6">
        <v>2704</v>
      </c>
      <c r="I2098" s="6">
        <v>1777</v>
      </c>
      <c r="J2098" s="6">
        <v>386</v>
      </c>
      <c r="K2098" s="40">
        <v>471</v>
      </c>
      <c r="L2098" s="40">
        <v>84</v>
      </c>
      <c r="M2098" s="40">
        <v>2644</v>
      </c>
      <c r="N2098" s="40">
        <v>429</v>
      </c>
      <c r="O2098" s="40">
        <v>1585</v>
      </c>
      <c r="P2098" s="40">
        <v>589</v>
      </c>
      <c r="Q2098" s="40">
        <v>2</v>
      </c>
      <c r="R2098" s="40">
        <v>0</v>
      </c>
      <c r="S2098" s="40">
        <v>39</v>
      </c>
    </row>
    <row r="2099" spans="1:19" x14ac:dyDescent="0.35">
      <c r="A2099" s="38">
        <v>2462</v>
      </c>
      <c r="B2099" s="38" t="str">
        <f>_xlfn.XLOOKUP(A2099,'Model Modeshare by TAZ'!A:A,'Model Modeshare by TAZ'!B:B)</f>
        <v>Pleasant Hill</v>
      </c>
      <c r="C2099" s="38" t="str">
        <f>_xlfn.XLOOKUP(A2099,'Model Modeshare by TAZ'!A:A,'Model Modeshare by TAZ'!D:D)</f>
        <v>NO</v>
      </c>
      <c r="D2099" s="6">
        <v>5</v>
      </c>
      <c r="E2099" s="6">
        <v>1345</v>
      </c>
      <c r="F2099" s="6">
        <v>3453</v>
      </c>
      <c r="G2099" s="6">
        <v>3487</v>
      </c>
      <c r="H2099" s="6">
        <v>1706</v>
      </c>
      <c r="I2099" s="6">
        <v>1330</v>
      </c>
      <c r="J2099" s="6">
        <v>15</v>
      </c>
      <c r="K2099" s="40">
        <v>406</v>
      </c>
      <c r="L2099" s="40">
        <v>15</v>
      </c>
      <c r="M2099" s="40">
        <v>291</v>
      </c>
      <c r="N2099" s="40">
        <v>31</v>
      </c>
      <c r="O2099" s="40">
        <v>102</v>
      </c>
      <c r="P2099" s="40">
        <v>148</v>
      </c>
      <c r="Q2099" s="40">
        <v>2</v>
      </c>
      <c r="R2099" s="40">
        <v>0</v>
      </c>
      <c r="S2099" s="40">
        <v>7</v>
      </c>
    </row>
    <row r="2100" spans="1:19" x14ac:dyDescent="0.35">
      <c r="A2100" s="38">
        <v>2463</v>
      </c>
      <c r="B2100" s="38" t="str">
        <f>_xlfn.XLOOKUP(A2100,'Model Modeshare by TAZ'!A:A,'Model Modeshare by TAZ'!B:B)</f>
        <v>Unincorporated</v>
      </c>
      <c r="C2100" s="38" t="str">
        <f>_xlfn.XLOOKUP(A2100,'Model Modeshare by TAZ'!A:A,'Model Modeshare by TAZ'!D:D)</f>
        <v>NO</v>
      </c>
      <c r="D2100" s="6">
        <v>5</v>
      </c>
      <c r="E2100" s="6">
        <v>2276</v>
      </c>
      <c r="F2100" s="6">
        <v>5918</v>
      </c>
      <c r="G2100" s="6">
        <v>5940</v>
      </c>
      <c r="H2100" s="6">
        <v>3091</v>
      </c>
      <c r="I2100" s="6">
        <v>2174</v>
      </c>
      <c r="J2100" s="6">
        <v>102</v>
      </c>
      <c r="K2100" s="40">
        <v>1518</v>
      </c>
      <c r="L2100" s="40">
        <v>56</v>
      </c>
      <c r="M2100" s="40">
        <v>459</v>
      </c>
      <c r="N2100" s="40">
        <v>124</v>
      </c>
      <c r="O2100" s="40">
        <v>104</v>
      </c>
      <c r="P2100" s="40">
        <v>178</v>
      </c>
      <c r="Q2100" s="40">
        <v>7</v>
      </c>
      <c r="R2100" s="40">
        <v>7</v>
      </c>
      <c r="S2100" s="40">
        <v>40</v>
      </c>
    </row>
    <row r="2101" spans="1:19" x14ac:dyDescent="0.35">
      <c r="A2101" s="38">
        <v>2464</v>
      </c>
      <c r="B2101" s="38" t="str">
        <f>_xlfn.XLOOKUP(A2101,'Model Modeshare by TAZ'!A:A,'Model Modeshare by TAZ'!B:B)</f>
        <v>Lafayette</v>
      </c>
      <c r="C2101" s="38" t="str">
        <f>_xlfn.XLOOKUP(A2101,'Model Modeshare by TAZ'!A:A,'Model Modeshare by TAZ'!D:D)</f>
        <v>NO</v>
      </c>
      <c r="D2101" s="6">
        <v>5</v>
      </c>
      <c r="E2101" s="6">
        <v>1682</v>
      </c>
      <c r="F2101" s="6">
        <v>4864</v>
      </c>
      <c r="G2101" s="6">
        <v>4896</v>
      </c>
      <c r="H2101" s="6">
        <v>1858</v>
      </c>
      <c r="I2101" s="6">
        <v>1657</v>
      </c>
      <c r="J2101" s="6">
        <v>25</v>
      </c>
      <c r="K2101" s="40">
        <v>1597</v>
      </c>
      <c r="L2101" s="40">
        <v>42</v>
      </c>
      <c r="M2101" s="40">
        <v>604</v>
      </c>
      <c r="N2101" s="40">
        <v>43</v>
      </c>
      <c r="O2101" s="40">
        <v>411</v>
      </c>
      <c r="P2101" s="40">
        <v>102</v>
      </c>
      <c r="Q2101" s="40">
        <v>17</v>
      </c>
      <c r="R2101" s="40">
        <v>30</v>
      </c>
      <c r="S2101" s="40">
        <v>0</v>
      </c>
    </row>
    <row r="2102" spans="1:19" x14ac:dyDescent="0.35">
      <c r="A2102" s="38">
        <v>2465</v>
      </c>
      <c r="B2102" s="38" t="str">
        <f>_xlfn.XLOOKUP(A2102,'Model Modeshare by TAZ'!A:A,'Model Modeshare by TAZ'!B:B)</f>
        <v>Walnut Creek</v>
      </c>
      <c r="C2102" s="38" t="str">
        <f>_xlfn.XLOOKUP(A2102,'Model Modeshare by TAZ'!A:A,'Model Modeshare by TAZ'!D:D)</f>
        <v>NO</v>
      </c>
      <c r="D2102" s="6">
        <v>5</v>
      </c>
      <c r="E2102" s="6">
        <v>2922</v>
      </c>
      <c r="F2102" s="6">
        <v>7401</v>
      </c>
      <c r="G2102" s="6">
        <v>7444</v>
      </c>
      <c r="H2102" s="6">
        <v>4037</v>
      </c>
      <c r="I2102" s="6">
        <v>2634</v>
      </c>
      <c r="J2102" s="6">
        <v>288</v>
      </c>
      <c r="K2102" s="40">
        <v>1115</v>
      </c>
      <c r="L2102" s="40">
        <v>74</v>
      </c>
      <c r="M2102" s="40">
        <v>1359</v>
      </c>
      <c r="N2102" s="40">
        <v>228</v>
      </c>
      <c r="O2102" s="40">
        <v>348</v>
      </c>
      <c r="P2102" s="40">
        <v>734</v>
      </c>
      <c r="Q2102" s="40">
        <v>9</v>
      </c>
      <c r="R2102" s="40">
        <v>5</v>
      </c>
      <c r="S2102" s="40">
        <v>34</v>
      </c>
    </row>
    <row r="2103" spans="1:19" x14ac:dyDescent="0.35">
      <c r="A2103" s="38">
        <v>2466</v>
      </c>
      <c r="B2103" s="38" t="str">
        <f>_xlfn.XLOOKUP(A2103,'Model Modeshare by TAZ'!A:A,'Model Modeshare by TAZ'!B:B)</f>
        <v>Walnut Creek</v>
      </c>
      <c r="C2103" s="38" t="str">
        <f>_xlfn.XLOOKUP(A2103,'Model Modeshare by TAZ'!A:A,'Model Modeshare by TAZ'!D:D)</f>
        <v>NO</v>
      </c>
      <c r="D2103" s="6">
        <v>5</v>
      </c>
      <c r="E2103" s="6">
        <v>2387</v>
      </c>
      <c r="F2103" s="6">
        <v>5844</v>
      </c>
      <c r="G2103" s="6">
        <v>5909</v>
      </c>
      <c r="H2103" s="6">
        <v>2842</v>
      </c>
      <c r="I2103" s="6">
        <v>1508</v>
      </c>
      <c r="J2103" s="6">
        <v>879</v>
      </c>
      <c r="K2103" s="40">
        <v>325</v>
      </c>
      <c r="L2103" s="40">
        <v>103</v>
      </c>
      <c r="M2103" s="40">
        <v>2467</v>
      </c>
      <c r="N2103" s="40">
        <v>551</v>
      </c>
      <c r="O2103" s="40">
        <v>816</v>
      </c>
      <c r="P2103" s="40">
        <v>987</v>
      </c>
      <c r="Q2103" s="40">
        <v>22</v>
      </c>
      <c r="R2103" s="40">
        <v>6</v>
      </c>
      <c r="S2103" s="40">
        <v>85</v>
      </c>
    </row>
    <row r="2104" spans="1:19" x14ac:dyDescent="0.35">
      <c r="A2104" s="38">
        <v>2467</v>
      </c>
      <c r="B2104" s="38" t="str">
        <f>_xlfn.XLOOKUP(A2104,'Model Modeshare by TAZ'!A:A,'Model Modeshare by TAZ'!B:B)</f>
        <v>Walnut Creek</v>
      </c>
      <c r="C2104" s="38" t="str">
        <f>_xlfn.XLOOKUP(A2104,'Model Modeshare by TAZ'!A:A,'Model Modeshare by TAZ'!D:D)</f>
        <v>NO</v>
      </c>
      <c r="D2104" s="6">
        <v>5</v>
      </c>
      <c r="E2104" s="6">
        <v>2770</v>
      </c>
      <c r="F2104" s="6">
        <v>5691</v>
      </c>
      <c r="G2104" s="6">
        <v>5694</v>
      </c>
      <c r="H2104" s="6">
        <v>3061</v>
      </c>
      <c r="I2104" s="6">
        <v>1376</v>
      </c>
      <c r="J2104" s="6">
        <v>1394</v>
      </c>
      <c r="K2104" s="40">
        <v>340</v>
      </c>
      <c r="L2104" s="40">
        <v>24</v>
      </c>
      <c r="M2104" s="40">
        <v>876</v>
      </c>
      <c r="N2104" s="40">
        <v>72</v>
      </c>
      <c r="O2104" s="40">
        <v>83</v>
      </c>
      <c r="P2104" s="40">
        <v>525</v>
      </c>
      <c r="Q2104" s="40">
        <v>10</v>
      </c>
      <c r="R2104" s="40">
        <v>185</v>
      </c>
      <c r="S2104" s="40">
        <v>0</v>
      </c>
    </row>
    <row r="2105" spans="1:19" x14ac:dyDescent="0.35">
      <c r="A2105" s="38">
        <v>2468</v>
      </c>
      <c r="B2105" s="38" t="str">
        <f>_xlfn.XLOOKUP(A2105,'Model Modeshare by TAZ'!A:A,'Model Modeshare by TAZ'!B:B)</f>
        <v>Walnut Creek</v>
      </c>
      <c r="C2105" s="38" t="str">
        <f>_xlfn.XLOOKUP(A2105,'Model Modeshare by TAZ'!A:A,'Model Modeshare by TAZ'!D:D)</f>
        <v>NO</v>
      </c>
      <c r="D2105" s="6">
        <v>5</v>
      </c>
      <c r="E2105" s="6">
        <v>2567</v>
      </c>
      <c r="F2105" s="6">
        <v>5673</v>
      </c>
      <c r="G2105" s="6">
        <v>5673</v>
      </c>
      <c r="H2105" s="6">
        <v>3246</v>
      </c>
      <c r="I2105" s="6">
        <v>1275</v>
      </c>
      <c r="J2105" s="6">
        <v>1292</v>
      </c>
      <c r="K2105" s="40">
        <v>272</v>
      </c>
      <c r="L2105" s="40">
        <v>54</v>
      </c>
      <c r="M2105" s="40">
        <v>2008</v>
      </c>
      <c r="N2105" s="40">
        <v>166</v>
      </c>
      <c r="O2105" s="40">
        <v>190</v>
      </c>
      <c r="P2105" s="40">
        <v>1204</v>
      </c>
      <c r="Q2105" s="40">
        <v>23</v>
      </c>
      <c r="R2105" s="40">
        <v>425</v>
      </c>
      <c r="S2105" s="40">
        <v>1</v>
      </c>
    </row>
    <row r="2106" spans="1:19" x14ac:dyDescent="0.35">
      <c r="A2106" s="38">
        <v>2469</v>
      </c>
      <c r="B2106" s="38" t="str">
        <f>_xlfn.XLOOKUP(A2106,'Model Modeshare by TAZ'!A:A,'Model Modeshare by TAZ'!B:B)</f>
        <v>Walnut Creek</v>
      </c>
      <c r="C2106" s="38" t="str">
        <f>_xlfn.XLOOKUP(A2106,'Model Modeshare by TAZ'!A:A,'Model Modeshare by TAZ'!D:D)</f>
        <v>NO</v>
      </c>
      <c r="D2106" s="6">
        <v>5</v>
      </c>
      <c r="E2106" s="6">
        <v>1398</v>
      </c>
      <c r="F2106" s="6">
        <v>3521</v>
      </c>
      <c r="G2106" s="6">
        <v>3700</v>
      </c>
      <c r="H2106" s="6">
        <v>1649</v>
      </c>
      <c r="I2106" s="6">
        <v>1261</v>
      </c>
      <c r="J2106" s="6">
        <v>137</v>
      </c>
      <c r="K2106" s="40">
        <v>431</v>
      </c>
      <c r="L2106" s="40">
        <v>338</v>
      </c>
      <c r="M2106" s="40">
        <v>7004</v>
      </c>
      <c r="N2106" s="40">
        <v>545</v>
      </c>
      <c r="O2106" s="40">
        <v>2657</v>
      </c>
      <c r="P2106" s="40">
        <v>2114</v>
      </c>
      <c r="Q2106" s="40">
        <v>127</v>
      </c>
      <c r="R2106" s="40">
        <v>1152</v>
      </c>
      <c r="S2106" s="40">
        <v>408</v>
      </c>
    </row>
    <row r="2107" spans="1:19" x14ac:dyDescent="0.35">
      <c r="A2107" s="38">
        <v>2470</v>
      </c>
      <c r="B2107" s="38" t="str">
        <f>_xlfn.XLOOKUP(A2107,'Model Modeshare by TAZ'!A:A,'Model Modeshare by TAZ'!B:B)</f>
        <v>Walnut Creek</v>
      </c>
      <c r="C2107" s="38" t="str">
        <f>_xlfn.XLOOKUP(A2107,'Model Modeshare by TAZ'!A:A,'Model Modeshare by TAZ'!D:D)</f>
        <v>NO</v>
      </c>
      <c r="D2107" s="6">
        <v>5</v>
      </c>
      <c r="E2107" s="6">
        <v>2279</v>
      </c>
      <c r="F2107" s="6">
        <v>5856</v>
      </c>
      <c r="G2107" s="6">
        <v>5904</v>
      </c>
      <c r="H2107" s="6">
        <v>2690</v>
      </c>
      <c r="I2107" s="6">
        <v>1930</v>
      </c>
      <c r="J2107" s="6">
        <v>349</v>
      </c>
      <c r="K2107" s="40">
        <v>571</v>
      </c>
      <c r="L2107" s="40">
        <v>38</v>
      </c>
      <c r="M2107" s="40">
        <v>1264</v>
      </c>
      <c r="N2107" s="40">
        <v>240</v>
      </c>
      <c r="O2107" s="40">
        <v>675</v>
      </c>
      <c r="P2107" s="40">
        <v>274</v>
      </c>
      <c r="Q2107" s="40">
        <v>9</v>
      </c>
      <c r="R2107" s="40">
        <v>17</v>
      </c>
      <c r="S2107" s="40">
        <v>49</v>
      </c>
    </row>
    <row r="2108" spans="1:19" x14ac:dyDescent="0.35">
      <c r="A2108" s="38">
        <v>2471</v>
      </c>
      <c r="B2108" s="38" t="str">
        <f>_xlfn.XLOOKUP(A2108,'Model Modeshare by TAZ'!A:A,'Model Modeshare by TAZ'!B:B)</f>
        <v>Walnut Creek</v>
      </c>
      <c r="C2108" s="38" t="str">
        <f>_xlfn.XLOOKUP(A2108,'Model Modeshare by TAZ'!A:A,'Model Modeshare by TAZ'!D:D)</f>
        <v>NO</v>
      </c>
      <c r="D2108" s="6">
        <v>5</v>
      </c>
      <c r="E2108" s="6">
        <v>1198</v>
      </c>
      <c r="F2108" s="6">
        <v>3451</v>
      </c>
      <c r="G2108" s="6">
        <v>3469</v>
      </c>
      <c r="H2108" s="6">
        <v>1600</v>
      </c>
      <c r="I2108" s="6">
        <v>1195</v>
      </c>
      <c r="J2108" s="6">
        <v>3</v>
      </c>
      <c r="K2108" s="40">
        <v>403</v>
      </c>
      <c r="L2108" s="40">
        <v>9</v>
      </c>
      <c r="M2108" s="40">
        <v>225</v>
      </c>
      <c r="N2108" s="40">
        <v>45</v>
      </c>
      <c r="O2108" s="40">
        <v>134</v>
      </c>
      <c r="P2108" s="40">
        <v>39</v>
      </c>
      <c r="Q2108" s="40">
        <v>2</v>
      </c>
      <c r="R2108" s="40">
        <v>4</v>
      </c>
      <c r="S2108" s="40">
        <v>2</v>
      </c>
    </row>
    <row r="2109" spans="1:19" x14ac:dyDescent="0.35">
      <c r="A2109" s="38">
        <v>2472</v>
      </c>
      <c r="B2109" s="38" t="str">
        <f>_xlfn.XLOOKUP(A2109,'Model Modeshare by TAZ'!A:A,'Model Modeshare by TAZ'!B:B)</f>
        <v>Walnut Creek</v>
      </c>
      <c r="C2109" s="38" t="str">
        <f>_xlfn.XLOOKUP(A2109,'Model Modeshare by TAZ'!A:A,'Model Modeshare by TAZ'!D:D)</f>
        <v>NO</v>
      </c>
      <c r="D2109" s="6">
        <v>5</v>
      </c>
      <c r="E2109" s="6">
        <v>1071</v>
      </c>
      <c r="F2109" s="6">
        <v>2855</v>
      </c>
      <c r="G2109" s="6">
        <v>2904</v>
      </c>
      <c r="H2109" s="6">
        <v>1154</v>
      </c>
      <c r="I2109" s="6">
        <v>1062</v>
      </c>
      <c r="J2109" s="6">
        <v>9</v>
      </c>
      <c r="K2109" s="40">
        <v>299</v>
      </c>
      <c r="L2109" s="40">
        <v>75</v>
      </c>
      <c r="M2109" s="40">
        <v>1158</v>
      </c>
      <c r="N2109" s="40">
        <v>242</v>
      </c>
      <c r="O2109" s="40">
        <v>731</v>
      </c>
      <c r="P2109" s="40">
        <v>130</v>
      </c>
      <c r="Q2109" s="40">
        <v>4</v>
      </c>
      <c r="R2109" s="40">
        <v>14</v>
      </c>
      <c r="S2109" s="40">
        <v>37</v>
      </c>
    </row>
    <row r="2110" spans="1:19" x14ac:dyDescent="0.35">
      <c r="A2110" s="38">
        <v>2473</v>
      </c>
      <c r="B2110" s="38" t="str">
        <f>_xlfn.XLOOKUP(A2110,'Model Modeshare by TAZ'!A:A,'Model Modeshare by TAZ'!B:B)</f>
        <v>Walnut Creek</v>
      </c>
      <c r="C2110" s="38" t="str">
        <f>_xlfn.XLOOKUP(A2110,'Model Modeshare by TAZ'!A:A,'Model Modeshare by TAZ'!D:D)</f>
        <v>NO</v>
      </c>
      <c r="D2110" s="6">
        <v>5</v>
      </c>
      <c r="E2110" s="6">
        <v>2119</v>
      </c>
      <c r="F2110" s="6">
        <v>6141</v>
      </c>
      <c r="G2110" s="6">
        <v>6212</v>
      </c>
      <c r="H2110" s="6">
        <v>2684</v>
      </c>
      <c r="I2110" s="6">
        <v>1976</v>
      </c>
      <c r="J2110" s="6">
        <v>143</v>
      </c>
      <c r="K2110" s="40">
        <v>787</v>
      </c>
      <c r="L2110" s="40">
        <v>105</v>
      </c>
      <c r="M2110" s="40">
        <v>4488</v>
      </c>
      <c r="N2110" s="40">
        <v>259</v>
      </c>
      <c r="O2110" s="40">
        <v>2888</v>
      </c>
      <c r="P2110" s="40">
        <v>1252</v>
      </c>
      <c r="Q2110" s="40">
        <v>4</v>
      </c>
      <c r="R2110" s="40">
        <v>21</v>
      </c>
      <c r="S2110" s="40">
        <v>64</v>
      </c>
    </row>
    <row r="2111" spans="1:19" x14ac:dyDescent="0.35">
      <c r="A2111" s="38">
        <v>2474</v>
      </c>
      <c r="B2111" s="38" t="str">
        <f>_xlfn.XLOOKUP(A2111,'Model Modeshare by TAZ'!A:A,'Model Modeshare by TAZ'!B:B)</f>
        <v>Walnut Creek</v>
      </c>
      <c r="C2111" s="38" t="str">
        <f>_xlfn.XLOOKUP(A2111,'Model Modeshare by TAZ'!A:A,'Model Modeshare by TAZ'!D:D)</f>
        <v>NO</v>
      </c>
      <c r="D2111" s="6">
        <v>5</v>
      </c>
      <c r="E2111" s="6">
        <v>1486</v>
      </c>
      <c r="F2111" s="6">
        <v>3897</v>
      </c>
      <c r="G2111" s="6">
        <v>3906</v>
      </c>
      <c r="H2111" s="6">
        <v>1999</v>
      </c>
      <c r="I2111" s="6">
        <v>1333</v>
      </c>
      <c r="J2111" s="6">
        <v>153</v>
      </c>
      <c r="K2111" s="40">
        <v>625</v>
      </c>
      <c r="L2111" s="40">
        <v>9</v>
      </c>
      <c r="M2111" s="40">
        <v>343</v>
      </c>
      <c r="N2111" s="40">
        <v>30</v>
      </c>
      <c r="O2111" s="40">
        <v>150</v>
      </c>
      <c r="P2111" s="40">
        <v>145</v>
      </c>
      <c r="Q2111" s="40">
        <v>1</v>
      </c>
      <c r="R2111" s="40">
        <v>7</v>
      </c>
      <c r="S2111" s="40">
        <v>9</v>
      </c>
    </row>
    <row r="2112" spans="1:19" x14ac:dyDescent="0.35">
      <c r="A2112" s="38">
        <v>2475</v>
      </c>
      <c r="B2112" s="38" t="str">
        <f>_xlfn.XLOOKUP(A2112,'Model Modeshare by TAZ'!A:A,'Model Modeshare by TAZ'!B:B)</f>
        <v>Walnut Creek</v>
      </c>
      <c r="C2112" s="38" t="str">
        <f>_xlfn.XLOOKUP(A2112,'Model Modeshare by TAZ'!A:A,'Model Modeshare by TAZ'!D:D)</f>
        <v>NO</v>
      </c>
      <c r="D2112" s="6">
        <v>5</v>
      </c>
      <c r="E2112" s="6">
        <v>1894</v>
      </c>
      <c r="F2112" s="6">
        <v>4612</v>
      </c>
      <c r="G2112" s="6">
        <v>4812</v>
      </c>
      <c r="H2112" s="6">
        <v>2171</v>
      </c>
      <c r="I2112" s="6">
        <v>1259</v>
      </c>
      <c r="J2112" s="6">
        <v>635</v>
      </c>
      <c r="K2112" s="40">
        <v>493</v>
      </c>
      <c r="L2112" s="40">
        <v>55</v>
      </c>
      <c r="M2112" s="40">
        <v>1525</v>
      </c>
      <c r="N2112" s="40">
        <v>157</v>
      </c>
      <c r="O2112" s="40">
        <v>908</v>
      </c>
      <c r="P2112" s="40">
        <v>436</v>
      </c>
      <c r="Q2112" s="40">
        <v>8</v>
      </c>
      <c r="R2112" s="40">
        <v>7</v>
      </c>
      <c r="S2112" s="40">
        <v>9</v>
      </c>
    </row>
    <row r="2113" spans="1:19" x14ac:dyDescent="0.35">
      <c r="A2113" s="38">
        <v>2476</v>
      </c>
      <c r="B2113" s="38" t="str">
        <f>_xlfn.XLOOKUP(A2113,'Model Modeshare by TAZ'!A:A,'Model Modeshare by TAZ'!B:B)</f>
        <v>Walnut Creek</v>
      </c>
      <c r="C2113" s="38" t="str">
        <f>_xlfn.XLOOKUP(A2113,'Model Modeshare by TAZ'!A:A,'Model Modeshare by TAZ'!D:D)</f>
        <v>NO</v>
      </c>
      <c r="D2113" s="6">
        <v>5</v>
      </c>
      <c r="E2113" s="6">
        <v>2094</v>
      </c>
      <c r="F2113" s="6">
        <v>4797</v>
      </c>
      <c r="G2113" s="6">
        <v>4803</v>
      </c>
      <c r="H2113" s="6">
        <v>2387</v>
      </c>
      <c r="I2113" s="6">
        <v>1211</v>
      </c>
      <c r="J2113" s="6">
        <v>883</v>
      </c>
      <c r="K2113" s="40">
        <v>499</v>
      </c>
      <c r="L2113" s="40">
        <v>36</v>
      </c>
      <c r="M2113" s="40">
        <v>3061</v>
      </c>
      <c r="N2113" s="40">
        <v>24</v>
      </c>
      <c r="O2113" s="40">
        <v>2617</v>
      </c>
      <c r="P2113" s="40">
        <v>46</v>
      </c>
      <c r="Q2113" s="40">
        <v>68</v>
      </c>
      <c r="R2113" s="40">
        <v>291</v>
      </c>
      <c r="S2113" s="40">
        <v>15</v>
      </c>
    </row>
    <row r="2114" spans="1:19" x14ac:dyDescent="0.35">
      <c r="A2114" s="38">
        <v>2477</v>
      </c>
      <c r="B2114" s="38" t="str">
        <f>_xlfn.XLOOKUP(A2114,'Model Modeshare by TAZ'!A:A,'Model Modeshare by TAZ'!B:B)</f>
        <v>Walnut Creek</v>
      </c>
      <c r="C2114" s="38" t="str">
        <f>_xlfn.XLOOKUP(A2114,'Model Modeshare by TAZ'!A:A,'Model Modeshare by TAZ'!D:D)</f>
        <v>NO</v>
      </c>
      <c r="D2114" s="6">
        <v>5</v>
      </c>
      <c r="E2114" s="6">
        <v>3530</v>
      </c>
      <c r="F2114" s="6">
        <v>6966</v>
      </c>
      <c r="G2114" s="6">
        <v>6966</v>
      </c>
      <c r="H2114" s="6">
        <v>4110</v>
      </c>
      <c r="I2114" s="6">
        <v>404</v>
      </c>
      <c r="J2114" s="6">
        <v>3126</v>
      </c>
      <c r="K2114" s="40">
        <v>202</v>
      </c>
      <c r="L2114" s="40">
        <v>209</v>
      </c>
      <c r="M2114" s="40">
        <v>18989</v>
      </c>
      <c r="N2114" s="40">
        <v>3875</v>
      </c>
      <c r="O2114" s="40">
        <v>8923</v>
      </c>
      <c r="P2114" s="40">
        <v>5095</v>
      </c>
      <c r="Q2114" s="40">
        <v>11</v>
      </c>
      <c r="R2114" s="40">
        <v>805</v>
      </c>
      <c r="S2114" s="40">
        <v>280</v>
      </c>
    </row>
    <row r="2115" spans="1:19" x14ac:dyDescent="0.35">
      <c r="A2115" s="38">
        <v>2478</v>
      </c>
      <c r="B2115" s="38" t="str">
        <f>_xlfn.XLOOKUP(A2115,'Model Modeshare by TAZ'!A:A,'Model Modeshare by TAZ'!B:B)</f>
        <v>Walnut Creek</v>
      </c>
      <c r="C2115" s="38" t="str">
        <f>_xlfn.XLOOKUP(A2115,'Model Modeshare by TAZ'!A:A,'Model Modeshare by TAZ'!D:D)</f>
        <v>NO</v>
      </c>
      <c r="D2115" s="6">
        <v>5</v>
      </c>
      <c r="E2115" s="6">
        <v>1821</v>
      </c>
      <c r="F2115" s="6">
        <v>3238</v>
      </c>
      <c r="G2115" s="6">
        <v>3243</v>
      </c>
      <c r="H2115" s="6">
        <v>2205</v>
      </c>
      <c r="I2115" s="6">
        <v>208</v>
      </c>
      <c r="J2115" s="6">
        <v>1613</v>
      </c>
      <c r="K2115" s="40">
        <v>113</v>
      </c>
      <c r="L2115" s="40">
        <v>97</v>
      </c>
      <c r="M2115" s="40">
        <v>9838</v>
      </c>
      <c r="N2115" s="40">
        <v>2008</v>
      </c>
      <c r="O2115" s="40">
        <v>4622</v>
      </c>
      <c r="P2115" s="40">
        <v>2641</v>
      </c>
      <c r="Q2115" s="40">
        <v>5</v>
      </c>
      <c r="R2115" s="40">
        <v>417</v>
      </c>
      <c r="S2115" s="40">
        <v>144</v>
      </c>
    </row>
    <row r="2116" spans="1:19" x14ac:dyDescent="0.35">
      <c r="A2116" s="38">
        <v>2479</v>
      </c>
      <c r="B2116" s="38" t="str">
        <f>_xlfn.XLOOKUP(A2116,'Model Modeshare by TAZ'!A:A,'Model Modeshare by TAZ'!B:B)</f>
        <v>Unincorporated</v>
      </c>
      <c r="C2116" s="38" t="str">
        <f>_xlfn.XLOOKUP(A2116,'Model Modeshare by TAZ'!A:A,'Model Modeshare by TAZ'!D:D)</f>
        <v>NO</v>
      </c>
      <c r="D2116" s="6">
        <v>5</v>
      </c>
      <c r="E2116" s="6">
        <v>2272</v>
      </c>
      <c r="F2116" s="6">
        <v>5955</v>
      </c>
      <c r="G2116" s="6">
        <v>6328</v>
      </c>
      <c r="H2116" s="6">
        <v>2606</v>
      </c>
      <c r="I2116" s="6">
        <v>1899</v>
      </c>
      <c r="J2116" s="6">
        <v>373</v>
      </c>
      <c r="K2116" s="40">
        <v>980</v>
      </c>
      <c r="L2116" s="40">
        <v>58</v>
      </c>
      <c r="M2116" s="40">
        <v>1467</v>
      </c>
      <c r="N2116" s="40">
        <v>225</v>
      </c>
      <c r="O2116" s="40">
        <v>501</v>
      </c>
      <c r="P2116" s="40">
        <v>640</v>
      </c>
      <c r="Q2116" s="40">
        <v>7</v>
      </c>
      <c r="R2116" s="40">
        <v>12</v>
      </c>
      <c r="S2116" s="40">
        <v>82</v>
      </c>
    </row>
    <row r="2117" spans="1:19" x14ac:dyDescent="0.35">
      <c r="A2117" s="38">
        <v>2480</v>
      </c>
      <c r="B2117" s="38" t="str">
        <f>_xlfn.XLOOKUP(A2117,'Model Modeshare by TAZ'!A:A,'Model Modeshare by TAZ'!B:B)</f>
        <v>Walnut Creek</v>
      </c>
      <c r="C2117" s="38" t="str">
        <f>_xlfn.XLOOKUP(A2117,'Model Modeshare by TAZ'!A:A,'Model Modeshare by TAZ'!D:D)</f>
        <v>NO</v>
      </c>
      <c r="D2117" s="6">
        <v>5</v>
      </c>
      <c r="E2117" s="6">
        <v>5904</v>
      </c>
      <c r="F2117" s="6">
        <v>8053</v>
      </c>
      <c r="G2117" s="6">
        <v>8166</v>
      </c>
      <c r="H2117" s="6">
        <v>1183</v>
      </c>
      <c r="I2117" s="6">
        <v>1170</v>
      </c>
      <c r="J2117" s="6">
        <v>4734</v>
      </c>
      <c r="K2117" s="40">
        <v>1089</v>
      </c>
      <c r="L2117" s="40">
        <v>60</v>
      </c>
      <c r="M2117" s="40">
        <v>1226</v>
      </c>
      <c r="N2117" s="40">
        <v>44</v>
      </c>
      <c r="O2117" s="40">
        <v>448</v>
      </c>
      <c r="P2117" s="40">
        <v>709</v>
      </c>
      <c r="Q2117" s="40">
        <v>13</v>
      </c>
      <c r="R2117" s="40">
        <v>5</v>
      </c>
      <c r="S2117" s="40">
        <v>7</v>
      </c>
    </row>
    <row r="2118" spans="1:19" x14ac:dyDescent="0.35">
      <c r="A2118" s="38">
        <v>2481</v>
      </c>
      <c r="B2118" s="38" t="str">
        <f>_xlfn.XLOOKUP(A2118,'Model Modeshare by TAZ'!A:A,'Model Modeshare by TAZ'!B:B)</f>
        <v>Unincorporated</v>
      </c>
      <c r="C2118" s="38" t="str">
        <f>_xlfn.XLOOKUP(A2118,'Model Modeshare by TAZ'!A:A,'Model Modeshare by TAZ'!D:D)</f>
        <v>NO</v>
      </c>
      <c r="D2118" s="6">
        <v>5</v>
      </c>
      <c r="E2118" s="6">
        <v>2087</v>
      </c>
      <c r="F2118" s="6">
        <v>5444</v>
      </c>
      <c r="G2118" s="6">
        <v>5482</v>
      </c>
      <c r="H2118" s="6">
        <v>2813</v>
      </c>
      <c r="I2118" s="6">
        <v>1516</v>
      </c>
      <c r="J2118" s="6">
        <v>571</v>
      </c>
      <c r="K2118" s="40">
        <v>598</v>
      </c>
      <c r="L2118" s="40">
        <v>62</v>
      </c>
      <c r="M2118" s="40">
        <v>1239</v>
      </c>
      <c r="N2118" s="40">
        <v>141</v>
      </c>
      <c r="O2118" s="40">
        <v>385</v>
      </c>
      <c r="P2118" s="40">
        <v>198</v>
      </c>
      <c r="Q2118" s="40">
        <v>5</v>
      </c>
      <c r="R2118" s="40">
        <v>487</v>
      </c>
      <c r="S2118" s="40">
        <v>23</v>
      </c>
    </row>
    <row r="2119" spans="1:19" x14ac:dyDescent="0.35">
      <c r="A2119" s="38">
        <v>2482</v>
      </c>
      <c r="B2119" s="38" t="str">
        <f>_xlfn.XLOOKUP(A2119,'Model Modeshare by TAZ'!A:A,'Model Modeshare by TAZ'!B:B)</f>
        <v>Lafayette</v>
      </c>
      <c r="C2119" s="38" t="str">
        <f>_xlfn.XLOOKUP(A2119,'Model Modeshare by TAZ'!A:A,'Model Modeshare by TAZ'!D:D)</f>
        <v>NO</v>
      </c>
      <c r="D2119" s="6">
        <v>5</v>
      </c>
      <c r="E2119" s="6">
        <v>2057</v>
      </c>
      <c r="F2119" s="6">
        <v>5511</v>
      </c>
      <c r="G2119" s="6">
        <v>5564</v>
      </c>
      <c r="H2119" s="6">
        <v>2592</v>
      </c>
      <c r="I2119" s="6">
        <v>1373</v>
      </c>
      <c r="J2119" s="6">
        <v>684</v>
      </c>
      <c r="K2119" s="40">
        <v>541</v>
      </c>
      <c r="L2119" s="40">
        <v>81</v>
      </c>
      <c r="M2119" s="40">
        <v>4418</v>
      </c>
      <c r="N2119" s="40">
        <v>1881</v>
      </c>
      <c r="O2119" s="40">
        <v>1365</v>
      </c>
      <c r="P2119" s="40">
        <v>904</v>
      </c>
      <c r="Q2119" s="40">
        <v>27</v>
      </c>
      <c r="R2119" s="40">
        <v>105</v>
      </c>
      <c r="S2119" s="40">
        <v>135</v>
      </c>
    </row>
    <row r="2120" spans="1:19" x14ac:dyDescent="0.35">
      <c r="A2120" s="38">
        <v>2483</v>
      </c>
      <c r="B2120" s="38" t="str">
        <f>_xlfn.XLOOKUP(A2120,'Model Modeshare by TAZ'!A:A,'Model Modeshare by TAZ'!B:B)</f>
        <v>Lafayette</v>
      </c>
      <c r="C2120" s="38" t="str">
        <f>_xlfn.XLOOKUP(A2120,'Model Modeshare by TAZ'!A:A,'Model Modeshare by TAZ'!D:D)</f>
        <v>NO</v>
      </c>
      <c r="D2120" s="6">
        <v>5</v>
      </c>
      <c r="E2120" s="6">
        <v>2132</v>
      </c>
      <c r="F2120" s="6">
        <v>5986</v>
      </c>
      <c r="G2120" s="6">
        <v>6003</v>
      </c>
      <c r="H2120" s="6">
        <v>2737</v>
      </c>
      <c r="I2120" s="6">
        <v>2123</v>
      </c>
      <c r="J2120" s="6">
        <v>9</v>
      </c>
      <c r="K2120" s="40">
        <v>1146</v>
      </c>
      <c r="L2120" s="40">
        <v>124</v>
      </c>
      <c r="M2120" s="40">
        <v>428</v>
      </c>
      <c r="N2120" s="40">
        <v>138</v>
      </c>
      <c r="O2120" s="40">
        <v>176</v>
      </c>
      <c r="P2120" s="40">
        <v>95</v>
      </c>
      <c r="Q2120" s="40">
        <v>3</v>
      </c>
      <c r="R2120" s="40">
        <v>5</v>
      </c>
      <c r="S2120" s="40">
        <v>10</v>
      </c>
    </row>
    <row r="2121" spans="1:19" x14ac:dyDescent="0.35">
      <c r="A2121" s="38">
        <v>2484</v>
      </c>
      <c r="B2121" s="38" t="str">
        <f>_xlfn.XLOOKUP(A2121,'Model Modeshare by TAZ'!A:A,'Model Modeshare by TAZ'!B:B)</f>
        <v>Lafayette</v>
      </c>
      <c r="C2121" s="38" t="str">
        <f>_xlfn.XLOOKUP(A2121,'Model Modeshare by TAZ'!A:A,'Model Modeshare by TAZ'!D:D)</f>
        <v>NO</v>
      </c>
      <c r="D2121" s="6">
        <v>5</v>
      </c>
      <c r="E2121" s="6">
        <v>2591</v>
      </c>
      <c r="F2121" s="6">
        <v>6459</v>
      </c>
      <c r="G2121" s="6">
        <v>6475</v>
      </c>
      <c r="H2121" s="6">
        <v>3134</v>
      </c>
      <c r="I2121" s="6">
        <v>1624</v>
      </c>
      <c r="J2121" s="6">
        <v>967</v>
      </c>
      <c r="K2121" s="40">
        <v>640</v>
      </c>
      <c r="L2121" s="40">
        <v>144</v>
      </c>
      <c r="M2121" s="40">
        <v>4058</v>
      </c>
      <c r="N2121" s="40">
        <v>913</v>
      </c>
      <c r="O2121" s="40">
        <v>2060</v>
      </c>
      <c r="P2121" s="40">
        <v>837</v>
      </c>
      <c r="Q2121" s="40">
        <v>14</v>
      </c>
      <c r="R2121" s="40">
        <v>140</v>
      </c>
      <c r="S2121" s="40">
        <v>95</v>
      </c>
    </row>
    <row r="2122" spans="1:19" x14ac:dyDescent="0.35">
      <c r="A2122" s="38">
        <v>2485</v>
      </c>
      <c r="B2122" s="38" t="str">
        <f>_xlfn.XLOOKUP(A2122,'Model Modeshare by TAZ'!A:A,'Model Modeshare by TAZ'!B:B)</f>
        <v>Orinda</v>
      </c>
      <c r="C2122" s="38" t="str">
        <f>_xlfn.XLOOKUP(A2122,'Model Modeshare by TAZ'!A:A,'Model Modeshare by TAZ'!D:D)</f>
        <v>NO</v>
      </c>
      <c r="D2122" s="6">
        <v>5</v>
      </c>
      <c r="E2122" s="6">
        <v>1513</v>
      </c>
      <c r="F2122" s="6">
        <v>4352</v>
      </c>
      <c r="G2122" s="6">
        <v>4370</v>
      </c>
      <c r="H2122" s="6">
        <v>2057</v>
      </c>
      <c r="I2122" s="6">
        <v>1500</v>
      </c>
      <c r="J2122" s="6">
        <v>13</v>
      </c>
      <c r="K2122" s="40">
        <v>945</v>
      </c>
      <c r="L2122" s="40">
        <v>26</v>
      </c>
      <c r="M2122" s="40">
        <v>1228</v>
      </c>
      <c r="N2122" s="40">
        <v>312</v>
      </c>
      <c r="O2122" s="40">
        <v>453</v>
      </c>
      <c r="P2122" s="40">
        <v>385</v>
      </c>
      <c r="Q2122" s="40">
        <v>8</v>
      </c>
      <c r="R2122" s="40">
        <v>49</v>
      </c>
      <c r="S2122" s="40">
        <v>20</v>
      </c>
    </row>
    <row r="2123" spans="1:19" x14ac:dyDescent="0.35">
      <c r="A2123" s="38">
        <v>2486</v>
      </c>
      <c r="B2123" s="38" t="str">
        <f>_xlfn.XLOOKUP(A2123,'Model Modeshare by TAZ'!A:A,'Model Modeshare by TAZ'!B:B)</f>
        <v>Orinda</v>
      </c>
      <c r="C2123" s="38" t="str">
        <f>_xlfn.XLOOKUP(A2123,'Model Modeshare by TAZ'!A:A,'Model Modeshare by TAZ'!D:D)</f>
        <v>NO</v>
      </c>
      <c r="D2123" s="6">
        <v>5</v>
      </c>
      <c r="E2123" s="6">
        <v>2595</v>
      </c>
      <c r="F2123" s="6">
        <v>6538</v>
      </c>
      <c r="G2123" s="6">
        <v>6581</v>
      </c>
      <c r="H2123" s="6">
        <v>2820</v>
      </c>
      <c r="I2123" s="6">
        <v>2406</v>
      </c>
      <c r="J2123" s="6">
        <v>189</v>
      </c>
      <c r="K2123" s="40">
        <v>2050</v>
      </c>
      <c r="L2123" s="40">
        <v>117</v>
      </c>
      <c r="M2123" s="40">
        <v>2325</v>
      </c>
      <c r="N2123" s="40">
        <v>463</v>
      </c>
      <c r="O2123" s="40">
        <v>1243</v>
      </c>
      <c r="P2123" s="40">
        <v>447</v>
      </c>
      <c r="Q2123" s="40">
        <v>18</v>
      </c>
      <c r="R2123" s="40">
        <v>106</v>
      </c>
      <c r="S2123" s="40">
        <v>48</v>
      </c>
    </row>
    <row r="2124" spans="1:19" x14ac:dyDescent="0.35">
      <c r="A2124" s="38">
        <v>2487</v>
      </c>
      <c r="B2124" s="38" t="str">
        <f>_xlfn.XLOOKUP(A2124,'Model Modeshare by TAZ'!A:A,'Model Modeshare by TAZ'!B:B)</f>
        <v>Unincorporated</v>
      </c>
      <c r="C2124" s="38" t="str">
        <f>_xlfn.XLOOKUP(A2124,'Model Modeshare by TAZ'!A:A,'Model Modeshare by TAZ'!D:D)</f>
        <v>NO</v>
      </c>
      <c r="D2124" s="6">
        <v>5</v>
      </c>
      <c r="E2124" s="6">
        <v>731</v>
      </c>
      <c r="F2124" s="6">
        <v>2064</v>
      </c>
      <c r="G2124" s="6">
        <v>2064</v>
      </c>
      <c r="H2124" s="6">
        <v>973</v>
      </c>
      <c r="I2124" s="6">
        <v>706</v>
      </c>
      <c r="J2124" s="6">
        <v>25</v>
      </c>
      <c r="K2124" s="40">
        <v>370</v>
      </c>
      <c r="L2124" s="40">
        <v>48</v>
      </c>
      <c r="M2124" s="40">
        <v>153</v>
      </c>
      <c r="N2124" s="40">
        <v>46</v>
      </c>
      <c r="O2124" s="40">
        <v>48</v>
      </c>
      <c r="P2124" s="40">
        <v>55</v>
      </c>
      <c r="Q2124" s="40">
        <v>0</v>
      </c>
      <c r="R2124" s="40">
        <v>0</v>
      </c>
      <c r="S2124" s="40">
        <v>4</v>
      </c>
    </row>
    <row r="2125" spans="1:19" x14ac:dyDescent="0.35">
      <c r="A2125" s="38">
        <v>2488</v>
      </c>
      <c r="B2125" s="38" t="str">
        <f>_xlfn.XLOOKUP(A2125,'Model Modeshare by TAZ'!A:A,'Model Modeshare by TAZ'!B:B)</f>
        <v>Orinda</v>
      </c>
      <c r="C2125" s="38" t="str">
        <f>_xlfn.XLOOKUP(A2125,'Model Modeshare by TAZ'!A:A,'Model Modeshare by TAZ'!D:D)</f>
        <v>NO</v>
      </c>
      <c r="D2125" s="6">
        <v>5</v>
      </c>
      <c r="E2125" s="6">
        <v>1337</v>
      </c>
      <c r="F2125" s="6">
        <v>3756</v>
      </c>
      <c r="G2125" s="6">
        <v>3756</v>
      </c>
      <c r="H2125" s="6">
        <v>1727</v>
      </c>
      <c r="I2125" s="6">
        <v>1217</v>
      </c>
      <c r="J2125" s="6">
        <v>120</v>
      </c>
      <c r="K2125" s="40">
        <v>790</v>
      </c>
      <c r="L2125" s="40">
        <v>25</v>
      </c>
      <c r="M2125" s="40">
        <v>793</v>
      </c>
      <c r="N2125" s="40">
        <v>180</v>
      </c>
      <c r="O2125" s="40">
        <v>465</v>
      </c>
      <c r="P2125" s="40">
        <v>106</v>
      </c>
      <c r="Q2125" s="40">
        <v>21</v>
      </c>
      <c r="R2125" s="40">
        <v>11</v>
      </c>
      <c r="S2125" s="40">
        <v>10</v>
      </c>
    </row>
    <row r="2126" spans="1:19" x14ac:dyDescent="0.35">
      <c r="A2126" s="38">
        <v>2489</v>
      </c>
      <c r="B2126" s="38" t="str">
        <f>_xlfn.XLOOKUP(A2126,'Model Modeshare by TAZ'!A:A,'Model Modeshare by TAZ'!B:B)</f>
        <v>Unincorporated</v>
      </c>
      <c r="C2126" s="38" t="str">
        <f>_xlfn.XLOOKUP(A2126,'Model Modeshare by TAZ'!A:A,'Model Modeshare by TAZ'!D:D)</f>
        <v>NO</v>
      </c>
      <c r="D2126" s="6">
        <v>5</v>
      </c>
      <c r="E2126" s="6">
        <v>1032</v>
      </c>
      <c r="F2126" s="6">
        <v>2466</v>
      </c>
      <c r="G2126" s="6">
        <v>2542</v>
      </c>
      <c r="H2126" s="6">
        <v>1163</v>
      </c>
      <c r="I2126" s="6">
        <v>981</v>
      </c>
      <c r="J2126" s="6">
        <v>51</v>
      </c>
      <c r="K2126" s="40">
        <v>241</v>
      </c>
      <c r="L2126" s="40">
        <v>69</v>
      </c>
      <c r="M2126" s="40">
        <v>1256</v>
      </c>
      <c r="N2126" s="40">
        <v>248</v>
      </c>
      <c r="O2126" s="40">
        <v>439</v>
      </c>
      <c r="P2126" s="40">
        <v>240</v>
      </c>
      <c r="Q2126" s="40">
        <v>19</v>
      </c>
      <c r="R2126" s="40">
        <v>307</v>
      </c>
      <c r="S2126" s="40">
        <v>3</v>
      </c>
    </row>
    <row r="2127" spans="1:19" x14ac:dyDescent="0.35">
      <c r="A2127" s="38">
        <v>2490</v>
      </c>
      <c r="B2127" s="38" t="str">
        <f>_xlfn.XLOOKUP(A2127,'Model Modeshare by TAZ'!A:A,'Model Modeshare by TAZ'!B:B)</f>
        <v>Moraga</v>
      </c>
      <c r="C2127" s="38" t="str">
        <f>_xlfn.XLOOKUP(A2127,'Model Modeshare by TAZ'!A:A,'Model Modeshare by TAZ'!D:D)</f>
        <v>NO</v>
      </c>
      <c r="D2127" s="6">
        <v>5</v>
      </c>
      <c r="E2127" s="6">
        <v>2342</v>
      </c>
      <c r="F2127" s="6">
        <v>6224</v>
      </c>
      <c r="G2127" s="6">
        <v>6260</v>
      </c>
      <c r="H2127" s="6">
        <v>2741</v>
      </c>
      <c r="I2127" s="6">
        <v>1676</v>
      </c>
      <c r="J2127" s="6">
        <v>666</v>
      </c>
      <c r="K2127" s="40">
        <v>803</v>
      </c>
      <c r="L2127" s="40">
        <v>154</v>
      </c>
      <c r="M2127" s="40">
        <v>1599</v>
      </c>
      <c r="N2127" s="40">
        <v>667</v>
      </c>
      <c r="O2127" s="40">
        <v>745</v>
      </c>
      <c r="P2127" s="40">
        <v>134</v>
      </c>
      <c r="Q2127" s="40">
        <v>8</v>
      </c>
      <c r="R2127" s="40">
        <v>42</v>
      </c>
      <c r="S2127" s="40">
        <v>4</v>
      </c>
    </row>
    <row r="2128" spans="1:19" x14ac:dyDescent="0.35">
      <c r="A2128" s="38">
        <v>2491</v>
      </c>
      <c r="B2128" s="38" t="str">
        <f>_xlfn.XLOOKUP(A2128,'Model Modeshare by TAZ'!A:A,'Model Modeshare by TAZ'!B:B)</f>
        <v>Unincorporated</v>
      </c>
      <c r="C2128" s="38" t="str">
        <f>_xlfn.XLOOKUP(A2128,'Model Modeshare by TAZ'!A:A,'Model Modeshare by TAZ'!D:D)</f>
        <v>NO</v>
      </c>
      <c r="D2128" s="6">
        <v>5</v>
      </c>
      <c r="E2128" s="6">
        <v>798</v>
      </c>
      <c r="F2128" s="6">
        <v>2048</v>
      </c>
      <c r="G2128" s="6">
        <v>3223</v>
      </c>
      <c r="H2128" s="6">
        <v>1346</v>
      </c>
      <c r="I2128" s="6">
        <v>754</v>
      </c>
      <c r="J2128" s="6">
        <v>44</v>
      </c>
      <c r="K2128" s="40">
        <v>544</v>
      </c>
      <c r="L2128" s="40">
        <v>138</v>
      </c>
      <c r="M2128" s="40">
        <v>1509</v>
      </c>
      <c r="N2128" s="40">
        <v>237</v>
      </c>
      <c r="O2128" s="40">
        <v>1047</v>
      </c>
      <c r="P2128" s="40">
        <v>201</v>
      </c>
      <c r="Q2128" s="40">
        <v>3</v>
      </c>
      <c r="R2128" s="40">
        <v>7</v>
      </c>
      <c r="S2128" s="40">
        <v>14</v>
      </c>
    </row>
    <row r="2129" spans="1:19" x14ac:dyDescent="0.35">
      <c r="A2129" s="38">
        <v>2492</v>
      </c>
      <c r="B2129" s="38" t="str">
        <f>_xlfn.XLOOKUP(A2129,'Model Modeshare by TAZ'!A:A,'Model Modeshare by TAZ'!B:B)</f>
        <v>Unincorporated</v>
      </c>
      <c r="C2129" s="38" t="str">
        <f>_xlfn.XLOOKUP(A2129,'Model Modeshare by TAZ'!A:A,'Model Modeshare by TAZ'!D:D)</f>
        <v>NO</v>
      </c>
      <c r="D2129" s="6">
        <v>5</v>
      </c>
      <c r="E2129" s="6">
        <v>1788</v>
      </c>
      <c r="F2129" s="6">
        <v>5066</v>
      </c>
      <c r="G2129" s="6">
        <v>5741</v>
      </c>
      <c r="H2129" s="6">
        <v>2471</v>
      </c>
      <c r="I2129" s="6">
        <v>1719</v>
      </c>
      <c r="J2129" s="6">
        <v>69</v>
      </c>
      <c r="K2129" s="40">
        <v>852</v>
      </c>
      <c r="L2129" s="40">
        <v>358</v>
      </c>
      <c r="M2129" s="40">
        <v>606</v>
      </c>
      <c r="N2129" s="40">
        <v>29</v>
      </c>
      <c r="O2129" s="40">
        <v>417</v>
      </c>
      <c r="P2129" s="40">
        <v>143</v>
      </c>
      <c r="Q2129" s="40">
        <v>12</v>
      </c>
      <c r="R2129" s="40">
        <v>2</v>
      </c>
      <c r="S2129" s="40">
        <v>3</v>
      </c>
    </row>
    <row r="2130" spans="1:19" x14ac:dyDescent="0.35">
      <c r="A2130" s="38">
        <v>2493</v>
      </c>
      <c r="B2130" s="38" t="str">
        <f>_xlfn.XLOOKUP(A2130,'Model Modeshare by TAZ'!A:A,'Model Modeshare by TAZ'!B:B)</f>
        <v>Unincorporated</v>
      </c>
      <c r="C2130" s="38" t="str">
        <f>_xlfn.XLOOKUP(A2130,'Model Modeshare by TAZ'!A:A,'Model Modeshare by TAZ'!D:D)</f>
        <v>NO</v>
      </c>
      <c r="D2130" s="6">
        <v>5</v>
      </c>
      <c r="E2130" s="6">
        <v>3960</v>
      </c>
      <c r="F2130" s="6">
        <v>10824</v>
      </c>
      <c r="G2130" s="6">
        <v>10866</v>
      </c>
      <c r="H2130" s="6">
        <v>4861</v>
      </c>
      <c r="I2130" s="6">
        <v>3451</v>
      </c>
      <c r="J2130" s="6">
        <v>509</v>
      </c>
      <c r="K2130" s="40">
        <v>2282</v>
      </c>
      <c r="L2130" s="40">
        <v>372</v>
      </c>
      <c r="M2130" s="40">
        <v>9184</v>
      </c>
      <c r="N2130" s="40">
        <v>2005</v>
      </c>
      <c r="O2130" s="40">
        <v>3560</v>
      </c>
      <c r="P2130" s="40">
        <v>3196</v>
      </c>
      <c r="Q2130" s="40">
        <v>35</v>
      </c>
      <c r="R2130" s="40">
        <v>254</v>
      </c>
      <c r="S2130" s="40">
        <v>135</v>
      </c>
    </row>
    <row r="2131" spans="1:19" x14ac:dyDescent="0.35">
      <c r="A2131" s="38">
        <v>2494</v>
      </c>
      <c r="B2131" s="38" t="str">
        <f>_xlfn.XLOOKUP(A2131,'Model Modeshare by TAZ'!A:A,'Model Modeshare by TAZ'!B:B)</f>
        <v>Unincorporated</v>
      </c>
      <c r="C2131" s="38" t="str">
        <f>_xlfn.XLOOKUP(A2131,'Model Modeshare by TAZ'!A:A,'Model Modeshare by TAZ'!D:D)</f>
        <v>NO</v>
      </c>
      <c r="D2131" s="6">
        <v>5</v>
      </c>
      <c r="E2131" s="6">
        <v>510</v>
      </c>
      <c r="F2131" s="6">
        <v>1679</v>
      </c>
      <c r="G2131" s="6">
        <v>1687</v>
      </c>
      <c r="H2131" s="6">
        <v>711</v>
      </c>
      <c r="I2131" s="6">
        <v>381</v>
      </c>
      <c r="J2131" s="6">
        <v>129</v>
      </c>
      <c r="K2131" s="40">
        <v>149</v>
      </c>
      <c r="L2131" s="40">
        <v>21</v>
      </c>
      <c r="M2131" s="40">
        <v>809</v>
      </c>
      <c r="N2131" s="40">
        <v>360</v>
      </c>
      <c r="O2131" s="40">
        <v>208</v>
      </c>
      <c r="P2131" s="40">
        <v>222</v>
      </c>
      <c r="Q2131" s="40">
        <v>4</v>
      </c>
      <c r="R2131" s="40">
        <v>7</v>
      </c>
      <c r="S2131" s="40">
        <v>8</v>
      </c>
    </row>
    <row r="2132" spans="1:19" x14ac:dyDescent="0.35">
      <c r="A2132" s="38">
        <v>2495</v>
      </c>
      <c r="B2132" s="38" t="str">
        <f>_xlfn.XLOOKUP(A2132,'Model Modeshare by TAZ'!A:A,'Model Modeshare by TAZ'!B:B)</f>
        <v>Walnut Creek</v>
      </c>
      <c r="C2132" s="38" t="str">
        <f>_xlfn.XLOOKUP(A2132,'Model Modeshare by TAZ'!A:A,'Model Modeshare by TAZ'!D:D)</f>
        <v>NO</v>
      </c>
      <c r="D2132" s="6">
        <v>5</v>
      </c>
      <c r="E2132" s="6">
        <v>1301</v>
      </c>
      <c r="F2132" s="6">
        <v>3446</v>
      </c>
      <c r="G2132" s="6">
        <v>3446</v>
      </c>
      <c r="H2132" s="6">
        <v>1362</v>
      </c>
      <c r="I2132" s="6">
        <v>1286</v>
      </c>
      <c r="J2132" s="6">
        <v>15</v>
      </c>
      <c r="K2132" s="40">
        <v>530</v>
      </c>
      <c r="L2132" s="40">
        <v>22</v>
      </c>
      <c r="M2132" s="40">
        <v>158</v>
      </c>
      <c r="N2132" s="40">
        <v>15</v>
      </c>
      <c r="O2132" s="40">
        <v>117</v>
      </c>
      <c r="P2132" s="40">
        <v>19</v>
      </c>
      <c r="Q2132" s="40">
        <v>1</v>
      </c>
      <c r="R2132" s="40">
        <v>2</v>
      </c>
      <c r="S2132" s="40">
        <v>3</v>
      </c>
    </row>
    <row r="2133" spans="1:19" x14ac:dyDescent="0.35">
      <c r="A2133" s="38">
        <v>2496</v>
      </c>
      <c r="B2133" s="38" t="str">
        <f>_xlfn.XLOOKUP(A2133,'Model Modeshare by TAZ'!A:A,'Model Modeshare by TAZ'!B:B)</f>
        <v>Unincorporated</v>
      </c>
      <c r="C2133" s="38" t="str">
        <f>_xlfn.XLOOKUP(A2133,'Model Modeshare by TAZ'!A:A,'Model Modeshare by TAZ'!D:D)</f>
        <v>NO</v>
      </c>
      <c r="D2133" s="6">
        <v>5</v>
      </c>
      <c r="E2133" s="6">
        <v>2004</v>
      </c>
      <c r="F2133" s="6">
        <v>5765</v>
      </c>
      <c r="G2133" s="6">
        <v>5810</v>
      </c>
      <c r="H2133" s="6">
        <v>2482</v>
      </c>
      <c r="I2133" s="6">
        <v>1995</v>
      </c>
      <c r="J2133" s="6">
        <v>9</v>
      </c>
      <c r="K2133" s="40">
        <v>1516</v>
      </c>
      <c r="L2133" s="40">
        <v>26</v>
      </c>
      <c r="M2133" s="40">
        <v>823</v>
      </c>
      <c r="N2133" s="40">
        <v>103</v>
      </c>
      <c r="O2133" s="40">
        <v>447</v>
      </c>
      <c r="P2133" s="40">
        <v>261</v>
      </c>
      <c r="Q2133" s="40">
        <v>1</v>
      </c>
      <c r="R2133" s="40">
        <v>7</v>
      </c>
      <c r="S2133" s="40">
        <v>4</v>
      </c>
    </row>
    <row r="2134" spans="1:19" x14ac:dyDescent="0.35">
      <c r="A2134" s="38">
        <v>2497</v>
      </c>
      <c r="B2134" s="38" t="str">
        <f>_xlfn.XLOOKUP(A2134,'Model Modeshare by TAZ'!A:A,'Model Modeshare by TAZ'!B:B)</f>
        <v>Unincorporated</v>
      </c>
      <c r="C2134" s="38" t="str">
        <f>_xlfn.XLOOKUP(A2134,'Model Modeshare by TAZ'!A:A,'Model Modeshare by TAZ'!D:D)</f>
        <v>NO</v>
      </c>
      <c r="D2134" s="6">
        <v>5</v>
      </c>
      <c r="E2134" s="6">
        <v>2737</v>
      </c>
      <c r="F2134" s="6">
        <v>7245</v>
      </c>
      <c r="G2134" s="6">
        <v>7255</v>
      </c>
      <c r="H2134" s="6">
        <v>3195</v>
      </c>
      <c r="I2134" s="6">
        <v>2559</v>
      </c>
      <c r="J2134" s="6">
        <v>178</v>
      </c>
      <c r="K2134" s="40">
        <v>2208</v>
      </c>
      <c r="L2134" s="40">
        <v>46</v>
      </c>
      <c r="M2134" s="40">
        <v>757</v>
      </c>
      <c r="N2134" s="40">
        <v>21</v>
      </c>
      <c r="O2134" s="40">
        <v>428</v>
      </c>
      <c r="P2134" s="40">
        <v>228</v>
      </c>
      <c r="Q2134" s="40">
        <v>39</v>
      </c>
      <c r="R2134" s="40">
        <v>23</v>
      </c>
      <c r="S2134" s="40">
        <v>18</v>
      </c>
    </row>
    <row r="2135" spans="1:19" x14ac:dyDescent="0.35">
      <c r="A2135" s="38">
        <v>2498</v>
      </c>
      <c r="B2135" s="38" t="str">
        <f>_xlfn.XLOOKUP(A2135,'Model Modeshare by TAZ'!A:A,'Model Modeshare by TAZ'!B:B)</f>
        <v>Danville</v>
      </c>
      <c r="C2135" s="38" t="str">
        <f>_xlfn.XLOOKUP(A2135,'Model Modeshare by TAZ'!A:A,'Model Modeshare by TAZ'!D:D)</f>
        <v>NO</v>
      </c>
      <c r="D2135" s="6">
        <v>5</v>
      </c>
      <c r="E2135" s="6">
        <v>3924</v>
      </c>
      <c r="F2135" s="6">
        <v>11323</v>
      </c>
      <c r="G2135" s="6">
        <v>11331</v>
      </c>
      <c r="H2135" s="6">
        <v>4901</v>
      </c>
      <c r="I2135" s="6">
        <v>3892</v>
      </c>
      <c r="J2135" s="6">
        <v>32</v>
      </c>
      <c r="K2135" s="40">
        <v>2384</v>
      </c>
      <c r="L2135" s="40">
        <v>67</v>
      </c>
      <c r="M2135" s="40">
        <v>2405</v>
      </c>
      <c r="N2135" s="40">
        <v>797</v>
      </c>
      <c r="O2135" s="40">
        <v>1276</v>
      </c>
      <c r="P2135" s="40">
        <v>185</v>
      </c>
      <c r="Q2135" s="40">
        <v>12</v>
      </c>
      <c r="R2135" s="40">
        <v>27</v>
      </c>
      <c r="S2135" s="40">
        <v>107</v>
      </c>
    </row>
    <row r="2136" spans="1:19" x14ac:dyDescent="0.35">
      <c r="A2136" s="38">
        <v>2499</v>
      </c>
      <c r="B2136" s="38" t="str">
        <f>_xlfn.XLOOKUP(A2136,'Model Modeshare by TAZ'!A:A,'Model Modeshare by TAZ'!B:B)</f>
        <v>Danville</v>
      </c>
      <c r="C2136" s="38" t="str">
        <f>_xlfn.XLOOKUP(A2136,'Model Modeshare by TAZ'!A:A,'Model Modeshare by TAZ'!D:D)</f>
        <v>NO</v>
      </c>
      <c r="D2136" s="6">
        <v>5</v>
      </c>
      <c r="E2136" s="6">
        <v>3917</v>
      </c>
      <c r="F2136" s="6">
        <v>10579</v>
      </c>
      <c r="G2136" s="6">
        <v>10593</v>
      </c>
      <c r="H2136" s="6">
        <v>4810</v>
      </c>
      <c r="I2136" s="6">
        <v>3876</v>
      </c>
      <c r="J2136" s="6">
        <v>41</v>
      </c>
      <c r="K2136" s="40">
        <v>1470</v>
      </c>
      <c r="L2136" s="40">
        <v>57</v>
      </c>
      <c r="M2136" s="40">
        <v>1201</v>
      </c>
      <c r="N2136" s="40">
        <v>186</v>
      </c>
      <c r="O2136" s="40">
        <v>415</v>
      </c>
      <c r="P2136" s="40">
        <v>391</v>
      </c>
      <c r="Q2136" s="40">
        <v>1</v>
      </c>
      <c r="R2136" s="40">
        <v>167</v>
      </c>
      <c r="S2136" s="40">
        <v>41</v>
      </c>
    </row>
    <row r="2137" spans="1:19" x14ac:dyDescent="0.35">
      <c r="A2137" s="38">
        <v>2500</v>
      </c>
      <c r="B2137" s="38" t="str">
        <f>_xlfn.XLOOKUP(A2137,'Model Modeshare by TAZ'!A:A,'Model Modeshare by TAZ'!B:B)</f>
        <v>San Ramon</v>
      </c>
      <c r="C2137" s="38" t="str">
        <f>_xlfn.XLOOKUP(A2137,'Model Modeshare by TAZ'!A:A,'Model Modeshare by TAZ'!D:D)</f>
        <v>NO</v>
      </c>
      <c r="D2137" s="6">
        <v>5</v>
      </c>
      <c r="E2137" s="6">
        <v>3210</v>
      </c>
      <c r="F2137" s="6">
        <v>7724</v>
      </c>
      <c r="G2137" s="6">
        <v>7724</v>
      </c>
      <c r="H2137" s="6">
        <v>4154</v>
      </c>
      <c r="I2137" s="6">
        <v>1904</v>
      </c>
      <c r="J2137" s="6">
        <v>1306</v>
      </c>
      <c r="K2137" s="40">
        <v>661</v>
      </c>
      <c r="L2137" s="40">
        <v>475</v>
      </c>
      <c r="M2137" s="40">
        <v>15384</v>
      </c>
      <c r="N2137" s="40">
        <v>1593</v>
      </c>
      <c r="O2137" s="40">
        <v>4713</v>
      </c>
      <c r="P2137" s="40">
        <v>7163</v>
      </c>
      <c r="Q2137" s="40">
        <v>450</v>
      </c>
      <c r="R2137" s="40">
        <v>827</v>
      </c>
      <c r="S2137" s="40">
        <v>637</v>
      </c>
    </row>
    <row r="2138" spans="1:19" x14ac:dyDescent="0.35">
      <c r="A2138" s="38">
        <v>2501</v>
      </c>
      <c r="B2138" s="38" t="str">
        <f>_xlfn.XLOOKUP(A2138,'Model Modeshare by TAZ'!A:A,'Model Modeshare by TAZ'!B:B)</f>
        <v>Danville</v>
      </c>
      <c r="C2138" s="38" t="str">
        <f>_xlfn.XLOOKUP(A2138,'Model Modeshare by TAZ'!A:A,'Model Modeshare by TAZ'!D:D)</f>
        <v>NO</v>
      </c>
      <c r="D2138" s="6">
        <v>5</v>
      </c>
      <c r="E2138" s="6">
        <v>2246</v>
      </c>
      <c r="F2138" s="6">
        <v>6563</v>
      </c>
      <c r="G2138" s="6">
        <v>6625</v>
      </c>
      <c r="H2138" s="6">
        <v>2884</v>
      </c>
      <c r="I2138" s="6">
        <v>1916</v>
      </c>
      <c r="J2138" s="6">
        <v>330</v>
      </c>
      <c r="K2138" s="40">
        <v>570</v>
      </c>
      <c r="L2138" s="40">
        <v>113</v>
      </c>
      <c r="M2138" s="40">
        <v>3060</v>
      </c>
      <c r="N2138" s="40">
        <v>487</v>
      </c>
      <c r="O2138" s="40">
        <v>1739</v>
      </c>
      <c r="P2138" s="40">
        <v>436</v>
      </c>
      <c r="Q2138" s="40">
        <v>24</v>
      </c>
      <c r="R2138" s="40">
        <v>334</v>
      </c>
      <c r="S2138" s="40">
        <v>40</v>
      </c>
    </row>
    <row r="2139" spans="1:19" x14ac:dyDescent="0.35">
      <c r="A2139" s="38">
        <v>2502</v>
      </c>
      <c r="B2139" s="38" t="str">
        <f>_xlfn.XLOOKUP(A2139,'Model Modeshare by TAZ'!A:A,'Model Modeshare by TAZ'!B:B)</f>
        <v>San Ramon</v>
      </c>
      <c r="C2139" s="38" t="str">
        <f>_xlfn.XLOOKUP(A2139,'Model Modeshare by TAZ'!A:A,'Model Modeshare by TAZ'!D:D)</f>
        <v>NO</v>
      </c>
      <c r="D2139" s="6">
        <v>5</v>
      </c>
      <c r="E2139" s="6">
        <v>3054</v>
      </c>
      <c r="F2139" s="6">
        <v>7736</v>
      </c>
      <c r="G2139" s="6">
        <v>7736</v>
      </c>
      <c r="H2139" s="6">
        <v>4461</v>
      </c>
      <c r="I2139" s="6">
        <v>1859</v>
      </c>
      <c r="J2139" s="6">
        <v>1195</v>
      </c>
      <c r="K2139" s="40">
        <v>606</v>
      </c>
      <c r="L2139" s="40">
        <v>195</v>
      </c>
      <c r="M2139" s="40">
        <v>6133</v>
      </c>
      <c r="N2139" s="40">
        <v>956</v>
      </c>
      <c r="O2139" s="40">
        <v>3426</v>
      </c>
      <c r="P2139" s="40">
        <v>1402</v>
      </c>
      <c r="Q2139" s="40">
        <v>85</v>
      </c>
      <c r="R2139" s="40">
        <v>200</v>
      </c>
      <c r="S2139" s="40">
        <v>64</v>
      </c>
    </row>
    <row r="2140" spans="1:19" x14ac:dyDescent="0.35">
      <c r="A2140" s="38">
        <v>2503</v>
      </c>
      <c r="B2140" s="38" t="str">
        <f>_xlfn.XLOOKUP(A2140,'Model Modeshare by TAZ'!A:A,'Model Modeshare by TAZ'!B:B)</f>
        <v>Unincorporated</v>
      </c>
      <c r="C2140" s="38" t="str">
        <f>_xlfn.XLOOKUP(A2140,'Model Modeshare by TAZ'!A:A,'Model Modeshare by TAZ'!D:D)</f>
        <v>NO</v>
      </c>
      <c r="D2140" s="6">
        <v>5</v>
      </c>
      <c r="E2140" s="6">
        <v>2793</v>
      </c>
      <c r="F2140" s="6">
        <v>8817</v>
      </c>
      <c r="G2140" s="6">
        <v>8842</v>
      </c>
      <c r="H2140" s="6">
        <v>4570</v>
      </c>
      <c r="I2140" s="6">
        <v>2564</v>
      </c>
      <c r="J2140" s="6">
        <v>229</v>
      </c>
      <c r="K2140" s="40">
        <v>885</v>
      </c>
      <c r="L2140" s="40">
        <v>72</v>
      </c>
      <c r="M2140" s="40">
        <v>1163</v>
      </c>
      <c r="N2140" s="40">
        <v>219</v>
      </c>
      <c r="O2140" s="40">
        <v>507</v>
      </c>
      <c r="P2140" s="40">
        <v>300</v>
      </c>
      <c r="Q2140" s="40">
        <v>133</v>
      </c>
      <c r="R2140" s="40">
        <v>3</v>
      </c>
      <c r="S2140" s="40">
        <v>1</v>
      </c>
    </row>
    <row r="2141" spans="1:19" x14ac:dyDescent="0.35">
      <c r="A2141" s="38">
        <v>2504</v>
      </c>
      <c r="B2141" s="38" t="str">
        <f>_xlfn.XLOOKUP(A2141,'Model Modeshare by TAZ'!A:A,'Model Modeshare by TAZ'!B:B)</f>
        <v>San Ramon</v>
      </c>
      <c r="C2141" s="38" t="str">
        <f>_xlfn.XLOOKUP(A2141,'Model Modeshare by TAZ'!A:A,'Model Modeshare by TAZ'!D:D)</f>
        <v>NO</v>
      </c>
      <c r="D2141" s="6">
        <v>5</v>
      </c>
      <c r="E2141" s="6">
        <v>1851</v>
      </c>
      <c r="F2141" s="6">
        <v>5757</v>
      </c>
      <c r="G2141" s="6">
        <v>5794</v>
      </c>
      <c r="H2141" s="6">
        <v>2969</v>
      </c>
      <c r="I2141" s="6">
        <v>1435</v>
      </c>
      <c r="J2141" s="6">
        <v>416</v>
      </c>
      <c r="K2141" s="40">
        <v>299</v>
      </c>
      <c r="L2141" s="40">
        <v>46</v>
      </c>
      <c r="M2141" s="40">
        <v>405</v>
      </c>
      <c r="N2141" s="40">
        <v>130</v>
      </c>
      <c r="O2141" s="40">
        <v>248</v>
      </c>
      <c r="P2141" s="40">
        <v>10</v>
      </c>
      <c r="Q2141" s="40">
        <v>1</v>
      </c>
      <c r="R2141" s="40">
        <v>4</v>
      </c>
      <c r="S2141" s="40">
        <v>12</v>
      </c>
    </row>
    <row r="2142" spans="1:19" x14ac:dyDescent="0.35">
      <c r="A2142" s="38">
        <v>2505</v>
      </c>
      <c r="B2142" s="38" t="str">
        <f>_xlfn.XLOOKUP(A2142,'Model Modeshare by TAZ'!A:A,'Model Modeshare by TAZ'!B:B)</f>
        <v>San Ramon</v>
      </c>
      <c r="C2142" s="38" t="str">
        <f>_xlfn.XLOOKUP(A2142,'Model Modeshare by TAZ'!A:A,'Model Modeshare by TAZ'!D:D)</f>
        <v>NO</v>
      </c>
      <c r="D2142" s="6">
        <v>5</v>
      </c>
      <c r="E2142" s="6">
        <v>1272</v>
      </c>
      <c r="F2142" s="6">
        <v>3853</v>
      </c>
      <c r="G2142" s="6">
        <v>3866</v>
      </c>
      <c r="H2142" s="6">
        <v>1865</v>
      </c>
      <c r="I2142" s="6">
        <v>1256</v>
      </c>
      <c r="J2142" s="6">
        <v>16</v>
      </c>
      <c r="K2142" s="40">
        <v>285</v>
      </c>
      <c r="L2142" s="40">
        <v>65</v>
      </c>
      <c r="M2142" s="40">
        <v>437</v>
      </c>
      <c r="N2142" s="40">
        <v>45</v>
      </c>
      <c r="O2142" s="40">
        <v>373</v>
      </c>
      <c r="P2142" s="40">
        <v>19</v>
      </c>
      <c r="Q2142" s="40">
        <v>0</v>
      </c>
      <c r="R2142" s="40">
        <v>0</v>
      </c>
      <c r="S2142" s="40">
        <v>0</v>
      </c>
    </row>
    <row r="2143" spans="1:19" x14ac:dyDescent="0.35">
      <c r="A2143" s="38">
        <v>2506</v>
      </c>
      <c r="B2143" s="38" t="str">
        <f>_xlfn.XLOOKUP(A2143,'Model Modeshare by TAZ'!A:A,'Model Modeshare by TAZ'!B:B)</f>
        <v>San Ramon</v>
      </c>
      <c r="C2143" s="38" t="str">
        <f>_xlfn.XLOOKUP(A2143,'Model Modeshare by TAZ'!A:A,'Model Modeshare by TAZ'!D:D)</f>
        <v>NO</v>
      </c>
      <c r="D2143" s="6">
        <v>5</v>
      </c>
      <c r="E2143" s="6">
        <v>1692</v>
      </c>
      <c r="F2143" s="6">
        <v>4598</v>
      </c>
      <c r="G2143" s="6">
        <v>4623</v>
      </c>
      <c r="H2143" s="6">
        <v>2189</v>
      </c>
      <c r="I2143" s="6">
        <v>1484</v>
      </c>
      <c r="J2143" s="6">
        <v>208</v>
      </c>
      <c r="K2143" s="40">
        <v>420</v>
      </c>
      <c r="L2143" s="40">
        <v>67</v>
      </c>
      <c r="M2143" s="40">
        <v>572</v>
      </c>
      <c r="N2143" s="40">
        <v>17</v>
      </c>
      <c r="O2143" s="40">
        <v>320</v>
      </c>
      <c r="P2143" s="40">
        <v>107</v>
      </c>
      <c r="Q2143" s="40">
        <v>2</v>
      </c>
      <c r="R2143" s="40">
        <v>98</v>
      </c>
      <c r="S2143" s="40">
        <v>28</v>
      </c>
    </row>
    <row r="2144" spans="1:19" x14ac:dyDescent="0.35">
      <c r="A2144" s="38">
        <v>2507</v>
      </c>
      <c r="B2144" s="38" t="str">
        <f>_xlfn.XLOOKUP(A2144,'Model Modeshare by TAZ'!A:A,'Model Modeshare by TAZ'!B:B)</f>
        <v>San Ramon</v>
      </c>
      <c r="C2144" s="38" t="str">
        <f>_xlfn.XLOOKUP(A2144,'Model Modeshare by TAZ'!A:A,'Model Modeshare by TAZ'!D:D)</f>
        <v>NO</v>
      </c>
      <c r="D2144" s="6">
        <v>5</v>
      </c>
      <c r="E2144" s="6">
        <v>4123</v>
      </c>
      <c r="F2144" s="6">
        <v>11506</v>
      </c>
      <c r="G2144" s="6">
        <v>11506</v>
      </c>
      <c r="H2144" s="6">
        <v>5619</v>
      </c>
      <c r="I2144" s="6">
        <v>2547</v>
      </c>
      <c r="J2144" s="6">
        <v>1576</v>
      </c>
      <c r="K2144" s="40">
        <v>752</v>
      </c>
      <c r="L2144" s="40">
        <v>1040</v>
      </c>
      <c r="M2144" s="40">
        <v>21440</v>
      </c>
      <c r="N2144" s="40">
        <v>1782</v>
      </c>
      <c r="O2144" s="40">
        <v>5991</v>
      </c>
      <c r="P2144" s="40">
        <v>3004</v>
      </c>
      <c r="Q2144" s="40">
        <v>4</v>
      </c>
      <c r="R2144" s="40">
        <v>8800</v>
      </c>
      <c r="S2144" s="40">
        <v>1858</v>
      </c>
    </row>
    <row r="2145" spans="1:19" x14ac:dyDescent="0.35">
      <c r="A2145" s="38">
        <v>2508</v>
      </c>
      <c r="B2145" s="38" t="str">
        <f>_xlfn.XLOOKUP(A2145,'Model Modeshare by TAZ'!A:A,'Model Modeshare by TAZ'!B:B)</f>
        <v>Unincorporated</v>
      </c>
      <c r="C2145" s="38" t="str">
        <f>_xlfn.XLOOKUP(A2145,'Model Modeshare by TAZ'!A:A,'Model Modeshare by TAZ'!D:D)</f>
        <v>NO</v>
      </c>
      <c r="D2145" s="6">
        <v>5</v>
      </c>
      <c r="E2145" s="6">
        <v>13719</v>
      </c>
      <c r="F2145" s="6">
        <v>43451</v>
      </c>
      <c r="G2145" s="6">
        <v>43773</v>
      </c>
      <c r="H2145" s="6">
        <v>19931</v>
      </c>
      <c r="I2145" s="6">
        <v>13373</v>
      </c>
      <c r="J2145" s="6">
        <v>346</v>
      </c>
      <c r="K2145" s="40">
        <v>5625</v>
      </c>
      <c r="L2145" s="40">
        <v>485</v>
      </c>
      <c r="M2145" s="40">
        <v>4652</v>
      </c>
      <c r="N2145" s="40">
        <v>903</v>
      </c>
      <c r="O2145" s="40">
        <v>1933</v>
      </c>
      <c r="P2145" s="40">
        <v>1339</v>
      </c>
      <c r="Q2145" s="40">
        <v>81</v>
      </c>
      <c r="R2145" s="40">
        <v>280</v>
      </c>
      <c r="S2145" s="40">
        <v>116</v>
      </c>
    </row>
    <row r="2146" spans="1:19" x14ac:dyDescent="0.35">
      <c r="A2146" s="38">
        <v>2509</v>
      </c>
      <c r="B2146" s="38" t="str">
        <f>_xlfn.XLOOKUP(A2146,'Model Modeshare by TAZ'!A:A,'Model Modeshare by TAZ'!B:B)</f>
        <v>Unincorporated</v>
      </c>
      <c r="C2146" s="38" t="str">
        <f>_xlfn.XLOOKUP(A2146,'Model Modeshare by TAZ'!A:A,'Model Modeshare by TAZ'!D:D)</f>
        <v>NO</v>
      </c>
      <c r="D2146" s="6">
        <v>5</v>
      </c>
      <c r="E2146" s="6">
        <v>7251</v>
      </c>
      <c r="F2146" s="6">
        <v>21163</v>
      </c>
      <c r="G2146" s="6">
        <v>21357</v>
      </c>
      <c r="H2146" s="6">
        <v>10004</v>
      </c>
      <c r="I2146" s="6">
        <v>6924</v>
      </c>
      <c r="J2146" s="6">
        <v>327</v>
      </c>
      <c r="K2146" s="40">
        <v>1971</v>
      </c>
      <c r="L2146" s="40">
        <v>1782</v>
      </c>
      <c r="M2146" s="40">
        <v>4353</v>
      </c>
      <c r="N2146" s="40">
        <v>334</v>
      </c>
      <c r="O2146" s="40">
        <v>1697</v>
      </c>
      <c r="P2146" s="40">
        <v>1639</v>
      </c>
      <c r="Q2146" s="40">
        <v>333</v>
      </c>
      <c r="R2146" s="40">
        <v>299</v>
      </c>
      <c r="S2146" s="40">
        <v>52</v>
      </c>
    </row>
    <row r="2147" spans="1:19" x14ac:dyDescent="0.35">
      <c r="A2147" s="38">
        <v>2510</v>
      </c>
      <c r="B2147" s="38" t="str">
        <f>_xlfn.XLOOKUP(A2147,'Model Modeshare by TAZ'!A:A,'Model Modeshare by TAZ'!B:B)</f>
        <v>Brentwood</v>
      </c>
      <c r="C2147" s="38" t="str">
        <f>_xlfn.XLOOKUP(A2147,'Model Modeshare by TAZ'!A:A,'Model Modeshare by TAZ'!D:D)</f>
        <v>NO</v>
      </c>
      <c r="D2147" s="6">
        <v>5</v>
      </c>
      <c r="E2147" s="6">
        <v>13119</v>
      </c>
      <c r="F2147" s="6">
        <v>41013</v>
      </c>
      <c r="G2147" s="6">
        <v>41162</v>
      </c>
      <c r="H2147" s="6">
        <v>18031</v>
      </c>
      <c r="I2147" s="6">
        <v>12146</v>
      </c>
      <c r="J2147" s="6">
        <v>973</v>
      </c>
      <c r="K2147" s="40">
        <v>2641</v>
      </c>
      <c r="L2147" s="40">
        <v>237</v>
      </c>
      <c r="M2147" s="40">
        <v>9154</v>
      </c>
      <c r="N2147" s="40">
        <v>2061</v>
      </c>
      <c r="O2147" s="40">
        <v>4083</v>
      </c>
      <c r="P2147" s="40">
        <v>2567</v>
      </c>
      <c r="Q2147" s="40">
        <v>131</v>
      </c>
      <c r="R2147" s="40">
        <v>207</v>
      </c>
      <c r="S2147" s="40">
        <v>105</v>
      </c>
    </row>
    <row r="2148" spans="1:19" x14ac:dyDescent="0.35">
      <c r="A2148" s="38">
        <v>2511</v>
      </c>
      <c r="B2148" s="38" t="str">
        <f>_xlfn.XLOOKUP(A2148,'Model Modeshare by TAZ'!A:A,'Model Modeshare by TAZ'!B:B)</f>
        <v>Unincorporated</v>
      </c>
      <c r="C2148" s="38" t="str">
        <f>_xlfn.XLOOKUP(A2148,'Model Modeshare by TAZ'!A:A,'Model Modeshare by TAZ'!D:D)</f>
        <v>NO</v>
      </c>
      <c r="D2148" s="6">
        <v>5</v>
      </c>
      <c r="E2148" s="6">
        <v>6007</v>
      </c>
      <c r="F2148" s="6">
        <v>20480</v>
      </c>
      <c r="G2148" s="6">
        <v>20604</v>
      </c>
      <c r="H2148" s="6">
        <v>9403</v>
      </c>
      <c r="I2148" s="6">
        <v>4335</v>
      </c>
      <c r="J2148" s="6">
        <v>1672</v>
      </c>
      <c r="K2148" s="40">
        <v>2762</v>
      </c>
      <c r="L2148" s="40">
        <v>158</v>
      </c>
      <c r="M2148" s="40">
        <v>7172</v>
      </c>
      <c r="N2148" s="40">
        <v>1307</v>
      </c>
      <c r="O2148" s="40">
        <v>4493</v>
      </c>
      <c r="P2148" s="40">
        <v>980</v>
      </c>
      <c r="Q2148" s="40">
        <v>36</v>
      </c>
      <c r="R2148" s="40">
        <v>274</v>
      </c>
      <c r="S2148" s="40">
        <v>82</v>
      </c>
    </row>
    <row r="2149" spans="1:19" x14ac:dyDescent="0.35">
      <c r="A2149" s="38">
        <v>2512</v>
      </c>
      <c r="B2149" s="38" t="str">
        <f>_xlfn.XLOOKUP(A2149,'Model Modeshare by TAZ'!A:A,'Model Modeshare by TAZ'!B:B)</f>
        <v>Oakley</v>
      </c>
      <c r="C2149" s="38" t="str">
        <f>_xlfn.XLOOKUP(A2149,'Model Modeshare by TAZ'!A:A,'Model Modeshare by TAZ'!D:D)</f>
        <v>NO</v>
      </c>
      <c r="D2149" s="6">
        <v>5</v>
      </c>
      <c r="E2149" s="6">
        <v>4194</v>
      </c>
      <c r="F2149" s="6">
        <v>15162</v>
      </c>
      <c r="G2149" s="6">
        <v>15192</v>
      </c>
      <c r="H2149" s="6">
        <v>6591</v>
      </c>
      <c r="I2149" s="6">
        <v>3683</v>
      </c>
      <c r="J2149" s="6">
        <v>511</v>
      </c>
      <c r="K2149" s="40">
        <v>1546</v>
      </c>
      <c r="L2149" s="40">
        <v>134</v>
      </c>
      <c r="M2149" s="40">
        <v>1261</v>
      </c>
      <c r="N2149" s="40">
        <v>30</v>
      </c>
      <c r="O2149" s="40">
        <v>396</v>
      </c>
      <c r="P2149" s="40">
        <v>479</v>
      </c>
      <c r="Q2149" s="40">
        <v>11</v>
      </c>
      <c r="R2149" s="40">
        <v>143</v>
      </c>
      <c r="S2149" s="40">
        <v>203</v>
      </c>
    </row>
    <row r="2150" spans="1:19" x14ac:dyDescent="0.35">
      <c r="A2150" s="38">
        <v>2513</v>
      </c>
      <c r="B2150" s="38" t="str">
        <f>_xlfn.XLOOKUP(A2150,'Model Modeshare by TAZ'!A:A,'Model Modeshare by TAZ'!B:B)</f>
        <v>Unincorporated</v>
      </c>
      <c r="C2150" s="38" t="str">
        <f>_xlfn.XLOOKUP(A2150,'Model Modeshare by TAZ'!A:A,'Model Modeshare by TAZ'!D:D)</f>
        <v>NO</v>
      </c>
      <c r="D2150" s="6">
        <v>5</v>
      </c>
      <c r="E2150" s="6">
        <v>1874</v>
      </c>
      <c r="F2150" s="6">
        <v>4844</v>
      </c>
      <c r="G2150" s="6">
        <v>4844</v>
      </c>
      <c r="H2150" s="6">
        <v>2002</v>
      </c>
      <c r="I2150" s="6">
        <v>1065</v>
      </c>
      <c r="J2150" s="6">
        <v>809</v>
      </c>
      <c r="K2150" s="40">
        <v>187</v>
      </c>
      <c r="L2150" s="40">
        <v>76</v>
      </c>
      <c r="M2150" s="40">
        <v>424</v>
      </c>
      <c r="N2150" s="40">
        <v>52</v>
      </c>
      <c r="O2150" s="40">
        <v>205</v>
      </c>
      <c r="P2150" s="40">
        <v>129</v>
      </c>
      <c r="Q2150" s="40">
        <v>21</v>
      </c>
      <c r="R2150" s="40">
        <v>15</v>
      </c>
      <c r="S2150" s="40">
        <v>2</v>
      </c>
    </row>
    <row r="2151" spans="1:19" x14ac:dyDescent="0.35">
      <c r="A2151" s="38">
        <v>2514</v>
      </c>
      <c r="B2151" s="38" t="str">
        <f>_xlfn.XLOOKUP(A2151,'Model Modeshare by TAZ'!A:A,'Model Modeshare by TAZ'!B:B)</f>
        <v>Oakley</v>
      </c>
      <c r="C2151" s="38" t="str">
        <f>_xlfn.XLOOKUP(A2151,'Model Modeshare by TAZ'!A:A,'Model Modeshare by TAZ'!D:D)</f>
        <v>NO</v>
      </c>
      <c r="D2151" s="6">
        <v>5</v>
      </c>
      <c r="E2151" s="6">
        <v>3569</v>
      </c>
      <c r="F2151" s="6">
        <v>10734</v>
      </c>
      <c r="G2151" s="6">
        <v>10796</v>
      </c>
      <c r="H2151" s="6">
        <v>4656</v>
      </c>
      <c r="I2151" s="6">
        <v>3059</v>
      </c>
      <c r="J2151" s="6">
        <v>510</v>
      </c>
      <c r="K2151" s="40">
        <v>782</v>
      </c>
      <c r="L2151" s="40">
        <v>597</v>
      </c>
      <c r="M2151" s="40">
        <v>1560</v>
      </c>
      <c r="N2151" s="40">
        <v>43</v>
      </c>
      <c r="O2151" s="40">
        <v>401</v>
      </c>
      <c r="P2151" s="40">
        <v>454</v>
      </c>
      <c r="Q2151" s="40">
        <v>2</v>
      </c>
      <c r="R2151" s="40">
        <v>576</v>
      </c>
      <c r="S2151" s="40">
        <v>84</v>
      </c>
    </row>
    <row r="2152" spans="1:19" x14ac:dyDescent="0.35">
      <c r="A2152" s="38">
        <v>2515</v>
      </c>
      <c r="B2152" s="38" t="str">
        <f>_xlfn.XLOOKUP(A2152,'Model Modeshare by TAZ'!A:A,'Model Modeshare by TAZ'!B:B)</f>
        <v>Antioch</v>
      </c>
      <c r="C2152" s="38" t="str">
        <f>_xlfn.XLOOKUP(A2152,'Model Modeshare by TAZ'!A:A,'Model Modeshare by TAZ'!D:D)</f>
        <v>NO</v>
      </c>
      <c r="D2152" s="6">
        <v>5</v>
      </c>
      <c r="E2152" s="6">
        <v>1036</v>
      </c>
      <c r="F2152" s="6">
        <v>3055</v>
      </c>
      <c r="G2152" s="6">
        <v>3055</v>
      </c>
      <c r="H2152" s="6">
        <v>1451</v>
      </c>
      <c r="I2152" s="6">
        <v>659</v>
      </c>
      <c r="J2152" s="6">
        <v>377</v>
      </c>
      <c r="K2152" s="40">
        <v>504</v>
      </c>
      <c r="L2152" s="40">
        <v>840</v>
      </c>
      <c r="M2152" s="40">
        <v>1201</v>
      </c>
      <c r="N2152" s="40">
        <v>228</v>
      </c>
      <c r="O2152" s="40">
        <v>257</v>
      </c>
      <c r="P2152" s="40">
        <v>273</v>
      </c>
      <c r="Q2152" s="40">
        <v>5</v>
      </c>
      <c r="R2152" s="40">
        <v>409</v>
      </c>
      <c r="S2152" s="40">
        <v>30</v>
      </c>
    </row>
    <row r="2153" spans="1:19" x14ac:dyDescent="0.35">
      <c r="A2153" s="38">
        <v>2516</v>
      </c>
      <c r="B2153" s="38" t="str">
        <f>_xlfn.XLOOKUP(A2153,'Model Modeshare by TAZ'!A:A,'Model Modeshare by TAZ'!B:B)</f>
        <v>Antioch</v>
      </c>
      <c r="C2153" s="38" t="str">
        <f>_xlfn.XLOOKUP(A2153,'Model Modeshare by TAZ'!A:A,'Model Modeshare by TAZ'!D:D)</f>
        <v>NO</v>
      </c>
      <c r="D2153" s="6">
        <v>5</v>
      </c>
      <c r="E2153" s="6">
        <v>1397</v>
      </c>
      <c r="F2153" s="6">
        <v>4417</v>
      </c>
      <c r="G2153" s="6">
        <v>4430</v>
      </c>
      <c r="H2153" s="6">
        <v>2162</v>
      </c>
      <c r="I2153" s="6">
        <v>1392</v>
      </c>
      <c r="J2153" s="6">
        <v>5</v>
      </c>
      <c r="K2153" s="40">
        <v>591</v>
      </c>
      <c r="L2153" s="40">
        <v>59</v>
      </c>
      <c r="M2153" s="40">
        <v>405</v>
      </c>
      <c r="N2153" s="40">
        <v>155</v>
      </c>
      <c r="O2153" s="40">
        <v>181</v>
      </c>
      <c r="P2153" s="40">
        <v>63</v>
      </c>
      <c r="Q2153" s="40">
        <v>2</v>
      </c>
      <c r="R2153" s="40">
        <v>1</v>
      </c>
      <c r="S2153" s="40">
        <v>3</v>
      </c>
    </row>
    <row r="2154" spans="1:19" x14ac:dyDescent="0.35">
      <c r="A2154" s="38">
        <v>2517</v>
      </c>
      <c r="B2154" s="38" t="str">
        <f>_xlfn.XLOOKUP(A2154,'Model Modeshare by TAZ'!A:A,'Model Modeshare by TAZ'!B:B)</f>
        <v>Oakley</v>
      </c>
      <c r="C2154" s="38" t="str">
        <f>_xlfn.XLOOKUP(A2154,'Model Modeshare by TAZ'!A:A,'Model Modeshare by TAZ'!D:D)</f>
        <v>NO</v>
      </c>
      <c r="D2154" s="6">
        <v>5</v>
      </c>
      <c r="E2154" s="6">
        <v>5230</v>
      </c>
      <c r="F2154" s="6">
        <v>18266</v>
      </c>
      <c r="G2154" s="6">
        <v>18298</v>
      </c>
      <c r="H2154" s="6">
        <v>9177</v>
      </c>
      <c r="I2154" s="6">
        <v>5165</v>
      </c>
      <c r="J2154" s="6">
        <v>65</v>
      </c>
      <c r="K2154" s="40">
        <v>1886</v>
      </c>
      <c r="L2154" s="40">
        <v>84</v>
      </c>
      <c r="M2154" s="40">
        <v>3248</v>
      </c>
      <c r="N2154" s="40">
        <v>86</v>
      </c>
      <c r="O2154" s="40">
        <v>744</v>
      </c>
      <c r="P2154" s="40">
        <v>885</v>
      </c>
      <c r="Q2154" s="40">
        <v>8</v>
      </c>
      <c r="R2154" s="40">
        <v>1352</v>
      </c>
      <c r="S2154" s="40">
        <v>172</v>
      </c>
    </row>
    <row r="2155" spans="1:19" x14ac:dyDescent="0.35">
      <c r="A2155" s="38">
        <v>2518</v>
      </c>
      <c r="B2155" s="38" t="str">
        <f>_xlfn.XLOOKUP(A2155,'Model Modeshare by TAZ'!A:A,'Model Modeshare by TAZ'!B:B)</f>
        <v>Antioch</v>
      </c>
      <c r="C2155" s="38" t="str">
        <f>_xlfn.XLOOKUP(A2155,'Model Modeshare by TAZ'!A:A,'Model Modeshare by TAZ'!D:D)</f>
        <v>NO</v>
      </c>
      <c r="D2155" s="6">
        <v>5</v>
      </c>
      <c r="E2155" s="6">
        <v>5453</v>
      </c>
      <c r="F2155" s="6">
        <v>18381</v>
      </c>
      <c r="G2155" s="6">
        <v>18486</v>
      </c>
      <c r="H2155" s="6">
        <v>8690</v>
      </c>
      <c r="I2155" s="6">
        <v>5094</v>
      </c>
      <c r="J2155" s="6">
        <v>359</v>
      </c>
      <c r="K2155" s="40">
        <v>1120</v>
      </c>
      <c r="L2155" s="40">
        <v>107</v>
      </c>
      <c r="M2155" s="40">
        <v>3082</v>
      </c>
      <c r="N2155" s="40">
        <v>540</v>
      </c>
      <c r="O2155" s="40">
        <v>2047</v>
      </c>
      <c r="P2155" s="40">
        <v>270</v>
      </c>
      <c r="Q2155" s="40">
        <v>0</v>
      </c>
      <c r="R2155" s="40">
        <v>91</v>
      </c>
      <c r="S2155" s="40">
        <v>133</v>
      </c>
    </row>
    <row r="2156" spans="1:19" x14ac:dyDescent="0.35">
      <c r="A2156" s="38">
        <v>2519</v>
      </c>
      <c r="B2156" s="38" t="str">
        <f>_xlfn.XLOOKUP(A2156,'Model Modeshare by TAZ'!A:A,'Model Modeshare by TAZ'!B:B)</f>
        <v>Antioch</v>
      </c>
      <c r="C2156" s="38" t="str">
        <f>_xlfn.XLOOKUP(A2156,'Model Modeshare by TAZ'!A:A,'Model Modeshare by TAZ'!D:D)</f>
        <v>NO</v>
      </c>
      <c r="D2156" s="6">
        <v>5</v>
      </c>
      <c r="E2156" s="6">
        <v>2449</v>
      </c>
      <c r="F2156" s="6">
        <v>6929</v>
      </c>
      <c r="G2156" s="6">
        <v>6935</v>
      </c>
      <c r="H2156" s="6">
        <v>2817</v>
      </c>
      <c r="I2156" s="6">
        <v>2269</v>
      </c>
      <c r="J2156" s="6">
        <v>180</v>
      </c>
      <c r="K2156" s="40">
        <v>499</v>
      </c>
      <c r="L2156" s="40">
        <v>128</v>
      </c>
      <c r="M2156" s="40">
        <v>1917</v>
      </c>
      <c r="N2156" s="40">
        <v>621</v>
      </c>
      <c r="O2156" s="40">
        <v>973</v>
      </c>
      <c r="P2156" s="40">
        <v>283</v>
      </c>
      <c r="Q2156" s="40">
        <v>0</v>
      </c>
      <c r="R2156" s="40">
        <v>15</v>
      </c>
      <c r="S2156" s="40">
        <v>26</v>
      </c>
    </row>
    <row r="2157" spans="1:19" x14ac:dyDescent="0.35">
      <c r="A2157" s="38">
        <v>2520</v>
      </c>
      <c r="B2157" s="38" t="str">
        <f>_xlfn.XLOOKUP(A2157,'Model Modeshare by TAZ'!A:A,'Model Modeshare by TAZ'!B:B)</f>
        <v>Antioch</v>
      </c>
      <c r="C2157" s="38" t="str">
        <f>_xlfn.XLOOKUP(A2157,'Model Modeshare by TAZ'!A:A,'Model Modeshare by TAZ'!D:D)</f>
        <v>NO</v>
      </c>
      <c r="D2157" s="6">
        <v>5</v>
      </c>
      <c r="E2157" s="6">
        <v>2897</v>
      </c>
      <c r="F2157" s="6">
        <v>8464</v>
      </c>
      <c r="G2157" s="6">
        <v>8629</v>
      </c>
      <c r="H2157" s="6">
        <v>3762</v>
      </c>
      <c r="I2157" s="6">
        <v>2198</v>
      </c>
      <c r="J2157" s="6">
        <v>699</v>
      </c>
      <c r="K2157" s="40">
        <v>366</v>
      </c>
      <c r="L2157" s="40">
        <v>260</v>
      </c>
      <c r="M2157" s="40">
        <v>1667</v>
      </c>
      <c r="N2157" s="40">
        <v>358</v>
      </c>
      <c r="O2157" s="40">
        <v>785</v>
      </c>
      <c r="P2157" s="40">
        <v>381</v>
      </c>
      <c r="Q2157" s="40">
        <v>0</v>
      </c>
      <c r="R2157" s="40">
        <v>132</v>
      </c>
      <c r="S2157" s="40">
        <v>12</v>
      </c>
    </row>
    <row r="2158" spans="1:19" x14ac:dyDescent="0.35">
      <c r="A2158" s="38">
        <v>2521</v>
      </c>
      <c r="B2158" s="38" t="str">
        <f>_xlfn.XLOOKUP(A2158,'Model Modeshare by TAZ'!A:A,'Model Modeshare by TAZ'!B:B)</f>
        <v>Antioch</v>
      </c>
      <c r="C2158" s="38" t="str">
        <f>_xlfn.XLOOKUP(A2158,'Model Modeshare by TAZ'!A:A,'Model Modeshare by TAZ'!D:D)</f>
        <v>NO</v>
      </c>
      <c r="D2158" s="6">
        <v>5</v>
      </c>
      <c r="E2158" s="6">
        <v>2259</v>
      </c>
      <c r="F2158" s="6">
        <v>6423</v>
      </c>
      <c r="G2158" s="6">
        <v>6453</v>
      </c>
      <c r="H2158" s="6">
        <v>2559</v>
      </c>
      <c r="I2158" s="6">
        <v>1326</v>
      </c>
      <c r="J2158" s="6">
        <v>933</v>
      </c>
      <c r="K2158" s="40">
        <v>195</v>
      </c>
      <c r="L2158" s="40">
        <v>789</v>
      </c>
      <c r="M2158" s="40">
        <v>6065</v>
      </c>
      <c r="N2158" s="40">
        <v>1664</v>
      </c>
      <c r="O2158" s="40">
        <v>2363</v>
      </c>
      <c r="P2158" s="40">
        <v>1170</v>
      </c>
      <c r="Q2158" s="40">
        <v>1</v>
      </c>
      <c r="R2158" s="40">
        <v>592</v>
      </c>
      <c r="S2158" s="40">
        <v>276</v>
      </c>
    </row>
    <row r="2159" spans="1:19" x14ac:dyDescent="0.35">
      <c r="A2159" s="38">
        <v>2522</v>
      </c>
      <c r="B2159" s="38" t="str">
        <f>_xlfn.XLOOKUP(A2159,'Model Modeshare by TAZ'!A:A,'Model Modeshare by TAZ'!B:B)</f>
        <v>Antioch</v>
      </c>
      <c r="C2159" s="38" t="str">
        <f>_xlfn.XLOOKUP(A2159,'Model Modeshare by TAZ'!A:A,'Model Modeshare by TAZ'!D:D)</f>
        <v>NO</v>
      </c>
      <c r="D2159" s="6">
        <v>5</v>
      </c>
      <c r="E2159" s="6">
        <v>1489</v>
      </c>
      <c r="F2159" s="6">
        <v>4369</v>
      </c>
      <c r="G2159" s="6">
        <v>4369</v>
      </c>
      <c r="H2159" s="6">
        <v>1412</v>
      </c>
      <c r="I2159" s="6">
        <v>336</v>
      </c>
      <c r="J2159" s="6">
        <v>1153</v>
      </c>
      <c r="K2159" s="40">
        <v>102</v>
      </c>
      <c r="L2159" s="40">
        <v>33</v>
      </c>
      <c r="M2159" s="40">
        <v>287</v>
      </c>
      <c r="N2159" s="40">
        <v>164</v>
      </c>
      <c r="O2159" s="40">
        <v>68</v>
      </c>
      <c r="P2159" s="40">
        <v>51</v>
      </c>
      <c r="Q2159" s="40">
        <v>0</v>
      </c>
      <c r="R2159" s="40">
        <v>3</v>
      </c>
      <c r="S2159" s="40">
        <v>2</v>
      </c>
    </row>
    <row r="2160" spans="1:19" x14ac:dyDescent="0.35">
      <c r="A2160" s="38">
        <v>2523</v>
      </c>
      <c r="B2160" s="38" t="str">
        <f>_xlfn.XLOOKUP(A2160,'Model Modeshare by TAZ'!A:A,'Model Modeshare by TAZ'!B:B)</f>
        <v>Antioch</v>
      </c>
      <c r="C2160" s="38" t="str">
        <f>_xlfn.XLOOKUP(A2160,'Model Modeshare by TAZ'!A:A,'Model Modeshare by TAZ'!D:D)</f>
        <v>NO</v>
      </c>
      <c r="D2160" s="6">
        <v>5</v>
      </c>
      <c r="E2160" s="6">
        <v>1701</v>
      </c>
      <c r="F2160" s="6">
        <v>5376</v>
      </c>
      <c r="G2160" s="6">
        <v>5376</v>
      </c>
      <c r="H2160" s="6">
        <v>2204</v>
      </c>
      <c r="I2160" s="6">
        <v>1277</v>
      </c>
      <c r="J2160" s="6">
        <v>424</v>
      </c>
      <c r="K2160" s="40">
        <v>201</v>
      </c>
      <c r="L2160" s="40">
        <v>62</v>
      </c>
      <c r="M2160" s="40">
        <v>1077</v>
      </c>
      <c r="N2160" s="40">
        <v>182</v>
      </c>
      <c r="O2160" s="40">
        <v>684</v>
      </c>
      <c r="P2160" s="40">
        <v>211</v>
      </c>
      <c r="Q2160" s="40">
        <v>0</v>
      </c>
      <c r="R2160" s="40">
        <v>0</v>
      </c>
      <c r="S2160" s="40">
        <v>0</v>
      </c>
    </row>
    <row r="2161" spans="1:19" x14ac:dyDescent="0.35">
      <c r="A2161" s="38">
        <v>2524</v>
      </c>
      <c r="B2161" s="38" t="str">
        <f>_xlfn.XLOOKUP(A2161,'Model Modeshare by TAZ'!A:A,'Model Modeshare by TAZ'!B:B)</f>
        <v>Antioch</v>
      </c>
      <c r="C2161" s="38" t="str">
        <f>_xlfn.XLOOKUP(A2161,'Model Modeshare by TAZ'!A:A,'Model Modeshare by TAZ'!D:D)</f>
        <v>NO</v>
      </c>
      <c r="D2161" s="6">
        <v>5</v>
      </c>
      <c r="E2161" s="6">
        <v>1239</v>
      </c>
      <c r="F2161" s="6">
        <v>3944</v>
      </c>
      <c r="G2161" s="6">
        <v>3960</v>
      </c>
      <c r="H2161" s="6">
        <v>1603</v>
      </c>
      <c r="I2161" s="6">
        <v>1231</v>
      </c>
      <c r="J2161" s="6">
        <v>8</v>
      </c>
      <c r="K2161" s="40">
        <v>205</v>
      </c>
      <c r="L2161" s="40">
        <v>36</v>
      </c>
      <c r="M2161" s="40">
        <v>154</v>
      </c>
      <c r="N2161" s="40">
        <v>50</v>
      </c>
      <c r="O2161" s="40">
        <v>45</v>
      </c>
      <c r="P2161" s="40">
        <v>58</v>
      </c>
      <c r="Q2161" s="40">
        <v>0</v>
      </c>
      <c r="R2161" s="40">
        <v>0</v>
      </c>
      <c r="S2161" s="40">
        <v>0</v>
      </c>
    </row>
    <row r="2162" spans="1:19" x14ac:dyDescent="0.35">
      <c r="A2162" s="38">
        <v>2525</v>
      </c>
      <c r="B2162" s="38" t="str">
        <f>_xlfn.XLOOKUP(A2162,'Model Modeshare by TAZ'!A:A,'Model Modeshare by TAZ'!B:B)</f>
        <v>Antioch</v>
      </c>
      <c r="C2162" s="38" t="str">
        <f>_xlfn.XLOOKUP(A2162,'Model Modeshare by TAZ'!A:A,'Model Modeshare by TAZ'!D:D)</f>
        <v>NO</v>
      </c>
      <c r="D2162" s="6">
        <v>5</v>
      </c>
      <c r="E2162" s="6">
        <v>2493</v>
      </c>
      <c r="F2162" s="6">
        <v>6887</v>
      </c>
      <c r="G2162" s="6">
        <v>6913</v>
      </c>
      <c r="H2162" s="6">
        <v>3004</v>
      </c>
      <c r="I2162" s="6">
        <v>1428</v>
      </c>
      <c r="J2162" s="6">
        <v>1065</v>
      </c>
      <c r="K2162" s="40">
        <v>375</v>
      </c>
      <c r="L2162" s="40">
        <v>97</v>
      </c>
      <c r="M2162" s="40">
        <v>791</v>
      </c>
      <c r="N2162" s="40">
        <v>479</v>
      </c>
      <c r="O2162" s="40">
        <v>153</v>
      </c>
      <c r="P2162" s="40">
        <v>147</v>
      </c>
      <c r="Q2162" s="40">
        <v>6</v>
      </c>
      <c r="R2162" s="40">
        <v>5</v>
      </c>
      <c r="S2162" s="40">
        <v>1</v>
      </c>
    </row>
    <row r="2163" spans="1:19" x14ac:dyDescent="0.35">
      <c r="A2163" s="38">
        <v>2526</v>
      </c>
      <c r="B2163" s="38" t="str">
        <f>_xlfn.XLOOKUP(A2163,'Model Modeshare by TAZ'!A:A,'Model Modeshare by TAZ'!B:B)</f>
        <v>Antioch</v>
      </c>
      <c r="C2163" s="38" t="str">
        <f>_xlfn.XLOOKUP(A2163,'Model Modeshare by TAZ'!A:A,'Model Modeshare by TAZ'!D:D)</f>
        <v>NO</v>
      </c>
      <c r="D2163" s="6">
        <v>5</v>
      </c>
      <c r="E2163" s="6">
        <v>1425</v>
      </c>
      <c r="F2163" s="6">
        <v>4536</v>
      </c>
      <c r="G2163" s="6">
        <v>4545</v>
      </c>
      <c r="H2163" s="6">
        <v>1786</v>
      </c>
      <c r="I2163" s="6">
        <v>1222</v>
      </c>
      <c r="J2163" s="6">
        <v>203</v>
      </c>
      <c r="K2163" s="40">
        <v>280</v>
      </c>
      <c r="L2163" s="40">
        <v>83</v>
      </c>
      <c r="M2163" s="40">
        <v>645</v>
      </c>
      <c r="N2163" s="40">
        <v>123</v>
      </c>
      <c r="O2163" s="40">
        <v>422</v>
      </c>
      <c r="P2163" s="40">
        <v>90</v>
      </c>
      <c r="Q2163" s="40">
        <v>11</v>
      </c>
      <c r="R2163" s="40">
        <v>0</v>
      </c>
      <c r="S2163" s="40">
        <v>0</v>
      </c>
    </row>
    <row r="2164" spans="1:19" x14ac:dyDescent="0.35">
      <c r="A2164" s="38">
        <v>2527</v>
      </c>
      <c r="B2164" s="38" t="str">
        <f>_xlfn.XLOOKUP(A2164,'Model Modeshare by TAZ'!A:A,'Model Modeshare by TAZ'!B:B)</f>
        <v>Unincorporated</v>
      </c>
      <c r="C2164" s="38" t="str">
        <f>_xlfn.XLOOKUP(A2164,'Model Modeshare by TAZ'!A:A,'Model Modeshare by TAZ'!D:D)</f>
        <v>NO</v>
      </c>
      <c r="D2164" s="6">
        <v>5</v>
      </c>
      <c r="E2164" s="6">
        <v>5181</v>
      </c>
      <c r="F2164" s="6">
        <v>17960</v>
      </c>
      <c r="G2164" s="6">
        <v>18077</v>
      </c>
      <c r="H2164" s="6">
        <v>8506</v>
      </c>
      <c r="I2164" s="6">
        <v>5066</v>
      </c>
      <c r="J2164" s="6">
        <v>115</v>
      </c>
      <c r="K2164" s="40">
        <v>1717</v>
      </c>
      <c r="L2164" s="40">
        <v>49</v>
      </c>
      <c r="M2164" s="40">
        <v>1509</v>
      </c>
      <c r="N2164" s="40">
        <v>250</v>
      </c>
      <c r="O2164" s="40">
        <v>743</v>
      </c>
      <c r="P2164" s="40">
        <v>394</v>
      </c>
      <c r="Q2164" s="40">
        <v>1</v>
      </c>
      <c r="R2164" s="40">
        <v>75</v>
      </c>
      <c r="S2164" s="40">
        <v>46</v>
      </c>
    </row>
    <row r="2165" spans="1:19" x14ac:dyDescent="0.35">
      <c r="A2165" s="38">
        <v>2528</v>
      </c>
      <c r="B2165" s="38" t="str">
        <f>_xlfn.XLOOKUP(A2165,'Model Modeshare by TAZ'!A:A,'Model Modeshare by TAZ'!B:B)</f>
        <v>Unincorporated</v>
      </c>
      <c r="C2165" s="38" t="str">
        <f>_xlfn.XLOOKUP(A2165,'Model Modeshare by TAZ'!A:A,'Model Modeshare by TAZ'!D:D)</f>
        <v>NO</v>
      </c>
      <c r="D2165" s="6">
        <v>5</v>
      </c>
      <c r="E2165" s="6">
        <v>2640</v>
      </c>
      <c r="F2165" s="6">
        <v>8187</v>
      </c>
      <c r="G2165" s="6">
        <v>8228</v>
      </c>
      <c r="H2165" s="6">
        <v>4048</v>
      </c>
      <c r="I2165" s="6">
        <v>1721</v>
      </c>
      <c r="J2165" s="6">
        <v>919</v>
      </c>
      <c r="K2165" s="40">
        <v>546</v>
      </c>
      <c r="L2165" s="40">
        <v>52</v>
      </c>
      <c r="M2165" s="40">
        <v>298</v>
      </c>
      <c r="N2165" s="40">
        <v>17</v>
      </c>
      <c r="O2165" s="40">
        <v>256</v>
      </c>
      <c r="P2165" s="40">
        <v>13</v>
      </c>
      <c r="Q2165" s="40">
        <v>6</v>
      </c>
      <c r="R2165" s="40">
        <v>4</v>
      </c>
      <c r="S2165" s="40">
        <v>2</v>
      </c>
    </row>
    <row r="2166" spans="1:19" x14ac:dyDescent="0.35">
      <c r="A2166" s="38">
        <v>2529</v>
      </c>
      <c r="B2166" s="38" t="str">
        <f>_xlfn.XLOOKUP(A2166,'Model Modeshare by TAZ'!A:A,'Model Modeshare by TAZ'!B:B)</f>
        <v>Antioch</v>
      </c>
      <c r="C2166" s="38" t="str">
        <f>_xlfn.XLOOKUP(A2166,'Model Modeshare by TAZ'!A:A,'Model Modeshare by TAZ'!D:D)</f>
        <v>NO</v>
      </c>
      <c r="D2166" s="6">
        <v>5</v>
      </c>
      <c r="E2166" s="6">
        <v>1114</v>
      </c>
      <c r="F2166" s="6">
        <v>3296</v>
      </c>
      <c r="G2166" s="6">
        <v>3370</v>
      </c>
      <c r="H2166" s="6">
        <v>1263</v>
      </c>
      <c r="I2166" s="6">
        <v>679</v>
      </c>
      <c r="J2166" s="6">
        <v>435</v>
      </c>
      <c r="K2166" s="40">
        <v>88</v>
      </c>
      <c r="L2166" s="40">
        <v>149</v>
      </c>
      <c r="M2166" s="40">
        <v>2269</v>
      </c>
      <c r="N2166" s="40">
        <v>850</v>
      </c>
      <c r="O2166" s="40">
        <v>803</v>
      </c>
      <c r="P2166" s="40">
        <v>561</v>
      </c>
      <c r="Q2166" s="40">
        <v>3</v>
      </c>
      <c r="R2166" s="40">
        <v>19</v>
      </c>
      <c r="S2166" s="40">
        <v>33</v>
      </c>
    </row>
    <row r="2167" spans="1:19" x14ac:dyDescent="0.35">
      <c r="A2167" s="38">
        <v>2530</v>
      </c>
      <c r="B2167" s="38" t="str">
        <f>_xlfn.XLOOKUP(A2167,'Model Modeshare by TAZ'!A:A,'Model Modeshare by TAZ'!B:B)</f>
        <v>Pittsburg</v>
      </c>
      <c r="C2167" s="38" t="str">
        <f>_xlfn.XLOOKUP(A2167,'Model Modeshare by TAZ'!A:A,'Model Modeshare by TAZ'!D:D)</f>
        <v>NO</v>
      </c>
      <c r="D2167" s="6">
        <v>5</v>
      </c>
      <c r="E2167" s="6">
        <v>1472</v>
      </c>
      <c r="F2167" s="6">
        <v>3928</v>
      </c>
      <c r="G2167" s="6">
        <v>4015</v>
      </c>
      <c r="H2167" s="6">
        <v>1787</v>
      </c>
      <c r="I2167" s="6">
        <v>925</v>
      </c>
      <c r="J2167" s="6">
        <v>547</v>
      </c>
      <c r="K2167" s="40">
        <v>167</v>
      </c>
      <c r="L2167" s="40">
        <v>227</v>
      </c>
      <c r="M2167" s="40">
        <v>2116</v>
      </c>
      <c r="N2167" s="40">
        <v>481</v>
      </c>
      <c r="O2167" s="40">
        <v>1489</v>
      </c>
      <c r="P2167" s="40">
        <v>66</v>
      </c>
      <c r="Q2167" s="40">
        <v>0</v>
      </c>
      <c r="R2167" s="40">
        <v>60</v>
      </c>
      <c r="S2167" s="40">
        <v>19</v>
      </c>
    </row>
    <row r="2168" spans="1:19" x14ac:dyDescent="0.35">
      <c r="A2168" s="38">
        <v>2531</v>
      </c>
      <c r="B2168" s="38" t="str">
        <f>_xlfn.XLOOKUP(A2168,'Model Modeshare by TAZ'!A:A,'Model Modeshare by TAZ'!B:B)</f>
        <v>Pittsburg</v>
      </c>
      <c r="C2168" s="38" t="str">
        <f>_xlfn.XLOOKUP(A2168,'Model Modeshare by TAZ'!A:A,'Model Modeshare by TAZ'!D:D)</f>
        <v>NO</v>
      </c>
      <c r="D2168" s="6">
        <v>5</v>
      </c>
      <c r="E2168" s="6">
        <v>2589</v>
      </c>
      <c r="F2168" s="6">
        <v>7119</v>
      </c>
      <c r="G2168" s="6">
        <v>7137</v>
      </c>
      <c r="H2168" s="6">
        <v>2597</v>
      </c>
      <c r="I2168" s="6">
        <v>1343</v>
      </c>
      <c r="J2168" s="6">
        <v>1246</v>
      </c>
      <c r="K2168" s="40">
        <v>293</v>
      </c>
      <c r="L2168" s="40">
        <v>334</v>
      </c>
      <c r="M2168" s="40">
        <v>2924</v>
      </c>
      <c r="N2168" s="40">
        <v>675</v>
      </c>
      <c r="O2168" s="40">
        <v>942</v>
      </c>
      <c r="P2168" s="40">
        <v>701</v>
      </c>
      <c r="Q2168" s="40">
        <v>0</v>
      </c>
      <c r="R2168" s="40">
        <v>166</v>
      </c>
      <c r="S2168" s="40">
        <v>440</v>
      </c>
    </row>
    <row r="2169" spans="1:19" x14ac:dyDescent="0.35">
      <c r="A2169" s="38">
        <v>2532</v>
      </c>
      <c r="B2169" s="38" t="str">
        <f>_xlfn.XLOOKUP(A2169,'Model Modeshare by TAZ'!A:A,'Model Modeshare by TAZ'!B:B)</f>
        <v>Unincorporated</v>
      </c>
      <c r="C2169" s="38" t="str">
        <f>_xlfn.XLOOKUP(A2169,'Model Modeshare by TAZ'!A:A,'Model Modeshare by TAZ'!D:D)</f>
        <v>NO</v>
      </c>
      <c r="D2169" s="6">
        <v>5</v>
      </c>
      <c r="E2169" s="6">
        <v>2622</v>
      </c>
      <c r="F2169" s="6">
        <v>8328</v>
      </c>
      <c r="G2169" s="6">
        <v>8386</v>
      </c>
      <c r="H2169" s="6">
        <v>3972</v>
      </c>
      <c r="I2169" s="6">
        <v>2157</v>
      </c>
      <c r="J2169" s="6">
        <v>465</v>
      </c>
      <c r="K2169" s="40">
        <v>628</v>
      </c>
      <c r="L2169" s="40">
        <v>1205</v>
      </c>
      <c r="M2169" s="40">
        <v>943</v>
      </c>
      <c r="N2169" s="40">
        <v>177</v>
      </c>
      <c r="O2169" s="40">
        <v>250</v>
      </c>
      <c r="P2169" s="40">
        <v>493</v>
      </c>
      <c r="Q2169" s="40">
        <v>3</v>
      </c>
      <c r="R2169" s="40">
        <v>15</v>
      </c>
      <c r="S2169" s="40">
        <v>7</v>
      </c>
    </row>
    <row r="2170" spans="1:19" x14ac:dyDescent="0.35">
      <c r="A2170" s="38">
        <v>2533</v>
      </c>
      <c r="B2170" s="38" t="str">
        <f>_xlfn.XLOOKUP(A2170,'Model Modeshare by TAZ'!A:A,'Model Modeshare by TAZ'!B:B)</f>
        <v>Pittsburg</v>
      </c>
      <c r="C2170" s="38" t="str">
        <f>_xlfn.XLOOKUP(A2170,'Model Modeshare by TAZ'!A:A,'Model Modeshare by TAZ'!D:D)</f>
        <v>NO</v>
      </c>
      <c r="D2170" s="6">
        <v>5</v>
      </c>
      <c r="E2170" s="6">
        <v>1229</v>
      </c>
      <c r="F2170" s="6">
        <v>4459</v>
      </c>
      <c r="G2170" s="6">
        <v>4472</v>
      </c>
      <c r="H2170" s="6">
        <v>2248</v>
      </c>
      <c r="I2170" s="6">
        <v>1011</v>
      </c>
      <c r="J2170" s="6">
        <v>218</v>
      </c>
      <c r="K2170" s="40">
        <v>194</v>
      </c>
      <c r="L2170" s="40">
        <v>160</v>
      </c>
      <c r="M2170" s="40">
        <v>642</v>
      </c>
      <c r="N2170" s="40">
        <v>43</v>
      </c>
      <c r="O2170" s="40">
        <v>529</v>
      </c>
      <c r="P2170" s="40">
        <v>50</v>
      </c>
      <c r="Q2170" s="40">
        <v>0</v>
      </c>
      <c r="R2170" s="40">
        <v>2</v>
      </c>
      <c r="S2170" s="40">
        <v>18</v>
      </c>
    </row>
    <row r="2171" spans="1:19" x14ac:dyDescent="0.35">
      <c r="A2171" s="38">
        <v>2534</v>
      </c>
      <c r="B2171" s="38" t="str">
        <f>_xlfn.XLOOKUP(A2171,'Model Modeshare by TAZ'!A:A,'Model Modeshare by TAZ'!B:B)</f>
        <v>Pittsburg</v>
      </c>
      <c r="C2171" s="38" t="str">
        <f>_xlfn.XLOOKUP(A2171,'Model Modeshare by TAZ'!A:A,'Model Modeshare by TAZ'!D:D)</f>
        <v>NO</v>
      </c>
      <c r="D2171" s="6">
        <v>5</v>
      </c>
      <c r="E2171" s="6">
        <v>869</v>
      </c>
      <c r="F2171" s="6">
        <v>3071</v>
      </c>
      <c r="G2171" s="6">
        <v>3073</v>
      </c>
      <c r="H2171" s="6">
        <v>1193</v>
      </c>
      <c r="I2171" s="6">
        <v>714</v>
      </c>
      <c r="J2171" s="6">
        <v>155</v>
      </c>
      <c r="K2171" s="40">
        <v>117</v>
      </c>
      <c r="L2171" s="40">
        <v>37</v>
      </c>
      <c r="M2171" s="40">
        <v>501</v>
      </c>
      <c r="N2171" s="40">
        <v>36</v>
      </c>
      <c r="O2171" s="40">
        <v>415</v>
      </c>
      <c r="P2171" s="40">
        <v>36</v>
      </c>
      <c r="Q2171" s="40">
        <v>0</v>
      </c>
      <c r="R2171" s="40">
        <v>0</v>
      </c>
      <c r="S2171" s="40">
        <v>14</v>
      </c>
    </row>
    <row r="2172" spans="1:19" x14ac:dyDescent="0.35">
      <c r="A2172" s="38">
        <v>2535</v>
      </c>
      <c r="B2172" s="38" t="str">
        <f>_xlfn.XLOOKUP(A2172,'Model Modeshare by TAZ'!A:A,'Model Modeshare by TAZ'!B:B)</f>
        <v>Pittsburg</v>
      </c>
      <c r="C2172" s="38" t="str">
        <f>_xlfn.XLOOKUP(A2172,'Model Modeshare by TAZ'!A:A,'Model Modeshare by TAZ'!D:D)</f>
        <v>NO</v>
      </c>
      <c r="D2172" s="6">
        <v>5</v>
      </c>
      <c r="E2172" s="6">
        <v>1484</v>
      </c>
      <c r="F2172" s="6">
        <v>5315</v>
      </c>
      <c r="G2172" s="6">
        <v>5354</v>
      </c>
      <c r="H2172" s="6">
        <v>2219</v>
      </c>
      <c r="I2172" s="6">
        <v>1044</v>
      </c>
      <c r="J2172" s="6">
        <v>440</v>
      </c>
      <c r="K2172" s="40">
        <v>133</v>
      </c>
      <c r="L2172" s="40">
        <v>110</v>
      </c>
      <c r="M2172" s="40">
        <v>2132</v>
      </c>
      <c r="N2172" s="40">
        <v>129</v>
      </c>
      <c r="O2172" s="40">
        <v>864</v>
      </c>
      <c r="P2172" s="40">
        <v>832</v>
      </c>
      <c r="Q2172" s="40">
        <v>0</v>
      </c>
      <c r="R2172" s="40">
        <v>145</v>
      </c>
      <c r="S2172" s="40">
        <v>162</v>
      </c>
    </row>
    <row r="2173" spans="1:19" x14ac:dyDescent="0.35">
      <c r="A2173" s="38">
        <v>2536</v>
      </c>
      <c r="B2173" s="38" t="str">
        <f>_xlfn.XLOOKUP(A2173,'Model Modeshare by TAZ'!A:A,'Model Modeshare by TAZ'!B:B)</f>
        <v>Pittsburg</v>
      </c>
      <c r="C2173" s="38" t="str">
        <f>_xlfn.XLOOKUP(A2173,'Model Modeshare by TAZ'!A:A,'Model Modeshare by TAZ'!D:D)</f>
        <v>NO</v>
      </c>
      <c r="D2173" s="6">
        <v>5</v>
      </c>
      <c r="E2173" s="6">
        <v>781</v>
      </c>
      <c r="F2173" s="6">
        <v>2326</v>
      </c>
      <c r="G2173" s="6">
        <v>2373</v>
      </c>
      <c r="H2173" s="6">
        <v>912</v>
      </c>
      <c r="I2173" s="6">
        <v>491</v>
      </c>
      <c r="J2173" s="6">
        <v>290</v>
      </c>
      <c r="K2173" s="40">
        <v>80</v>
      </c>
      <c r="L2173" s="40">
        <v>189</v>
      </c>
      <c r="M2173" s="40">
        <v>1418</v>
      </c>
      <c r="N2173" s="40">
        <v>24</v>
      </c>
      <c r="O2173" s="40">
        <v>1097</v>
      </c>
      <c r="P2173" s="40">
        <v>30</v>
      </c>
      <c r="Q2173" s="40">
        <v>0</v>
      </c>
      <c r="R2173" s="40">
        <v>249</v>
      </c>
      <c r="S2173" s="40">
        <v>18</v>
      </c>
    </row>
    <row r="2174" spans="1:19" x14ac:dyDescent="0.35">
      <c r="A2174" s="38">
        <v>2537</v>
      </c>
      <c r="B2174" s="38" t="str">
        <f>_xlfn.XLOOKUP(A2174,'Model Modeshare by TAZ'!A:A,'Model Modeshare by TAZ'!B:B)</f>
        <v>Pittsburg</v>
      </c>
      <c r="C2174" s="38" t="str">
        <f>_xlfn.XLOOKUP(A2174,'Model Modeshare by TAZ'!A:A,'Model Modeshare by TAZ'!D:D)</f>
        <v>NO</v>
      </c>
      <c r="D2174" s="6">
        <v>5</v>
      </c>
      <c r="E2174" s="6">
        <v>1249</v>
      </c>
      <c r="F2174" s="6">
        <v>3459</v>
      </c>
      <c r="G2174" s="6">
        <v>3504</v>
      </c>
      <c r="H2174" s="6">
        <v>1524</v>
      </c>
      <c r="I2174" s="6">
        <v>823</v>
      </c>
      <c r="J2174" s="6">
        <v>426</v>
      </c>
      <c r="K2174" s="40">
        <v>101</v>
      </c>
      <c r="L2174" s="40">
        <v>840</v>
      </c>
      <c r="M2174" s="40">
        <v>2310</v>
      </c>
      <c r="N2174" s="40">
        <v>394</v>
      </c>
      <c r="O2174" s="40">
        <v>541</v>
      </c>
      <c r="P2174" s="40">
        <v>398</v>
      </c>
      <c r="Q2174" s="40">
        <v>1</v>
      </c>
      <c r="R2174" s="40">
        <v>934</v>
      </c>
      <c r="S2174" s="40">
        <v>41</v>
      </c>
    </row>
    <row r="2175" spans="1:19" x14ac:dyDescent="0.35">
      <c r="A2175" s="38">
        <v>2538</v>
      </c>
      <c r="B2175" s="38" t="str">
        <f>_xlfn.XLOOKUP(A2175,'Model Modeshare by TAZ'!A:A,'Model Modeshare by TAZ'!B:B)</f>
        <v>Pittsburg</v>
      </c>
      <c r="C2175" s="38" t="str">
        <f>_xlfn.XLOOKUP(A2175,'Model Modeshare by TAZ'!A:A,'Model Modeshare by TAZ'!D:D)</f>
        <v>NO</v>
      </c>
      <c r="D2175" s="6">
        <v>5</v>
      </c>
      <c r="E2175" s="6">
        <v>1705</v>
      </c>
      <c r="F2175" s="6">
        <v>6537</v>
      </c>
      <c r="G2175" s="6">
        <v>6537</v>
      </c>
      <c r="H2175" s="6">
        <v>2635</v>
      </c>
      <c r="I2175" s="6">
        <v>1205</v>
      </c>
      <c r="J2175" s="6">
        <v>500</v>
      </c>
      <c r="K2175" s="40">
        <v>111</v>
      </c>
      <c r="L2175" s="40">
        <v>213</v>
      </c>
      <c r="M2175" s="40">
        <v>1276</v>
      </c>
      <c r="N2175" s="40">
        <v>194</v>
      </c>
      <c r="O2175" s="40">
        <v>416</v>
      </c>
      <c r="P2175" s="40">
        <v>432</v>
      </c>
      <c r="Q2175" s="40">
        <v>1</v>
      </c>
      <c r="R2175" s="40">
        <v>159</v>
      </c>
      <c r="S2175" s="40">
        <v>75</v>
      </c>
    </row>
    <row r="2176" spans="1:19" x14ac:dyDescent="0.35">
      <c r="A2176" s="38">
        <v>2539</v>
      </c>
      <c r="B2176" s="38" t="str">
        <f>_xlfn.XLOOKUP(A2176,'Model Modeshare by TAZ'!A:A,'Model Modeshare by TAZ'!B:B)</f>
        <v>Pittsburg</v>
      </c>
      <c r="C2176" s="38" t="str">
        <f>_xlfn.XLOOKUP(A2176,'Model Modeshare by TAZ'!A:A,'Model Modeshare by TAZ'!D:D)</f>
        <v>NO</v>
      </c>
      <c r="D2176" s="6">
        <v>5</v>
      </c>
      <c r="E2176" s="6">
        <v>1662</v>
      </c>
      <c r="F2176" s="6">
        <v>5576</v>
      </c>
      <c r="G2176" s="6">
        <v>5580</v>
      </c>
      <c r="H2176" s="6">
        <v>2634</v>
      </c>
      <c r="I2176" s="6">
        <v>1269</v>
      </c>
      <c r="J2176" s="6">
        <v>393</v>
      </c>
      <c r="K2176" s="40">
        <v>212</v>
      </c>
      <c r="L2176" s="40">
        <v>238</v>
      </c>
      <c r="M2176" s="40">
        <v>183</v>
      </c>
      <c r="N2176" s="40">
        <v>34</v>
      </c>
      <c r="O2176" s="40">
        <v>96</v>
      </c>
      <c r="P2176" s="40">
        <v>25</v>
      </c>
      <c r="Q2176" s="40">
        <v>5</v>
      </c>
      <c r="R2176" s="40">
        <v>4</v>
      </c>
      <c r="S2176" s="40">
        <v>20</v>
      </c>
    </row>
    <row r="2177" spans="1:19" x14ac:dyDescent="0.35">
      <c r="A2177" s="38">
        <v>2540</v>
      </c>
      <c r="B2177" s="38" t="str">
        <f>_xlfn.XLOOKUP(A2177,'Model Modeshare by TAZ'!A:A,'Model Modeshare by TAZ'!B:B)</f>
        <v>Unincorporated</v>
      </c>
      <c r="C2177" s="38" t="str">
        <f>_xlfn.XLOOKUP(A2177,'Model Modeshare by TAZ'!A:A,'Model Modeshare by TAZ'!D:D)</f>
        <v>NO</v>
      </c>
      <c r="D2177" s="6">
        <v>5</v>
      </c>
      <c r="E2177" s="6">
        <v>2446</v>
      </c>
      <c r="F2177" s="6">
        <v>7744</v>
      </c>
      <c r="G2177" s="6">
        <v>7814</v>
      </c>
      <c r="H2177" s="6">
        <v>3134</v>
      </c>
      <c r="I2177" s="6">
        <v>1461</v>
      </c>
      <c r="J2177" s="6">
        <v>985</v>
      </c>
      <c r="K2177" s="40">
        <v>322</v>
      </c>
      <c r="L2177" s="40">
        <v>94</v>
      </c>
      <c r="M2177" s="40">
        <v>631</v>
      </c>
      <c r="N2177" s="40">
        <v>157</v>
      </c>
      <c r="O2177" s="40">
        <v>222</v>
      </c>
      <c r="P2177" s="40">
        <v>76</v>
      </c>
      <c r="Q2177" s="40">
        <v>0</v>
      </c>
      <c r="R2177" s="40">
        <v>169</v>
      </c>
      <c r="S2177" s="40">
        <v>7</v>
      </c>
    </row>
    <row r="2178" spans="1:19" x14ac:dyDescent="0.35">
      <c r="A2178" s="38">
        <v>2541</v>
      </c>
      <c r="B2178" s="38" t="str">
        <f>_xlfn.XLOOKUP(A2178,'Model Modeshare by TAZ'!A:A,'Model Modeshare by TAZ'!B:B)</f>
        <v>Unincorporated</v>
      </c>
      <c r="C2178" s="38" t="str">
        <f>_xlfn.XLOOKUP(A2178,'Model Modeshare by TAZ'!A:A,'Model Modeshare by TAZ'!D:D)</f>
        <v>NO</v>
      </c>
      <c r="D2178" s="6">
        <v>5</v>
      </c>
      <c r="E2178" s="6">
        <v>1753</v>
      </c>
      <c r="F2178" s="6">
        <v>6139</v>
      </c>
      <c r="G2178" s="6">
        <v>6154</v>
      </c>
      <c r="H2178" s="6">
        <v>2619</v>
      </c>
      <c r="I2178" s="6">
        <v>1108</v>
      </c>
      <c r="J2178" s="6">
        <v>645</v>
      </c>
      <c r="K2178" s="40">
        <v>161</v>
      </c>
      <c r="L2178" s="40">
        <v>472</v>
      </c>
      <c r="M2178" s="40">
        <v>274</v>
      </c>
      <c r="N2178" s="40">
        <v>66</v>
      </c>
      <c r="O2178" s="40">
        <v>97</v>
      </c>
      <c r="P2178" s="40">
        <v>33</v>
      </c>
      <c r="Q2178" s="40">
        <v>0</v>
      </c>
      <c r="R2178" s="40">
        <v>75</v>
      </c>
      <c r="S2178" s="40">
        <v>3</v>
      </c>
    </row>
    <row r="2179" spans="1:19" x14ac:dyDescent="0.35">
      <c r="A2179" s="38">
        <v>2542</v>
      </c>
      <c r="B2179" s="38" t="str">
        <f>_xlfn.XLOOKUP(A2179,'Model Modeshare by TAZ'!A:A,'Model Modeshare by TAZ'!B:B)</f>
        <v>Unincorporated</v>
      </c>
      <c r="C2179" s="38" t="str">
        <f>_xlfn.XLOOKUP(A2179,'Model Modeshare by TAZ'!A:A,'Model Modeshare by TAZ'!D:D)</f>
        <v>NO</v>
      </c>
      <c r="D2179" s="6">
        <v>5</v>
      </c>
      <c r="E2179" s="6">
        <v>1730</v>
      </c>
      <c r="F2179" s="6">
        <v>6965</v>
      </c>
      <c r="G2179" s="6">
        <v>6971</v>
      </c>
      <c r="H2179" s="6">
        <v>3368</v>
      </c>
      <c r="I2179" s="6">
        <v>1375</v>
      </c>
      <c r="J2179" s="6">
        <v>355</v>
      </c>
      <c r="K2179" s="40">
        <v>287</v>
      </c>
      <c r="L2179" s="40">
        <v>252</v>
      </c>
      <c r="M2179" s="40">
        <v>413</v>
      </c>
      <c r="N2179" s="40">
        <v>31</v>
      </c>
      <c r="O2179" s="40">
        <v>268</v>
      </c>
      <c r="P2179" s="40">
        <v>98</v>
      </c>
      <c r="Q2179" s="40">
        <v>1</v>
      </c>
      <c r="R2179" s="40">
        <v>14</v>
      </c>
      <c r="S2179" s="40">
        <v>0</v>
      </c>
    </row>
    <row r="2180" spans="1:19" x14ac:dyDescent="0.35">
      <c r="A2180" s="38">
        <v>2543</v>
      </c>
      <c r="B2180" s="38" t="str">
        <f>_xlfn.XLOOKUP(A2180,'Model Modeshare by TAZ'!A:A,'Model Modeshare by TAZ'!B:B)</f>
        <v>Unincorporated</v>
      </c>
      <c r="C2180" s="38" t="str">
        <f>_xlfn.XLOOKUP(A2180,'Model Modeshare by TAZ'!A:A,'Model Modeshare by TAZ'!D:D)</f>
        <v>NO</v>
      </c>
      <c r="D2180" s="6">
        <v>6</v>
      </c>
      <c r="E2180" s="6">
        <v>1473</v>
      </c>
      <c r="F2180" s="6">
        <v>3766</v>
      </c>
      <c r="G2180" s="6">
        <v>3773</v>
      </c>
      <c r="H2180" s="6">
        <v>2034</v>
      </c>
      <c r="I2180" s="6">
        <v>1078</v>
      </c>
      <c r="J2180" s="6">
        <v>395</v>
      </c>
      <c r="K2180" s="40">
        <v>226</v>
      </c>
      <c r="L2180" s="40">
        <v>1665</v>
      </c>
      <c r="M2180" s="40">
        <v>8446</v>
      </c>
      <c r="N2180" s="40">
        <v>782</v>
      </c>
      <c r="O2180" s="40">
        <v>1866</v>
      </c>
      <c r="P2180" s="40">
        <v>2556</v>
      </c>
      <c r="Q2180" s="40">
        <v>0</v>
      </c>
      <c r="R2180" s="40">
        <v>2492</v>
      </c>
      <c r="S2180" s="40">
        <v>750</v>
      </c>
    </row>
    <row r="2181" spans="1:19" x14ac:dyDescent="0.35">
      <c r="A2181" s="38">
        <v>2544</v>
      </c>
      <c r="B2181" s="38" t="str">
        <f>_xlfn.XLOOKUP(A2181,'Model Modeshare by TAZ'!A:A,'Model Modeshare by TAZ'!B:B)</f>
        <v>Benicia</v>
      </c>
      <c r="C2181" s="38" t="str">
        <f>_xlfn.XLOOKUP(A2181,'Model Modeshare by TAZ'!A:A,'Model Modeshare by TAZ'!D:D)</f>
        <v>NO</v>
      </c>
      <c r="D2181" s="6">
        <v>6</v>
      </c>
      <c r="E2181" s="6">
        <v>2148</v>
      </c>
      <c r="F2181" s="6">
        <v>4272</v>
      </c>
      <c r="G2181" s="6">
        <v>4279</v>
      </c>
      <c r="H2181" s="6">
        <v>1943</v>
      </c>
      <c r="I2181" s="6">
        <v>1213</v>
      </c>
      <c r="J2181" s="6">
        <v>935</v>
      </c>
      <c r="K2181" s="40">
        <v>224</v>
      </c>
      <c r="L2181" s="40">
        <v>45</v>
      </c>
      <c r="M2181" s="40">
        <v>1821</v>
      </c>
      <c r="N2181" s="40">
        <v>378</v>
      </c>
      <c r="O2181" s="40">
        <v>405</v>
      </c>
      <c r="P2181" s="40">
        <v>834</v>
      </c>
      <c r="Q2181" s="40">
        <v>1</v>
      </c>
      <c r="R2181" s="40">
        <v>201</v>
      </c>
      <c r="S2181" s="40">
        <v>2</v>
      </c>
    </row>
    <row r="2182" spans="1:19" x14ac:dyDescent="0.35">
      <c r="A2182" s="38">
        <v>2545</v>
      </c>
      <c r="B2182" s="38" t="str">
        <f>_xlfn.XLOOKUP(A2182,'Model Modeshare by TAZ'!A:A,'Model Modeshare by TAZ'!B:B)</f>
        <v>Benicia</v>
      </c>
      <c r="C2182" s="38" t="str">
        <f>_xlfn.XLOOKUP(A2182,'Model Modeshare by TAZ'!A:A,'Model Modeshare by TAZ'!D:D)</f>
        <v>NO</v>
      </c>
      <c r="D2182" s="6">
        <v>6</v>
      </c>
      <c r="E2182" s="6">
        <v>1345</v>
      </c>
      <c r="F2182" s="6">
        <v>3268</v>
      </c>
      <c r="G2182" s="6">
        <v>3277</v>
      </c>
      <c r="H2182" s="6">
        <v>1740</v>
      </c>
      <c r="I2182" s="6">
        <v>1076</v>
      </c>
      <c r="J2182" s="6">
        <v>269</v>
      </c>
      <c r="K2182" s="40">
        <v>183</v>
      </c>
      <c r="L2182" s="40">
        <v>16</v>
      </c>
      <c r="M2182" s="40">
        <v>813</v>
      </c>
      <c r="N2182" s="40">
        <v>122</v>
      </c>
      <c r="O2182" s="40">
        <v>79</v>
      </c>
      <c r="P2182" s="40">
        <v>513</v>
      </c>
      <c r="Q2182" s="40">
        <v>2</v>
      </c>
      <c r="R2182" s="40">
        <v>93</v>
      </c>
      <c r="S2182" s="40">
        <v>4</v>
      </c>
    </row>
    <row r="2183" spans="1:19" x14ac:dyDescent="0.35">
      <c r="A2183" s="38">
        <v>2546</v>
      </c>
      <c r="B2183" s="38" t="str">
        <f>_xlfn.XLOOKUP(A2183,'Model Modeshare by TAZ'!A:A,'Model Modeshare by TAZ'!B:B)</f>
        <v>Benicia</v>
      </c>
      <c r="C2183" s="38" t="str">
        <f>_xlfn.XLOOKUP(A2183,'Model Modeshare by TAZ'!A:A,'Model Modeshare by TAZ'!D:D)</f>
        <v>NO</v>
      </c>
      <c r="D2183" s="6">
        <v>6</v>
      </c>
      <c r="E2183" s="6">
        <v>1311</v>
      </c>
      <c r="F2183" s="6">
        <v>3353</v>
      </c>
      <c r="G2183" s="6">
        <v>3353</v>
      </c>
      <c r="H2183" s="6">
        <v>1412</v>
      </c>
      <c r="I2183" s="6">
        <v>1019</v>
      </c>
      <c r="J2183" s="6">
        <v>292</v>
      </c>
      <c r="K2183" s="40">
        <v>268</v>
      </c>
      <c r="L2183" s="40">
        <v>8</v>
      </c>
      <c r="M2183" s="40">
        <v>1238</v>
      </c>
      <c r="N2183" s="40">
        <v>185</v>
      </c>
      <c r="O2183" s="40">
        <v>129</v>
      </c>
      <c r="P2183" s="40">
        <v>779</v>
      </c>
      <c r="Q2183" s="40">
        <v>6</v>
      </c>
      <c r="R2183" s="40">
        <v>134</v>
      </c>
      <c r="S2183" s="40">
        <v>6</v>
      </c>
    </row>
    <row r="2184" spans="1:19" x14ac:dyDescent="0.35">
      <c r="A2184" s="38">
        <v>2547</v>
      </c>
      <c r="B2184" s="38" t="str">
        <f>_xlfn.XLOOKUP(A2184,'Model Modeshare by TAZ'!A:A,'Model Modeshare by TAZ'!B:B)</f>
        <v>Benicia</v>
      </c>
      <c r="C2184" s="38" t="str">
        <f>_xlfn.XLOOKUP(A2184,'Model Modeshare by TAZ'!A:A,'Model Modeshare by TAZ'!D:D)</f>
        <v>NO</v>
      </c>
      <c r="D2184" s="6">
        <v>6</v>
      </c>
      <c r="E2184" s="6">
        <v>1916</v>
      </c>
      <c r="F2184" s="6">
        <v>5049</v>
      </c>
      <c r="G2184" s="6">
        <v>5049</v>
      </c>
      <c r="H2184" s="6">
        <v>2502</v>
      </c>
      <c r="I2184" s="6">
        <v>1326</v>
      </c>
      <c r="J2184" s="6">
        <v>590</v>
      </c>
      <c r="K2184" s="40">
        <v>342</v>
      </c>
      <c r="L2184" s="40">
        <v>23</v>
      </c>
      <c r="M2184" s="40">
        <v>817</v>
      </c>
      <c r="N2184" s="40">
        <v>123</v>
      </c>
      <c r="O2184" s="40">
        <v>78</v>
      </c>
      <c r="P2184" s="40">
        <v>516</v>
      </c>
      <c r="Q2184" s="40">
        <v>3</v>
      </c>
      <c r="R2184" s="40">
        <v>92</v>
      </c>
      <c r="S2184" s="40">
        <v>4</v>
      </c>
    </row>
    <row r="2185" spans="1:19" x14ac:dyDescent="0.35">
      <c r="A2185" s="38">
        <v>2548</v>
      </c>
      <c r="B2185" s="38" t="str">
        <f>_xlfn.XLOOKUP(A2185,'Model Modeshare by TAZ'!A:A,'Model Modeshare by TAZ'!B:B)</f>
        <v>Benicia</v>
      </c>
      <c r="C2185" s="38" t="str">
        <f>_xlfn.XLOOKUP(A2185,'Model Modeshare by TAZ'!A:A,'Model Modeshare by TAZ'!D:D)</f>
        <v>NO</v>
      </c>
      <c r="D2185" s="6">
        <v>6</v>
      </c>
      <c r="E2185" s="6">
        <v>1250</v>
      </c>
      <c r="F2185" s="6">
        <v>3187</v>
      </c>
      <c r="G2185" s="6">
        <v>3187</v>
      </c>
      <c r="H2185" s="6">
        <v>1659</v>
      </c>
      <c r="I2185" s="6">
        <v>1024</v>
      </c>
      <c r="J2185" s="6">
        <v>226</v>
      </c>
      <c r="K2185" s="40">
        <v>236</v>
      </c>
      <c r="L2185" s="40">
        <v>13</v>
      </c>
      <c r="M2185" s="40">
        <v>261</v>
      </c>
      <c r="N2185" s="40">
        <v>40</v>
      </c>
      <c r="O2185" s="40">
        <v>25</v>
      </c>
      <c r="P2185" s="40">
        <v>164</v>
      </c>
      <c r="Q2185" s="40">
        <v>1</v>
      </c>
      <c r="R2185" s="40">
        <v>29</v>
      </c>
      <c r="S2185" s="40">
        <v>2</v>
      </c>
    </row>
    <row r="2186" spans="1:19" x14ac:dyDescent="0.35">
      <c r="A2186" s="38">
        <v>2549</v>
      </c>
      <c r="B2186" s="38" t="str">
        <f>_xlfn.XLOOKUP(A2186,'Model Modeshare by TAZ'!A:A,'Model Modeshare by TAZ'!B:B)</f>
        <v>Benicia</v>
      </c>
      <c r="C2186" s="38" t="str">
        <f>_xlfn.XLOOKUP(A2186,'Model Modeshare by TAZ'!A:A,'Model Modeshare by TAZ'!D:D)</f>
        <v>NO</v>
      </c>
      <c r="D2186" s="6">
        <v>6</v>
      </c>
      <c r="E2186" s="6">
        <v>1735</v>
      </c>
      <c r="F2186" s="6">
        <v>5439</v>
      </c>
      <c r="G2186" s="6">
        <v>5442</v>
      </c>
      <c r="H2186" s="6">
        <v>2816</v>
      </c>
      <c r="I2186" s="6">
        <v>1733</v>
      </c>
      <c r="J2186" s="6">
        <v>2</v>
      </c>
      <c r="K2186" s="40">
        <v>407</v>
      </c>
      <c r="L2186" s="40">
        <v>81</v>
      </c>
      <c r="M2186" s="40">
        <v>1359</v>
      </c>
      <c r="N2186" s="40">
        <v>207</v>
      </c>
      <c r="O2186" s="40">
        <v>139</v>
      </c>
      <c r="P2186" s="40">
        <v>833</v>
      </c>
      <c r="Q2186" s="40">
        <v>5</v>
      </c>
      <c r="R2186" s="40">
        <v>163</v>
      </c>
      <c r="S2186" s="40">
        <v>12</v>
      </c>
    </row>
    <row r="2187" spans="1:19" x14ac:dyDescent="0.35">
      <c r="A2187" s="38">
        <v>2550</v>
      </c>
      <c r="B2187" s="38" t="str">
        <f>_xlfn.XLOOKUP(A2187,'Model Modeshare by TAZ'!A:A,'Model Modeshare by TAZ'!B:B)</f>
        <v>Vallejo</v>
      </c>
      <c r="C2187" s="38" t="str">
        <f>_xlfn.XLOOKUP(A2187,'Model Modeshare by TAZ'!A:A,'Model Modeshare by TAZ'!D:D)</f>
        <v>NO</v>
      </c>
      <c r="D2187" s="6">
        <v>6</v>
      </c>
      <c r="E2187" s="6">
        <v>1951</v>
      </c>
      <c r="F2187" s="6">
        <v>5152</v>
      </c>
      <c r="G2187" s="6">
        <v>5183</v>
      </c>
      <c r="H2187" s="6">
        <v>2479</v>
      </c>
      <c r="I2187" s="6">
        <v>1253</v>
      </c>
      <c r="J2187" s="6">
        <v>698</v>
      </c>
      <c r="K2187" s="40">
        <v>299</v>
      </c>
      <c r="L2187" s="40">
        <v>5</v>
      </c>
      <c r="M2187" s="40">
        <v>116</v>
      </c>
      <c r="N2187" s="40">
        <v>17</v>
      </c>
      <c r="O2187" s="40">
        <v>18</v>
      </c>
      <c r="P2187" s="40">
        <v>56</v>
      </c>
      <c r="Q2187" s="40">
        <v>1</v>
      </c>
      <c r="R2187" s="40">
        <v>20</v>
      </c>
      <c r="S2187" s="40">
        <v>4</v>
      </c>
    </row>
    <row r="2188" spans="1:19" x14ac:dyDescent="0.35">
      <c r="A2188" s="38">
        <v>2551</v>
      </c>
      <c r="B2188" s="38" t="str">
        <f>_xlfn.XLOOKUP(A2188,'Model Modeshare by TAZ'!A:A,'Model Modeshare by TAZ'!B:B)</f>
        <v>Vallejo</v>
      </c>
      <c r="C2188" s="38" t="str">
        <f>_xlfn.XLOOKUP(A2188,'Model Modeshare by TAZ'!A:A,'Model Modeshare by TAZ'!D:D)</f>
        <v>NO</v>
      </c>
      <c r="D2188" s="6">
        <v>6</v>
      </c>
      <c r="E2188" s="6">
        <v>1000</v>
      </c>
      <c r="F2188" s="6">
        <v>3119</v>
      </c>
      <c r="G2188" s="6">
        <v>3156</v>
      </c>
      <c r="H2188" s="6">
        <v>1431</v>
      </c>
      <c r="I2188" s="6">
        <v>866</v>
      </c>
      <c r="J2188" s="6">
        <v>134</v>
      </c>
      <c r="K2188" s="40">
        <v>249</v>
      </c>
      <c r="L2188" s="40">
        <v>19</v>
      </c>
      <c r="M2188" s="40">
        <v>801</v>
      </c>
      <c r="N2188" s="40">
        <v>186</v>
      </c>
      <c r="O2188" s="40">
        <v>171</v>
      </c>
      <c r="P2188" s="40">
        <v>336</v>
      </c>
      <c r="Q2188" s="40">
        <v>1</v>
      </c>
      <c r="R2188" s="40">
        <v>78</v>
      </c>
      <c r="S2188" s="40">
        <v>29</v>
      </c>
    </row>
    <row r="2189" spans="1:19" x14ac:dyDescent="0.35">
      <c r="A2189" s="38">
        <v>2552</v>
      </c>
      <c r="B2189" s="38" t="str">
        <f>_xlfn.XLOOKUP(A2189,'Model Modeshare by TAZ'!A:A,'Model Modeshare by TAZ'!B:B)</f>
        <v>Vallejo</v>
      </c>
      <c r="C2189" s="38" t="str">
        <f>_xlfn.XLOOKUP(A2189,'Model Modeshare by TAZ'!A:A,'Model Modeshare by TAZ'!D:D)</f>
        <v>NO</v>
      </c>
      <c r="D2189" s="6">
        <v>6</v>
      </c>
      <c r="E2189" s="6">
        <v>2961</v>
      </c>
      <c r="F2189" s="6">
        <v>7814</v>
      </c>
      <c r="G2189" s="6">
        <v>7829</v>
      </c>
      <c r="H2189" s="6">
        <v>4052</v>
      </c>
      <c r="I2189" s="6">
        <v>2452</v>
      </c>
      <c r="J2189" s="6">
        <v>509</v>
      </c>
      <c r="K2189" s="40">
        <v>466</v>
      </c>
      <c r="L2189" s="40">
        <v>28</v>
      </c>
      <c r="M2189" s="40">
        <v>595</v>
      </c>
      <c r="N2189" s="40">
        <v>246</v>
      </c>
      <c r="O2189" s="40">
        <v>155</v>
      </c>
      <c r="P2189" s="40">
        <v>131</v>
      </c>
      <c r="Q2189" s="40">
        <v>0</v>
      </c>
      <c r="R2189" s="40">
        <v>62</v>
      </c>
      <c r="S2189" s="40">
        <v>2</v>
      </c>
    </row>
    <row r="2190" spans="1:19" x14ac:dyDescent="0.35">
      <c r="A2190" s="38">
        <v>2553</v>
      </c>
      <c r="B2190" s="38" t="str">
        <f>_xlfn.XLOOKUP(A2190,'Model Modeshare by TAZ'!A:A,'Model Modeshare by TAZ'!B:B)</f>
        <v>Vallejo</v>
      </c>
      <c r="C2190" s="38" t="str">
        <f>_xlfn.XLOOKUP(A2190,'Model Modeshare by TAZ'!A:A,'Model Modeshare by TAZ'!D:D)</f>
        <v>NO</v>
      </c>
      <c r="D2190" s="6">
        <v>6</v>
      </c>
      <c r="E2190" s="6">
        <v>1560</v>
      </c>
      <c r="F2190" s="6">
        <v>5111</v>
      </c>
      <c r="G2190" s="6">
        <v>5132</v>
      </c>
      <c r="H2190" s="6">
        <v>2193</v>
      </c>
      <c r="I2190" s="6">
        <v>1472</v>
      </c>
      <c r="J2190" s="6">
        <v>88</v>
      </c>
      <c r="K2190" s="40">
        <v>308</v>
      </c>
      <c r="L2190" s="40">
        <v>30</v>
      </c>
      <c r="M2190" s="40">
        <v>378</v>
      </c>
      <c r="N2190" s="40">
        <v>1</v>
      </c>
      <c r="O2190" s="40">
        <v>215</v>
      </c>
      <c r="P2190" s="40">
        <v>138</v>
      </c>
      <c r="Q2190" s="40">
        <v>1</v>
      </c>
      <c r="R2190" s="40">
        <v>0</v>
      </c>
      <c r="S2190" s="40">
        <v>22</v>
      </c>
    </row>
    <row r="2191" spans="1:19" x14ac:dyDescent="0.35">
      <c r="A2191" s="38">
        <v>2554</v>
      </c>
      <c r="B2191" s="38" t="str">
        <f>_xlfn.XLOOKUP(A2191,'Model Modeshare by TAZ'!A:A,'Model Modeshare by TAZ'!B:B)</f>
        <v>Vallejo</v>
      </c>
      <c r="C2191" s="38" t="str">
        <f>_xlfn.XLOOKUP(A2191,'Model Modeshare by TAZ'!A:A,'Model Modeshare by TAZ'!D:D)</f>
        <v>NO</v>
      </c>
      <c r="D2191" s="6">
        <v>6</v>
      </c>
      <c r="E2191" s="6">
        <v>1199</v>
      </c>
      <c r="F2191" s="6">
        <v>2869</v>
      </c>
      <c r="G2191" s="6">
        <v>3093</v>
      </c>
      <c r="H2191" s="6">
        <v>1400</v>
      </c>
      <c r="I2191" s="6">
        <v>393</v>
      </c>
      <c r="J2191" s="6">
        <v>806</v>
      </c>
      <c r="K2191" s="40">
        <v>94</v>
      </c>
      <c r="L2191" s="40">
        <v>8</v>
      </c>
      <c r="M2191" s="40">
        <v>173</v>
      </c>
      <c r="N2191" s="40">
        <v>21</v>
      </c>
      <c r="O2191" s="40">
        <v>92</v>
      </c>
      <c r="P2191" s="40">
        <v>43</v>
      </c>
      <c r="Q2191" s="40">
        <v>0</v>
      </c>
      <c r="R2191" s="40">
        <v>12</v>
      </c>
      <c r="S2191" s="40">
        <v>5</v>
      </c>
    </row>
    <row r="2192" spans="1:19" x14ac:dyDescent="0.35">
      <c r="A2192" s="38">
        <v>2555</v>
      </c>
      <c r="B2192" s="38" t="str">
        <f>_xlfn.XLOOKUP(A2192,'Model Modeshare by TAZ'!A:A,'Model Modeshare by TAZ'!B:B)</f>
        <v>Vallejo</v>
      </c>
      <c r="C2192" s="38" t="str">
        <f>_xlfn.XLOOKUP(A2192,'Model Modeshare by TAZ'!A:A,'Model Modeshare by TAZ'!D:D)</f>
        <v>NO</v>
      </c>
      <c r="D2192" s="6">
        <v>6</v>
      </c>
      <c r="E2192" s="6">
        <v>1132</v>
      </c>
      <c r="F2192" s="6">
        <v>3429</v>
      </c>
      <c r="G2192" s="6">
        <v>3457</v>
      </c>
      <c r="H2192" s="6">
        <v>1380</v>
      </c>
      <c r="I2192" s="6">
        <v>596</v>
      </c>
      <c r="J2192" s="6">
        <v>536</v>
      </c>
      <c r="K2192" s="40">
        <v>173</v>
      </c>
      <c r="L2192" s="40">
        <v>134</v>
      </c>
      <c r="M2192" s="40">
        <v>1458</v>
      </c>
      <c r="N2192" s="40">
        <v>104</v>
      </c>
      <c r="O2192" s="40">
        <v>321</v>
      </c>
      <c r="P2192" s="40">
        <v>578</v>
      </c>
      <c r="Q2192" s="40">
        <v>1</v>
      </c>
      <c r="R2192" s="40">
        <v>362</v>
      </c>
      <c r="S2192" s="40">
        <v>93</v>
      </c>
    </row>
    <row r="2193" spans="1:19" x14ac:dyDescent="0.35">
      <c r="A2193" s="38">
        <v>2556</v>
      </c>
      <c r="B2193" s="38" t="str">
        <f>_xlfn.XLOOKUP(A2193,'Model Modeshare by TAZ'!A:A,'Model Modeshare by TAZ'!B:B)</f>
        <v>Vallejo</v>
      </c>
      <c r="C2193" s="38" t="str">
        <f>_xlfn.XLOOKUP(A2193,'Model Modeshare by TAZ'!A:A,'Model Modeshare by TAZ'!D:D)</f>
        <v>NO</v>
      </c>
      <c r="D2193" s="6">
        <v>6</v>
      </c>
      <c r="E2193" s="6">
        <v>1207</v>
      </c>
      <c r="F2193" s="6">
        <v>2468</v>
      </c>
      <c r="G2193" s="6">
        <v>2468</v>
      </c>
      <c r="H2193" s="6">
        <v>963</v>
      </c>
      <c r="I2193" s="6">
        <v>174</v>
      </c>
      <c r="J2193" s="6">
        <v>1033</v>
      </c>
      <c r="K2193" s="40">
        <v>35</v>
      </c>
      <c r="L2193" s="40">
        <v>65</v>
      </c>
      <c r="M2193" s="40">
        <v>1668</v>
      </c>
      <c r="N2193" s="40">
        <v>418</v>
      </c>
      <c r="O2193" s="40">
        <v>498</v>
      </c>
      <c r="P2193" s="40">
        <v>691</v>
      </c>
      <c r="Q2193" s="40">
        <v>0</v>
      </c>
      <c r="R2193" s="40">
        <v>60</v>
      </c>
      <c r="S2193" s="40">
        <v>0</v>
      </c>
    </row>
    <row r="2194" spans="1:19" x14ac:dyDescent="0.35">
      <c r="A2194" s="38">
        <v>2557</v>
      </c>
      <c r="B2194" s="38" t="str">
        <f>_xlfn.XLOOKUP(A2194,'Model Modeshare by TAZ'!A:A,'Model Modeshare by TAZ'!B:B)</f>
        <v>Vallejo</v>
      </c>
      <c r="C2194" s="38" t="str">
        <f>_xlfn.XLOOKUP(A2194,'Model Modeshare by TAZ'!A:A,'Model Modeshare by TAZ'!D:D)</f>
        <v>NO</v>
      </c>
      <c r="D2194" s="6">
        <v>6</v>
      </c>
      <c r="E2194" s="6">
        <v>1024</v>
      </c>
      <c r="F2194" s="6">
        <v>2581</v>
      </c>
      <c r="G2194" s="6">
        <v>2581</v>
      </c>
      <c r="H2194" s="6">
        <v>1239</v>
      </c>
      <c r="I2194" s="6">
        <v>619</v>
      </c>
      <c r="J2194" s="6">
        <v>405</v>
      </c>
      <c r="K2194" s="40">
        <v>109</v>
      </c>
      <c r="L2194" s="40">
        <v>26</v>
      </c>
      <c r="M2194" s="40">
        <v>1857</v>
      </c>
      <c r="N2194" s="40">
        <v>116</v>
      </c>
      <c r="O2194" s="40">
        <v>310</v>
      </c>
      <c r="P2194" s="40">
        <v>1267</v>
      </c>
      <c r="Q2194" s="40">
        <v>0</v>
      </c>
      <c r="R2194" s="40">
        <v>147</v>
      </c>
      <c r="S2194" s="40">
        <v>17</v>
      </c>
    </row>
    <row r="2195" spans="1:19" x14ac:dyDescent="0.35">
      <c r="A2195" s="38">
        <v>2558</v>
      </c>
      <c r="B2195" s="38" t="str">
        <f>_xlfn.XLOOKUP(A2195,'Model Modeshare by TAZ'!A:A,'Model Modeshare by TAZ'!B:B)</f>
        <v>Vallejo</v>
      </c>
      <c r="C2195" s="38" t="str">
        <f>_xlfn.XLOOKUP(A2195,'Model Modeshare by TAZ'!A:A,'Model Modeshare by TAZ'!D:D)</f>
        <v>NO</v>
      </c>
      <c r="D2195" s="6">
        <v>6</v>
      </c>
      <c r="E2195" s="6">
        <v>1105</v>
      </c>
      <c r="F2195" s="6">
        <v>3087</v>
      </c>
      <c r="G2195" s="6">
        <v>3105</v>
      </c>
      <c r="H2195" s="6">
        <v>1396</v>
      </c>
      <c r="I2195" s="6">
        <v>902</v>
      </c>
      <c r="J2195" s="6">
        <v>203</v>
      </c>
      <c r="K2195" s="40">
        <v>143</v>
      </c>
      <c r="L2195" s="40">
        <v>36</v>
      </c>
      <c r="M2195" s="40">
        <v>480</v>
      </c>
      <c r="N2195" s="40">
        <v>57</v>
      </c>
      <c r="O2195" s="40">
        <v>41</v>
      </c>
      <c r="P2195" s="40">
        <v>369</v>
      </c>
      <c r="Q2195" s="40">
        <v>0</v>
      </c>
      <c r="R2195" s="40">
        <v>7</v>
      </c>
      <c r="S2195" s="40">
        <v>6</v>
      </c>
    </row>
    <row r="2196" spans="1:19" x14ac:dyDescent="0.35">
      <c r="A2196" s="38">
        <v>2559</v>
      </c>
      <c r="B2196" s="38" t="str">
        <f>_xlfn.XLOOKUP(A2196,'Model Modeshare by TAZ'!A:A,'Model Modeshare by TAZ'!B:B)</f>
        <v>Vallejo</v>
      </c>
      <c r="C2196" s="38" t="str">
        <f>_xlfn.XLOOKUP(A2196,'Model Modeshare by TAZ'!A:A,'Model Modeshare by TAZ'!D:D)</f>
        <v>NO</v>
      </c>
      <c r="D2196" s="6">
        <v>6</v>
      </c>
      <c r="E2196" s="6">
        <v>1034</v>
      </c>
      <c r="F2196" s="6">
        <v>2560</v>
      </c>
      <c r="G2196" s="6">
        <v>2573</v>
      </c>
      <c r="H2196" s="6">
        <v>1105</v>
      </c>
      <c r="I2196" s="6">
        <v>975</v>
      </c>
      <c r="J2196" s="6">
        <v>59</v>
      </c>
      <c r="K2196" s="40">
        <v>195</v>
      </c>
      <c r="L2196" s="40">
        <v>15</v>
      </c>
      <c r="M2196" s="40">
        <v>228</v>
      </c>
      <c r="N2196" s="40">
        <v>98</v>
      </c>
      <c r="O2196" s="40">
        <v>50</v>
      </c>
      <c r="P2196" s="40">
        <v>67</v>
      </c>
      <c r="Q2196" s="40">
        <v>1</v>
      </c>
      <c r="R2196" s="40">
        <v>13</v>
      </c>
      <c r="S2196" s="40">
        <v>0</v>
      </c>
    </row>
    <row r="2197" spans="1:19" x14ac:dyDescent="0.35">
      <c r="A2197" s="38">
        <v>2560</v>
      </c>
      <c r="B2197" s="38" t="str">
        <f>_xlfn.XLOOKUP(A2197,'Model Modeshare by TAZ'!A:A,'Model Modeshare by TAZ'!B:B)</f>
        <v>Vallejo</v>
      </c>
      <c r="C2197" s="38" t="str">
        <f>_xlfn.XLOOKUP(A2197,'Model Modeshare by TAZ'!A:A,'Model Modeshare by TAZ'!D:D)</f>
        <v>NO</v>
      </c>
      <c r="D2197" s="6">
        <v>6</v>
      </c>
      <c r="E2197" s="6">
        <v>776</v>
      </c>
      <c r="F2197" s="6">
        <v>2207</v>
      </c>
      <c r="G2197" s="6">
        <v>2247</v>
      </c>
      <c r="H2197" s="6">
        <v>1144</v>
      </c>
      <c r="I2197" s="6">
        <v>720</v>
      </c>
      <c r="J2197" s="6">
        <v>56</v>
      </c>
      <c r="K2197" s="40">
        <v>207</v>
      </c>
      <c r="L2197" s="40">
        <v>27</v>
      </c>
      <c r="M2197" s="40">
        <v>223</v>
      </c>
      <c r="N2197" s="40">
        <v>28</v>
      </c>
      <c r="O2197" s="40">
        <v>127</v>
      </c>
      <c r="P2197" s="40">
        <v>64</v>
      </c>
      <c r="Q2197" s="40">
        <v>1</v>
      </c>
      <c r="R2197" s="40">
        <v>0</v>
      </c>
      <c r="S2197" s="40">
        <v>1</v>
      </c>
    </row>
    <row r="2198" spans="1:19" x14ac:dyDescent="0.35">
      <c r="A2198" s="38">
        <v>2561</v>
      </c>
      <c r="B2198" s="38" t="str">
        <f>_xlfn.XLOOKUP(A2198,'Model Modeshare by TAZ'!A:A,'Model Modeshare by TAZ'!B:B)</f>
        <v>Vallejo</v>
      </c>
      <c r="C2198" s="38" t="str">
        <f>_xlfn.XLOOKUP(A2198,'Model Modeshare by TAZ'!A:A,'Model Modeshare by TAZ'!D:D)</f>
        <v>NO</v>
      </c>
      <c r="D2198" s="6">
        <v>6</v>
      </c>
      <c r="E2198" s="6">
        <v>1461</v>
      </c>
      <c r="F2198" s="6">
        <v>3913</v>
      </c>
      <c r="G2198" s="6">
        <v>3960</v>
      </c>
      <c r="H2198" s="6">
        <v>1659</v>
      </c>
      <c r="I2198" s="6">
        <v>1126</v>
      </c>
      <c r="J2198" s="6">
        <v>335</v>
      </c>
      <c r="K2198" s="40">
        <v>189</v>
      </c>
      <c r="L2198" s="40">
        <v>59</v>
      </c>
      <c r="M2198" s="40">
        <v>1266</v>
      </c>
      <c r="N2198" s="40">
        <v>426</v>
      </c>
      <c r="O2198" s="40">
        <v>554</v>
      </c>
      <c r="P2198" s="40">
        <v>284</v>
      </c>
      <c r="Q2198" s="40">
        <v>0</v>
      </c>
      <c r="R2198" s="40">
        <v>1</v>
      </c>
      <c r="S2198" s="40">
        <v>0</v>
      </c>
    </row>
    <row r="2199" spans="1:19" x14ac:dyDescent="0.35">
      <c r="A2199" s="38">
        <v>2562</v>
      </c>
      <c r="B2199" s="38" t="str">
        <f>_xlfn.XLOOKUP(A2199,'Model Modeshare by TAZ'!A:A,'Model Modeshare by TAZ'!B:B)</f>
        <v>Vallejo</v>
      </c>
      <c r="C2199" s="38" t="str">
        <f>_xlfn.XLOOKUP(A2199,'Model Modeshare by TAZ'!A:A,'Model Modeshare by TAZ'!D:D)</f>
        <v>NO</v>
      </c>
      <c r="D2199" s="6">
        <v>6</v>
      </c>
      <c r="E2199" s="6">
        <v>2384</v>
      </c>
      <c r="F2199" s="6">
        <v>6685</v>
      </c>
      <c r="G2199" s="6">
        <v>6771</v>
      </c>
      <c r="H2199" s="6">
        <v>2801</v>
      </c>
      <c r="I2199" s="6">
        <v>1820</v>
      </c>
      <c r="J2199" s="6">
        <v>564</v>
      </c>
      <c r="K2199" s="40">
        <v>488</v>
      </c>
      <c r="L2199" s="40">
        <v>22</v>
      </c>
      <c r="M2199" s="40">
        <v>658</v>
      </c>
      <c r="N2199" s="40">
        <v>203</v>
      </c>
      <c r="O2199" s="40">
        <v>219</v>
      </c>
      <c r="P2199" s="40">
        <v>171</v>
      </c>
      <c r="Q2199" s="40">
        <v>0</v>
      </c>
      <c r="R2199" s="40">
        <v>62</v>
      </c>
      <c r="S2199" s="40">
        <v>3</v>
      </c>
    </row>
    <row r="2200" spans="1:19" x14ac:dyDescent="0.35">
      <c r="A2200" s="38">
        <v>2563</v>
      </c>
      <c r="B2200" s="38" t="str">
        <f>_xlfn.XLOOKUP(A2200,'Model Modeshare by TAZ'!A:A,'Model Modeshare by TAZ'!B:B)</f>
        <v>Vallejo</v>
      </c>
      <c r="C2200" s="38" t="str">
        <f>_xlfn.XLOOKUP(A2200,'Model Modeshare by TAZ'!A:A,'Model Modeshare by TAZ'!D:D)</f>
        <v>NO</v>
      </c>
      <c r="D2200" s="6">
        <v>6</v>
      </c>
      <c r="E2200" s="6">
        <v>1114</v>
      </c>
      <c r="F2200" s="6">
        <v>3325</v>
      </c>
      <c r="G2200" s="6">
        <v>3406</v>
      </c>
      <c r="H2200" s="6">
        <v>1525</v>
      </c>
      <c r="I2200" s="6">
        <v>1033</v>
      </c>
      <c r="J2200" s="6">
        <v>81</v>
      </c>
      <c r="K2200" s="40">
        <v>159</v>
      </c>
      <c r="L2200" s="40">
        <v>41</v>
      </c>
      <c r="M2200" s="40">
        <v>737</v>
      </c>
      <c r="N2200" s="40">
        <v>199</v>
      </c>
      <c r="O2200" s="40">
        <v>277</v>
      </c>
      <c r="P2200" s="40">
        <v>259</v>
      </c>
      <c r="Q2200" s="40">
        <v>0</v>
      </c>
      <c r="R2200" s="40">
        <v>2</v>
      </c>
      <c r="S2200" s="40">
        <v>1</v>
      </c>
    </row>
    <row r="2201" spans="1:19" x14ac:dyDescent="0.35">
      <c r="A2201" s="38">
        <v>2564</v>
      </c>
      <c r="B2201" s="38" t="str">
        <f>_xlfn.XLOOKUP(A2201,'Model Modeshare by TAZ'!A:A,'Model Modeshare by TAZ'!B:B)</f>
        <v>Vallejo</v>
      </c>
      <c r="C2201" s="38" t="str">
        <f>_xlfn.XLOOKUP(A2201,'Model Modeshare by TAZ'!A:A,'Model Modeshare by TAZ'!D:D)</f>
        <v>NO</v>
      </c>
      <c r="D2201" s="6">
        <v>6</v>
      </c>
      <c r="E2201" s="6">
        <v>1282</v>
      </c>
      <c r="F2201" s="6">
        <v>3488</v>
      </c>
      <c r="G2201" s="6">
        <v>3503</v>
      </c>
      <c r="H2201" s="6">
        <v>1404</v>
      </c>
      <c r="I2201" s="6">
        <v>1116</v>
      </c>
      <c r="J2201" s="6">
        <v>166</v>
      </c>
      <c r="K2201" s="40">
        <v>151</v>
      </c>
      <c r="L2201" s="40">
        <v>52</v>
      </c>
      <c r="M2201" s="40">
        <v>1077</v>
      </c>
      <c r="N2201" s="40">
        <v>172</v>
      </c>
      <c r="O2201" s="40">
        <v>128</v>
      </c>
      <c r="P2201" s="40">
        <v>776</v>
      </c>
      <c r="Q2201" s="40">
        <v>1</v>
      </c>
      <c r="R2201" s="40">
        <v>0</v>
      </c>
      <c r="S2201" s="40">
        <v>0</v>
      </c>
    </row>
    <row r="2202" spans="1:19" x14ac:dyDescent="0.35">
      <c r="A2202" s="38">
        <v>2565</v>
      </c>
      <c r="B2202" s="38" t="str">
        <f>_xlfn.XLOOKUP(A2202,'Model Modeshare by TAZ'!A:A,'Model Modeshare by TAZ'!B:B)</f>
        <v>Vallejo</v>
      </c>
      <c r="C2202" s="38" t="str">
        <f>_xlfn.XLOOKUP(A2202,'Model Modeshare by TAZ'!A:A,'Model Modeshare by TAZ'!D:D)</f>
        <v>NO</v>
      </c>
      <c r="D2202" s="6">
        <v>6</v>
      </c>
      <c r="E2202" s="6">
        <v>1179</v>
      </c>
      <c r="F2202" s="6">
        <v>2626</v>
      </c>
      <c r="G2202" s="6">
        <v>2626</v>
      </c>
      <c r="H2202" s="6">
        <v>1375</v>
      </c>
      <c r="I2202" s="6">
        <v>1124</v>
      </c>
      <c r="J2202" s="6">
        <v>55</v>
      </c>
      <c r="K2202" s="40">
        <v>206</v>
      </c>
      <c r="L2202" s="40">
        <v>28</v>
      </c>
      <c r="M2202" s="40">
        <v>422</v>
      </c>
      <c r="N2202" s="40">
        <v>100</v>
      </c>
      <c r="O2202" s="40">
        <v>215</v>
      </c>
      <c r="P2202" s="40">
        <v>104</v>
      </c>
      <c r="Q2202" s="40">
        <v>0</v>
      </c>
      <c r="R2202" s="40">
        <v>2</v>
      </c>
      <c r="S2202" s="40">
        <v>1</v>
      </c>
    </row>
    <row r="2203" spans="1:19" x14ac:dyDescent="0.35">
      <c r="A2203" s="38">
        <v>2566</v>
      </c>
      <c r="B2203" s="38" t="str">
        <f>_xlfn.XLOOKUP(A2203,'Model Modeshare by TAZ'!A:A,'Model Modeshare by TAZ'!B:B)</f>
        <v>Vallejo</v>
      </c>
      <c r="C2203" s="38" t="str">
        <f>_xlfn.XLOOKUP(A2203,'Model Modeshare by TAZ'!A:A,'Model Modeshare by TAZ'!D:D)</f>
        <v>NO</v>
      </c>
      <c r="D2203" s="6">
        <v>6</v>
      </c>
      <c r="E2203" s="6">
        <v>1498</v>
      </c>
      <c r="F2203" s="6">
        <v>4341</v>
      </c>
      <c r="G2203" s="6">
        <v>4346</v>
      </c>
      <c r="H2203" s="6">
        <v>1817</v>
      </c>
      <c r="I2203" s="6">
        <v>942</v>
      </c>
      <c r="J2203" s="6">
        <v>556</v>
      </c>
      <c r="K2203" s="40">
        <v>151</v>
      </c>
      <c r="L2203" s="40">
        <v>105</v>
      </c>
      <c r="M2203" s="40">
        <v>1534</v>
      </c>
      <c r="N2203" s="40">
        <v>189</v>
      </c>
      <c r="O2203" s="40">
        <v>533</v>
      </c>
      <c r="P2203" s="40">
        <v>675</v>
      </c>
      <c r="Q2203" s="40">
        <v>1</v>
      </c>
      <c r="R2203" s="40">
        <v>4</v>
      </c>
      <c r="S2203" s="40">
        <v>132</v>
      </c>
    </row>
    <row r="2204" spans="1:19" x14ac:dyDescent="0.35">
      <c r="A2204" s="38">
        <v>2567</v>
      </c>
      <c r="B2204" s="38" t="str">
        <f>_xlfn.XLOOKUP(A2204,'Model Modeshare by TAZ'!A:A,'Model Modeshare by TAZ'!B:B)</f>
        <v>Vallejo</v>
      </c>
      <c r="C2204" s="38" t="str">
        <f>_xlfn.XLOOKUP(A2204,'Model Modeshare by TAZ'!A:A,'Model Modeshare by TAZ'!D:D)</f>
        <v>NO</v>
      </c>
      <c r="D2204" s="6">
        <v>6</v>
      </c>
      <c r="E2204" s="6">
        <v>1069</v>
      </c>
      <c r="F2204" s="6">
        <v>2594</v>
      </c>
      <c r="G2204" s="6">
        <v>2603</v>
      </c>
      <c r="H2204" s="6">
        <v>1263</v>
      </c>
      <c r="I2204" s="6">
        <v>635</v>
      </c>
      <c r="J2204" s="6">
        <v>434</v>
      </c>
      <c r="K2204" s="40">
        <v>82</v>
      </c>
      <c r="L2204" s="40">
        <v>78</v>
      </c>
      <c r="M2204" s="40">
        <v>666</v>
      </c>
      <c r="N2204" s="40">
        <v>102</v>
      </c>
      <c r="O2204" s="40">
        <v>73</v>
      </c>
      <c r="P2204" s="40">
        <v>489</v>
      </c>
      <c r="Q2204" s="40">
        <v>0</v>
      </c>
      <c r="R2204" s="40">
        <v>1</v>
      </c>
      <c r="S2204" s="40">
        <v>1</v>
      </c>
    </row>
    <row r="2205" spans="1:19" x14ac:dyDescent="0.35">
      <c r="A2205" s="38">
        <v>2568</v>
      </c>
      <c r="B2205" s="38" t="str">
        <f>_xlfn.XLOOKUP(A2205,'Model Modeshare by TAZ'!A:A,'Model Modeshare by TAZ'!B:B)</f>
        <v>Vallejo</v>
      </c>
      <c r="C2205" s="38" t="str">
        <f>_xlfn.XLOOKUP(A2205,'Model Modeshare by TAZ'!A:A,'Model Modeshare by TAZ'!D:D)</f>
        <v>NO</v>
      </c>
      <c r="D2205" s="6">
        <v>6</v>
      </c>
      <c r="E2205" s="6">
        <v>1368</v>
      </c>
      <c r="F2205" s="6">
        <v>3623</v>
      </c>
      <c r="G2205" s="6">
        <v>3657</v>
      </c>
      <c r="H2205" s="6">
        <v>1518</v>
      </c>
      <c r="I2205" s="6">
        <v>717</v>
      </c>
      <c r="J2205" s="6">
        <v>651</v>
      </c>
      <c r="K2205" s="40">
        <v>161</v>
      </c>
      <c r="L2205" s="40">
        <v>34</v>
      </c>
      <c r="M2205" s="40">
        <v>311</v>
      </c>
      <c r="N2205" s="40">
        <v>125</v>
      </c>
      <c r="O2205" s="40">
        <v>98</v>
      </c>
      <c r="P2205" s="40">
        <v>80</v>
      </c>
      <c r="Q2205" s="40">
        <v>0</v>
      </c>
      <c r="R2205" s="40">
        <v>7</v>
      </c>
      <c r="S2205" s="40">
        <v>1</v>
      </c>
    </row>
    <row r="2206" spans="1:19" x14ac:dyDescent="0.35">
      <c r="A2206" s="38">
        <v>2569</v>
      </c>
      <c r="B2206" s="38" t="str">
        <f>_xlfn.XLOOKUP(A2206,'Model Modeshare by TAZ'!A:A,'Model Modeshare by TAZ'!B:B)</f>
        <v>Vallejo</v>
      </c>
      <c r="C2206" s="38" t="str">
        <f>_xlfn.XLOOKUP(A2206,'Model Modeshare by TAZ'!A:A,'Model Modeshare by TAZ'!D:D)</f>
        <v>NO</v>
      </c>
      <c r="D2206" s="6">
        <v>6</v>
      </c>
      <c r="E2206" s="6">
        <v>935</v>
      </c>
      <c r="F2206" s="6">
        <v>2748</v>
      </c>
      <c r="G2206" s="6">
        <v>2748</v>
      </c>
      <c r="H2206" s="6">
        <v>1370</v>
      </c>
      <c r="I2206" s="6">
        <v>496</v>
      </c>
      <c r="J2206" s="6">
        <v>439</v>
      </c>
      <c r="K2206" s="40">
        <v>103</v>
      </c>
      <c r="L2206" s="40">
        <v>2</v>
      </c>
      <c r="M2206" s="40">
        <v>84</v>
      </c>
      <c r="N2206" s="40">
        <v>37</v>
      </c>
      <c r="O2206" s="40">
        <v>33</v>
      </c>
      <c r="P2206" s="40">
        <v>12</v>
      </c>
      <c r="Q2206" s="40">
        <v>0</v>
      </c>
      <c r="R2206" s="40">
        <v>1</v>
      </c>
      <c r="S2206" s="40">
        <v>0</v>
      </c>
    </row>
    <row r="2207" spans="1:19" x14ac:dyDescent="0.35">
      <c r="A2207" s="38">
        <v>2570</v>
      </c>
      <c r="B2207" s="38" t="str">
        <f>_xlfn.XLOOKUP(A2207,'Model Modeshare by TAZ'!A:A,'Model Modeshare by TAZ'!B:B)</f>
        <v>Unincorporated</v>
      </c>
      <c r="C2207" s="38" t="str">
        <f>_xlfn.XLOOKUP(A2207,'Model Modeshare by TAZ'!A:A,'Model Modeshare by TAZ'!D:D)</f>
        <v>NO</v>
      </c>
      <c r="D2207" s="6">
        <v>6</v>
      </c>
      <c r="E2207" s="6">
        <v>237</v>
      </c>
      <c r="F2207" s="6">
        <v>636</v>
      </c>
      <c r="G2207" s="6">
        <v>773</v>
      </c>
      <c r="H2207" s="6">
        <v>360</v>
      </c>
      <c r="I2207" s="6">
        <v>127</v>
      </c>
      <c r="J2207" s="6">
        <v>110</v>
      </c>
      <c r="K2207" s="40">
        <v>27</v>
      </c>
      <c r="L2207" s="40">
        <v>3325</v>
      </c>
      <c r="M2207" s="40">
        <v>2516</v>
      </c>
      <c r="N2207" s="40">
        <v>184</v>
      </c>
      <c r="O2207" s="40">
        <v>326</v>
      </c>
      <c r="P2207" s="40">
        <v>925</v>
      </c>
      <c r="Q2207" s="40">
        <v>2</v>
      </c>
      <c r="R2207" s="40">
        <v>1050</v>
      </c>
      <c r="S2207" s="40">
        <v>30</v>
      </c>
    </row>
    <row r="2208" spans="1:19" x14ac:dyDescent="0.35">
      <c r="A2208" s="38">
        <v>2571</v>
      </c>
      <c r="B2208" s="38" t="str">
        <f>_xlfn.XLOOKUP(A2208,'Model Modeshare by TAZ'!A:A,'Model Modeshare by TAZ'!B:B)</f>
        <v>Vallejo</v>
      </c>
      <c r="C2208" s="38" t="str">
        <f>_xlfn.XLOOKUP(A2208,'Model Modeshare by TAZ'!A:A,'Model Modeshare by TAZ'!D:D)</f>
        <v>NO</v>
      </c>
      <c r="D2208" s="6">
        <v>6</v>
      </c>
      <c r="E2208" s="6">
        <v>850</v>
      </c>
      <c r="F2208" s="6">
        <v>3050</v>
      </c>
      <c r="G2208" s="6">
        <v>3088</v>
      </c>
      <c r="H2208" s="6">
        <v>1581</v>
      </c>
      <c r="I2208" s="6">
        <v>841</v>
      </c>
      <c r="J2208" s="6">
        <v>9</v>
      </c>
      <c r="K2208" s="40">
        <v>121</v>
      </c>
      <c r="L2208" s="40">
        <v>12</v>
      </c>
      <c r="M2208" s="40">
        <v>137</v>
      </c>
      <c r="N2208" s="40">
        <v>49</v>
      </c>
      <c r="O2208" s="40">
        <v>55</v>
      </c>
      <c r="P2208" s="40">
        <v>0</v>
      </c>
      <c r="Q2208" s="40">
        <v>3</v>
      </c>
      <c r="R2208" s="40">
        <v>14</v>
      </c>
      <c r="S2208" s="40">
        <v>16</v>
      </c>
    </row>
    <row r="2209" spans="1:19" x14ac:dyDescent="0.35">
      <c r="A2209" s="38">
        <v>2572</v>
      </c>
      <c r="B2209" s="38" t="str">
        <f>_xlfn.XLOOKUP(A2209,'Model Modeshare by TAZ'!A:A,'Model Modeshare by TAZ'!B:B)</f>
        <v>Vallejo</v>
      </c>
      <c r="C2209" s="38" t="str">
        <f>_xlfn.XLOOKUP(A2209,'Model Modeshare by TAZ'!A:A,'Model Modeshare by TAZ'!D:D)</f>
        <v>NO</v>
      </c>
      <c r="D2209" s="6">
        <v>6</v>
      </c>
      <c r="E2209" s="6">
        <v>1487</v>
      </c>
      <c r="F2209" s="6">
        <v>5209</v>
      </c>
      <c r="G2209" s="6">
        <v>5287</v>
      </c>
      <c r="H2209" s="6">
        <v>2376</v>
      </c>
      <c r="I2209" s="6">
        <v>1459</v>
      </c>
      <c r="J2209" s="6">
        <v>28</v>
      </c>
      <c r="K2209" s="40">
        <v>274</v>
      </c>
      <c r="L2209" s="40">
        <v>57</v>
      </c>
      <c r="M2209" s="40">
        <v>615</v>
      </c>
      <c r="N2209" s="40">
        <v>227</v>
      </c>
      <c r="O2209" s="40">
        <v>240</v>
      </c>
      <c r="P2209" s="40">
        <v>18</v>
      </c>
      <c r="Q2209" s="40">
        <v>4</v>
      </c>
      <c r="R2209" s="40">
        <v>55</v>
      </c>
      <c r="S2209" s="40">
        <v>71</v>
      </c>
    </row>
    <row r="2210" spans="1:19" x14ac:dyDescent="0.35">
      <c r="A2210" s="38">
        <v>2573</v>
      </c>
      <c r="B2210" s="38" t="str">
        <f>_xlfn.XLOOKUP(A2210,'Model Modeshare by TAZ'!A:A,'Model Modeshare by TAZ'!B:B)</f>
        <v>Vallejo</v>
      </c>
      <c r="C2210" s="38" t="str">
        <f>_xlfn.XLOOKUP(A2210,'Model Modeshare by TAZ'!A:A,'Model Modeshare by TAZ'!D:D)</f>
        <v>NO</v>
      </c>
      <c r="D2210" s="6">
        <v>6</v>
      </c>
      <c r="E2210" s="6">
        <v>1213</v>
      </c>
      <c r="F2210" s="6">
        <v>2457</v>
      </c>
      <c r="G2210" s="6">
        <v>2478</v>
      </c>
      <c r="H2210" s="6">
        <v>819</v>
      </c>
      <c r="I2210" s="6">
        <v>297</v>
      </c>
      <c r="J2210" s="6">
        <v>916</v>
      </c>
      <c r="K2210" s="40">
        <v>123</v>
      </c>
      <c r="L2210" s="40">
        <v>178</v>
      </c>
      <c r="M2210" s="40">
        <v>2869</v>
      </c>
      <c r="N2210" s="40">
        <v>1389</v>
      </c>
      <c r="O2210" s="40">
        <v>690</v>
      </c>
      <c r="P2210" s="40">
        <v>737</v>
      </c>
      <c r="Q2210" s="40">
        <v>1</v>
      </c>
      <c r="R2210" s="40">
        <v>4</v>
      </c>
      <c r="S2210" s="40">
        <v>48</v>
      </c>
    </row>
    <row r="2211" spans="1:19" x14ac:dyDescent="0.35">
      <c r="A2211" s="38">
        <v>2574</v>
      </c>
      <c r="B2211" s="38" t="str">
        <f>_xlfn.XLOOKUP(A2211,'Model Modeshare by TAZ'!A:A,'Model Modeshare by TAZ'!B:B)</f>
        <v>Vallejo</v>
      </c>
      <c r="C2211" s="38" t="str">
        <f>_xlfn.XLOOKUP(A2211,'Model Modeshare by TAZ'!A:A,'Model Modeshare by TAZ'!D:D)</f>
        <v>NO</v>
      </c>
      <c r="D2211" s="6">
        <v>6</v>
      </c>
      <c r="E2211" s="6">
        <v>2126</v>
      </c>
      <c r="F2211" s="6">
        <v>5185</v>
      </c>
      <c r="G2211" s="6">
        <v>5203</v>
      </c>
      <c r="H2211" s="6">
        <v>2403</v>
      </c>
      <c r="I2211" s="6">
        <v>1706</v>
      </c>
      <c r="J2211" s="6">
        <v>420</v>
      </c>
      <c r="K2211" s="40">
        <v>348</v>
      </c>
      <c r="L2211" s="40">
        <v>114</v>
      </c>
      <c r="M2211" s="40">
        <v>3673</v>
      </c>
      <c r="N2211" s="40">
        <v>243</v>
      </c>
      <c r="O2211" s="40">
        <v>2785</v>
      </c>
      <c r="P2211" s="40">
        <v>634</v>
      </c>
      <c r="Q2211" s="40">
        <v>0</v>
      </c>
      <c r="R2211" s="40">
        <v>6</v>
      </c>
      <c r="S2211" s="40">
        <v>5</v>
      </c>
    </row>
    <row r="2212" spans="1:19" x14ac:dyDescent="0.35">
      <c r="A2212" s="38">
        <v>2575</v>
      </c>
      <c r="B2212" s="38" t="str">
        <f>_xlfn.XLOOKUP(A2212,'Model Modeshare by TAZ'!A:A,'Model Modeshare by TAZ'!B:B)</f>
        <v>Vallejo</v>
      </c>
      <c r="C2212" s="38" t="str">
        <f>_xlfn.XLOOKUP(A2212,'Model Modeshare by TAZ'!A:A,'Model Modeshare by TAZ'!D:D)</f>
        <v>NO</v>
      </c>
      <c r="D2212" s="6">
        <v>6</v>
      </c>
      <c r="E2212" s="6">
        <v>1829</v>
      </c>
      <c r="F2212" s="6">
        <v>4889</v>
      </c>
      <c r="G2212" s="6">
        <v>5353</v>
      </c>
      <c r="H2212" s="6">
        <v>1810</v>
      </c>
      <c r="I2212" s="6">
        <v>1007</v>
      </c>
      <c r="J2212" s="6">
        <v>822</v>
      </c>
      <c r="K2212" s="40">
        <v>218</v>
      </c>
      <c r="L2212" s="40">
        <v>244</v>
      </c>
      <c r="M2212" s="40">
        <v>3365</v>
      </c>
      <c r="N2212" s="40">
        <v>896</v>
      </c>
      <c r="O2212" s="40">
        <v>2054</v>
      </c>
      <c r="P2212" s="40">
        <v>72</v>
      </c>
      <c r="Q2212" s="40">
        <v>0</v>
      </c>
      <c r="R2212" s="40">
        <v>338</v>
      </c>
      <c r="S2212" s="40">
        <v>5</v>
      </c>
    </row>
    <row r="2213" spans="1:19" x14ac:dyDescent="0.35">
      <c r="A2213" s="38">
        <v>2576</v>
      </c>
      <c r="B2213" s="38" t="str">
        <f>_xlfn.XLOOKUP(A2213,'Model Modeshare by TAZ'!A:A,'Model Modeshare by TAZ'!B:B)</f>
        <v>Vallejo</v>
      </c>
      <c r="C2213" s="38" t="str">
        <f>_xlfn.XLOOKUP(A2213,'Model Modeshare by TAZ'!A:A,'Model Modeshare by TAZ'!D:D)</f>
        <v>NO</v>
      </c>
      <c r="D2213" s="6">
        <v>6</v>
      </c>
      <c r="E2213" s="6">
        <v>1773</v>
      </c>
      <c r="F2213" s="6">
        <v>6039</v>
      </c>
      <c r="G2213" s="6">
        <v>6080</v>
      </c>
      <c r="H2213" s="6">
        <v>2160</v>
      </c>
      <c r="I2213" s="6">
        <v>1610</v>
      </c>
      <c r="J2213" s="6">
        <v>163</v>
      </c>
      <c r="K2213" s="40">
        <v>304</v>
      </c>
      <c r="L2213" s="40">
        <v>17</v>
      </c>
      <c r="M2213" s="40">
        <v>477</v>
      </c>
      <c r="N2213" s="40">
        <v>0</v>
      </c>
      <c r="O2213" s="40">
        <v>315</v>
      </c>
      <c r="P2213" s="40">
        <v>162</v>
      </c>
      <c r="Q2213" s="40">
        <v>0</v>
      </c>
      <c r="R2213" s="40">
        <v>0</v>
      </c>
      <c r="S2213" s="40">
        <v>0</v>
      </c>
    </row>
    <row r="2214" spans="1:19" x14ac:dyDescent="0.35">
      <c r="A2214" s="38">
        <v>2577</v>
      </c>
      <c r="B2214" s="38" t="str">
        <f>_xlfn.XLOOKUP(A2214,'Model Modeshare by TAZ'!A:A,'Model Modeshare by TAZ'!B:B)</f>
        <v>Vallejo</v>
      </c>
      <c r="C2214" s="38" t="str">
        <f>_xlfn.XLOOKUP(A2214,'Model Modeshare by TAZ'!A:A,'Model Modeshare by TAZ'!D:D)</f>
        <v>NO</v>
      </c>
      <c r="D2214" s="6">
        <v>6</v>
      </c>
      <c r="E2214" s="6">
        <v>1653</v>
      </c>
      <c r="F2214" s="6">
        <v>5720</v>
      </c>
      <c r="G2214" s="6">
        <v>5756</v>
      </c>
      <c r="H2214" s="6">
        <v>2746</v>
      </c>
      <c r="I2214" s="6">
        <v>1635</v>
      </c>
      <c r="J2214" s="6">
        <v>18</v>
      </c>
      <c r="K2214" s="40">
        <v>370</v>
      </c>
      <c r="L2214" s="40">
        <v>24</v>
      </c>
      <c r="M2214" s="40">
        <v>256</v>
      </c>
      <c r="N2214" s="40">
        <v>18</v>
      </c>
      <c r="O2214" s="40">
        <v>203</v>
      </c>
      <c r="P2214" s="40">
        <v>22</v>
      </c>
      <c r="Q2214" s="40">
        <v>0</v>
      </c>
      <c r="R2214" s="40">
        <v>0</v>
      </c>
      <c r="S2214" s="40">
        <v>13</v>
      </c>
    </row>
    <row r="2215" spans="1:19" x14ac:dyDescent="0.35">
      <c r="A2215" s="38">
        <v>2578</v>
      </c>
      <c r="B2215" s="38" t="str">
        <f>_xlfn.XLOOKUP(A2215,'Model Modeshare by TAZ'!A:A,'Model Modeshare by TAZ'!B:B)</f>
        <v>Vallejo</v>
      </c>
      <c r="C2215" s="38" t="str">
        <f>_xlfn.XLOOKUP(A2215,'Model Modeshare by TAZ'!A:A,'Model Modeshare by TAZ'!D:D)</f>
        <v>NO</v>
      </c>
      <c r="D2215" s="6">
        <v>6</v>
      </c>
      <c r="E2215" s="6">
        <v>3354</v>
      </c>
      <c r="F2215" s="6">
        <v>11354</v>
      </c>
      <c r="G2215" s="6">
        <v>11420</v>
      </c>
      <c r="H2215" s="6">
        <v>5913</v>
      </c>
      <c r="I2215" s="6">
        <v>2620</v>
      </c>
      <c r="J2215" s="6">
        <v>734</v>
      </c>
      <c r="K2215" s="40">
        <v>717</v>
      </c>
      <c r="L2215" s="40">
        <v>184</v>
      </c>
      <c r="M2215" s="40">
        <v>3756</v>
      </c>
      <c r="N2215" s="40">
        <v>696</v>
      </c>
      <c r="O2215" s="40">
        <v>512</v>
      </c>
      <c r="P2215" s="40">
        <v>2334</v>
      </c>
      <c r="Q2215" s="40">
        <v>0</v>
      </c>
      <c r="R2215" s="40">
        <v>197</v>
      </c>
      <c r="S2215" s="40">
        <v>17</v>
      </c>
    </row>
    <row r="2216" spans="1:19" x14ac:dyDescent="0.35">
      <c r="A2216" s="38">
        <v>2579</v>
      </c>
      <c r="B2216" s="38" t="str">
        <f>_xlfn.XLOOKUP(A2216,'Model Modeshare by TAZ'!A:A,'Model Modeshare by TAZ'!B:B)</f>
        <v>Unincorporated</v>
      </c>
      <c r="C2216" s="38" t="str">
        <f>_xlfn.XLOOKUP(A2216,'Model Modeshare by TAZ'!A:A,'Model Modeshare by TAZ'!D:D)</f>
        <v>NO</v>
      </c>
      <c r="D2216" s="6">
        <v>6</v>
      </c>
      <c r="E2216" s="6">
        <v>3428</v>
      </c>
      <c r="F2216" s="6">
        <v>11352</v>
      </c>
      <c r="G2216" s="6">
        <v>11352</v>
      </c>
      <c r="H2216" s="6">
        <v>5709</v>
      </c>
      <c r="I2216" s="6">
        <v>3363</v>
      </c>
      <c r="J2216" s="6">
        <v>65</v>
      </c>
      <c r="K2216" s="40">
        <v>595</v>
      </c>
      <c r="L2216" s="40">
        <v>493</v>
      </c>
      <c r="M2216" s="40">
        <v>2589</v>
      </c>
      <c r="N2216" s="40">
        <v>601</v>
      </c>
      <c r="O2216" s="40">
        <v>811</v>
      </c>
      <c r="P2216" s="40">
        <v>794</v>
      </c>
      <c r="Q2216" s="40">
        <v>5</v>
      </c>
      <c r="R2216" s="40">
        <v>346</v>
      </c>
      <c r="S2216" s="40">
        <v>32</v>
      </c>
    </row>
    <row r="2217" spans="1:19" x14ac:dyDescent="0.35">
      <c r="A2217" s="38">
        <v>2580</v>
      </c>
      <c r="B2217" s="38" t="str">
        <f>_xlfn.XLOOKUP(A2217,'Model Modeshare by TAZ'!A:A,'Model Modeshare by TAZ'!B:B)</f>
        <v>Unincorporated</v>
      </c>
      <c r="C2217" s="38" t="str">
        <f>_xlfn.XLOOKUP(A2217,'Model Modeshare by TAZ'!A:A,'Model Modeshare by TAZ'!D:D)</f>
        <v>NO</v>
      </c>
      <c r="D2217" s="6">
        <v>6</v>
      </c>
      <c r="E2217" s="6">
        <v>3030</v>
      </c>
      <c r="F2217" s="6">
        <v>9057</v>
      </c>
      <c r="G2217" s="6">
        <v>9063</v>
      </c>
      <c r="H2217" s="6">
        <v>4163</v>
      </c>
      <c r="I2217" s="6">
        <v>2910</v>
      </c>
      <c r="J2217" s="6">
        <v>120</v>
      </c>
      <c r="K2217" s="40">
        <v>3807</v>
      </c>
      <c r="L2217" s="40">
        <v>162</v>
      </c>
      <c r="M2217" s="40">
        <v>3692</v>
      </c>
      <c r="N2217" s="40">
        <v>1028</v>
      </c>
      <c r="O2217" s="40">
        <v>1066</v>
      </c>
      <c r="P2217" s="40">
        <v>1381</v>
      </c>
      <c r="Q2217" s="40">
        <v>16</v>
      </c>
      <c r="R2217" s="40">
        <v>172</v>
      </c>
      <c r="S2217" s="40">
        <v>30</v>
      </c>
    </row>
    <row r="2218" spans="1:19" x14ac:dyDescent="0.35">
      <c r="A2218" s="38">
        <v>2581</v>
      </c>
      <c r="B2218" s="38" t="str">
        <f>_xlfn.XLOOKUP(A2218,'Model Modeshare by TAZ'!A:A,'Model Modeshare by TAZ'!B:B)</f>
        <v>Unincorporated</v>
      </c>
      <c r="C2218" s="38" t="str">
        <f>_xlfn.XLOOKUP(A2218,'Model Modeshare by TAZ'!A:A,'Model Modeshare by TAZ'!D:D)</f>
        <v>NO</v>
      </c>
      <c r="D2218" s="6">
        <v>6</v>
      </c>
      <c r="E2218" s="6">
        <v>1680</v>
      </c>
      <c r="F2218" s="6">
        <v>5028</v>
      </c>
      <c r="G2218" s="6">
        <v>5035</v>
      </c>
      <c r="H2218" s="6">
        <v>2695</v>
      </c>
      <c r="I2218" s="6">
        <v>1639</v>
      </c>
      <c r="J2218" s="6">
        <v>41</v>
      </c>
      <c r="K2218" s="40">
        <v>551</v>
      </c>
      <c r="L2218" s="40">
        <v>603</v>
      </c>
      <c r="M2218" s="40">
        <v>4597</v>
      </c>
      <c r="N2218" s="40">
        <v>2727</v>
      </c>
      <c r="O2218" s="40">
        <v>1279</v>
      </c>
      <c r="P2218" s="40">
        <v>363</v>
      </c>
      <c r="Q2218" s="40">
        <v>13</v>
      </c>
      <c r="R2218" s="40">
        <v>162</v>
      </c>
      <c r="S2218" s="40">
        <v>53</v>
      </c>
    </row>
    <row r="2219" spans="1:19" x14ac:dyDescent="0.35">
      <c r="A2219" s="38">
        <v>2582</v>
      </c>
      <c r="B2219" s="38" t="str">
        <f>_xlfn.XLOOKUP(A2219,'Model Modeshare by TAZ'!A:A,'Model Modeshare by TAZ'!B:B)</f>
        <v>Unincorporated</v>
      </c>
      <c r="C2219" s="38" t="str">
        <f>_xlfn.XLOOKUP(A2219,'Model Modeshare by TAZ'!A:A,'Model Modeshare by TAZ'!D:D)</f>
        <v>NO</v>
      </c>
      <c r="D2219" s="6">
        <v>6</v>
      </c>
      <c r="E2219" s="6">
        <v>1749</v>
      </c>
      <c r="F2219" s="6">
        <v>5244</v>
      </c>
      <c r="G2219" s="6">
        <v>5247</v>
      </c>
      <c r="H2219" s="6">
        <v>2341</v>
      </c>
      <c r="I2219" s="6">
        <v>1115</v>
      </c>
      <c r="J2219" s="6">
        <v>634</v>
      </c>
      <c r="K2219" s="40">
        <v>307</v>
      </c>
      <c r="L2219" s="40">
        <v>302</v>
      </c>
      <c r="M2219" s="40">
        <v>7157</v>
      </c>
      <c r="N2219" s="40">
        <v>1073</v>
      </c>
      <c r="O2219" s="40">
        <v>542</v>
      </c>
      <c r="P2219" s="40">
        <v>5184</v>
      </c>
      <c r="Q2219" s="40">
        <v>2</v>
      </c>
      <c r="R2219" s="40">
        <v>302</v>
      </c>
      <c r="S2219" s="40">
        <v>55</v>
      </c>
    </row>
    <row r="2220" spans="1:19" x14ac:dyDescent="0.35">
      <c r="A2220" s="38">
        <v>2583</v>
      </c>
      <c r="B2220" s="38" t="str">
        <f>_xlfn.XLOOKUP(A2220,'Model Modeshare by TAZ'!A:A,'Model Modeshare by TAZ'!B:B)</f>
        <v>Unincorporated</v>
      </c>
      <c r="C2220" s="38" t="str">
        <f>_xlfn.XLOOKUP(A2220,'Model Modeshare by TAZ'!A:A,'Model Modeshare by TAZ'!D:D)</f>
        <v>NO</v>
      </c>
      <c r="D2220" s="6">
        <v>6</v>
      </c>
      <c r="E2220" s="6">
        <v>2239</v>
      </c>
      <c r="F2220" s="6">
        <v>6908</v>
      </c>
      <c r="G2220" s="6">
        <v>6966</v>
      </c>
      <c r="H2220" s="6">
        <v>3075</v>
      </c>
      <c r="I2220" s="6">
        <v>1661</v>
      </c>
      <c r="J2220" s="6">
        <v>578</v>
      </c>
      <c r="K2220" s="40">
        <v>484</v>
      </c>
      <c r="L2220" s="40">
        <v>1366</v>
      </c>
      <c r="M2220" s="40">
        <v>1590</v>
      </c>
      <c r="N2220" s="40">
        <v>236</v>
      </c>
      <c r="O2220" s="40">
        <v>875</v>
      </c>
      <c r="P2220" s="40">
        <v>362</v>
      </c>
      <c r="Q2220" s="40">
        <v>7</v>
      </c>
      <c r="R2220" s="40">
        <v>87</v>
      </c>
      <c r="S2220" s="40">
        <v>24</v>
      </c>
    </row>
    <row r="2221" spans="1:19" x14ac:dyDescent="0.35">
      <c r="A2221" s="38">
        <v>2584</v>
      </c>
      <c r="B2221" s="38" t="str">
        <f>_xlfn.XLOOKUP(A2221,'Model Modeshare by TAZ'!A:A,'Model Modeshare by TAZ'!B:B)</f>
        <v>Fairfield</v>
      </c>
      <c r="C2221" s="38" t="str">
        <f>_xlfn.XLOOKUP(A2221,'Model Modeshare by TAZ'!A:A,'Model Modeshare by TAZ'!D:D)</f>
        <v>NO</v>
      </c>
      <c r="D2221" s="6">
        <v>6</v>
      </c>
      <c r="E2221" s="6">
        <v>858</v>
      </c>
      <c r="F2221" s="6">
        <v>2950</v>
      </c>
      <c r="G2221" s="6">
        <v>3436</v>
      </c>
      <c r="H2221" s="6">
        <v>1655</v>
      </c>
      <c r="I2221" s="6">
        <v>520</v>
      </c>
      <c r="J2221" s="6">
        <v>338</v>
      </c>
      <c r="K2221" s="40">
        <v>366</v>
      </c>
      <c r="L2221" s="40">
        <v>4581</v>
      </c>
      <c r="M2221" s="40">
        <v>5372</v>
      </c>
      <c r="N2221" s="40">
        <v>147</v>
      </c>
      <c r="O2221" s="40">
        <v>474</v>
      </c>
      <c r="P2221" s="40">
        <v>4718</v>
      </c>
      <c r="Q2221" s="40">
        <v>0</v>
      </c>
      <c r="R2221" s="40">
        <v>23</v>
      </c>
      <c r="S2221" s="40">
        <v>10</v>
      </c>
    </row>
    <row r="2222" spans="1:19" x14ac:dyDescent="0.35">
      <c r="A2222" s="38">
        <v>2585</v>
      </c>
      <c r="B2222" s="38" t="str">
        <f>_xlfn.XLOOKUP(A2222,'Model Modeshare by TAZ'!A:A,'Model Modeshare by TAZ'!B:B)</f>
        <v>Unincorporated</v>
      </c>
      <c r="C2222" s="38" t="str">
        <f>_xlfn.XLOOKUP(A2222,'Model Modeshare by TAZ'!A:A,'Model Modeshare by TAZ'!D:D)</f>
        <v>NO</v>
      </c>
      <c r="D2222" s="6">
        <v>6</v>
      </c>
      <c r="E2222" s="6">
        <v>1193</v>
      </c>
      <c r="F2222" s="6">
        <v>3911</v>
      </c>
      <c r="G2222" s="6">
        <v>3911</v>
      </c>
      <c r="H2222" s="6">
        <v>1943</v>
      </c>
      <c r="I2222" s="6">
        <v>1192</v>
      </c>
      <c r="J2222" s="6">
        <v>1</v>
      </c>
      <c r="K2222" s="40">
        <v>227</v>
      </c>
      <c r="L2222" s="40">
        <v>53</v>
      </c>
      <c r="M2222" s="40">
        <v>87</v>
      </c>
      <c r="N2222" s="40">
        <v>3</v>
      </c>
      <c r="O2222" s="40">
        <v>36</v>
      </c>
      <c r="P2222" s="40">
        <v>36</v>
      </c>
      <c r="Q2222" s="40">
        <v>10</v>
      </c>
      <c r="R2222" s="40">
        <v>2</v>
      </c>
      <c r="S2222" s="40">
        <v>0</v>
      </c>
    </row>
    <row r="2223" spans="1:19" x14ac:dyDescent="0.35">
      <c r="A2223" s="38">
        <v>2586</v>
      </c>
      <c r="B2223" s="38" t="str">
        <f>_xlfn.XLOOKUP(A2223,'Model Modeshare by TAZ'!A:A,'Model Modeshare by TAZ'!B:B)</f>
        <v>Suisun City</v>
      </c>
      <c r="C2223" s="38" t="str">
        <f>_xlfn.XLOOKUP(A2223,'Model Modeshare by TAZ'!A:A,'Model Modeshare by TAZ'!D:D)</f>
        <v>NO</v>
      </c>
      <c r="D2223" s="6">
        <v>6</v>
      </c>
      <c r="E2223" s="6">
        <v>1787</v>
      </c>
      <c r="F2223" s="6">
        <v>6254</v>
      </c>
      <c r="G2223" s="6">
        <v>6259</v>
      </c>
      <c r="H2223" s="6">
        <v>3265</v>
      </c>
      <c r="I2223" s="6">
        <v>1772</v>
      </c>
      <c r="J2223" s="6">
        <v>15</v>
      </c>
      <c r="K2223" s="40">
        <v>406</v>
      </c>
      <c r="L2223" s="40">
        <v>5</v>
      </c>
      <c r="M2223" s="40">
        <v>198</v>
      </c>
      <c r="N2223" s="40">
        <v>47</v>
      </c>
      <c r="O2223" s="40">
        <v>87</v>
      </c>
      <c r="P2223" s="40">
        <v>37</v>
      </c>
      <c r="Q2223" s="40">
        <v>15</v>
      </c>
      <c r="R2223" s="40">
        <v>7</v>
      </c>
      <c r="S2223" s="40">
        <v>5</v>
      </c>
    </row>
    <row r="2224" spans="1:19" x14ac:dyDescent="0.35">
      <c r="A2224" s="38">
        <v>2587</v>
      </c>
      <c r="B2224" s="38" t="str">
        <f>_xlfn.XLOOKUP(A2224,'Model Modeshare by TAZ'!A:A,'Model Modeshare by TAZ'!B:B)</f>
        <v>Suisun City</v>
      </c>
      <c r="C2224" s="38" t="str">
        <f>_xlfn.XLOOKUP(A2224,'Model Modeshare by TAZ'!A:A,'Model Modeshare by TAZ'!D:D)</f>
        <v>NO</v>
      </c>
      <c r="D2224" s="6">
        <v>6</v>
      </c>
      <c r="E2224" s="6">
        <v>1655</v>
      </c>
      <c r="F2224" s="6">
        <v>4743</v>
      </c>
      <c r="G2224" s="6">
        <v>4753</v>
      </c>
      <c r="H2224" s="6">
        <v>2393</v>
      </c>
      <c r="I2224" s="6">
        <v>1335</v>
      </c>
      <c r="J2224" s="6">
        <v>320</v>
      </c>
      <c r="K2224" s="40">
        <v>224</v>
      </c>
      <c r="L2224" s="40">
        <v>41</v>
      </c>
      <c r="M2224" s="40">
        <v>781</v>
      </c>
      <c r="N2224" s="40">
        <v>181</v>
      </c>
      <c r="O2224" s="40">
        <v>384</v>
      </c>
      <c r="P2224" s="40">
        <v>198</v>
      </c>
      <c r="Q2224" s="40">
        <v>13</v>
      </c>
      <c r="R2224" s="40">
        <v>2</v>
      </c>
      <c r="S2224" s="40">
        <v>4</v>
      </c>
    </row>
    <row r="2225" spans="1:19" x14ac:dyDescent="0.35">
      <c r="A2225" s="38">
        <v>2588</v>
      </c>
      <c r="B2225" s="38" t="str">
        <f>_xlfn.XLOOKUP(A2225,'Model Modeshare by TAZ'!A:A,'Model Modeshare by TAZ'!B:B)</f>
        <v>Unincorporated</v>
      </c>
      <c r="C2225" s="38" t="str">
        <f>_xlfn.XLOOKUP(A2225,'Model Modeshare by TAZ'!A:A,'Model Modeshare by TAZ'!D:D)</f>
        <v>NO</v>
      </c>
      <c r="D2225" s="6">
        <v>6</v>
      </c>
      <c r="E2225" s="6">
        <v>1677</v>
      </c>
      <c r="F2225" s="6">
        <v>5315</v>
      </c>
      <c r="G2225" s="6">
        <v>5315</v>
      </c>
      <c r="H2225" s="6">
        <v>2069</v>
      </c>
      <c r="I2225" s="6">
        <v>903</v>
      </c>
      <c r="J2225" s="6">
        <v>774</v>
      </c>
      <c r="K2225" s="40">
        <v>704</v>
      </c>
      <c r="L2225" s="40">
        <v>39</v>
      </c>
      <c r="M2225" s="40">
        <v>903</v>
      </c>
      <c r="N2225" s="40">
        <v>80</v>
      </c>
      <c r="O2225" s="40">
        <v>160</v>
      </c>
      <c r="P2225" s="40">
        <v>643</v>
      </c>
      <c r="Q2225" s="40">
        <v>2</v>
      </c>
      <c r="R2225" s="40">
        <v>18</v>
      </c>
      <c r="S2225" s="40">
        <v>0</v>
      </c>
    </row>
    <row r="2226" spans="1:19" x14ac:dyDescent="0.35">
      <c r="A2226" s="38">
        <v>2589</v>
      </c>
      <c r="B2226" s="38" t="str">
        <f>_xlfn.XLOOKUP(A2226,'Model Modeshare by TAZ'!A:A,'Model Modeshare by TAZ'!B:B)</f>
        <v>Fairfield</v>
      </c>
      <c r="C2226" s="38" t="str">
        <f>_xlfn.XLOOKUP(A2226,'Model Modeshare by TAZ'!A:A,'Model Modeshare by TAZ'!D:D)</f>
        <v>NO</v>
      </c>
      <c r="D2226" s="6">
        <v>6</v>
      </c>
      <c r="E2226" s="6">
        <v>2102</v>
      </c>
      <c r="F2226" s="6">
        <v>6228</v>
      </c>
      <c r="G2226" s="6">
        <v>6251</v>
      </c>
      <c r="H2226" s="6">
        <v>2618</v>
      </c>
      <c r="I2226" s="6">
        <v>1523</v>
      </c>
      <c r="J2226" s="6">
        <v>579</v>
      </c>
      <c r="K2226" s="40">
        <v>310</v>
      </c>
      <c r="L2226" s="40">
        <v>32</v>
      </c>
      <c r="M2226" s="40">
        <v>330</v>
      </c>
      <c r="N2226" s="40">
        <v>66</v>
      </c>
      <c r="O2226" s="40">
        <v>149</v>
      </c>
      <c r="P2226" s="40">
        <v>110</v>
      </c>
      <c r="Q2226" s="40">
        <v>2</v>
      </c>
      <c r="R2226" s="40">
        <v>2</v>
      </c>
      <c r="S2226" s="40">
        <v>2</v>
      </c>
    </row>
    <row r="2227" spans="1:19" x14ac:dyDescent="0.35">
      <c r="A2227" s="38">
        <v>2590</v>
      </c>
      <c r="B2227" s="38" t="str">
        <f>_xlfn.XLOOKUP(A2227,'Model Modeshare by TAZ'!A:A,'Model Modeshare by TAZ'!B:B)</f>
        <v>Fairfield</v>
      </c>
      <c r="C2227" s="38" t="str">
        <f>_xlfn.XLOOKUP(A2227,'Model Modeshare by TAZ'!A:A,'Model Modeshare by TAZ'!D:D)</f>
        <v>NO</v>
      </c>
      <c r="D2227" s="6">
        <v>6</v>
      </c>
      <c r="E2227" s="6">
        <v>1288</v>
      </c>
      <c r="F2227" s="6">
        <v>4282</v>
      </c>
      <c r="G2227" s="6">
        <v>4282</v>
      </c>
      <c r="H2227" s="6">
        <v>1884</v>
      </c>
      <c r="I2227" s="6">
        <v>706</v>
      </c>
      <c r="J2227" s="6">
        <v>582</v>
      </c>
      <c r="K2227" s="40">
        <v>144</v>
      </c>
      <c r="L2227" s="40">
        <v>8</v>
      </c>
      <c r="M2227" s="40">
        <v>366</v>
      </c>
      <c r="N2227" s="40">
        <v>6</v>
      </c>
      <c r="O2227" s="40">
        <v>227</v>
      </c>
      <c r="P2227" s="40">
        <v>133</v>
      </c>
      <c r="Q2227" s="40">
        <v>0</v>
      </c>
      <c r="R2227" s="40">
        <v>0</v>
      </c>
      <c r="S2227" s="40">
        <v>0</v>
      </c>
    </row>
    <row r="2228" spans="1:19" x14ac:dyDescent="0.35">
      <c r="A2228" s="38">
        <v>2591</v>
      </c>
      <c r="B2228" s="38" t="str">
        <f>_xlfn.XLOOKUP(A2228,'Model Modeshare by TAZ'!A:A,'Model Modeshare by TAZ'!B:B)</f>
        <v>Fairfield</v>
      </c>
      <c r="C2228" s="38" t="str">
        <f>_xlfn.XLOOKUP(A2228,'Model Modeshare by TAZ'!A:A,'Model Modeshare by TAZ'!D:D)</f>
        <v>NO</v>
      </c>
      <c r="D2228" s="6">
        <v>6</v>
      </c>
      <c r="E2228" s="6">
        <v>1632</v>
      </c>
      <c r="F2228" s="6">
        <v>5549</v>
      </c>
      <c r="G2228" s="6">
        <v>5603</v>
      </c>
      <c r="H2228" s="6">
        <v>2317</v>
      </c>
      <c r="I2228" s="6">
        <v>838</v>
      </c>
      <c r="J2228" s="6">
        <v>794</v>
      </c>
      <c r="K2228" s="40">
        <v>151</v>
      </c>
      <c r="L2228" s="40">
        <v>39</v>
      </c>
      <c r="M2228" s="40">
        <v>2564</v>
      </c>
      <c r="N2228" s="40">
        <v>1522</v>
      </c>
      <c r="O2228" s="40">
        <v>922</v>
      </c>
      <c r="P2228" s="40">
        <v>110</v>
      </c>
      <c r="Q2228" s="40">
        <v>7</v>
      </c>
      <c r="R2228" s="40">
        <v>0</v>
      </c>
      <c r="S2228" s="40">
        <v>2</v>
      </c>
    </row>
    <row r="2229" spans="1:19" x14ac:dyDescent="0.35">
      <c r="A2229" s="38">
        <v>2592</v>
      </c>
      <c r="B2229" s="38" t="str">
        <f>_xlfn.XLOOKUP(A2229,'Model Modeshare by TAZ'!A:A,'Model Modeshare by TAZ'!B:B)</f>
        <v>Fairfield</v>
      </c>
      <c r="C2229" s="38" t="str">
        <f>_xlfn.XLOOKUP(A2229,'Model Modeshare by TAZ'!A:A,'Model Modeshare by TAZ'!D:D)</f>
        <v>NO</v>
      </c>
      <c r="D2229" s="6">
        <v>6</v>
      </c>
      <c r="E2229" s="6">
        <v>1150</v>
      </c>
      <c r="F2229" s="6">
        <v>4333</v>
      </c>
      <c r="G2229" s="6">
        <v>4355</v>
      </c>
      <c r="H2229" s="6">
        <v>1766</v>
      </c>
      <c r="I2229" s="6">
        <v>643</v>
      </c>
      <c r="J2229" s="6">
        <v>507</v>
      </c>
      <c r="K2229" s="40">
        <v>114</v>
      </c>
      <c r="L2229" s="40">
        <v>39</v>
      </c>
      <c r="M2229" s="40">
        <v>320</v>
      </c>
      <c r="N2229" s="40">
        <v>110</v>
      </c>
      <c r="O2229" s="40">
        <v>85</v>
      </c>
      <c r="P2229" s="40">
        <v>121</v>
      </c>
      <c r="Q2229" s="40">
        <v>1</v>
      </c>
      <c r="R2229" s="40">
        <v>2</v>
      </c>
      <c r="S2229" s="40">
        <v>1</v>
      </c>
    </row>
    <row r="2230" spans="1:19" x14ac:dyDescent="0.35">
      <c r="A2230" s="38">
        <v>2593</v>
      </c>
      <c r="B2230" s="38" t="str">
        <f>_xlfn.XLOOKUP(A2230,'Model Modeshare by TAZ'!A:A,'Model Modeshare by TAZ'!B:B)</f>
        <v>Suisun City</v>
      </c>
      <c r="C2230" s="38" t="str">
        <f>_xlfn.XLOOKUP(A2230,'Model Modeshare by TAZ'!A:A,'Model Modeshare by TAZ'!D:D)</f>
        <v>NO</v>
      </c>
      <c r="D2230" s="6">
        <v>6</v>
      </c>
      <c r="E2230" s="6">
        <v>1218</v>
      </c>
      <c r="F2230" s="6">
        <v>3980</v>
      </c>
      <c r="G2230" s="6">
        <v>4025</v>
      </c>
      <c r="H2230" s="6">
        <v>2037</v>
      </c>
      <c r="I2230" s="6">
        <v>1135</v>
      </c>
      <c r="J2230" s="6">
        <v>83</v>
      </c>
      <c r="K2230" s="40">
        <v>135</v>
      </c>
      <c r="L2230" s="40">
        <v>50</v>
      </c>
      <c r="M2230" s="40">
        <v>837</v>
      </c>
      <c r="N2230" s="40">
        <v>209</v>
      </c>
      <c r="O2230" s="40">
        <v>305</v>
      </c>
      <c r="P2230" s="40">
        <v>275</v>
      </c>
      <c r="Q2230" s="40">
        <v>8</v>
      </c>
      <c r="R2230" s="40">
        <v>24</v>
      </c>
      <c r="S2230" s="40">
        <v>16</v>
      </c>
    </row>
    <row r="2231" spans="1:19" x14ac:dyDescent="0.35">
      <c r="A2231" s="38">
        <v>2594</v>
      </c>
      <c r="B2231" s="38" t="str">
        <f>_xlfn.XLOOKUP(A2231,'Model Modeshare by TAZ'!A:A,'Model Modeshare by TAZ'!B:B)</f>
        <v>Fairfield</v>
      </c>
      <c r="C2231" s="38" t="str">
        <f>_xlfn.XLOOKUP(A2231,'Model Modeshare by TAZ'!A:A,'Model Modeshare by TAZ'!D:D)</f>
        <v>NO</v>
      </c>
      <c r="D2231" s="6">
        <v>6</v>
      </c>
      <c r="E2231" s="6">
        <v>654</v>
      </c>
      <c r="F2231" s="6">
        <v>1760</v>
      </c>
      <c r="G2231" s="6">
        <v>2376</v>
      </c>
      <c r="H2231" s="6">
        <v>850</v>
      </c>
      <c r="I2231" s="6">
        <v>332</v>
      </c>
      <c r="J2231" s="6">
        <v>322</v>
      </c>
      <c r="K2231" s="40">
        <v>75</v>
      </c>
      <c r="L2231" s="40">
        <v>57</v>
      </c>
      <c r="M2231" s="40">
        <v>3750</v>
      </c>
      <c r="N2231" s="40">
        <v>640</v>
      </c>
      <c r="O2231" s="40">
        <v>1139</v>
      </c>
      <c r="P2231" s="40">
        <v>1910</v>
      </c>
      <c r="Q2231" s="40">
        <v>1</v>
      </c>
      <c r="R2231" s="40">
        <v>51</v>
      </c>
      <c r="S2231" s="40">
        <v>9</v>
      </c>
    </row>
    <row r="2232" spans="1:19" x14ac:dyDescent="0.35">
      <c r="A2232" s="38">
        <v>2595</v>
      </c>
      <c r="B2232" s="38" t="str">
        <f>_xlfn.XLOOKUP(A2232,'Model Modeshare by TAZ'!A:A,'Model Modeshare by TAZ'!B:B)</f>
        <v>Fairfield</v>
      </c>
      <c r="C2232" s="38" t="str">
        <f>_xlfn.XLOOKUP(A2232,'Model Modeshare by TAZ'!A:A,'Model Modeshare by TAZ'!D:D)</f>
        <v>NO</v>
      </c>
      <c r="D2232" s="6">
        <v>6</v>
      </c>
      <c r="E2232" s="6">
        <v>913</v>
      </c>
      <c r="F2232" s="6">
        <v>2702</v>
      </c>
      <c r="G2232" s="6">
        <v>2837</v>
      </c>
      <c r="H2232" s="6">
        <v>1092</v>
      </c>
      <c r="I2232" s="6">
        <v>566</v>
      </c>
      <c r="J2232" s="6">
        <v>347</v>
      </c>
      <c r="K2232" s="40">
        <v>118</v>
      </c>
      <c r="L2232" s="40">
        <v>37</v>
      </c>
      <c r="M2232" s="40">
        <v>2284</v>
      </c>
      <c r="N2232" s="40">
        <v>672</v>
      </c>
      <c r="O2232" s="40">
        <v>732</v>
      </c>
      <c r="P2232" s="40">
        <v>845</v>
      </c>
      <c r="Q2232" s="40">
        <v>1</v>
      </c>
      <c r="R2232" s="40">
        <v>30</v>
      </c>
      <c r="S2232" s="40">
        <v>4</v>
      </c>
    </row>
    <row r="2233" spans="1:19" x14ac:dyDescent="0.35">
      <c r="A2233" s="38">
        <v>2596</v>
      </c>
      <c r="B2233" s="38" t="str">
        <f>_xlfn.XLOOKUP(A2233,'Model Modeshare by TAZ'!A:A,'Model Modeshare by TAZ'!B:B)</f>
        <v>Fairfield</v>
      </c>
      <c r="C2233" s="38" t="str">
        <f>_xlfn.XLOOKUP(A2233,'Model Modeshare by TAZ'!A:A,'Model Modeshare by TAZ'!D:D)</f>
        <v>NO</v>
      </c>
      <c r="D2233" s="6">
        <v>6</v>
      </c>
      <c r="E2233" s="6">
        <v>1895</v>
      </c>
      <c r="F2233" s="6">
        <v>5808</v>
      </c>
      <c r="G2233" s="6">
        <v>5850</v>
      </c>
      <c r="H2233" s="6">
        <v>2331</v>
      </c>
      <c r="I2233" s="6">
        <v>616</v>
      </c>
      <c r="J2233" s="6">
        <v>1279</v>
      </c>
      <c r="K2233" s="40">
        <v>190</v>
      </c>
      <c r="L2233" s="40">
        <v>65</v>
      </c>
      <c r="M2233" s="40">
        <v>1237</v>
      </c>
      <c r="N2233" s="40">
        <v>597</v>
      </c>
      <c r="O2233" s="40">
        <v>500</v>
      </c>
      <c r="P2233" s="40">
        <v>133</v>
      </c>
      <c r="Q2233" s="40">
        <v>5</v>
      </c>
      <c r="R2233" s="40">
        <v>0</v>
      </c>
      <c r="S2233" s="40">
        <v>2</v>
      </c>
    </row>
    <row r="2234" spans="1:19" x14ac:dyDescent="0.35">
      <c r="A2234" s="38">
        <v>2597</v>
      </c>
      <c r="B2234" s="38" t="str">
        <f>_xlfn.XLOOKUP(A2234,'Model Modeshare by TAZ'!A:A,'Model Modeshare by TAZ'!B:B)</f>
        <v>Fairfield</v>
      </c>
      <c r="C2234" s="38" t="str">
        <f>_xlfn.XLOOKUP(A2234,'Model Modeshare by TAZ'!A:A,'Model Modeshare by TAZ'!D:D)</f>
        <v>NO</v>
      </c>
      <c r="D2234" s="6">
        <v>6</v>
      </c>
      <c r="E2234" s="6">
        <v>1038</v>
      </c>
      <c r="F2234" s="6">
        <v>3052</v>
      </c>
      <c r="G2234" s="6">
        <v>3241</v>
      </c>
      <c r="H2234" s="6">
        <v>1218</v>
      </c>
      <c r="I2234" s="6">
        <v>501</v>
      </c>
      <c r="J2234" s="6">
        <v>537</v>
      </c>
      <c r="K2234" s="40">
        <v>127</v>
      </c>
      <c r="L2234" s="40">
        <v>119</v>
      </c>
      <c r="M2234" s="40">
        <v>6006</v>
      </c>
      <c r="N2234" s="40">
        <v>1157</v>
      </c>
      <c r="O2234" s="40">
        <v>2224</v>
      </c>
      <c r="P2234" s="40">
        <v>2621</v>
      </c>
      <c r="Q2234" s="40">
        <v>1</v>
      </c>
      <c r="R2234" s="40">
        <v>0</v>
      </c>
      <c r="S2234" s="40">
        <v>3</v>
      </c>
    </row>
    <row r="2235" spans="1:19" x14ac:dyDescent="0.35">
      <c r="A2235" s="38">
        <v>2598</v>
      </c>
      <c r="B2235" s="38" t="str">
        <f>_xlfn.XLOOKUP(A2235,'Model Modeshare by TAZ'!A:A,'Model Modeshare by TAZ'!B:B)</f>
        <v>Fairfield</v>
      </c>
      <c r="C2235" s="38" t="str">
        <f>_xlfn.XLOOKUP(A2235,'Model Modeshare by TAZ'!A:A,'Model Modeshare by TAZ'!D:D)</f>
        <v>NO</v>
      </c>
      <c r="D2235" s="6">
        <v>6</v>
      </c>
      <c r="E2235" s="6">
        <v>1313</v>
      </c>
      <c r="F2235" s="6">
        <v>4407</v>
      </c>
      <c r="G2235" s="6">
        <v>4516</v>
      </c>
      <c r="H2235" s="6">
        <v>1924</v>
      </c>
      <c r="I2235" s="6">
        <v>1229</v>
      </c>
      <c r="J2235" s="6">
        <v>84</v>
      </c>
      <c r="K2235" s="40">
        <v>173</v>
      </c>
      <c r="L2235" s="40">
        <v>44</v>
      </c>
      <c r="M2235" s="40">
        <v>924</v>
      </c>
      <c r="N2235" s="40">
        <v>169</v>
      </c>
      <c r="O2235" s="40">
        <v>167</v>
      </c>
      <c r="P2235" s="40">
        <v>583</v>
      </c>
      <c r="Q2235" s="40">
        <v>2</v>
      </c>
      <c r="R2235" s="40">
        <v>0</v>
      </c>
      <c r="S2235" s="40">
        <v>3</v>
      </c>
    </row>
    <row r="2236" spans="1:19" x14ac:dyDescent="0.35">
      <c r="A2236" s="38">
        <v>2599</v>
      </c>
      <c r="B2236" s="38" t="str">
        <f>_xlfn.XLOOKUP(A2236,'Model Modeshare by TAZ'!A:A,'Model Modeshare by TAZ'!B:B)</f>
        <v>Fairfield</v>
      </c>
      <c r="C2236" s="38" t="str">
        <f>_xlfn.XLOOKUP(A2236,'Model Modeshare by TAZ'!A:A,'Model Modeshare by TAZ'!D:D)</f>
        <v>NO</v>
      </c>
      <c r="D2236" s="6">
        <v>6</v>
      </c>
      <c r="E2236" s="6">
        <v>1241</v>
      </c>
      <c r="F2236" s="6">
        <v>3404</v>
      </c>
      <c r="G2236" s="6">
        <v>3404</v>
      </c>
      <c r="H2236" s="6">
        <v>1585</v>
      </c>
      <c r="I2236" s="6">
        <v>1239</v>
      </c>
      <c r="J2236" s="6">
        <v>2</v>
      </c>
      <c r="K2236" s="40">
        <v>231</v>
      </c>
      <c r="L2236" s="40">
        <v>37</v>
      </c>
      <c r="M2236" s="40">
        <v>1132</v>
      </c>
      <c r="N2236" s="40">
        <v>524</v>
      </c>
      <c r="O2236" s="40">
        <v>533</v>
      </c>
      <c r="P2236" s="40">
        <v>60</v>
      </c>
      <c r="Q2236" s="40">
        <v>1</v>
      </c>
      <c r="R2236" s="40">
        <v>8</v>
      </c>
      <c r="S2236" s="40">
        <v>6</v>
      </c>
    </row>
    <row r="2237" spans="1:19" x14ac:dyDescent="0.35">
      <c r="A2237" s="38">
        <v>2600</v>
      </c>
      <c r="B2237" s="38" t="str">
        <f>_xlfn.XLOOKUP(A2237,'Model Modeshare by TAZ'!A:A,'Model Modeshare by TAZ'!B:B)</f>
        <v>Unincorporated</v>
      </c>
      <c r="C2237" s="38" t="str">
        <f>_xlfn.XLOOKUP(A2237,'Model Modeshare by TAZ'!A:A,'Model Modeshare by TAZ'!D:D)</f>
        <v>NO</v>
      </c>
      <c r="D2237" s="6">
        <v>6</v>
      </c>
      <c r="E2237" s="6">
        <v>4063</v>
      </c>
      <c r="F2237" s="6">
        <v>10976</v>
      </c>
      <c r="G2237" s="6">
        <v>11028</v>
      </c>
      <c r="H2237" s="6">
        <v>5557</v>
      </c>
      <c r="I2237" s="6">
        <v>3470</v>
      </c>
      <c r="J2237" s="6">
        <v>593</v>
      </c>
      <c r="K2237" s="40">
        <v>1375</v>
      </c>
      <c r="L2237" s="40">
        <v>53</v>
      </c>
      <c r="M2237" s="40">
        <v>1538</v>
      </c>
      <c r="N2237" s="40">
        <v>405</v>
      </c>
      <c r="O2237" s="40">
        <v>530</v>
      </c>
      <c r="P2237" s="40">
        <v>458</v>
      </c>
      <c r="Q2237" s="40">
        <v>2</v>
      </c>
      <c r="R2237" s="40">
        <v>105</v>
      </c>
      <c r="S2237" s="40">
        <v>38</v>
      </c>
    </row>
    <row r="2238" spans="1:19" x14ac:dyDescent="0.35">
      <c r="A2238" s="38">
        <v>2601</v>
      </c>
      <c r="B2238" s="38" t="str">
        <f>_xlfn.XLOOKUP(A2238,'Model Modeshare by TAZ'!A:A,'Model Modeshare by TAZ'!B:B)</f>
        <v>Fairfield</v>
      </c>
      <c r="C2238" s="38" t="str">
        <f>_xlfn.XLOOKUP(A2238,'Model Modeshare by TAZ'!A:A,'Model Modeshare by TAZ'!D:D)</f>
        <v>NO</v>
      </c>
      <c r="D2238" s="6">
        <v>6</v>
      </c>
      <c r="E2238" s="6">
        <v>3570</v>
      </c>
      <c r="F2238" s="6">
        <v>9668</v>
      </c>
      <c r="G2238" s="6">
        <v>9789</v>
      </c>
      <c r="H2238" s="6">
        <v>4274</v>
      </c>
      <c r="I2238" s="6">
        <v>2712</v>
      </c>
      <c r="J2238" s="6">
        <v>858</v>
      </c>
      <c r="K2238" s="40">
        <v>478</v>
      </c>
      <c r="L2238" s="40">
        <v>98</v>
      </c>
      <c r="M2238" s="40">
        <v>2580</v>
      </c>
      <c r="N2238" s="40">
        <v>712</v>
      </c>
      <c r="O2238" s="40">
        <v>698</v>
      </c>
      <c r="P2238" s="40">
        <v>1032</v>
      </c>
      <c r="Q2238" s="40">
        <v>6</v>
      </c>
      <c r="R2238" s="40">
        <v>109</v>
      </c>
      <c r="S2238" s="40">
        <v>24</v>
      </c>
    </row>
    <row r="2239" spans="1:19" x14ac:dyDescent="0.35">
      <c r="A2239" s="38">
        <v>2602</v>
      </c>
      <c r="B2239" s="38" t="str">
        <f>_xlfn.XLOOKUP(A2239,'Model Modeshare by TAZ'!A:A,'Model Modeshare by TAZ'!B:B)</f>
        <v>Fairfield</v>
      </c>
      <c r="C2239" s="38" t="str">
        <f>_xlfn.XLOOKUP(A2239,'Model Modeshare by TAZ'!A:A,'Model Modeshare by TAZ'!D:D)</f>
        <v>NO</v>
      </c>
      <c r="D2239" s="6">
        <v>6</v>
      </c>
      <c r="E2239" s="6">
        <v>4984</v>
      </c>
      <c r="F2239" s="6">
        <v>16534</v>
      </c>
      <c r="G2239" s="6">
        <v>16709</v>
      </c>
      <c r="H2239" s="6">
        <v>8449</v>
      </c>
      <c r="I2239" s="6">
        <v>4322</v>
      </c>
      <c r="J2239" s="6">
        <v>662</v>
      </c>
      <c r="K2239" s="40">
        <v>1063</v>
      </c>
      <c r="L2239" s="40">
        <v>573</v>
      </c>
      <c r="M2239" s="40">
        <v>2177</v>
      </c>
      <c r="N2239" s="40">
        <v>317</v>
      </c>
      <c r="O2239" s="40">
        <v>600</v>
      </c>
      <c r="P2239" s="40">
        <v>872</v>
      </c>
      <c r="Q2239" s="40">
        <v>17</v>
      </c>
      <c r="R2239" s="40">
        <v>308</v>
      </c>
      <c r="S2239" s="40">
        <v>64</v>
      </c>
    </row>
    <row r="2240" spans="1:19" x14ac:dyDescent="0.35">
      <c r="A2240" s="38">
        <v>2603</v>
      </c>
      <c r="B2240" s="38" t="str">
        <f>_xlfn.XLOOKUP(A2240,'Model Modeshare by TAZ'!A:A,'Model Modeshare by TAZ'!B:B)</f>
        <v>Unincorporated</v>
      </c>
      <c r="C2240" s="38" t="str">
        <f>_xlfn.XLOOKUP(A2240,'Model Modeshare by TAZ'!A:A,'Model Modeshare by TAZ'!D:D)</f>
        <v>NO</v>
      </c>
      <c r="D2240" s="6">
        <v>6</v>
      </c>
      <c r="E2240" s="6">
        <v>4644</v>
      </c>
      <c r="F2240" s="6">
        <v>14565</v>
      </c>
      <c r="G2240" s="6">
        <v>14565</v>
      </c>
      <c r="H2240" s="6">
        <v>7500</v>
      </c>
      <c r="I2240" s="6">
        <v>4306</v>
      </c>
      <c r="J2240" s="6">
        <v>338</v>
      </c>
      <c r="K2240" s="40">
        <v>744</v>
      </c>
      <c r="L2240" s="40">
        <v>325</v>
      </c>
      <c r="M2240" s="40">
        <v>692</v>
      </c>
      <c r="N2240" s="40">
        <v>127</v>
      </c>
      <c r="O2240" s="40">
        <v>334</v>
      </c>
      <c r="P2240" s="40">
        <v>161</v>
      </c>
      <c r="Q2240" s="40">
        <v>4</v>
      </c>
      <c r="R2240" s="40">
        <v>66</v>
      </c>
      <c r="S2240" s="40">
        <v>0</v>
      </c>
    </row>
    <row r="2241" spans="1:19" x14ac:dyDescent="0.35">
      <c r="A2241" s="38">
        <v>2604</v>
      </c>
      <c r="B2241" s="38" t="str">
        <f>_xlfn.XLOOKUP(A2241,'Model Modeshare by TAZ'!A:A,'Model Modeshare by TAZ'!B:B)</f>
        <v>Vacaville</v>
      </c>
      <c r="C2241" s="38" t="str">
        <f>_xlfn.XLOOKUP(A2241,'Model Modeshare by TAZ'!A:A,'Model Modeshare by TAZ'!D:D)</f>
        <v>NO</v>
      </c>
      <c r="D2241" s="6">
        <v>6</v>
      </c>
      <c r="E2241" s="6">
        <v>0</v>
      </c>
      <c r="F2241" s="6">
        <v>0</v>
      </c>
      <c r="G2241" s="6">
        <v>6528</v>
      </c>
      <c r="H2241" s="6">
        <v>0</v>
      </c>
      <c r="I2241" s="6">
        <v>0</v>
      </c>
      <c r="J2241" s="6">
        <v>0</v>
      </c>
      <c r="K2241" s="40">
        <v>0</v>
      </c>
      <c r="L2241" s="40">
        <v>463</v>
      </c>
      <c r="M2241" s="40">
        <v>1437</v>
      </c>
      <c r="N2241" s="40">
        <v>18</v>
      </c>
      <c r="O2241" s="40">
        <v>439</v>
      </c>
      <c r="P2241" s="40">
        <v>960</v>
      </c>
      <c r="Q2241" s="40">
        <v>1</v>
      </c>
      <c r="R2241" s="40">
        <v>11</v>
      </c>
      <c r="S2241" s="40">
        <v>7</v>
      </c>
    </row>
    <row r="2242" spans="1:19" x14ac:dyDescent="0.35">
      <c r="A2242" s="38">
        <v>2605</v>
      </c>
      <c r="B2242" s="38" t="str">
        <f>_xlfn.XLOOKUP(A2242,'Model Modeshare by TAZ'!A:A,'Model Modeshare by TAZ'!B:B)</f>
        <v>Vacaville</v>
      </c>
      <c r="C2242" s="38" t="str">
        <f>_xlfn.XLOOKUP(A2242,'Model Modeshare by TAZ'!A:A,'Model Modeshare by TAZ'!D:D)</f>
        <v>NO</v>
      </c>
      <c r="D2242" s="6">
        <v>6</v>
      </c>
      <c r="E2242" s="6">
        <v>1612</v>
      </c>
      <c r="F2242" s="6">
        <v>4656</v>
      </c>
      <c r="G2242" s="6">
        <v>4661</v>
      </c>
      <c r="H2242" s="6">
        <v>2033</v>
      </c>
      <c r="I2242" s="6">
        <v>1112</v>
      </c>
      <c r="J2242" s="6">
        <v>500</v>
      </c>
      <c r="K2242" s="40">
        <v>326</v>
      </c>
      <c r="L2242" s="40">
        <v>57</v>
      </c>
      <c r="M2242" s="40">
        <v>986</v>
      </c>
      <c r="N2242" s="40">
        <v>258</v>
      </c>
      <c r="O2242" s="40">
        <v>242</v>
      </c>
      <c r="P2242" s="40">
        <v>467</v>
      </c>
      <c r="Q2242" s="40">
        <v>1</v>
      </c>
      <c r="R2242" s="40">
        <v>9</v>
      </c>
      <c r="S2242" s="40">
        <v>9</v>
      </c>
    </row>
    <row r="2243" spans="1:19" x14ac:dyDescent="0.35">
      <c r="A2243" s="38">
        <v>2606</v>
      </c>
      <c r="B2243" s="38" t="str">
        <f>_xlfn.XLOOKUP(A2243,'Model Modeshare by TAZ'!A:A,'Model Modeshare by TAZ'!B:B)</f>
        <v>Vacaville</v>
      </c>
      <c r="C2243" s="38" t="str">
        <f>_xlfn.XLOOKUP(A2243,'Model Modeshare by TAZ'!A:A,'Model Modeshare by TAZ'!D:D)</f>
        <v>NO</v>
      </c>
      <c r="D2243" s="6">
        <v>6</v>
      </c>
      <c r="E2243" s="6">
        <v>2325</v>
      </c>
      <c r="F2243" s="6">
        <v>6322</v>
      </c>
      <c r="G2243" s="6">
        <v>6322</v>
      </c>
      <c r="H2243" s="6">
        <v>2407</v>
      </c>
      <c r="I2243" s="6">
        <v>1272</v>
      </c>
      <c r="J2243" s="6">
        <v>1053</v>
      </c>
      <c r="K2243" s="40">
        <v>342</v>
      </c>
      <c r="L2243" s="40">
        <v>123</v>
      </c>
      <c r="M2243" s="40">
        <v>2158</v>
      </c>
      <c r="N2243" s="40">
        <v>564</v>
      </c>
      <c r="O2243" s="40">
        <v>529</v>
      </c>
      <c r="P2243" s="40">
        <v>1023</v>
      </c>
      <c r="Q2243" s="40">
        <v>0</v>
      </c>
      <c r="R2243" s="40">
        <v>21</v>
      </c>
      <c r="S2243" s="40">
        <v>21</v>
      </c>
    </row>
    <row r="2244" spans="1:19" x14ac:dyDescent="0.35">
      <c r="A2244" s="38">
        <v>2607</v>
      </c>
      <c r="B2244" s="38" t="str">
        <f>_xlfn.XLOOKUP(A2244,'Model Modeshare by TAZ'!A:A,'Model Modeshare by TAZ'!B:B)</f>
        <v>Vacaville</v>
      </c>
      <c r="C2244" s="38" t="str">
        <f>_xlfn.XLOOKUP(A2244,'Model Modeshare by TAZ'!A:A,'Model Modeshare by TAZ'!D:D)</f>
        <v>NO</v>
      </c>
      <c r="D2244" s="6">
        <v>6</v>
      </c>
      <c r="E2244" s="6">
        <v>1259</v>
      </c>
      <c r="F2244" s="6">
        <v>3464</v>
      </c>
      <c r="G2244" s="6">
        <v>3464</v>
      </c>
      <c r="H2244" s="6">
        <v>1882</v>
      </c>
      <c r="I2244" s="6">
        <v>733</v>
      </c>
      <c r="J2244" s="6">
        <v>526</v>
      </c>
      <c r="K2244" s="40">
        <v>169</v>
      </c>
      <c r="L2244" s="40">
        <v>17</v>
      </c>
      <c r="M2244" s="40">
        <v>771</v>
      </c>
      <c r="N2244" s="40">
        <v>215</v>
      </c>
      <c r="O2244" s="40">
        <v>121</v>
      </c>
      <c r="P2244" s="40">
        <v>309</v>
      </c>
      <c r="Q2244" s="40">
        <v>0</v>
      </c>
      <c r="R2244" s="40">
        <v>126</v>
      </c>
      <c r="S2244" s="40">
        <v>0</v>
      </c>
    </row>
    <row r="2245" spans="1:19" x14ac:dyDescent="0.35">
      <c r="A2245" s="38">
        <v>2608</v>
      </c>
      <c r="B2245" s="38" t="str">
        <f>_xlfn.XLOOKUP(A2245,'Model Modeshare by TAZ'!A:A,'Model Modeshare by TAZ'!B:B)</f>
        <v>Vacaville</v>
      </c>
      <c r="C2245" s="38" t="str">
        <f>_xlfn.XLOOKUP(A2245,'Model Modeshare by TAZ'!A:A,'Model Modeshare by TAZ'!D:D)</f>
        <v>NO</v>
      </c>
      <c r="D2245" s="6">
        <v>6</v>
      </c>
      <c r="E2245" s="6">
        <v>1283</v>
      </c>
      <c r="F2245" s="6">
        <v>3896</v>
      </c>
      <c r="G2245" s="6">
        <v>3896</v>
      </c>
      <c r="H2245" s="6">
        <v>1984</v>
      </c>
      <c r="I2245" s="6">
        <v>840</v>
      </c>
      <c r="J2245" s="6">
        <v>443</v>
      </c>
      <c r="K2245" s="40">
        <v>153</v>
      </c>
      <c r="L2245" s="40">
        <v>17</v>
      </c>
      <c r="M2245" s="40">
        <v>271</v>
      </c>
      <c r="N2245" s="40">
        <v>36</v>
      </c>
      <c r="O2245" s="40">
        <v>89</v>
      </c>
      <c r="P2245" s="40">
        <v>48</v>
      </c>
      <c r="Q2245" s="40">
        <v>0</v>
      </c>
      <c r="R2245" s="40">
        <v>99</v>
      </c>
      <c r="S2245" s="40">
        <v>0</v>
      </c>
    </row>
    <row r="2246" spans="1:19" x14ac:dyDescent="0.35">
      <c r="A2246" s="38">
        <v>2609</v>
      </c>
      <c r="B2246" s="38" t="str">
        <f>_xlfn.XLOOKUP(A2246,'Model Modeshare by TAZ'!A:A,'Model Modeshare by TAZ'!B:B)</f>
        <v>Vacaville</v>
      </c>
      <c r="C2246" s="38" t="str">
        <f>_xlfn.XLOOKUP(A2246,'Model Modeshare by TAZ'!A:A,'Model Modeshare by TAZ'!D:D)</f>
        <v>NO</v>
      </c>
      <c r="D2246" s="6">
        <v>6</v>
      </c>
      <c r="E2246" s="6">
        <v>2073</v>
      </c>
      <c r="F2246" s="6">
        <v>6422</v>
      </c>
      <c r="G2246" s="6">
        <v>6443</v>
      </c>
      <c r="H2246" s="6">
        <v>3277</v>
      </c>
      <c r="I2246" s="6">
        <v>1889</v>
      </c>
      <c r="J2246" s="6">
        <v>184</v>
      </c>
      <c r="K2246" s="40">
        <v>276</v>
      </c>
      <c r="L2246" s="40">
        <v>14</v>
      </c>
      <c r="M2246" s="40">
        <v>219</v>
      </c>
      <c r="N2246" s="40">
        <v>29</v>
      </c>
      <c r="O2246" s="40">
        <v>69</v>
      </c>
      <c r="P2246" s="40">
        <v>39</v>
      </c>
      <c r="Q2246" s="40">
        <v>0</v>
      </c>
      <c r="R2246" s="40">
        <v>81</v>
      </c>
      <c r="S2246" s="40">
        <v>0</v>
      </c>
    </row>
    <row r="2247" spans="1:19" x14ac:dyDescent="0.35">
      <c r="A2247" s="38">
        <v>2610</v>
      </c>
      <c r="B2247" s="38" t="str">
        <f>_xlfn.XLOOKUP(A2247,'Model Modeshare by TAZ'!A:A,'Model Modeshare by TAZ'!B:B)</f>
        <v>Vacaville</v>
      </c>
      <c r="C2247" s="38" t="str">
        <f>_xlfn.XLOOKUP(A2247,'Model Modeshare by TAZ'!A:A,'Model Modeshare by TAZ'!D:D)</f>
        <v>NO</v>
      </c>
      <c r="D2247" s="6">
        <v>6</v>
      </c>
      <c r="E2247" s="6">
        <v>1031</v>
      </c>
      <c r="F2247" s="6">
        <v>2957</v>
      </c>
      <c r="G2247" s="6">
        <v>2957</v>
      </c>
      <c r="H2247" s="6">
        <v>1520</v>
      </c>
      <c r="I2247" s="6">
        <v>1010</v>
      </c>
      <c r="J2247" s="6">
        <v>21</v>
      </c>
      <c r="K2247" s="40">
        <v>228</v>
      </c>
      <c r="L2247" s="40">
        <v>56</v>
      </c>
      <c r="M2247" s="40">
        <v>245</v>
      </c>
      <c r="N2247" s="40">
        <v>32</v>
      </c>
      <c r="O2247" s="40">
        <v>79</v>
      </c>
      <c r="P2247" s="40">
        <v>44</v>
      </c>
      <c r="Q2247" s="40">
        <v>0</v>
      </c>
      <c r="R2247" s="40">
        <v>89</v>
      </c>
      <c r="S2247" s="40">
        <v>0</v>
      </c>
    </row>
    <row r="2248" spans="1:19" x14ac:dyDescent="0.35">
      <c r="A2248" s="38">
        <v>2611</v>
      </c>
      <c r="B2248" s="38" t="str">
        <f>_xlfn.XLOOKUP(A2248,'Model Modeshare by TAZ'!A:A,'Model Modeshare by TAZ'!B:B)</f>
        <v>Unincorporated</v>
      </c>
      <c r="C2248" s="38" t="str">
        <f>_xlfn.XLOOKUP(A2248,'Model Modeshare by TAZ'!A:A,'Model Modeshare by TAZ'!D:D)</f>
        <v>NO</v>
      </c>
      <c r="D2248" s="6">
        <v>6</v>
      </c>
      <c r="E2248" s="6">
        <v>2252</v>
      </c>
      <c r="F2248" s="6">
        <v>6115</v>
      </c>
      <c r="G2248" s="6">
        <v>6140</v>
      </c>
      <c r="H2248" s="6">
        <v>3217</v>
      </c>
      <c r="I2248" s="6">
        <v>1804</v>
      </c>
      <c r="J2248" s="6">
        <v>448</v>
      </c>
      <c r="K2248" s="40">
        <v>5026</v>
      </c>
      <c r="L2248" s="40">
        <v>805</v>
      </c>
      <c r="M2248" s="40">
        <v>17817</v>
      </c>
      <c r="N2248" s="40">
        <v>5039</v>
      </c>
      <c r="O2248" s="40">
        <v>1991</v>
      </c>
      <c r="P2248" s="40">
        <v>7211</v>
      </c>
      <c r="Q2248" s="40">
        <v>4</v>
      </c>
      <c r="R2248" s="40">
        <v>3019</v>
      </c>
      <c r="S2248" s="40">
        <v>553</v>
      </c>
    </row>
    <row r="2249" spans="1:19" x14ac:dyDescent="0.35">
      <c r="A2249" s="38">
        <v>2612</v>
      </c>
      <c r="B2249" s="38" t="str">
        <f>_xlfn.XLOOKUP(A2249,'Model Modeshare by TAZ'!A:A,'Model Modeshare by TAZ'!B:B)</f>
        <v>Vacaville</v>
      </c>
      <c r="C2249" s="38" t="str">
        <f>_xlfn.XLOOKUP(A2249,'Model Modeshare by TAZ'!A:A,'Model Modeshare by TAZ'!D:D)</f>
        <v>NO</v>
      </c>
      <c r="D2249" s="6">
        <v>6</v>
      </c>
      <c r="E2249" s="6">
        <v>4564</v>
      </c>
      <c r="F2249" s="6">
        <v>10351</v>
      </c>
      <c r="G2249" s="6">
        <v>10459</v>
      </c>
      <c r="H2249" s="6">
        <v>4344</v>
      </c>
      <c r="I2249" s="6">
        <v>3488</v>
      </c>
      <c r="J2249" s="6">
        <v>1076</v>
      </c>
      <c r="K2249" s="40">
        <v>761</v>
      </c>
      <c r="L2249" s="40">
        <v>310</v>
      </c>
      <c r="M2249" s="40">
        <v>6470</v>
      </c>
      <c r="N2249" s="40">
        <v>2391</v>
      </c>
      <c r="O2249" s="40">
        <v>1162</v>
      </c>
      <c r="P2249" s="40">
        <v>867</v>
      </c>
      <c r="Q2249" s="40">
        <v>7</v>
      </c>
      <c r="R2249" s="40">
        <v>520</v>
      </c>
      <c r="S2249" s="40">
        <v>1522</v>
      </c>
    </row>
    <row r="2250" spans="1:19" x14ac:dyDescent="0.35">
      <c r="A2250" s="38">
        <v>2613</v>
      </c>
      <c r="B2250" s="38" t="str">
        <f>_xlfn.XLOOKUP(A2250,'Model Modeshare by TAZ'!A:A,'Model Modeshare by TAZ'!B:B)</f>
        <v>Vacaville</v>
      </c>
      <c r="C2250" s="38" t="str">
        <f>_xlfn.XLOOKUP(A2250,'Model Modeshare by TAZ'!A:A,'Model Modeshare by TAZ'!D:D)</f>
        <v>NO</v>
      </c>
      <c r="D2250" s="6">
        <v>6</v>
      </c>
      <c r="E2250" s="6">
        <v>2408</v>
      </c>
      <c r="F2250" s="6">
        <v>5855</v>
      </c>
      <c r="G2250" s="6">
        <v>5855</v>
      </c>
      <c r="H2250" s="6">
        <v>3150</v>
      </c>
      <c r="I2250" s="6">
        <v>987</v>
      </c>
      <c r="J2250" s="6">
        <v>1421</v>
      </c>
      <c r="K2250" s="40">
        <v>226</v>
      </c>
      <c r="L2250" s="40">
        <v>126</v>
      </c>
      <c r="M2250" s="40">
        <v>2374</v>
      </c>
      <c r="N2250" s="40">
        <v>785</v>
      </c>
      <c r="O2250" s="40">
        <v>330</v>
      </c>
      <c r="P2250" s="40">
        <v>884</v>
      </c>
      <c r="Q2250" s="40">
        <v>1</v>
      </c>
      <c r="R2250" s="40">
        <v>374</v>
      </c>
      <c r="S2250" s="40">
        <v>0</v>
      </c>
    </row>
    <row r="2251" spans="1:19" x14ac:dyDescent="0.35">
      <c r="A2251" s="38">
        <v>2614</v>
      </c>
      <c r="B2251" s="38" t="str">
        <f>_xlfn.XLOOKUP(A2251,'Model Modeshare by TAZ'!A:A,'Model Modeshare by TAZ'!B:B)</f>
        <v>Vacaville</v>
      </c>
      <c r="C2251" s="38" t="str">
        <f>_xlfn.XLOOKUP(A2251,'Model Modeshare by TAZ'!A:A,'Model Modeshare by TAZ'!D:D)</f>
        <v>NO</v>
      </c>
      <c r="D2251" s="6">
        <v>6</v>
      </c>
      <c r="E2251" s="6">
        <v>4346</v>
      </c>
      <c r="F2251" s="6">
        <v>13617</v>
      </c>
      <c r="G2251" s="6">
        <v>13623</v>
      </c>
      <c r="H2251" s="6">
        <v>6561</v>
      </c>
      <c r="I2251" s="6">
        <v>3249</v>
      </c>
      <c r="J2251" s="6">
        <v>1097</v>
      </c>
      <c r="K2251" s="40">
        <v>1122</v>
      </c>
      <c r="L2251" s="40">
        <v>180</v>
      </c>
      <c r="M2251" s="40">
        <v>2274</v>
      </c>
      <c r="N2251" s="40">
        <v>496</v>
      </c>
      <c r="O2251" s="40">
        <v>605</v>
      </c>
      <c r="P2251" s="40">
        <v>871</v>
      </c>
      <c r="Q2251" s="40">
        <v>0</v>
      </c>
      <c r="R2251" s="40">
        <v>283</v>
      </c>
      <c r="S2251" s="40">
        <v>19</v>
      </c>
    </row>
    <row r="2252" spans="1:19" x14ac:dyDescent="0.35">
      <c r="A2252" s="38">
        <v>2615</v>
      </c>
      <c r="B2252" s="38" t="str">
        <f>_xlfn.XLOOKUP(A2252,'Model Modeshare by TAZ'!A:A,'Model Modeshare by TAZ'!B:B)</f>
        <v>Vacaville</v>
      </c>
      <c r="C2252" s="38" t="str">
        <f>_xlfn.XLOOKUP(A2252,'Model Modeshare by TAZ'!A:A,'Model Modeshare by TAZ'!D:D)</f>
        <v>NO</v>
      </c>
      <c r="D2252" s="6">
        <v>6</v>
      </c>
      <c r="E2252" s="6">
        <v>1429</v>
      </c>
      <c r="F2252" s="6">
        <v>3877</v>
      </c>
      <c r="G2252" s="6">
        <v>3941</v>
      </c>
      <c r="H2252" s="6">
        <v>1994</v>
      </c>
      <c r="I2252" s="6">
        <v>1141</v>
      </c>
      <c r="J2252" s="6">
        <v>288</v>
      </c>
      <c r="K2252" s="40">
        <v>238</v>
      </c>
      <c r="L2252" s="40">
        <v>84</v>
      </c>
      <c r="M2252" s="40">
        <v>1837</v>
      </c>
      <c r="N2252" s="40">
        <v>208</v>
      </c>
      <c r="O2252" s="40">
        <v>956</v>
      </c>
      <c r="P2252" s="40">
        <v>672</v>
      </c>
      <c r="Q2252" s="40">
        <v>0</v>
      </c>
      <c r="R2252" s="40">
        <v>1</v>
      </c>
      <c r="S2252" s="40">
        <v>0</v>
      </c>
    </row>
    <row r="2253" spans="1:19" x14ac:dyDescent="0.35">
      <c r="A2253" s="38">
        <v>2616</v>
      </c>
      <c r="B2253" s="38" t="str">
        <f>_xlfn.XLOOKUP(A2253,'Model Modeshare by TAZ'!A:A,'Model Modeshare by TAZ'!B:B)</f>
        <v>Vacaville</v>
      </c>
      <c r="C2253" s="38" t="str">
        <f>_xlfn.XLOOKUP(A2253,'Model Modeshare by TAZ'!A:A,'Model Modeshare by TAZ'!D:D)</f>
        <v>NO</v>
      </c>
      <c r="D2253" s="6">
        <v>6</v>
      </c>
      <c r="E2253" s="6">
        <v>2047</v>
      </c>
      <c r="F2253" s="6">
        <v>5464</v>
      </c>
      <c r="G2253" s="6">
        <v>5491</v>
      </c>
      <c r="H2253" s="6">
        <v>2471</v>
      </c>
      <c r="I2253" s="6">
        <v>1679</v>
      </c>
      <c r="J2253" s="6">
        <v>368</v>
      </c>
      <c r="K2253" s="40">
        <v>460</v>
      </c>
      <c r="L2253" s="40">
        <v>162</v>
      </c>
      <c r="M2253" s="40">
        <v>5294</v>
      </c>
      <c r="N2253" s="40">
        <v>1669</v>
      </c>
      <c r="O2253" s="40">
        <v>1245</v>
      </c>
      <c r="P2253" s="40">
        <v>1424</v>
      </c>
      <c r="Q2253" s="40">
        <v>7</v>
      </c>
      <c r="R2253" s="40">
        <v>618</v>
      </c>
      <c r="S2253" s="40">
        <v>332</v>
      </c>
    </row>
    <row r="2254" spans="1:19" x14ac:dyDescent="0.35">
      <c r="A2254" s="38">
        <v>2617</v>
      </c>
      <c r="B2254" s="38" t="str">
        <f>_xlfn.XLOOKUP(A2254,'Model Modeshare by TAZ'!A:A,'Model Modeshare by TAZ'!B:B)</f>
        <v>Vacaville</v>
      </c>
      <c r="C2254" s="38" t="str">
        <f>_xlfn.XLOOKUP(A2254,'Model Modeshare by TAZ'!A:A,'Model Modeshare by TAZ'!D:D)</f>
        <v>NO</v>
      </c>
      <c r="D2254" s="6">
        <v>6</v>
      </c>
      <c r="E2254" s="6">
        <v>1819</v>
      </c>
      <c r="F2254" s="6">
        <v>4903</v>
      </c>
      <c r="G2254" s="6">
        <v>4908</v>
      </c>
      <c r="H2254" s="6">
        <v>2343</v>
      </c>
      <c r="I2254" s="6">
        <v>1753</v>
      </c>
      <c r="J2254" s="6">
        <v>66</v>
      </c>
      <c r="K2254" s="40">
        <v>496</v>
      </c>
      <c r="L2254" s="40">
        <v>61</v>
      </c>
      <c r="M2254" s="40">
        <v>579</v>
      </c>
      <c r="N2254" s="40">
        <v>65</v>
      </c>
      <c r="O2254" s="40">
        <v>188</v>
      </c>
      <c r="P2254" s="40">
        <v>206</v>
      </c>
      <c r="Q2254" s="40">
        <v>2</v>
      </c>
      <c r="R2254" s="40">
        <v>113</v>
      </c>
      <c r="S2254" s="40">
        <v>5</v>
      </c>
    </row>
    <row r="2255" spans="1:19" x14ac:dyDescent="0.35">
      <c r="A2255" s="38">
        <v>2618</v>
      </c>
      <c r="B2255" s="38" t="str">
        <f>_xlfn.XLOOKUP(A2255,'Model Modeshare by TAZ'!A:A,'Model Modeshare by TAZ'!B:B)</f>
        <v>Unincorporated</v>
      </c>
      <c r="C2255" s="38" t="str">
        <f>_xlfn.XLOOKUP(A2255,'Model Modeshare by TAZ'!A:A,'Model Modeshare by TAZ'!D:D)</f>
        <v>NO</v>
      </c>
      <c r="D2255" s="6">
        <v>6</v>
      </c>
      <c r="E2255" s="6">
        <v>1654</v>
      </c>
      <c r="F2255" s="6">
        <v>4404</v>
      </c>
      <c r="G2255" s="6">
        <v>4415</v>
      </c>
      <c r="H2255" s="6">
        <v>1961</v>
      </c>
      <c r="I2255" s="6">
        <v>1595</v>
      </c>
      <c r="J2255" s="6">
        <v>59</v>
      </c>
      <c r="K2255" s="40">
        <v>10421</v>
      </c>
      <c r="L2255" s="40">
        <v>96</v>
      </c>
      <c r="M2255" s="40">
        <v>619</v>
      </c>
      <c r="N2255" s="40">
        <v>12</v>
      </c>
      <c r="O2255" s="40">
        <v>0</v>
      </c>
      <c r="P2255" s="40">
        <v>0</v>
      </c>
      <c r="Q2255" s="40">
        <v>607</v>
      </c>
      <c r="R2255" s="40">
        <v>0</v>
      </c>
      <c r="S2255" s="40">
        <v>0</v>
      </c>
    </row>
    <row r="2256" spans="1:19" x14ac:dyDescent="0.35">
      <c r="A2256" s="38">
        <v>2619</v>
      </c>
      <c r="B2256" s="38" t="str">
        <f>_xlfn.XLOOKUP(A2256,'Model Modeshare by TAZ'!A:A,'Model Modeshare by TAZ'!B:B)</f>
        <v>Unincorporated</v>
      </c>
      <c r="C2256" s="38" t="str">
        <f>_xlfn.XLOOKUP(A2256,'Model Modeshare by TAZ'!A:A,'Model Modeshare by TAZ'!D:D)</f>
        <v>NO</v>
      </c>
      <c r="D2256" s="6">
        <v>6</v>
      </c>
      <c r="E2256" s="6">
        <v>913</v>
      </c>
      <c r="F2256" s="6">
        <v>3019</v>
      </c>
      <c r="G2256" s="6">
        <v>3040</v>
      </c>
      <c r="H2256" s="6">
        <v>1530</v>
      </c>
      <c r="I2256" s="6">
        <v>719</v>
      </c>
      <c r="J2256" s="6">
        <v>194</v>
      </c>
      <c r="K2256" s="40">
        <v>2606</v>
      </c>
      <c r="L2256" s="40">
        <v>3460</v>
      </c>
      <c r="M2256" s="40">
        <v>1665</v>
      </c>
      <c r="N2256" s="40">
        <v>327</v>
      </c>
      <c r="O2256" s="40">
        <v>105</v>
      </c>
      <c r="P2256" s="40">
        <v>26</v>
      </c>
      <c r="Q2256" s="40">
        <v>994</v>
      </c>
      <c r="R2256" s="40">
        <v>173</v>
      </c>
      <c r="S2256" s="40">
        <v>41</v>
      </c>
    </row>
    <row r="2257" spans="1:19" x14ac:dyDescent="0.35">
      <c r="A2257" s="38">
        <v>2620</v>
      </c>
      <c r="B2257" s="38" t="str">
        <f>_xlfn.XLOOKUP(A2257,'Model Modeshare by TAZ'!A:A,'Model Modeshare by TAZ'!B:B)</f>
        <v>Dixon</v>
      </c>
      <c r="C2257" s="38" t="str">
        <f>_xlfn.XLOOKUP(A2257,'Model Modeshare by TAZ'!A:A,'Model Modeshare by TAZ'!D:D)</f>
        <v>NO</v>
      </c>
      <c r="D2257" s="6">
        <v>6</v>
      </c>
      <c r="E2257" s="6">
        <v>3712</v>
      </c>
      <c r="F2257" s="6">
        <v>11936</v>
      </c>
      <c r="G2257" s="6">
        <v>11936</v>
      </c>
      <c r="H2257" s="6">
        <v>5637</v>
      </c>
      <c r="I2257" s="6">
        <v>3252</v>
      </c>
      <c r="J2257" s="6">
        <v>460</v>
      </c>
      <c r="K2257" s="40">
        <v>785</v>
      </c>
      <c r="L2257" s="40">
        <v>126</v>
      </c>
      <c r="M2257" s="40">
        <v>1844</v>
      </c>
      <c r="N2257" s="40">
        <v>282</v>
      </c>
      <c r="O2257" s="40">
        <v>470</v>
      </c>
      <c r="P2257" s="40">
        <v>393</v>
      </c>
      <c r="Q2257" s="40">
        <v>64</v>
      </c>
      <c r="R2257" s="40">
        <v>522</v>
      </c>
      <c r="S2257" s="40">
        <v>114</v>
      </c>
    </row>
    <row r="2258" spans="1:19" x14ac:dyDescent="0.35">
      <c r="A2258" s="38">
        <v>2621</v>
      </c>
      <c r="B2258" s="38" t="str">
        <f>_xlfn.XLOOKUP(A2258,'Model Modeshare by TAZ'!A:A,'Model Modeshare by TAZ'!B:B)</f>
        <v>Dixon</v>
      </c>
      <c r="C2258" s="38" t="str">
        <f>_xlfn.XLOOKUP(A2258,'Model Modeshare by TAZ'!A:A,'Model Modeshare by TAZ'!D:D)</f>
        <v>NO</v>
      </c>
      <c r="D2258" s="6">
        <v>6</v>
      </c>
      <c r="E2258" s="6">
        <v>2204</v>
      </c>
      <c r="F2258" s="6">
        <v>7430</v>
      </c>
      <c r="G2258" s="6">
        <v>7451</v>
      </c>
      <c r="H2258" s="6">
        <v>3573</v>
      </c>
      <c r="I2258" s="6">
        <v>1829</v>
      </c>
      <c r="J2258" s="6">
        <v>375</v>
      </c>
      <c r="K2258" s="40">
        <v>571</v>
      </c>
      <c r="L2258" s="40">
        <v>437</v>
      </c>
      <c r="M2258" s="40">
        <v>3712</v>
      </c>
      <c r="N2258" s="40">
        <v>569</v>
      </c>
      <c r="O2258" s="40">
        <v>946</v>
      </c>
      <c r="P2258" s="40">
        <v>792</v>
      </c>
      <c r="Q2258" s="40">
        <v>130</v>
      </c>
      <c r="R2258" s="40">
        <v>1046</v>
      </c>
      <c r="S2258" s="40">
        <v>228</v>
      </c>
    </row>
    <row r="2259" spans="1:19" x14ac:dyDescent="0.35">
      <c r="A2259" s="38">
        <v>2622</v>
      </c>
      <c r="B2259" s="38" t="str">
        <f>_xlfn.XLOOKUP(A2259,'Model Modeshare by TAZ'!A:A,'Model Modeshare by TAZ'!B:B)</f>
        <v>Unincorporated</v>
      </c>
      <c r="C2259" s="38" t="str">
        <f>_xlfn.XLOOKUP(A2259,'Model Modeshare by TAZ'!A:A,'Model Modeshare by TAZ'!D:D)</f>
        <v>NO</v>
      </c>
      <c r="D2259" s="6">
        <v>6</v>
      </c>
      <c r="E2259" s="6">
        <v>4405</v>
      </c>
      <c r="F2259" s="6">
        <v>9388</v>
      </c>
      <c r="G2259" s="6">
        <v>9516</v>
      </c>
      <c r="H2259" s="6">
        <v>3182</v>
      </c>
      <c r="I2259" s="6">
        <v>3435</v>
      </c>
      <c r="J2259" s="6">
        <v>970</v>
      </c>
      <c r="K2259" s="40">
        <v>4347</v>
      </c>
      <c r="L2259" s="40">
        <v>3135</v>
      </c>
      <c r="M2259" s="40">
        <v>2917</v>
      </c>
      <c r="N2259" s="40">
        <v>574</v>
      </c>
      <c r="O2259" s="40">
        <v>796</v>
      </c>
      <c r="P2259" s="40">
        <v>1387</v>
      </c>
      <c r="Q2259" s="40">
        <v>62</v>
      </c>
      <c r="R2259" s="40">
        <v>73</v>
      </c>
      <c r="S2259" s="40">
        <v>26</v>
      </c>
    </row>
    <row r="2260" spans="1:19" x14ac:dyDescent="0.35">
      <c r="A2260" s="38">
        <v>2623</v>
      </c>
      <c r="B2260" s="38" t="str">
        <f>_xlfn.XLOOKUP(A2260,'Model Modeshare by TAZ'!A:A,'Model Modeshare by TAZ'!B:B)</f>
        <v>Unincorporated</v>
      </c>
      <c r="C2260" s="38" t="str">
        <f>_xlfn.XLOOKUP(A2260,'Model Modeshare by TAZ'!A:A,'Model Modeshare by TAZ'!D:D)</f>
        <v>NO</v>
      </c>
      <c r="D2260" s="6">
        <v>7</v>
      </c>
      <c r="E2260" s="6">
        <v>3399</v>
      </c>
      <c r="F2260" s="6">
        <v>11580</v>
      </c>
      <c r="G2260" s="6">
        <v>11588</v>
      </c>
      <c r="H2260" s="6">
        <v>5588</v>
      </c>
      <c r="I2260" s="6">
        <v>1325</v>
      </c>
      <c r="J2260" s="6">
        <v>2074</v>
      </c>
      <c r="K2260" s="40">
        <v>1148</v>
      </c>
      <c r="L2260" s="40">
        <v>64</v>
      </c>
      <c r="M2260" s="40">
        <v>2430</v>
      </c>
      <c r="N2260" s="40">
        <v>125</v>
      </c>
      <c r="O2260" s="40">
        <v>804</v>
      </c>
      <c r="P2260" s="40">
        <v>1301</v>
      </c>
      <c r="Q2260" s="40">
        <v>2</v>
      </c>
      <c r="R2260" s="40">
        <v>147</v>
      </c>
      <c r="S2260" s="40">
        <v>50</v>
      </c>
    </row>
    <row r="2261" spans="1:19" x14ac:dyDescent="0.35">
      <c r="A2261" s="38">
        <v>2624</v>
      </c>
      <c r="B2261" s="38" t="str">
        <f>_xlfn.XLOOKUP(A2261,'Model Modeshare by TAZ'!A:A,'Model Modeshare by TAZ'!B:B)</f>
        <v>Unincorporated</v>
      </c>
      <c r="C2261" s="38" t="str">
        <f>_xlfn.XLOOKUP(A2261,'Model Modeshare by TAZ'!A:A,'Model Modeshare by TAZ'!D:D)</f>
        <v>NO</v>
      </c>
      <c r="D2261" s="6">
        <v>7</v>
      </c>
      <c r="E2261" s="6">
        <v>2659</v>
      </c>
      <c r="F2261" s="6">
        <v>9885</v>
      </c>
      <c r="G2261" s="6">
        <v>9958</v>
      </c>
      <c r="H2261" s="6">
        <v>4646</v>
      </c>
      <c r="I2261" s="6">
        <v>2509</v>
      </c>
      <c r="J2261" s="6">
        <v>150</v>
      </c>
      <c r="K2261" s="40">
        <v>719</v>
      </c>
      <c r="L2261" s="40">
        <v>1713</v>
      </c>
      <c r="M2261" s="40">
        <v>8902</v>
      </c>
      <c r="N2261" s="40">
        <v>827</v>
      </c>
      <c r="O2261" s="40">
        <v>2831</v>
      </c>
      <c r="P2261" s="40">
        <v>2458</v>
      </c>
      <c r="Q2261" s="40">
        <v>5</v>
      </c>
      <c r="R2261" s="40">
        <v>2107</v>
      </c>
      <c r="S2261" s="40">
        <v>674</v>
      </c>
    </row>
    <row r="2262" spans="1:19" x14ac:dyDescent="0.35">
      <c r="A2262" s="38">
        <v>2625</v>
      </c>
      <c r="B2262" s="38" t="str">
        <f>_xlfn.XLOOKUP(A2262,'Model Modeshare by TAZ'!A:A,'Model Modeshare by TAZ'!B:B)</f>
        <v>Unincorporated</v>
      </c>
      <c r="C2262" s="38" t="str">
        <f>_xlfn.XLOOKUP(A2262,'Model Modeshare by TAZ'!A:A,'Model Modeshare by TAZ'!D:D)</f>
        <v>NO</v>
      </c>
      <c r="D2262" s="6">
        <v>7</v>
      </c>
      <c r="E2262" s="6">
        <v>2199</v>
      </c>
      <c r="F2262" s="6">
        <v>5283</v>
      </c>
      <c r="G2262" s="6">
        <v>5421</v>
      </c>
      <c r="H2262" s="6">
        <v>2758</v>
      </c>
      <c r="I2262" s="6">
        <v>1359</v>
      </c>
      <c r="J2262" s="6">
        <v>840</v>
      </c>
      <c r="K2262" s="40">
        <v>399</v>
      </c>
      <c r="L2262" s="40">
        <v>22</v>
      </c>
      <c r="M2262" s="40">
        <v>853</v>
      </c>
      <c r="N2262" s="40">
        <v>222</v>
      </c>
      <c r="O2262" s="40">
        <v>459</v>
      </c>
      <c r="P2262" s="40">
        <v>93</v>
      </c>
      <c r="Q2262" s="40">
        <v>8</v>
      </c>
      <c r="R2262" s="40">
        <v>69</v>
      </c>
      <c r="S2262" s="40">
        <v>1</v>
      </c>
    </row>
    <row r="2263" spans="1:19" x14ac:dyDescent="0.35">
      <c r="A2263" s="38">
        <v>2626</v>
      </c>
      <c r="B2263" s="38" t="str">
        <f>_xlfn.XLOOKUP(A2263,'Model Modeshare by TAZ'!A:A,'Model Modeshare by TAZ'!B:B)</f>
        <v>Napa</v>
      </c>
      <c r="C2263" s="38" t="str">
        <f>_xlfn.XLOOKUP(A2263,'Model Modeshare by TAZ'!A:A,'Model Modeshare by TAZ'!D:D)</f>
        <v>NO</v>
      </c>
      <c r="D2263" s="6">
        <v>7</v>
      </c>
      <c r="E2263" s="6">
        <v>45</v>
      </c>
      <c r="F2263" s="6">
        <v>54</v>
      </c>
      <c r="G2263" s="6">
        <v>767</v>
      </c>
      <c r="H2263" s="6">
        <v>67</v>
      </c>
      <c r="I2263" s="6">
        <v>45</v>
      </c>
      <c r="J2263" s="6">
        <v>0</v>
      </c>
      <c r="K2263" s="40">
        <v>486</v>
      </c>
      <c r="L2263" s="40">
        <v>230</v>
      </c>
      <c r="M2263" s="40">
        <v>2323</v>
      </c>
      <c r="N2263" s="40">
        <v>163</v>
      </c>
      <c r="O2263" s="40">
        <v>1045</v>
      </c>
      <c r="P2263" s="40">
        <v>240</v>
      </c>
      <c r="Q2263" s="40">
        <v>59</v>
      </c>
      <c r="R2263" s="40">
        <v>466</v>
      </c>
      <c r="S2263" s="40">
        <v>350</v>
      </c>
    </row>
    <row r="2264" spans="1:19" x14ac:dyDescent="0.35">
      <c r="A2264" s="38">
        <v>2627</v>
      </c>
      <c r="B2264" s="38" t="str">
        <f>_xlfn.XLOOKUP(A2264,'Model Modeshare by TAZ'!A:A,'Model Modeshare by TAZ'!B:B)</f>
        <v>Napa</v>
      </c>
      <c r="C2264" s="38" t="str">
        <f>_xlfn.XLOOKUP(A2264,'Model Modeshare by TAZ'!A:A,'Model Modeshare by TAZ'!D:D)</f>
        <v>NO</v>
      </c>
      <c r="D2264" s="6">
        <v>7</v>
      </c>
      <c r="E2264" s="6">
        <v>2666</v>
      </c>
      <c r="F2264" s="6">
        <v>7948</v>
      </c>
      <c r="G2264" s="6">
        <v>8024</v>
      </c>
      <c r="H2264" s="6">
        <v>3871</v>
      </c>
      <c r="I2264" s="6">
        <v>1885</v>
      </c>
      <c r="J2264" s="6">
        <v>781</v>
      </c>
      <c r="K2264" s="40">
        <v>504</v>
      </c>
      <c r="L2264" s="40">
        <v>165</v>
      </c>
      <c r="M2264" s="40">
        <v>2964</v>
      </c>
      <c r="N2264" s="40">
        <v>1231</v>
      </c>
      <c r="O2264" s="40">
        <v>790</v>
      </c>
      <c r="P2264" s="40">
        <v>472</v>
      </c>
      <c r="Q2264" s="40">
        <v>54</v>
      </c>
      <c r="R2264" s="40">
        <v>262</v>
      </c>
      <c r="S2264" s="40">
        <v>155</v>
      </c>
    </row>
    <row r="2265" spans="1:19" x14ac:dyDescent="0.35">
      <c r="A2265" s="38">
        <v>2628</v>
      </c>
      <c r="B2265" s="38" t="str">
        <f>_xlfn.XLOOKUP(A2265,'Model Modeshare by TAZ'!A:A,'Model Modeshare by TAZ'!B:B)</f>
        <v>Unincorporated</v>
      </c>
      <c r="C2265" s="38" t="str">
        <f>_xlfn.XLOOKUP(A2265,'Model Modeshare by TAZ'!A:A,'Model Modeshare by TAZ'!D:D)</f>
        <v>NO</v>
      </c>
      <c r="D2265" s="6">
        <v>7</v>
      </c>
      <c r="E2265" s="6">
        <v>1552</v>
      </c>
      <c r="F2265" s="6">
        <v>4193</v>
      </c>
      <c r="G2265" s="6">
        <v>4204</v>
      </c>
      <c r="H2265" s="6">
        <v>2166</v>
      </c>
      <c r="I2265" s="6">
        <v>1312</v>
      </c>
      <c r="J2265" s="6">
        <v>240</v>
      </c>
      <c r="K2265" s="40">
        <v>692</v>
      </c>
      <c r="L2265" s="40">
        <v>17</v>
      </c>
      <c r="M2265" s="40">
        <v>732</v>
      </c>
      <c r="N2265" s="40">
        <v>159</v>
      </c>
      <c r="O2265" s="40">
        <v>349</v>
      </c>
      <c r="P2265" s="40">
        <v>194</v>
      </c>
      <c r="Q2265" s="40">
        <v>15</v>
      </c>
      <c r="R2265" s="40">
        <v>15</v>
      </c>
      <c r="S2265" s="40">
        <v>0</v>
      </c>
    </row>
    <row r="2266" spans="1:19" x14ac:dyDescent="0.35">
      <c r="A2266" s="38">
        <v>2629</v>
      </c>
      <c r="B2266" s="38" t="str">
        <f>_xlfn.XLOOKUP(A2266,'Model Modeshare by TAZ'!A:A,'Model Modeshare by TAZ'!B:B)</f>
        <v>Napa</v>
      </c>
      <c r="C2266" s="38" t="str">
        <f>_xlfn.XLOOKUP(A2266,'Model Modeshare by TAZ'!A:A,'Model Modeshare by TAZ'!D:D)</f>
        <v>NO</v>
      </c>
      <c r="D2266" s="6">
        <v>7</v>
      </c>
      <c r="E2266" s="6">
        <v>3225</v>
      </c>
      <c r="F2266" s="6">
        <v>9142</v>
      </c>
      <c r="G2266" s="6">
        <v>9395</v>
      </c>
      <c r="H2266" s="6">
        <v>4850</v>
      </c>
      <c r="I2266" s="6">
        <v>1639</v>
      </c>
      <c r="J2266" s="6">
        <v>1586</v>
      </c>
      <c r="K2266" s="40">
        <v>388</v>
      </c>
      <c r="L2266" s="40">
        <v>22</v>
      </c>
      <c r="M2266" s="40">
        <v>2620</v>
      </c>
      <c r="N2266" s="40">
        <v>900</v>
      </c>
      <c r="O2266" s="40">
        <v>1011</v>
      </c>
      <c r="P2266" s="40">
        <v>437</v>
      </c>
      <c r="Q2266" s="40">
        <v>25</v>
      </c>
      <c r="R2266" s="40">
        <v>121</v>
      </c>
      <c r="S2266" s="40">
        <v>125</v>
      </c>
    </row>
    <row r="2267" spans="1:19" x14ac:dyDescent="0.35">
      <c r="A2267" s="38">
        <v>2630</v>
      </c>
      <c r="B2267" s="38" t="str">
        <f>_xlfn.XLOOKUP(A2267,'Model Modeshare by TAZ'!A:A,'Model Modeshare by TAZ'!B:B)</f>
        <v>Napa</v>
      </c>
      <c r="C2267" s="38" t="str">
        <f>_xlfn.XLOOKUP(A2267,'Model Modeshare by TAZ'!A:A,'Model Modeshare by TAZ'!D:D)</f>
        <v>NO</v>
      </c>
      <c r="D2267" s="6">
        <v>7</v>
      </c>
      <c r="E2267" s="6">
        <v>678</v>
      </c>
      <c r="F2267" s="6">
        <v>1706</v>
      </c>
      <c r="G2267" s="6">
        <v>1723</v>
      </c>
      <c r="H2267" s="6">
        <v>932</v>
      </c>
      <c r="I2267" s="6">
        <v>365</v>
      </c>
      <c r="J2267" s="6">
        <v>313</v>
      </c>
      <c r="K2267" s="40">
        <v>95</v>
      </c>
      <c r="L2267" s="40">
        <v>64</v>
      </c>
      <c r="M2267" s="40">
        <v>4837</v>
      </c>
      <c r="N2267" s="40">
        <v>1564</v>
      </c>
      <c r="O2267" s="40">
        <v>1969</v>
      </c>
      <c r="P2267" s="40">
        <v>827</v>
      </c>
      <c r="Q2267" s="40">
        <v>45</v>
      </c>
      <c r="R2267" s="40">
        <v>214</v>
      </c>
      <c r="S2267" s="40">
        <v>218</v>
      </c>
    </row>
    <row r="2268" spans="1:19" x14ac:dyDescent="0.35">
      <c r="A2268" s="38">
        <v>2631</v>
      </c>
      <c r="B2268" s="38" t="str">
        <f>_xlfn.XLOOKUP(A2268,'Model Modeshare by TAZ'!A:A,'Model Modeshare by TAZ'!B:B)</f>
        <v>Napa</v>
      </c>
      <c r="C2268" s="38" t="str">
        <f>_xlfn.XLOOKUP(A2268,'Model Modeshare by TAZ'!A:A,'Model Modeshare by TAZ'!D:D)</f>
        <v>NO</v>
      </c>
      <c r="D2268" s="6">
        <v>7</v>
      </c>
      <c r="E2268" s="6">
        <v>1243</v>
      </c>
      <c r="F2268" s="6">
        <v>2690</v>
      </c>
      <c r="G2268" s="6">
        <v>3038</v>
      </c>
      <c r="H2268" s="6">
        <v>1384</v>
      </c>
      <c r="I2268" s="6">
        <v>542</v>
      </c>
      <c r="J2268" s="6">
        <v>701</v>
      </c>
      <c r="K2268" s="40">
        <v>103</v>
      </c>
      <c r="L2268" s="40">
        <v>36</v>
      </c>
      <c r="M2268" s="40">
        <v>5085</v>
      </c>
      <c r="N2268" s="40">
        <v>1579</v>
      </c>
      <c r="O2268" s="40">
        <v>1492</v>
      </c>
      <c r="P2268" s="40">
        <v>1447</v>
      </c>
      <c r="Q2268" s="40">
        <v>13</v>
      </c>
      <c r="R2268" s="40">
        <v>528</v>
      </c>
      <c r="S2268" s="40">
        <v>25</v>
      </c>
    </row>
    <row r="2269" spans="1:19" x14ac:dyDescent="0.35">
      <c r="A2269" s="38">
        <v>2632</v>
      </c>
      <c r="B2269" s="38" t="str">
        <f>_xlfn.XLOOKUP(A2269,'Model Modeshare by TAZ'!A:A,'Model Modeshare by TAZ'!B:B)</f>
        <v>Napa</v>
      </c>
      <c r="C2269" s="38" t="str">
        <f>_xlfn.XLOOKUP(A2269,'Model Modeshare by TAZ'!A:A,'Model Modeshare by TAZ'!D:D)</f>
        <v>NO</v>
      </c>
      <c r="D2269" s="6">
        <v>7</v>
      </c>
      <c r="E2269" s="6">
        <v>851</v>
      </c>
      <c r="F2269" s="6">
        <v>2325</v>
      </c>
      <c r="G2269" s="6">
        <v>2334</v>
      </c>
      <c r="H2269" s="6">
        <v>1374</v>
      </c>
      <c r="I2269" s="6">
        <v>540</v>
      </c>
      <c r="J2269" s="6">
        <v>311</v>
      </c>
      <c r="K2269" s="40">
        <v>124</v>
      </c>
      <c r="L2269" s="40">
        <v>7</v>
      </c>
      <c r="M2269" s="40">
        <v>714</v>
      </c>
      <c r="N2269" s="40">
        <v>54</v>
      </c>
      <c r="O2269" s="40">
        <v>370</v>
      </c>
      <c r="P2269" s="40">
        <v>184</v>
      </c>
      <c r="Q2269" s="40">
        <v>0</v>
      </c>
      <c r="R2269" s="40">
        <v>99</v>
      </c>
      <c r="S2269" s="40">
        <v>7</v>
      </c>
    </row>
    <row r="2270" spans="1:19" x14ac:dyDescent="0.35">
      <c r="A2270" s="38">
        <v>2633</v>
      </c>
      <c r="B2270" s="38" t="str">
        <f>_xlfn.XLOOKUP(A2270,'Model Modeshare by TAZ'!A:A,'Model Modeshare by TAZ'!B:B)</f>
        <v>Napa</v>
      </c>
      <c r="C2270" s="38" t="str">
        <f>_xlfn.XLOOKUP(A2270,'Model Modeshare by TAZ'!A:A,'Model Modeshare by TAZ'!D:D)</f>
        <v>NO</v>
      </c>
      <c r="D2270" s="6">
        <v>7</v>
      </c>
      <c r="E2270" s="6">
        <v>1308</v>
      </c>
      <c r="F2270" s="6">
        <v>3289</v>
      </c>
      <c r="G2270" s="6">
        <v>3364</v>
      </c>
      <c r="H2270" s="6">
        <v>1889</v>
      </c>
      <c r="I2270" s="6">
        <v>867</v>
      </c>
      <c r="J2270" s="6">
        <v>441</v>
      </c>
      <c r="K2270" s="40">
        <v>160</v>
      </c>
      <c r="L2270" s="40">
        <v>29</v>
      </c>
      <c r="M2270" s="40">
        <v>3573</v>
      </c>
      <c r="N2270" s="40">
        <v>302</v>
      </c>
      <c r="O2270" s="40">
        <v>1816</v>
      </c>
      <c r="P2270" s="40">
        <v>924</v>
      </c>
      <c r="Q2270" s="40">
        <v>3</v>
      </c>
      <c r="R2270" s="40">
        <v>496</v>
      </c>
      <c r="S2270" s="40">
        <v>32</v>
      </c>
    </row>
    <row r="2271" spans="1:19" x14ac:dyDescent="0.35">
      <c r="A2271" s="38">
        <v>2634</v>
      </c>
      <c r="B2271" s="38" t="str">
        <f>_xlfn.XLOOKUP(A2271,'Model Modeshare by TAZ'!A:A,'Model Modeshare by TAZ'!B:B)</f>
        <v>Unincorporated</v>
      </c>
      <c r="C2271" s="38" t="str">
        <f>_xlfn.XLOOKUP(A2271,'Model Modeshare by TAZ'!A:A,'Model Modeshare by TAZ'!D:D)</f>
        <v>NO</v>
      </c>
      <c r="D2271" s="6">
        <v>7</v>
      </c>
      <c r="E2271" s="6">
        <v>2510</v>
      </c>
      <c r="F2271" s="6">
        <v>7934</v>
      </c>
      <c r="G2271" s="6">
        <v>7959</v>
      </c>
      <c r="H2271" s="6">
        <v>3923</v>
      </c>
      <c r="I2271" s="6">
        <v>1894</v>
      </c>
      <c r="J2271" s="6">
        <v>616</v>
      </c>
      <c r="K2271" s="40">
        <v>576</v>
      </c>
      <c r="L2271" s="40">
        <v>22</v>
      </c>
      <c r="M2271" s="40">
        <v>1812</v>
      </c>
      <c r="N2271" s="40">
        <v>474</v>
      </c>
      <c r="O2271" s="40">
        <v>975</v>
      </c>
      <c r="P2271" s="40">
        <v>200</v>
      </c>
      <c r="Q2271" s="40">
        <v>19</v>
      </c>
      <c r="R2271" s="40">
        <v>142</v>
      </c>
      <c r="S2271" s="40">
        <v>2</v>
      </c>
    </row>
    <row r="2272" spans="1:19" x14ac:dyDescent="0.35">
      <c r="A2272" s="38">
        <v>2635</v>
      </c>
      <c r="B2272" s="38" t="str">
        <f>_xlfn.XLOOKUP(A2272,'Model Modeshare by TAZ'!A:A,'Model Modeshare by TAZ'!B:B)</f>
        <v>Napa</v>
      </c>
      <c r="C2272" s="38" t="str">
        <f>_xlfn.XLOOKUP(A2272,'Model Modeshare by TAZ'!A:A,'Model Modeshare by TAZ'!D:D)</f>
        <v>NO</v>
      </c>
      <c r="D2272" s="6">
        <v>7</v>
      </c>
      <c r="E2272" s="6">
        <v>1057</v>
      </c>
      <c r="F2272" s="6">
        <v>2729</v>
      </c>
      <c r="G2272" s="6">
        <v>2734</v>
      </c>
      <c r="H2272" s="6">
        <v>1330</v>
      </c>
      <c r="I2272" s="6">
        <v>1047</v>
      </c>
      <c r="J2272" s="6">
        <v>10</v>
      </c>
      <c r="K2272" s="40">
        <v>407</v>
      </c>
      <c r="L2272" s="40">
        <v>5</v>
      </c>
      <c r="M2272" s="40">
        <v>218</v>
      </c>
      <c r="N2272" s="40">
        <v>33</v>
      </c>
      <c r="O2272" s="40">
        <v>128</v>
      </c>
      <c r="P2272" s="40">
        <v>52</v>
      </c>
      <c r="Q2272" s="40">
        <v>3</v>
      </c>
      <c r="R2272" s="40">
        <v>0</v>
      </c>
      <c r="S2272" s="40">
        <v>2</v>
      </c>
    </row>
    <row r="2273" spans="1:19" x14ac:dyDescent="0.35">
      <c r="A2273" s="38">
        <v>2636</v>
      </c>
      <c r="B2273" s="38" t="str">
        <f>_xlfn.XLOOKUP(A2273,'Model Modeshare by TAZ'!A:A,'Model Modeshare by TAZ'!B:B)</f>
        <v>Napa</v>
      </c>
      <c r="C2273" s="38" t="str">
        <f>_xlfn.XLOOKUP(A2273,'Model Modeshare by TAZ'!A:A,'Model Modeshare by TAZ'!D:D)</f>
        <v>NO</v>
      </c>
      <c r="D2273" s="6">
        <v>7</v>
      </c>
      <c r="E2273" s="6">
        <v>2632</v>
      </c>
      <c r="F2273" s="6">
        <v>8103</v>
      </c>
      <c r="G2273" s="6">
        <v>8134</v>
      </c>
      <c r="H2273" s="6">
        <v>4230</v>
      </c>
      <c r="I2273" s="6">
        <v>1938</v>
      </c>
      <c r="J2273" s="6">
        <v>694</v>
      </c>
      <c r="K2273" s="40">
        <v>548</v>
      </c>
      <c r="L2273" s="40">
        <v>12</v>
      </c>
      <c r="M2273" s="40">
        <v>818</v>
      </c>
      <c r="N2273" s="40">
        <v>125</v>
      </c>
      <c r="O2273" s="40">
        <v>472</v>
      </c>
      <c r="P2273" s="40">
        <v>199</v>
      </c>
      <c r="Q2273" s="40">
        <v>15</v>
      </c>
      <c r="R2273" s="40">
        <v>0</v>
      </c>
      <c r="S2273" s="40">
        <v>7</v>
      </c>
    </row>
    <row r="2274" spans="1:19" x14ac:dyDescent="0.35">
      <c r="A2274" s="38">
        <v>2637</v>
      </c>
      <c r="B2274" s="38" t="str">
        <f>_xlfn.XLOOKUP(A2274,'Model Modeshare by TAZ'!A:A,'Model Modeshare by TAZ'!B:B)</f>
        <v>Napa</v>
      </c>
      <c r="C2274" s="38" t="str">
        <f>_xlfn.XLOOKUP(A2274,'Model Modeshare by TAZ'!A:A,'Model Modeshare by TAZ'!D:D)</f>
        <v>NO</v>
      </c>
      <c r="D2274" s="6">
        <v>7</v>
      </c>
      <c r="E2274" s="6">
        <v>1651</v>
      </c>
      <c r="F2274" s="6">
        <v>5256</v>
      </c>
      <c r="G2274" s="6">
        <v>5294</v>
      </c>
      <c r="H2274" s="6">
        <v>2688</v>
      </c>
      <c r="I2274" s="6">
        <v>1145</v>
      </c>
      <c r="J2274" s="6">
        <v>506</v>
      </c>
      <c r="K2274" s="40">
        <v>232</v>
      </c>
      <c r="L2274" s="40">
        <v>72</v>
      </c>
      <c r="M2274" s="40">
        <v>2793</v>
      </c>
      <c r="N2274" s="40">
        <v>972</v>
      </c>
      <c r="O2274" s="40">
        <v>1063</v>
      </c>
      <c r="P2274" s="40">
        <v>463</v>
      </c>
      <c r="Q2274" s="40">
        <v>27</v>
      </c>
      <c r="R2274" s="40">
        <v>132</v>
      </c>
      <c r="S2274" s="40">
        <v>135</v>
      </c>
    </row>
    <row r="2275" spans="1:19" x14ac:dyDescent="0.35">
      <c r="A2275" s="38">
        <v>2638</v>
      </c>
      <c r="B2275" s="38" t="str">
        <f>_xlfn.XLOOKUP(A2275,'Model Modeshare by TAZ'!A:A,'Model Modeshare by TAZ'!B:B)</f>
        <v>Napa</v>
      </c>
      <c r="C2275" s="38" t="str">
        <f>_xlfn.XLOOKUP(A2275,'Model Modeshare by TAZ'!A:A,'Model Modeshare by TAZ'!D:D)</f>
        <v>NO</v>
      </c>
      <c r="D2275" s="6">
        <v>7</v>
      </c>
      <c r="E2275" s="6">
        <v>3363</v>
      </c>
      <c r="F2275" s="6">
        <v>9387</v>
      </c>
      <c r="G2275" s="6">
        <v>9464</v>
      </c>
      <c r="H2275" s="6">
        <v>4708</v>
      </c>
      <c r="I2275" s="6">
        <v>2937</v>
      </c>
      <c r="J2275" s="6">
        <v>426</v>
      </c>
      <c r="K2275" s="40">
        <v>727</v>
      </c>
      <c r="L2275" s="40">
        <v>83</v>
      </c>
      <c r="M2275" s="40">
        <v>7025</v>
      </c>
      <c r="N2275" s="40">
        <v>1276</v>
      </c>
      <c r="O2275" s="40">
        <v>5063</v>
      </c>
      <c r="P2275" s="40">
        <v>34</v>
      </c>
      <c r="Q2275" s="40">
        <v>69</v>
      </c>
      <c r="R2275" s="40">
        <v>562</v>
      </c>
      <c r="S2275" s="40">
        <v>20</v>
      </c>
    </row>
    <row r="2276" spans="1:19" x14ac:dyDescent="0.35">
      <c r="A2276" s="38">
        <v>2639</v>
      </c>
      <c r="B2276" s="38" t="str">
        <f>_xlfn.XLOOKUP(A2276,'Model Modeshare by TAZ'!A:A,'Model Modeshare by TAZ'!B:B)</f>
        <v>Napa</v>
      </c>
      <c r="C2276" s="38" t="str">
        <f>_xlfn.XLOOKUP(A2276,'Model Modeshare by TAZ'!A:A,'Model Modeshare by TAZ'!D:D)</f>
        <v>NO</v>
      </c>
      <c r="D2276" s="6">
        <v>7</v>
      </c>
      <c r="E2276" s="6">
        <v>2440</v>
      </c>
      <c r="F2276" s="6">
        <v>6397</v>
      </c>
      <c r="G2276" s="6">
        <v>6461</v>
      </c>
      <c r="H2276" s="6">
        <v>3354</v>
      </c>
      <c r="I2276" s="6">
        <v>2214</v>
      </c>
      <c r="J2276" s="6">
        <v>226</v>
      </c>
      <c r="K2276" s="40">
        <v>495</v>
      </c>
      <c r="L2276" s="40">
        <v>36</v>
      </c>
      <c r="M2276" s="40">
        <v>1750</v>
      </c>
      <c r="N2276" s="40">
        <v>265</v>
      </c>
      <c r="O2276" s="40">
        <v>1010</v>
      </c>
      <c r="P2276" s="40">
        <v>428</v>
      </c>
      <c r="Q2276" s="40">
        <v>31</v>
      </c>
      <c r="R2276" s="40">
        <v>0</v>
      </c>
      <c r="S2276" s="40">
        <v>16</v>
      </c>
    </row>
    <row r="2277" spans="1:19" x14ac:dyDescent="0.35">
      <c r="A2277" s="38">
        <v>2640</v>
      </c>
      <c r="B2277" s="38" t="str">
        <f>_xlfn.XLOOKUP(A2277,'Model Modeshare by TAZ'!A:A,'Model Modeshare by TAZ'!B:B)</f>
        <v>Unincorporated</v>
      </c>
      <c r="C2277" s="38" t="str">
        <f>_xlfn.XLOOKUP(A2277,'Model Modeshare by TAZ'!A:A,'Model Modeshare by TAZ'!D:D)</f>
        <v>NO</v>
      </c>
      <c r="D2277" s="6">
        <v>7</v>
      </c>
      <c r="E2277" s="6">
        <v>1550</v>
      </c>
      <c r="F2277" s="6">
        <v>3996</v>
      </c>
      <c r="G2277" s="6">
        <v>4075</v>
      </c>
      <c r="H2277" s="6">
        <v>2138</v>
      </c>
      <c r="I2277" s="6">
        <v>1498</v>
      </c>
      <c r="J2277" s="6">
        <v>52</v>
      </c>
      <c r="K2277" s="40">
        <v>1183</v>
      </c>
      <c r="L2277" s="40">
        <v>141</v>
      </c>
      <c r="M2277" s="40">
        <v>1157</v>
      </c>
      <c r="N2277" s="40">
        <v>65</v>
      </c>
      <c r="O2277" s="40">
        <v>311</v>
      </c>
      <c r="P2277" s="40">
        <v>273</v>
      </c>
      <c r="Q2277" s="40">
        <v>190</v>
      </c>
      <c r="R2277" s="40">
        <v>300</v>
      </c>
      <c r="S2277" s="40">
        <v>18</v>
      </c>
    </row>
    <row r="2278" spans="1:19" x14ac:dyDescent="0.35">
      <c r="A2278" s="38">
        <v>2641</v>
      </c>
      <c r="B2278" s="38" t="str">
        <f>_xlfn.XLOOKUP(A2278,'Model Modeshare by TAZ'!A:A,'Model Modeshare by TAZ'!B:B)</f>
        <v>Unincorporated</v>
      </c>
      <c r="C2278" s="38" t="str">
        <f>_xlfn.XLOOKUP(A2278,'Model Modeshare by TAZ'!A:A,'Model Modeshare by TAZ'!D:D)</f>
        <v>NO</v>
      </c>
      <c r="D2278" s="6">
        <v>7</v>
      </c>
      <c r="E2278" s="6">
        <v>1968</v>
      </c>
      <c r="F2278" s="6">
        <v>4818</v>
      </c>
      <c r="G2278" s="6">
        <v>4834</v>
      </c>
      <c r="H2278" s="6">
        <v>2301</v>
      </c>
      <c r="I2278" s="6">
        <v>1169</v>
      </c>
      <c r="J2278" s="6">
        <v>799</v>
      </c>
      <c r="K2278" s="40">
        <v>838</v>
      </c>
      <c r="L2278" s="40">
        <v>261</v>
      </c>
      <c r="M2278" s="40">
        <v>1731</v>
      </c>
      <c r="N2278" s="40">
        <v>278</v>
      </c>
      <c r="O2278" s="40">
        <v>251</v>
      </c>
      <c r="P2278" s="40">
        <v>213</v>
      </c>
      <c r="Q2278" s="40">
        <v>375</v>
      </c>
      <c r="R2278" s="40">
        <v>584</v>
      </c>
      <c r="S2278" s="40">
        <v>30</v>
      </c>
    </row>
    <row r="2279" spans="1:19" x14ac:dyDescent="0.35">
      <c r="A2279" s="38">
        <v>2642</v>
      </c>
      <c r="B2279" s="38" t="str">
        <f>_xlfn.XLOOKUP(A2279,'Model Modeshare by TAZ'!A:A,'Model Modeshare by TAZ'!B:B)</f>
        <v>Yountville</v>
      </c>
      <c r="C2279" s="38" t="str">
        <f>_xlfn.XLOOKUP(A2279,'Model Modeshare by TAZ'!A:A,'Model Modeshare by TAZ'!D:D)</f>
        <v>NO</v>
      </c>
      <c r="D2279" s="6">
        <v>7</v>
      </c>
      <c r="E2279" s="6">
        <v>1372</v>
      </c>
      <c r="F2279" s="6">
        <v>2396</v>
      </c>
      <c r="G2279" s="6">
        <v>2991</v>
      </c>
      <c r="H2279" s="6">
        <v>1147</v>
      </c>
      <c r="I2279" s="6">
        <v>894</v>
      </c>
      <c r="J2279" s="6">
        <v>478</v>
      </c>
      <c r="K2279" s="40">
        <v>156</v>
      </c>
      <c r="L2279" s="40">
        <v>340</v>
      </c>
      <c r="M2279" s="40">
        <v>4180</v>
      </c>
      <c r="N2279" s="40">
        <v>976</v>
      </c>
      <c r="O2279" s="40">
        <v>1772</v>
      </c>
      <c r="P2279" s="40">
        <v>324</v>
      </c>
      <c r="Q2279" s="40">
        <v>42</v>
      </c>
      <c r="R2279" s="40">
        <v>833</v>
      </c>
      <c r="S2279" s="40">
        <v>233</v>
      </c>
    </row>
    <row r="2280" spans="1:19" x14ac:dyDescent="0.35">
      <c r="A2280" s="38">
        <v>2643</v>
      </c>
      <c r="B2280" s="38" t="str">
        <f>_xlfn.XLOOKUP(A2280,'Model Modeshare by TAZ'!A:A,'Model Modeshare by TAZ'!B:B)</f>
        <v>Unincorporated</v>
      </c>
      <c r="C2280" s="38" t="str">
        <f>_xlfn.XLOOKUP(A2280,'Model Modeshare by TAZ'!A:A,'Model Modeshare by TAZ'!D:D)</f>
        <v>NO</v>
      </c>
      <c r="D2280" s="6">
        <v>7</v>
      </c>
      <c r="E2280" s="6">
        <v>2711</v>
      </c>
      <c r="F2280" s="6">
        <v>6816</v>
      </c>
      <c r="G2280" s="6">
        <v>6901</v>
      </c>
      <c r="H2280" s="6">
        <v>3613</v>
      </c>
      <c r="I2280" s="6">
        <v>2644</v>
      </c>
      <c r="J2280" s="6">
        <v>67</v>
      </c>
      <c r="K2280" s="40">
        <v>3184</v>
      </c>
      <c r="L2280" s="40">
        <v>239</v>
      </c>
      <c r="M2280" s="40">
        <v>3148</v>
      </c>
      <c r="N2280" s="40">
        <v>230</v>
      </c>
      <c r="O2280" s="40">
        <v>1522</v>
      </c>
      <c r="P2280" s="40">
        <v>483</v>
      </c>
      <c r="Q2280" s="40">
        <v>613</v>
      </c>
      <c r="R2280" s="40">
        <v>259</v>
      </c>
      <c r="S2280" s="40">
        <v>42</v>
      </c>
    </row>
    <row r="2281" spans="1:19" x14ac:dyDescent="0.35">
      <c r="A2281" s="38">
        <v>2644</v>
      </c>
      <c r="B2281" s="38" t="str">
        <f>_xlfn.XLOOKUP(A2281,'Model Modeshare by TAZ'!A:A,'Model Modeshare by TAZ'!B:B)</f>
        <v>Unincorporated</v>
      </c>
      <c r="C2281" s="38" t="str">
        <f>_xlfn.XLOOKUP(A2281,'Model Modeshare by TAZ'!A:A,'Model Modeshare by TAZ'!D:D)</f>
        <v>NO</v>
      </c>
      <c r="D2281" s="6">
        <v>7</v>
      </c>
      <c r="E2281" s="6">
        <v>741</v>
      </c>
      <c r="F2281" s="6">
        <v>1662</v>
      </c>
      <c r="G2281" s="6">
        <v>1681</v>
      </c>
      <c r="H2281" s="6">
        <v>841</v>
      </c>
      <c r="I2281" s="6">
        <v>573</v>
      </c>
      <c r="J2281" s="6">
        <v>168</v>
      </c>
      <c r="K2281" s="40">
        <v>1192</v>
      </c>
      <c r="L2281" s="40">
        <v>392</v>
      </c>
      <c r="M2281" s="40">
        <v>530</v>
      </c>
      <c r="N2281" s="40">
        <v>55</v>
      </c>
      <c r="O2281" s="40">
        <v>252</v>
      </c>
      <c r="P2281" s="40">
        <v>124</v>
      </c>
      <c r="Q2281" s="40">
        <v>97</v>
      </c>
      <c r="R2281" s="40">
        <v>0</v>
      </c>
      <c r="S2281" s="40">
        <v>1</v>
      </c>
    </row>
    <row r="2282" spans="1:19" x14ac:dyDescent="0.35">
      <c r="A2282" s="38">
        <v>2645</v>
      </c>
      <c r="B2282" s="38" t="str">
        <f>_xlfn.XLOOKUP(A2282,'Model Modeshare by TAZ'!A:A,'Model Modeshare by TAZ'!B:B)</f>
        <v>Unincorporated</v>
      </c>
      <c r="C2282" s="38" t="str">
        <f>_xlfn.XLOOKUP(A2282,'Model Modeshare by TAZ'!A:A,'Model Modeshare by TAZ'!D:D)</f>
        <v>NO</v>
      </c>
      <c r="D2282" s="6">
        <v>7</v>
      </c>
      <c r="E2282" s="6">
        <v>1696</v>
      </c>
      <c r="F2282" s="6">
        <v>4640</v>
      </c>
      <c r="G2282" s="6">
        <v>5960</v>
      </c>
      <c r="H2282" s="6">
        <v>3080</v>
      </c>
      <c r="I2282" s="6">
        <v>1435</v>
      </c>
      <c r="J2282" s="6">
        <v>261</v>
      </c>
      <c r="K2282" s="40">
        <v>1828</v>
      </c>
      <c r="L2282" s="40">
        <v>446</v>
      </c>
      <c r="M2282" s="40">
        <v>4920</v>
      </c>
      <c r="N2282" s="40">
        <v>30</v>
      </c>
      <c r="O2282" s="40">
        <v>3667</v>
      </c>
      <c r="P2282" s="40">
        <v>402</v>
      </c>
      <c r="Q2282" s="40">
        <v>421</v>
      </c>
      <c r="R2282" s="40">
        <v>285</v>
      </c>
      <c r="S2282" s="40">
        <v>115</v>
      </c>
    </row>
    <row r="2283" spans="1:19" x14ac:dyDescent="0.35">
      <c r="A2283" s="38">
        <v>2646</v>
      </c>
      <c r="B2283" s="38" t="str">
        <f>_xlfn.XLOOKUP(A2283,'Model Modeshare by TAZ'!A:A,'Model Modeshare by TAZ'!B:B)</f>
        <v>St. Helena</v>
      </c>
      <c r="C2283" s="38" t="str">
        <f>_xlfn.XLOOKUP(A2283,'Model Modeshare by TAZ'!A:A,'Model Modeshare by TAZ'!D:D)</f>
        <v>NO</v>
      </c>
      <c r="D2283" s="6">
        <v>7</v>
      </c>
      <c r="E2283" s="6">
        <v>2536</v>
      </c>
      <c r="F2283" s="6">
        <v>5901</v>
      </c>
      <c r="G2283" s="6">
        <v>5995</v>
      </c>
      <c r="H2283" s="6">
        <v>2744</v>
      </c>
      <c r="I2283" s="6">
        <v>1778</v>
      </c>
      <c r="J2283" s="6">
        <v>758</v>
      </c>
      <c r="K2283" s="40">
        <v>823</v>
      </c>
      <c r="L2283" s="40">
        <v>99</v>
      </c>
      <c r="M2283" s="40">
        <v>6723</v>
      </c>
      <c r="N2283" s="40">
        <v>1121</v>
      </c>
      <c r="O2283" s="40">
        <v>1763</v>
      </c>
      <c r="P2283" s="40">
        <v>989</v>
      </c>
      <c r="Q2283" s="40">
        <v>659</v>
      </c>
      <c r="R2283" s="40">
        <v>1757</v>
      </c>
      <c r="S2283" s="40">
        <v>434</v>
      </c>
    </row>
    <row r="2284" spans="1:19" x14ac:dyDescent="0.35">
      <c r="A2284" s="38">
        <v>2647</v>
      </c>
      <c r="B2284" s="38" t="str">
        <f>_xlfn.XLOOKUP(A2284,'Model Modeshare by TAZ'!A:A,'Model Modeshare by TAZ'!B:B)</f>
        <v>Unincorporated</v>
      </c>
      <c r="C2284" s="38" t="str">
        <f>_xlfn.XLOOKUP(A2284,'Model Modeshare by TAZ'!A:A,'Model Modeshare by TAZ'!D:D)</f>
        <v>NO</v>
      </c>
      <c r="D2284" s="6">
        <v>7</v>
      </c>
      <c r="E2284" s="6">
        <v>800</v>
      </c>
      <c r="F2284" s="6">
        <v>2071</v>
      </c>
      <c r="G2284" s="6">
        <v>2101</v>
      </c>
      <c r="H2284" s="6">
        <v>904</v>
      </c>
      <c r="I2284" s="6">
        <v>762</v>
      </c>
      <c r="J2284" s="6">
        <v>38</v>
      </c>
      <c r="K2284" s="40">
        <v>629</v>
      </c>
      <c r="L2284" s="40">
        <v>217</v>
      </c>
      <c r="M2284" s="40">
        <v>5011</v>
      </c>
      <c r="N2284" s="40">
        <v>297</v>
      </c>
      <c r="O2284" s="40">
        <v>530</v>
      </c>
      <c r="P2284" s="40">
        <v>551</v>
      </c>
      <c r="Q2284" s="40">
        <v>1747</v>
      </c>
      <c r="R2284" s="40">
        <v>1777</v>
      </c>
      <c r="S2284" s="40">
        <v>108</v>
      </c>
    </row>
    <row r="2285" spans="1:19" x14ac:dyDescent="0.35">
      <c r="A2285" s="38">
        <v>2648</v>
      </c>
      <c r="B2285" s="38" t="str">
        <f>_xlfn.XLOOKUP(A2285,'Model Modeshare by TAZ'!A:A,'Model Modeshare by TAZ'!B:B)</f>
        <v>Unincorporated</v>
      </c>
      <c r="C2285" s="38" t="str">
        <f>_xlfn.XLOOKUP(A2285,'Model Modeshare by TAZ'!A:A,'Model Modeshare by TAZ'!D:D)</f>
        <v>NO</v>
      </c>
      <c r="D2285" s="6">
        <v>7</v>
      </c>
      <c r="E2285" s="6">
        <v>538</v>
      </c>
      <c r="F2285" s="6">
        <v>1129</v>
      </c>
      <c r="G2285" s="6">
        <v>1210</v>
      </c>
      <c r="H2285" s="6">
        <v>671</v>
      </c>
      <c r="I2285" s="6">
        <v>513</v>
      </c>
      <c r="J2285" s="6">
        <v>25</v>
      </c>
      <c r="K2285" s="40">
        <v>1228</v>
      </c>
      <c r="L2285" s="40">
        <v>140</v>
      </c>
      <c r="M2285" s="40">
        <v>1262</v>
      </c>
      <c r="N2285" s="40">
        <v>47</v>
      </c>
      <c r="O2285" s="40">
        <v>222</v>
      </c>
      <c r="P2285" s="40">
        <v>119</v>
      </c>
      <c r="Q2285" s="40">
        <v>659</v>
      </c>
      <c r="R2285" s="40">
        <v>209</v>
      </c>
      <c r="S2285" s="40">
        <v>5</v>
      </c>
    </row>
    <row r="2286" spans="1:19" x14ac:dyDescent="0.35">
      <c r="A2286" s="38">
        <v>2649</v>
      </c>
      <c r="B2286" s="38" t="str">
        <f>_xlfn.XLOOKUP(A2286,'Model Modeshare by TAZ'!A:A,'Model Modeshare by TAZ'!B:B)</f>
        <v>Calistoga</v>
      </c>
      <c r="C2286" s="38" t="str">
        <f>_xlfn.XLOOKUP(A2286,'Model Modeshare by TAZ'!A:A,'Model Modeshare by TAZ'!D:D)</f>
        <v>NO</v>
      </c>
      <c r="D2286" s="6">
        <v>7</v>
      </c>
      <c r="E2286" s="6">
        <v>2007</v>
      </c>
      <c r="F2286" s="6">
        <v>5209</v>
      </c>
      <c r="G2286" s="6">
        <v>5281</v>
      </c>
      <c r="H2286" s="6">
        <v>2754</v>
      </c>
      <c r="I2286" s="6">
        <v>1029</v>
      </c>
      <c r="J2286" s="6">
        <v>978</v>
      </c>
      <c r="K2286" s="40">
        <v>711</v>
      </c>
      <c r="L2286" s="40">
        <v>58</v>
      </c>
      <c r="M2286" s="40">
        <v>2501</v>
      </c>
      <c r="N2286" s="40">
        <v>513</v>
      </c>
      <c r="O2286" s="40">
        <v>1154</v>
      </c>
      <c r="P2286" s="40">
        <v>152</v>
      </c>
      <c r="Q2286" s="40">
        <v>239</v>
      </c>
      <c r="R2286" s="40">
        <v>353</v>
      </c>
      <c r="S2286" s="40">
        <v>90</v>
      </c>
    </row>
    <row r="2287" spans="1:19" x14ac:dyDescent="0.35">
      <c r="A2287" s="38">
        <v>2650</v>
      </c>
      <c r="B2287" s="38" t="str">
        <f>_xlfn.XLOOKUP(A2287,'Model Modeshare by TAZ'!A:A,'Model Modeshare by TAZ'!B:B)</f>
        <v>Unincorporated</v>
      </c>
      <c r="C2287" s="38" t="str">
        <f>_xlfn.XLOOKUP(A2287,'Model Modeshare by TAZ'!A:A,'Model Modeshare by TAZ'!D:D)</f>
        <v>NO</v>
      </c>
      <c r="D2287" s="6">
        <v>8</v>
      </c>
      <c r="E2287" s="6">
        <v>2185</v>
      </c>
      <c r="F2287" s="6">
        <v>4743</v>
      </c>
      <c r="G2287" s="6">
        <v>5191</v>
      </c>
      <c r="H2287" s="6">
        <v>2464</v>
      </c>
      <c r="I2287" s="6">
        <v>1937</v>
      </c>
      <c r="J2287" s="6">
        <v>248</v>
      </c>
      <c r="K2287" s="40">
        <v>6420</v>
      </c>
      <c r="L2287" s="40">
        <v>1741</v>
      </c>
      <c r="M2287" s="40">
        <v>2966</v>
      </c>
      <c r="N2287" s="40">
        <v>637</v>
      </c>
      <c r="O2287" s="40">
        <v>768</v>
      </c>
      <c r="P2287" s="40">
        <v>700</v>
      </c>
      <c r="Q2287" s="40">
        <v>201</v>
      </c>
      <c r="R2287" s="40">
        <v>507</v>
      </c>
      <c r="S2287" s="40">
        <v>153</v>
      </c>
    </row>
    <row r="2288" spans="1:19" x14ac:dyDescent="0.35">
      <c r="A2288" s="38">
        <v>2651</v>
      </c>
      <c r="B2288" s="38" t="str">
        <f>_xlfn.XLOOKUP(A2288,'Model Modeshare by TAZ'!A:A,'Model Modeshare by TAZ'!B:B)</f>
        <v>Unincorporated</v>
      </c>
      <c r="C2288" s="38" t="str">
        <f>_xlfn.XLOOKUP(A2288,'Model Modeshare by TAZ'!A:A,'Model Modeshare by TAZ'!D:D)</f>
        <v>NO</v>
      </c>
      <c r="D2288" s="6">
        <v>8</v>
      </c>
      <c r="E2288" s="6">
        <v>3434</v>
      </c>
      <c r="F2288" s="6">
        <v>10158</v>
      </c>
      <c r="G2288" s="6">
        <v>10213</v>
      </c>
      <c r="H2288" s="6">
        <v>5344</v>
      </c>
      <c r="I2288" s="6">
        <v>2466</v>
      </c>
      <c r="J2288" s="6">
        <v>968</v>
      </c>
      <c r="K2288" s="40">
        <v>1330</v>
      </c>
      <c r="L2288" s="40">
        <v>117</v>
      </c>
      <c r="M2288" s="40">
        <v>1852</v>
      </c>
      <c r="N2288" s="40">
        <v>152</v>
      </c>
      <c r="O2288" s="40">
        <v>1435</v>
      </c>
      <c r="P2288" s="40">
        <v>192</v>
      </c>
      <c r="Q2288" s="40">
        <v>46</v>
      </c>
      <c r="R2288" s="40">
        <v>27</v>
      </c>
      <c r="S2288" s="40">
        <v>0</v>
      </c>
    </row>
    <row r="2289" spans="1:19" x14ac:dyDescent="0.35">
      <c r="A2289" s="38">
        <v>2652</v>
      </c>
      <c r="B2289" s="38" t="str">
        <f>_xlfn.XLOOKUP(A2289,'Model Modeshare by TAZ'!A:A,'Model Modeshare by TAZ'!B:B)</f>
        <v>Unincorporated</v>
      </c>
      <c r="C2289" s="38" t="str">
        <f>_xlfn.XLOOKUP(A2289,'Model Modeshare by TAZ'!A:A,'Model Modeshare by TAZ'!D:D)</f>
        <v>NO</v>
      </c>
      <c r="D2289" s="6">
        <v>8</v>
      </c>
      <c r="E2289" s="6">
        <v>2348</v>
      </c>
      <c r="F2289" s="6">
        <v>5013</v>
      </c>
      <c r="G2289" s="6">
        <v>5067</v>
      </c>
      <c r="H2289" s="6">
        <v>2584</v>
      </c>
      <c r="I2289" s="6">
        <v>1692</v>
      </c>
      <c r="J2289" s="6">
        <v>656</v>
      </c>
      <c r="K2289" s="40">
        <v>2195</v>
      </c>
      <c r="L2289" s="40">
        <v>334</v>
      </c>
      <c r="M2289" s="40">
        <v>3685</v>
      </c>
      <c r="N2289" s="40">
        <v>1689</v>
      </c>
      <c r="O2289" s="40">
        <v>1421</v>
      </c>
      <c r="P2289" s="40">
        <v>257</v>
      </c>
      <c r="Q2289" s="40">
        <v>112</v>
      </c>
      <c r="R2289" s="40">
        <v>133</v>
      </c>
      <c r="S2289" s="40">
        <v>73</v>
      </c>
    </row>
    <row r="2290" spans="1:19" x14ac:dyDescent="0.35">
      <c r="A2290" s="38">
        <v>2653</v>
      </c>
      <c r="B2290" s="38" t="str">
        <f>_xlfn.XLOOKUP(A2290,'Model Modeshare by TAZ'!A:A,'Model Modeshare by TAZ'!B:B)</f>
        <v>Unincorporated</v>
      </c>
      <c r="C2290" s="38" t="str">
        <f>_xlfn.XLOOKUP(A2290,'Model Modeshare by TAZ'!A:A,'Model Modeshare by TAZ'!D:D)</f>
        <v>NO</v>
      </c>
      <c r="D2290" s="6">
        <v>8</v>
      </c>
      <c r="E2290" s="6">
        <v>2182</v>
      </c>
      <c r="F2290" s="6">
        <v>6066</v>
      </c>
      <c r="G2290" s="6">
        <v>6101</v>
      </c>
      <c r="H2290" s="6">
        <v>3030</v>
      </c>
      <c r="I2290" s="6">
        <v>1810</v>
      </c>
      <c r="J2290" s="6">
        <v>372</v>
      </c>
      <c r="K2290" s="40">
        <v>489</v>
      </c>
      <c r="L2290" s="40">
        <v>30</v>
      </c>
      <c r="M2290" s="40">
        <v>596</v>
      </c>
      <c r="N2290" s="40">
        <v>20</v>
      </c>
      <c r="O2290" s="40">
        <v>219</v>
      </c>
      <c r="P2290" s="40">
        <v>235</v>
      </c>
      <c r="Q2290" s="40">
        <v>76</v>
      </c>
      <c r="R2290" s="40">
        <v>28</v>
      </c>
      <c r="S2290" s="40">
        <v>17</v>
      </c>
    </row>
    <row r="2291" spans="1:19" x14ac:dyDescent="0.35">
      <c r="A2291" s="38">
        <v>2654</v>
      </c>
      <c r="B2291" s="38" t="str">
        <f>_xlfn.XLOOKUP(A2291,'Model Modeshare by TAZ'!A:A,'Model Modeshare by TAZ'!B:B)</f>
        <v>Unincorporated</v>
      </c>
      <c r="C2291" s="38" t="str">
        <f>_xlfn.XLOOKUP(A2291,'Model Modeshare by TAZ'!A:A,'Model Modeshare by TAZ'!D:D)</f>
        <v>NO</v>
      </c>
      <c r="D2291" s="6">
        <v>8</v>
      </c>
      <c r="E2291" s="6">
        <v>2292</v>
      </c>
      <c r="F2291" s="6">
        <v>4611</v>
      </c>
      <c r="G2291" s="6">
        <v>4649</v>
      </c>
      <c r="H2291" s="6">
        <v>1746</v>
      </c>
      <c r="I2291" s="6">
        <v>1925</v>
      </c>
      <c r="J2291" s="6">
        <v>367</v>
      </c>
      <c r="K2291" s="40">
        <v>3507</v>
      </c>
      <c r="L2291" s="40">
        <v>1197</v>
      </c>
      <c r="M2291" s="40">
        <v>2740</v>
      </c>
      <c r="N2291" s="40">
        <v>111</v>
      </c>
      <c r="O2291" s="40">
        <v>989</v>
      </c>
      <c r="P2291" s="40">
        <v>1074</v>
      </c>
      <c r="Q2291" s="40">
        <v>343</v>
      </c>
      <c r="R2291" s="40">
        <v>140</v>
      </c>
      <c r="S2291" s="40">
        <v>83</v>
      </c>
    </row>
    <row r="2292" spans="1:19" x14ac:dyDescent="0.35">
      <c r="A2292" s="38">
        <v>2655</v>
      </c>
      <c r="B2292" s="38" t="str">
        <f>_xlfn.XLOOKUP(A2292,'Model Modeshare by TAZ'!A:A,'Model Modeshare by TAZ'!B:B)</f>
        <v>Sonoma</v>
      </c>
      <c r="C2292" s="38" t="str">
        <f>_xlfn.XLOOKUP(A2292,'Model Modeshare by TAZ'!A:A,'Model Modeshare by TAZ'!D:D)</f>
        <v>NO</v>
      </c>
      <c r="D2292" s="6">
        <v>8</v>
      </c>
      <c r="E2292" s="6">
        <v>4014</v>
      </c>
      <c r="F2292" s="6">
        <v>8583</v>
      </c>
      <c r="G2292" s="6">
        <v>8822</v>
      </c>
      <c r="H2292" s="6">
        <v>3868</v>
      </c>
      <c r="I2292" s="6">
        <v>2883</v>
      </c>
      <c r="J2292" s="6">
        <v>1131</v>
      </c>
      <c r="K2292" s="40">
        <v>1109</v>
      </c>
      <c r="L2292" s="40">
        <v>208</v>
      </c>
      <c r="M2292" s="40">
        <v>6092</v>
      </c>
      <c r="N2292" s="40">
        <v>2806</v>
      </c>
      <c r="O2292" s="40">
        <v>2398</v>
      </c>
      <c r="P2292" s="40">
        <v>406</v>
      </c>
      <c r="Q2292" s="40">
        <v>168</v>
      </c>
      <c r="R2292" s="40">
        <v>241</v>
      </c>
      <c r="S2292" s="40">
        <v>73</v>
      </c>
    </row>
    <row r="2293" spans="1:19" x14ac:dyDescent="0.35">
      <c r="A2293" s="38">
        <v>2656</v>
      </c>
      <c r="B2293" s="38" t="str">
        <f>_xlfn.XLOOKUP(A2293,'Model Modeshare by TAZ'!A:A,'Model Modeshare by TAZ'!B:B)</f>
        <v>Unincorporated</v>
      </c>
      <c r="C2293" s="38" t="str">
        <f>_xlfn.XLOOKUP(A2293,'Model Modeshare by TAZ'!A:A,'Model Modeshare by TAZ'!D:D)</f>
        <v>NO</v>
      </c>
      <c r="D2293" s="6">
        <v>8</v>
      </c>
      <c r="E2293" s="6">
        <v>1025</v>
      </c>
      <c r="F2293" s="6">
        <v>2504</v>
      </c>
      <c r="G2293" s="6">
        <v>2508</v>
      </c>
      <c r="H2293" s="6">
        <v>1369</v>
      </c>
      <c r="I2293" s="6">
        <v>932</v>
      </c>
      <c r="J2293" s="6">
        <v>93</v>
      </c>
      <c r="K2293" s="40">
        <v>3090</v>
      </c>
      <c r="L2293" s="40">
        <v>1094</v>
      </c>
      <c r="M2293" s="40">
        <v>3172</v>
      </c>
      <c r="N2293" s="40">
        <v>260</v>
      </c>
      <c r="O2293" s="40">
        <v>1368</v>
      </c>
      <c r="P2293" s="40">
        <v>258</v>
      </c>
      <c r="Q2293" s="40">
        <v>48</v>
      </c>
      <c r="R2293" s="40">
        <v>1183</v>
      </c>
      <c r="S2293" s="40">
        <v>55</v>
      </c>
    </row>
    <row r="2294" spans="1:19" x14ac:dyDescent="0.35">
      <c r="A2294" s="38">
        <v>2657</v>
      </c>
      <c r="B2294" s="38" t="str">
        <f>_xlfn.XLOOKUP(A2294,'Model Modeshare by TAZ'!A:A,'Model Modeshare by TAZ'!B:B)</f>
        <v>Unincorporated</v>
      </c>
      <c r="C2294" s="38" t="str">
        <f>_xlfn.XLOOKUP(A2294,'Model Modeshare by TAZ'!A:A,'Model Modeshare by TAZ'!D:D)</f>
        <v>NO</v>
      </c>
      <c r="D2294" s="6">
        <v>8</v>
      </c>
      <c r="E2294" s="6">
        <v>3174</v>
      </c>
      <c r="F2294" s="6">
        <v>8887</v>
      </c>
      <c r="G2294" s="6">
        <v>8887</v>
      </c>
      <c r="H2294" s="6">
        <v>4918</v>
      </c>
      <c r="I2294" s="6">
        <v>2569</v>
      </c>
      <c r="J2294" s="6">
        <v>605</v>
      </c>
      <c r="K2294" s="40">
        <v>2898</v>
      </c>
      <c r="L2294" s="40">
        <v>1017</v>
      </c>
      <c r="M2294" s="40">
        <v>7639</v>
      </c>
      <c r="N2294" s="40">
        <v>578</v>
      </c>
      <c r="O2294" s="40">
        <v>3173</v>
      </c>
      <c r="P2294" s="40">
        <v>1182</v>
      </c>
      <c r="Q2294" s="40">
        <v>58</v>
      </c>
      <c r="R2294" s="40">
        <v>2332</v>
      </c>
      <c r="S2294" s="40">
        <v>315</v>
      </c>
    </row>
    <row r="2295" spans="1:19" x14ac:dyDescent="0.35">
      <c r="A2295" s="38">
        <v>2658</v>
      </c>
      <c r="B2295" s="38" t="str">
        <f>_xlfn.XLOOKUP(A2295,'Model Modeshare by TAZ'!A:A,'Model Modeshare by TAZ'!B:B)</f>
        <v>Unincorporated</v>
      </c>
      <c r="C2295" s="38" t="str">
        <f>_xlfn.XLOOKUP(A2295,'Model Modeshare by TAZ'!A:A,'Model Modeshare by TAZ'!D:D)</f>
        <v>NO</v>
      </c>
      <c r="D2295" s="6">
        <v>8</v>
      </c>
      <c r="E2295" s="6">
        <v>1819</v>
      </c>
      <c r="F2295" s="6">
        <v>4997</v>
      </c>
      <c r="G2295" s="6">
        <v>5002</v>
      </c>
      <c r="H2295" s="6">
        <v>2434</v>
      </c>
      <c r="I2295" s="6">
        <v>1751</v>
      </c>
      <c r="J2295" s="6">
        <v>68</v>
      </c>
      <c r="K2295" s="40">
        <v>1365</v>
      </c>
      <c r="L2295" s="40">
        <v>453</v>
      </c>
      <c r="M2295" s="40">
        <v>407</v>
      </c>
      <c r="N2295" s="40">
        <v>158</v>
      </c>
      <c r="O2295" s="40">
        <v>130</v>
      </c>
      <c r="P2295" s="40">
        <v>71</v>
      </c>
      <c r="Q2295" s="40">
        <v>3</v>
      </c>
      <c r="R2295" s="40">
        <v>30</v>
      </c>
      <c r="S2295" s="40">
        <v>14</v>
      </c>
    </row>
    <row r="2296" spans="1:19" x14ac:dyDescent="0.35">
      <c r="A2296" s="38">
        <v>2659</v>
      </c>
      <c r="B2296" s="38" t="str">
        <f>_xlfn.XLOOKUP(A2296,'Model Modeshare by TAZ'!A:A,'Model Modeshare by TAZ'!B:B)</f>
        <v>Unincorporated</v>
      </c>
      <c r="C2296" s="38" t="str">
        <f>_xlfn.XLOOKUP(A2296,'Model Modeshare by TAZ'!A:A,'Model Modeshare by TAZ'!D:D)</f>
        <v>NO</v>
      </c>
      <c r="D2296" s="6">
        <v>8</v>
      </c>
      <c r="E2296" s="6">
        <v>2008</v>
      </c>
      <c r="F2296" s="6">
        <v>5117</v>
      </c>
      <c r="G2296" s="6">
        <v>5399</v>
      </c>
      <c r="H2296" s="6">
        <v>2810</v>
      </c>
      <c r="I2296" s="6">
        <v>1610</v>
      </c>
      <c r="J2296" s="6">
        <v>398</v>
      </c>
      <c r="K2296" s="40">
        <v>694</v>
      </c>
      <c r="L2296" s="40">
        <v>97</v>
      </c>
      <c r="M2296" s="40">
        <v>1869</v>
      </c>
      <c r="N2296" s="40">
        <v>173</v>
      </c>
      <c r="O2296" s="40">
        <v>580</v>
      </c>
      <c r="P2296" s="40">
        <v>1076</v>
      </c>
      <c r="Q2296" s="40">
        <v>29</v>
      </c>
      <c r="R2296" s="40">
        <v>10</v>
      </c>
      <c r="S2296" s="40">
        <v>1</v>
      </c>
    </row>
    <row r="2297" spans="1:19" x14ac:dyDescent="0.35">
      <c r="A2297" s="38">
        <v>2660</v>
      </c>
      <c r="B2297" s="38" t="str">
        <f>_xlfn.XLOOKUP(A2297,'Model Modeshare by TAZ'!A:A,'Model Modeshare by TAZ'!B:B)</f>
        <v>Unincorporated</v>
      </c>
      <c r="C2297" s="38" t="str">
        <f>_xlfn.XLOOKUP(A2297,'Model Modeshare by TAZ'!A:A,'Model Modeshare by TAZ'!D:D)</f>
        <v>NO</v>
      </c>
      <c r="D2297" s="6">
        <v>8</v>
      </c>
      <c r="E2297" s="6">
        <v>1891</v>
      </c>
      <c r="F2297" s="6">
        <v>5310</v>
      </c>
      <c r="G2297" s="6">
        <v>5634</v>
      </c>
      <c r="H2297" s="6">
        <v>2971</v>
      </c>
      <c r="I2297" s="6">
        <v>1627</v>
      </c>
      <c r="J2297" s="6">
        <v>264</v>
      </c>
      <c r="K2297" s="40">
        <v>2982</v>
      </c>
      <c r="L2297" s="40">
        <v>933</v>
      </c>
      <c r="M2297" s="40">
        <v>2214</v>
      </c>
      <c r="N2297" s="40">
        <v>108</v>
      </c>
      <c r="O2297" s="40">
        <v>459</v>
      </c>
      <c r="P2297" s="40">
        <v>314</v>
      </c>
      <c r="Q2297" s="40">
        <v>682</v>
      </c>
      <c r="R2297" s="40">
        <v>612</v>
      </c>
      <c r="S2297" s="40">
        <v>40</v>
      </c>
    </row>
    <row r="2298" spans="1:19" x14ac:dyDescent="0.35">
      <c r="A2298" s="38">
        <v>2661</v>
      </c>
      <c r="B2298" s="38" t="str">
        <f>_xlfn.XLOOKUP(A2298,'Model Modeshare by TAZ'!A:A,'Model Modeshare by TAZ'!B:B)</f>
        <v>Unincorporated</v>
      </c>
      <c r="C2298" s="38" t="str">
        <f>_xlfn.XLOOKUP(A2298,'Model Modeshare by TAZ'!A:A,'Model Modeshare by TAZ'!D:D)</f>
        <v>NO</v>
      </c>
      <c r="D2298" s="6">
        <v>8</v>
      </c>
      <c r="E2298" s="6">
        <v>1512</v>
      </c>
      <c r="F2298" s="6">
        <v>3907</v>
      </c>
      <c r="G2298" s="6">
        <v>3940</v>
      </c>
      <c r="H2298" s="6">
        <v>2158</v>
      </c>
      <c r="I2298" s="6">
        <v>1347</v>
      </c>
      <c r="J2298" s="6">
        <v>165</v>
      </c>
      <c r="K2298" s="40">
        <v>2372</v>
      </c>
      <c r="L2298" s="40">
        <v>202</v>
      </c>
      <c r="M2298" s="40">
        <v>4009</v>
      </c>
      <c r="N2298" s="40">
        <v>222</v>
      </c>
      <c r="O2298" s="40">
        <v>824</v>
      </c>
      <c r="P2298" s="40">
        <v>1763</v>
      </c>
      <c r="Q2298" s="40">
        <v>496</v>
      </c>
      <c r="R2298" s="40">
        <v>342</v>
      </c>
      <c r="S2298" s="40">
        <v>362</v>
      </c>
    </row>
    <row r="2299" spans="1:19" x14ac:dyDescent="0.35">
      <c r="A2299" s="38">
        <v>2662</v>
      </c>
      <c r="B2299" s="38" t="str">
        <f>_xlfn.XLOOKUP(A2299,'Model Modeshare by TAZ'!A:A,'Model Modeshare by TAZ'!B:B)</f>
        <v>Petaluma</v>
      </c>
      <c r="C2299" s="38" t="str">
        <f>_xlfn.XLOOKUP(A2299,'Model Modeshare by TAZ'!A:A,'Model Modeshare by TAZ'!D:D)</f>
        <v>NO</v>
      </c>
      <c r="D2299" s="6">
        <v>8</v>
      </c>
      <c r="E2299" s="6">
        <v>1397</v>
      </c>
      <c r="F2299" s="6">
        <v>3282</v>
      </c>
      <c r="G2299" s="6">
        <v>3282</v>
      </c>
      <c r="H2299" s="6">
        <v>1671</v>
      </c>
      <c r="I2299" s="6">
        <v>1271</v>
      </c>
      <c r="J2299" s="6">
        <v>126</v>
      </c>
      <c r="K2299" s="40">
        <v>449</v>
      </c>
      <c r="L2299" s="40">
        <v>41</v>
      </c>
      <c r="M2299" s="40">
        <v>554</v>
      </c>
      <c r="N2299" s="40">
        <v>2</v>
      </c>
      <c r="O2299" s="40">
        <v>274</v>
      </c>
      <c r="P2299" s="40">
        <v>191</v>
      </c>
      <c r="Q2299" s="40">
        <v>18</v>
      </c>
      <c r="R2299" s="40">
        <v>21</v>
      </c>
      <c r="S2299" s="40">
        <v>48</v>
      </c>
    </row>
    <row r="2300" spans="1:19" x14ac:dyDescent="0.35">
      <c r="A2300" s="38">
        <v>2663</v>
      </c>
      <c r="B2300" s="38" t="str">
        <f>_xlfn.XLOOKUP(A2300,'Model Modeshare by TAZ'!A:A,'Model Modeshare by TAZ'!B:B)</f>
        <v>Petaluma</v>
      </c>
      <c r="C2300" s="38" t="str">
        <f>_xlfn.XLOOKUP(A2300,'Model Modeshare by TAZ'!A:A,'Model Modeshare by TAZ'!D:D)</f>
        <v>NO</v>
      </c>
      <c r="D2300" s="6">
        <v>8</v>
      </c>
      <c r="E2300" s="6">
        <v>2002</v>
      </c>
      <c r="F2300" s="6">
        <v>4943</v>
      </c>
      <c r="G2300" s="6">
        <v>4954</v>
      </c>
      <c r="H2300" s="6">
        <v>2825</v>
      </c>
      <c r="I2300" s="6">
        <v>1280</v>
      </c>
      <c r="J2300" s="6">
        <v>722</v>
      </c>
      <c r="K2300" s="40">
        <v>344</v>
      </c>
      <c r="L2300" s="40">
        <v>231</v>
      </c>
      <c r="M2300" s="40">
        <v>2686</v>
      </c>
      <c r="N2300" s="40">
        <v>10</v>
      </c>
      <c r="O2300" s="40">
        <v>1326</v>
      </c>
      <c r="P2300" s="40">
        <v>928</v>
      </c>
      <c r="Q2300" s="40">
        <v>88</v>
      </c>
      <c r="R2300" s="40">
        <v>101</v>
      </c>
      <c r="S2300" s="40">
        <v>232</v>
      </c>
    </row>
    <row r="2301" spans="1:19" x14ac:dyDescent="0.35">
      <c r="A2301" s="38">
        <v>2664</v>
      </c>
      <c r="B2301" s="38" t="str">
        <f>_xlfn.XLOOKUP(A2301,'Model Modeshare by TAZ'!A:A,'Model Modeshare by TAZ'!B:B)</f>
        <v>Petaluma</v>
      </c>
      <c r="C2301" s="38" t="str">
        <f>_xlfn.XLOOKUP(A2301,'Model Modeshare by TAZ'!A:A,'Model Modeshare by TAZ'!D:D)</f>
        <v>NO</v>
      </c>
      <c r="D2301" s="6">
        <v>8</v>
      </c>
      <c r="E2301" s="6">
        <v>2061</v>
      </c>
      <c r="F2301" s="6">
        <v>4617</v>
      </c>
      <c r="G2301" s="6">
        <v>4817</v>
      </c>
      <c r="H2301" s="6">
        <v>2548</v>
      </c>
      <c r="I2301" s="6">
        <v>1207</v>
      </c>
      <c r="J2301" s="6">
        <v>854</v>
      </c>
      <c r="K2301" s="40">
        <v>259</v>
      </c>
      <c r="L2301" s="40">
        <v>533</v>
      </c>
      <c r="M2301" s="40">
        <v>6807</v>
      </c>
      <c r="N2301" s="40">
        <v>2662</v>
      </c>
      <c r="O2301" s="40">
        <v>2181</v>
      </c>
      <c r="P2301" s="40">
        <v>1185</v>
      </c>
      <c r="Q2301" s="40">
        <v>54</v>
      </c>
      <c r="R2301" s="40">
        <v>485</v>
      </c>
      <c r="S2301" s="40">
        <v>241</v>
      </c>
    </row>
    <row r="2302" spans="1:19" x14ac:dyDescent="0.35">
      <c r="A2302" s="38">
        <v>2665</v>
      </c>
      <c r="B2302" s="38" t="str">
        <f>_xlfn.XLOOKUP(A2302,'Model Modeshare by TAZ'!A:A,'Model Modeshare by TAZ'!B:B)</f>
        <v>Petaluma</v>
      </c>
      <c r="C2302" s="38" t="str">
        <f>_xlfn.XLOOKUP(A2302,'Model Modeshare by TAZ'!A:A,'Model Modeshare by TAZ'!D:D)</f>
        <v>NO</v>
      </c>
      <c r="D2302" s="6">
        <v>8</v>
      </c>
      <c r="E2302" s="6">
        <v>1378</v>
      </c>
      <c r="F2302" s="6">
        <v>4541</v>
      </c>
      <c r="G2302" s="6">
        <v>4558</v>
      </c>
      <c r="H2302" s="6">
        <v>2083</v>
      </c>
      <c r="I2302" s="6">
        <v>1128</v>
      </c>
      <c r="J2302" s="6">
        <v>250</v>
      </c>
      <c r="K2302" s="40">
        <v>282</v>
      </c>
      <c r="L2302" s="40">
        <v>19</v>
      </c>
      <c r="M2302" s="40">
        <v>157</v>
      </c>
      <c r="N2302" s="40">
        <v>40</v>
      </c>
      <c r="O2302" s="40">
        <v>102</v>
      </c>
      <c r="P2302" s="40">
        <v>15</v>
      </c>
      <c r="Q2302" s="40">
        <v>0</v>
      </c>
      <c r="R2302" s="40">
        <v>0</v>
      </c>
      <c r="S2302" s="40">
        <v>0</v>
      </c>
    </row>
    <row r="2303" spans="1:19" x14ac:dyDescent="0.35">
      <c r="A2303" s="38">
        <v>2666</v>
      </c>
      <c r="B2303" s="38" t="str">
        <f>_xlfn.XLOOKUP(A2303,'Model Modeshare by TAZ'!A:A,'Model Modeshare by TAZ'!B:B)</f>
        <v>Petaluma</v>
      </c>
      <c r="C2303" s="38" t="str">
        <f>_xlfn.XLOOKUP(A2303,'Model Modeshare by TAZ'!A:A,'Model Modeshare by TAZ'!D:D)</f>
        <v>NO</v>
      </c>
      <c r="D2303" s="6">
        <v>8</v>
      </c>
      <c r="E2303" s="6">
        <v>1460</v>
      </c>
      <c r="F2303" s="6">
        <v>3966</v>
      </c>
      <c r="G2303" s="6">
        <v>3966</v>
      </c>
      <c r="H2303" s="6">
        <v>2182</v>
      </c>
      <c r="I2303" s="6">
        <v>1441</v>
      </c>
      <c r="J2303" s="6">
        <v>19</v>
      </c>
      <c r="K2303" s="40">
        <v>316</v>
      </c>
      <c r="L2303" s="40">
        <v>91</v>
      </c>
      <c r="M2303" s="40">
        <v>379</v>
      </c>
      <c r="N2303" s="40">
        <v>16</v>
      </c>
      <c r="O2303" s="40">
        <v>275</v>
      </c>
      <c r="P2303" s="40">
        <v>69</v>
      </c>
      <c r="Q2303" s="40">
        <v>3</v>
      </c>
      <c r="R2303" s="40">
        <v>17</v>
      </c>
      <c r="S2303" s="40">
        <v>0</v>
      </c>
    </row>
    <row r="2304" spans="1:19" x14ac:dyDescent="0.35">
      <c r="A2304" s="38">
        <v>2667</v>
      </c>
      <c r="B2304" s="38" t="str">
        <f>_xlfn.XLOOKUP(A2304,'Model Modeshare by TAZ'!A:A,'Model Modeshare by TAZ'!B:B)</f>
        <v>Petaluma</v>
      </c>
      <c r="C2304" s="38" t="str">
        <f>_xlfn.XLOOKUP(A2304,'Model Modeshare by TAZ'!A:A,'Model Modeshare by TAZ'!D:D)</f>
        <v>NO</v>
      </c>
      <c r="D2304" s="6">
        <v>8</v>
      </c>
      <c r="E2304" s="6">
        <v>2561</v>
      </c>
      <c r="F2304" s="6">
        <v>6678</v>
      </c>
      <c r="G2304" s="6">
        <v>6815</v>
      </c>
      <c r="H2304" s="6">
        <v>3102</v>
      </c>
      <c r="I2304" s="6">
        <v>2184</v>
      </c>
      <c r="J2304" s="6">
        <v>377</v>
      </c>
      <c r="K2304" s="40">
        <v>522</v>
      </c>
      <c r="L2304" s="40">
        <v>203</v>
      </c>
      <c r="M2304" s="40">
        <v>2253</v>
      </c>
      <c r="N2304" s="40">
        <v>1356</v>
      </c>
      <c r="O2304" s="40">
        <v>488</v>
      </c>
      <c r="P2304" s="40">
        <v>275</v>
      </c>
      <c r="Q2304" s="40">
        <v>1</v>
      </c>
      <c r="R2304" s="40">
        <v>106</v>
      </c>
      <c r="S2304" s="40">
        <v>28</v>
      </c>
    </row>
    <row r="2305" spans="1:19" x14ac:dyDescent="0.35">
      <c r="A2305" s="38">
        <v>2668</v>
      </c>
      <c r="B2305" s="38" t="str">
        <f>_xlfn.XLOOKUP(A2305,'Model Modeshare by TAZ'!A:A,'Model Modeshare by TAZ'!B:B)</f>
        <v>Unincorporated</v>
      </c>
      <c r="C2305" s="38" t="str">
        <f>_xlfn.XLOOKUP(A2305,'Model Modeshare by TAZ'!A:A,'Model Modeshare by TAZ'!D:D)</f>
        <v>NO</v>
      </c>
      <c r="D2305" s="6">
        <v>8</v>
      </c>
      <c r="E2305" s="6">
        <v>5077</v>
      </c>
      <c r="F2305" s="6">
        <v>14124</v>
      </c>
      <c r="G2305" s="6">
        <v>14185</v>
      </c>
      <c r="H2305" s="6">
        <v>7185</v>
      </c>
      <c r="I2305" s="6">
        <v>4069</v>
      </c>
      <c r="J2305" s="6">
        <v>1008</v>
      </c>
      <c r="K2305" s="40">
        <v>1865</v>
      </c>
      <c r="L2305" s="40">
        <v>443</v>
      </c>
      <c r="M2305" s="40">
        <v>7568</v>
      </c>
      <c r="N2305" s="40">
        <v>580</v>
      </c>
      <c r="O2305" s="40">
        <v>3178</v>
      </c>
      <c r="P2305" s="40">
        <v>1174</v>
      </c>
      <c r="Q2305" s="40">
        <v>58</v>
      </c>
      <c r="R2305" s="40">
        <v>2276</v>
      </c>
      <c r="S2305" s="40">
        <v>303</v>
      </c>
    </row>
    <row r="2306" spans="1:19" x14ac:dyDescent="0.35">
      <c r="A2306" s="38">
        <v>2669</v>
      </c>
      <c r="B2306" s="38" t="str">
        <f>_xlfn.XLOOKUP(A2306,'Model Modeshare by TAZ'!A:A,'Model Modeshare by TAZ'!B:B)</f>
        <v>Unincorporated</v>
      </c>
      <c r="C2306" s="38" t="str">
        <f>_xlfn.XLOOKUP(A2306,'Model Modeshare by TAZ'!A:A,'Model Modeshare by TAZ'!D:D)</f>
        <v>NO</v>
      </c>
      <c r="D2306" s="6">
        <v>8</v>
      </c>
      <c r="E2306" s="6">
        <v>2799</v>
      </c>
      <c r="F2306" s="6">
        <v>7019</v>
      </c>
      <c r="G2306" s="6">
        <v>7075</v>
      </c>
      <c r="H2306" s="6">
        <v>3220</v>
      </c>
      <c r="I2306" s="6">
        <v>1575</v>
      </c>
      <c r="J2306" s="6">
        <v>1224</v>
      </c>
      <c r="K2306" s="40">
        <v>3431</v>
      </c>
      <c r="L2306" s="40">
        <v>944</v>
      </c>
      <c r="M2306" s="40">
        <v>8075</v>
      </c>
      <c r="N2306" s="40">
        <v>1062</v>
      </c>
      <c r="O2306" s="40">
        <v>2183</v>
      </c>
      <c r="P2306" s="40">
        <v>1320</v>
      </c>
      <c r="Q2306" s="40">
        <v>220</v>
      </c>
      <c r="R2306" s="40">
        <v>2003</v>
      </c>
      <c r="S2306" s="40">
        <v>1285</v>
      </c>
    </row>
    <row r="2307" spans="1:19" x14ac:dyDescent="0.35">
      <c r="A2307" s="38">
        <v>2670</v>
      </c>
      <c r="B2307" s="38" t="str">
        <f>_xlfn.XLOOKUP(A2307,'Model Modeshare by TAZ'!A:A,'Model Modeshare by TAZ'!B:B)</f>
        <v>Cotati</v>
      </c>
      <c r="C2307" s="38" t="str">
        <f>_xlfn.XLOOKUP(A2307,'Model Modeshare by TAZ'!A:A,'Model Modeshare by TAZ'!D:D)</f>
        <v>NO</v>
      </c>
      <c r="D2307" s="6">
        <v>8</v>
      </c>
      <c r="E2307" s="6">
        <v>1322</v>
      </c>
      <c r="F2307" s="6">
        <v>3298</v>
      </c>
      <c r="G2307" s="6">
        <v>3303</v>
      </c>
      <c r="H2307" s="6">
        <v>1764</v>
      </c>
      <c r="I2307" s="6">
        <v>885</v>
      </c>
      <c r="J2307" s="6">
        <v>437</v>
      </c>
      <c r="K2307" s="40">
        <v>662</v>
      </c>
      <c r="L2307" s="40">
        <v>75</v>
      </c>
      <c r="M2307" s="40">
        <v>960</v>
      </c>
      <c r="N2307" s="40">
        <v>300</v>
      </c>
      <c r="O2307" s="40">
        <v>316</v>
      </c>
      <c r="P2307" s="40">
        <v>273</v>
      </c>
      <c r="Q2307" s="40">
        <v>6</v>
      </c>
      <c r="R2307" s="40">
        <v>56</v>
      </c>
      <c r="S2307" s="40">
        <v>9</v>
      </c>
    </row>
    <row r="2308" spans="1:19" x14ac:dyDescent="0.35">
      <c r="A2308" s="38">
        <v>2671</v>
      </c>
      <c r="B2308" s="38" t="str">
        <f>_xlfn.XLOOKUP(A2308,'Model Modeshare by TAZ'!A:A,'Model Modeshare by TAZ'!B:B)</f>
        <v>Cotati</v>
      </c>
      <c r="C2308" s="38" t="str">
        <f>_xlfn.XLOOKUP(A2308,'Model Modeshare by TAZ'!A:A,'Model Modeshare by TAZ'!D:D)</f>
        <v>NO</v>
      </c>
      <c r="D2308" s="6">
        <v>8</v>
      </c>
      <c r="E2308" s="6">
        <v>1896</v>
      </c>
      <c r="F2308" s="6">
        <v>4660</v>
      </c>
      <c r="G2308" s="6">
        <v>4672</v>
      </c>
      <c r="H2308" s="6">
        <v>2458</v>
      </c>
      <c r="I2308" s="6">
        <v>1530</v>
      </c>
      <c r="J2308" s="6">
        <v>366</v>
      </c>
      <c r="K2308" s="40">
        <v>433</v>
      </c>
      <c r="L2308" s="40">
        <v>59</v>
      </c>
      <c r="M2308" s="40">
        <v>587</v>
      </c>
      <c r="N2308" s="40">
        <v>183</v>
      </c>
      <c r="O2308" s="40">
        <v>204</v>
      </c>
      <c r="P2308" s="40">
        <v>157</v>
      </c>
      <c r="Q2308" s="40">
        <v>3</v>
      </c>
      <c r="R2308" s="40">
        <v>33</v>
      </c>
      <c r="S2308" s="40">
        <v>7</v>
      </c>
    </row>
    <row r="2309" spans="1:19" x14ac:dyDescent="0.35">
      <c r="A2309" s="38">
        <v>2672</v>
      </c>
      <c r="B2309" s="38" t="str">
        <f>_xlfn.XLOOKUP(A2309,'Model Modeshare by TAZ'!A:A,'Model Modeshare by TAZ'!B:B)</f>
        <v>Unincorporated</v>
      </c>
      <c r="C2309" s="38" t="str">
        <f>_xlfn.XLOOKUP(A2309,'Model Modeshare by TAZ'!A:A,'Model Modeshare by TAZ'!D:D)</f>
        <v>NO</v>
      </c>
      <c r="D2309" s="6">
        <v>8</v>
      </c>
      <c r="E2309" s="6">
        <v>2272</v>
      </c>
      <c r="F2309" s="6">
        <v>6500</v>
      </c>
      <c r="G2309" s="6">
        <v>6500</v>
      </c>
      <c r="H2309" s="6">
        <v>3502</v>
      </c>
      <c r="I2309" s="6">
        <v>1323</v>
      </c>
      <c r="J2309" s="6">
        <v>949</v>
      </c>
      <c r="K2309" s="40">
        <v>481</v>
      </c>
      <c r="L2309" s="40">
        <v>281</v>
      </c>
      <c r="M2309" s="40">
        <v>844</v>
      </c>
      <c r="N2309" s="40">
        <v>36</v>
      </c>
      <c r="O2309" s="40">
        <v>400</v>
      </c>
      <c r="P2309" s="40">
        <v>77</v>
      </c>
      <c r="Q2309" s="40">
        <v>1</v>
      </c>
      <c r="R2309" s="40">
        <v>303</v>
      </c>
      <c r="S2309" s="40">
        <v>27</v>
      </c>
    </row>
    <row r="2310" spans="1:19" x14ac:dyDescent="0.35">
      <c r="A2310" s="38">
        <v>2673</v>
      </c>
      <c r="B2310" s="38" t="str">
        <f>_xlfn.XLOOKUP(A2310,'Model Modeshare by TAZ'!A:A,'Model Modeshare by TAZ'!B:B)</f>
        <v>Unincorporated</v>
      </c>
      <c r="C2310" s="38" t="str">
        <f>_xlfn.XLOOKUP(A2310,'Model Modeshare by TAZ'!A:A,'Model Modeshare by TAZ'!D:D)</f>
        <v>NO</v>
      </c>
      <c r="D2310" s="6">
        <v>8</v>
      </c>
      <c r="E2310" s="6">
        <v>1968</v>
      </c>
      <c r="F2310" s="6">
        <v>5249</v>
      </c>
      <c r="G2310" s="6">
        <v>5249</v>
      </c>
      <c r="H2310" s="6">
        <v>2828</v>
      </c>
      <c r="I2310" s="6">
        <v>1813</v>
      </c>
      <c r="J2310" s="6">
        <v>155</v>
      </c>
      <c r="K2310" s="40">
        <v>1648</v>
      </c>
      <c r="L2310" s="40">
        <v>78</v>
      </c>
      <c r="M2310" s="40">
        <v>281</v>
      </c>
      <c r="N2310" s="40">
        <v>22</v>
      </c>
      <c r="O2310" s="40">
        <v>132</v>
      </c>
      <c r="P2310" s="40">
        <v>46</v>
      </c>
      <c r="Q2310" s="40">
        <v>0</v>
      </c>
      <c r="R2310" s="40">
        <v>66</v>
      </c>
      <c r="S2310" s="40">
        <v>15</v>
      </c>
    </row>
    <row r="2311" spans="1:19" x14ac:dyDescent="0.35">
      <c r="A2311" s="38">
        <v>2674</v>
      </c>
      <c r="B2311" s="38" t="str">
        <f>_xlfn.XLOOKUP(A2311,'Model Modeshare by TAZ'!A:A,'Model Modeshare by TAZ'!B:B)</f>
        <v>Rohnert Park</v>
      </c>
      <c r="C2311" s="38" t="str">
        <f>_xlfn.XLOOKUP(A2311,'Model Modeshare by TAZ'!A:A,'Model Modeshare by TAZ'!D:D)</f>
        <v>NO</v>
      </c>
      <c r="D2311" s="6">
        <v>8</v>
      </c>
      <c r="E2311" s="6">
        <v>1491</v>
      </c>
      <c r="F2311" s="6">
        <v>4219</v>
      </c>
      <c r="G2311" s="6">
        <v>5594</v>
      </c>
      <c r="H2311" s="6">
        <v>2779</v>
      </c>
      <c r="I2311" s="6">
        <v>1035</v>
      </c>
      <c r="J2311" s="6">
        <v>456</v>
      </c>
      <c r="K2311" s="40">
        <v>182</v>
      </c>
      <c r="L2311" s="40">
        <v>279</v>
      </c>
      <c r="M2311" s="40">
        <v>546</v>
      </c>
      <c r="N2311" s="40">
        <v>10</v>
      </c>
      <c r="O2311" s="40">
        <v>257</v>
      </c>
      <c r="P2311" s="40">
        <v>191</v>
      </c>
      <c r="Q2311" s="40">
        <v>0</v>
      </c>
      <c r="R2311" s="40">
        <v>82</v>
      </c>
      <c r="S2311" s="40">
        <v>7</v>
      </c>
    </row>
    <row r="2312" spans="1:19" x14ac:dyDescent="0.35">
      <c r="A2312" s="38">
        <v>2675</v>
      </c>
      <c r="B2312" s="38" t="str">
        <f>_xlfn.XLOOKUP(A2312,'Model Modeshare by TAZ'!A:A,'Model Modeshare by TAZ'!B:B)</f>
        <v>Rohnert Park</v>
      </c>
      <c r="C2312" s="38" t="str">
        <f>_xlfn.XLOOKUP(A2312,'Model Modeshare by TAZ'!A:A,'Model Modeshare by TAZ'!D:D)</f>
        <v>NO</v>
      </c>
      <c r="D2312" s="6">
        <v>8</v>
      </c>
      <c r="E2312" s="6">
        <v>1603</v>
      </c>
      <c r="F2312" s="6">
        <v>4702</v>
      </c>
      <c r="G2312" s="6">
        <v>4724</v>
      </c>
      <c r="H2312" s="6">
        <v>2365</v>
      </c>
      <c r="I2312" s="6">
        <v>908</v>
      </c>
      <c r="J2312" s="6">
        <v>695</v>
      </c>
      <c r="K2312" s="40">
        <v>176</v>
      </c>
      <c r="L2312" s="40">
        <v>45</v>
      </c>
      <c r="M2312" s="40">
        <v>342</v>
      </c>
      <c r="N2312" s="40">
        <v>16</v>
      </c>
      <c r="O2312" s="40">
        <v>172</v>
      </c>
      <c r="P2312" s="40">
        <v>118</v>
      </c>
      <c r="Q2312" s="40">
        <v>0</v>
      </c>
      <c r="R2312" s="40">
        <v>2</v>
      </c>
      <c r="S2312" s="40">
        <v>35</v>
      </c>
    </row>
    <row r="2313" spans="1:19" x14ac:dyDescent="0.35">
      <c r="A2313" s="38">
        <v>2676</v>
      </c>
      <c r="B2313" s="38" t="str">
        <f>_xlfn.XLOOKUP(A2313,'Model Modeshare by TAZ'!A:A,'Model Modeshare by TAZ'!B:B)</f>
        <v>Rohnert Park</v>
      </c>
      <c r="C2313" s="38" t="str">
        <f>_xlfn.XLOOKUP(A2313,'Model Modeshare by TAZ'!A:A,'Model Modeshare by TAZ'!D:D)</f>
        <v>NO</v>
      </c>
      <c r="D2313" s="6">
        <v>8</v>
      </c>
      <c r="E2313" s="6">
        <v>2366</v>
      </c>
      <c r="F2313" s="6">
        <v>5887</v>
      </c>
      <c r="G2313" s="6">
        <v>5887</v>
      </c>
      <c r="H2313" s="6">
        <v>2843</v>
      </c>
      <c r="I2313" s="6">
        <v>715</v>
      </c>
      <c r="J2313" s="6">
        <v>1651</v>
      </c>
      <c r="K2313" s="40">
        <v>178</v>
      </c>
      <c r="L2313" s="40">
        <v>137</v>
      </c>
      <c r="M2313" s="40">
        <v>2401</v>
      </c>
      <c r="N2313" s="40">
        <v>521</v>
      </c>
      <c r="O2313" s="40">
        <v>657</v>
      </c>
      <c r="P2313" s="40">
        <v>694</v>
      </c>
      <c r="Q2313" s="40">
        <v>1</v>
      </c>
      <c r="R2313" s="40">
        <v>449</v>
      </c>
      <c r="S2313" s="40">
        <v>78</v>
      </c>
    </row>
    <row r="2314" spans="1:19" x14ac:dyDescent="0.35">
      <c r="A2314" s="38">
        <v>2677</v>
      </c>
      <c r="B2314" s="38" t="str">
        <f>_xlfn.XLOOKUP(A2314,'Model Modeshare by TAZ'!A:A,'Model Modeshare by TAZ'!B:B)</f>
        <v>Rohnert Park</v>
      </c>
      <c r="C2314" s="38" t="str">
        <f>_xlfn.XLOOKUP(A2314,'Model Modeshare by TAZ'!A:A,'Model Modeshare by TAZ'!D:D)</f>
        <v>NO</v>
      </c>
      <c r="D2314" s="6">
        <v>8</v>
      </c>
      <c r="E2314" s="6">
        <v>1550</v>
      </c>
      <c r="F2314" s="6">
        <v>3512</v>
      </c>
      <c r="G2314" s="6">
        <v>3512</v>
      </c>
      <c r="H2314" s="6">
        <v>2019</v>
      </c>
      <c r="I2314" s="6">
        <v>739</v>
      </c>
      <c r="J2314" s="6">
        <v>811</v>
      </c>
      <c r="K2314" s="40">
        <v>172</v>
      </c>
      <c r="L2314" s="40">
        <v>19</v>
      </c>
      <c r="M2314" s="40">
        <v>599</v>
      </c>
      <c r="N2314" s="40">
        <v>129</v>
      </c>
      <c r="O2314" s="40">
        <v>166</v>
      </c>
      <c r="P2314" s="40">
        <v>163</v>
      </c>
      <c r="Q2314" s="40">
        <v>0</v>
      </c>
      <c r="R2314" s="40">
        <v>120</v>
      </c>
      <c r="S2314" s="40">
        <v>21</v>
      </c>
    </row>
    <row r="2315" spans="1:19" x14ac:dyDescent="0.35">
      <c r="A2315" s="38">
        <v>2678</v>
      </c>
      <c r="B2315" s="38" t="str">
        <f>_xlfn.XLOOKUP(A2315,'Model Modeshare by TAZ'!A:A,'Model Modeshare by TAZ'!B:B)</f>
        <v>Rohnert Park</v>
      </c>
      <c r="C2315" s="38" t="str">
        <f>_xlfn.XLOOKUP(A2315,'Model Modeshare by TAZ'!A:A,'Model Modeshare by TAZ'!D:D)</f>
        <v>NO</v>
      </c>
      <c r="D2315" s="6">
        <v>8</v>
      </c>
      <c r="E2315" s="6">
        <v>1864</v>
      </c>
      <c r="F2315" s="6">
        <v>4464</v>
      </c>
      <c r="G2315" s="6">
        <v>4480</v>
      </c>
      <c r="H2315" s="6">
        <v>2133</v>
      </c>
      <c r="I2315" s="6">
        <v>1110</v>
      </c>
      <c r="J2315" s="6">
        <v>754</v>
      </c>
      <c r="K2315" s="40">
        <v>316</v>
      </c>
      <c r="L2315" s="40">
        <v>170</v>
      </c>
      <c r="M2315" s="40">
        <v>2212</v>
      </c>
      <c r="N2315" s="40">
        <v>204</v>
      </c>
      <c r="O2315" s="40">
        <v>500</v>
      </c>
      <c r="P2315" s="40">
        <v>519</v>
      </c>
      <c r="Q2315" s="40">
        <v>21</v>
      </c>
      <c r="R2315" s="40">
        <v>575</v>
      </c>
      <c r="S2315" s="40">
        <v>393</v>
      </c>
    </row>
    <row r="2316" spans="1:19" x14ac:dyDescent="0.35">
      <c r="A2316" s="38">
        <v>2679</v>
      </c>
      <c r="B2316" s="38" t="str">
        <f>_xlfn.XLOOKUP(A2316,'Model Modeshare by TAZ'!A:A,'Model Modeshare by TAZ'!B:B)</f>
        <v>Rohnert Park</v>
      </c>
      <c r="C2316" s="38" t="str">
        <f>_xlfn.XLOOKUP(A2316,'Model Modeshare by TAZ'!A:A,'Model Modeshare by TAZ'!D:D)</f>
        <v>NO</v>
      </c>
      <c r="D2316" s="6">
        <v>8</v>
      </c>
      <c r="E2316" s="6">
        <v>2008</v>
      </c>
      <c r="F2316" s="6">
        <v>5838</v>
      </c>
      <c r="G2316" s="6">
        <v>5838</v>
      </c>
      <c r="H2316" s="6">
        <v>3378</v>
      </c>
      <c r="I2316" s="6">
        <v>1835</v>
      </c>
      <c r="J2316" s="6">
        <v>173</v>
      </c>
      <c r="K2316" s="40">
        <v>286</v>
      </c>
      <c r="L2316" s="40">
        <v>40</v>
      </c>
      <c r="M2316" s="40">
        <v>1011</v>
      </c>
      <c r="N2316" s="40">
        <v>94</v>
      </c>
      <c r="O2316" s="40">
        <v>235</v>
      </c>
      <c r="P2316" s="40">
        <v>231</v>
      </c>
      <c r="Q2316" s="40">
        <v>9</v>
      </c>
      <c r="R2316" s="40">
        <v>262</v>
      </c>
      <c r="S2316" s="40">
        <v>179</v>
      </c>
    </row>
    <row r="2317" spans="1:19" x14ac:dyDescent="0.35">
      <c r="A2317" s="38">
        <v>2680</v>
      </c>
      <c r="B2317" s="38" t="str">
        <f>_xlfn.XLOOKUP(A2317,'Model Modeshare by TAZ'!A:A,'Model Modeshare by TAZ'!B:B)</f>
        <v>Unincorporated</v>
      </c>
      <c r="C2317" s="38" t="str">
        <f>_xlfn.XLOOKUP(A2317,'Model Modeshare by TAZ'!A:A,'Model Modeshare by TAZ'!D:D)</f>
        <v>NO</v>
      </c>
      <c r="D2317" s="6">
        <v>8</v>
      </c>
      <c r="E2317" s="6">
        <v>3329</v>
      </c>
      <c r="F2317" s="6">
        <v>9297</v>
      </c>
      <c r="G2317" s="6">
        <v>9313</v>
      </c>
      <c r="H2317" s="6">
        <v>4795</v>
      </c>
      <c r="I2317" s="6">
        <v>927</v>
      </c>
      <c r="J2317" s="6">
        <v>2402</v>
      </c>
      <c r="K2317" s="40">
        <v>476</v>
      </c>
      <c r="L2317" s="40">
        <v>600</v>
      </c>
      <c r="M2317" s="40">
        <v>6726</v>
      </c>
      <c r="N2317" s="40">
        <v>2392</v>
      </c>
      <c r="O2317" s="40">
        <v>2396</v>
      </c>
      <c r="P2317" s="40">
        <v>1067</v>
      </c>
      <c r="Q2317" s="40">
        <v>55</v>
      </c>
      <c r="R2317" s="40">
        <v>523</v>
      </c>
      <c r="S2317" s="40">
        <v>293</v>
      </c>
    </row>
    <row r="2318" spans="1:19" x14ac:dyDescent="0.35">
      <c r="A2318" s="38">
        <v>2681</v>
      </c>
      <c r="B2318" s="38" t="str">
        <f>_xlfn.XLOOKUP(A2318,'Model Modeshare by TAZ'!A:A,'Model Modeshare by TAZ'!B:B)</f>
        <v>Unincorporated</v>
      </c>
      <c r="C2318" s="38" t="str">
        <f>_xlfn.XLOOKUP(A2318,'Model Modeshare by TAZ'!A:A,'Model Modeshare by TAZ'!D:D)</f>
        <v>NO</v>
      </c>
      <c r="D2318" s="6">
        <v>8</v>
      </c>
      <c r="E2318" s="6">
        <v>2419</v>
      </c>
      <c r="F2318" s="6">
        <v>7420</v>
      </c>
      <c r="G2318" s="6">
        <v>7483</v>
      </c>
      <c r="H2318" s="6">
        <v>3636</v>
      </c>
      <c r="I2318" s="6">
        <v>1854</v>
      </c>
      <c r="J2318" s="6">
        <v>565</v>
      </c>
      <c r="K2318" s="40">
        <v>1333</v>
      </c>
      <c r="L2318" s="40">
        <v>88</v>
      </c>
      <c r="M2318" s="40">
        <v>1677</v>
      </c>
      <c r="N2318" s="40">
        <v>596</v>
      </c>
      <c r="O2318" s="40">
        <v>600</v>
      </c>
      <c r="P2318" s="40">
        <v>267</v>
      </c>
      <c r="Q2318" s="40">
        <v>16</v>
      </c>
      <c r="R2318" s="40">
        <v>128</v>
      </c>
      <c r="S2318" s="40">
        <v>70</v>
      </c>
    </row>
    <row r="2319" spans="1:19" x14ac:dyDescent="0.35">
      <c r="A2319" s="38">
        <v>2682</v>
      </c>
      <c r="B2319" s="38" t="str">
        <f>_xlfn.XLOOKUP(A2319,'Model Modeshare by TAZ'!A:A,'Model Modeshare by TAZ'!B:B)</f>
        <v>Unincorporated</v>
      </c>
      <c r="C2319" s="38" t="str">
        <f>_xlfn.XLOOKUP(A2319,'Model Modeshare by TAZ'!A:A,'Model Modeshare by TAZ'!D:D)</f>
        <v>NO</v>
      </c>
      <c r="D2319" s="6">
        <v>8</v>
      </c>
      <c r="E2319" s="6">
        <v>2977</v>
      </c>
      <c r="F2319" s="6">
        <v>7093</v>
      </c>
      <c r="G2319" s="6">
        <v>7113</v>
      </c>
      <c r="H2319" s="6">
        <v>3561</v>
      </c>
      <c r="I2319" s="6">
        <v>2108</v>
      </c>
      <c r="J2319" s="6">
        <v>869</v>
      </c>
      <c r="K2319" s="40">
        <v>1772</v>
      </c>
      <c r="L2319" s="40">
        <v>57</v>
      </c>
      <c r="M2319" s="40">
        <v>1693</v>
      </c>
      <c r="N2319" s="40">
        <v>611</v>
      </c>
      <c r="O2319" s="40">
        <v>449</v>
      </c>
      <c r="P2319" s="40">
        <v>422</v>
      </c>
      <c r="Q2319" s="40">
        <v>11</v>
      </c>
      <c r="R2319" s="40">
        <v>193</v>
      </c>
      <c r="S2319" s="40">
        <v>9</v>
      </c>
    </row>
    <row r="2320" spans="1:19" x14ac:dyDescent="0.35">
      <c r="A2320" s="38">
        <v>2683</v>
      </c>
      <c r="B2320" s="38" t="str">
        <f>_xlfn.XLOOKUP(A2320,'Model Modeshare by TAZ'!A:A,'Model Modeshare by TAZ'!B:B)</f>
        <v>Santa Rosa</v>
      </c>
      <c r="C2320" s="38" t="str">
        <f>_xlfn.XLOOKUP(A2320,'Model Modeshare by TAZ'!A:A,'Model Modeshare by TAZ'!D:D)</f>
        <v>NO</v>
      </c>
      <c r="D2320" s="6">
        <v>8</v>
      </c>
      <c r="E2320" s="6">
        <v>1316</v>
      </c>
      <c r="F2320" s="6">
        <v>3323</v>
      </c>
      <c r="G2320" s="6">
        <v>3457</v>
      </c>
      <c r="H2320" s="6">
        <v>1783</v>
      </c>
      <c r="I2320" s="6">
        <v>1276</v>
      </c>
      <c r="J2320" s="6">
        <v>40</v>
      </c>
      <c r="K2320" s="40">
        <v>354</v>
      </c>
      <c r="L2320" s="40">
        <v>27</v>
      </c>
      <c r="M2320" s="40">
        <v>444</v>
      </c>
      <c r="N2320" s="40">
        <v>33</v>
      </c>
      <c r="O2320" s="40">
        <v>286</v>
      </c>
      <c r="P2320" s="40">
        <v>105</v>
      </c>
      <c r="Q2320" s="40">
        <v>4</v>
      </c>
      <c r="R2320" s="40">
        <v>0</v>
      </c>
      <c r="S2320" s="40">
        <v>15</v>
      </c>
    </row>
    <row r="2321" spans="1:19" x14ac:dyDescent="0.35">
      <c r="A2321" s="38">
        <v>2684</v>
      </c>
      <c r="B2321" s="38" t="str">
        <f>_xlfn.XLOOKUP(A2321,'Model Modeshare by TAZ'!A:A,'Model Modeshare by TAZ'!B:B)</f>
        <v>Unincorporated</v>
      </c>
      <c r="C2321" s="38" t="str">
        <f>_xlfn.XLOOKUP(A2321,'Model Modeshare by TAZ'!A:A,'Model Modeshare by TAZ'!D:D)</f>
        <v>NO</v>
      </c>
      <c r="D2321" s="6">
        <v>8</v>
      </c>
      <c r="E2321" s="6">
        <v>1377</v>
      </c>
      <c r="F2321" s="6">
        <v>3403</v>
      </c>
      <c r="G2321" s="6">
        <v>3435</v>
      </c>
      <c r="H2321" s="6">
        <v>1552</v>
      </c>
      <c r="I2321" s="6">
        <v>1375</v>
      </c>
      <c r="J2321" s="6">
        <v>2</v>
      </c>
      <c r="K2321" s="40">
        <v>1203</v>
      </c>
      <c r="L2321" s="40">
        <v>24</v>
      </c>
      <c r="M2321" s="40">
        <v>234</v>
      </c>
      <c r="N2321" s="40">
        <v>20</v>
      </c>
      <c r="O2321" s="40">
        <v>150</v>
      </c>
      <c r="P2321" s="40">
        <v>54</v>
      </c>
      <c r="Q2321" s="40">
        <v>3</v>
      </c>
      <c r="R2321" s="40">
        <v>0</v>
      </c>
      <c r="S2321" s="40">
        <v>7</v>
      </c>
    </row>
    <row r="2322" spans="1:19" x14ac:dyDescent="0.35">
      <c r="A2322" s="38">
        <v>2685</v>
      </c>
      <c r="B2322" s="38" t="str">
        <f>_xlfn.XLOOKUP(A2322,'Model Modeshare by TAZ'!A:A,'Model Modeshare by TAZ'!B:B)</f>
        <v>Unincorporated</v>
      </c>
      <c r="C2322" s="38" t="str">
        <f>_xlfn.XLOOKUP(A2322,'Model Modeshare by TAZ'!A:A,'Model Modeshare by TAZ'!D:D)</f>
        <v>NO</v>
      </c>
      <c r="D2322" s="6">
        <v>8</v>
      </c>
      <c r="E2322" s="6">
        <v>3541</v>
      </c>
      <c r="F2322" s="6">
        <v>5982</v>
      </c>
      <c r="G2322" s="6">
        <v>6107</v>
      </c>
      <c r="H2322" s="6">
        <v>1569</v>
      </c>
      <c r="I2322" s="6">
        <v>3273</v>
      </c>
      <c r="J2322" s="6">
        <v>268</v>
      </c>
      <c r="K2322" s="40">
        <v>3821</v>
      </c>
      <c r="L2322" s="40">
        <v>330</v>
      </c>
      <c r="M2322" s="40">
        <v>1058</v>
      </c>
      <c r="N2322" s="40">
        <v>125</v>
      </c>
      <c r="O2322" s="40">
        <v>253</v>
      </c>
      <c r="P2322" s="40">
        <v>546</v>
      </c>
      <c r="Q2322" s="40">
        <v>82</v>
      </c>
      <c r="R2322" s="40">
        <v>20</v>
      </c>
      <c r="S2322" s="40">
        <v>32</v>
      </c>
    </row>
    <row r="2323" spans="1:19" x14ac:dyDescent="0.35">
      <c r="A2323" s="38">
        <v>2686</v>
      </c>
      <c r="B2323" s="38" t="str">
        <f>_xlfn.XLOOKUP(A2323,'Model Modeshare by TAZ'!A:A,'Model Modeshare by TAZ'!B:B)</f>
        <v>Unincorporated</v>
      </c>
      <c r="C2323" s="38" t="str">
        <f>_xlfn.XLOOKUP(A2323,'Model Modeshare by TAZ'!A:A,'Model Modeshare by TAZ'!D:D)</f>
        <v>NO</v>
      </c>
      <c r="D2323" s="6">
        <v>8</v>
      </c>
      <c r="E2323" s="6">
        <v>3176</v>
      </c>
      <c r="F2323" s="6">
        <v>8073</v>
      </c>
      <c r="G2323" s="6">
        <v>8121</v>
      </c>
      <c r="H2323" s="6">
        <v>4009</v>
      </c>
      <c r="I2323" s="6">
        <v>3081</v>
      </c>
      <c r="J2323" s="6">
        <v>95</v>
      </c>
      <c r="K2323" s="40">
        <v>8901</v>
      </c>
      <c r="L2323" s="40">
        <v>574</v>
      </c>
      <c r="M2323" s="40">
        <v>1171</v>
      </c>
      <c r="N2323" s="40">
        <v>305</v>
      </c>
      <c r="O2323" s="40">
        <v>489</v>
      </c>
      <c r="P2323" s="40">
        <v>261</v>
      </c>
      <c r="Q2323" s="40">
        <v>54</v>
      </c>
      <c r="R2323" s="40">
        <v>21</v>
      </c>
      <c r="S2323" s="40">
        <v>42</v>
      </c>
    </row>
    <row r="2324" spans="1:19" x14ac:dyDescent="0.35">
      <c r="A2324" s="38">
        <v>2687</v>
      </c>
      <c r="B2324" s="38" t="str">
        <f>_xlfn.XLOOKUP(A2324,'Model Modeshare by TAZ'!A:A,'Model Modeshare by TAZ'!B:B)</f>
        <v>Santa Rosa</v>
      </c>
      <c r="C2324" s="38" t="str">
        <f>_xlfn.XLOOKUP(A2324,'Model Modeshare by TAZ'!A:A,'Model Modeshare by TAZ'!D:D)</f>
        <v>NO</v>
      </c>
      <c r="D2324" s="6">
        <v>8</v>
      </c>
      <c r="E2324" s="6">
        <v>1513</v>
      </c>
      <c r="F2324" s="6">
        <v>3390</v>
      </c>
      <c r="G2324" s="6">
        <v>3453</v>
      </c>
      <c r="H2324" s="6">
        <v>1818</v>
      </c>
      <c r="I2324" s="6">
        <v>1016</v>
      </c>
      <c r="J2324" s="6">
        <v>497</v>
      </c>
      <c r="K2324" s="40">
        <v>367</v>
      </c>
      <c r="L2324" s="40">
        <v>65</v>
      </c>
      <c r="M2324" s="40">
        <v>368</v>
      </c>
      <c r="N2324" s="40">
        <v>106</v>
      </c>
      <c r="O2324" s="40">
        <v>114</v>
      </c>
      <c r="P2324" s="40">
        <v>104</v>
      </c>
      <c r="Q2324" s="40">
        <v>4</v>
      </c>
      <c r="R2324" s="40">
        <v>37</v>
      </c>
      <c r="S2324" s="40">
        <v>3</v>
      </c>
    </row>
    <row r="2325" spans="1:19" x14ac:dyDescent="0.35">
      <c r="A2325" s="38">
        <v>2688</v>
      </c>
      <c r="B2325" s="38" t="str">
        <f>_xlfn.XLOOKUP(A2325,'Model Modeshare by TAZ'!A:A,'Model Modeshare by TAZ'!B:B)</f>
        <v>Santa Rosa</v>
      </c>
      <c r="C2325" s="38" t="str">
        <f>_xlfn.XLOOKUP(A2325,'Model Modeshare by TAZ'!A:A,'Model Modeshare by TAZ'!D:D)</f>
        <v>NO</v>
      </c>
      <c r="D2325" s="6">
        <v>8</v>
      </c>
      <c r="E2325" s="6">
        <v>2738</v>
      </c>
      <c r="F2325" s="6">
        <v>6148</v>
      </c>
      <c r="G2325" s="6">
        <v>6220</v>
      </c>
      <c r="H2325" s="6">
        <v>2693</v>
      </c>
      <c r="I2325" s="6">
        <v>1668</v>
      </c>
      <c r="J2325" s="6">
        <v>1070</v>
      </c>
      <c r="K2325" s="40">
        <v>606</v>
      </c>
      <c r="L2325" s="40">
        <v>73</v>
      </c>
      <c r="M2325" s="40">
        <v>1437</v>
      </c>
      <c r="N2325" s="40">
        <v>299</v>
      </c>
      <c r="O2325" s="40">
        <v>633</v>
      </c>
      <c r="P2325" s="40">
        <v>428</v>
      </c>
      <c r="Q2325" s="40">
        <v>4</v>
      </c>
      <c r="R2325" s="40">
        <v>26</v>
      </c>
      <c r="S2325" s="40">
        <v>46</v>
      </c>
    </row>
    <row r="2326" spans="1:19" x14ac:dyDescent="0.35">
      <c r="A2326" s="38">
        <v>2689</v>
      </c>
      <c r="B2326" s="38" t="str">
        <f>_xlfn.XLOOKUP(A2326,'Model Modeshare by TAZ'!A:A,'Model Modeshare by TAZ'!B:B)</f>
        <v>Santa Rosa</v>
      </c>
      <c r="C2326" s="38" t="str">
        <f>_xlfn.XLOOKUP(A2326,'Model Modeshare by TAZ'!A:A,'Model Modeshare by TAZ'!D:D)</f>
        <v>NO</v>
      </c>
      <c r="D2326" s="6">
        <v>8</v>
      </c>
      <c r="E2326" s="6">
        <v>1671</v>
      </c>
      <c r="F2326" s="6">
        <v>4460</v>
      </c>
      <c r="G2326" s="6">
        <v>4485</v>
      </c>
      <c r="H2326" s="6">
        <v>2422</v>
      </c>
      <c r="I2326" s="6">
        <v>1301</v>
      </c>
      <c r="J2326" s="6">
        <v>370</v>
      </c>
      <c r="K2326" s="40">
        <v>452</v>
      </c>
      <c r="L2326" s="40">
        <v>36</v>
      </c>
      <c r="M2326" s="40">
        <v>806</v>
      </c>
      <c r="N2326" s="40">
        <v>232</v>
      </c>
      <c r="O2326" s="40">
        <v>250</v>
      </c>
      <c r="P2326" s="40">
        <v>229</v>
      </c>
      <c r="Q2326" s="40">
        <v>9</v>
      </c>
      <c r="R2326" s="40">
        <v>80</v>
      </c>
      <c r="S2326" s="40">
        <v>5</v>
      </c>
    </row>
    <row r="2327" spans="1:19" x14ac:dyDescent="0.35">
      <c r="A2327" s="38">
        <v>2690</v>
      </c>
      <c r="B2327" s="38" t="str">
        <f>_xlfn.XLOOKUP(A2327,'Model Modeshare by TAZ'!A:A,'Model Modeshare by TAZ'!B:B)</f>
        <v>Santa Rosa</v>
      </c>
      <c r="C2327" s="38" t="str">
        <f>_xlfn.XLOOKUP(A2327,'Model Modeshare by TAZ'!A:A,'Model Modeshare by TAZ'!D:D)</f>
        <v>NO</v>
      </c>
      <c r="D2327" s="6">
        <v>8</v>
      </c>
      <c r="E2327" s="6">
        <v>2697</v>
      </c>
      <c r="F2327" s="6">
        <v>6273</v>
      </c>
      <c r="G2327" s="6">
        <v>6573</v>
      </c>
      <c r="H2327" s="6">
        <v>2887</v>
      </c>
      <c r="I2327" s="6">
        <v>1560</v>
      </c>
      <c r="J2327" s="6">
        <v>1137</v>
      </c>
      <c r="K2327" s="40">
        <v>827</v>
      </c>
      <c r="L2327" s="40">
        <v>133</v>
      </c>
      <c r="M2327" s="40">
        <v>2158</v>
      </c>
      <c r="N2327" s="40">
        <v>762</v>
      </c>
      <c r="O2327" s="40">
        <v>1166</v>
      </c>
      <c r="P2327" s="40">
        <v>184</v>
      </c>
      <c r="Q2327" s="40">
        <v>21</v>
      </c>
      <c r="R2327" s="40">
        <v>21</v>
      </c>
      <c r="S2327" s="40">
        <v>4</v>
      </c>
    </row>
    <row r="2328" spans="1:19" x14ac:dyDescent="0.35">
      <c r="A2328" s="38">
        <v>2691</v>
      </c>
      <c r="B2328" s="38" t="str">
        <f>_xlfn.XLOOKUP(A2328,'Model Modeshare by TAZ'!A:A,'Model Modeshare by TAZ'!B:B)</f>
        <v>Santa Rosa</v>
      </c>
      <c r="C2328" s="38" t="str">
        <f>_xlfn.XLOOKUP(A2328,'Model Modeshare by TAZ'!A:A,'Model Modeshare by TAZ'!D:D)</f>
        <v>NO</v>
      </c>
      <c r="D2328" s="6">
        <v>8</v>
      </c>
      <c r="E2328" s="6">
        <v>2048</v>
      </c>
      <c r="F2328" s="6">
        <v>5006</v>
      </c>
      <c r="G2328" s="6">
        <v>5195</v>
      </c>
      <c r="H2328" s="6">
        <v>2893</v>
      </c>
      <c r="I2328" s="6">
        <v>1871</v>
      </c>
      <c r="J2328" s="6">
        <v>177</v>
      </c>
      <c r="K2328" s="40">
        <v>480</v>
      </c>
      <c r="L2328" s="40">
        <v>114</v>
      </c>
      <c r="M2328" s="40">
        <v>5108</v>
      </c>
      <c r="N2328" s="40">
        <v>956</v>
      </c>
      <c r="O2328" s="40">
        <v>3634</v>
      </c>
      <c r="P2328" s="40">
        <v>424</v>
      </c>
      <c r="Q2328" s="40">
        <v>8</v>
      </c>
      <c r="R2328" s="40">
        <v>82</v>
      </c>
      <c r="S2328" s="40">
        <v>4</v>
      </c>
    </row>
    <row r="2329" spans="1:19" x14ac:dyDescent="0.35">
      <c r="A2329" s="38">
        <v>2692</v>
      </c>
      <c r="B2329" s="38" t="str">
        <f>_xlfn.XLOOKUP(A2329,'Model Modeshare by TAZ'!A:A,'Model Modeshare by TAZ'!B:B)</f>
        <v>Santa Rosa</v>
      </c>
      <c r="C2329" s="38" t="str">
        <f>_xlfn.XLOOKUP(A2329,'Model Modeshare by TAZ'!A:A,'Model Modeshare by TAZ'!D:D)</f>
        <v>NO</v>
      </c>
      <c r="D2329" s="6">
        <v>8</v>
      </c>
      <c r="E2329" s="6">
        <v>1398</v>
      </c>
      <c r="F2329" s="6">
        <v>3103</v>
      </c>
      <c r="G2329" s="6">
        <v>3282</v>
      </c>
      <c r="H2329" s="6">
        <v>1610</v>
      </c>
      <c r="I2329" s="6">
        <v>795</v>
      </c>
      <c r="J2329" s="6">
        <v>603</v>
      </c>
      <c r="K2329" s="40">
        <v>151</v>
      </c>
      <c r="L2329" s="40">
        <v>62</v>
      </c>
      <c r="M2329" s="40">
        <v>953</v>
      </c>
      <c r="N2329" s="40">
        <v>447</v>
      </c>
      <c r="O2329" s="40">
        <v>98</v>
      </c>
      <c r="P2329" s="40">
        <v>257</v>
      </c>
      <c r="Q2329" s="40">
        <v>12</v>
      </c>
      <c r="R2329" s="40">
        <v>62</v>
      </c>
      <c r="S2329" s="40">
        <v>76</v>
      </c>
    </row>
    <row r="2330" spans="1:19" x14ac:dyDescent="0.35">
      <c r="A2330" s="38">
        <v>2693</v>
      </c>
      <c r="B2330" s="38" t="str">
        <f>_xlfn.XLOOKUP(A2330,'Model Modeshare by TAZ'!A:A,'Model Modeshare by TAZ'!B:B)</f>
        <v>Santa Rosa</v>
      </c>
      <c r="C2330" s="38" t="str">
        <f>_xlfn.XLOOKUP(A2330,'Model Modeshare by TAZ'!A:A,'Model Modeshare by TAZ'!D:D)</f>
        <v>NO</v>
      </c>
      <c r="D2330" s="6">
        <v>8</v>
      </c>
      <c r="E2330" s="6">
        <v>920</v>
      </c>
      <c r="F2330" s="6">
        <v>1749</v>
      </c>
      <c r="G2330" s="6">
        <v>1836</v>
      </c>
      <c r="H2330" s="6">
        <v>1091</v>
      </c>
      <c r="I2330" s="6">
        <v>170</v>
      </c>
      <c r="J2330" s="6">
        <v>750</v>
      </c>
      <c r="K2330" s="40">
        <v>73</v>
      </c>
      <c r="L2330" s="40">
        <v>226</v>
      </c>
      <c r="M2330" s="40">
        <v>9840</v>
      </c>
      <c r="N2330" s="40">
        <v>2836</v>
      </c>
      <c r="O2330" s="40">
        <v>2697</v>
      </c>
      <c r="P2330" s="40">
        <v>3785</v>
      </c>
      <c r="Q2330" s="40">
        <v>8</v>
      </c>
      <c r="R2330" s="40">
        <v>444</v>
      </c>
      <c r="S2330" s="40">
        <v>70</v>
      </c>
    </row>
    <row r="2331" spans="1:19" x14ac:dyDescent="0.35">
      <c r="A2331" s="38">
        <v>2694</v>
      </c>
      <c r="B2331" s="38" t="str">
        <f>_xlfn.XLOOKUP(A2331,'Model Modeshare by TAZ'!A:A,'Model Modeshare by TAZ'!B:B)</f>
        <v>Santa Rosa</v>
      </c>
      <c r="C2331" s="38" t="str">
        <f>_xlfn.XLOOKUP(A2331,'Model Modeshare by TAZ'!A:A,'Model Modeshare by TAZ'!D:D)</f>
        <v>NO</v>
      </c>
      <c r="D2331" s="6">
        <v>8</v>
      </c>
      <c r="E2331" s="6">
        <v>1810</v>
      </c>
      <c r="F2331" s="6">
        <v>3553</v>
      </c>
      <c r="G2331" s="6">
        <v>3553</v>
      </c>
      <c r="H2331" s="6">
        <v>2005</v>
      </c>
      <c r="I2331" s="6">
        <v>1035</v>
      </c>
      <c r="J2331" s="6">
        <v>775</v>
      </c>
      <c r="K2331" s="40">
        <v>259</v>
      </c>
      <c r="L2331" s="40">
        <v>69</v>
      </c>
      <c r="M2331" s="40">
        <v>1886</v>
      </c>
      <c r="N2331" s="40">
        <v>446</v>
      </c>
      <c r="O2331" s="40">
        <v>642</v>
      </c>
      <c r="P2331" s="40">
        <v>724</v>
      </c>
      <c r="Q2331" s="40">
        <v>14</v>
      </c>
      <c r="R2331" s="40">
        <v>41</v>
      </c>
      <c r="S2331" s="40">
        <v>19</v>
      </c>
    </row>
    <row r="2332" spans="1:19" x14ac:dyDescent="0.35">
      <c r="A2332" s="38">
        <v>2695</v>
      </c>
      <c r="B2332" s="38" t="str">
        <f>_xlfn.XLOOKUP(A2332,'Model Modeshare by TAZ'!A:A,'Model Modeshare by TAZ'!B:B)</f>
        <v>Santa Rosa</v>
      </c>
      <c r="C2332" s="38" t="str">
        <f>_xlfn.XLOOKUP(A2332,'Model Modeshare by TAZ'!A:A,'Model Modeshare by TAZ'!D:D)</f>
        <v>NO</v>
      </c>
      <c r="D2332" s="6">
        <v>8</v>
      </c>
      <c r="E2332" s="6">
        <v>1053</v>
      </c>
      <c r="F2332" s="6">
        <v>2403</v>
      </c>
      <c r="G2332" s="6">
        <v>3195</v>
      </c>
      <c r="H2332" s="6">
        <v>1550</v>
      </c>
      <c r="I2332" s="6">
        <v>614</v>
      </c>
      <c r="J2332" s="6">
        <v>439</v>
      </c>
      <c r="K2332" s="40">
        <v>146</v>
      </c>
      <c r="L2332" s="40">
        <v>357</v>
      </c>
      <c r="M2332" s="40">
        <v>5549</v>
      </c>
      <c r="N2332" s="40">
        <v>473</v>
      </c>
      <c r="O2332" s="40">
        <v>3189</v>
      </c>
      <c r="P2332" s="40">
        <v>1644</v>
      </c>
      <c r="Q2332" s="40">
        <v>12</v>
      </c>
      <c r="R2332" s="40">
        <v>164</v>
      </c>
      <c r="S2332" s="40">
        <v>67</v>
      </c>
    </row>
    <row r="2333" spans="1:19" x14ac:dyDescent="0.35">
      <c r="A2333" s="38">
        <v>2696</v>
      </c>
      <c r="B2333" s="38" t="str">
        <f>_xlfn.XLOOKUP(A2333,'Model Modeshare by TAZ'!A:A,'Model Modeshare by TAZ'!B:B)</f>
        <v>Santa Rosa</v>
      </c>
      <c r="C2333" s="38" t="str">
        <f>_xlfn.XLOOKUP(A2333,'Model Modeshare by TAZ'!A:A,'Model Modeshare by TAZ'!D:D)</f>
        <v>NO</v>
      </c>
      <c r="D2333" s="6">
        <v>8</v>
      </c>
      <c r="E2333" s="6">
        <v>1687</v>
      </c>
      <c r="F2333" s="6">
        <v>3635</v>
      </c>
      <c r="G2333" s="6">
        <v>3704</v>
      </c>
      <c r="H2333" s="6">
        <v>2158</v>
      </c>
      <c r="I2333" s="6">
        <v>1071</v>
      </c>
      <c r="J2333" s="6">
        <v>616</v>
      </c>
      <c r="K2333" s="40">
        <v>244</v>
      </c>
      <c r="L2333" s="40">
        <v>31</v>
      </c>
      <c r="M2333" s="40">
        <v>737</v>
      </c>
      <c r="N2333" s="40">
        <v>174</v>
      </c>
      <c r="O2333" s="40">
        <v>251</v>
      </c>
      <c r="P2333" s="40">
        <v>284</v>
      </c>
      <c r="Q2333" s="40">
        <v>5</v>
      </c>
      <c r="R2333" s="40">
        <v>17</v>
      </c>
      <c r="S2333" s="40">
        <v>7</v>
      </c>
    </row>
    <row r="2334" spans="1:19" x14ac:dyDescent="0.35">
      <c r="A2334" s="38">
        <v>2697</v>
      </c>
      <c r="B2334" s="38" t="str">
        <f>_xlfn.XLOOKUP(A2334,'Model Modeshare by TAZ'!A:A,'Model Modeshare by TAZ'!B:B)</f>
        <v>Santa Rosa</v>
      </c>
      <c r="C2334" s="38" t="str">
        <f>_xlfn.XLOOKUP(A2334,'Model Modeshare by TAZ'!A:A,'Model Modeshare by TAZ'!D:D)</f>
        <v>NO</v>
      </c>
      <c r="D2334" s="6">
        <v>8</v>
      </c>
      <c r="E2334" s="6">
        <v>1818</v>
      </c>
      <c r="F2334" s="6">
        <v>4288</v>
      </c>
      <c r="G2334" s="6">
        <v>4355</v>
      </c>
      <c r="H2334" s="6">
        <v>2176</v>
      </c>
      <c r="I2334" s="6">
        <v>1573</v>
      </c>
      <c r="J2334" s="6">
        <v>245</v>
      </c>
      <c r="K2334" s="40">
        <v>673</v>
      </c>
      <c r="L2334" s="40">
        <v>134</v>
      </c>
      <c r="M2334" s="40">
        <v>1636</v>
      </c>
      <c r="N2334" s="40">
        <v>416</v>
      </c>
      <c r="O2334" s="40">
        <v>894</v>
      </c>
      <c r="P2334" s="40">
        <v>165</v>
      </c>
      <c r="Q2334" s="40">
        <v>20</v>
      </c>
      <c r="R2334" s="40">
        <v>121</v>
      </c>
      <c r="S2334" s="40">
        <v>20</v>
      </c>
    </row>
    <row r="2335" spans="1:19" x14ac:dyDescent="0.35">
      <c r="A2335" s="38">
        <v>2698</v>
      </c>
      <c r="B2335" s="38" t="str">
        <f>_xlfn.XLOOKUP(A2335,'Model Modeshare by TAZ'!A:A,'Model Modeshare by TAZ'!B:B)</f>
        <v>Santa Rosa</v>
      </c>
      <c r="C2335" s="38" t="str">
        <f>_xlfn.XLOOKUP(A2335,'Model Modeshare by TAZ'!A:A,'Model Modeshare by TAZ'!D:D)</f>
        <v>NO</v>
      </c>
      <c r="D2335" s="6">
        <v>8</v>
      </c>
      <c r="E2335" s="6">
        <v>4287</v>
      </c>
      <c r="F2335" s="6">
        <v>10016</v>
      </c>
      <c r="G2335" s="6">
        <v>10129</v>
      </c>
      <c r="H2335" s="6">
        <v>4643</v>
      </c>
      <c r="I2335" s="6">
        <v>4152</v>
      </c>
      <c r="J2335" s="6">
        <v>135</v>
      </c>
      <c r="K2335" s="40">
        <v>4051</v>
      </c>
      <c r="L2335" s="40">
        <v>556</v>
      </c>
      <c r="M2335" s="40">
        <v>7218</v>
      </c>
      <c r="N2335" s="40">
        <v>912</v>
      </c>
      <c r="O2335" s="40">
        <v>1674</v>
      </c>
      <c r="P2335" s="40">
        <v>760</v>
      </c>
      <c r="Q2335" s="40">
        <v>9</v>
      </c>
      <c r="R2335" s="40">
        <v>3785</v>
      </c>
      <c r="S2335" s="40">
        <v>79</v>
      </c>
    </row>
    <row r="2336" spans="1:19" x14ac:dyDescent="0.35">
      <c r="A2336" s="38">
        <v>2699</v>
      </c>
      <c r="B2336" s="38" t="str">
        <f>_xlfn.XLOOKUP(A2336,'Model Modeshare by TAZ'!A:A,'Model Modeshare by TAZ'!B:B)</f>
        <v>Unincorporated</v>
      </c>
      <c r="C2336" s="38" t="str">
        <f>_xlfn.XLOOKUP(A2336,'Model Modeshare by TAZ'!A:A,'Model Modeshare by TAZ'!D:D)</f>
        <v>NO</v>
      </c>
      <c r="D2336" s="6">
        <v>8</v>
      </c>
      <c r="E2336" s="6">
        <v>2160</v>
      </c>
      <c r="F2336" s="6">
        <v>5422</v>
      </c>
      <c r="G2336" s="6">
        <v>5453</v>
      </c>
      <c r="H2336" s="6">
        <v>2548</v>
      </c>
      <c r="I2336" s="6">
        <v>1402</v>
      </c>
      <c r="J2336" s="6">
        <v>758</v>
      </c>
      <c r="K2336" s="40">
        <v>921</v>
      </c>
      <c r="L2336" s="40">
        <v>79</v>
      </c>
      <c r="M2336" s="40">
        <v>1045</v>
      </c>
      <c r="N2336" s="40">
        <v>112</v>
      </c>
      <c r="O2336" s="40">
        <v>309</v>
      </c>
      <c r="P2336" s="40">
        <v>266</v>
      </c>
      <c r="Q2336" s="40">
        <v>111</v>
      </c>
      <c r="R2336" s="40">
        <v>165</v>
      </c>
      <c r="S2336" s="40">
        <v>82</v>
      </c>
    </row>
    <row r="2337" spans="1:19" x14ac:dyDescent="0.35">
      <c r="A2337" s="38">
        <v>2700</v>
      </c>
      <c r="B2337" s="38" t="str">
        <f>_xlfn.XLOOKUP(A2337,'Model Modeshare by TAZ'!A:A,'Model Modeshare by TAZ'!B:B)</f>
        <v>Unincorporated</v>
      </c>
      <c r="C2337" s="38" t="str">
        <f>_xlfn.XLOOKUP(A2337,'Model Modeshare by TAZ'!A:A,'Model Modeshare by TAZ'!D:D)</f>
        <v>NO</v>
      </c>
      <c r="D2337" s="6">
        <v>8</v>
      </c>
      <c r="E2337" s="6">
        <v>2091</v>
      </c>
      <c r="F2337" s="6">
        <v>5370</v>
      </c>
      <c r="G2337" s="6">
        <v>5910</v>
      </c>
      <c r="H2337" s="6">
        <v>2556</v>
      </c>
      <c r="I2337" s="6">
        <v>1345</v>
      </c>
      <c r="J2337" s="6">
        <v>746</v>
      </c>
      <c r="K2337" s="40">
        <v>564</v>
      </c>
      <c r="L2337" s="40">
        <v>2201</v>
      </c>
      <c r="M2337" s="40">
        <v>12096</v>
      </c>
      <c r="N2337" s="40">
        <v>1304</v>
      </c>
      <c r="O2337" s="40">
        <v>3657</v>
      </c>
      <c r="P2337" s="40">
        <v>3033</v>
      </c>
      <c r="Q2337" s="40">
        <v>1281</v>
      </c>
      <c r="R2337" s="40">
        <v>1852</v>
      </c>
      <c r="S2337" s="40">
        <v>970</v>
      </c>
    </row>
    <row r="2338" spans="1:19" x14ac:dyDescent="0.35">
      <c r="A2338" s="38">
        <v>2701</v>
      </c>
      <c r="B2338" s="38" t="str">
        <f>_xlfn.XLOOKUP(A2338,'Model Modeshare by TAZ'!A:A,'Model Modeshare by TAZ'!B:B)</f>
        <v>Santa Rosa</v>
      </c>
      <c r="C2338" s="38" t="str">
        <f>_xlfn.XLOOKUP(A2338,'Model Modeshare by TAZ'!A:A,'Model Modeshare by TAZ'!D:D)</f>
        <v>NO</v>
      </c>
      <c r="D2338" s="6">
        <v>8</v>
      </c>
      <c r="E2338" s="6">
        <v>1949</v>
      </c>
      <c r="F2338" s="6">
        <v>5359</v>
      </c>
      <c r="G2338" s="6">
        <v>5388</v>
      </c>
      <c r="H2338" s="6">
        <v>3009</v>
      </c>
      <c r="I2338" s="6">
        <v>1676</v>
      </c>
      <c r="J2338" s="6">
        <v>273</v>
      </c>
      <c r="K2338" s="40">
        <v>426</v>
      </c>
      <c r="L2338" s="40">
        <v>286</v>
      </c>
      <c r="M2338" s="40">
        <v>8361</v>
      </c>
      <c r="N2338" s="40">
        <v>1429</v>
      </c>
      <c r="O2338" s="40">
        <v>2388</v>
      </c>
      <c r="P2338" s="40">
        <v>2466</v>
      </c>
      <c r="Q2338" s="40">
        <v>61</v>
      </c>
      <c r="R2338" s="40">
        <v>1117</v>
      </c>
      <c r="S2338" s="40">
        <v>900</v>
      </c>
    </row>
    <row r="2339" spans="1:19" x14ac:dyDescent="0.35">
      <c r="A2339" s="38">
        <v>2702</v>
      </c>
      <c r="B2339" s="38" t="str">
        <f>_xlfn.XLOOKUP(A2339,'Model Modeshare by TAZ'!A:A,'Model Modeshare by TAZ'!B:B)</f>
        <v>Unincorporated</v>
      </c>
      <c r="C2339" s="38" t="str">
        <f>_xlfn.XLOOKUP(A2339,'Model Modeshare by TAZ'!A:A,'Model Modeshare by TAZ'!D:D)</f>
        <v>NO</v>
      </c>
      <c r="D2339" s="6">
        <v>8</v>
      </c>
      <c r="E2339" s="6">
        <v>3658</v>
      </c>
      <c r="F2339" s="6">
        <v>10249</v>
      </c>
      <c r="G2339" s="6">
        <v>10266</v>
      </c>
      <c r="H2339" s="6">
        <v>5295</v>
      </c>
      <c r="I2339" s="6">
        <v>2847</v>
      </c>
      <c r="J2339" s="6">
        <v>811</v>
      </c>
      <c r="K2339" s="40">
        <v>6648</v>
      </c>
      <c r="L2339" s="40">
        <v>34</v>
      </c>
      <c r="M2339" s="40">
        <v>1515</v>
      </c>
      <c r="N2339" s="40">
        <v>190</v>
      </c>
      <c r="O2339" s="40">
        <v>412</v>
      </c>
      <c r="P2339" s="40">
        <v>647</v>
      </c>
      <c r="Q2339" s="40">
        <v>229</v>
      </c>
      <c r="R2339" s="40">
        <v>23</v>
      </c>
      <c r="S2339" s="40">
        <v>14</v>
      </c>
    </row>
    <row r="2340" spans="1:19" x14ac:dyDescent="0.35">
      <c r="A2340" s="38">
        <v>2703</v>
      </c>
      <c r="B2340" s="38" t="str">
        <f>_xlfn.XLOOKUP(A2340,'Model Modeshare by TAZ'!A:A,'Model Modeshare by TAZ'!B:B)</f>
        <v>Santa Rosa</v>
      </c>
      <c r="C2340" s="38" t="str">
        <f>_xlfn.XLOOKUP(A2340,'Model Modeshare by TAZ'!A:A,'Model Modeshare by TAZ'!D:D)</f>
        <v>NO</v>
      </c>
      <c r="D2340" s="6">
        <v>8</v>
      </c>
      <c r="E2340" s="6">
        <v>1971</v>
      </c>
      <c r="F2340" s="6">
        <v>5334</v>
      </c>
      <c r="G2340" s="6">
        <v>5346</v>
      </c>
      <c r="H2340" s="6">
        <v>2849</v>
      </c>
      <c r="I2340" s="6">
        <v>1552</v>
      </c>
      <c r="J2340" s="6">
        <v>419</v>
      </c>
      <c r="K2340" s="40">
        <v>501</v>
      </c>
      <c r="L2340" s="40">
        <v>45</v>
      </c>
      <c r="M2340" s="40">
        <v>387</v>
      </c>
      <c r="N2340" s="40">
        <v>136</v>
      </c>
      <c r="O2340" s="40">
        <v>87</v>
      </c>
      <c r="P2340" s="40">
        <v>141</v>
      </c>
      <c r="Q2340" s="40">
        <v>1</v>
      </c>
      <c r="R2340" s="40">
        <v>20</v>
      </c>
      <c r="S2340" s="40">
        <v>2</v>
      </c>
    </row>
    <row r="2341" spans="1:19" x14ac:dyDescent="0.35">
      <c r="A2341" s="38">
        <v>2704</v>
      </c>
      <c r="B2341" s="38" t="str">
        <f>_xlfn.XLOOKUP(A2341,'Model Modeshare by TAZ'!A:A,'Model Modeshare by TAZ'!B:B)</f>
        <v>Santa Rosa</v>
      </c>
      <c r="C2341" s="38" t="str">
        <f>_xlfn.XLOOKUP(A2341,'Model Modeshare by TAZ'!A:A,'Model Modeshare by TAZ'!D:D)</f>
        <v>NO</v>
      </c>
      <c r="D2341" s="6">
        <v>8</v>
      </c>
      <c r="E2341" s="6">
        <v>1495</v>
      </c>
      <c r="F2341" s="6">
        <v>5239</v>
      </c>
      <c r="G2341" s="6">
        <v>5271</v>
      </c>
      <c r="H2341" s="6">
        <v>2462</v>
      </c>
      <c r="I2341" s="6">
        <v>873</v>
      </c>
      <c r="J2341" s="6">
        <v>622</v>
      </c>
      <c r="K2341" s="40">
        <v>346</v>
      </c>
      <c r="L2341" s="40">
        <v>20</v>
      </c>
      <c r="M2341" s="40">
        <v>299</v>
      </c>
      <c r="N2341" s="40">
        <v>106</v>
      </c>
      <c r="O2341" s="40">
        <v>67</v>
      </c>
      <c r="P2341" s="40">
        <v>110</v>
      </c>
      <c r="Q2341" s="40">
        <v>0</v>
      </c>
      <c r="R2341" s="40">
        <v>15</v>
      </c>
      <c r="S2341" s="40">
        <v>2</v>
      </c>
    </row>
    <row r="2342" spans="1:19" x14ac:dyDescent="0.35">
      <c r="A2342" s="38">
        <v>2705</v>
      </c>
      <c r="B2342" s="38" t="str">
        <f>_xlfn.XLOOKUP(A2342,'Model Modeshare by TAZ'!A:A,'Model Modeshare by TAZ'!B:B)</f>
        <v>Santa Rosa</v>
      </c>
      <c r="C2342" s="38" t="str">
        <f>_xlfn.XLOOKUP(A2342,'Model Modeshare by TAZ'!A:A,'Model Modeshare by TAZ'!D:D)</f>
        <v>NO</v>
      </c>
      <c r="D2342" s="6">
        <v>8</v>
      </c>
      <c r="E2342" s="6">
        <v>2775</v>
      </c>
      <c r="F2342" s="6">
        <v>7026</v>
      </c>
      <c r="G2342" s="6">
        <v>7122</v>
      </c>
      <c r="H2342" s="6">
        <v>3683</v>
      </c>
      <c r="I2342" s="6">
        <v>661</v>
      </c>
      <c r="J2342" s="6">
        <v>2114</v>
      </c>
      <c r="K2342" s="40">
        <v>296</v>
      </c>
      <c r="L2342" s="40">
        <v>196</v>
      </c>
      <c r="M2342" s="40">
        <v>4439</v>
      </c>
      <c r="N2342" s="40">
        <v>754</v>
      </c>
      <c r="O2342" s="40">
        <v>1263</v>
      </c>
      <c r="P2342" s="40">
        <v>1316</v>
      </c>
      <c r="Q2342" s="40">
        <v>33</v>
      </c>
      <c r="R2342" s="40">
        <v>598</v>
      </c>
      <c r="S2342" s="40">
        <v>476</v>
      </c>
    </row>
    <row r="2343" spans="1:19" x14ac:dyDescent="0.35">
      <c r="A2343" s="38">
        <v>2706</v>
      </c>
      <c r="B2343" s="38" t="str">
        <f>_xlfn.XLOOKUP(A2343,'Model Modeshare by TAZ'!A:A,'Model Modeshare by TAZ'!B:B)</f>
        <v>Santa Rosa</v>
      </c>
      <c r="C2343" s="38" t="str">
        <f>_xlfn.XLOOKUP(A2343,'Model Modeshare by TAZ'!A:A,'Model Modeshare by TAZ'!D:D)</f>
        <v>NO</v>
      </c>
      <c r="D2343" s="6">
        <v>8</v>
      </c>
      <c r="E2343" s="6">
        <v>2490</v>
      </c>
      <c r="F2343" s="6">
        <v>7406</v>
      </c>
      <c r="G2343" s="6">
        <v>7419</v>
      </c>
      <c r="H2343" s="6">
        <v>3550</v>
      </c>
      <c r="I2343" s="6">
        <v>1211</v>
      </c>
      <c r="J2343" s="6">
        <v>1279</v>
      </c>
      <c r="K2343" s="40">
        <v>356</v>
      </c>
      <c r="L2343" s="40">
        <v>252</v>
      </c>
      <c r="M2343" s="40">
        <v>5440</v>
      </c>
      <c r="N2343" s="40">
        <v>1675</v>
      </c>
      <c r="O2343" s="40">
        <v>1676</v>
      </c>
      <c r="P2343" s="40">
        <v>1002</v>
      </c>
      <c r="Q2343" s="40">
        <v>108</v>
      </c>
      <c r="R2343" s="40">
        <v>484</v>
      </c>
      <c r="S2343" s="40">
        <v>495</v>
      </c>
    </row>
    <row r="2344" spans="1:19" x14ac:dyDescent="0.35">
      <c r="A2344" s="38">
        <v>2707</v>
      </c>
      <c r="B2344" s="38" t="str">
        <f>_xlfn.XLOOKUP(A2344,'Model Modeshare by TAZ'!A:A,'Model Modeshare by TAZ'!B:B)</f>
        <v>Santa Rosa</v>
      </c>
      <c r="C2344" s="38" t="str">
        <f>_xlfn.XLOOKUP(A2344,'Model Modeshare by TAZ'!A:A,'Model Modeshare by TAZ'!D:D)</f>
        <v>NO</v>
      </c>
      <c r="D2344" s="6">
        <v>8</v>
      </c>
      <c r="E2344" s="6">
        <v>2830</v>
      </c>
      <c r="F2344" s="6">
        <v>7789</v>
      </c>
      <c r="G2344" s="6">
        <v>7825</v>
      </c>
      <c r="H2344" s="6">
        <v>3627</v>
      </c>
      <c r="I2344" s="6">
        <v>2015</v>
      </c>
      <c r="J2344" s="6">
        <v>815</v>
      </c>
      <c r="K2344" s="40">
        <v>625</v>
      </c>
      <c r="L2344" s="40">
        <v>204</v>
      </c>
      <c r="M2344" s="40">
        <v>2626</v>
      </c>
      <c r="N2344" s="40">
        <v>269</v>
      </c>
      <c r="O2344" s="40">
        <v>815</v>
      </c>
      <c r="P2344" s="40">
        <v>1256</v>
      </c>
      <c r="Q2344" s="40">
        <v>134</v>
      </c>
      <c r="R2344" s="40">
        <v>71</v>
      </c>
      <c r="S2344" s="40">
        <v>81</v>
      </c>
    </row>
    <row r="2345" spans="1:19" x14ac:dyDescent="0.35">
      <c r="A2345" s="38">
        <v>2708</v>
      </c>
      <c r="B2345" s="38" t="str">
        <f>_xlfn.XLOOKUP(A2345,'Model Modeshare by TAZ'!A:A,'Model Modeshare by TAZ'!B:B)</f>
        <v>Santa Rosa</v>
      </c>
      <c r="C2345" s="38" t="str">
        <f>_xlfn.XLOOKUP(A2345,'Model Modeshare by TAZ'!A:A,'Model Modeshare by TAZ'!D:D)</f>
        <v>NO</v>
      </c>
      <c r="D2345" s="6">
        <v>8</v>
      </c>
      <c r="E2345" s="6">
        <v>1913</v>
      </c>
      <c r="F2345" s="6">
        <v>6369</v>
      </c>
      <c r="G2345" s="6">
        <v>6473</v>
      </c>
      <c r="H2345" s="6">
        <v>3163</v>
      </c>
      <c r="I2345" s="6">
        <v>1352</v>
      </c>
      <c r="J2345" s="6">
        <v>561</v>
      </c>
      <c r="K2345" s="40">
        <v>380</v>
      </c>
      <c r="L2345" s="40">
        <v>133</v>
      </c>
      <c r="M2345" s="40">
        <v>3299</v>
      </c>
      <c r="N2345" s="40">
        <v>634</v>
      </c>
      <c r="O2345" s="40">
        <v>1006</v>
      </c>
      <c r="P2345" s="40">
        <v>1020</v>
      </c>
      <c r="Q2345" s="40">
        <v>3</v>
      </c>
      <c r="R2345" s="40">
        <v>289</v>
      </c>
      <c r="S2345" s="40">
        <v>346</v>
      </c>
    </row>
    <row r="2346" spans="1:19" x14ac:dyDescent="0.35">
      <c r="A2346" s="38">
        <v>2709</v>
      </c>
      <c r="B2346" s="38" t="str">
        <f>_xlfn.XLOOKUP(A2346,'Model Modeshare by TAZ'!A:A,'Model Modeshare by TAZ'!B:B)</f>
        <v>Santa Rosa</v>
      </c>
      <c r="C2346" s="38" t="str">
        <f>_xlfn.XLOOKUP(A2346,'Model Modeshare by TAZ'!A:A,'Model Modeshare by TAZ'!D:D)</f>
        <v>NO</v>
      </c>
      <c r="D2346" s="6">
        <v>8</v>
      </c>
      <c r="E2346" s="6">
        <v>2028</v>
      </c>
      <c r="F2346" s="6">
        <v>5970</v>
      </c>
      <c r="G2346" s="6">
        <v>5990</v>
      </c>
      <c r="H2346" s="6">
        <v>2720</v>
      </c>
      <c r="I2346" s="6">
        <v>976</v>
      </c>
      <c r="J2346" s="6">
        <v>1052</v>
      </c>
      <c r="K2346" s="40">
        <v>341</v>
      </c>
      <c r="L2346" s="40">
        <v>53</v>
      </c>
      <c r="M2346" s="40">
        <v>704</v>
      </c>
      <c r="N2346" s="40">
        <v>80</v>
      </c>
      <c r="O2346" s="40">
        <v>152</v>
      </c>
      <c r="P2346" s="40">
        <v>430</v>
      </c>
      <c r="Q2346" s="40">
        <v>2</v>
      </c>
      <c r="R2346" s="40">
        <v>16</v>
      </c>
      <c r="S2346" s="40">
        <v>24</v>
      </c>
    </row>
    <row r="2347" spans="1:19" x14ac:dyDescent="0.35">
      <c r="A2347" s="38">
        <v>2710</v>
      </c>
      <c r="B2347" s="38" t="str">
        <f>_xlfn.XLOOKUP(A2347,'Model Modeshare by TAZ'!A:A,'Model Modeshare by TAZ'!B:B)</f>
        <v>Santa Rosa</v>
      </c>
      <c r="C2347" s="38" t="str">
        <f>_xlfn.XLOOKUP(A2347,'Model Modeshare by TAZ'!A:A,'Model Modeshare by TAZ'!D:D)</f>
        <v>NO</v>
      </c>
      <c r="D2347" s="6">
        <v>8</v>
      </c>
      <c r="E2347" s="6">
        <v>2585</v>
      </c>
      <c r="F2347" s="6">
        <v>8683</v>
      </c>
      <c r="G2347" s="6">
        <v>8744</v>
      </c>
      <c r="H2347" s="6">
        <v>3846</v>
      </c>
      <c r="I2347" s="6">
        <v>1638</v>
      </c>
      <c r="J2347" s="6">
        <v>947</v>
      </c>
      <c r="K2347" s="40">
        <v>677</v>
      </c>
      <c r="L2347" s="40">
        <v>114</v>
      </c>
      <c r="M2347" s="40">
        <v>1720</v>
      </c>
      <c r="N2347" s="40">
        <v>296</v>
      </c>
      <c r="O2347" s="40">
        <v>392</v>
      </c>
      <c r="P2347" s="40">
        <v>576</v>
      </c>
      <c r="Q2347" s="40">
        <v>1</v>
      </c>
      <c r="R2347" s="40">
        <v>305</v>
      </c>
      <c r="S2347" s="40">
        <v>149</v>
      </c>
    </row>
    <row r="2348" spans="1:19" x14ac:dyDescent="0.35">
      <c r="A2348" s="38">
        <v>2711</v>
      </c>
      <c r="B2348" s="38" t="str">
        <f>_xlfn.XLOOKUP(A2348,'Model Modeshare by TAZ'!A:A,'Model Modeshare by TAZ'!B:B)</f>
        <v>Santa Rosa</v>
      </c>
      <c r="C2348" s="38" t="str">
        <f>_xlfn.XLOOKUP(A2348,'Model Modeshare by TAZ'!A:A,'Model Modeshare by TAZ'!D:D)</f>
        <v>NO</v>
      </c>
      <c r="D2348" s="6">
        <v>8</v>
      </c>
      <c r="E2348" s="6">
        <v>1453</v>
      </c>
      <c r="F2348" s="6">
        <v>5452</v>
      </c>
      <c r="G2348" s="6">
        <v>5687</v>
      </c>
      <c r="H2348" s="6">
        <v>2626</v>
      </c>
      <c r="I2348" s="6">
        <v>1005</v>
      </c>
      <c r="J2348" s="6">
        <v>448</v>
      </c>
      <c r="K2348" s="40">
        <v>289</v>
      </c>
      <c r="L2348" s="40">
        <v>16</v>
      </c>
      <c r="M2348" s="40">
        <v>196</v>
      </c>
      <c r="N2348" s="40">
        <v>34</v>
      </c>
      <c r="O2348" s="40">
        <v>45</v>
      </c>
      <c r="P2348" s="40">
        <v>65</v>
      </c>
      <c r="Q2348" s="40">
        <v>1</v>
      </c>
      <c r="R2348" s="40">
        <v>34</v>
      </c>
      <c r="S2348" s="40">
        <v>18</v>
      </c>
    </row>
    <row r="2349" spans="1:19" x14ac:dyDescent="0.35">
      <c r="A2349" s="38">
        <v>2712</v>
      </c>
      <c r="B2349" s="38" t="str">
        <f>_xlfn.XLOOKUP(A2349,'Model Modeshare by TAZ'!A:A,'Model Modeshare by TAZ'!B:B)</f>
        <v>Unincorporated</v>
      </c>
      <c r="C2349" s="38" t="str">
        <f>_xlfn.XLOOKUP(A2349,'Model Modeshare by TAZ'!A:A,'Model Modeshare by TAZ'!D:D)</f>
        <v>NO</v>
      </c>
      <c r="D2349" s="6">
        <v>8</v>
      </c>
      <c r="E2349" s="6">
        <v>2523</v>
      </c>
      <c r="F2349" s="6">
        <v>8232</v>
      </c>
      <c r="G2349" s="6">
        <v>8281</v>
      </c>
      <c r="H2349" s="6">
        <v>4065</v>
      </c>
      <c r="I2349" s="6">
        <v>2004</v>
      </c>
      <c r="J2349" s="6">
        <v>519</v>
      </c>
      <c r="K2349" s="40">
        <v>1376</v>
      </c>
      <c r="L2349" s="40">
        <v>819</v>
      </c>
      <c r="M2349" s="40">
        <v>8366</v>
      </c>
      <c r="N2349" s="40">
        <v>1638</v>
      </c>
      <c r="O2349" s="40">
        <v>1389</v>
      </c>
      <c r="P2349" s="40">
        <v>2185</v>
      </c>
      <c r="Q2349" s="40">
        <v>15</v>
      </c>
      <c r="R2349" s="40">
        <v>2480</v>
      </c>
      <c r="S2349" s="40">
        <v>659</v>
      </c>
    </row>
    <row r="2350" spans="1:19" x14ac:dyDescent="0.35">
      <c r="A2350" s="38">
        <v>2713</v>
      </c>
      <c r="B2350" s="38" t="str">
        <f>_xlfn.XLOOKUP(A2350,'Model Modeshare by TAZ'!A:A,'Model Modeshare by TAZ'!B:B)</f>
        <v>Unincorporated</v>
      </c>
      <c r="C2350" s="38" t="str">
        <f>_xlfn.XLOOKUP(A2350,'Model Modeshare by TAZ'!A:A,'Model Modeshare by TAZ'!D:D)</f>
        <v>NO</v>
      </c>
      <c r="D2350" s="6">
        <v>8</v>
      </c>
      <c r="E2350" s="6">
        <v>3683</v>
      </c>
      <c r="F2350" s="6">
        <v>12333</v>
      </c>
      <c r="G2350" s="6">
        <v>12652</v>
      </c>
      <c r="H2350" s="6">
        <v>6020</v>
      </c>
      <c r="I2350" s="6">
        <v>3113</v>
      </c>
      <c r="J2350" s="6">
        <v>570</v>
      </c>
      <c r="K2350" s="40">
        <v>3004</v>
      </c>
      <c r="L2350" s="40">
        <v>519</v>
      </c>
      <c r="M2350" s="40">
        <v>5685</v>
      </c>
      <c r="N2350" s="40">
        <v>1226</v>
      </c>
      <c r="O2350" s="40">
        <v>894</v>
      </c>
      <c r="P2350" s="40">
        <v>592</v>
      </c>
      <c r="Q2350" s="40">
        <v>98</v>
      </c>
      <c r="R2350" s="40">
        <v>2635</v>
      </c>
      <c r="S2350" s="40">
        <v>240</v>
      </c>
    </row>
    <row r="2351" spans="1:19" x14ac:dyDescent="0.35">
      <c r="A2351" s="38">
        <v>2714</v>
      </c>
      <c r="B2351" s="38" t="str">
        <f>_xlfn.XLOOKUP(A2351,'Model Modeshare by TAZ'!A:A,'Model Modeshare by TAZ'!B:B)</f>
        <v>Unincorporated</v>
      </c>
      <c r="C2351" s="38" t="str">
        <f>_xlfn.XLOOKUP(A2351,'Model Modeshare by TAZ'!A:A,'Model Modeshare by TAZ'!D:D)</f>
        <v>NO</v>
      </c>
      <c r="D2351" s="6">
        <v>8</v>
      </c>
      <c r="E2351" s="6">
        <v>2470</v>
      </c>
      <c r="F2351" s="6">
        <v>7244</v>
      </c>
      <c r="G2351" s="6">
        <v>7302</v>
      </c>
      <c r="H2351" s="6">
        <v>3673</v>
      </c>
      <c r="I2351" s="6">
        <v>2236</v>
      </c>
      <c r="J2351" s="6">
        <v>234</v>
      </c>
      <c r="K2351" s="40">
        <v>1694</v>
      </c>
      <c r="L2351" s="40">
        <v>83</v>
      </c>
      <c r="M2351" s="40">
        <v>1658</v>
      </c>
      <c r="N2351" s="40">
        <v>128</v>
      </c>
      <c r="O2351" s="40">
        <v>554</v>
      </c>
      <c r="P2351" s="40">
        <v>821</v>
      </c>
      <c r="Q2351" s="40">
        <v>133</v>
      </c>
      <c r="R2351" s="40">
        <v>12</v>
      </c>
      <c r="S2351" s="40">
        <v>11</v>
      </c>
    </row>
    <row r="2352" spans="1:19" x14ac:dyDescent="0.35">
      <c r="A2352" s="38">
        <v>2715</v>
      </c>
      <c r="B2352" s="38" t="str">
        <f>_xlfn.XLOOKUP(A2352,'Model Modeshare by TAZ'!A:A,'Model Modeshare by TAZ'!B:B)</f>
        <v>Unincorporated</v>
      </c>
      <c r="C2352" s="38" t="str">
        <f>_xlfn.XLOOKUP(A2352,'Model Modeshare by TAZ'!A:A,'Model Modeshare by TAZ'!D:D)</f>
        <v>NO</v>
      </c>
      <c r="D2352" s="6">
        <v>8</v>
      </c>
      <c r="E2352" s="6">
        <v>2350</v>
      </c>
      <c r="F2352" s="6">
        <v>5531</v>
      </c>
      <c r="G2352" s="6">
        <v>5665</v>
      </c>
      <c r="H2352" s="6">
        <v>2981</v>
      </c>
      <c r="I2352" s="6">
        <v>2201</v>
      </c>
      <c r="J2352" s="6">
        <v>149</v>
      </c>
      <c r="K2352" s="40">
        <v>4778</v>
      </c>
      <c r="L2352" s="40">
        <v>197</v>
      </c>
      <c r="M2352" s="40">
        <v>1414</v>
      </c>
      <c r="N2352" s="40">
        <v>93</v>
      </c>
      <c r="O2352" s="40">
        <v>605</v>
      </c>
      <c r="P2352" s="40">
        <v>280</v>
      </c>
      <c r="Q2352" s="40">
        <v>280</v>
      </c>
      <c r="R2352" s="40">
        <v>141</v>
      </c>
      <c r="S2352" s="40">
        <v>15</v>
      </c>
    </row>
    <row r="2353" spans="1:19" x14ac:dyDescent="0.35">
      <c r="A2353" s="38">
        <v>2716</v>
      </c>
      <c r="B2353" s="38" t="str">
        <f>_xlfn.XLOOKUP(A2353,'Model Modeshare by TAZ'!A:A,'Model Modeshare by TAZ'!B:B)</f>
        <v>Unincorporated</v>
      </c>
      <c r="C2353" s="38" t="str">
        <f>_xlfn.XLOOKUP(A2353,'Model Modeshare by TAZ'!A:A,'Model Modeshare by TAZ'!D:D)</f>
        <v>NO</v>
      </c>
      <c r="D2353" s="6">
        <v>8</v>
      </c>
      <c r="E2353" s="6">
        <v>2878</v>
      </c>
      <c r="F2353" s="6">
        <v>6596</v>
      </c>
      <c r="G2353" s="6">
        <v>6624</v>
      </c>
      <c r="H2353" s="6">
        <v>3420</v>
      </c>
      <c r="I2353" s="6">
        <v>2162</v>
      </c>
      <c r="J2353" s="6">
        <v>716</v>
      </c>
      <c r="K2353" s="40">
        <v>1380</v>
      </c>
      <c r="L2353" s="40">
        <v>332</v>
      </c>
      <c r="M2353" s="40">
        <v>4387</v>
      </c>
      <c r="N2353" s="40">
        <v>1202</v>
      </c>
      <c r="O2353" s="40">
        <v>1597</v>
      </c>
      <c r="P2353" s="40">
        <v>739</v>
      </c>
      <c r="Q2353" s="40">
        <v>146</v>
      </c>
      <c r="R2353" s="40">
        <v>505</v>
      </c>
      <c r="S2353" s="40">
        <v>197</v>
      </c>
    </row>
    <row r="2354" spans="1:19" x14ac:dyDescent="0.35">
      <c r="A2354" s="38">
        <v>2717</v>
      </c>
      <c r="B2354" s="38" t="str">
        <f>_xlfn.XLOOKUP(A2354,'Model Modeshare by TAZ'!A:A,'Model Modeshare by TAZ'!B:B)</f>
        <v>Unincorporated</v>
      </c>
      <c r="C2354" s="38" t="str">
        <f>_xlfn.XLOOKUP(A2354,'Model Modeshare by TAZ'!A:A,'Model Modeshare by TAZ'!D:D)</f>
        <v>NO</v>
      </c>
      <c r="D2354" s="6">
        <v>8</v>
      </c>
      <c r="E2354" s="6">
        <v>1842</v>
      </c>
      <c r="F2354" s="6">
        <v>4378</v>
      </c>
      <c r="G2354" s="6">
        <v>4394</v>
      </c>
      <c r="H2354" s="6">
        <v>2198</v>
      </c>
      <c r="I2354" s="6">
        <v>1486</v>
      </c>
      <c r="J2354" s="6">
        <v>356</v>
      </c>
      <c r="K2354" s="40">
        <v>1398</v>
      </c>
      <c r="L2354" s="40">
        <v>83</v>
      </c>
      <c r="M2354" s="40">
        <v>733</v>
      </c>
      <c r="N2354" s="40">
        <v>70</v>
      </c>
      <c r="O2354" s="40">
        <v>393</v>
      </c>
      <c r="P2354" s="40">
        <v>103</v>
      </c>
      <c r="Q2354" s="40">
        <v>44</v>
      </c>
      <c r="R2354" s="40">
        <v>108</v>
      </c>
      <c r="S2354" s="40">
        <v>14</v>
      </c>
    </row>
    <row r="2355" spans="1:19" x14ac:dyDescent="0.35">
      <c r="A2355" s="38">
        <v>2718</v>
      </c>
      <c r="B2355" s="38" t="str">
        <f>_xlfn.XLOOKUP(A2355,'Model Modeshare by TAZ'!A:A,'Model Modeshare by TAZ'!B:B)</f>
        <v>Unincorporated</v>
      </c>
      <c r="C2355" s="38" t="str">
        <f>_xlfn.XLOOKUP(A2355,'Model Modeshare by TAZ'!A:A,'Model Modeshare by TAZ'!D:D)</f>
        <v>NO</v>
      </c>
      <c r="D2355" s="6">
        <v>8</v>
      </c>
      <c r="E2355" s="6">
        <v>1558</v>
      </c>
      <c r="F2355" s="6">
        <v>3582</v>
      </c>
      <c r="G2355" s="6">
        <v>3735</v>
      </c>
      <c r="H2355" s="6">
        <v>1873</v>
      </c>
      <c r="I2355" s="6">
        <v>1263</v>
      </c>
      <c r="J2355" s="6">
        <v>295</v>
      </c>
      <c r="K2355" s="40">
        <v>1286</v>
      </c>
      <c r="L2355" s="40">
        <v>201</v>
      </c>
      <c r="M2355" s="40">
        <v>2252</v>
      </c>
      <c r="N2355" s="40">
        <v>209</v>
      </c>
      <c r="O2355" s="40">
        <v>1187</v>
      </c>
      <c r="P2355" s="40">
        <v>317</v>
      </c>
      <c r="Q2355" s="40">
        <v>135</v>
      </c>
      <c r="R2355" s="40">
        <v>356</v>
      </c>
      <c r="S2355" s="40">
        <v>47</v>
      </c>
    </row>
    <row r="2356" spans="1:19" x14ac:dyDescent="0.35">
      <c r="A2356" s="38">
        <v>2719</v>
      </c>
      <c r="B2356" s="38" t="str">
        <f>_xlfn.XLOOKUP(A2356,'Model Modeshare by TAZ'!A:A,'Model Modeshare by TAZ'!B:B)</f>
        <v>Unincorporated</v>
      </c>
      <c r="C2356" s="38" t="str">
        <f>_xlfn.XLOOKUP(A2356,'Model Modeshare by TAZ'!A:A,'Model Modeshare by TAZ'!D:D)</f>
        <v>NO</v>
      </c>
      <c r="D2356" s="6">
        <v>8</v>
      </c>
      <c r="E2356" s="6">
        <v>1952</v>
      </c>
      <c r="F2356" s="6">
        <v>4617</v>
      </c>
      <c r="G2356" s="6">
        <v>4639</v>
      </c>
      <c r="H2356" s="6">
        <v>2375</v>
      </c>
      <c r="I2356" s="6">
        <v>1816</v>
      </c>
      <c r="J2356" s="6">
        <v>136</v>
      </c>
      <c r="K2356" s="40">
        <v>3928</v>
      </c>
      <c r="L2356" s="40">
        <v>96</v>
      </c>
      <c r="M2356" s="40">
        <v>539</v>
      </c>
      <c r="N2356" s="40">
        <v>63</v>
      </c>
      <c r="O2356" s="40">
        <v>225</v>
      </c>
      <c r="P2356" s="40">
        <v>131</v>
      </c>
      <c r="Q2356" s="40">
        <v>95</v>
      </c>
      <c r="R2356" s="40">
        <v>19</v>
      </c>
      <c r="S2356" s="40">
        <v>6</v>
      </c>
    </row>
    <row r="2357" spans="1:19" x14ac:dyDescent="0.35">
      <c r="A2357" s="38">
        <v>2720</v>
      </c>
      <c r="B2357" s="38" t="str">
        <f>_xlfn.XLOOKUP(A2357,'Model Modeshare by TAZ'!A:A,'Model Modeshare by TAZ'!B:B)</f>
        <v>Unincorporated</v>
      </c>
      <c r="C2357" s="38" t="str">
        <f>_xlfn.XLOOKUP(A2357,'Model Modeshare by TAZ'!A:A,'Model Modeshare by TAZ'!D:D)</f>
        <v>NO</v>
      </c>
      <c r="D2357" s="6">
        <v>8</v>
      </c>
      <c r="E2357" s="6">
        <v>1693</v>
      </c>
      <c r="F2357" s="6">
        <v>4243</v>
      </c>
      <c r="G2357" s="6">
        <v>4243</v>
      </c>
      <c r="H2357" s="6">
        <v>1982</v>
      </c>
      <c r="I2357" s="6">
        <v>1603</v>
      </c>
      <c r="J2357" s="6">
        <v>90</v>
      </c>
      <c r="K2357" s="40">
        <v>4547</v>
      </c>
      <c r="L2357" s="40">
        <v>39</v>
      </c>
      <c r="M2357" s="40">
        <v>536</v>
      </c>
      <c r="N2357" s="40">
        <v>66</v>
      </c>
      <c r="O2357" s="40">
        <v>222</v>
      </c>
      <c r="P2357" s="40">
        <v>129</v>
      </c>
      <c r="Q2357" s="40">
        <v>96</v>
      </c>
      <c r="R2357" s="40">
        <v>16</v>
      </c>
      <c r="S2357" s="40">
        <v>7</v>
      </c>
    </row>
    <row r="2358" spans="1:19" x14ac:dyDescent="0.35">
      <c r="A2358" s="38">
        <v>2721</v>
      </c>
      <c r="B2358" s="38" t="str">
        <f>_xlfn.XLOOKUP(A2358,'Model Modeshare by TAZ'!A:A,'Model Modeshare by TAZ'!B:B)</f>
        <v>Unincorporated</v>
      </c>
      <c r="C2358" s="38" t="str">
        <f>_xlfn.XLOOKUP(A2358,'Model Modeshare by TAZ'!A:A,'Model Modeshare by TAZ'!D:D)</f>
        <v>NO</v>
      </c>
      <c r="D2358" s="6">
        <v>8</v>
      </c>
      <c r="E2358" s="6">
        <v>1607</v>
      </c>
      <c r="F2358" s="6">
        <v>3202</v>
      </c>
      <c r="G2358" s="6">
        <v>3219</v>
      </c>
      <c r="H2358" s="6">
        <v>1526</v>
      </c>
      <c r="I2358" s="6">
        <v>1528</v>
      </c>
      <c r="J2358" s="6">
        <v>79</v>
      </c>
      <c r="K2358" s="40">
        <v>5317</v>
      </c>
      <c r="L2358" s="40">
        <v>554</v>
      </c>
      <c r="M2358" s="40">
        <v>2237</v>
      </c>
      <c r="N2358" s="40">
        <v>397</v>
      </c>
      <c r="O2358" s="40">
        <v>589</v>
      </c>
      <c r="P2358" s="40">
        <v>457</v>
      </c>
      <c r="Q2358" s="40">
        <v>31</v>
      </c>
      <c r="R2358" s="40">
        <v>573</v>
      </c>
      <c r="S2358" s="40">
        <v>190</v>
      </c>
    </row>
    <row r="2359" spans="1:19" x14ac:dyDescent="0.35">
      <c r="A2359" s="38">
        <v>2722</v>
      </c>
      <c r="B2359" s="38" t="str">
        <f>_xlfn.XLOOKUP(A2359,'Model Modeshare by TAZ'!A:A,'Model Modeshare by TAZ'!B:B)</f>
        <v>Unincorporated</v>
      </c>
      <c r="C2359" s="38" t="str">
        <f>_xlfn.XLOOKUP(A2359,'Model Modeshare by TAZ'!A:A,'Model Modeshare by TAZ'!D:D)</f>
        <v>NO</v>
      </c>
      <c r="D2359" s="6">
        <v>8</v>
      </c>
      <c r="E2359" s="6">
        <v>1650</v>
      </c>
      <c r="F2359" s="6">
        <v>3039</v>
      </c>
      <c r="G2359" s="6">
        <v>3039</v>
      </c>
      <c r="H2359" s="6">
        <v>1371</v>
      </c>
      <c r="I2359" s="6">
        <v>1410</v>
      </c>
      <c r="J2359" s="6">
        <v>240</v>
      </c>
      <c r="K2359" s="40">
        <v>2311</v>
      </c>
      <c r="L2359" s="40">
        <v>278</v>
      </c>
      <c r="M2359" s="40">
        <v>525</v>
      </c>
      <c r="N2359" s="40">
        <v>0</v>
      </c>
      <c r="O2359" s="40">
        <v>207</v>
      </c>
      <c r="P2359" s="40">
        <v>242</v>
      </c>
      <c r="Q2359" s="40">
        <v>6</v>
      </c>
      <c r="R2359" s="40">
        <v>28</v>
      </c>
      <c r="S2359" s="40">
        <v>42</v>
      </c>
    </row>
    <row r="2360" spans="1:19" x14ac:dyDescent="0.35">
      <c r="A2360" s="38">
        <v>2723</v>
      </c>
      <c r="B2360" s="38" t="str">
        <f>_xlfn.XLOOKUP(A2360,'Model Modeshare by TAZ'!A:A,'Model Modeshare by TAZ'!B:B)</f>
        <v>Unincorporated</v>
      </c>
      <c r="C2360" s="38" t="str">
        <f>_xlfn.XLOOKUP(A2360,'Model Modeshare by TAZ'!A:A,'Model Modeshare by TAZ'!D:D)</f>
        <v>NO</v>
      </c>
      <c r="D2360" s="6">
        <v>8</v>
      </c>
      <c r="E2360" s="6">
        <v>1687</v>
      </c>
      <c r="F2360" s="6">
        <v>3742</v>
      </c>
      <c r="G2360" s="6">
        <v>3742</v>
      </c>
      <c r="H2360" s="6">
        <v>1648</v>
      </c>
      <c r="I2360" s="6">
        <v>1342</v>
      </c>
      <c r="J2360" s="6">
        <v>345</v>
      </c>
      <c r="K2360" s="40">
        <v>1838</v>
      </c>
      <c r="L2360" s="40">
        <v>450</v>
      </c>
      <c r="M2360" s="40">
        <v>1968</v>
      </c>
      <c r="N2360" s="40">
        <v>0</v>
      </c>
      <c r="O2360" s="40">
        <v>761</v>
      </c>
      <c r="P2360" s="40">
        <v>920</v>
      </c>
      <c r="Q2360" s="40">
        <v>24</v>
      </c>
      <c r="R2360" s="40">
        <v>111</v>
      </c>
      <c r="S2360" s="40">
        <v>153</v>
      </c>
    </row>
    <row r="2361" spans="1:19" x14ac:dyDescent="0.35">
      <c r="A2361" s="38">
        <v>2724</v>
      </c>
      <c r="B2361" s="38" t="str">
        <f>_xlfn.XLOOKUP(A2361,'Model Modeshare by TAZ'!A:A,'Model Modeshare by TAZ'!B:B)</f>
        <v>Unincorporated</v>
      </c>
      <c r="C2361" s="38" t="str">
        <f>_xlfn.XLOOKUP(A2361,'Model Modeshare by TAZ'!A:A,'Model Modeshare by TAZ'!D:D)</f>
        <v>NO</v>
      </c>
      <c r="D2361" s="6">
        <v>8</v>
      </c>
      <c r="E2361" s="6">
        <v>1950</v>
      </c>
      <c r="F2361" s="6">
        <v>4484</v>
      </c>
      <c r="G2361" s="6">
        <v>4489</v>
      </c>
      <c r="H2361" s="6">
        <v>2183</v>
      </c>
      <c r="I2361" s="6">
        <v>1772</v>
      </c>
      <c r="J2361" s="6">
        <v>178</v>
      </c>
      <c r="K2361" s="40">
        <v>3592</v>
      </c>
      <c r="L2361" s="40">
        <v>402</v>
      </c>
      <c r="M2361" s="40">
        <v>1474</v>
      </c>
      <c r="N2361" s="40">
        <v>133</v>
      </c>
      <c r="O2361" s="40">
        <v>385</v>
      </c>
      <c r="P2361" s="40">
        <v>594</v>
      </c>
      <c r="Q2361" s="40">
        <v>71</v>
      </c>
      <c r="R2361" s="40">
        <v>288</v>
      </c>
      <c r="S2361" s="40">
        <v>3</v>
      </c>
    </row>
    <row r="2362" spans="1:19" x14ac:dyDescent="0.35">
      <c r="A2362" s="38">
        <v>2725</v>
      </c>
      <c r="B2362" s="38" t="str">
        <f>_xlfn.XLOOKUP(A2362,'Model Modeshare by TAZ'!A:A,'Model Modeshare by TAZ'!B:B)</f>
        <v>Unincorporated</v>
      </c>
      <c r="C2362" s="38" t="str">
        <f>_xlfn.XLOOKUP(A2362,'Model Modeshare by TAZ'!A:A,'Model Modeshare by TAZ'!D:D)</f>
        <v>NO</v>
      </c>
      <c r="D2362" s="6">
        <v>8</v>
      </c>
      <c r="E2362" s="6">
        <v>1723</v>
      </c>
      <c r="F2362" s="6">
        <v>3882</v>
      </c>
      <c r="G2362" s="6">
        <v>3926</v>
      </c>
      <c r="H2362" s="6">
        <v>1951</v>
      </c>
      <c r="I2362" s="6">
        <v>1561</v>
      </c>
      <c r="J2362" s="6">
        <v>162</v>
      </c>
      <c r="K2362" s="40">
        <v>1896</v>
      </c>
      <c r="L2362" s="40">
        <v>302</v>
      </c>
      <c r="M2362" s="40">
        <v>795</v>
      </c>
      <c r="N2362" s="40">
        <v>70</v>
      </c>
      <c r="O2362" s="40">
        <v>204</v>
      </c>
      <c r="P2362" s="40">
        <v>325</v>
      </c>
      <c r="Q2362" s="40">
        <v>39</v>
      </c>
      <c r="R2362" s="40">
        <v>154</v>
      </c>
      <c r="S2362" s="40">
        <v>3</v>
      </c>
    </row>
    <row r="2363" spans="1:19" x14ac:dyDescent="0.35">
      <c r="A2363" s="38">
        <v>2726</v>
      </c>
      <c r="B2363" s="38" t="str">
        <f>_xlfn.XLOOKUP(A2363,'Model Modeshare by TAZ'!A:A,'Model Modeshare by TAZ'!B:B)</f>
        <v>Unincorporated</v>
      </c>
      <c r="C2363" s="38" t="str">
        <f>_xlfn.XLOOKUP(A2363,'Model Modeshare by TAZ'!A:A,'Model Modeshare by TAZ'!D:D)</f>
        <v>NO</v>
      </c>
      <c r="D2363" s="6">
        <v>8</v>
      </c>
      <c r="E2363" s="6">
        <v>3132</v>
      </c>
      <c r="F2363" s="6">
        <v>10658</v>
      </c>
      <c r="G2363" s="6">
        <v>10742</v>
      </c>
      <c r="H2363" s="6">
        <v>5067</v>
      </c>
      <c r="I2363" s="6">
        <v>2914</v>
      </c>
      <c r="J2363" s="6">
        <v>218</v>
      </c>
      <c r="K2363" s="40">
        <v>2745</v>
      </c>
      <c r="L2363" s="40">
        <v>821</v>
      </c>
      <c r="M2363" s="40">
        <v>1534</v>
      </c>
      <c r="N2363" s="40">
        <v>110</v>
      </c>
      <c r="O2363" s="40">
        <v>633</v>
      </c>
      <c r="P2363" s="40">
        <v>529</v>
      </c>
      <c r="Q2363" s="40">
        <v>53</v>
      </c>
      <c r="R2363" s="40">
        <v>180</v>
      </c>
      <c r="S2363" s="40">
        <v>29</v>
      </c>
    </row>
    <row r="2364" spans="1:19" x14ac:dyDescent="0.35">
      <c r="A2364" s="38">
        <v>2727</v>
      </c>
      <c r="B2364" s="38" t="str">
        <f>_xlfn.XLOOKUP(A2364,'Model Modeshare by TAZ'!A:A,'Model Modeshare by TAZ'!B:B)</f>
        <v>Windsor</v>
      </c>
      <c r="C2364" s="38" t="str">
        <f>_xlfn.XLOOKUP(A2364,'Model Modeshare by TAZ'!A:A,'Model Modeshare by TAZ'!D:D)</f>
        <v>NO</v>
      </c>
      <c r="D2364" s="6">
        <v>8</v>
      </c>
      <c r="E2364" s="6">
        <v>3059</v>
      </c>
      <c r="F2364" s="6">
        <v>8679</v>
      </c>
      <c r="G2364" s="6">
        <v>8713</v>
      </c>
      <c r="H2364" s="6">
        <v>4418</v>
      </c>
      <c r="I2364" s="6">
        <v>1870</v>
      </c>
      <c r="J2364" s="6">
        <v>1189</v>
      </c>
      <c r="K2364" s="40">
        <v>911</v>
      </c>
      <c r="L2364" s="40">
        <v>411</v>
      </c>
      <c r="M2364" s="40">
        <v>4384</v>
      </c>
      <c r="N2364" s="40">
        <v>276</v>
      </c>
      <c r="O2364" s="40">
        <v>2029</v>
      </c>
      <c r="P2364" s="40">
        <v>1398</v>
      </c>
      <c r="Q2364" s="40">
        <v>149</v>
      </c>
      <c r="R2364" s="40">
        <v>451</v>
      </c>
      <c r="S2364" s="40">
        <v>81</v>
      </c>
    </row>
    <row r="2365" spans="1:19" x14ac:dyDescent="0.35">
      <c r="A2365" s="38">
        <v>2728</v>
      </c>
      <c r="B2365" s="38" t="str">
        <f>_xlfn.XLOOKUP(A2365,'Model Modeshare by TAZ'!A:A,'Model Modeshare by TAZ'!B:B)</f>
        <v>Unincorporated</v>
      </c>
      <c r="C2365" s="38" t="str">
        <f>_xlfn.XLOOKUP(A2365,'Model Modeshare by TAZ'!A:A,'Model Modeshare by TAZ'!D:D)</f>
        <v>NO</v>
      </c>
      <c r="D2365" s="6">
        <v>8</v>
      </c>
      <c r="E2365" s="6">
        <v>3861</v>
      </c>
      <c r="F2365" s="6">
        <v>10265</v>
      </c>
      <c r="G2365" s="6">
        <v>10286</v>
      </c>
      <c r="H2365" s="6">
        <v>4979</v>
      </c>
      <c r="I2365" s="6">
        <v>3673</v>
      </c>
      <c r="J2365" s="6">
        <v>188</v>
      </c>
      <c r="K2365" s="40">
        <v>2471</v>
      </c>
      <c r="L2365" s="40">
        <v>172</v>
      </c>
      <c r="M2365" s="40">
        <v>1652</v>
      </c>
      <c r="N2365" s="40">
        <v>106</v>
      </c>
      <c r="O2365" s="40">
        <v>735</v>
      </c>
      <c r="P2365" s="40">
        <v>546</v>
      </c>
      <c r="Q2365" s="40">
        <v>58</v>
      </c>
      <c r="R2365" s="40">
        <v>172</v>
      </c>
      <c r="S2365" s="40">
        <v>35</v>
      </c>
    </row>
    <row r="2366" spans="1:19" x14ac:dyDescent="0.35">
      <c r="A2366" s="38">
        <v>2729</v>
      </c>
      <c r="B2366" s="38" t="str">
        <f>_xlfn.XLOOKUP(A2366,'Model Modeshare by TAZ'!A:A,'Model Modeshare by TAZ'!B:B)</f>
        <v>Unincorporated</v>
      </c>
      <c r="C2366" s="38" t="str">
        <f>_xlfn.XLOOKUP(A2366,'Model Modeshare by TAZ'!A:A,'Model Modeshare by TAZ'!D:D)</f>
        <v>NO</v>
      </c>
      <c r="D2366" s="6">
        <v>8</v>
      </c>
      <c r="E2366" s="6">
        <v>2127</v>
      </c>
      <c r="F2366" s="6">
        <v>4656</v>
      </c>
      <c r="G2366" s="6">
        <v>4865</v>
      </c>
      <c r="H2366" s="6">
        <v>2330</v>
      </c>
      <c r="I2366" s="6">
        <v>1875</v>
      </c>
      <c r="J2366" s="6">
        <v>252</v>
      </c>
      <c r="K2366" s="40">
        <v>3065</v>
      </c>
      <c r="L2366" s="40">
        <v>1244</v>
      </c>
      <c r="M2366" s="40">
        <v>1420</v>
      </c>
      <c r="N2366" s="40">
        <v>241</v>
      </c>
      <c r="O2366" s="40">
        <v>737</v>
      </c>
      <c r="P2366" s="40">
        <v>76</v>
      </c>
      <c r="Q2366" s="40">
        <v>98</v>
      </c>
      <c r="R2366" s="40">
        <v>135</v>
      </c>
      <c r="S2366" s="40">
        <v>132</v>
      </c>
    </row>
    <row r="2367" spans="1:19" x14ac:dyDescent="0.35">
      <c r="A2367" s="38">
        <v>2730</v>
      </c>
      <c r="B2367" s="38" t="str">
        <f>_xlfn.XLOOKUP(A2367,'Model Modeshare by TAZ'!A:A,'Model Modeshare by TAZ'!B:B)</f>
        <v>Healdsburg</v>
      </c>
      <c r="C2367" s="38" t="str">
        <f>_xlfn.XLOOKUP(A2367,'Model Modeshare by TAZ'!A:A,'Model Modeshare by TAZ'!D:D)</f>
        <v>NO</v>
      </c>
      <c r="D2367" s="6">
        <v>8</v>
      </c>
      <c r="E2367" s="6">
        <v>1691</v>
      </c>
      <c r="F2367" s="6">
        <v>4052</v>
      </c>
      <c r="G2367" s="6">
        <v>4052</v>
      </c>
      <c r="H2367" s="6">
        <v>2010</v>
      </c>
      <c r="I2367" s="6">
        <v>1457</v>
      </c>
      <c r="J2367" s="6">
        <v>234</v>
      </c>
      <c r="K2367" s="40">
        <v>614</v>
      </c>
      <c r="L2367" s="40">
        <v>77</v>
      </c>
      <c r="M2367" s="40">
        <v>964</v>
      </c>
      <c r="N2367" s="40">
        <v>208</v>
      </c>
      <c r="O2367" s="40">
        <v>462</v>
      </c>
      <c r="P2367" s="40">
        <v>75</v>
      </c>
      <c r="Q2367" s="40">
        <v>77</v>
      </c>
      <c r="R2367" s="40">
        <v>111</v>
      </c>
      <c r="S2367" s="40">
        <v>31</v>
      </c>
    </row>
    <row r="2368" spans="1:19" x14ac:dyDescent="0.35">
      <c r="A2368" s="38">
        <v>2731</v>
      </c>
      <c r="B2368" s="38" t="str">
        <f>_xlfn.XLOOKUP(A2368,'Model Modeshare by TAZ'!A:A,'Model Modeshare by TAZ'!B:B)</f>
        <v>Healdsburg</v>
      </c>
      <c r="C2368" s="38" t="str">
        <f>_xlfn.XLOOKUP(A2368,'Model Modeshare by TAZ'!A:A,'Model Modeshare by TAZ'!D:D)</f>
        <v>NO</v>
      </c>
      <c r="D2368" s="6">
        <v>8</v>
      </c>
      <c r="E2368" s="6">
        <v>1684</v>
      </c>
      <c r="F2368" s="6">
        <v>4204</v>
      </c>
      <c r="G2368" s="6">
        <v>4265</v>
      </c>
      <c r="H2368" s="6">
        <v>2111</v>
      </c>
      <c r="I2368" s="6">
        <v>1067</v>
      </c>
      <c r="J2368" s="6">
        <v>617</v>
      </c>
      <c r="K2368" s="40">
        <v>266</v>
      </c>
      <c r="L2368" s="40">
        <v>499</v>
      </c>
      <c r="M2368" s="40">
        <v>5937</v>
      </c>
      <c r="N2368" s="40">
        <v>1282</v>
      </c>
      <c r="O2368" s="40">
        <v>2850</v>
      </c>
      <c r="P2368" s="40">
        <v>440</v>
      </c>
      <c r="Q2368" s="40">
        <v>470</v>
      </c>
      <c r="R2368" s="40">
        <v>696</v>
      </c>
      <c r="S2368" s="40">
        <v>198</v>
      </c>
    </row>
    <row r="2369" spans="1:19" x14ac:dyDescent="0.35">
      <c r="A2369" s="38">
        <v>2732</v>
      </c>
      <c r="B2369" s="38" t="str">
        <f>_xlfn.XLOOKUP(A2369,'Model Modeshare by TAZ'!A:A,'Model Modeshare by TAZ'!B:B)</f>
        <v>Unincorporated</v>
      </c>
      <c r="C2369" s="38" t="str">
        <f>_xlfn.XLOOKUP(A2369,'Model Modeshare by TAZ'!A:A,'Model Modeshare by TAZ'!D:D)</f>
        <v>NO</v>
      </c>
      <c r="D2369" s="6">
        <v>8</v>
      </c>
      <c r="E2369" s="6">
        <v>1080</v>
      </c>
      <c r="F2369" s="6">
        <v>2715</v>
      </c>
      <c r="G2369" s="6">
        <v>2825</v>
      </c>
      <c r="H2369" s="6">
        <v>1167</v>
      </c>
      <c r="I2369" s="6">
        <v>990</v>
      </c>
      <c r="J2369" s="6">
        <v>90</v>
      </c>
      <c r="K2369" s="40">
        <v>3366</v>
      </c>
      <c r="L2369" s="40">
        <v>1309</v>
      </c>
      <c r="M2369" s="40">
        <v>1071</v>
      </c>
      <c r="N2369" s="40">
        <v>30</v>
      </c>
      <c r="O2369" s="40">
        <v>73</v>
      </c>
      <c r="P2369" s="40">
        <v>370</v>
      </c>
      <c r="Q2369" s="40">
        <v>88</v>
      </c>
      <c r="R2369" s="40">
        <v>473</v>
      </c>
      <c r="S2369" s="40">
        <v>38</v>
      </c>
    </row>
    <row r="2370" spans="1:19" x14ac:dyDescent="0.35">
      <c r="A2370" s="38">
        <v>2733</v>
      </c>
      <c r="B2370" s="38" t="str">
        <f>_xlfn.XLOOKUP(A2370,'Model Modeshare by TAZ'!A:A,'Model Modeshare by TAZ'!B:B)</f>
        <v>Unincorporated</v>
      </c>
      <c r="C2370" s="38" t="str">
        <f>_xlfn.XLOOKUP(A2370,'Model Modeshare by TAZ'!A:A,'Model Modeshare by TAZ'!D:D)</f>
        <v>NO</v>
      </c>
      <c r="D2370" s="6">
        <v>8</v>
      </c>
      <c r="E2370" s="6">
        <v>1382</v>
      </c>
      <c r="F2370" s="6">
        <v>3770</v>
      </c>
      <c r="G2370" s="6">
        <v>3886</v>
      </c>
      <c r="H2370" s="6">
        <v>1938</v>
      </c>
      <c r="I2370" s="6">
        <v>1191</v>
      </c>
      <c r="J2370" s="6">
        <v>191</v>
      </c>
      <c r="K2370" s="40">
        <v>3682</v>
      </c>
      <c r="L2370" s="40">
        <v>2348</v>
      </c>
      <c r="M2370" s="40">
        <v>2324</v>
      </c>
      <c r="N2370" s="40">
        <v>125</v>
      </c>
      <c r="O2370" s="40">
        <v>209</v>
      </c>
      <c r="P2370" s="40">
        <v>281</v>
      </c>
      <c r="Q2370" s="40">
        <v>366</v>
      </c>
      <c r="R2370" s="40">
        <v>1093</v>
      </c>
      <c r="S2370" s="40">
        <v>251</v>
      </c>
    </row>
    <row r="2371" spans="1:19" x14ac:dyDescent="0.35">
      <c r="A2371" s="38">
        <v>2734</v>
      </c>
      <c r="B2371" s="38" t="str">
        <f>_xlfn.XLOOKUP(A2371,'Model Modeshare by TAZ'!A:A,'Model Modeshare by TAZ'!B:B)</f>
        <v>Unincorporated</v>
      </c>
      <c r="C2371" s="38" t="str">
        <f>_xlfn.XLOOKUP(A2371,'Model Modeshare by TAZ'!A:A,'Model Modeshare by TAZ'!D:D)</f>
        <v>NO</v>
      </c>
      <c r="D2371" s="6">
        <v>8</v>
      </c>
      <c r="E2371" s="6">
        <v>3613</v>
      </c>
      <c r="F2371" s="6">
        <v>9704</v>
      </c>
      <c r="G2371" s="6">
        <v>9825</v>
      </c>
      <c r="H2371" s="6">
        <v>4597</v>
      </c>
      <c r="I2371" s="6">
        <v>2695</v>
      </c>
      <c r="J2371" s="6">
        <v>918</v>
      </c>
      <c r="K2371" s="40">
        <v>3210</v>
      </c>
      <c r="L2371" s="40">
        <v>1688</v>
      </c>
      <c r="M2371" s="40">
        <v>2490</v>
      </c>
      <c r="N2371" s="40">
        <v>383</v>
      </c>
      <c r="O2371" s="40">
        <v>655</v>
      </c>
      <c r="P2371" s="40">
        <v>468</v>
      </c>
      <c r="Q2371" s="40">
        <v>134</v>
      </c>
      <c r="R2371" s="40">
        <v>665</v>
      </c>
      <c r="S2371" s="40">
        <v>186</v>
      </c>
    </row>
    <row r="2372" spans="1:19" x14ac:dyDescent="0.35">
      <c r="A2372" s="38">
        <v>2735</v>
      </c>
      <c r="B2372" s="38" t="str">
        <f>_xlfn.XLOOKUP(A2372,'Model Modeshare by TAZ'!A:A,'Model Modeshare by TAZ'!B:B)</f>
        <v>Unincorporated</v>
      </c>
      <c r="C2372" s="38" t="str">
        <f>_xlfn.XLOOKUP(A2372,'Model Modeshare by TAZ'!A:A,'Model Modeshare by TAZ'!D:D)</f>
        <v>NO</v>
      </c>
      <c r="D2372" s="6">
        <v>8</v>
      </c>
      <c r="E2372" s="6">
        <v>1716</v>
      </c>
      <c r="F2372" s="6">
        <v>3457</v>
      </c>
      <c r="G2372" s="6">
        <v>3640</v>
      </c>
      <c r="H2372" s="6">
        <v>1679</v>
      </c>
      <c r="I2372" s="6">
        <v>1551</v>
      </c>
      <c r="J2372" s="6">
        <v>165</v>
      </c>
      <c r="K2372" s="40">
        <v>12859</v>
      </c>
      <c r="L2372" s="40">
        <v>1278</v>
      </c>
      <c r="M2372" s="40">
        <v>1424</v>
      </c>
      <c r="N2372" s="40">
        <v>279</v>
      </c>
      <c r="O2372" s="40">
        <v>348</v>
      </c>
      <c r="P2372" s="40">
        <v>282</v>
      </c>
      <c r="Q2372" s="40">
        <v>20</v>
      </c>
      <c r="R2372" s="40">
        <v>408</v>
      </c>
      <c r="S2372" s="40">
        <v>87</v>
      </c>
    </row>
    <row r="2373" spans="1:19" x14ac:dyDescent="0.35">
      <c r="A2373" s="38">
        <v>2736</v>
      </c>
      <c r="B2373" s="38" t="str">
        <f>_xlfn.XLOOKUP(A2373,'Model Modeshare by TAZ'!A:A,'Model Modeshare by TAZ'!B:B)</f>
        <v>Unincorporated</v>
      </c>
      <c r="C2373" s="38" t="str">
        <f>_xlfn.XLOOKUP(A2373,'Model Modeshare by TAZ'!A:A,'Model Modeshare by TAZ'!D:D)</f>
        <v>NO</v>
      </c>
      <c r="D2373" s="6">
        <v>9</v>
      </c>
      <c r="E2373" s="6">
        <v>1064</v>
      </c>
      <c r="F2373" s="6">
        <v>2717</v>
      </c>
      <c r="G2373" s="6">
        <v>2717</v>
      </c>
      <c r="H2373" s="6">
        <v>1270</v>
      </c>
      <c r="I2373" s="6">
        <v>1038</v>
      </c>
      <c r="J2373" s="6">
        <v>26</v>
      </c>
      <c r="K2373" s="40">
        <v>1047</v>
      </c>
      <c r="L2373" s="40">
        <v>858</v>
      </c>
      <c r="M2373" s="40">
        <v>368</v>
      </c>
      <c r="N2373" s="40">
        <v>42</v>
      </c>
      <c r="O2373" s="40">
        <v>219</v>
      </c>
      <c r="P2373" s="40">
        <v>83</v>
      </c>
      <c r="Q2373" s="40">
        <v>1</v>
      </c>
      <c r="R2373" s="40">
        <v>18</v>
      </c>
      <c r="S2373" s="40">
        <v>4</v>
      </c>
    </row>
    <row r="2374" spans="1:19" x14ac:dyDescent="0.35">
      <c r="A2374" s="38">
        <v>2737</v>
      </c>
      <c r="B2374" s="38" t="str">
        <f>_xlfn.XLOOKUP(A2374,'Model Modeshare by TAZ'!A:A,'Model Modeshare by TAZ'!B:B)</f>
        <v>Novato</v>
      </c>
      <c r="C2374" s="38" t="str">
        <f>_xlfn.XLOOKUP(A2374,'Model Modeshare by TAZ'!A:A,'Model Modeshare by TAZ'!D:D)</f>
        <v>NO</v>
      </c>
      <c r="D2374" s="6">
        <v>9</v>
      </c>
      <c r="E2374" s="6">
        <v>1122</v>
      </c>
      <c r="F2374" s="6">
        <v>3023</v>
      </c>
      <c r="G2374" s="6">
        <v>3023</v>
      </c>
      <c r="H2374" s="6">
        <v>1725</v>
      </c>
      <c r="I2374" s="6">
        <v>989</v>
      </c>
      <c r="J2374" s="6">
        <v>133</v>
      </c>
      <c r="K2374" s="40">
        <v>518</v>
      </c>
      <c r="L2374" s="40">
        <v>189</v>
      </c>
      <c r="M2374" s="40">
        <v>3567</v>
      </c>
      <c r="N2374" s="40">
        <v>725</v>
      </c>
      <c r="O2374" s="40">
        <v>1438</v>
      </c>
      <c r="P2374" s="40">
        <v>1259</v>
      </c>
      <c r="Q2374" s="40">
        <v>0</v>
      </c>
      <c r="R2374" s="40">
        <v>20</v>
      </c>
      <c r="S2374" s="40">
        <v>125</v>
      </c>
    </row>
    <row r="2375" spans="1:19" x14ac:dyDescent="0.35">
      <c r="A2375" s="38">
        <v>2738</v>
      </c>
      <c r="B2375" s="38" t="str">
        <f>_xlfn.XLOOKUP(A2375,'Model Modeshare by TAZ'!A:A,'Model Modeshare by TAZ'!B:B)</f>
        <v>Unincorporated</v>
      </c>
      <c r="C2375" s="38" t="str">
        <f>_xlfn.XLOOKUP(A2375,'Model Modeshare by TAZ'!A:A,'Model Modeshare by TAZ'!D:D)</f>
        <v>NO</v>
      </c>
      <c r="D2375" s="6">
        <v>9</v>
      </c>
      <c r="E2375" s="6">
        <v>684</v>
      </c>
      <c r="F2375" s="6">
        <v>1622</v>
      </c>
      <c r="G2375" s="6">
        <v>1624</v>
      </c>
      <c r="H2375" s="6">
        <v>788</v>
      </c>
      <c r="I2375" s="6">
        <v>679</v>
      </c>
      <c r="J2375" s="6">
        <v>5</v>
      </c>
      <c r="K2375" s="40">
        <v>205</v>
      </c>
      <c r="L2375" s="40">
        <v>97</v>
      </c>
      <c r="M2375" s="40">
        <v>2033</v>
      </c>
      <c r="N2375" s="40">
        <v>374</v>
      </c>
      <c r="O2375" s="40">
        <v>797</v>
      </c>
      <c r="P2375" s="40">
        <v>534</v>
      </c>
      <c r="Q2375" s="40">
        <v>9</v>
      </c>
      <c r="R2375" s="40">
        <v>175</v>
      </c>
      <c r="S2375" s="40">
        <v>145</v>
      </c>
    </row>
    <row r="2376" spans="1:19" x14ac:dyDescent="0.35">
      <c r="A2376" s="38">
        <v>2739</v>
      </c>
      <c r="B2376" s="38" t="str">
        <f>_xlfn.XLOOKUP(A2376,'Model Modeshare by TAZ'!A:A,'Model Modeshare by TAZ'!B:B)</f>
        <v>Novato</v>
      </c>
      <c r="C2376" s="38" t="str">
        <f>_xlfn.XLOOKUP(A2376,'Model Modeshare by TAZ'!A:A,'Model Modeshare by TAZ'!D:D)</f>
        <v>NO</v>
      </c>
      <c r="D2376" s="6">
        <v>9</v>
      </c>
      <c r="E2376" s="6">
        <v>2685</v>
      </c>
      <c r="F2376" s="6">
        <v>6283</v>
      </c>
      <c r="G2376" s="6">
        <v>6394</v>
      </c>
      <c r="H2376" s="6">
        <v>3129</v>
      </c>
      <c r="I2376" s="6">
        <v>1049</v>
      </c>
      <c r="J2376" s="6">
        <v>1636</v>
      </c>
      <c r="K2376" s="40">
        <v>745</v>
      </c>
      <c r="L2376" s="40">
        <v>506</v>
      </c>
      <c r="M2376" s="40">
        <v>4193</v>
      </c>
      <c r="N2376" s="40">
        <v>369</v>
      </c>
      <c r="O2376" s="40">
        <v>2805</v>
      </c>
      <c r="P2376" s="40">
        <v>408</v>
      </c>
      <c r="Q2376" s="40">
        <v>1</v>
      </c>
      <c r="R2376" s="40">
        <v>449</v>
      </c>
      <c r="S2376" s="40">
        <v>161</v>
      </c>
    </row>
    <row r="2377" spans="1:19" x14ac:dyDescent="0.35">
      <c r="A2377" s="38">
        <v>2740</v>
      </c>
      <c r="B2377" s="38" t="str">
        <f>_xlfn.XLOOKUP(A2377,'Model Modeshare by TAZ'!A:A,'Model Modeshare by TAZ'!B:B)</f>
        <v>Novato</v>
      </c>
      <c r="C2377" s="38" t="str">
        <f>_xlfn.XLOOKUP(A2377,'Model Modeshare by TAZ'!A:A,'Model Modeshare by TAZ'!D:D)</f>
        <v>NO</v>
      </c>
      <c r="D2377" s="6">
        <v>9</v>
      </c>
      <c r="E2377" s="6">
        <v>2495</v>
      </c>
      <c r="F2377" s="6">
        <v>5457</v>
      </c>
      <c r="G2377" s="6">
        <v>5457</v>
      </c>
      <c r="H2377" s="6">
        <v>2753</v>
      </c>
      <c r="I2377" s="6">
        <v>1846</v>
      </c>
      <c r="J2377" s="6">
        <v>649</v>
      </c>
      <c r="K2377" s="40">
        <v>824</v>
      </c>
      <c r="L2377" s="40">
        <v>54</v>
      </c>
      <c r="M2377" s="40">
        <v>1140</v>
      </c>
      <c r="N2377" s="40">
        <v>139</v>
      </c>
      <c r="O2377" s="40">
        <v>806</v>
      </c>
      <c r="P2377" s="40">
        <v>124</v>
      </c>
      <c r="Q2377" s="40">
        <v>0</v>
      </c>
      <c r="R2377" s="40">
        <v>10</v>
      </c>
      <c r="S2377" s="40">
        <v>61</v>
      </c>
    </row>
    <row r="2378" spans="1:19" x14ac:dyDescent="0.35">
      <c r="A2378" s="38">
        <v>2741</v>
      </c>
      <c r="B2378" s="38" t="str">
        <f>_xlfn.XLOOKUP(A2378,'Model Modeshare by TAZ'!A:A,'Model Modeshare by TAZ'!B:B)</f>
        <v>Novato</v>
      </c>
      <c r="C2378" s="38" t="str">
        <f>_xlfn.XLOOKUP(A2378,'Model Modeshare by TAZ'!A:A,'Model Modeshare by TAZ'!D:D)</f>
        <v>NO</v>
      </c>
      <c r="D2378" s="6">
        <v>9</v>
      </c>
      <c r="E2378" s="6">
        <v>3179</v>
      </c>
      <c r="F2378" s="6">
        <v>8301</v>
      </c>
      <c r="G2378" s="6">
        <v>8345</v>
      </c>
      <c r="H2378" s="6">
        <v>4560</v>
      </c>
      <c r="I2378" s="6">
        <v>2499</v>
      </c>
      <c r="J2378" s="6">
        <v>680</v>
      </c>
      <c r="K2378" s="40">
        <v>656</v>
      </c>
      <c r="L2378" s="40">
        <v>268</v>
      </c>
      <c r="M2378" s="40">
        <v>1917</v>
      </c>
      <c r="N2378" s="40">
        <v>266</v>
      </c>
      <c r="O2378" s="40">
        <v>1357</v>
      </c>
      <c r="P2378" s="40">
        <v>186</v>
      </c>
      <c r="Q2378" s="40">
        <v>0</v>
      </c>
      <c r="R2378" s="40">
        <v>24</v>
      </c>
      <c r="S2378" s="40">
        <v>84</v>
      </c>
    </row>
    <row r="2379" spans="1:19" x14ac:dyDescent="0.35">
      <c r="A2379" s="38">
        <v>2742</v>
      </c>
      <c r="B2379" s="38" t="str">
        <f>_xlfn.XLOOKUP(A2379,'Model Modeshare by TAZ'!A:A,'Model Modeshare by TAZ'!B:B)</f>
        <v>Novato</v>
      </c>
      <c r="C2379" s="38" t="str">
        <f>_xlfn.XLOOKUP(A2379,'Model Modeshare by TAZ'!A:A,'Model Modeshare by TAZ'!D:D)</f>
        <v>NO</v>
      </c>
      <c r="D2379" s="6">
        <v>9</v>
      </c>
      <c r="E2379" s="6">
        <v>2147</v>
      </c>
      <c r="F2379" s="6">
        <v>5467</v>
      </c>
      <c r="G2379" s="6">
        <v>5485</v>
      </c>
      <c r="H2379" s="6">
        <v>3116</v>
      </c>
      <c r="I2379" s="6">
        <v>1304</v>
      </c>
      <c r="J2379" s="6">
        <v>843</v>
      </c>
      <c r="K2379" s="40">
        <v>159</v>
      </c>
      <c r="L2379" s="40">
        <v>69</v>
      </c>
      <c r="M2379" s="40">
        <v>1417</v>
      </c>
      <c r="N2379" s="40">
        <v>99</v>
      </c>
      <c r="O2379" s="40">
        <v>1090</v>
      </c>
      <c r="P2379" s="40">
        <v>19</v>
      </c>
      <c r="Q2379" s="40">
        <v>5</v>
      </c>
      <c r="R2379" s="40">
        <v>138</v>
      </c>
      <c r="S2379" s="40">
        <v>67</v>
      </c>
    </row>
    <row r="2380" spans="1:19" x14ac:dyDescent="0.35">
      <c r="A2380" s="38">
        <v>2743</v>
      </c>
      <c r="B2380" s="38" t="str">
        <f>_xlfn.XLOOKUP(A2380,'Model Modeshare by TAZ'!A:A,'Model Modeshare by TAZ'!B:B)</f>
        <v>Novato</v>
      </c>
      <c r="C2380" s="38" t="str">
        <f>_xlfn.XLOOKUP(A2380,'Model Modeshare by TAZ'!A:A,'Model Modeshare by TAZ'!D:D)</f>
        <v>NO</v>
      </c>
      <c r="D2380" s="6">
        <v>9</v>
      </c>
      <c r="E2380" s="6">
        <v>2774</v>
      </c>
      <c r="F2380" s="6">
        <v>6473</v>
      </c>
      <c r="G2380" s="6">
        <v>6772</v>
      </c>
      <c r="H2380" s="6">
        <v>3386</v>
      </c>
      <c r="I2380" s="6">
        <v>1733</v>
      </c>
      <c r="J2380" s="6">
        <v>1041</v>
      </c>
      <c r="K2380" s="40">
        <v>867</v>
      </c>
      <c r="L2380" s="40">
        <v>62</v>
      </c>
      <c r="M2380" s="40">
        <v>2217</v>
      </c>
      <c r="N2380" s="40">
        <v>71</v>
      </c>
      <c r="O2380" s="40">
        <v>1193</v>
      </c>
      <c r="P2380" s="40">
        <v>920</v>
      </c>
      <c r="Q2380" s="40">
        <v>1</v>
      </c>
      <c r="R2380" s="40">
        <v>2</v>
      </c>
      <c r="S2380" s="40">
        <v>30</v>
      </c>
    </row>
    <row r="2381" spans="1:19" x14ac:dyDescent="0.35">
      <c r="A2381" s="38">
        <v>2744</v>
      </c>
      <c r="B2381" s="38" t="str">
        <f>_xlfn.XLOOKUP(A2381,'Model Modeshare by TAZ'!A:A,'Model Modeshare by TAZ'!B:B)</f>
        <v>Novato</v>
      </c>
      <c r="C2381" s="38" t="str">
        <f>_xlfn.XLOOKUP(A2381,'Model Modeshare by TAZ'!A:A,'Model Modeshare by TAZ'!D:D)</f>
        <v>NO</v>
      </c>
      <c r="D2381" s="6">
        <v>9</v>
      </c>
      <c r="E2381" s="6">
        <v>4403</v>
      </c>
      <c r="F2381" s="6">
        <v>12054</v>
      </c>
      <c r="G2381" s="6">
        <v>12195</v>
      </c>
      <c r="H2381" s="6">
        <v>6151</v>
      </c>
      <c r="I2381" s="6">
        <v>3111</v>
      </c>
      <c r="J2381" s="6">
        <v>1292</v>
      </c>
      <c r="K2381" s="40">
        <v>723</v>
      </c>
      <c r="L2381" s="40">
        <v>150</v>
      </c>
      <c r="M2381" s="40">
        <v>4784</v>
      </c>
      <c r="N2381" s="40">
        <v>699</v>
      </c>
      <c r="O2381" s="40">
        <v>2282</v>
      </c>
      <c r="P2381" s="40">
        <v>1655</v>
      </c>
      <c r="Q2381" s="40">
        <v>12</v>
      </c>
      <c r="R2381" s="40">
        <v>56</v>
      </c>
      <c r="S2381" s="40">
        <v>80</v>
      </c>
    </row>
    <row r="2382" spans="1:19" x14ac:dyDescent="0.35">
      <c r="A2382" s="38">
        <v>2745</v>
      </c>
      <c r="B2382" s="38" t="str">
        <f>_xlfn.XLOOKUP(A2382,'Model Modeshare by TAZ'!A:A,'Model Modeshare by TAZ'!B:B)</f>
        <v>Novato</v>
      </c>
      <c r="C2382" s="38" t="str">
        <f>_xlfn.XLOOKUP(A2382,'Model Modeshare by TAZ'!A:A,'Model Modeshare by TAZ'!D:D)</f>
        <v>NO</v>
      </c>
      <c r="D2382" s="6">
        <v>9</v>
      </c>
      <c r="E2382" s="6">
        <v>1005</v>
      </c>
      <c r="F2382" s="6">
        <v>2373</v>
      </c>
      <c r="G2382" s="6">
        <v>2373</v>
      </c>
      <c r="H2382" s="6">
        <v>1101</v>
      </c>
      <c r="I2382" s="6">
        <v>868</v>
      </c>
      <c r="J2382" s="6">
        <v>137</v>
      </c>
      <c r="K2382" s="40">
        <v>289</v>
      </c>
      <c r="L2382" s="40">
        <v>102</v>
      </c>
      <c r="M2382" s="40">
        <v>3279</v>
      </c>
      <c r="N2382" s="40">
        <v>132</v>
      </c>
      <c r="O2382" s="40">
        <v>2506</v>
      </c>
      <c r="P2382" s="40">
        <v>346</v>
      </c>
      <c r="Q2382" s="40">
        <v>3</v>
      </c>
      <c r="R2382" s="40">
        <v>74</v>
      </c>
      <c r="S2382" s="40">
        <v>218</v>
      </c>
    </row>
    <row r="2383" spans="1:19" x14ac:dyDescent="0.35">
      <c r="A2383" s="38">
        <v>2746</v>
      </c>
      <c r="B2383" s="38" t="str">
        <f>_xlfn.XLOOKUP(A2383,'Model Modeshare by TAZ'!A:A,'Model Modeshare by TAZ'!B:B)</f>
        <v>Unincorporated</v>
      </c>
      <c r="C2383" s="38" t="str">
        <f>_xlfn.XLOOKUP(A2383,'Model Modeshare by TAZ'!A:A,'Model Modeshare by TAZ'!D:D)</f>
        <v>NO</v>
      </c>
      <c r="D2383" s="6">
        <v>9</v>
      </c>
      <c r="E2383" s="6">
        <v>2881</v>
      </c>
      <c r="F2383" s="6">
        <v>7746</v>
      </c>
      <c r="G2383" s="6">
        <v>7791</v>
      </c>
      <c r="H2383" s="6">
        <v>3375</v>
      </c>
      <c r="I2383" s="6">
        <v>2839</v>
      </c>
      <c r="J2383" s="6">
        <v>42</v>
      </c>
      <c r="K2383" s="40">
        <v>1400</v>
      </c>
      <c r="L2383" s="40">
        <v>59</v>
      </c>
      <c r="M2383" s="40">
        <v>726</v>
      </c>
      <c r="N2383" s="40">
        <v>57</v>
      </c>
      <c r="O2383" s="40">
        <v>501</v>
      </c>
      <c r="P2383" s="40">
        <v>151</v>
      </c>
      <c r="Q2383" s="40">
        <v>0</v>
      </c>
      <c r="R2383" s="40">
        <v>0</v>
      </c>
      <c r="S2383" s="40">
        <v>17</v>
      </c>
    </row>
    <row r="2384" spans="1:19" x14ac:dyDescent="0.35">
      <c r="A2384" s="38">
        <v>2747</v>
      </c>
      <c r="B2384" s="38" t="str">
        <f>_xlfn.XLOOKUP(A2384,'Model Modeshare by TAZ'!A:A,'Model Modeshare by TAZ'!B:B)</f>
        <v>Unincorporated</v>
      </c>
      <c r="C2384" s="38" t="str">
        <f>_xlfn.XLOOKUP(A2384,'Model Modeshare by TAZ'!A:A,'Model Modeshare by TAZ'!D:D)</f>
        <v>NO</v>
      </c>
      <c r="D2384" s="6">
        <v>9</v>
      </c>
      <c r="E2384" s="6">
        <v>1349</v>
      </c>
      <c r="F2384" s="6">
        <v>2842</v>
      </c>
      <c r="G2384" s="6">
        <v>2877</v>
      </c>
      <c r="H2384" s="6">
        <v>1494</v>
      </c>
      <c r="I2384" s="6">
        <v>1157</v>
      </c>
      <c r="J2384" s="6">
        <v>192</v>
      </c>
      <c r="K2384" s="40">
        <v>3686</v>
      </c>
      <c r="L2384" s="40">
        <v>2001</v>
      </c>
      <c r="M2384" s="40">
        <v>2858</v>
      </c>
      <c r="N2384" s="40">
        <v>414</v>
      </c>
      <c r="O2384" s="40">
        <v>1822</v>
      </c>
      <c r="P2384" s="40">
        <v>508</v>
      </c>
      <c r="Q2384" s="40">
        <v>47</v>
      </c>
      <c r="R2384" s="40">
        <v>32</v>
      </c>
      <c r="S2384" s="40">
        <v>35</v>
      </c>
    </row>
    <row r="2385" spans="1:19" x14ac:dyDescent="0.35">
      <c r="A2385" s="38">
        <v>2748</v>
      </c>
      <c r="B2385" s="38" t="str">
        <f>_xlfn.XLOOKUP(A2385,'Model Modeshare by TAZ'!A:A,'Model Modeshare by TAZ'!B:B)</f>
        <v>Unincorporated</v>
      </c>
      <c r="C2385" s="38" t="str">
        <f>_xlfn.XLOOKUP(A2385,'Model Modeshare by TAZ'!A:A,'Model Modeshare by TAZ'!D:D)</f>
        <v>NO</v>
      </c>
      <c r="D2385" s="6">
        <v>9</v>
      </c>
      <c r="E2385" s="6">
        <v>860</v>
      </c>
      <c r="F2385" s="6">
        <v>1645</v>
      </c>
      <c r="G2385" s="6">
        <v>1672</v>
      </c>
      <c r="H2385" s="6">
        <v>944</v>
      </c>
      <c r="I2385" s="6">
        <v>790</v>
      </c>
      <c r="J2385" s="6">
        <v>70</v>
      </c>
      <c r="K2385" s="40">
        <v>1673</v>
      </c>
      <c r="L2385" s="40">
        <v>78</v>
      </c>
      <c r="M2385" s="40">
        <v>691</v>
      </c>
      <c r="N2385" s="40">
        <v>121</v>
      </c>
      <c r="O2385" s="40">
        <v>168</v>
      </c>
      <c r="P2385" s="40">
        <v>218</v>
      </c>
      <c r="Q2385" s="40">
        <v>130</v>
      </c>
      <c r="R2385" s="40">
        <v>21</v>
      </c>
      <c r="S2385" s="40">
        <v>34</v>
      </c>
    </row>
    <row r="2386" spans="1:19" x14ac:dyDescent="0.35">
      <c r="A2386" s="38">
        <v>2749</v>
      </c>
      <c r="B2386" s="38" t="str">
        <f>_xlfn.XLOOKUP(A2386,'Model Modeshare by TAZ'!A:A,'Model Modeshare by TAZ'!B:B)</f>
        <v>Unincorporated</v>
      </c>
      <c r="C2386" s="38" t="str">
        <f>_xlfn.XLOOKUP(A2386,'Model Modeshare by TAZ'!A:A,'Model Modeshare by TAZ'!D:D)</f>
        <v>NO</v>
      </c>
      <c r="D2386" s="6">
        <v>9</v>
      </c>
      <c r="E2386" s="6">
        <v>157</v>
      </c>
      <c r="F2386" s="6">
        <v>430</v>
      </c>
      <c r="G2386" s="6">
        <v>430</v>
      </c>
      <c r="H2386" s="6">
        <v>212</v>
      </c>
      <c r="I2386" s="6">
        <v>102</v>
      </c>
      <c r="J2386" s="6">
        <v>55</v>
      </c>
      <c r="K2386" s="40">
        <v>274</v>
      </c>
      <c r="L2386" s="40">
        <v>15</v>
      </c>
      <c r="M2386" s="40">
        <v>196</v>
      </c>
      <c r="N2386" s="40">
        <v>60</v>
      </c>
      <c r="O2386" s="40">
        <v>89</v>
      </c>
      <c r="P2386" s="40">
        <v>40</v>
      </c>
      <c r="Q2386" s="40">
        <v>0</v>
      </c>
      <c r="R2386" s="40">
        <v>6</v>
      </c>
      <c r="S2386" s="40">
        <v>1</v>
      </c>
    </row>
    <row r="2387" spans="1:19" x14ac:dyDescent="0.35">
      <c r="A2387" s="38">
        <v>2750</v>
      </c>
      <c r="B2387" s="38" t="str">
        <f>_xlfn.XLOOKUP(A2387,'Model Modeshare by TAZ'!A:A,'Model Modeshare by TAZ'!B:B)</f>
        <v>Unincorporated</v>
      </c>
      <c r="C2387" s="38" t="str">
        <f>_xlfn.XLOOKUP(A2387,'Model Modeshare by TAZ'!A:A,'Model Modeshare by TAZ'!D:D)</f>
        <v>NO</v>
      </c>
      <c r="D2387" s="6">
        <v>9</v>
      </c>
      <c r="E2387" s="6">
        <v>1593</v>
      </c>
      <c r="F2387" s="6">
        <v>3645</v>
      </c>
      <c r="G2387" s="6">
        <v>3669</v>
      </c>
      <c r="H2387" s="6">
        <v>1984</v>
      </c>
      <c r="I2387" s="6">
        <v>1451</v>
      </c>
      <c r="J2387" s="6">
        <v>142</v>
      </c>
      <c r="K2387" s="40">
        <v>1443</v>
      </c>
      <c r="L2387" s="40">
        <v>72</v>
      </c>
      <c r="M2387" s="40">
        <v>640</v>
      </c>
      <c r="N2387" s="40">
        <v>176</v>
      </c>
      <c r="O2387" s="40">
        <v>202</v>
      </c>
      <c r="P2387" s="40">
        <v>250</v>
      </c>
      <c r="Q2387" s="40">
        <v>0</v>
      </c>
      <c r="R2387" s="40">
        <v>0</v>
      </c>
      <c r="S2387" s="40">
        <v>12</v>
      </c>
    </row>
    <row r="2388" spans="1:19" x14ac:dyDescent="0.35">
      <c r="A2388" s="38">
        <v>2751</v>
      </c>
      <c r="B2388" s="38" t="str">
        <f>_xlfn.XLOOKUP(A2388,'Model Modeshare by TAZ'!A:A,'Model Modeshare by TAZ'!B:B)</f>
        <v>Unincorporated</v>
      </c>
      <c r="C2388" s="38" t="str">
        <f>_xlfn.XLOOKUP(A2388,'Model Modeshare by TAZ'!A:A,'Model Modeshare by TAZ'!D:D)</f>
        <v>NO</v>
      </c>
      <c r="D2388" s="6">
        <v>9</v>
      </c>
      <c r="E2388" s="6">
        <v>1365</v>
      </c>
      <c r="F2388" s="6">
        <v>3074</v>
      </c>
      <c r="G2388" s="6">
        <v>3098</v>
      </c>
      <c r="H2388" s="6">
        <v>1594</v>
      </c>
      <c r="I2388" s="6">
        <v>929</v>
      </c>
      <c r="J2388" s="6">
        <v>436</v>
      </c>
      <c r="K2388" s="40">
        <v>241</v>
      </c>
      <c r="L2388" s="40">
        <v>43</v>
      </c>
      <c r="M2388" s="40">
        <v>476</v>
      </c>
      <c r="N2388" s="40">
        <v>81</v>
      </c>
      <c r="O2388" s="40">
        <v>273</v>
      </c>
      <c r="P2388" s="40">
        <v>107</v>
      </c>
      <c r="Q2388" s="40">
        <v>3</v>
      </c>
      <c r="R2388" s="40">
        <v>0</v>
      </c>
      <c r="S2388" s="40">
        <v>12</v>
      </c>
    </row>
    <row r="2389" spans="1:19" x14ac:dyDescent="0.35">
      <c r="A2389" s="38">
        <v>2752</v>
      </c>
      <c r="B2389" s="38" t="str">
        <f>_xlfn.XLOOKUP(A2389,'Model Modeshare by TAZ'!A:A,'Model Modeshare by TAZ'!B:B)</f>
        <v>Unincorporated</v>
      </c>
      <c r="C2389" s="38" t="str">
        <f>_xlfn.XLOOKUP(A2389,'Model Modeshare by TAZ'!A:A,'Model Modeshare by TAZ'!D:D)</f>
        <v>NO</v>
      </c>
      <c r="D2389" s="6">
        <v>9</v>
      </c>
      <c r="E2389" s="6">
        <v>2797</v>
      </c>
      <c r="F2389" s="6">
        <v>7054</v>
      </c>
      <c r="G2389" s="6">
        <v>7180</v>
      </c>
      <c r="H2389" s="6">
        <v>3921</v>
      </c>
      <c r="I2389" s="6">
        <v>2525</v>
      </c>
      <c r="J2389" s="6">
        <v>272</v>
      </c>
      <c r="K2389" s="40">
        <v>1120</v>
      </c>
      <c r="L2389" s="40">
        <v>48</v>
      </c>
      <c r="M2389" s="40">
        <v>1304</v>
      </c>
      <c r="N2389" s="40">
        <v>164</v>
      </c>
      <c r="O2389" s="40">
        <v>415</v>
      </c>
      <c r="P2389" s="40">
        <v>697</v>
      </c>
      <c r="Q2389" s="40">
        <v>5</v>
      </c>
      <c r="R2389" s="40">
        <v>8</v>
      </c>
      <c r="S2389" s="40">
        <v>14</v>
      </c>
    </row>
    <row r="2390" spans="1:19" x14ac:dyDescent="0.35">
      <c r="A2390" s="38">
        <v>2753</v>
      </c>
      <c r="B2390" s="38" t="str">
        <f>_xlfn.XLOOKUP(A2390,'Model Modeshare by TAZ'!A:A,'Model Modeshare by TAZ'!B:B)</f>
        <v>San Rafael</v>
      </c>
      <c r="C2390" s="38" t="str">
        <f>_xlfn.XLOOKUP(A2390,'Model Modeshare by TAZ'!A:A,'Model Modeshare by TAZ'!D:D)</f>
        <v>NO</v>
      </c>
      <c r="D2390" s="6">
        <v>9</v>
      </c>
      <c r="E2390" s="6">
        <v>3023</v>
      </c>
      <c r="F2390" s="6">
        <v>6895</v>
      </c>
      <c r="G2390" s="6">
        <v>7102</v>
      </c>
      <c r="H2390" s="6">
        <v>3152</v>
      </c>
      <c r="I2390" s="6">
        <v>1588</v>
      </c>
      <c r="J2390" s="6">
        <v>1435</v>
      </c>
      <c r="K2390" s="40">
        <v>672</v>
      </c>
      <c r="L2390" s="40">
        <v>220</v>
      </c>
      <c r="M2390" s="40">
        <v>4410</v>
      </c>
      <c r="N2390" s="40">
        <v>847</v>
      </c>
      <c r="O2390" s="40">
        <v>1652</v>
      </c>
      <c r="P2390" s="40">
        <v>1790</v>
      </c>
      <c r="Q2390" s="40">
        <v>9</v>
      </c>
      <c r="R2390" s="40">
        <v>41</v>
      </c>
      <c r="S2390" s="40">
        <v>72</v>
      </c>
    </row>
    <row r="2391" spans="1:19" x14ac:dyDescent="0.35">
      <c r="A2391" s="38">
        <v>2754</v>
      </c>
      <c r="B2391" s="38" t="str">
        <f>_xlfn.XLOOKUP(A2391,'Model Modeshare by TAZ'!A:A,'Model Modeshare by TAZ'!B:B)</f>
        <v>San Rafael</v>
      </c>
      <c r="C2391" s="38" t="str">
        <f>_xlfn.XLOOKUP(A2391,'Model Modeshare by TAZ'!A:A,'Model Modeshare by TAZ'!D:D)</f>
        <v>NO</v>
      </c>
      <c r="D2391" s="6">
        <v>9</v>
      </c>
      <c r="E2391" s="6">
        <v>2593</v>
      </c>
      <c r="F2391" s="6">
        <v>6375</v>
      </c>
      <c r="G2391" s="6">
        <v>6441</v>
      </c>
      <c r="H2391" s="6">
        <v>3180</v>
      </c>
      <c r="I2391" s="6">
        <v>2224</v>
      </c>
      <c r="J2391" s="6">
        <v>369</v>
      </c>
      <c r="K2391" s="40">
        <v>648</v>
      </c>
      <c r="L2391" s="40">
        <v>87</v>
      </c>
      <c r="M2391" s="40">
        <v>2132</v>
      </c>
      <c r="N2391" s="40">
        <v>204</v>
      </c>
      <c r="O2391" s="40">
        <v>951</v>
      </c>
      <c r="P2391" s="40">
        <v>897</v>
      </c>
      <c r="Q2391" s="40">
        <v>15</v>
      </c>
      <c r="R2391" s="40">
        <v>59</v>
      </c>
      <c r="S2391" s="40">
        <v>6</v>
      </c>
    </row>
    <row r="2392" spans="1:19" x14ac:dyDescent="0.35">
      <c r="A2392" s="38">
        <v>2755</v>
      </c>
      <c r="B2392" s="38" t="str">
        <f>_xlfn.XLOOKUP(A2392,'Model Modeshare by TAZ'!A:A,'Model Modeshare by TAZ'!B:B)</f>
        <v>Unincorporated</v>
      </c>
      <c r="C2392" s="38" t="str">
        <f>_xlfn.XLOOKUP(A2392,'Model Modeshare by TAZ'!A:A,'Model Modeshare by TAZ'!D:D)</f>
        <v>NO</v>
      </c>
      <c r="D2392" s="6">
        <v>9</v>
      </c>
      <c r="E2392" s="6">
        <v>2393</v>
      </c>
      <c r="F2392" s="6">
        <v>6597</v>
      </c>
      <c r="G2392" s="6">
        <v>6718</v>
      </c>
      <c r="H2392" s="6">
        <v>3146</v>
      </c>
      <c r="I2392" s="6">
        <v>2259</v>
      </c>
      <c r="J2392" s="6">
        <v>134</v>
      </c>
      <c r="K2392" s="40">
        <v>624</v>
      </c>
      <c r="L2392" s="40">
        <v>69</v>
      </c>
      <c r="M2392" s="40">
        <v>890</v>
      </c>
      <c r="N2392" s="40">
        <v>62</v>
      </c>
      <c r="O2392" s="40">
        <v>681</v>
      </c>
      <c r="P2392" s="40">
        <v>115</v>
      </c>
      <c r="Q2392" s="40">
        <v>6</v>
      </c>
      <c r="R2392" s="40">
        <v>2</v>
      </c>
      <c r="S2392" s="40">
        <v>24</v>
      </c>
    </row>
    <row r="2393" spans="1:19" x14ac:dyDescent="0.35">
      <c r="A2393" s="38">
        <v>2756</v>
      </c>
      <c r="B2393" s="38" t="str">
        <f>_xlfn.XLOOKUP(A2393,'Model Modeshare by TAZ'!A:A,'Model Modeshare by TAZ'!B:B)</f>
        <v>Unincorporated</v>
      </c>
      <c r="C2393" s="38" t="str">
        <f>_xlfn.XLOOKUP(A2393,'Model Modeshare by TAZ'!A:A,'Model Modeshare by TAZ'!D:D)</f>
        <v>NO</v>
      </c>
      <c r="D2393" s="6">
        <v>9</v>
      </c>
      <c r="E2393" s="6">
        <v>2118</v>
      </c>
      <c r="F2393" s="6">
        <v>3874</v>
      </c>
      <c r="G2393" s="6">
        <v>4237</v>
      </c>
      <c r="H2393" s="6">
        <v>2275</v>
      </c>
      <c r="I2393" s="6">
        <v>292</v>
      </c>
      <c r="J2393" s="6">
        <v>1826</v>
      </c>
      <c r="K2393" s="40">
        <v>139</v>
      </c>
      <c r="L2393" s="40">
        <v>202</v>
      </c>
      <c r="M2393" s="40">
        <v>5573</v>
      </c>
      <c r="N2393" s="40">
        <v>947</v>
      </c>
      <c r="O2393" s="40">
        <v>2357</v>
      </c>
      <c r="P2393" s="40">
        <v>1344</v>
      </c>
      <c r="Q2393" s="40">
        <v>1</v>
      </c>
      <c r="R2393" s="40">
        <v>560</v>
      </c>
      <c r="S2393" s="40">
        <v>364</v>
      </c>
    </row>
    <row r="2394" spans="1:19" x14ac:dyDescent="0.35">
      <c r="A2394" s="38">
        <v>2757</v>
      </c>
      <c r="B2394" s="38" t="str">
        <f>_xlfn.XLOOKUP(A2394,'Model Modeshare by TAZ'!A:A,'Model Modeshare by TAZ'!B:B)</f>
        <v>Unincorporated</v>
      </c>
      <c r="C2394" s="38" t="str">
        <f>_xlfn.XLOOKUP(A2394,'Model Modeshare by TAZ'!A:A,'Model Modeshare by TAZ'!D:D)</f>
        <v>NO</v>
      </c>
      <c r="D2394" s="6">
        <v>9</v>
      </c>
      <c r="E2394" s="6">
        <v>2127</v>
      </c>
      <c r="F2394" s="6">
        <v>6282</v>
      </c>
      <c r="G2394" s="6">
        <v>6810</v>
      </c>
      <c r="H2394" s="6">
        <v>3950</v>
      </c>
      <c r="I2394" s="6">
        <v>1640</v>
      </c>
      <c r="J2394" s="6">
        <v>487</v>
      </c>
      <c r="K2394" s="40">
        <v>504</v>
      </c>
      <c r="L2394" s="40">
        <v>281</v>
      </c>
      <c r="M2394" s="40">
        <v>4914</v>
      </c>
      <c r="N2394" s="40">
        <v>477</v>
      </c>
      <c r="O2394" s="40">
        <v>2691</v>
      </c>
      <c r="P2394" s="40">
        <v>1600</v>
      </c>
      <c r="Q2394" s="40">
        <v>0</v>
      </c>
      <c r="R2394" s="40">
        <v>0</v>
      </c>
      <c r="S2394" s="40">
        <v>147</v>
      </c>
    </row>
    <row r="2395" spans="1:19" x14ac:dyDescent="0.35">
      <c r="A2395" s="38">
        <v>2758</v>
      </c>
      <c r="B2395" s="38" t="str">
        <f>_xlfn.XLOOKUP(A2395,'Model Modeshare by TAZ'!A:A,'Model Modeshare by TAZ'!B:B)</f>
        <v>San Rafael</v>
      </c>
      <c r="C2395" s="38" t="str">
        <f>_xlfn.XLOOKUP(A2395,'Model Modeshare by TAZ'!A:A,'Model Modeshare by TAZ'!D:D)</f>
        <v>NO</v>
      </c>
      <c r="D2395" s="6">
        <v>9</v>
      </c>
      <c r="E2395" s="6">
        <v>2163</v>
      </c>
      <c r="F2395" s="6">
        <v>5138</v>
      </c>
      <c r="G2395" s="6">
        <v>5138</v>
      </c>
      <c r="H2395" s="6">
        <v>2278</v>
      </c>
      <c r="I2395" s="6">
        <v>2152</v>
      </c>
      <c r="J2395" s="6">
        <v>11</v>
      </c>
      <c r="K2395" s="40">
        <v>874</v>
      </c>
      <c r="L2395" s="40">
        <v>344</v>
      </c>
      <c r="M2395" s="40">
        <v>729</v>
      </c>
      <c r="N2395" s="40">
        <v>104</v>
      </c>
      <c r="O2395" s="40">
        <v>296</v>
      </c>
      <c r="P2395" s="40">
        <v>255</v>
      </c>
      <c r="Q2395" s="40">
        <v>19</v>
      </c>
      <c r="R2395" s="40">
        <v>33</v>
      </c>
      <c r="S2395" s="40">
        <v>23</v>
      </c>
    </row>
    <row r="2396" spans="1:19" x14ac:dyDescent="0.35">
      <c r="A2396" s="38">
        <v>2759</v>
      </c>
      <c r="B2396" s="38" t="str">
        <f>_xlfn.XLOOKUP(A2396,'Model Modeshare by TAZ'!A:A,'Model Modeshare by TAZ'!B:B)</f>
        <v>San Rafael</v>
      </c>
      <c r="C2396" s="38" t="str">
        <f>_xlfn.XLOOKUP(A2396,'Model Modeshare by TAZ'!A:A,'Model Modeshare by TAZ'!D:D)</f>
        <v>NO</v>
      </c>
      <c r="D2396" s="6">
        <v>9</v>
      </c>
      <c r="E2396" s="6">
        <v>2358</v>
      </c>
      <c r="F2396" s="6">
        <v>4995</v>
      </c>
      <c r="G2396" s="6">
        <v>5824</v>
      </c>
      <c r="H2396" s="6">
        <v>2908</v>
      </c>
      <c r="I2396" s="6">
        <v>1565</v>
      </c>
      <c r="J2396" s="6">
        <v>793</v>
      </c>
      <c r="K2396" s="40">
        <v>671</v>
      </c>
      <c r="L2396" s="40">
        <v>116</v>
      </c>
      <c r="M2396" s="40">
        <v>5251</v>
      </c>
      <c r="N2396" s="40">
        <v>928</v>
      </c>
      <c r="O2396" s="40">
        <v>2490</v>
      </c>
      <c r="P2396" s="40">
        <v>1568</v>
      </c>
      <c r="Q2396" s="40">
        <v>5</v>
      </c>
      <c r="R2396" s="40">
        <v>159</v>
      </c>
      <c r="S2396" s="40">
        <v>101</v>
      </c>
    </row>
    <row r="2397" spans="1:19" x14ac:dyDescent="0.35">
      <c r="A2397" s="38">
        <v>2760</v>
      </c>
      <c r="B2397" s="38" t="str">
        <f>_xlfn.XLOOKUP(A2397,'Model Modeshare by TAZ'!A:A,'Model Modeshare by TAZ'!B:B)</f>
        <v>San Rafael</v>
      </c>
      <c r="C2397" s="38" t="str">
        <f>_xlfn.XLOOKUP(A2397,'Model Modeshare by TAZ'!A:A,'Model Modeshare by TAZ'!D:D)</f>
        <v>NO</v>
      </c>
      <c r="D2397" s="6">
        <v>9</v>
      </c>
      <c r="E2397" s="6">
        <v>2947</v>
      </c>
      <c r="F2397" s="6">
        <v>11995</v>
      </c>
      <c r="G2397" s="6">
        <v>12116</v>
      </c>
      <c r="H2397" s="6">
        <v>6064</v>
      </c>
      <c r="I2397" s="6">
        <v>746</v>
      </c>
      <c r="J2397" s="6">
        <v>2201</v>
      </c>
      <c r="K2397" s="40">
        <v>120</v>
      </c>
      <c r="L2397" s="40">
        <v>281</v>
      </c>
      <c r="M2397" s="40">
        <v>9217</v>
      </c>
      <c r="N2397" s="40">
        <v>1106</v>
      </c>
      <c r="O2397" s="40">
        <v>3096</v>
      </c>
      <c r="P2397" s="40">
        <v>2971</v>
      </c>
      <c r="Q2397" s="40">
        <v>41</v>
      </c>
      <c r="R2397" s="40">
        <v>1080</v>
      </c>
      <c r="S2397" s="40">
        <v>923</v>
      </c>
    </row>
    <row r="2398" spans="1:19" x14ac:dyDescent="0.35">
      <c r="A2398" s="38">
        <v>2761</v>
      </c>
      <c r="B2398" s="38" t="str">
        <f>_xlfn.XLOOKUP(A2398,'Model Modeshare by TAZ'!A:A,'Model Modeshare by TAZ'!B:B)</f>
        <v>San Rafael</v>
      </c>
      <c r="C2398" s="38" t="str">
        <f>_xlfn.XLOOKUP(A2398,'Model Modeshare by TAZ'!A:A,'Model Modeshare by TAZ'!D:D)</f>
        <v>NO</v>
      </c>
      <c r="D2398" s="6">
        <v>9</v>
      </c>
      <c r="E2398" s="6">
        <v>1850</v>
      </c>
      <c r="F2398" s="6">
        <v>5114</v>
      </c>
      <c r="G2398" s="6">
        <v>5125</v>
      </c>
      <c r="H2398" s="6">
        <v>2585</v>
      </c>
      <c r="I2398" s="6">
        <v>1232</v>
      </c>
      <c r="J2398" s="6">
        <v>618</v>
      </c>
      <c r="K2398" s="40">
        <v>336</v>
      </c>
      <c r="L2398" s="40">
        <v>147</v>
      </c>
      <c r="M2398" s="40">
        <v>4265</v>
      </c>
      <c r="N2398" s="40">
        <v>733</v>
      </c>
      <c r="O2398" s="40">
        <v>1905</v>
      </c>
      <c r="P2398" s="40">
        <v>1205</v>
      </c>
      <c r="Q2398" s="40">
        <v>3</v>
      </c>
      <c r="R2398" s="40">
        <v>218</v>
      </c>
      <c r="S2398" s="40">
        <v>201</v>
      </c>
    </row>
    <row r="2399" spans="1:19" x14ac:dyDescent="0.35">
      <c r="A2399" s="38">
        <v>2762</v>
      </c>
      <c r="B2399" s="38" t="str">
        <f>_xlfn.XLOOKUP(A2399,'Model Modeshare by TAZ'!A:A,'Model Modeshare by TAZ'!B:B)</f>
        <v>San Rafael</v>
      </c>
      <c r="C2399" s="38" t="str">
        <f>_xlfn.XLOOKUP(A2399,'Model Modeshare by TAZ'!A:A,'Model Modeshare by TAZ'!D:D)</f>
        <v>NO</v>
      </c>
      <c r="D2399" s="6">
        <v>9</v>
      </c>
      <c r="E2399" s="6">
        <v>2744</v>
      </c>
      <c r="F2399" s="6">
        <v>5685</v>
      </c>
      <c r="G2399" s="6">
        <v>5878</v>
      </c>
      <c r="H2399" s="6">
        <v>3561</v>
      </c>
      <c r="I2399" s="6">
        <v>987</v>
      </c>
      <c r="J2399" s="6">
        <v>1757</v>
      </c>
      <c r="K2399" s="40">
        <v>247</v>
      </c>
      <c r="L2399" s="40">
        <v>117</v>
      </c>
      <c r="M2399" s="40">
        <v>7661</v>
      </c>
      <c r="N2399" s="40">
        <v>1445</v>
      </c>
      <c r="O2399" s="40">
        <v>4186</v>
      </c>
      <c r="P2399" s="40">
        <v>1539</v>
      </c>
      <c r="Q2399" s="40">
        <v>34</v>
      </c>
      <c r="R2399" s="40">
        <v>286</v>
      </c>
      <c r="S2399" s="40">
        <v>172</v>
      </c>
    </row>
    <row r="2400" spans="1:19" x14ac:dyDescent="0.35">
      <c r="A2400" s="38">
        <v>2763</v>
      </c>
      <c r="B2400" s="38" t="str">
        <f>_xlfn.XLOOKUP(A2400,'Model Modeshare by TAZ'!A:A,'Model Modeshare by TAZ'!B:B)</f>
        <v>San Rafael</v>
      </c>
      <c r="C2400" s="38" t="str">
        <f>_xlfn.XLOOKUP(A2400,'Model Modeshare by TAZ'!A:A,'Model Modeshare by TAZ'!D:D)</f>
        <v>NO</v>
      </c>
      <c r="D2400" s="6">
        <v>9</v>
      </c>
      <c r="E2400" s="6">
        <v>3529</v>
      </c>
      <c r="F2400" s="6">
        <v>8121</v>
      </c>
      <c r="G2400" s="6">
        <v>8132</v>
      </c>
      <c r="H2400" s="6">
        <v>4356</v>
      </c>
      <c r="I2400" s="6">
        <v>1994</v>
      </c>
      <c r="J2400" s="6">
        <v>1535</v>
      </c>
      <c r="K2400" s="40">
        <v>590</v>
      </c>
      <c r="L2400" s="40">
        <v>74</v>
      </c>
      <c r="M2400" s="40">
        <v>1362</v>
      </c>
      <c r="N2400" s="40">
        <v>296</v>
      </c>
      <c r="O2400" s="40">
        <v>698</v>
      </c>
      <c r="P2400" s="40">
        <v>257</v>
      </c>
      <c r="Q2400" s="40">
        <v>2</v>
      </c>
      <c r="R2400" s="40">
        <v>75</v>
      </c>
      <c r="S2400" s="40">
        <v>34</v>
      </c>
    </row>
    <row r="2401" spans="1:19" x14ac:dyDescent="0.35">
      <c r="A2401" s="38">
        <v>2764</v>
      </c>
      <c r="B2401" s="38" t="str">
        <f>_xlfn.XLOOKUP(A2401,'Model Modeshare by TAZ'!A:A,'Model Modeshare by TAZ'!B:B)</f>
        <v>San Anselmo</v>
      </c>
      <c r="C2401" s="38" t="str">
        <f>_xlfn.XLOOKUP(A2401,'Model Modeshare by TAZ'!A:A,'Model Modeshare by TAZ'!D:D)</f>
        <v>NO</v>
      </c>
      <c r="D2401" s="6">
        <v>9</v>
      </c>
      <c r="E2401" s="6">
        <v>2048</v>
      </c>
      <c r="F2401" s="6">
        <v>4499</v>
      </c>
      <c r="G2401" s="6">
        <v>4536</v>
      </c>
      <c r="H2401" s="6">
        <v>2223</v>
      </c>
      <c r="I2401" s="6">
        <v>1336</v>
      </c>
      <c r="J2401" s="6">
        <v>712</v>
      </c>
      <c r="K2401" s="40">
        <v>388</v>
      </c>
      <c r="L2401" s="40">
        <v>72</v>
      </c>
      <c r="M2401" s="40">
        <v>2470</v>
      </c>
      <c r="N2401" s="40">
        <v>1015</v>
      </c>
      <c r="O2401" s="40">
        <v>895</v>
      </c>
      <c r="P2401" s="40">
        <v>501</v>
      </c>
      <c r="Q2401" s="40">
        <v>5</v>
      </c>
      <c r="R2401" s="40">
        <v>36</v>
      </c>
      <c r="S2401" s="40">
        <v>18</v>
      </c>
    </row>
    <row r="2402" spans="1:19" x14ac:dyDescent="0.35">
      <c r="A2402" s="38">
        <v>2765</v>
      </c>
      <c r="B2402" s="38" t="str">
        <f>_xlfn.XLOOKUP(A2402,'Model Modeshare by TAZ'!A:A,'Model Modeshare by TAZ'!B:B)</f>
        <v>San Anselmo</v>
      </c>
      <c r="C2402" s="38" t="str">
        <f>_xlfn.XLOOKUP(A2402,'Model Modeshare by TAZ'!A:A,'Model Modeshare by TAZ'!D:D)</f>
        <v>NO</v>
      </c>
      <c r="D2402" s="6">
        <v>9</v>
      </c>
      <c r="E2402" s="6">
        <v>1277</v>
      </c>
      <c r="F2402" s="6">
        <v>3200</v>
      </c>
      <c r="G2402" s="6">
        <v>3227</v>
      </c>
      <c r="H2402" s="6">
        <v>1695</v>
      </c>
      <c r="I2402" s="6">
        <v>1035</v>
      </c>
      <c r="J2402" s="6">
        <v>242</v>
      </c>
      <c r="K2402" s="40">
        <v>235</v>
      </c>
      <c r="L2402" s="40">
        <v>18</v>
      </c>
      <c r="M2402" s="40">
        <v>354</v>
      </c>
      <c r="N2402" s="40">
        <v>59</v>
      </c>
      <c r="O2402" s="40">
        <v>92</v>
      </c>
      <c r="P2402" s="40">
        <v>184</v>
      </c>
      <c r="Q2402" s="40">
        <v>0</v>
      </c>
      <c r="R2402" s="40">
        <v>0</v>
      </c>
      <c r="S2402" s="40">
        <v>19</v>
      </c>
    </row>
    <row r="2403" spans="1:19" x14ac:dyDescent="0.35">
      <c r="A2403" s="38">
        <v>2766</v>
      </c>
      <c r="B2403" s="38" t="str">
        <f>_xlfn.XLOOKUP(A2403,'Model Modeshare by TAZ'!A:A,'Model Modeshare by TAZ'!B:B)</f>
        <v>Unincorporated</v>
      </c>
      <c r="C2403" s="38" t="str">
        <f>_xlfn.XLOOKUP(A2403,'Model Modeshare by TAZ'!A:A,'Model Modeshare by TAZ'!D:D)</f>
        <v>NO</v>
      </c>
      <c r="D2403" s="6">
        <v>9</v>
      </c>
      <c r="E2403" s="6">
        <v>2223</v>
      </c>
      <c r="F2403" s="6">
        <v>5232</v>
      </c>
      <c r="G2403" s="6">
        <v>5240</v>
      </c>
      <c r="H2403" s="6">
        <v>3287</v>
      </c>
      <c r="I2403" s="6">
        <v>1826</v>
      </c>
      <c r="J2403" s="6">
        <v>397</v>
      </c>
      <c r="K2403" s="40">
        <v>560</v>
      </c>
      <c r="L2403" s="40">
        <v>52</v>
      </c>
      <c r="M2403" s="40">
        <v>1271</v>
      </c>
      <c r="N2403" s="40">
        <v>420</v>
      </c>
      <c r="O2403" s="40">
        <v>575</v>
      </c>
      <c r="P2403" s="40">
        <v>244</v>
      </c>
      <c r="Q2403" s="40">
        <v>2</v>
      </c>
      <c r="R2403" s="40">
        <v>22</v>
      </c>
      <c r="S2403" s="40">
        <v>8</v>
      </c>
    </row>
    <row r="2404" spans="1:19" x14ac:dyDescent="0.35">
      <c r="A2404" s="38">
        <v>2767</v>
      </c>
      <c r="B2404" s="38" t="str">
        <f>_xlfn.XLOOKUP(A2404,'Model Modeshare by TAZ'!A:A,'Model Modeshare by TAZ'!B:B)</f>
        <v>Ross</v>
      </c>
      <c r="C2404" s="38" t="str">
        <f>_xlfn.XLOOKUP(A2404,'Model Modeshare by TAZ'!A:A,'Model Modeshare by TAZ'!D:D)</f>
        <v>NO</v>
      </c>
      <c r="D2404" s="6">
        <v>9</v>
      </c>
      <c r="E2404" s="6">
        <v>776</v>
      </c>
      <c r="F2404" s="6">
        <v>2326</v>
      </c>
      <c r="G2404" s="6">
        <v>2397</v>
      </c>
      <c r="H2404" s="6">
        <v>945</v>
      </c>
      <c r="I2404" s="6">
        <v>755</v>
      </c>
      <c r="J2404" s="6">
        <v>21</v>
      </c>
      <c r="K2404" s="40">
        <v>610</v>
      </c>
      <c r="L2404" s="40">
        <v>34</v>
      </c>
      <c r="M2404" s="40">
        <v>610</v>
      </c>
      <c r="N2404" s="40">
        <v>36</v>
      </c>
      <c r="O2404" s="40">
        <v>555</v>
      </c>
      <c r="P2404" s="40">
        <v>19</v>
      </c>
      <c r="Q2404" s="40">
        <v>0</v>
      </c>
      <c r="R2404" s="40">
        <v>0</v>
      </c>
      <c r="S2404" s="40">
        <v>0</v>
      </c>
    </row>
    <row r="2405" spans="1:19" x14ac:dyDescent="0.35">
      <c r="A2405" s="38">
        <v>2768</v>
      </c>
      <c r="B2405" s="38" t="str">
        <f>_xlfn.XLOOKUP(A2405,'Model Modeshare by TAZ'!A:A,'Model Modeshare by TAZ'!B:B)</f>
        <v>Unincorporated</v>
      </c>
      <c r="C2405" s="38" t="str">
        <f>_xlfn.XLOOKUP(A2405,'Model Modeshare by TAZ'!A:A,'Model Modeshare by TAZ'!D:D)</f>
        <v>NO</v>
      </c>
      <c r="D2405" s="6">
        <v>9</v>
      </c>
      <c r="E2405" s="6">
        <v>1982</v>
      </c>
      <c r="F2405" s="6">
        <v>5022</v>
      </c>
      <c r="G2405" s="6">
        <v>5042</v>
      </c>
      <c r="H2405" s="6">
        <v>2210</v>
      </c>
      <c r="I2405" s="6">
        <v>1624</v>
      </c>
      <c r="J2405" s="6">
        <v>358</v>
      </c>
      <c r="K2405" s="40">
        <v>829</v>
      </c>
      <c r="L2405" s="40">
        <v>105</v>
      </c>
      <c r="M2405" s="40">
        <v>2685</v>
      </c>
      <c r="N2405" s="40">
        <v>543</v>
      </c>
      <c r="O2405" s="40">
        <v>1836</v>
      </c>
      <c r="P2405" s="40">
        <v>283</v>
      </c>
      <c r="Q2405" s="40">
        <v>5</v>
      </c>
      <c r="R2405" s="40">
        <v>9</v>
      </c>
      <c r="S2405" s="40">
        <v>9</v>
      </c>
    </row>
    <row r="2406" spans="1:19" x14ac:dyDescent="0.35">
      <c r="A2406" s="38">
        <v>2769</v>
      </c>
      <c r="B2406" s="38" t="str">
        <f>_xlfn.XLOOKUP(A2406,'Model Modeshare by TAZ'!A:A,'Model Modeshare by TAZ'!B:B)</f>
        <v>Larkspur</v>
      </c>
      <c r="C2406" s="38" t="str">
        <f>_xlfn.XLOOKUP(A2406,'Model Modeshare by TAZ'!A:A,'Model Modeshare by TAZ'!D:D)</f>
        <v>NO</v>
      </c>
      <c r="D2406" s="6">
        <v>9</v>
      </c>
      <c r="E2406" s="6">
        <v>3109</v>
      </c>
      <c r="F2406" s="6">
        <v>6666</v>
      </c>
      <c r="G2406" s="6">
        <v>6798</v>
      </c>
      <c r="H2406" s="6">
        <v>3421</v>
      </c>
      <c r="I2406" s="6">
        <v>1532</v>
      </c>
      <c r="J2406" s="6">
        <v>1577</v>
      </c>
      <c r="K2406" s="40">
        <v>446</v>
      </c>
      <c r="L2406" s="40">
        <v>81</v>
      </c>
      <c r="M2406" s="40">
        <v>4341</v>
      </c>
      <c r="N2406" s="40">
        <v>439</v>
      </c>
      <c r="O2406" s="40">
        <v>3252</v>
      </c>
      <c r="P2406" s="40">
        <v>578</v>
      </c>
      <c r="Q2406" s="40">
        <v>7</v>
      </c>
      <c r="R2406" s="40">
        <v>2</v>
      </c>
      <c r="S2406" s="40">
        <v>63</v>
      </c>
    </row>
    <row r="2407" spans="1:19" x14ac:dyDescent="0.35">
      <c r="A2407" s="38">
        <v>2770</v>
      </c>
      <c r="B2407" s="38" t="str">
        <f>_xlfn.XLOOKUP(A2407,'Model Modeshare by TAZ'!A:A,'Model Modeshare by TAZ'!B:B)</f>
        <v>Corte Madera</v>
      </c>
      <c r="C2407" s="38" t="str">
        <f>_xlfn.XLOOKUP(A2407,'Model Modeshare by TAZ'!A:A,'Model Modeshare by TAZ'!D:D)</f>
        <v>NO</v>
      </c>
      <c r="D2407" s="6">
        <v>9</v>
      </c>
      <c r="E2407" s="6">
        <v>2445</v>
      </c>
      <c r="F2407" s="6">
        <v>5706</v>
      </c>
      <c r="G2407" s="6">
        <v>5985</v>
      </c>
      <c r="H2407" s="6">
        <v>2776</v>
      </c>
      <c r="I2407" s="6">
        <v>1534</v>
      </c>
      <c r="J2407" s="6">
        <v>911</v>
      </c>
      <c r="K2407" s="40">
        <v>393</v>
      </c>
      <c r="L2407" s="40">
        <v>393</v>
      </c>
      <c r="M2407" s="40">
        <v>5922</v>
      </c>
      <c r="N2407" s="40">
        <v>1643</v>
      </c>
      <c r="O2407" s="40">
        <v>1686</v>
      </c>
      <c r="P2407" s="40">
        <v>1997</v>
      </c>
      <c r="Q2407" s="40">
        <v>5</v>
      </c>
      <c r="R2407" s="40">
        <v>386</v>
      </c>
      <c r="S2407" s="40">
        <v>205</v>
      </c>
    </row>
    <row r="2408" spans="1:19" x14ac:dyDescent="0.35">
      <c r="A2408" s="38">
        <v>2771</v>
      </c>
      <c r="B2408" s="38" t="str">
        <f>_xlfn.XLOOKUP(A2408,'Model Modeshare by TAZ'!A:A,'Model Modeshare by TAZ'!B:B)</f>
        <v>Unincorporated</v>
      </c>
      <c r="C2408" s="38" t="str">
        <f>_xlfn.XLOOKUP(A2408,'Model Modeshare by TAZ'!A:A,'Model Modeshare by TAZ'!D:D)</f>
        <v>NO</v>
      </c>
      <c r="D2408" s="6">
        <v>9</v>
      </c>
      <c r="E2408" s="6">
        <v>0</v>
      </c>
      <c r="F2408" s="6">
        <v>0</v>
      </c>
      <c r="G2408" s="6">
        <v>2912</v>
      </c>
      <c r="H2408" s="6">
        <v>0</v>
      </c>
      <c r="I2408" s="6">
        <v>0</v>
      </c>
      <c r="J2408" s="6">
        <v>0</v>
      </c>
      <c r="K2408" s="40">
        <v>0</v>
      </c>
      <c r="L2408" s="40">
        <v>13</v>
      </c>
      <c r="M2408" s="40">
        <v>0</v>
      </c>
      <c r="N2408" s="40">
        <v>0</v>
      </c>
      <c r="O2408" s="40">
        <v>0</v>
      </c>
      <c r="P2408" s="40">
        <v>0</v>
      </c>
      <c r="Q2408" s="40">
        <v>0</v>
      </c>
      <c r="R2408" s="40">
        <v>0</v>
      </c>
      <c r="S2408" s="40">
        <v>0</v>
      </c>
    </row>
    <row r="2409" spans="1:19" x14ac:dyDescent="0.35">
      <c r="A2409" s="38">
        <v>2772</v>
      </c>
      <c r="B2409" s="38" t="str">
        <f>_xlfn.XLOOKUP(A2409,'Model Modeshare by TAZ'!A:A,'Model Modeshare by TAZ'!B:B)</f>
        <v>Larkspur</v>
      </c>
      <c r="C2409" s="38" t="str">
        <f>_xlfn.XLOOKUP(A2409,'Model Modeshare by TAZ'!A:A,'Model Modeshare by TAZ'!D:D)</f>
        <v>NO</v>
      </c>
      <c r="D2409" s="6">
        <v>9</v>
      </c>
      <c r="E2409" s="6">
        <v>2838</v>
      </c>
      <c r="F2409" s="6">
        <v>6319</v>
      </c>
      <c r="G2409" s="6">
        <v>6334</v>
      </c>
      <c r="H2409" s="6">
        <v>3322</v>
      </c>
      <c r="I2409" s="6">
        <v>1792</v>
      </c>
      <c r="J2409" s="6">
        <v>1046</v>
      </c>
      <c r="K2409" s="40">
        <v>544</v>
      </c>
      <c r="L2409" s="40">
        <v>120</v>
      </c>
      <c r="M2409" s="40">
        <v>2247</v>
      </c>
      <c r="N2409" s="40">
        <v>821</v>
      </c>
      <c r="O2409" s="40">
        <v>915</v>
      </c>
      <c r="P2409" s="40">
        <v>468</v>
      </c>
      <c r="Q2409" s="40">
        <v>16</v>
      </c>
      <c r="R2409" s="40">
        <v>10</v>
      </c>
      <c r="S2409" s="40">
        <v>16</v>
      </c>
    </row>
    <row r="2410" spans="1:19" x14ac:dyDescent="0.35">
      <c r="A2410" s="38">
        <v>2773</v>
      </c>
      <c r="B2410" s="38" t="str">
        <f>_xlfn.XLOOKUP(A2410,'Model Modeshare by TAZ'!A:A,'Model Modeshare by TAZ'!B:B)</f>
        <v>Corte Madera</v>
      </c>
      <c r="C2410" s="38" t="str">
        <f>_xlfn.XLOOKUP(A2410,'Model Modeshare by TAZ'!A:A,'Model Modeshare by TAZ'!D:D)</f>
        <v>NO</v>
      </c>
      <c r="D2410" s="6">
        <v>9</v>
      </c>
      <c r="E2410" s="6">
        <v>2100</v>
      </c>
      <c r="F2410" s="6">
        <v>5201</v>
      </c>
      <c r="G2410" s="6">
        <v>5201</v>
      </c>
      <c r="H2410" s="6">
        <v>2744</v>
      </c>
      <c r="I2410" s="6">
        <v>1520</v>
      </c>
      <c r="J2410" s="6">
        <v>580</v>
      </c>
      <c r="K2410" s="40">
        <v>445</v>
      </c>
      <c r="L2410" s="40">
        <v>115</v>
      </c>
      <c r="M2410" s="40">
        <v>4819</v>
      </c>
      <c r="N2410" s="40">
        <v>2351</v>
      </c>
      <c r="O2410" s="40">
        <v>1391</v>
      </c>
      <c r="P2410" s="40">
        <v>780</v>
      </c>
      <c r="Q2410" s="40">
        <v>10</v>
      </c>
      <c r="R2410" s="40">
        <v>118</v>
      </c>
      <c r="S2410" s="40">
        <v>169</v>
      </c>
    </row>
    <row r="2411" spans="1:19" x14ac:dyDescent="0.35">
      <c r="A2411" s="38">
        <v>2774</v>
      </c>
      <c r="B2411" s="38" t="str">
        <f>_xlfn.XLOOKUP(A2411,'Model Modeshare by TAZ'!A:A,'Model Modeshare by TAZ'!B:B)</f>
        <v>Mill Valley</v>
      </c>
      <c r="C2411" s="38" t="str">
        <f>_xlfn.XLOOKUP(A2411,'Model Modeshare by TAZ'!A:A,'Model Modeshare by TAZ'!D:D)</f>
        <v>NO</v>
      </c>
      <c r="D2411" s="6">
        <v>9</v>
      </c>
      <c r="E2411" s="6">
        <v>2272</v>
      </c>
      <c r="F2411" s="6">
        <v>5814</v>
      </c>
      <c r="G2411" s="6">
        <v>5814</v>
      </c>
      <c r="H2411" s="6">
        <v>2741</v>
      </c>
      <c r="I2411" s="6">
        <v>2017</v>
      </c>
      <c r="J2411" s="6">
        <v>255</v>
      </c>
      <c r="K2411" s="40">
        <v>541</v>
      </c>
      <c r="L2411" s="40">
        <v>62</v>
      </c>
      <c r="M2411" s="40">
        <v>2359</v>
      </c>
      <c r="N2411" s="40">
        <v>564</v>
      </c>
      <c r="O2411" s="40">
        <v>1082</v>
      </c>
      <c r="P2411" s="40">
        <v>525</v>
      </c>
      <c r="Q2411" s="40">
        <v>23</v>
      </c>
      <c r="R2411" s="40">
        <v>64</v>
      </c>
      <c r="S2411" s="40">
        <v>101</v>
      </c>
    </row>
    <row r="2412" spans="1:19" x14ac:dyDescent="0.35">
      <c r="A2412" s="38">
        <v>2775</v>
      </c>
      <c r="B2412" s="38" t="str">
        <f>_xlfn.XLOOKUP(A2412,'Model Modeshare by TAZ'!A:A,'Model Modeshare by TAZ'!B:B)</f>
        <v>Mill Valley</v>
      </c>
      <c r="C2412" s="38" t="str">
        <f>_xlfn.XLOOKUP(A2412,'Model Modeshare by TAZ'!A:A,'Model Modeshare by TAZ'!D:D)</f>
        <v>NO</v>
      </c>
      <c r="D2412" s="6">
        <v>9</v>
      </c>
      <c r="E2412" s="6">
        <v>1952</v>
      </c>
      <c r="F2412" s="6">
        <v>4323</v>
      </c>
      <c r="G2412" s="6">
        <v>4393</v>
      </c>
      <c r="H2412" s="6">
        <v>2240</v>
      </c>
      <c r="I2412" s="6">
        <v>1005</v>
      </c>
      <c r="J2412" s="6">
        <v>947</v>
      </c>
      <c r="K2412" s="40">
        <v>283</v>
      </c>
      <c r="L2412" s="40">
        <v>132</v>
      </c>
      <c r="M2412" s="40">
        <v>2794</v>
      </c>
      <c r="N2412" s="40">
        <v>769</v>
      </c>
      <c r="O2412" s="40">
        <v>1426</v>
      </c>
      <c r="P2412" s="40">
        <v>517</v>
      </c>
      <c r="Q2412" s="40">
        <v>4</v>
      </c>
      <c r="R2412" s="40">
        <v>73</v>
      </c>
      <c r="S2412" s="40">
        <v>5</v>
      </c>
    </row>
    <row r="2413" spans="1:19" x14ac:dyDescent="0.35">
      <c r="A2413" s="38">
        <v>2776</v>
      </c>
      <c r="B2413" s="38" t="str">
        <f>_xlfn.XLOOKUP(A2413,'Model Modeshare by TAZ'!A:A,'Model Modeshare by TAZ'!B:B)</f>
        <v>Unincorporated</v>
      </c>
      <c r="C2413" s="38" t="str">
        <f>_xlfn.XLOOKUP(A2413,'Model Modeshare by TAZ'!A:A,'Model Modeshare by TAZ'!D:D)</f>
        <v>NO</v>
      </c>
      <c r="D2413" s="6">
        <v>9</v>
      </c>
      <c r="E2413" s="6">
        <v>2025</v>
      </c>
      <c r="F2413" s="6">
        <v>4344</v>
      </c>
      <c r="G2413" s="6">
        <v>4644</v>
      </c>
      <c r="H2413" s="6">
        <v>2264</v>
      </c>
      <c r="I2413" s="6">
        <v>866</v>
      </c>
      <c r="J2413" s="6">
        <v>1159</v>
      </c>
      <c r="K2413" s="40">
        <v>320</v>
      </c>
      <c r="L2413" s="40">
        <v>100</v>
      </c>
      <c r="M2413" s="40">
        <v>1811</v>
      </c>
      <c r="N2413" s="40">
        <v>631</v>
      </c>
      <c r="O2413" s="40">
        <v>640</v>
      </c>
      <c r="P2413" s="40">
        <v>451</v>
      </c>
      <c r="Q2413" s="40">
        <v>3</v>
      </c>
      <c r="R2413" s="40">
        <v>46</v>
      </c>
      <c r="S2413" s="40">
        <v>40</v>
      </c>
    </row>
    <row r="2414" spans="1:19" x14ac:dyDescent="0.35">
      <c r="A2414" s="38">
        <v>2777</v>
      </c>
      <c r="B2414" s="38" t="str">
        <f>_xlfn.XLOOKUP(A2414,'Model Modeshare by TAZ'!A:A,'Model Modeshare by TAZ'!B:B)</f>
        <v>Tiburon</v>
      </c>
      <c r="C2414" s="38" t="str">
        <f>_xlfn.XLOOKUP(A2414,'Model Modeshare by TAZ'!A:A,'Model Modeshare by TAZ'!D:D)</f>
        <v>NO</v>
      </c>
      <c r="D2414" s="6">
        <v>9</v>
      </c>
      <c r="E2414" s="6">
        <v>2222</v>
      </c>
      <c r="F2414" s="6">
        <v>5429</v>
      </c>
      <c r="G2414" s="6">
        <v>5429</v>
      </c>
      <c r="H2414" s="6">
        <v>2635</v>
      </c>
      <c r="I2414" s="6">
        <v>1438</v>
      </c>
      <c r="J2414" s="6">
        <v>784</v>
      </c>
      <c r="K2414" s="40">
        <v>724</v>
      </c>
      <c r="L2414" s="40">
        <v>57</v>
      </c>
      <c r="M2414" s="40">
        <v>1070</v>
      </c>
      <c r="N2414" s="40">
        <v>335</v>
      </c>
      <c r="O2414" s="40">
        <v>309</v>
      </c>
      <c r="P2414" s="40">
        <v>361</v>
      </c>
      <c r="Q2414" s="40">
        <v>35</v>
      </c>
      <c r="R2414" s="40">
        <v>3</v>
      </c>
      <c r="S2414" s="40">
        <v>28</v>
      </c>
    </row>
    <row r="2415" spans="1:19" x14ac:dyDescent="0.35">
      <c r="A2415" s="38">
        <v>2778</v>
      </c>
      <c r="B2415" s="38" t="str">
        <f>_xlfn.XLOOKUP(A2415,'Model Modeshare by TAZ'!A:A,'Model Modeshare by TAZ'!B:B)</f>
        <v>Tiburon</v>
      </c>
      <c r="C2415" s="38" t="str">
        <f>_xlfn.XLOOKUP(A2415,'Model Modeshare by TAZ'!A:A,'Model Modeshare by TAZ'!D:D)</f>
        <v>NO</v>
      </c>
      <c r="D2415" s="6">
        <v>9</v>
      </c>
      <c r="E2415" s="6">
        <v>2542</v>
      </c>
      <c r="F2415" s="6">
        <v>5908</v>
      </c>
      <c r="G2415" s="6">
        <v>5941</v>
      </c>
      <c r="H2415" s="6">
        <v>2830</v>
      </c>
      <c r="I2415" s="6">
        <v>1618</v>
      </c>
      <c r="J2415" s="6">
        <v>924</v>
      </c>
      <c r="K2415" s="40">
        <v>875</v>
      </c>
      <c r="L2415" s="40">
        <v>197</v>
      </c>
      <c r="M2415" s="40">
        <v>2452</v>
      </c>
      <c r="N2415" s="40">
        <v>749</v>
      </c>
      <c r="O2415" s="40">
        <v>1024</v>
      </c>
      <c r="P2415" s="40">
        <v>627</v>
      </c>
      <c r="Q2415" s="40">
        <v>6</v>
      </c>
      <c r="R2415" s="40">
        <v>22</v>
      </c>
      <c r="S2415" s="40">
        <v>22</v>
      </c>
    </row>
    <row r="2416" spans="1:19" x14ac:dyDescent="0.35">
      <c r="A2416" s="38">
        <v>2779</v>
      </c>
      <c r="B2416" s="38" t="str">
        <f>_xlfn.XLOOKUP(A2416,'Model Modeshare by TAZ'!A:A,'Model Modeshare by TAZ'!B:B)</f>
        <v>Belvedere</v>
      </c>
      <c r="C2416" s="38" t="str">
        <f>_xlfn.XLOOKUP(A2416,'Model Modeshare by TAZ'!A:A,'Model Modeshare by TAZ'!D:D)</f>
        <v>NO</v>
      </c>
      <c r="D2416" s="6">
        <v>9</v>
      </c>
      <c r="E2416" s="6">
        <v>919</v>
      </c>
      <c r="F2416" s="6">
        <v>2023</v>
      </c>
      <c r="G2416" s="6">
        <v>2023</v>
      </c>
      <c r="H2416" s="6">
        <v>659</v>
      </c>
      <c r="I2416" s="6">
        <v>816</v>
      </c>
      <c r="J2416" s="6">
        <v>103</v>
      </c>
      <c r="K2416" s="40">
        <v>207</v>
      </c>
      <c r="L2416" s="40">
        <v>6</v>
      </c>
      <c r="M2416" s="40">
        <v>540</v>
      </c>
      <c r="N2416" s="40">
        <v>8</v>
      </c>
      <c r="O2416" s="40">
        <v>257</v>
      </c>
      <c r="P2416" s="40">
        <v>275</v>
      </c>
      <c r="Q2416" s="40">
        <v>0</v>
      </c>
      <c r="R2416" s="40">
        <v>0</v>
      </c>
      <c r="S2416" s="40">
        <v>0</v>
      </c>
    </row>
    <row r="2417" spans="1:19" x14ac:dyDescent="0.35">
      <c r="A2417" s="38">
        <v>2780</v>
      </c>
      <c r="B2417" s="38" t="str">
        <f>_xlfn.XLOOKUP(A2417,'Model Modeshare by TAZ'!A:A,'Model Modeshare by TAZ'!B:B)</f>
        <v>Sausalito</v>
      </c>
      <c r="C2417" s="38" t="str">
        <f>_xlfn.XLOOKUP(A2417,'Model Modeshare by TAZ'!A:A,'Model Modeshare by TAZ'!D:D)</f>
        <v>NO</v>
      </c>
      <c r="D2417" s="6">
        <v>9</v>
      </c>
      <c r="E2417" s="6">
        <v>4371</v>
      </c>
      <c r="F2417" s="6">
        <v>7635</v>
      </c>
      <c r="G2417" s="6">
        <v>7655</v>
      </c>
      <c r="H2417" s="6">
        <v>4785</v>
      </c>
      <c r="I2417" s="6">
        <v>2121</v>
      </c>
      <c r="J2417" s="6">
        <v>2250</v>
      </c>
      <c r="K2417" s="40">
        <v>656</v>
      </c>
      <c r="L2417" s="40">
        <v>341</v>
      </c>
      <c r="M2417" s="40">
        <v>7079</v>
      </c>
      <c r="N2417" s="40">
        <v>2293</v>
      </c>
      <c r="O2417" s="40">
        <v>2391</v>
      </c>
      <c r="P2417" s="40">
        <v>1361</v>
      </c>
      <c r="Q2417" s="40">
        <v>14</v>
      </c>
      <c r="R2417" s="40">
        <v>553</v>
      </c>
      <c r="S2417" s="40">
        <v>467</v>
      </c>
    </row>
    <row r="2418" spans="1:19" x14ac:dyDescent="0.35">
      <c r="A2418" s="38">
        <v>2781</v>
      </c>
      <c r="B2418" s="38" t="str">
        <f>_xlfn.XLOOKUP(A2418,'Model Modeshare by TAZ'!A:A,'Model Modeshare by TAZ'!B:B)</f>
        <v>Unincorporated</v>
      </c>
      <c r="C2418" s="38" t="str">
        <f>_xlfn.XLOOKUP(A2418,'Model Modeshare by TAZ'!A:A,'Model Modeshare by TAZ'!D:D)</f>
        <v>NO</v>
      </c>
      <c r="D2418" s="6">
        <v>9</v>
      </c>
      <c r="E2418" s="6">
        <v>1032</v>
      </c>
      <c r="F2418" s="6">
        <v>2626</v>
      </c>
      <c r="G2418" s="6">
        <v>2626</v>
      </c>
      <c r="H2418" s="6">
        <v>1027</v>
      </c>
      <c r="I2418" s="6">
        <v>309</v>
      </c>
      <c r="J2418" s="6">
        <v>723</v>
      </c>
      <c r="K2418" s="40">
        <v>183</v>
      </c>
      <c r="L2418" s="40">
        <v>29</v>
      </c>
      <c r="M2418" s="40">
        <v>541</v>
      </c>
      <c r="N2418" s="40">
        <v>264</v>
      </c>
      <c r="O2418" s="40">
        <v>72</v>
      </c>
      <c r="P2418" s="40">
        <v>189</v>
      </c>
      <c r="Q2418" s="40">
        <v>0</v>
      </c>
      <c r="R2418" s="40">
        <v>9</v>
      </c>
      <c r="S2418" s="40">
        <v>7</v>
      </c>
    </row>
    <row r="2419" spans="1:19" x14ac:dyDescent="0.35">
      <c r="A2419" s="38">
        <v>2782</v>
      </c>
      <c r="B2419" s="38" t="str">
        <f>_xlfn.XLOOKUP(A2419,'Model Modeshare by TAZ'!A:A,'Model Modeshare by TAZ'!B:B)</f>
        <v>Unincorporated</v>
      </c>
      <c r="C2419" s="38" t="str">
        <f>_xlfn.XLOOKUP(A2419,'Model Modeshare by TAZ'!A:A,'Model Modeshare by TAZ'!D:D)</f>
        <v>NO</v>
      </c>
      <c r="D2419" s="6">
        <v>9</v>
      </c>
      <c r="E2419" s="6">
        <v>2780</v>
      </c>
      <c r="F2419" s="6">
        <v>6528</v>
      </c>
      <c r="G2419" s="6">
        <v>6548</v>
      </c>
      <c r="H2419" s="6">
        <v>3524</v>
      </c>
      <c r="I2419" s="6">
        <v>2395</v>
      </c>
      <c r="J2419" s="6">
        <v>385</v>
      </c>
      <c r="K2419" s="40">
        <v>630</v>
      </c>
      <c r="L2419" s="40">
        <v>69</v>
      </c>
      <c r="M2419" s="40">
        <v>945</v>
      </c>
      <c r="N2419" s="40">
        <v>302</v>
      </c>
      <c r="O2419" s="40">
        <v>347</v>
      </c>
      <c r="P2419" s="40">
        <v>204</v>
      </c>
      <c r="Q2419" s="40">
        <v>4</v>
      </c>
      <c r="R2419" s="40">
        <v>39</v>
      </c>
      <c r="S2419" s="40">
        <v>48</v>
      </c>
    </row>
    <row r="2420" spans="1:19" x14ac:dyDescent="0.35">
      <c r="A2420" s="38">
        <v>2783</v>
      </c>
      <c r="B2420" s="38" t="str">
        <f>_xlfn.XLOOKUP(A2420,'Model Modeshare by TAZ'!A:A,'Model Modeshare by TAZ'!B:B)</f>
        <v>Unincorporated</v>
      </c>
      <c r="C2420" s="38" t="str">
        <f>_xlfn.XLOOKUP(A2420,'Model Modeshare by TAZ'!A:A,'Model Modeshare by TAZ'!D:D)</f>
        <v>NO</v>
      </c>
      <c r="D2420" s="6">
        <v>9</v>
      </c>
      <c r="E2420" s="6">
        <v>1856</v>
      </c>
      <c r="F2420" s="6">
        <v>4596</v>
      </c>
      <c r="G2420" s="6">
        <v>4596</v>
      </c>
      <c r="H2420" s="6">
        <v>2402</v>
      </c>
      <c r="I2420" s="6">
        <v>1718</v>
      </c>
      <c r="J2420" s="6">
        <v>138</v>
      </c>
      <c r="K2420" s="40">
        <v>379</v>
      </c>
      <c r="L2420" s="40">
        <v>43</v>
      </c>
      <c r="M2420" s="40">
        <v>1352</v>
      </c>
      <c r="N2420" s="40">
        <v>383</v>
      </c>
      <c r="O2420" s="40">
        <v>574</v>
      </c>
      <c r="P2420" s="40">
        <v>274</v>
      </c>
      <c r="Q2420" s="40">
        <v>10</v>
      </c>
      <c r="R2420" s="40">
        <v>97</v>
      </c>
      <c r="S2420" s="40">
        <v>14</v>
      </c>
    </row>
    <row r="2421" spans="1:19" x14ac:dyDescent="0.35">
      <c r="A2421" s="38">
        <v>2784</v>
      </c>
      <c r="B2421" s="38" t="str">
        <f>_xlfn.XLOOKUP(A2421,'Model Modeshare by TAZ'!A:A,'Model Modeshare by TAZ'!B:B)</f>
        <v>Mill Valley</v>
      </c>
      <c r="C2421" s="38" t="str">
        <f>_xlfn.XLOOKUP(A2421,'Model Modeshare by TAZ'!A:A,'Model Modeshare by TAZ'!D:D)</f>
        <v>NO</v>
      </c>
      <c r="D2421" s="6">
        <v>9</v>
      </c>
      <c r="E2421" s="6">
        <v>2106</v>
      </c>
      <c r="F2421" s="6">
        <v>4746</v>
      </c>
      <c r="G2421" s="6">
        <v>4753</v>
      </c>
      <c r="H2421" s="6">
        <v>2412</v>
      </c>
      <c r="I2421" s="6">
        <v>1687</v>
      </c>
      <c r="J2421" s="6">
        <v>419</v>
      </c>
      <c r="K2421" s="40">
        <v>602</v>
      </c>
      <c r="L2421" s="40">
        <v>35</v>
      </c>
      <c r="M2421" s="40">
        <v>2037</v>
      </c>
      <c r="N2421" s="40">
        <v>598</v>
      </c>
      <c r="O2421" s="40">
        <v>765</v>
      </c>
      <c r="P2421" s="40">
        <v>565</v>
      </c>
      <c r="Q2421" s="40">
        <v>4</v>
      </c>
      <c r="R2421" s="40">
        <v>59</v>
      </c>
      <c r="S2421" s="40">
        <v>46</v>
      </c>
    </row>
    <row r="2422" spans="1:19" x14ac:dyDescent="0.35">
      <c r="A2422" s="38">
        <v>2785</v>
      </c>
      <c r="B2422" s="38" t="str">
        <f>_xlfn.XLOOKUP(A2422,'Model Modeshare by TAZ'!A:A,'Model Modeshare by TAZ'!B:B)</f>
        <v>Unincorporated</v>
      </c>
      <c r="C2422" s="38" t="str">
        <f>_xlfn.XLOOKUP(A2422,'Model Modeshare by TAZ'!A:A,'Model Modeshare by TAZ'!D:D)</f>
        <v>NO</v>
      </c>
      <c r="D2422" s="6">
        <v>9</v>
      </c>
      <c r="E2422" s="6">
        <v>251</v>
      </c>
      <c r="F2422" s="6">
        <v>515</v>
      </c>
      <c r="G2422" s="6">
        <v>684</v>
      </c>
      <c r="H2422" s="6">
        <v>361</v>
      </c>
      <c r="I2422" s="6">
        <v>207</v>
      </c>
      <c r="J2422" s="6">
        <v>44</v>
      </c>
      <c r="K2422" s="40">
        <v>429</v>
      </c>
      <c r="L2422" s="40">
        <v>4</v>
      </c>
      <c r="M2422" s="40">
        <v>584</v>
      </c>
      <c r="N2422" s="40">
        <v>42</v>
      </c>
      <c r="O2422" s="40">
        <v>284</v>
      </c>
      <c r="P2422" s="40">
        <v>121</v>
      </c>
      <c r="Q2422" s="40">
        <v>48</v>
      </c>
      <c r="R2422" s="40">
        <v>16</v>
      </c>
      <c r="S2422" s="40">
        <v>73</v>
      </c>
    </row>
    <row r="2423" spans="1:19" x14ac:dyDescent="0.35">
      <c r="A2423" s="38">
        <v>2786</v>
      </c>
      <c r="B2423" s="38" t="str">
        <f>_xlfn.XLOOKUP(A2423,'Model Modeshare by TAZ'!A:A,'Model Modeshare by TAZ'!B:B)</f>
        <v>Unincorporated</v>
      </c>
      <c r="C2423" s="38" t="str">
        <f>_xlfn.XLOOKUP(A2423,'Model Modeshare by TAZ'!A:A,'Model Modeshare by TAZ'!D:D)</f>
        <v>NO</v>
      </c>
      <c r="D2423" s="6">
        <v>9</v>
      </c>
      <c r="E2423" s="6">
        <v>868</v>
      </c>
      <c r="F2423" s="6">
        <v>1912</v>
      </c>
      <c r="G2423" s="6">
        <v>1956</v>
      </c>
      <c r="H2423" s="6">
        <v>1126</v>
      </c>
      <c r="I2423" s="6">
        <v>805</v>
      </c>
      <c r="J2423" s="6">
        <v>63</v>
      </c>
      <c r="K2423" s="40">
        <v>1114</v>
      </c>
      <c r="L2423" s="40">
        <v>27</v>
      </c>
      <c r="M2423" s="40">
        <v>706</v>
      </c>
      <c r="N2423" s="40">
        <v>232</v>
      </c>
      <c r="O2423" s="40">
        <v>366</v>
      </c>
      <c r="P2423" s="40">
        <v>100</v>
      </c>
      <c r="Q2423" s="40">
        <v>3</v>
      </c>
      <c r="R2423" s="40">
        <v>5</v>
      </c>
      <c r="S2423" s="40">
        <v>0</v>
      </c>
    </row>
    <row r="2424" spans="1:19" x14ac:dyDescent="0.35">
      <c r="A2424" s="38">
        <v>1491</v>
      </c>
      <c r="B2424" s="38" t="str">
        <f>_xlfn.XLOOKUP(A2424,'Model Modeshare by TAZ'!A:A,'Model Modeshare by TAZ'!B:B)</f>
        <v>Daly City</v>
      </c>
      <c r="C2424" s="38" t="str">
        <f>_xlfn.XLOOKUP(A2424,'Model Modeshare by TAZ'!A:A,'Model Modeshare by TAZ'!D:D)</f>
        <v>YES</v>
      </c>
      <c r="D2424" s="6">
        <v>2</v>
      </c>
      <c r="E2424" s="6">
        <v>725</v>
      </c>
      <c r="F2424" s="6">
        <v>2085</v>
      </c>
      <c r="G2424" s="6">
        <v>2085</v>
      </c>
      <c r="H2424" s="6">
        <v>1054</v>
      </c>
      <c r="I2424" s="6">
        <v>665</v>
      </c>
      <c r="J2424" s="6">
        <v>61</v>
      </c>
      <c r="K2424" s="40">
        <v>65</v>
      </c>
      <c r="L2424" s="40">
        <v>12</v>
      </c>
      <c r="M2424" s="40">
        <v>392</v>
      </c>
      <c r="N2424" s="40">
        <v>155</v>
      </c>
      <c r="O2424" s="40">
        <v>88</v>
      </c>
      <c r="P2424" s="40">
        <v>148</v>
      </c>
      <c r="Q2424" s="40">
        <v>0</v>
      </c>
      <c r="R2424" s="40">
        <v>1</v>
      </c>
      <c r="S2424" s="40">
        <v>0</v>
      </c>
    </row>
    <row r="2425" spans="1:19" x14ac:dyDescent="0.35">
      <c r="A2425" s="38">
        <v>1492</v>
      </c>
      <c r="B2425" s="38" t="str">
        <f>_xlfn.XLOOKUP(A2425,'Model Modeshare by TAZ'!A:A,'Model Modeshare by TAZ'!B:B)</f>
        <v>Unincorporated</v>
      </c>
      <c r="C2425" s="38" t="str">
        <f>_xlfn.XLOOKUP(A2425,'Model Modeshare by TAZ'!A:A,'Model Modeshare by TAZ'!D:D)</f>
        <v>YES</v>
      </c>
      <c r="D2425" s="6">
        <v>2</v>
      </c>
      <c r="E2425" s="6">
        <v>1109</v>
      </c>
      <c r="F2425" s="6">
        <v>3424</v>
      </c>
      <c r="G2425" s="6">
        <v>3517</v>
      </c>
      <c r="H2425" s="6">
        <v>2031</v>
      </c>
      <c r="I2425" s="6">
        <v>735</v>
      </c>
      <c r="J2425" s="6">
        <v>374</v>
      </c>
      <c r="K2425" s="40">
        <v>112</v>
      </c>
      <c r="L2425" s="40">
        <v>2</v>
      </c>
      <c r="M2425" s="40">
        <v>90</v>
      </c>
      <c r="N2425" s="40">
        <v>11</v>
      </c>
      <c r="O2425" s="40">
        <v>70</v>
      </c>
      <c r="P2425" s="40">
        <v>3</v>
      </c>
      <c r="Q2425" s="40">
        <v>6</v>
      </c>
      <c r="R2425" s="40">
        <v>0</v>
      </c>
      <c r="S2425" s="40">
        <v>0</v>
      </c>
    </row>
    <row r="2426" spans="1:19" x14ac:dyDescent="0.35">
      <c r="A2426" s="38">
        <v>1493</v>
      </c>
      <c r="B2426" s="38" t="str">
        <f>_xlfn.XLOOKUP(A2426,'Model Modeshare by TAZ'!A:A,'Model Modeshare by TAZ'!B:B)</f>
        <v>Daly City</v>
      </c>
      <c r="C2426" s="38" t="str">
        <f>_xlfn.XLOOKUP(A2426,'Model Modeshare by TAZ'!A:A,'Model Modeshare by TAZ'!D:D)</f>
        <v>YES</v>
      </c>
      <c r="D2426" s="6">
        <v>2</v>
      </c>
      <c r="E2426" s="6">
        <v>1034</v>
      </c>
      <c r="F2426" s="6">
        <v>3799</v>
      </c>
      <c r="G2426" s="6">
        <v>3836</v>
      </c>
      <c r="H2426" s="6">
        <v>1908</v>
      </c>
      <c r="I2426" s="6">
        <v>805</v>
      </c>
      <c r="J2426" s="6">
        <v>229</v>
      </c>
      <c r="K2426" s="40">
        <v>83</v>
      </c>
      <c r="L2426" s="40">
        <v>12</v>
      </c>
      <c r="M2426" s="40">
        <v>273</v>
      </c>
      <c r="N2426" s="40">
        <v>2</v>
      </c>
      <c r="O2426" s="40">
        <v>189</v>
      </c>
      <c r="P2426" s="40">
        <v>65</v>
      </c>
      <c r="Q2426" s="40">
        <v>17</v>
      </c>
      <c r="R2426" s="40">
        <v>0</v>
      </c>
      <c r="S2426" s="40">
        <v>1</v>
      </c>
    </row>
    <row r="2427" spans="1:19" x14ac:dyDescent="0.35">
      <c r="A2427" s="38">
        <v>1494</v>
      </c>
      <c r="B2427" s="38" t="str">
        <f>_xlfn.XLOOKUP(A2427,'Model Modeshare by TAZ'!A:A,'Model Modeshare by TAZ'!B:B)</f>
        <v>Daly City</v>
      </c>
      <c r="C2427" s="38" t="str">
        <f>_xlfn.XLOOKUP(A2427,'Model Modeshare by TAZ'!A:A,'Model Modeshare by TAZ'!D:D)</f>
        <v>YES</v>
      </c>
      <c r="D2427" s="6">
        <v>2</v>
      </c>
      <c r="E2427" s="6">
        <v>346</v>
      </c>
      <c r="F2427" s="6">
        <v>1203</v>
      </c>
      <c r="G2427" s="6">
        <v>1209</v>
      </c>
      <c r="H2427" s="6">
        <v>695</v>
      </c>
      <c r="I2427" s="6">
        <v>58</v>
      </c>
      <c r="J2427" s="6">
        <v>288</v>
      </c>
      <c r="K2427" s="40">
        <v>15</v>
      </c>
      <c r="L2427" s="40">
        <v>4</v>
      </c>
      <c r="M2427" s="40">
        <v>152</v>
      </c>
      <c r="N2427" s="40">
        <v>34</v>
      </c>
      <c r="O2427" s="40">
        <v>117</v>
      </c>
      <c r="P2427" s="40">
        <v>1</v>
      </c>
      <c r="Q2427" s="40">
        <v>0</v>
      </c>
      <c r="R2427" s="40">
        <v>0</v>
      </c>
      <c r="S2427" s="40">
        <v>0</v>
      </c>
    </row>
    <row r="2428" spans="1:19" x14ac:dyDescent="0.35">
      <c r="A2428" s="38">
        <v>1495</v>
      </c>
      <c r="B2428" s="38" t="str">
        <f>_xlfn.XLOOKUP(A2428,'Model Modeshare by TAZ'!A:A,'Model Modeshare by TAZ'!B:B)</f>
        <v>Daly City</v>
      </c>
      <c r="C2428" s="38" t="str">
        <f>_xlfn.XLOOKUP(A2428,'Model Modeshare by TAZ'!A:A,'Model Modeshare by TAZ'!D:D)</f>
        <v>YES</v>
      </c>
      <c r="D2428" s="6">
        <v>2</v>
      </c>
      <c r="E2428" s="6">
        <v>1014</v>
      </c>
      <c r="F2428" s="6">
        <v>3386</v>
      </c>
      <c r="G2428" s="6">
        <v>3605</v>
      </c>
      <c r="H2428" s="6">
        <v>1716</v>
      </c>
      <c r="I2428" s="6">
        <v>170</v>
      </c>
      <c r="J2428" s="6">
        <v>844</v>
      </c>
      <c r="K2428" s="40">
        <v>29</v>
      </c>
      <c r="L2428" s="40">
        <v>10</v>
      </c>
      <c r="M2428" s="40">
        <v>252</v>
      </c>
      <c r="N2428" s="40">
        <v>56</v>
      </c>
      <c r="O2428" s="40">
        <v>194</v>
      </c>
      <c r="P2428" s="40">
        <v>2</v>
      </c>
      <c r="Q2428" s="40">
        <v>0</v>
      </c>
      <c r="R2428" s="40">
        <v>0</v>
      </c>
      <c r="S2428" s="40">
        <v>0</v>
      </c>
    </row>
    <row r="2429" spans="1:19" x14ac:dyDescent="0.35">
      <c r="A2429" s="38">
        <v>1496</v>
      </c>
      <c r="B2429" s="38" t="str">
        <f>_xlfn.XLOOKUP(A2429,'Model Modeshare by TAZ'!A:A,'Model Modeshare by TAZ'!B:B)</f>
        <v>Daly City</v>
      </c>
      <c r="C2429" s="38" t="str">
        <f>_xlfn.XLOOKUP(A2429,'Model Modeshare by TAZ'!A:A,'Model Modeshare by TAZ'!D:D)</f>
        <v>YES</v>
      </c>
      <c r="D2429" s="6">
        <v>2</v>
      </c>
      <c r="E2429" s="6">
        <v>1</v>
      </c>
      <c r="F2429" s="6">
        <v>2</v>
      </c>
      <c r="G2429" s="6">
        <v>7</v>
      </c>
      <c r="H2429" s="6">
        <v>1</v>
      </c>
      <c r="I2429" s="6">
        <v>1</v>
      </c>
      <c r="J2429" s="6">
        <v>0</v>
      </c>
      <c r="K2429" s="40">
        <v>12</v>
      </c>
      <c r="L2429" s="40">
        <v>2</v>
      </c>
      <c r="M2429" s="40">
        <v>117</v>
      </c>
      <c r="N2429" s="40">
        <v>66</v>
      </c>
      <c r="O2429" s="40">
        <v>42</v>
      </c>
      <c r="P2429" s="40">
        <v>8</v>
      </c>
      <c r="Q2429" s="40">
        <v>0</v>
      </c>
      <c r="R2429" s="40">
        <v>2</v>
      </c>
      <c r="S2429" s="40">
        <v>0</v>
      </c>
    </row>
    <row r="2430" spans="1:19" x14ac:dyDescent="0.35">
      <c r="A2430" s="38">
        <v>1497</v>
      </c>
      <c r="B2430" s="38" t="str">
        <f>_xlfn.XLOOKUP(A2430,'Model Modeshare by TAZ'!A:A,'Model Modeshare by TAZ'!B:B)</f>
        <v>Colma</v>
      </c>
      <c r="C2430" s="38" t="str">
        <f>_xlfn.XLOOKUP(A2430,'Model Modeshare by TAZ'!A:A,'Model Modeshare by TAZ'!D:D)</f>
        <v>YES</v>
      </c>
      <c r="D2430" s="6">
        <v>2</v>
      </c>
      <c r="E2430" s="6">
        <v>431</v>
      </c>
      <c r="F2430" s="6">
        <v>1250</v>
      </c>
      <c r="G2430" s="6">
        <v>1250</v>
      </c>
      <c r="H2430" s="6">
        <v>747</v>
      </c>
      <c r="I2430" s="6">
        <v>138</v>
      </c>
      <c r="J2430" s="6">
        <v>293</v>
      </c>
      <c r="K2430" s="40">
        <v>133</v>
      </c>
      <c r="L2430" s="40">
        <v>42</v>
      </c>
      <c r="M2430" s="40">
        <v>1221</v>
      </c>
      <c r="N2430" s="40">
        <v>9</v>
      </c>
      <c r="O2430" s="40">
        <v>284</v>
      </c>
      <c r="P2430" s="40">
        <v>840</v>
      </c>
      <c r="Q2430" s="40">
        <v>3</v>
      </c>
      <c r="R2430" s="40">
        <v>78</v>
      </c>
      <c r="S2430" s="40">
        <v>8</v>
      </c>
    </row>
    <row r="2431" spans="1:19" x14ac:dyDescent="0.35">
      <c r="A2431" s="38">
        <v>1498</v>
      </c>
      <c r="B2431" s="38" t="str">
        <f>_xlfn.XLOOKUP(A2431,'Model Modeshare by TAZ'!A:A,'Model Modeshare by TAZ'!B:B)</f>
        <v>Daly City</v>
      </c>
      <c r="C2431" s="38" t="str">
        <f>_xlfn.XLOOKUP(A2431,'Model Modeshare by TAZ'!A:A,'Model Modeshare by TAZ'!D:D)</f>
        <v>YES</v>
      </c>
      <c r="D2431" s="6">
        <v>2</v>
      </c>
      <c r="E2431" s="6">
        <v>551</v>
      </c>
      <c r="F2431" s="6">
        <v>1903</v>
      </c>
      <c r="G2431" s="6">
        <v>1911</v>
      </c>
      <c r="H2431" s="6">
        <v>913</v>
      </c>
      <c r="I2431" s="6">
        <v>190</v>
      </c>
      <c r="J2431" s="6">
        <v>361</v>
      </c>
      <c r="K2431" s="40">
        <v>9</v>
      </c>
      <c r="L2431" s="40">
        <v>15</v>
      </c>
      <c r="M2431" s="40">
        <v>295</v>
      </c>
      <c r="N2431" s="40">
        <v>18</v>
      </c>
      <c r="O2431" s="40">
        <v>194</v>
      </c>
      <c r="P2431" s="40">
        <v>78</v>
      </c>
      <c r="Q2431" s="40">
        <v>4</v>
      </c>
      <c r="R2431" s="40">
        <v>0</v>
      </c>
      <c r="S2431" s="40">
        <v>1</v>
      </c>
    </row>
    <row r="2432" spans="1:19" x14ac:dyDescent="0.35">
      <c r="A2432" s="38">
        <v>1499</v>
      </c>
      <c r="B2432" s="38" t="str">
        <f>_xlfn.XLOOKUP(A2432,'Model Modeshare by TAZ'!A:A,'Model Modeshare by TAZ'!B:B)</f>
        <v>Daly City</v>
      </c>
      <c r="C2432" s="38" t="str">
        <f>_xlfn.XLOOKUP(A2432,'Model Modeshare by TAZ'!A:A,'Model Modeshare by TAZ'!D:D)</f>
        <v>YES</v>
      </c>
      <c r="D2432" s="6">
        <v>2</v>
      </c>
      <c r="E2432" s="6">
        <v>823</v>
      </c>
      <c r="F2432" s="6">
        <v>3303</v>
      </c>
      <c r="G2432" s="6">
        <v>3303</v>
      </c>
      <c r="H2432" s="6">
        <v>1903</v>
      </c>
      <c r="I2432" s="6">
        <v>563</v>
      </c>
      <c r="J2432" s="6">
        <v>260</v>
      </c>
      <c r="K2432" s="40">
        <v>71</v>
      </c>
      <c r="L2432" s="40">
        <v>26</v>
      </c>
      <c r="M2432" s="40">
        <v>309</v>
      </c>
      <c r="N2432" s="40">
        <v>50</v>
      </c>
      <c r="O2432" s="40">
        <v>212</v>
      </c>
      <c r="P2432" s="40">
        <v>37</v>
      </c>
      <c r="Q2432" s="40">
        <v>1</v>
      </c>
      <c r="R2432" s="40">
        <v>1</v>
      </c>
      <c r="S2432" s="40">
        <v>9</v>
      </c>
    </row>
    <row r="2433" spans="1:19" x14ac:dyDescent="0.35">
      <c r="A2433" s="38">
        <v>1500</v>
      </c>
      <c r="B2433" s="38" t="str">
        <f>_xlfn.XLOOKUP(A2433,'Model Modeshare by TAZ'!A:A,'Model Modeshare by TAZ'!B:B)</f>
        <v>Daly City</v>
      </c>
      <c r="C2433" s="38" t="str">
        <f>_xlfn.XLOOKUP(A2433,'Model Modeshare by TAZ'!A:A,'Model Modeshare by TAZ'!D:D)</f>
        <v>YES</v>
      </c>
      <c r="D2433" s="6">
        <v>2</v>
      </c>
      <c r="E2433" s="6">
        <v>557</v>
      </c>
      <c r="F2433" s="6">
        <v>2086</v>
      </c>
      <c r="G2433" s="6">
        <v>2086</v>
      </c>
      <c r="H2433" s="6">
        <v>1087</v>
      </c>
      <c r="I2433" s="6">
        <v>380</v>
      </c>
      <c r="J2433" s="6">
        <v>177</v>
      </c>
      <c r="K2433" s="40">
        <v>21</v>
      </c>
      <c r="L2433" s="40">
        <v>12</v>
      </c>
      <c r="M2433" s="40">
        <v>716</v>
      </c>
      <c r="N2433" s="40">
        <v>332</v>
      </c>
      <c r="O2433" s="40">
        <v>268</v>
      </c>
      <c r="P2433" s="40">
        <v>95</v>
      </c>
      <c r="Q2433" s="40">
        <v>11</v>
      </c>
      <c r="R2433" s="40">
        <v>0</v>
      </c>
      <c r="S2433" s="40">
        <v>9</v>
      </c>
    </row>
    <row r="2434" spans="1:19" x14ac:dyDescent="0.35">
      <c r="A2434" s="38">
        <v>1501</v>
      </c>
      <c r="B2434" s="38" t="str">
        <f>_xlfn.XLOOKUP(A2434,'Model Modeshare by TAZ'!A:A,'Model Modeshare by TAZ'!B:B)</f>
        <v>Daly City</v>
      </c>
      <c r="C2434" s="38" t="str">
        <f>_xlfn.XLOOKUP(A2434,'Model Modeshare by TAZ'!A:A,'Model Modeshare by TAZ'!D:D)</f>
        <v>YES</v>
      </c>
      <c r="D2434" s="6">
        <v>2</v>
      </c>
      <c r="E2434" s="6">
        <v>500</v>
      </c>
      <c r="F2434" s="6">
        <v>1698</v>
      </c>
      <c r="G2434" s="6">
        <v>1715</v>
      </c>
      <c r="H2434" s="6">
        <v>861</v>
      </c>
      <c r="I2434" s="6">
        <v>339</v>
      </c>
      <c r="J2434" s="6">
        <v>161</v>
      </c>
      <c r="K2434" s="40">
        <v>24</v>
      </c>
      <c r="L2434" s="40">
        <v>7</v>
      </c>
      <c r="M2434" s="40">
        <v>240</v>
      </c>
      <c r="N2434" s="40">
        <v>140</v>
      </c>
      <c r="O2434" s="40">
        <v>26</v>
      </c>
      <c r="P2434" s="40">
        <v>37</v>
      </c>
      <c r="Q2434" s="40">
        <v>1</v>
      </c>
      <c r="R2434" s="40">
        <v>36</v>
      </c>
      <c r="S2434" s="40">
        <v>0</v>
      </c>
    </row>
    <row r="2435" spans="1:19" x14ac:dyDescent="0.35">
      <c r="A2435" s="38">
        <v>1502</v>
      </c>
      <c r="B2435" s="38" t="str">
        <f>_xlfn.XLOOKUP(A2435,'Model Modeshare by TAZ'!A:A,'Model Modeshare by TAZ'!B:B)</f>
        <v>Daly City</v>
      </c>
      <c r="C2435" s="38" t="str">
        <f>_xlfn.XLOOKUP(A2435,'Model Modeshare by TAZ'!A:A,'Model Modeshare by TAZ'!D:D)</f>
        <v>YES</v>
      </c>
      <c r="D2435" s="6">
        <v>2</v>
      </c>
      <c r="E2435" s="6">
        <v>1231</v>
      </c>
      <c r="F2435" s="6">
        <v>4051</v>
      </c>
      <c r="G2435" s="6">
        <v>4051</v>
      </c>
      <c r="H2435" s="6">
        <v>1978</v>
      </c>
      <c r="I2435" s="6">
        <v>1055</v>
      </c>
      <c r="J2435" s="6">
        <v>176</v>
      </c>
      <c r="K2435" s="40">
        <v>110</v>
      </c>
      <c r="L2435" s="40">
        <v>2</v>
      </c>
      <c r="M2435" s="40">
        <v>345</v>
      </c>
      <c r="N2435" s="40">
        <v>0</v>
      </c>
      <c r="O2435" s="40">
        <v>225</v>
      </c>
      <c r="P2435" s="40">
        <v>88</v>
      </c>
      <c r="Q2435" s="40">
        <v>3</v>
      </c>
      <c r="R2435" s="40">
        <v>6</v>
      </c>
      <c r="S2435" s="40">
        <v>24</v>
      </c>
    </row>
    <row r="2436" spans="1:19" x14ac:dyDescent="0.35">
      <c r="A2436" s="38">
        <v>1503</v>
      </c>
      <c r="B2436" s="38" t="str">
        <f>_xlfn.XLOOKUP(A2436,'Model Modeshare by TAZ'!A:A,'Model Modeshare by TAZ'!B:B)</f>
        <v>Daly City</v>
      </c>
      <c r="C2436" s="38" t="str">
        <f>_xlfn.XLOOKUP(A2436,'Model Modeshare by TAZ'!A:A,'Model Modeshare by TAZ'!D:D)</f>
        <v>YES</v>
      </c>
      <c r="D2436" s="6">
        <v>2</v>
      </c>
      <c r="E2436" s="6">
        <v>70</v>
      </c>
      <c r="F2436" s="6">
        <v>258</v>
      </c>
      <c r="G2436" s="6">
        <v>259</v>
      </c>
      <c r="H2436" s="6">
        <v>126</v>
      </c>
      <c r="I2436" s="6">
        <v>52</v>
      </c>
      <c r="J2436" s="6">
        <v>18</v>
      </c>
      <c r="K2436" s="40">
        <v>5</v>
      </c>
      <c r="L2436" s="40">
        <v>24</v>
      </c>
      <c r="M2436" s="40">
        <v>286</v>
      </c>
      <c r="N2436" s="40">
        <v>61</v>
      </c>
      <c r="O2436" s="40">
        <v>72</v>
      </c>
      <c r="P2436" s="40">
        <v>130</v>
      </c>
      <c r="Q2436" s="40">
        <v>3</v>
      </c>
      <c r="R2436" s="40">
        <v>12</v>
      </c>
      <c r="S2436" s="40">
        <v>8</v>
      </c>
    </row>
    <row r="2437" spans="1:19" x14ac:dyDescent="0.35">
      <c r="A2437" s="38">
        <v>1504</v>
      </c>
      <c r="B2437" s="38" t="str">
        <f>_xlfn.XLOOKUP(A2437,'Model Modeshare by TAZ'!A:A,'Model Modeshare by TAZ'!B:B)</f>
        <v>South San Francisco</v>
      </c>
      <c r="C2437" s="38" t="str">
        <f>_xlfn.XLOOKUP(A2437,'Model Modeshare by TAZ'!A:A,'Model Modeshare by TAZ'!D:D)</f>
        <v>YES</v>
      </c>
      <c r="D2437" s="6">
        <v>2</v>
      </c>
      <c r="E2437" s="6">
        <v>191</v>
      </c>
      <c r="F2437" s="6">
        <v>578</v>
      </c>
      <c r="G2437" s="6">
        <v>583</v>
      </c>
      <c r="H2437" s="6">
        <v>255</v>
      </c>
      <c r="I2437" s="6">
        <v>73</v>
      </c>
      <c r="J2437" s="6">
        <v>118</v>
      </c>
      <c r="K2437" s="40">
        <v>4</v>
      </c>
      <c r="L2437" s="40">
        <v>65</v>
      </c>
      <c r="M2437" s="40">
        <v>1350</v>
      </c>
      <c r="N2437" s="40">
        <v>17</v>
      </c>
      <c r="O2437" s="40">
        <v>1085</v>
      </c>
      <c r="P2437" s="40">
        <v>83</v>
      </c>
      <c r="Q2437" s="40">
        <v>5</v>
      </c>
      <c r="R2437" s="40">
        <v>41</v>
      </c>
      <c r="S2437" s="40">
        <v>121</v>
      </c>
    </row>
    <row r="2438" spans="1:19" x14ac:dyDescent="0.35">
      <c r="A2438" s="38">
        <v>1505</v>
      </c>
      <c r="B2438" s="38" t="str">
        <f>_xlfn.XLOOKUP(A2438,'Model Modeshare by TAZ'!A:A,'Model Modeshare by TAZ'!B:B)</f>
        <v>South San Francisco</v>
      </c>
      <c r="C2438" s="38" t="str">
        <f>_xlfn.XLOOKUP(A2438,'Model Modeshare by TAZ'!A:A,'Model Modeshare by TAZ'!D:D)</f>
        <v>YES</v>
      </c>
      <c r="D2438" s="6">
        <v>2</v>
      </c>
      <c r="E2438" s="6">
        <v>439</v>
      </c>
      <c r="F2438" s="6">
        <v>1532</v>
      </c>
      <c r="G2438" s="6">
        <v>1533</v>
      </c>
      <c r="H2438" s="6">
        <v>762</v>
      </c>
      <c r="I2438" s="6">
        <v>439</v>
      </c>
      <c r="J2438" s="6">
        <v>0</v>
      </c>
      <c r="K2438" s="40">
        <v>93</v>
      </c>
      <c r="L2438" s="40">
        <v>5</v>
      </c>
      <c r="M2438" s="40">
        <v>40</v>
      </c>
      <c r="N2438" s="40">
        <v>0</v>
      </c>
      <c r="O2438" s="40">
        <v>36</v>
      </c>
      <c r="P2438" s="40">
        <v>2</v>
      </c>
      <c r="Q2438" s="40">
        <v>3</v>
      </c>
      <c r="R2438" s="40">
        <v>0</v>
      </c>
      <c r="S2438" s="40">
        <v>0</v>
      </c>
    </row>
    <row r="2439" spans="1:19" x14ac:dyDescent="0.35">
      <c r="A2439" s="38">
        <v>1506</v>
      </c>
      <c r="B2439" s="38" t="str">
        <f>_xlfn.XLOOKUP(A2439,'Model Modeshare by TAZ'!A:A,'Model Modeshare by TAZ'!B:B)</f>
        <v>South San Francisco</v>
      </c>
      <c r="C2439" s="38" t="str">
        <f>_xlfn.XLOOKUP(A2439,'Model Modeshare by TAZ'!A:A,'Model Modeshare by TAZ'!D:D)</f>
        <v>YES</v>
      </c>
      <c r="D2439" s="6">
        <v>2</v>
      </c>
      <c r="E2439" s="6">
        <v>382</v>
      </c>
      <c r="F2439" s="6">
        <v>1247</v>
      </c>
      <c r="G2439" s="6">
        <v>1259</v>
      </c>
      <c r="H2439" s="6">
        <v>660</v>
      </c>
      <c r="I2439" s="6">
        <v>153</v>
      </c>
      <c r="J2439" s="6">
        <v>229</v>
      </c>
      <c r="K2439" s="40">
        <v>20</v>
      </c>
      <c r="L2439" s="40">
        <v>1</v>
      </c>
      <c r="M2439" s="40">
        <v>25</v>
      </c>
      <c r="N2439" s="40">
        <v>2</v>
      </c>
      <c r="O2439" s="40">
        <v>16</v>
      </c>
      <c r="P2439" s="40">
        <v>4</v>
      </c>
      <c r="Q2439" s="40">
        <v>1</v>
      </c>
      <c r="R2439" s="40">
        <v>0</v>
      </c>
      <c r="S2439" s="40">
        <v>1</v>
      </c>
    </row>
    <row r="2440" spans="1:19" x14ac:dyDescent="0.35">
      <c r="A2440" s="38">
        <v>1507</v>
      </c>
      <c r="B2440" s="38" t="str">
        <f>_xlfn.XLOOKUP(A2440,'Model Modeshare by TAZ'!A:A,'Model Modeshare by TAZ'!B:B)</f>
        <v>South San Francisco</v>
      </c>
      <c r="C2440" s="38" t="str">
        <f>_xlfn.XLOOKUP(A2440,'Model Modeshare by TAZ'!A:A,'Model Modeshare by TAZ'!D:D)</f>
        <v>YES</v>
      </c>
      <c r="D2440" s="6">
        <v>2</v>
      </c>
      <c r="E2440" s="6">
        <v>0</v>
      </c>
      <c r="F2440" s="6">
        <v>0</v>
      </c>
      <c r="G2440" s="6">
        <v>0</v>
      </c>
      <c r="H2440" s="6">
        <v>0</v>
      </c>
      <c r="I2440" s="6">
        <v>0</v>
      </c>
      <c r="J2440" s="6">
        <v>0</v>
      </c>
      <c r="K2440" s="40">
        <v>9</v>
      </c>
      <c r="L2440" s="40">
        <v>37</v>
      </c>
      <c r="M2440" s="40">
        <v>900</v>
      </c>
      <c r="N2440" s="40">
        <v>190</v>
      </c>
      <c r="O2440" s="40">
        <v>131</v>
      </c>
      <c r="P2440" s="40">
        <v>517</v>
      </c>
      <c r="Q2440" s="40">
        <v>0</v>
      </c>
      <c r="R2440" s="40">
        <v>36</v>
      </c>
      <c r="S2440" s="40">
        <v>25</v>
      </c>
    </row>
    <row r="2441" spans="1:19" x14ac:dyDescent="0.35">
      <c r="A2441" s="38">
        <v>1508</v>
      </c>
      <c r="B2441" s="38" t="str">
        <f>_xlfn.XLOOKUP(A2441,'Model Modeshare by TAZ'!A:A,'Model Modeshare by TAZ'!B:B)</f>
        <v>South San Francisco</v>
      </c>
      <c r="C2441" s="38" t="str">
        <f>_xlfn.XLOOKUP(A2441,'Model Modeshare by TAZ'!A:A,'Model Modeshare by TAZ'!D:D)</f>
        <v>YES</v>
      </c>
      <c r="D2441" s="6">
        <v>2</v>
      </c>
      <c r="E2441" s="6">
        <v>710</v>
      </c>
      <c r="F2441" s="6">
        <v>2017</v>
      </c>
      <c r="G2441" s="6">
        <v>2036</v>
      </c>
      <c r="H2441" s="6">
        <v>1051</v>
      </c>
      <c r="I2441" s="6">
        <v>710</v>
      </c>
      <c r="J2441" s="6">
        <v>0</v>
      </c>
      <c r="K2441" s="40">
        <v>87</v>
      </c>
      <c r="L2441" s="40">
        <v>11</v>
      </c>
      <c r="M2441" s="40">
        <v>348</v>
      </c>
      <c r="N2441" s="40">
        <v>73</v>
      </c>
      <c r="O2441" s="40">
        <v>210</v>
      </c>
      <c r="P2441" s="40">
        <v>51</v>
      </c>
      <c r="Q2441" s="40">
        <v>6</v>
      </c>
      <c r="R2441" s="40">
        <v>0</v>
      </c>
      <c r="S2441" s="40">
        <v>9</v>
      </c>
    </row>
    <row r="2442" spans="1:19" x14ac:dyDescent="0.35">
      <c r="A2442" s="38">
        <v>1509</v>
      </c>
      <c r="B2442" s="38" t="str">
        <f>_xlfn.XLOOKUP(A2442,'Model Modeshare by TAZ'!A:A,'Model Modeshare by TAZ'!B:B)</f>
        <v>South San Francisco</v>
      </c>
      <c r="C2442" s="38" t="str">
        <f>_xlfn.XLOOKUP(A2442,'Model Modeshare by TAZ'!A:A,'Model Modeshare by TAZ'!D:D)</f>
        <v>YES</v>
      </c>
      <c r="D2442" s="6">
        <v>2</v>
      </c>
      <c r="E2442" s="6">
        <v>972</v>
      </c>
      <c r="F2442" s="6">
        <v>3284</v>
      </c>
      <c r="G2442" s="6">
        <v>3327</v>
      </c>
      <c r="H2442" s="6">
        <v>1582</v>
      </c>
      <c r="I2442" s="6">
        <v>900</v>
      </c>
      <c r="J2442" s="6">
        <v>72</v>
      </c>
      <c r="K2442" s="40">
        <v>191</v>
      </c>
      <c r="L2442" s="40">
        <v>25</v>
      </c>
      <c r="M2442" s="40">
        <v>345</v>
      </c>
      <c r="N2442" s="40">
        <v>144</v>
      </c>
      <c r="O2442" s="40">
        <v>188</v>
      </c>
      <c r="P2442" s="40">
        <v>7</v>
      </c>
      <c r="Q2442" s="40">
        <v>1</v>
      </c>
      <c r="R2442" s="40">
        <v>4</v>
      </c>
      <c r="S2442" s="40">
        <v>0</v>
      </c>
    </row>
    <row r="2443" spans="1:19" x14ac:dyDescent="0.35">
      <c r="A2443" s="38">
        <v>1510</v>
      </c>
      <c r="B2443" s="38" t="str">
        <f>_xlfn.XLOOKUP(A2443,'Model Modeshare by TAZ'!A:A,'Model Modeshare by TAZ'!B:B)</f>
        <v>South San Francisco</v>
      </c>
      <c r="C2443" s="38" t="str">
        <f>_xlfn.XLOOKUP(A2443,'Model Modeshare by TAZ'!A:A,'Model Modeshare by TAZ'!D:D)</f>
        <v>YES</v>
      </c>
      <c r="D2443" s="6">
        <v>2</v>
      </c>
      <c r="E2443" s="6">
        <v>370</v>
      </c>
      <c r="F2443" s="6">
        <v>1053</v>
      </c>
      <c r="G2443" s="6">
        <v>1053</v>
      </c>
      <c r="H2443" s="6">
        <v>542</v>
      </c>
      <c r="I2443" s="6">
        <v>160</v>
      </c>
      <c r="J2443" s="6">
        <v>210</v>
      </c>
      <c r="K2443" s="40">
        <v>47</v>
      </c>
      <c r="L2443" s="40">
        <v>5</v>
      </c>
      <c r="M2443" s="40">
        <v>325</v>
      </c>
      <c r="N2443" s="40">
        <v>46</v>
      </c>
      <c r="O2443" s="40">
        <v>231</v>
      </c>
      <c r="P2443" s="40">
        <v>36</v>
      </c>
      <c r="Q2443" s="40">
        <v>6</v>
      </c>
      <c r="R2443" s="40">
        <v>0</v>
      </c>
      <c r="S2443" s="40">
        <v>6</v>
      </c>
    </row>
    <row r="2444" spans="1:19" x14ac:dyDescent="0.35">
      <c r="A2444" s="38">
        <v>1511</v>
      </c>
      <c r="B2444" s="38" t="str">
        <f>_xlfn.XLOOKUP(A2444,'Model Modeshare by TAZ'!A:A,'Model Modeshare by TAZ'!B:B)</f>
        <v>South San Francisco</v>
      </c>
      <c r="C2444" s="38" t="str">
        <f>_xlfn.XLOOKUP(A2444,'Model Modeshare by TAZ'!A:A,'Model Modeshare by TAZ'!D:D)</f>
        <v>YES</v>
      </c>
      <c r="D2444" s="6">
        <v>2</v>
      </c>
      <c r="E2444" s="6">
        <v>501</v>
      </c>
      <c r="F2444" s="6">
        <v>1680</v>
      </c>
      <c r="G2444" s="6">
        <v>1738</v>
      </c>
      <c r="H2444" s="6">
        <v>854</v>
      </c>
      <c r="I2444" s="6">
        <v>501</v>
      </c>
      <c r="J2444" s="6">
        <v>0</v>
      </c>
      <c r="K2444" s="40">
        <v>58</v>
      </c>
      <c r="L2444" s="40">
        <v>2</v>
      </c>
      <c r="M2444" s="40">
        <v>25</v>
      </c>
      <c r="N2444" s="40">
        <v>8</v>
      </c>
      <c r="O2444" s="40">
        <v>8</v>
      </c>
      <c r="P2444" s="40">
        <v>9</v>
      </c>
      <c r="Q2444" s="40">
        <v>0</v>
      </c>
      <c r="R2444" s="40">
        <v>0</v>
      </c>
      <c r="S2444" s="40">
        <v>0</v>
      </c>
    </row>
    <row r="2445" spans="1:19" x14ac:dyDescent="0.35">
      <c r="A2445" s="38">
        <v>1512</v>
      </c>
      <c r="B2445" s="38" t="str">
        <f>_xlfn.XLOOKUP(A2445,'Model Modeshare by TAZ'!A:A,'Model Modeshare by TAZ'!B:B)</f>
        <v>Daly City</v>
      </c>
      <c r="C2445" s="38" t="str">
        <f>_xlfn.XLOOKUP(A2445,'Model Modeshare by TAZ'!A:A,'Model Modeshare by TAZ'!D:D)</f>
        <v>YES</v>
      </c>
      <c r="D2445" s="6">
        <v>2</v>
      </c>
      <c r="E2445" s="6">
        <v>741</v>
      </c>
      <c r="F2445" s="6">
        <v>2704</v>
      </c>
      <c r="G2445" s="6">
        <v>2712</v>
      </c>
      <c r="H2445" s="6">
        <v>1503</v>
      </c>
      <c r="I2445" s="6">
        <v>730</v>
      </c>
      <c r="J2445" s="6">
        <v>11</v>
      </c>
      <c r="K2445" s="40">
        <v>83</v>
      </c>
      <c r="L2445" s="40">
        <v>2</v>
      </c>
      <c r="M2445" s="40">
        <v>98</v>
      </c>
      <c r="N2445" s="40">
        <v>19</v>
      </c>
      <c r="O2445" s="40">
        <v>67</v>
      </c>
      <c r="P2445" s="40">
        <v>10</v>
      </c>
      <c r="Q2445" s="40">
        <v>0</v>
      </c>
      <c r="R2445" s="40">
        <v>1</v>
      </c>
      <c r="S2445" s="40">
        <v>0</v>
      </c>
    </row>
    <row r="2446" spans="1:19" x14ac:dyDescent="0.35">
      <c r="A2446" s="38">
        <v>1513</v>
      </c>
      <c r="B2446" s="38" t="str">
        <f>_xlfn.XLOOKUP(A2446,'Model Modeshare by TAZ'!A:A,'Model Modeshare by TAZ'!B:B)</f>
        <v>Pacifica</v>
      </c>
      <c r="C2446" s="38" t="str">
        <f>_xlfn.XLOOKUP(A2446,'Model Modeshare by TAZ'!A:A,'Model Modeshare by TAZ'!D:D)</f>
        <v>YES</v>
      </c>
      <c r="D2446" s="6">
        <v>2</v>
      </c>
      <c r="E2446" s="6">
        <v>372</v>
      </c>
      <c r="F2446" s="6">
        <v>1082</v>
      </c>
      <c r="G2446" s="6">
        <v>1083</v>
      </c>
      <c r="H2446" s="6">
        <v>629</v>
      </c>
      <c r="I2446" s="6">
        <v>291</v>
      </c>
      <c r="J2446" s="6">
        <v>81</v>
      </c>
      <c r="K2446" s="40">
        <v>29</v>
      </c>
      <c r="L2446" s="40">
        <v>1</v>
      </c>
      <c r="M2446" s="40">
        <v>2</v>
      </c>
      <c r="N2446" s="40">
        <v>0</v>
      </c>
      <c r="O2446" s="40">
        <v>1</v>
      </c>
      <c r="P2446" s="40">
        <v>1</v>
      </c>
      <c r="Q2446" s="40">
        <v>0</v>
      </c>
      <c r="R2446" s="40">
        <v>0</v>
      </c>
      <c r="S2446" s="40">
        <v>0</v>
      </c>
    </row>
    <row r="2447" spans="1:19" x14ac:dyDescent="0.35">
      <c r="A2447" s="38">
        <v>1514</v>
      </c>
      <c r="B2447" s="38" t="str">
        <f>_xlfn.XLOOKUP(A2447,'Model Modeshare by TAZ'!A:A,'Model Modeshare by TAZ'!B:B)</f>
        <v>Pacifica</v>
      </c>
      <c r="C2447" s="38" t="str">
        <f>_xlfn.XLOOKUP(A2447,'Model Modeshare by TAZ'!A:A,'Model Modeshare by TAZ'!D:D)</f>
        <v>YES</v>
      </c>
      <c r="D2447" s="6">
        <v>2</v>
      </c>
      <c r="E2447" s="6">
        <v>8</v>
      </c>
      <c r="F2447" s="6">
        <v>31</v>
      </c>
      <c r="G2447" s="6">
        <v>31</v>
      </c>
      <c r="H2447" s="6">
        <v>10</v>
      </c>
      <c r="I2447" s="6">
        <v>7</v>
      </c>
      <c r="J2447" s="6">
        <v>1</v>
      </c>
      <c r="K2447" s="40">
        <v>15</v>
      </c>
      <c r="L2447" s="40">
        <v>1</v>
      </c>
      <c r="M2447" s="40">
        <v>3</v>
      </c>
      <c r="N2447" s="40">
        <v>1</v>
      </c>
      <c r="O2447" s="40">
        <v>2</v>
      </c>
      <c r="P2447" s="40">
        <v>0</v>
      </c>
      <c r="Q2447" s="40">
        <v>1</v>
      </c>
      <c r="R2447" s="40">
        <v>0</v>
      </c>
      <c r="S2447" s="40">
        <v>0</v>
      </c>
    </row>
    <row r="2448" spans="1:19" x14ac:dyDescent="0.35">
      <c r="A2448" s="38">
        <v>1515</v>
      </c>
      <c r="B2448" s="38" t="str">
        <f>_xlfn.XLOOKUP(A2448,'Model Modeshare by TAZ'!A:A,'Model Modeshare by TAZ'!B:B)</f>
        <v>Pacifica</v>
      </c>
      <c r="C2448" s="38" t="str">
        <f>_xlfn.XLOOKUP(A2448,'Model Modeshare by TAZ'!A:A,'Model Modeshare by TAZ'!D:D)</f>
        <v>YES</v>
      </c>
      <c r="D2448" s="6">
        <v>2</v>
      </c>
      <c r="E2448" s="6">
        <v>908</v>
      </c>
      <c r="F2448" s="6">
        <v>2023</v>
      </c>
      <c r="G2448" s="6">
        <v>2038</v>
      </c>
      <c r="H2448" s="6">
        <v>1184</v>
      </c>
      <c r="I2448" s="6">
        <v>500</v>
      </c>
      <c r="J2448" s="6">
        <v>408</v>
      </c>
      <c r="K2448" s="40">
        <v>70</v>
      </c>
      <c r="L2448" s="40">
        <v>116</v>
      </c>
      <c r="M2448" s="40">
        <v>365</v>
      </c>
      <c r="N2448" s="40">
        <v>146</v>
      </c>
      <c r="O2448" s="40">
        <v>120</v>
      </c>
      <c r="P2448" s="40">
        <v>95</v>
      </c>
      <c r="Q2448" s="40">
        <v>2</v>
      </c>
      <c r="R2448" s="40">
        <v>1</v>
      </c>
      <c r="S2448" s="40">
        <v>0</v>
      </c>
    </row>
    <row r="2449" spans="1:19" x14ac:dyDescent="0.35">
      <c r="A2449" s="38">
        <v>1516</v>
      </c>
      <c r="B2449" s="38" t="str">
        <f>_xlfn.XLOOKUP(A2449,'Model Modeshare by TAZ'!A:A,'Model Modeshare by TAZ'!B:B)</f>
        <v>Pacifica</v>
      </c>
      <c r="C2449" s="38" t="str">
        <f>_xlfn.XLOOKUP(A2449,'Model Modeshare by TAZ'!A:A,'Model Modeshare by TAZ'!D:D)</f>
        <v>YES</v>
      </c>
      <c r="D2449" s="6">
        <v>2</v>
      </c>
      <c r="E2449" s="6">
        <v>63</v>
      </c>
      <c r="F2449" s="6">
        <v>172</v>
      </c>
      <c r="G2449" s="6">
        <v>175</v>
      </c>
      <c r="H2449" s="6">
        <v>96</v>
      </c>
      <c r="I2449" s="6">
        <v>39</v>
      </c>
      <c r="J2449" s="6">
        <v>24</v>
      </c>
      <c r="K2449" s="40">
        <v>39</v>
      </c>
      <c r="L2449" s="40">
        <v>50</v>
      </c>
      <c r="M2449" s="40">
        <v>306</v>
      </c>
      <c r="N2449" s="40">
        <v>125</v>
      </c>
      <c r="O2449" s="40">
        <v>99</v>
      </c>
      <c r="P2449" s="40">
        <v>79</v>
      </c>
      <c r="Q2449" s="40">
        <v>2</v>
      </c>
      <c r="R2449" s="40">
        <v>0</v>
      </c>
      <c r="S2449" s="40">
        <v>0</v>
      </c>
    </row>
    <row r="2450" spans="1:19" x14ac:dyDescent="0.35">
      <c r="A2450" s="38">
        <v>1517</v>
      </c>
      <c r="B2450" s="38" t="str">
        <f>_xlfn.XLOOKUP(A2450,'Model Modeshare by TAZ'!A:A,'Model Modeshare by TAZ'!B:B)</f>
        <v>Pacifica</v>
      </c>
      <c r="C2450" s="38" t="str">
        <f>_xlfn.XLOOKUP(A2450,'Model Modeshare by TAZ'!A:A,'Model Modeshare by TAZ'!D:D)</f>
        <v>YES</v>
      </c>
      <c r="D2450" s="6">
        <v>2</v>
      </c>
      <c r="E2450" s="6">
        <v>280</v>
      </c>
      <c r="F2450" s="6">
        <v>674</v>
      </c>
      <c r="G2450" s="6">
        <v>686</v>
      </c>
      <c r="H2450" s="6">
        <v>418</v>
      </c>
      <c r="I2450" s="6">
        <v>261</v>
      </c>
      <c r="J2450" s="6">
        <v>19</v>
      </c>
      <c r="K2450" s="40">
        <v>39</v>
      </c>
      <c r="L2450" s="40">
        <v>7</v>
      </c>
      <c r="M2450" s="40">
        <v>193</v>
      </c>
      <c r="N2450" s="40">
        <v>38</v>
      </c>
      <c r="O2450" s="40">
        <v>98</v>
      </c>
      <c r="P2450" s="40">
        <v>53</v>
      </c>
      <c r="Q2450" s="40">
        <v>0</v>
      </c>
      <c r="R2450" s="40">
        <v>4</v>
      </c>
      <c r="S2450" s="40">
        <v>0</v>
      </c>
    </row>
    <row r="2451" spans="1:19" x14ac:dyDescent="0.35">
      <c r="A2451" s="38">
        <v>1518</v>
      </c>
      <c r="B2451" s="38" t="str">
        <f>_xlfn.XLOOKUP(A2451,'Model Modeshare by TAZ'!A:A,'Model Modeshare by TAZ'!B:B)</f>
        <v>Pacifica</v>
      </c>
      <c r="C2451" s="38" t="str">
        <f>_xlfn.XLOOKUP(A2451,'Model Modeshare by TAZ'!A:A,'Model Modeshare by TAZ'!D:D)</f>
        <v>YES</v>
      </c>
      <c r="D2451" s="6">
        <v>2</v>
      </c>
      <c r="E2451" s="6">
        <v>674</v>
      </c>
      <c r="F2451" s="6">
        <v>1837</v>
      </c>
      <c r="G2451" s="6">
        <v>1880</v>
      </c>
      <c r="H2451" s="6">
        <v>1022</v>
      </c>
      <c r="I2451" s="6">
        <v>628</v>
      </c>
      <c r="J2451" s="6">
        <v>47</v>
      </c>
      <c r="K2451" s="40">
        <v>148</v>
      </c>
      <c r="L2451" s="40">
        <v>47</v>
      </c>
      <c r="M2451" s="40">
        <v>309</v>
      </c>
      <c r="N2451" s="40">
        <v>33</v>
      </c>
      <c r="O2451" s="40">
        <v>191</v>
      </c>
      <c r="P2451" s="40">
        <v>71</v>
      </c>
      <c r="Q2451" s="40">
        <v>8</v>
      </c>
      <c r="R2451" s="40">
        <v>0</v>
      </c>
      <c r="S2451" s="40">
        <v>5</v>
      </c>
    </row>
    <row r="2452" spans="1:19" x14ac:dyDescent="0.35">
      <c r="A2452" s="38">
        <v>1519</v>
      </c>
      <c r="B2452" s="38" t="str">
        <f>_xlfn.XLOOKUP(A2452,'Model Modeshare by TAZ'!A:A,'Model Modeshare by TAZ'!B:B)</f>
        <v>San Bruno</v>
      </c>
      <c r="C2452" s="38" t="str">
        <f>_xlfn.XLOOKUP(A2452,'Model Modeshare by TAZ'!A:A,'Model Modeshare by TAZ'!D:D)</f>
        <v>YES</v>
      </c>
      <c r="D2452" s="6">
        <v>2</v>
      </c>
      <c r="E2452" s="6">
        <v>733</v>
      </c>
      <c r="F2452" s="6">
        <v>2347</v>
      </c>
      <c r="G2452" s="6">
        <v>2347</v>
      </c>
      <c r="H2452" s="6">
        <v>1379</v>
      </c>
      <c r="I2452" s="6">
        <v>572</v>
      </c>
      <c r="J2452" s="6">
        <v>161</v>
      </c>
      <c r="K2452" s="40">
        <v>91</v>
      </c>
      <c r="L2452" s="40">
        <v>80</v>
      </c>
      <c r="M2452" s="40">
        <v>259</v>
      </c>
      <c r="N2452" s="40">
        <v>173</v>
      </c>
      <c r="O2452" s="40">
        <v>22</v>
      </c>
      <c r="P2452" s="40">
        <v>58</v>
      </c>
      <c r="Q2452" s="40">
        <v>0</v>
      </c>
      <c r="R2452" s="40">
        <v>1</v>
      </c>
      <c r="S2452" s="40">
        <v>5</v>
      </c>
    </row>
    <row r="2453" spans="1:19" x14ac:dyDescent="0.35">
      <c r="A2453" s="38">
        <v>1520</v>
      </c>
      <c r="B2453" s="38" t="str">
        <f>_xlfn.XLOOKUP(A2453,'Model Modeshare by TAZ'!A:A,'Model Modeshare by TAZ'!B:B)</f>
        <v>San Bruno</v>
      </c>
      <c r="C2453" s="38" t="str">
        <f>_xlfn.XLOOKUP(A2453,'Model Modeshare by TAZ'!A:A,'Model Modeshare by TAZ'!D:D)</f>
        <v>YES</v>
      </c>
      <c r="D2453" s="6">
        <v>2</v>
      </c>
      <c r="E2453" s="6">
        <v>805</v>
      </c>
      <c r="F2453" s="6">
        <v>2533</v>
      </c>
      <c r="G2453" s="6">
        <v>2688</v>
      </c>
      <c r="H2453" s="6">
        <v>1280</v>
      </c>
      <c r="I2453" s="6">
        <v>772</v>
      </c>
      <c r="J2453" s="6">
        <v>33</v>
      </c>
      <c r="K2453" s="40">
        <v>135</v>
      </c>
      <c r="L2453" s="40">
        <v>12</v>
      </c>
      <c r="M2453" s="40">
        <v>181</v>
      </c>
      <c r="N2453" s="40">
        <v>0</v>
      </c>
      <c r="O2453" s="40">
        <v>129</v>
      </c>
      <c r="P2453" s="40">
        <v>39</v>
      </c>
      <c r="Q2453" s="40">
        <v>4</v>
      </c>
      <c r="R2453" s="40">
        <v>0</v>
      </c>
      <c r="S2453" s="40">
        <v>9</v>
      </c>
    </row>
    <row r="2454" spans="1:19" x14ac:dyDescent="0.35">
      <c r="A2454" s="38">
        <v>1521</v>
      </c>
      <c r="B2454" s="38" t="str">
        <f>_xlfn.XLOOKUP(A2454,'Model Modeshare by TAZ'!A:A,'Model Modeshare by TAZ'!B:B)</f>
        <v>San Bruno</v>
      </c>
      <c r="C2454" s="38" t="str">
        <f>_xlfn.XLOOKUP(A2454,'Model Modeshare by TAZ'!A:A,'Model Modeshare by TAZ'!D:D)</f>
        <v>YES</v>
      </c>
      <c r="D2454" s="6">
        <v>2</v>
      </c>
      <c r="E2454" s="6">
        <v>726</v>
      </c>
      <c r="F2454" s="6">
        <v>2019</v>
      </c>
      <c r="G2454" s="6">
        <v>2026</v>
      </c>
      <c r="H2454" s="6">
        <v>996</v>
      </c>
      <c r="I2454" s="6">
        <v>375</v>
      </c>
      <c r="J2454" s="6">
        <v>351</v>
      </c>
      <c r="K2454" s="40">
        <v>69</v>
      </c>
      <c r="L2454" s="40">
        <v>47</v>
      </c>
      <c r="M2454" s="40">
        <v>118</v>
      </c>
      <c r="N2454" s="40">
        <v>44</v>
      </c>
      <c r="O2454" s="40">
        <v>61</v>
      </c>
      <c r="P2454" s="40">
        <v>7</v>
      </c>
      <c r="Q2454" s="40">
        <v>6</v>
      </c>
      <c r="R2454" s="40">
        <v>0</v>
      </c>
      <c r="S2454" s="40">
        <v>0</v>
      </c>
    </row>
    <row r="2455" spans="1:19" x14ac:dyDescent="0.35">
      <c r="A2455" s="38">
        <v>1522</v>
      </c>
      <c r="B2455" s="38" t="str">
        <f>_xlfn.XLOOKUP(A2455,'Model Modeshare by TAZ'!A:A,'Model Modeshare by TAZ'!B:B)</f>
        <v>San Bruno</v>
      </c>
      <c r="C2455" s="38" t="str">
        <f>_xlfn.XLOOKUP(A2455,'Model Modeshare by TAZ'!A:A,'Model Modeshare by TAZ'!D:D)</f>
        <v>YES</v>
      </c>
      <c r="D2455" s="6">
        <v>2</v>
      </c>
      <c r="E2455" s="6">
        <v>922</v>
      </c>
      <c r="F2455" s="6">
        <v>1677</v>
      </c>
      <c r="G2455" s="6">
        <v>1680</v>
      </c>
      <c r="H2455" s="6">
        <v>1104</v>
      </c>
      <c r="I2455" s="6">
        <v>100</v>
      </c>
      <c r="J2455" s="6">
        <v>822</v>
      </c>
      <c r="K2455" s="40">
        <v>25</v>
      </c>
      <c r="L2455" s="40">
        <v>1</v>
      </c>
      <c r="M2455" s="40">
        <v>28</v>
      </c>
      <c r="N2455" s="40">
        <v>2</v>
      </c>
      <c r="O2455" s="40">
        <v>0</v>
      </c>
      <c r="P2455" s="40">
        <v>25</v>
      </c>
      <c r="Q2455" s="40">
        <v>1</v>
      </c>
      <c r="R2455" s="40">
        <v>0</v>
      </c>
      <c r="S2455" s="40">
        <v>0</v>
      </c>
    </row>
    <row r="2456" spans="1:19" x14ac:dyDescent="0.35">
      <c r="A2456" s="38">
        <v>1523</v>
      </c>
      <c r="B2456" s="38" t="str">
        <f>_xlfn.XLOOKUP(A2456,'Model Modeshare by TAZ'!A:A,'Model Modeshare by TAZ'!B:B)</f>
        <v>San Bruno</v>
      </c>
      <c r="C2456" s="38" t="str">
        <f>_xlfn.XLOOKUP(A2456,'Model Modeshare by TAZ'!A:A,'Model Modeshare by TAZ'!D:D)</f>
        <v>YES</v>
      </c>
      <c r="D2456" s="6">
        <v>2</v>
      </c>
      <c r="E2456" s="6">
        <v>813</v>
      </c>
      <c r="F2456" s="6">
        <v>2273</v>
      </c>
      <c r="G2456" s="6">
        <v>2288</v>
      </c>
      <c r="H2456" s="6">
        <v>1229</v>
      </c>
      <c r="I2456" s="6">
        <v>546</v>
      </c>
      <c r="J2456" s="6">
        <v>266</v>
      </c>
      <c r="K2456" s="40">
        <v>115</v>
      </c>
      <c r="L2456" s="40">
        <v>26</v>
      </c>
      <c r="M2456" s="40">
        <v>380</v>
      </c>
      <c r="N2456" s="40">
        <v>125</v>
      </c>
      <c r="O2456" s="40">
        <v>190</v>
      </c>
      <c r="P2456" s="40">
        <v>48</v>
      </c>
      <c r="Q2456" s="40">
        <v>2</v>
      </c>
      <c r="R2456" s="40">
        <v>1</v>
      </c>
      <c r="S2456" s="40">
        <v>14</v>
      </c>
    </row>
    <row r="2457" spans="1:19" x14ac:dyDescent="0.35">
      <c r="A2457" s="38">
        <v>1524</v>
      </c>
      <c r="B2457" s="38" t="str">
        <f>_xlfn.XLOOKUP(A2457,'Model Modeshare by TAZ'!A:A,'Model Modeshare by TAZ'!B:B)</f>
        <v>San Bruno</v>
      </c>
      <c r="C2457" s="38" t="str">
        <f>_xlfn.XLOOKUP(A2457,'Model Modeshare by TAZ'!A:A,'Model Modeshare by TAZ'!D:D)</f>
        <v>YES</v>
      </c>
      <c r="D2457" s="6">
        <v>2</v>
      </c>
      <c r="E2457" s="6">
        <v>456</v>
      </c>
      <c r="F2457" s="6">
        <v>1559</v>
      </c>
      <c r="G2457" s="6">
        <v>1578</v>
      </c>
      <c r="H2457" s="6">
        <v>865</v>
      </c>
      <c r="I2457" s="6">
        <v>201</v>
      </c>
      <c r="J2457" s="6">
        <v>255</v>
      </c>
      <c r="K2457" s="40">
        <v>20</v>
      </c>
      <c r="L2457" s="40">
        <v>2</v>
      </c>
      <c r="M2457" s="40">
        <v>106</v>
      </c>
      <c r="N2457" s="40">
        <v>91</v>
      </c>
      <c r="O2457" s="40">
        <v>12</v>
      </c>
      <c r="P2457" s="40">
        <v>1</v>
      </c>
      <c r="Q2457" s="40">
        <v>1</v>
      </c>
      <c r="R2457" s="40">
        <v>1</v>
      </c>
      <c r="S2457" s="40">
        <v>0</v>
      </c>
    </row>
    <row r="2458" spans="1:19" x14ac:dyDescent="0.35">
      <c r="A2458" s="38">
        <v>1525</v>
      </c>
      <c r="B2458" s="38" t="str">
        <f>_xlfn.XLOOKUP(A2458,'Model Modeshare by TAZ'!A:A,'Model Modeshare by TAZ'!B:B)</f>
        <v>San Bruno</v>
      </c>
      <c r="C2458" s="38" t="str">
        <f>_xlfn.XLOOKUP(A2458,'Model Modeshare by TAZ'!A:A,'Model Modeshare by TAZ'!D:D)</f>
        <v>YES</v>
      </c>
      <c r="D2458" s="6">
        <v>2</v>
      </c>
      <c r="E2458" s="6">
        <v>251</v>
      </c>
      <c r="F2458" s="6">
        <v>1029</v>
      </c>
      <c r="G2458" s="6">
        <v>1029</v>
      </c>
      <c r="H2458" s="6">
        <v>417</v>
      </c>
      <c r="I2458" s="6">
        <v>171</v>
      </c>
      <c r="J2458" s="6">
        <v>79</v>
      </c>
      <c r="K2458" s="40">
        <v>22</v>
      </c>
      <c r="L2458" s="40">
        <v>54</v>
      </c>
      <c r="M2458" s="40">
        <v>459</v>
      </c>
      <c r="N2458" s="40">
        <v>20</v>
      </c>
      <c r="O2458" s="40">
        <v>29</v>
      </c>
      <c r="P2458" s="40">
        <v>278</v>
      </c>
      <c r="Q2458" s="40">
        <v>0</v>
      </c>
      <c r="R2458" s="40">
        <v>112</v>
      </c>
      <c r="S2458" s="40">
        <v>19</v>
      </c>
    </row>
    <row r="2459" spans="1:19" x14ac:dyDescent="0.35">
      <c r="A2459" s="38">
        <v>1526</v>
      </c>
      <c r="B2459" s="38" t="str">
        <f>_xlfn.XLOOKUP(A2459,'Model Modeshare by TAZ'!A:A,'Model Modeshare by TAZ'!B:B)</f>
        <v>Unincorporated</v>
      </c>
      <c r="C2459" s="38" t="str">
        <f>_xlfn.XLOOKUP(A2459,'Model Modeshare by TAZ'!A:A,'Model Modeshare by TAZ'!D:D)</f>
        <v>YES</v>
      </c>
      <c r="D2459" s="6">
        <v>2</v>
      </c>
      <c r="E2459" s="6">
        <v>0</v>
      </c>
      <c r="F2459" s="6">
        <v>0</v>
      </c>
      <c r="G2459" s="6">
        <v>0</v>
      </c>
      <c r="H2459" s="6">
        <v>0</v>
      </c>
      <c r="I2459" s="6">
        <v>0</v>
      </c>
      <c r="J2459" s="6">
        <v>0</v>
      </c>
      <c r="K2459" s="40">
        <v>0</v>
      </c>
      <c r="L2459" s="40">
        <v>121</v>
      </c>
      <c r="M2459" s="40">
        <v>1122</v>
      </c>
      <c r="N2459" s="40">
        <v>448</v>
      </c>
      <c r="O2459" s="40">
        <v>40</v>
      </c>
      <c r="P2459" s="40">
        <v>360</v>
      </c>
      <c r="Q2459" s="40">
        <v>0</v>
      </c>
      <c r="R2459" s="40">
        <v>273</v>
      </c>
      <c r="S2459" s="40">
        <v>0</v>
      </c>
    </row>
    <row r="2460" spans="1:19" x14ac:dyDescent="0.35">
      <c r="A2460" s="38">
        <v>1527</v>
      </c>
      <c r="B2460" s="38" t="str">
        <f>_xlfn.XLOOKUP(A2460,'Model Modeshare by TAZ'!A:A,'Model Modeshare by TAZ'!B:B)</f>
        <v>Millbrae</v>
      </c>
      <c r="C2460" s="38" t="str">
        <f>_xlfn.XLOOKUP(A2460,'Model Modeshare by TAZ'!A:A,'Model Modeshare by TAZ'!D:D)</f>
        <v>YES</v>
      </c>
      <c r="D2460" s="6">
        <v>2</v>
      </c>
      <c r="E2460" s="6">
        <v>0</v>
      </c>
      <c r="F2460" s="6">
        <v>0</v>
      </c>
      <c r="G2460" s="6">
        <v>0</v>
      </c>
      <c r="H2460" s="6">
        <v>0</v>
      </c>
      <c r="I2460" s="6">
        <v>0</v>
      </c>
      <c r="J2460" s="6">
        <v>0</v>
      </c>
      <c r="K2460" s="40">
        <v>0</v>
      </c>
      <c r="L2460" s="40">
        <v>14</v>
      </c>
      <c r="M2460" s="40">
        <v>275</v>
      </c>
      <c r="N2460" s="40">
        <v>2</v>
      </c>
      <c r="O2460" s="40">
        <v>240</v>
      </c>
      <c r="P2460" s="40">
        <v>12</v>
      </c>
      <c r="Q2460" s="40">
        <v>4</v>
      </c>
      <c r="R2460" s="40">
        <v>2</v>
      </c>
      <c r="S2460" s="40">
        <v>15</v>
      </c>
    </row>
    <row r="2461" spans="1:19" x14ac:dyDescent="0.35">
      <c r="A2461" s="38">
        <v>1528</v>
      </c>
      <c r="B2461" s="38" t="str">
        <f>_xlfn.XLOOKUP(A2461,'Model Modeshare by TAZ'!A:A,'Model Modeshare by TAZ'!B:B)</f>
        <v>Millbrae</v>
      </c>
      <c r="C2461" s="38" t="str">
        <f>_xlfn.XLOOKUP(A2461,'Model Modeshare by TAZ'!A:A,'Model Modeshare by TAZ'!D:D)</f>
        <v>YES</v>
      </c>
      <c r="D2461" s="6">
        <v>2</v>
      </c>
      <c r="E2461" s="6">
        <v>333</v>
      </c>
      <c r="F2461" s="6">
        <v>863</v>
      </c>
      <c r="G2461" s="6">
        <v>874</v>
      </c>
      <c r="H2461" s="6">
        <v>370</v>
      </c>
      <c r="I2461" s="6">
        <v>241</v>
      </c>
      <c r="J2461" s="6">
        <v>92</v>
      </c>
      <c r="K2461" s="40">
        <v>73</v>
      </c>
      <c r="L2461" s="40">
        <v>26</v>
      </c>
      <c r="M2461" s="40">
        <v>202</v>
      </c>
      <c r="N2461" s="40">
        <v>39</v>
      </c>
      <c r="O2461" s="40">
        <v>153</v>
      </c>
      <c r="P2461" s="40">
        <v>3</v>
      </c>
      <c r="Q2461" s="40">
        <v>1</v>
      </c>
      <c r="R2461" s="40">
        <v>1</v>
      </c>
      <c r="S2461" s="40">
        <v>6</v>
      </c>
    </row>
    <row r="2462" spans="1:19" x14ac:dyDescent="0.35">
      <c r="A2462" s="38">
        <v>1529</v>
      </c>
      <c r="B2462" s="38" t="str">
        <f>_xlfn.XLOOKUP(A2462,'Model Modeshare by TAZ'!A:A,'Model Modeshare by TAZ'!B:B)</f>
        <v>Burlingame</v>
      </c>
      <c r="C2462" s="38" t="str">
        <f>_xlfn.XLOOKUP(A2462,'Model Modeshare by TAZ'!A:A,'Model Modeshare by TAZ'!D:D)</f>
        <v>YES</v>
      </c>
      <c r="D2462" s="6">
        <v>2</v>
      </c>
      <c r="E2462" s="6">
        <v>559</v>
      </c>
      <c r="F2462" s="6">
        <v>1528</v>
      </c>
      <c r="G2462" s="6">
        <v>1628</v>
      </c>
      <c r="H2462" s="6">
        <v>750</v>
      </c>
      <c r="I2462" s="6">
        <v>391</v>
      </c>
      <c r="J2462" s="6">
        <v>168</v>
      </c>
      <c r="K2462" s="40">
        <v>40</v>
      </c>
      <c r="L2462" s="40">
        <v>85</v>
      </c>
      <c r="M2462" s="40">
        <v>4566</v>
      </c>
      <c r="N2462" s="40">
        <v>400</v>
      </c>
      <c r="O2462" s="40">
        <v>3034</v>
      </c>
      <c r="P2462" s="40">
        <v>1060</v>
      </c>
      <c r="Q2462" s="40">
        <v>2</v>
      </c>
      <c r="R2462" s="40">
        <v>55</v>
      </c>
      <c r="S2462" s="40">
        <v>15</v>
      </c>
    </row>
    <row r="2463" spans="1:19" x14ac:dyDescent="0.35">
      <c r="A2463" s="38">
        <v>1530</v>
      </c>
      <c r="B2463" s="38" t="str">
        <f>_xlfn.XLOOKUP(A2463,'Model Modeshare by TAZ'!A:A,'Model Modeshare by TAZ'!B:B)</f>
        <v>Burlingame</v>
      </c>
      <c r="C2463" s="38" t="str">
        <f>_xlfn.XLOOKUP(A2463,'Model Modeshare by TAZ'!A:A,'Model Modeshare by TAZ'!D:D)</f>
        <v>YES</v>
      </c>
      <c r="D2463" s="6">
        <v>2</v>
      </c>
      <c r="E2463" s="6">
        <v>277</v>
      </c>
      <c r="F2463" s="6">
        <v>740</v>
      </c>
      <c r="G2463" s="6">
        <v>744</v>
      </c>
      <c r="H2463" s="6">
        <v>339</v>
      </c>
      <c r="I2463" s="6">
        <v>121</v>
      </c>
      <c r="J2463" s="6">
        <v>156</v>
      </c>
      <c r="K2463" s="40">
        <v>28</v>
      </c>
      <c r="L2463" s="40">
        <v>0</v>
      </c>
      <c r="M2463" s="40">
        <v>15</v>
      </c>
      <c r="N2463" s="40">
        <v>5</v>
      </c>
      <c r="O2463" s="40">
        <v>0</v>
      </c>
      <c r="P2463" s="40">
        <v>9</v>
      </c>
      <c r="Q2463" s="40">
        <v>0</v>
      </c>
      <c r="R2463" s="40">
        <v>0</v>
      </c>
      <c r="S2463" s="40">
        <v>1</v>
      </c>
    </row>
    <row r="2464" spans="1:19" x14ac:dyDescent="0.35">
      <c r="A2464" s="38">
        <v>1531</v>
      </c>
      <c r="B2464" s="38" t="str">
        <f>_xlfn.XLOOKUP(A2464,'Model Modeshare by TAZ'!A:A,'Model Modeshare by TAZ'!B:B)</f>
        <v>Burlingame</v>
      </c>
      <c r="C2464" s="38" t="str">
        <f>_xlfn.XLOOKUP(A2464,'Model Modeshare by TAZ'!A:A,'Model Modeshare by TAZ'!D:D)</f>
        <v>YES</v>
      </c>
      <c r="D2464" s="6">
        <v>2</v>
      </c>
      <c r="E2464" s="6">
        <v>582</v>
      </c>
      <c r="F2464" s="6">
        <v>1448</v>
      </c>
      <c r="G2464" s="6">
        <v>1451</v>
      </c>
      <c r="H2464" s="6">
        <v>801</v>
      </c>
      <c r="I2464" s="6">
        <v>329</v>
      </c>
      <c r="J2464" s="6">
        <v>253</v>
      </c>
      <c r="K2464" s="40">
        <v>54</v>
      </c>
      <c r="L2464" s="40">
        <v>7</v>
      </c>
      <c r="M2464" s="40">
        <v>152</v>
      </c>
      <c r="N2464" s="40">
        <v>4</v>
      </c>
      <c r="O2464" s="40">
        <v>57</v>
      </c>
      <c r="P2464" s="40">
        <v>76</v>
      </c>
      <c r="Q2464" s="40">
        <v>15</v>
      </c>
      <c r="R2464" s="40">
        <v>1</v>
      </c>
      <c r="S2464" s="40">
        <v>0</v>
      </c>
    </row>
    <row r="2465" spans="1:19" x14ac:dyDescent="0.35">
      <c r="A2465" s="38">
        <v>1532</v>
      </c>
      <c r="B2465" s="38" t="str">
        <f>_xlfn.XLOOKUP(A2465,'Model Modeshare by TAZ'!A:A,'Model Modeshare by TAZ'!B:B)</f>
        <v>Burlingame</v>
      </c>
      <c r="C2465" s="38" t="str">
        <f>_xlfn.XLOOKUP(A2465,'Model Modeshare by TAZ'!A:A,'Model Modeshare by TAZ'!D:D)</f>
        <v>YES</v>
      </c>
      <c r="D2465" s="6">
        <v>2</v>
      </c>
      <c r="E2465" s="6">
        <v>859</v>
      </c>
      <c r="F2465" s="6">
        <v>2135</v>
      </c>
      <c r="G2465" s="6">
        <v>2176</v>
      </c>
      <c r="H2465" s="6">
        <v>1101</v>
      </c>
      <c r="I2465" s="6">
        <v>499</v>
      </c>
      <c r="J2465" s="6">
        <v>360</v>
      </c>
      <c r="K2465" s="40">
        <v>92</v>
      </c>
      <c r="L2465" s="40">
        <v>8</v>
      </c>
      <c r="M2465" s="40">
        <v>689</v>
      </c>
      <c r="N2465" s="40">
        <v>117</v>
      </c>
      <c r="O2465" s="40">
        <v>316</v>
      </c>
      <c r="P2465" s="40">
        <v>218</v>
      </c>
      <c r="Q2465" s="40">
        <v>8</v>
      </c>
      <c r="R2465" s="40">
        <v>19</v>
      </c>
      <c r="S2465" s="40">
        <v>11</v>
      </c>
    </row>
    <row r="2466" spans="1:19" x14ac:dyDescent="0.35">
      <c r="A2466" s="38">
        <v>1533</v>
      </c>
      <c r="B2466" s="38" t="str">
        <f>_xlfn.XLOOKUP(A2466,'Model Modeshare by TAZ'!A:A,'Model Modeshare by TAZ'!B:B)</f>
        <v>Burlingame</v>
      </c>
      <c r="C2466" s="38" t="str">
        <f>_xlfn.XLOOKUP(A2466,'Model Modeshare by TAZ'!A:A,'Model Modeshare by TAZ'!D:D)</f>
        <v>YES</v>
      </c>
      <c r="D2466" s="6">
        <v>2</v>
      </c>
      <c r="E2466" s="6">
        <v>472</v>
      </c>
      <c r="F2466" s="6">
        <v>902</v>
      </c>
      <c r="G2466" s="6">
        <v>906</v>
      </c>
      <c r="H2466" s="6">
        <v>546</v>
      </c>
      <c r="I2466" s="6">
        <v>74</v>
      </c>
      <c r="J2466" s="6">
        <v>398</v>
      </c>
      <c r="K2466" s="40">
        <v>29</v>
      </c>
      <c r="L2466" s="40">
        <v>8</v>
      </c>
      <c r="M2466" s="40">
        <v>1030</v>
      </c>
      <c r="N2466" s="40">
        <v>491</v>
      </c>
      <c r="O2466" s="40">
        <v>244</v>
      </c>
      <c r="P2466" s="40">
        <v>250</v>
      </c>
      <c r="Q2466" s="40">
        <v>12</v>
      </c>
      <c r="R2466" s="40">
        <v>12</v>
      </c>
      <c r="S2466" s="40">
        <v>21</v>
      </c>
    </row>
    <row r="2467" spans="1:19" x14ac:dyDescent="0.35">
      <c r="A2467" s="38">
        <v>1534</v>
      </c>
      <c r="B2467" s="38" t="str">
        <f>_xlfn.XLOOKUP(A2467,'Model Modeshare by TAZ'!A:A,'Model Modeshare by TAZ'!B:B)</f>
        <v>Hillsborough</v>
      </c>
      <c r="C2467" s="38" t="str">
        <f>_xlfn.XLOOKUP(A2467,'Model Modeshare by TAZ'!A:A,'Model Modeshare by TAZ'!D:D)</f>
        <v>YES</v>
      </c>
      <c r="D2467" s="6">
        <v>2</v>
      </c>
      <c r="E2467" s="6">
        <v>498</v>
      </c>
      <c r="F2467" s="6">
        <v>1535</v>
      </c>
      <c r="G2467" s="6">
        <v>1548</v>
      </c>
      <c r="H2467" s="6">
        <v>555</v>
      </c>
      <c r="I2467" s="6">
        <v>497</v>
      </c>
      <c r="J2467" s="6">
        <v>1</v>
      </c>
      <c r="K2467" s="40">
        <v>375</v>
      </c>
      <c r="L2467" s="40">
        <v>10</v>
      </c>
      <c r="M2467" s="40">
        <v>65</v>
      </c>
      <c r="N2467" s="40">
        <v>1</v>
      </c>
      <c r="O2467" s="40">
        <v>13</v>
      </c>
      <c r="P2467" s="40">
        <v>35</v>
      </c>
      <c r="Q2467" s="40">
        <v>6</v>
      </c>
      <c r="R2467" s="40">
        <v>4</v>
      </c>
      <c r="S2467" s="40">
        <v>7</v>
      </c>
    </row>
    <row r="2468" spans="1:19" x14ac:dyDescent="0.35">
      <c r="A2468" s="38">
        <v>1535</v>
      </c>
      <c r="B2468" s="38" t="str">
        <f>_xlfn.XLOOKUP(A2468,'Model Modeshare by TAZ'!A:A,'Model Modeshare by TAZ'!B:B)</f>
        <v>Hillsborough</v>
      </c>
      <c r="C2468" s="38" t="str">
        <f>_xlfn.XLOOKUP(A2468,'Model Modeshare by TAZ'!A:A,'Model Modeshare by TAZ'!D:D)</f>
        <v>YES</v>
      </c>
      <c r="D2468" s="6">
        <v>2</v>
      </c>
      <c r="E2468" s="6">
        <v>348</v>
      </c>
      <c r="F2468" s="6">
        <v>1058</v>
      </c>
      <c r="G2468" s="6">
        <v>1059</v>
      </c>
      <c r="H2468" s="6">
        <v>471</v>
      </c>
      <c r="I2468" s="6">
        <v>346</v>
      </c>
      <c r="J2468" s="6">
        <v>2</v>
      </c>
      <c r="K2468" s="40">
        <v>255</v>
      </c>
      <c r="L2468" s="40">
        <v>10</v>
      </c>
      <c r="M2468" s="40">
        <v>230</v>
      </c>
      <c r="N2468" s="40">
        <v>0</v>
      </c>
      <c r="O2468" s="40">
        <v>97</v>
      </c>
      <c r="P2468" s="40">
        <v>128</v>
      </c>
      <c r="Q2468" s="40">
        <v>3</v>
      </c>
      <c r="R2468" s="40">
        <v>2</v>
      </c>
      <c r="S2468" s="40">
        <v>0</v>
      </c>
    </row>
    <row r="2469" spans="1:19" x14ac:dyDescent="0.35">
      <c r="A2469" s="38">
        <v>1536</v>
      </c>
      <c r="B2469" s="38" t="str">
        <f>_xlfn.XLOOKUP(A2469,'Model Modeshare by TAZ'!A:A,'Model Modeshare by TAZ'!B:B)</f>
        <v>San Mateo</v>
      </c>
      <c r="C2469" s="38" t="str">
        <f>_xlfn.XLOOKUP(A2469,'Model Modeshare by TAZ'!A:A,'Model Modeshare by TAZ'!D:D)</f>
        <v>YES</v>
      </c>
      <c r="D2469" s="6">
        <v>2</v>
      </c>
      <c r="E2469" s="6">
        <v>664</v>
      </c>
      <c r="F2469" s="6">
        <v>1229</v>
      </c>
      <c r="G2469" s="6">
        <v>1250</v>
      </c>
      <c r="H2469" s="6">
        <v>717</v>
      </c>
      <c r="I2469" s="6">
        <v>148</v>
      </c>
      <c r="J2469" s="6">
        <v>516</v>
      </c>
      <c r="K2469" s="40">
        <v>38</v>
      </c>
      <c r="L2469" s="40">
        <v>1</v>
      </c>
      <c r="M2469" s="40">
        <v>81</v>
      </c>
      <c r="N2469" s="40">
        <v>10</v>
      </c>
      <c r="O2469" s="40">
        <v>25</v>
      </c>
      <c r="P2469" s="40">
        <v>30</v>
      </c>
      <c r="Q2469" s="40">
        <v>0</v>
      </c>
      <c r="R2469" s="40">
        <v>15</v>
      </c>
      <c r="S2469" s="40">
        <v>1</v>
      </c>
    </row>
    <row r="2470" spans="1:19" x14ac:dyDescent="0.35">
      <c r="A2470" s="38">
        <v>1537</v>
      </c>
      <c r="B2470" s="38" t="str">
        <f>_xlfn.XLOOKUP(A2470,'Model Modeshare by TAZ'!A:A,'Model Modeshare by TAZ'!B:B)</f>
        <v>San Mateo</v>
      </c>
      <c r="C2470" s="38" t="str">
        <f>_xlfn.XLOOKUP(A2470,'Model Modeshare by TAZ'!A:A,'Model Modeshare by TAZ'!D:D)</f>
        <v>YES</v>
      </c>
      <c r="D2470" s="6">
        <v>2</v>
      </c>
      <c r="E2470" s="6">
        <v>639</v>
      </c>
      <c r="F2470" s="6">
        <v>1848</v>
      </c>
      <c r="G2470" s="6">
        <v>1890</v>
      </c>
      <c r="H2470" s="6">
        <v>784</v>
      </c>
      <c r="I2470" s="6">
        <v>187</v>
      </c>
      <c r="J2470" s="6">
        <v>452</v>
      </c>
      <c r="K2470" s="40">
        <v>30</v>
      </c>
      <c r="L2470" s="40">
        <v>2</v>
      </c>
      <c r="M2470" s="40">
        <v>238</v>
      </c>
      <c r="N2470" s="40">
        <v>7</v>
      </c>
      <c r="O2470" s="40">
        <v>74</v>
      </c>
      <c r="P2470" s="40">
        <v>46</v>
      </c>
      <c r="Q2470" s="40">
        <v>1</v>
      </c>
      <c r="R2470" s="40">
        <v>97</v>
      </c>
      <c r="S2470" s="40">
        <v>13</v>
      </c>
    </row>
    <row r="2471" spans="1:19" x14ac:dyDescent="0.35">
      <c r="A2471" s="38">
        <v>1538</v>
      </c>
      <c r="B2471" s="38" t="str">
        <f>_xlfn.XLOOKUP(A2471,'Model Modeshare by TAZ'!A:A,'Model Modeshare by TAZ'!B:B)</f>
        <v>San Mateo</v>
      </c>
      <c r="C2471" s="38" t="str">
        <f>_xlfn.XLOOKUP(A2471,'Model Modeshare by TAZ'!A:A,'Model Modeshare by TAZ'!D:D)</f>
        <v>YES</v>
      </c>
      <c r="D2471" s="6">
        <v>2</v>
      </c>
      <c r="E2471" s="6">
        <v>1218</v>
      </c>
      <c r="F2471" s="6">
        <v>2652</v>
      </c>
      <c r="G2471" s="6">
        <v>2777</v>
      </c>
      <c r="H2471" s="6">
        <v>1635</v>
      </c>
      <c r="I2471" s="6">
        <v>255</v>
      </c>
      <c r="J2471" s="6">
        <v>963</v>
      </c>
      <c r="K2471" s="40">
        <v>62</v>
      </c>
      <c r="L2471" s="40">
        <v>10</v>
      </c>
      <c r="M2471" s="40">
        <v>616</v>
      </c>
      <c r="N2471" s="40">
        <v>25</v>
      </c>
      <c r="O2471" s="40">
        <v>328</v>
      </c>
      <c r="P2471" s="40">
        <v>255</v>
      </c>
      <c r="Q2471" s="40">
        <v>1</v>
      </c>
      <c r="R2471" s="40">
        <v>7</v>
      </c>
      <c r="S2471" s="40">
        <v>0</v>
      </c>
    </row>
    <row r="2472" spans="1:19" x14ac:dyDescent="0.35">
      <c r="A2472" s="38">
        <v>1539</v>
      </c>
      <c r="B2472" s="38" t="str">
        <f>_xlfn.XLOOKUP(A2472,'Model Modeshare by TAZ'!A:A,'Model Modeshare by TAZ'!B:B)</f>
        <v>San Mateo</v>
      </c>
      <c r="C2472" s="38" t="str">
        <f>_xlfn.XLOOKUP(A2472,'Model Modeshare by TAZ'!A:A,'Model Modeshare by TAZ'!D:D)</f>
        <v>YES</v>
      </c>
      <c r="D2472" s="6">
        <v>2</v>
      </c>
      <c r="E2472" s="6">
        <v>809</v>
      </c>
      <c r="F2472" s="6">
        <v>2496</v>
      </c>
      <c r="G2472" s="6">
        <v>2506</v>
      </c>
      <c r="H2472" s="6">
        <v>1113</v>
      </c>
      <c r="I2472" s="6">
        <v>160</v>
      </c>
      <c r="J2472" s="6">
        <v>649</v>
      </c>
      <c r="K2472" s="40">
        <v>37</v>
      </c>
      <c r="L2472" s="40">
        <v>12</v>
      </c>
      <c r="M2472" s="40">
        <v>225</v>
      </c>
      <c r="N2472" s="40">
        <v>43</v>
      </c>
      <c r="O2472" s="40">
        <v>61</v>
      </c>
      <c r="P2472" s="40">
        <v>100</v>
      </c>
      <c r="Q2472" s="40">
        <v>1</v>
      </c>
      <c r="R2472" s="40">
        <v>21</v>
      </c>
      <c r="S2472" s="40">
        <v>0</v>
      </c>
    </row>
    <row r="2473" spans="1:19" x14ac:dyDescent="0.35">
      <c r="A2473" s="38">
        <v>1540</v>
      </c>
      <c r="B2473" s="38" t="str">
        <f>_xlfn.XLOOKUP(A2473,'Model Modeshare by TAZ'!A:A,'Model Modeshare by TAZ'!B:B)</f>
        <v>San Mateo</v>
      </c>
      <c r="C2473" s="38" t="str">
        <f>_xlfn.XLOOKUP(A2473,'Model Modeshare by TAZ'!A:A,'Model Modeshare by TAZ'!D:D)</f>
        <v>YES</v>
      </c>
      <c r="D2473" s="6">
        <v>2</v>
      </c>
      <c r="E2473" s="6">
        <v>276</v>
      </c>
      <c r="F2473" s="6">
        <v>1012</v>
      </c>
      <c r="G2473" s="6">
        <v>1025</v>
      </c>
      <c r="H2473" s="6">
        <v>532</v>
      </c>
      <c r="I2473" s="6">
        <v>162</v>
      </c>
      <c r="J2473" s="6">
        <v>114</v>
      </c>
      <c r="K2473" s="40">
        <v>27</v>
      </c>
      <c r="L2473" s="40">
        <v>9</v>
      </c>
      <c r="M2473" s="40">
        <v>435</v>
      </c>
      <c r="N2473" s="40">
        <v>65</v>
      </c>
      <c r="O2473" s="40">
        <v>140</v>
      </c>
      <c r="P2473" s="40">
        <v>195</v>
      </c>
      <c r="Q2473" s="40">
        <v>4</v>
      </c>
      <c r="R2473" s="40">
        <v>9</v>
      </c>
      <c r="S2473" s="40">
        <v>22</v>
      </c>
    </row>
    <row r="2474" spans="1:19" x14ac:dyDescent="0.35">
      <c r="A2474" s="38">
        <v>1541</v>
      </c>
      <c r="B2474" s="38" t="str">
        <f>_xlfn.XLOOKUP(A2474,'Model Modeshare by TAZ'!A:A,'Model Modeshare by TAZ'!B:B)</f>
        <v>Foster City</v>
      </c>
      <c r="C2474" s="38" t="str">
        <f>_xlfn.XLOOKUP(A2474,'Model Modeshare by TAZ'!A:A,'Model Modeshare by TAZ'!D:D)</f>
        <v>YES</v>
      </c>
      <c r="D2474" s="6">
        <v>2</v>
      </c>
      <c r="E2474" s="6">
        <v>307</v>
      </c>
      <c r="F2474" s="6">
        <v>461</v>
      </c>
      <c r="G2474" s="6">
        <v>614</v>
      </c>
      <c r="H2474" s="6">
        <v>307</v>
      </c>
      <c r="I2474" s="6">
        <v>0</v>
      </c>
      <c r="J2474" s="6">
        <v>307</v>
      </c>
      <c r="K2474" s="40">
        <v>0</v>
      </c>
      <c r="L2474" s="40">
        <v>19</v>
      </c>
      <c r="M2474" s="40">
        <v>1319</v>
      </c>
      <c r="N2474" s="40">
        <v>130</v>
      </c>
      <c r="O2474" s="40">
        <v>654</v>
      </c>
      <c r="P2474" s="40">
        <v>317</v>
      </c>
      <c r="Q2474" s="40">
        <v>2</v>
      </c>
      <c r="R2474" s="40">
        <v>165</v>
      </c>
      <c r="S2474" s="40">
        <v>52</v>
      </c>
    </row>
    <row r="2475" spans="1:19" x14ac:dyDescent="0.35">
      <c r="A2475" s="38">
        <v>1542</v>
      </c>
      <c r="B2475" s="38" t="str">
        <f>_xlfn.XLOOKUP(A2475,'Model Modeshare by TAZ'!A:A,'Model Modeshare by TAZ'!B:B)</f>
        <v>San Mateo</v>
      </c>
      <c r="C2475" s="38" t="str">
        <f>_xlfn.XLOOKUP(A2475,'Model Modeshare by TAZ'!A:A,'Model Modeshare by TAZ'!D:D)</f>
        <v>YES</v>
      </c>
      <c r="D2475" s="6">
        <v>2</v>
      </c>
      <c r="E2475" s="6">
        <v>914</v>
      </c>
      <c r="F2475" s="6">
        <v>2481</v>
      </c>
      <c r="G2475" s="6">
        <v>2485</v>
      </c>
      <c r="H2475" s="6">
        <v>1723</v>
      </c>
      <c r="I2475" s="6">
        <v>345</v>
      </c>
      <c r="J2475" s="6">
        <v>569</v>
      </c>
      <c r="K2475" s="40">
        <v>56</v>
      </c>
      <c r="L2475" s="40">
        <v>21</v>
      </c>
      <c r="M2475" s="40">
        <v>1007</v>
      </c>
      <c r="N2475" s="40">
        <v>118</v>
      </c>
      <c r="O2475" s="40">
        <v>701</v>
      </c>
      <c r="P2475" s="40">
        <v>72</v>
      </c>
      <c r="Q2475" s="40">
        <v>1</v>
      </c>
      <c r="R2475" s="40">
        <v>0</v>
      </c>
      <c r="S2475" s="40">
        <v>115</v>
      </c>
    </row>
    <row r="2476" spans="1:19" x14ac:dyDescent="0.35">
      <c r="A2476" s="38">
        <v>1543</v>
      </c>
      <c r="B2476" s="38" t="str">
        <f>_xlfn.XLOOKUP(A2476,'Model Modeshare by TAZ'!A:A,'Model Modeshare by TAZ'!B:B)</f>
        <v>Belmont</v>
      </c>
      <c r="C2476" s="38" t="str">
        <f>_xlfn.XLOOKUP(A2476,'Model Modeshare by TAZ'!A:A,'Model Modeshare by TAZ'!D:D)</f>
        <v>YES</v>
      </c>
      <c r="D2476" s="6">
        <v>2</v>
      </c>
      <c r="E2476" s="6">
        <v>165</v>
      </c>
      <c r="F2476" s="6">
        <v>493</v>
      </c>
      <c r="G2476" s="6">
        <v>496</v>
      </c>
      <c r="H2476" s="6">
        <v>225</v>
      </c>
      <c r="I2476" s="6">
        <v>76</v>
      </c>
      <c r="J2476" s="6">
        <v>89</v>
      </c>
      <c r="K2476" s="40">
        <v>10</v>
      </c>
      <c r="L2476" s="40">
        <v>55</v>
      </c>
      <c r="M2476" s="40">
        <v>2068</v>
      </c>
      <c r="N2476" s="40">
        <v>208</v>
      </c>
      <c r="O2476" s="40">
        <v>271</v>
      </c>
      <c r="P2476" s="40">
        <v>512</v>
      </c>
      <c r="Q2476" s="40">
        <v>7</v>
      </c>
      <c r="R2476" s="40">
        <v>628</v>
      </c>
      <c r="S2476" s="40">
        <v>443</v>
      </c>
    </row>
    <row r="2477" spans="1:19" x14ac:dyDescent="0.35">
      <c r="A2477" s="38">
        <v>1544</v>
      </c>
      <c r="B2477" s="38" t="str">
        <f>_xlfn.XLOOKUP(A2477,'Model Modeshare by TAZ'!A:A,'Model Modeshare by TAZ'!B:B)</f>
        <v>San Mateo</v>
      </c>
      <c r="C2477" s="38" t="str">
        <f>_xlfn.XLOOKUP(A2477,'Model Modeshare by TAZ'!A:A,'Model Modeshare by TAZ'!D:D)</f>
        <v>YES</v>
      </c>
      <c r="D2477" s="6">
        <v>2</v>
      </c>
      <c r="E2477" s="6">
        <v>157</v>
      </c>
      <c r="F2477" s="6">
        <v>378</v>
      </c>
      <c r="G2477" s="6">
        <v>380</v>
      </c>
      <c r="H2477" s="6">
        <v>217</v>
      </c>
      <c r="I2477" s="6">
        <v>95</v>
      </c>
      <c r="J2477" s="6">
        <v>61</v>
      </c>
      <c r="K2477" s="40">
        <v>8</v>
      </c>
      <c r="L2477" s="40">
        <v>42</v>
      </c>
      <c r="M2477" s="40">
        <v>1987</v>
      </c>
      <c r="N2477" s="40">
        <v>249</v>
      </c>
      <c r="O2477" s="40">
        <v>573</v>
      </c>
      <c r="P2477" s="40">
        <v>1066</v>
      </c>
      <c r="Q2477" s="40">
        <v>6</v>
      </c>
      <c r="R2477" s="40">
        <v>76</v>
      </c>
      <c r="S2477" s="40">
        <v>17</v>
      </c>
    </row>
    <row r="2478" spans="1:19" x14ac:dyDescent="0.35">
      <c r="A2478" s="38">
        <v>1545</v>
      </c>
      <c r="B2478" s="38" t="str">
        <f>_xlfn.XLOOKUP(A2478,'Model Modeshare by TAZ'!A:A,'Model Modeshare by TAZ'!B:B)</f>
        <v>San Mateo</v>
      </c>
      <c r="C2478" s="38" t="str">
        <f>_xlfn.XLOOKUP(A2478,'Model Modeshare by TAZ'!A:A,'Model Modeshare by TAZ'!D:D)</f>
        <v>YES</v>
      </c>
      <c r="D2478" s="6">
        <v>2</v>
      </c>
      <c r="E2478" s="6">
        <v>927</v>
      </c>
      <c r="F2478" s="6">
        <v>2480</v>
      </c>
      <c r="G2478" s="6">
        <v>2531</v>
      </c>
      <c r="H2478" s="6">
        <v>1376</v>
      </c>
      <c r="I2478" s="6">
        <v>715</v>
      </c>
      <c r="J2478" s="6">
        <v>213</v>
      </c>
      <c r="K2478" s="40">
        <v>109</v>
      </c>
      <c r="L2478" s="40">
        <v>11</v>
      </c>
      <c r="M2478" s="40">
        <v>633</v>
      </c>
      <c r="N2478" s="40">
        <v>22</v>
      </c>
      <c r="O2478" s="40">
        <v>194</v>
      </c>
      <c r="P2478" s="40">
        <v>25</v>
      </c>
      <c r="Q2478" s="40">
        <v>0</v>
      </c>
      <c r="R2478" s="40">
        <v>271</v>
      </c>
      <c r="S2478" s="40">
        <v>120</v>
      </c>
    </row>
    <row r="2479" spans="1:19" x14ac:dyDescent="0.35">
      <c r="A2479" s="38">
        <v>1546</v>
      </c>
      <c r="B2479" s="38" t="str">
        <f>_xlfn.XLOOKUP(A2479,'Model Modeshare by TAZ'!A:A,'Model Modeshare by TAZ'!B:B)</f>
        <v>San Mateo</v>
      </c>
      <c r="C2479" s="38" t="str">
        <f>_xlfn.XLOOKUP(A2479,'Model Modeshare by TAZ'!A:A,'Model Modeshare by TAZ'!D:D)</f>
        <v>YES</v>
      </c>
      <c r="D2479" s="6">
        <v>2</v>
      </c>
      <c r="E2479" s="6">
        <v>374</v>
      </c>
      <c r="F2479" s="6">
        <v>1096</v>
      </c>
      <c r="G2479" s="6">
        <v>1108</v>
      </c>
      <c r="H2479" s="6">
        <v>479</v>
      </c>
      <c r="I2479" s="6">
        <v>213</v>
      </c>
      <c r="J2479" s="6">
        <v>162</v>
      </c>
      <c r="K2479" s="40">
        <v>36</v>
      </c>
      <c r="L2479" s="40">
        <v>28</v>
      </c>
      <c r="M2479" s="40">
        <v>1980</v>
      </c>
      <c r="N2479" s="40">
        <v>268</v>
      </c>
      <c r="O2479" s="40">
        <v>807</v>
      </c>
      <c r="P2479" s="40">
        <v>796</v>
      </c>
      <c r="Q2479" s="40">
        <v>1</v>
      </c>
      <c r="R2479" s="40">
        <v>36</v>
      </c>
      <c r="S2479" s="40">
        <v>73</v>
      </c>
    </row>
    <row r="2480" spans="1:19" x14ac:dyDescent="0.35">
      <c r="A2480" s="38">
        <v>1547</v>
      </c>
      <c r="B2480" s="38" t="str">
        <f>_xlfn.XLOOKUP(A2480,'Model Modeshare by TAZ'!A:A,'Model Modeshare by TAZ'!B:B)</f>
        <v>San Mateo</v>
      </c>
      <c r="C2480" s="38" t="str">
        <f>_xlfn.XLOOKUP(A2480,'Model Modeshare by TAZ'!A:A,'Model Modeshare by TAZ'!D:D)</f>
        <v>YES</v>
      </c>
      <c r="D2480" s="6">
        <v>2</v>
      </c>
      <c r="E2480" s="6">
        <v>994</v>
      </c>
      <c r="F2480" s="6">
        <v>2499</v>
      </c>
      <c r="G2480" s="6">
        <v>2624</v>
      </c>
      <c r="H2480" s="6">
        <v>1385</v>
      </c>
      <c r="I2480" s="6">
        <v>480</v>
      </c>
      <c r="J2480" s="6">
        <v>514</v>
      </c>
      <c r="K2480" s="40">
        <v>68</v>
      </c>
      <c r="L2480" s="40">
        <v>26</v>
      </c>
      <c r="M2480" s="40">
        <v>1629</v>
      </c>
      <c r="N2480" s="40">
        <v>277</v>
      </c>
      <c r="O2480" s="40">
        <v>1117</v>
      </c>
      <c r="P2480" s="40">
        <v>166</v>
      </c>
      <c r="Q2480" s="40">
        <v>6</v>
      </c>
      <c r="R2480" s="40">
        <v>47</v>
      </c>
      <c r="S2480" s="40">
        <v>15</v>
      </c>
    </row>
    <row r="2481" spans="1:19" x14ac:dyDescent="0.35">
      <c r="A2481" s="38">
        <v>1548</v>
      </c>
      <c r="B2481" s="38" t="str">
        <f>_xlfn.XLOOKUP(A2481,'Model Modeshare by TAZ'!A:A,'Model Modeshare by TAZ'!B:B)</f>
        <v>San Mateo</v>
      </c>
      <c r="C2481" s="38" t="str">
        <f>_xlfn.XLOOKUP(A2481,'Model Modeshare by TAZ'!A:A,'Model Modeshare by TAZ'!D:D)</f>
        <v>YES</v>
      </c>
      <c r="D2481" s="6">
        <v>2</v>
      </c>
      <c r="E2481" s="6">
        <v>615</v>
      </c>
      <c r="F2481" s="6">
        <v>1618</v>
      </c>
      <c r="G2481" s="6">
        <v>1650</v>
      </c>
      <c r="H2481" s="6">
        <v>833</v>
      </c>
      <c r="I2481" s="6">
        <v>589</v>
      </c>
      <c r="J2481" s="6">
        <v>27</v>
      </c>
      <c r="K2481" s="40">
        <v>94</v>
      </c>
      <c r="L2481" s="40">
        <v>17</v>
      </c>
      <c r="M2481" s="40">
        <v>144</v>
      </c>
      <c r="N2481" s="40">
        <v>71</v>
      </c>
      <c r="O2481" s="40">
        <v>59</v>
      </c>
      <c r="P2481" s="40">
        <v>7</v>
      </c>
      <c r="Q2481" s="40">
        <v>3</v>
      </c>
      <c r="R2481" s="40">
        <v>0</v>
      </c>
      <c r="S2481" s="40">
        <v>3</v>
      </c>
    </row>
    <row r="2482" spans="1:19" x14ac:dyDescent="0.35">
      <c r="A2482" s="38">
        <v>1549</v>
      </c>
      <c r="B2482" s="38" t="str">
        <f>_xlfn.XLOOKUP(A2482,'Model Modeshare by TAZ'!A:A,'Model Modeshare by TAZ'!B:B)</f>
        <v>San Mateo</v>
      </c>
      <c r="C2482" s="38" t="str">
        <f>_xlfn.XLOOKUP(A2482,'Model Modeshare by TAZ'!A:A,'Model Modeshare by TAZ'!D:D)</f>
        <v>YES</v>
      </c>
      <c r="D2482" s="6">
        <v>2</v>
      </c>
      <c r="E2482" s="6">
        <v>258</v>
      </c>
      <c r="F2482" s="6">
        <v>572</v>
      </c>
      <c r="G2482" s="6">
        <v>596</v>
      </c>
      <c r="H2482" s="6">
        <v>351</v>
      </c>
      <c r="I2482" s="6">
        <v>89</v>
      </c>
      <c r="J2482" s="6">
        <v>169</v>
      </c>
      <c r="K2482" s="40">
        <v>20</v>
      </c>
      <c r="L2482" s="40">
        <v>23</v>
      </c>
      <c r="M2482" s="40">
        <v>4481</v>
      </c>
      <c r="N2482" s="40">
        <v>3702</v>
      </c>
      <c r="O2482" s="40">
        <v>597</v>
      </c>
      <c r="P2482" s="40">
        <v>133</v>
      </c>
      <c r="Q2482" s="40">
        <v>6</v>
      </c>
      <c r="R2482" s="40">
        <v>0</v>
      </c>
      <c r="S2482" s="40">
        <v>44</v>
      </c>
    </row>
    <row r="2483" spans="1:19" x14ac:dyDescent="0.35">
      <c r="A2483" s="38">
        <v>1550</v>
      </c>
      <c r="B2483" s="38" t="str">
        <f>_xlfn.XLOOKUP(A2483,'Model Modeshare by TAZ'!A:A,'Model Modeshare by TAZ'!B:B)</f>
        <v>San Mateo</v>
      </c>
      <c r="C2483" s="38" t="str">
        <f>_xlfn.XLOOKUP(A2483,'Model Modeshare by TAZ'!A:A,'Model Modeshare by TAZ'!D:D)</f>
        <v>YES</v>
      </c>
      <c r="D2483" s="6">
        <v>2</v>
      </c>
      <c r="E2483" s="6">
        <v>640</v>
      </c>
      <c r="F2483" s="6">
        <v>1876</v>
      </c>
      <c r="G2483" s="6">
        <v>1876</v>
      </c>
      <c r="H2483" s="6">
        <v>822</v>
      </c>
      <c r="I2483" s="6">
        <v>631</v>
      </c>
      <c r="J2483" s="6">
        <v>9</v>
      </c>
      <c r="K2483" s="40">
        <v>129</v>
      </c>
      <c r="L2483" s="40">
        <v>16</v>
      </c>
      <c r="M2483" s="40">
        <v>103</v>
      </c>
      <c r="N2483" s="40">
        <v>0</v>
      </c>
      <c r="O2483" s="40">
        <v>35</v>
      </c>
      <c r="P2483" s="40">
        <v>65</v>
      </c>
      <c r="Q2483" s="40">
        <v>3</v>
      </c>
      <c r="R2483" s="40">
        <v>0</v>
      </c>
      <c r="S2483" s="40">
        <v>0</v>
      </c>
    </row>
    <row r="2484" spans="1:19" x14ac:dyDescent="0.35">
      <c r="A2484" s="38">
        <v>1551</v>
      </c>
      <c r="B2484" s="38" t="str">
        <f>_xlfn.XLOOKUP(A2484,'Model Modeshare by TAZ'!A:A,'Model Modeshare by TAZ'!B:B)</f>
        <v>Belmont</v>
      </c>
      <c r="C2484" s="38" t="str">
        <f>_xlfn.XLOOKUP(A2484,'Model Modeshare by TAZ'!A:A,'Model Modeshare by TAZ'!D:D)</f>
        <v>YES</v>
      </c>
      <c r="D2484" s="6">
        <v>2</v>
      </c>
      <c r="E2484" s="6">
        <v>255</v>
      </c>
      <c r="F2484" s="6">
        <v>629</v>
      </c>
      <c r="G2484" s="6">
        <v>665</v>
      </c>
      <c r="H2484" s="6">
        <v>359</v>
      </c>
      <c r="I2484" s="6">
        <v>184</v>
      </c>
      <c r="J2484" s="6">
        <v>71</v>
      </c>
      <c r="K2484" s="40">
        <v>41</v>
      </c>
      <c r="L2484" s="40">
        <v>26</v>
      </c>
      <c r="M2484" s="40">
        <v>606</v>
      </c>
      <c r="N2484" s="40">
        <v>256</v>
      </c>
      <c r="O2484" s="40">
        <v>84</v>
      </c>
      <c r="P2484" s="40">
        <v>196</v>
      </c>
      <c r="Q2484" s="40">
        <v>0</v>
      </c>
      <c r="R2484" s="40">
        <v>21</v>
      </c>
      <c r="S2484" s="40">
        <v>50</v>
      </c>
    </row>
    <row r="2485" spans="1:19" x14ac:dyDescent="0.35">
      <c r="A2485" s="38">
        <v>1552</v>
      </c>
      <c r="B2485" s="38" t="str">
        <f>_xlfn.XLOOKUP(A2485,'Model Modeshare by TAZ'!A:A,'Model Modeshare by TAZ'!B:B)</f>
        <v>Belmont</v>
      </c>
      <c r="C2485" s="38" t="str">
        <f>_xlfn.XLOOKUP(A2485,'Model Modeshare by TAZ'!A:A,'Model Modeshare by TAZ'!D:D)</f>
        <v>YES</v>
      </c>
      <c r="D2485" s="6">
        <v>2</v>
      </c>
      <c r="E2485" s="6">
        <v>2470</v>
      </c>
      <c r="F2485" s="6">
        <v>5585</v>
      </c>
      <c r="G2485" s="6">
        <v>5646</v>
      </c>
      <c r="H2485" s="6">
        <v>3117</v>
      </c>
      <c r="I2485" s="6">
        <v>974</v>
      </c>
      <c r="J2485" s="6">
        <v>1496</v>
      </c>
      <c r="K2485" s="40">
        <v>377</v>
      </c>
      <c r="L2485" s="40">
        <v>272</v>
      </c>
      <c r="M2485" s="40">
        <v>817</v>
      </c>
      <c r="N2485" s="40">
        <v>16</v>
      </c>
      <c r="O2485" s="40">
        <v>471</v>
      </c>
      <c r="P2485" s="40">
        <v>225</v>
      </c>
      <c r="Q2485" s="40">
        <v>1</v>
      </c>
      <c r="R2485" s="40">
        <v>14</v>
      </c>
      <c r="S2485" s="40">
        <v>91</v>
      </c>
    </row>
    <row r="2486" spans="1:19" x14ac:dyDescent="0.35">
      <c r="A2486" s="38">
        <v>1553</v>
      </c>
      <c r="B2486" s="38" t="str">
        <f>_xlfn.XLOOKUP(A2486,'Model Modeshare by TAZ'!A:A,'Model Modeshare by TAZ'!B:B)</f>
        <v>Belmont</v>
      </c>
      <c r="C2486" s="38" t="str">
        <f>_xlfn.XLOOKUP(A2486,'Model Modeshare by TAZ'!A:A,'Model Modeshare by TAZ'!D:D)</f>
        <v>YES</v>
      </c>
      <c r="D2486" s="6">
        <v>2</v>
      </c>
      <c r="E2486" s="6">
        <v>612</v>
      </c>
      <c r="F2486" s="6">
        <v>1763</v>
      </c>
      <c r="G2486" s="6">
        <v>1763</v>
      </c>
      <c r="H2486" s="6">
        <v>872</v>
      </c>
      <c r="I2486" s="6">
        <v>604</v>
      </c>
      <c r="J2486" s="6">
        <v>8</v>
      </c>
      <c r="K2486" s="40">
        <v>115</v>
      </c>
      <c r="L2486" s="40">
        <v>3</v>
      </c>
      <c r="M2486" s="40">
        <v>43</v>
      </c>
      <c r="N2486" s="40">
        <v>0</v>
      </c>
      <c r="O2486" s="40">
        <v>28</v>
      </c>
      <c r="P2486" s="40">
        <v>11</v>
      </c>
      <c r="Q2486" s="40">
        <v>1</v>
      </c>
      <c r="R2486" s="40">
        <v>2</v>
      </c>
      <c r="S2486" s="40">
        <v>1</v>
      </c>
    </row>
    <row r="2487" spans="1:19" x14ac:dyDescent="0.35">
      <c r="A2487" s="38">
        <v>1554</v>
      </c>
      <c r="B2487" s="38" t="str">
        <f>_xlfn.XLOOKUP(A2487,'Model Modeshare by TAZ'!A:A,'Model Modeshare by TAZ'!B:B)</f>
        <v>San Mateo</v>
      </c>
      <c r="C2487" s="38" t="str">
        <f>_xlfn.XLOOKUP(A2487,'Model Modeshare by TAZ'!A:A,'Model Modeshare by TAZ'!D:D)</f>
        <v>YES</v>
      </c>
      <c r="D2487" s="6">
        <v>2</v>
      </c>
      <c r="E2487" s="6">
        <v>0</v>
      </c>
      <c r="F2487" s="6">
        <v>0</v>
      </c>
      <c r="G2487" s="6">
        <v>0</v>
      </c>
      <c r="H2487" s="6">
        <v>0</v>
      </c>
      <c r="I2487" s="6">
        <v>0</v>
      </c>
      <c r="J2487" s="6">
        <v>0</v>
      </c>
      <c r="K2487" s="40">
        <v>1</v>
      </c>
      <c r="L2487" s="40">
        <v>97</v>
      </c>
      <c r="M2487" s="40">
        <v>835</v>
      </c>
      <c r="N2487" s="40">
        <v>43</v>
      </c>
      <c r="O2487" s="40">
        <v>661</v>
      </c>
      <c r="P2487" s="40">
        <v>128</v>
      </c>
      <c r="Q2487" s="40">
        <v>2</v>
      </c>
      <c r="R2487" s="40">
        <v>0</v>
      </c>
      <c r="S2487" s="40">
        <v>1</v>
      </c>
    </row>
    <row r="2488" spans="1:19" x14ac:dyDescent="0.35">
      <c r="A2488" s="38">
        <v>1555</v>
      </c>
      <c r="B2488" s="38" t="str">
        <f>_xlfn.XLOOKUP(A2488,'Model Modeshare by TAZ'!A:A,'Model Modeshare by TAZ'!B:B)</f>
        <v>Unincorporated</v>
      </c>
      <c r="C2488" s="38" t="str">
        <f>_xlfn.XLOOKUP(A2488,'Model Modeshare by TAZ'!A:A,'Model Modeshare by TAZ'!D:D)</f>
        <v>YES</v>
      </c>
      <c r="D2488" s="6">
        <v>2</v>
      </c>
      <c r="E2488" s="6">
        <v>1</v>
      </c>
      <c r="F2488" s="6">
        <v>2</v>
      </c>
      <c r="G2488" s="6">
        <v>12</v>
      </c>
      <c r="H2488" s="6">
        <v>1</v>
      </c>
      <c r="I2488" s="6">
        <v>1</v>
      </c>
      <c r="J2488" s="6">
        <v>0</v>
      </c>
      <c r="K2488" s="40">
        <v>4</v>
      </c>
      <c r="L2488" s="40">
        <v>1</v>
      </c>
      <c r="M2488" s="40">
        <v>11</v>
      </c>
      <c r="N2488" s="40">
        <v>2</v>
      </c>
      <c r="O2488" s="40">
        <v>6</v>
      </c>
      <c r="P2488" s="40">
        <v>3</v>
      </c>
      <c r="Q2488" s="40">
        <v>0</v>
      </c>
      <c r="R2488" s="40">
        <v>0</v>
      </c>
      <c r="S2488" s="40">
        <v>0</v>
      </c>
    </row>
    <row r="2489" spans="1:19" x14ac:dyDescent="0.35">
      <c r="A2489" s="38">
        <v>1556</v>
      </c>
      <c r="B2489" s="38" t="str">
        <f>_xlfn.XLOOKUP(A2489,'Model Modeshare by TAZ'!A:A,'Model Modeshare by TAZ'!B:B)</f>
        <v>Half Moon Bay</v>
      </c>
      <c r="C2489" s="38" t="str">
        <f>_xlfn.XLOOKUP(A2489,'Model Modeshare by TAZ'!A:A,'Model Modeshare by TAZ'!D:D)</f>
        <v>YES</v>
      </c>
      <c r="D2489" s="6">
        <v>2</v>
      </c>
      <c r="E2489" s="6">
        <v>215</v>
      </c>
      <c r="F2489" s="6">
        <v>644</v>
      </c>
      <c r="G2489" s="6">
        <v>649</v>
      </c>
      <c r="H2489" s="6">
        <v>309</v>
      </c>
      <c r="I2489" s="6">
        <v>168</v>
      </c>
      <c r="J2489" s="6">
        <v>47</v>
      </c>
      <c r="K2489" s="40">
        <v>200</v>
      </c>
      <c r="L2489" s="40">
        <v>82</v>
      </c>
      <c r="M2489" s="40">
        <v>226</v>
      </c>
      <c r="N2489" s="40">
        <v>82</v>
      </c>
      <c r="O2489" s="40">
        <v>102</v>
      </c>
      <c r="P2489" s="40">
        <v>24</v>
      </c>
      <c r="Q2489" s="40">
        <v>17</v>
      </c>
      <c r="R2489" s="40">
        <v>2</v>
      </c>
      <c r="S2489" s="40">
        <v>0</v>
      </c>
    </row>
    <row r="2490" spans="1:19" x14ac:dyDescent="0.35">
      <c r="A2490" s="38">
        <v>1557</v>
      </c>
      <c r="B2490" s="38" t="str">
        <f>_xlfn.XLOOKUP(A2490,'Model Modeshare by TAZ'!A:A,'Model Modeshare by TAZ'!B:B)</f>
        <v>Half Moon Bay</v>
      </c>
      <c r="C2490" s="38" t="str">
        <f>_xlfn.XLOOKUP(A2490,'Model Modeshare by TAZ'!A:A,'Model Modeshare by TAZ'!D:D)</f>
        <v>YES</v>
      </c>
      <c r="D2490" s="6">
        <v>2</v>
      </c>
      <c r="E2490" s="6">
        <v>1079</v>
      </c>
      <c r="F2490" s="6">
        <v>3213</v>
      </c>
      <c r="G2490" s="6">
        <v>3222</v>
      </c>
      <c r="H2490" s="6">
        <v>1692</v>
      </c>
      <c r="I2490" s="6">
        <v>842</v>
      </c>
      <c r="J2490" s="6">
        <v>237</v>
      </c>
      <c r="K2490" s="40">
        <v>1069</v>
      </c>
      <c r="L2490" s="40">
        <v>769</v>
      </c>
      <c r="M2490" s="40">
        <v>1153</v>
      </c>
      <c r="N2490" s="40">
        <v>403</v>
      </c>
      <c r="O2490" s="40">
        <v>420</v>
      </c>
      <c r="P2490" s="40">
        <v>171</v>
      </c>
      <c r="Q2490" s="40">
        <v>140</v>
      </c>
      <c r="R2490" s="40">
        <v>9</v>
      </c>
      <c r="S2490" s="40">
        <v>9</v>
      </c>
    </row>
    <row r="2491" spans="1:19" x14ac:dyDescent="0.35">
      <c r="A2491" s="38">
        <v>1558</v>
      </c>
      <c r="B2491" s="38" t="str">
        <f>_xlfn.XLOOKUP(A2491,'Model Modeshare by TAZ'!A:A,'Model Modeshare by TAZ'!B:B)</f>
        <v>Half Moon Bay</v>
      </c>
      <c r="C2491" s="38" t="str">
        <f>_xlfn.XLOOKUP(A2491,'Model Modeshare by TAZ'!A:A,'Model Modeshare by TAZ'!D:D)</f>
        <v>YES</v>
      </c>
      <c r="D2491" s="6">
        <v>2</v>
      </c>
      <c r="E2491" s="6">
        <v>3525</v>
      </c>
      <c r="F2491" s="6">
        <v>8007</v>
      </c>
      <c r="G2491" s="6">
        <v>8021</v>
      </c>
      <c r="H2491" s="6">
        <v>4878</v>
      </c>
      <c r="I2491" s="6">
        <v>2679</v>
      </c>
      <c r="J2491" s="6">
        <v>846</v>
      </c>
      <c r="K2491" s="40">
        <v>2038</v>
      </c>
      <c r="L2491" s="40">
        <v>153</v>
      </c>
      <c r="M2491" s="40">
        <v>4000</v>
      </c>
      <c r="N2491" s="40">
        <v>977</v>
      </c>
      <c r="O2491" s="40">
        <v>2036</v>
      </c>
      <c r="P2491" s="40">
        <v>789</v>
      </c>
      <c r="Q2491" s="40">
        <v>156</v>
      </c>
      <c r="R2491" s="40">
        <v>39</v>
      </c>
      <c r="S2491" s="40">
        <v>2</v>
      </c>
    </row>
    <row r="2492" spans="1:19" x14ac:dyDescent="0.35">
      <c r="A2492" s="38">
        <v>1559</v>
      </c>
      <c r="B2492" s="38" t="str">
        <f>_xlfn.XLOOKUP(A2492,'Model Modeshare by TAZ'!A:A,'Model Modeshare by TAZ'!B:B)</f>
        <v>Unincorporated</v>
      </c>
      <c r="C2492" s="38" t="str">
        <f>_xlfn.XLOOKUP(A2492,'Model Modeshare by TAZ'!A:A,'Model Modeshare by TAZ'!D:D)</f>
        <v>YES</v>
      </c>
      <c r="D2492" s="6">
        <v>2</v>
      </c>
      <c r="E2492" s="6">
        <v>14</v>
      </c>
      <c r="F2492" s="6">
        <v>29</v>
      </c>
      <c r="G2492" s="6">
        <v>30</v>
      </c>
      <c r="H2492" s="6">
        <v>18</v>
      </c>
      <c r="I2492" s="6">
        <v>13</v>
      </c>
      <c r="J2492" s="6">
        <v>1</v>
      </c>
      <c r="K2492" s="40">
        <v>174</v>
      </c>
      <c r="L2492" s="40">
        <v>0</v>
      </c>
      <c r="M2492" s="40">
        <v>0</v>
      </c>
      <c r="N2492" s="40">
        <v>0</v>
      </c>
      <c r="O2492" s="40">
        <v>0</v>
      </c>
      <c r="P2492" s="40">
        <v>0</v>
      </c>
      <c r="Q2492" s="40">
        <v>0</v>
      </c>
      <c r="R2492" s="40">
        <v>0</v>
      </c>
      <c r="S2492" s="40">
        <v>0</v>
      </c>
    </row>
    <row r="2493" spans="1:19" x14ac:dyDescent="0.35">
      <c r="A2493" s="38">
        <v>1560</v>
      </c>
      <c r="B2493" s="38" t="str">
        <f>_xlfn.XLOOKUP(A2493,'Model Modeshare by TAZ'!A:A,'Model Modeshare by TAZ'!B:B)</f>
        <v>Unincorporated</v>
      </c>
      <c r="C2493" s="38" t="str">
        <f>_xlfn.XLOOKUP(A2493,'Model Modeshare by TAZ'!A:A,'Model Modeshare by TAZ'!D:D)</f>
        <v>YES</v>
      </c>
      <c r="D2493" s="6">
        <v>2</v>
      </c>
      <c r="E2493" s="6">
        <v>10</v>
      </c>
      <c r="F2493" s="6">
        <v>22</v>
      </c>
      <c r="G2493" s="6">
        <v>23</v>
      </c>
      <c r="H2493" s="6">
        <v>12</v>
      </c>
      <c r="I2493" s="6">
        <v>9</v>
      </c>
      <c r="J2493" s="6">
        <v>1</v>
      </c>
      <c r="K2493" s="40">
        <v>109</v>
      </c>
      <c r="L2493" s="40">
        <v>7</v>
      </c>
      <c r="M2493" s="40">
        <v>0</v>
      </c>
      <c r="N2493" s="40">
        <v>0</v>
      </c>
      <c r="O2493" s="40">
        <v>0</v>
      </c>
      <c r="P2493" s="40">
        <v>0</v>
      </c>
      <c r="Q2493" s="40">
        <v>0</v>
      </c>
      <c r="R2493" s="40">
        <v>0</v>
      </c>
      <c r="S2493" s="40">
        <v>0</v>
      </c>
    </row>
    <row r="2494" spans="1:19" x14ac:dyDescent="0.35">
      <c r="A2494" s="38">
        <v>1561</v>
      </c>
      <c r="B2494" s="38" t="str">
        <f>_xlfn.XLOOKUP(A2494,'Model Modeshare by TAZ'!A:A,'Model Modeshare by TAZ'!B:B)</f>
        <v>Woodside</v>
      </c>
      <c r="C2494" s="38" t="str">
        <f>_xlfn.XLOOKUP(A2494,'Model Modeshare by TAZ'!A:A,'Model Modeshare by TAZ'!D:D)</f>
        <v>YES</v>
      </c>
      <c r="D2494" s="6">
        <v>2</v>
      </c>
      <c r="E2494" s="6">
        <v>35</v>
      </c>
      <c r="F2494" s="6">
        <v>92</v>
      </c>
      <c r="G2494" s="6">
        <v>92</v>
      </c>
      <c r="H2494" s="6">
        <v>41</v>
      </c>
      <c r="I2494" s="6">
        <v>34</v>
      </c>
      <c r="J2494" s="6">
        <v>1</v>
      </c>
      <c r="K2494" s="40">
        <v>16</v>
      </c>
      <c r="L2494" s="40">
        <v>1</v>
      </c>
      <c r="M2494" s="40">
        <v>6</v>
      </c>
      <c r="N2494" s="40">
        <v>0</v>
      </c>
      <c r="O2494" s="40">
        <v>5</v>
      </c>
      <c r="P2494" s="40">
        <v>1</v>
      </c>
      <c r="Q2494" s="40">
        <v>0</v>
      </c>
      <c r="R2494" s="40">
        <v>0</v>
      </c>
      <c r="S2494" s="40">
        <v>0</v>
      </c>
    </row>
    <row r="2495" spans="1:19" x14ac:dyDescent="0.35">
      <c r="A2495" s="38">
        <v>1562</v>
      </c>
      <c r="B2495" s="38" t="str">
        <f>_xlfn.XLOOKUP(A2495,'Model Modeshare by TAZ'!A:A,'Model Modeshare by TAZ'!B:B)</f>
        <v>Redwood City</v>
      </c>
      <c r="C2495" s="38" t="str">
        <f>_xlfn.XLOOKUP(A2495,'Model Modeshare by TAZ'!A:A,'Model Modeshare by TAZ'!D:D)</f>
        <v>YES</v>
      </c>
      <c r="D2495" s="6">
        <v>2</v>
      </c>
      <c r="E2495" s="6">
        <v>379</v>
      </c>
      <c r="F2495" s="6">
        <v>1011</v>
      </c>
      <c r="G2495" s="6">
        <v>1031</v>
      </c>
      <c r="H2495" s="6">
        <v>548</v>
      </c>
      <c r="I2495" s="6">
        <v>340</v>
      </c>
      <c r="J2495" s="6">
        <v>39</v>
      </c>
      <c r="K2495" s="40">
        <v>67</v>
      </c>
      <c r="L2495" s="40">
        <v>38</v>
      </c>
      <c r="M2495" s="40">
        <v>506</v>
      </c>
      <c r="N2495" s="40">
        <v>254</v>
      </c>
      <c r="O2495" s="40">
        <v>124</v>
      </c>
      <c r="P2495" s="40">
        <v>82</v>
      </c>
      <c r="Q2495" s="40">
        <v>0</v>
      </c>
      <c r="R2495" s="40">
        <v>1</v>
      </c>
      <c r="S2495" s="40">
        <v>45</v>
      </c>
    </row>
    <row r="2496" spans="1:19" x14ac:dyDescent="0.35">
      <c r="A2496" s="38">
        <v>1563</v>
      </c>
      <c r="B2496" s="38" t="str">
        <f>_xlfn.XLOOKUP(A2496,'Model Modeshare by TAZ'!A:A,'Model Modeshare by TAZ'!B:B)</f>
        <v>Redwood City</v>
      </c>
      <c r="C2496" s="38" t="str">
        <f>_xlfn.XLOOKUP(A2496,'Model Modeshare by TAZ'!A:A,'Model Modeshare by TAZ'!D:D)</f>
        <v>YES</v>
      </c>
      <c r="D2496" s="6">
        <v>2</v>
      </c>
      <c r="E2496" s="6">
        <v>476</v>
      </c>
      <c r="F2496" s="6">
        <v>1295</v>
      </c>
      <c r="G2496" s="6">
        <v>1304</v>
      </c>
      <c r="H2496" s="6">
        <v>739</v>
      </c>
      <c r="I2496" s="6">
        <v>447</v>
      </c>
      <c r="J2496" s="6">
        <v>29</v>
      </c>
      <c r="K2496" s="40">
        <v>87</v>
      </c>
      <c r="L2496" s="40">
        <v>2</v>
      </c>
      <c r="M2496" s="40">
        <v>30</v>
      </c>
      <c r="N2496" s="40">
        <v>18</v>
      </c>
      <c r="O2496" s="40">
        <v>5</v>
      </c>
      <c r="P2496" s="40">
        <v>6</v>
      </c>
      <c r="Q2496" s="40">
        <v>0</v>
      </c>
      <c r="R2496" s="40">
        <v>0</v>
      </c>
      <c r="S2496" s="40">
        <v>1</v>
      </c>
    </row>
    <row r="2497" spans="1:19" x14ac:dyDescent="0.35">
      <c r="A2497" s="38">
        <v>1564</v>
      </c>
      <c r="B2497" s="38" t="str">
        <f>_xlfn.XLOOKUP(A2497,'Model Modeshare by TAZ'!A:A,'Model Modeshare by TAZ'!B:B)</f>
        <v>San Carlos</v>
      </c>
      <c r="C2497" s="38" t="str">
        <f>_xlfn.XLOOKUP(A2497,'Model Modeshare by TAZ'!A:A,'Model Modeshare by TAZ'!D:D)</f>
        <v>YES</v>
      </c>
      <c r="D2497" s="6">
        <v>2</v>
      </c>
      <c r="E2497" s="6">
        <v>1358</v>
      </c>
      <c r="F2497" s="6">
        <v>3560</v>
      </c>
      <c r="G2497" s="6">
        <v>3655</v>
      </c>
      <c r="H2497" s="6">
        <v>1813</v>
      </c>
      <c r="I2497" s="6">
        <v>1107</v>
      </c>
      <c r="J2497" s="6">
        <v>251</v>
      </c>
      <c r="K2497" s="40">
        <v>414</v>
      </c>
      <c r="L2497" s="40">
        <v>45</v>
      </c>
      <c r="M2497" s="40">
        <v>202</v>
      </c>
      <c r="N2497" s="40">
        <v>13</v>
      </c>
      <c r="O2497" s="40">
        <v>41</v>
      </c>
      <c r="P2497" s="40">
        <v>119</v>
      </c>
      <c r="Q2497" s="40">
        <v>11</v>
      </c>
      <c r="R2497" s="40">
        <v>1</v>
      </c>
      <c r="S2497" s="40">
        <v>17</v>
      </c>
    </row>
    <row r="2498" spans="1:19" x14ac:dyDescent="0.35">
      <c r="A2498" s="38">
        <v>1565</v>
      </c>
      <c r="B2498" s="38" t="str">
        <f>_xlfn.XLOOKUP(A2498,'Model Modeshare by TAZ'!A:A,'Model Modeshare by TAZ'!B:B)</f>
        <v>San Carlos</v>
      </c>
      <c r="C2498" s="38" t="str">
        <f>_xlfn.XLOOKUP(A2498,'Model Modeshare by TAZ'!A:A,'Model Modeshare by TAZ'!D:D)</f>
        <v>YES</v>
      </c>
      <c r="D2498" s="6">
        <v>2</v>
      </c>
      <c r="E2498" s="6">
        <v>794</v>
      </c>
      <c r="F2498" s="6">
        <v>2227</v>
      </c>
      <c r="G2498" s="6">
        <v>2227</v>
      </c>
      <c r="H2498" s="6">
        <v>1152</v>
      </c>
      <c r="I2498" s="6">
        <v>760</v>
      </c>
      <c r="J2498" s="6">
        <v>34</v>
      </c>
      <c r="K2498" s="40">
        <v>143</v>
      </c>
      <c r="L2498" s="40">
        <v>15</v>
      </c>
      <c r="M2498" s="40">
        <v>92</v>
      </c>
      <c r="N2498" s="40">
        <v>20</v>
      </c>
      <c r="O2498" s="40">
        <v>12</v>
      </c>
      <c r="P2498" s="40">
        <v>57</v>
      </c>
      <c r="Q2498" s="40">
        <v>1</v>
      </c>
      <c r="R2498" s="40">
        <v>2</v>
      </c>
      <c r="S2498" s="40">
        <v>0</v>
      </c>
    </row>
    <row r="2499" spans="1:19" x14ac:dyDescent="0.35">
      <c r="A2499" s="38">
        <v>1566</v>
      </c>
      <c r="B2499" s="38" t="str">
        <f>_xlfn.XLOOKUP(A2499,'Model Modeshare by TAZ'!A:A,'Model Modeshare by TAZ'!B:B)</f>
        <v>San Carlos</v>
      </c>
      <c r="C2499" s="38" t="str">
        <f>_xlfn.XLOOKUP(A2499,'Model Modeshare by TAZ'!A:A,'Model Modeshare by TAZ'!D:D)</f>
        <v>YES</v>
      </c>
      <c r="D2499" s="6">
        <v>2</v>
      </c>
      <c r="E2499" s="6">
        <v>551</v>
      </c>
      <c r="F2499" s="6">
        <v>1435</v>
      </c>
      <c r="G2499" s="6">
        <v>1448</v>
      </c>
      <c r="H2499" s="6">
        <v>702</v>
      </c>
      <c r="I2499" s="6">
        <v>258</v>
      </c>
      <c r="J2499" s="6">
        <v>293</v>
      </c>
      <c r="K2499" s="40">
        <v>52</v>
      </c>
      <c r="L2499" s="40">
        <v>9</v>
      </c>
      <c r="M2499" s="40">
        <v>894</v>
      </c>
      <c r="N2499" s="40">
        <v>263</v>
      </c>
      <c r="O2499" s="40">
        <v>245</v>
      </c>
      <c r="P2499" s="40">
        <v>194</v>
      </c>
      <c r="Q2499" s="40">
        <v>5</v>
      </c>
      <c r="R2499" s="40">
        <v>187</v>
      </c>
      <c r="S2499" s="40">
        <v>0</v>
      </c>
    </row>
    <row r="2500" spans="1:19" x14ac:dyDescent="0.35">
      <c r="A2500" s="38">
        <v>1567</v>
      </c>
      <c r="B2500" s="38" t="str">
        <f>_xlfn.XLOOKUP(A2500,'Model Modeshare by TAZ'!A:A,'Model Modeshare by TAZ'!B:B)</f>
        <v>San Carlos</v>
      </c>
      <c r="C2500" s="38" t="str">
        <f>_xlfn.XLOOKUP(A2500,'Model Modeshare by TAZ'!A:A,'Model Modeshare by TAZ'!D:D)</f>
        <v>YES</v>
      </c>
      <c r="D2500" s="6">
        <v>2</v>
      </c>
      <c r="E2500" s="6">
        <v>487</v>
      </c>
      <c r="F2500" s="6">
        <v>1391</v>
      </c>
      <c r="G2500" s="6">
        <v>1391</v>
      </c>
      <c r="H2500" s="6">
        <v>813</v>
      </c>
      <c r="I2500" s="6">
        <v>346</v>
      </c>
      <c r="J2500" s="6">
        <v>141</v>
      </c>
      <c r="K2500" s="40">
        <v>79</v>
      </c>
      <c r="L2500" s="40">
        <v>46</v>
      </c>
      <c r="M2500" s="40">
        <v>1304</v>
      </c>
      <c r="N2500" s="40">
        <v>154</v>
      </c>
      <c r="O2500" s="40">
        <v>151</v>
      </c>
      <c r="P2500" s="40">
        <v>503</v>
      </c>
      <c r="Q2500" s="40">
        <v>1</v>
      </c>
      <c r="R2500" s="40">
        <v>365</v>
      </c>
      <c r="S2500" s="40">
        <v>129</v>
      </c>
    </row>
    <row r="2501" spans="1:19" x14ac:dyDescent="0.35">
      <c r="A2501" s="38">
        <v>1568</v>
      </c>
      <c r="B2501" s="38" t="str">
        <f>_xlfn.XLOOKUP(A2501,'Model Modeshare by TAZ'!A:A,'Model Modeshare by TAZ'!B:B)</f>
        <v>Redwood City</v>
      </c>
      <c r="C2501" s="38" t="str">
        <f>_xlfn.XLOOKUP(A2501,'Model Modeshare by TAZ'!A:A,'Model Modeshare by TAZ'!D:D)</f>
        <v>YES</v>
      </c>
      <c r="D2501" s="6">
        <v>2</v>
      </c>
      <c r="E2501" s="6">
        <v>10</v>
      </c>
      <c r="F2501" s="6">
        <v>32</v>
      </c>
      <c r="G2501" s="6">
        <v>32</v>
      </c>
      <c r="H2501" s="6">
        <v>13</v>
      </c>
      <c r="I2501" s="6">
        <v>6</v>
      </c>
      <c r="J2501" s="6">
        <v>3</v>
      </c>
      <c r="K2501" s="40">
        <v>0</v>
      </c>
      <c r="L2501" s="40">
        <v>112</v>
      </c>
      <c r="M2501" s="40">
        <v>7138</v>
      </c>
      <c r="N2501" s="40">
        <v>52</v>
      </c>
      <c r="O2501" s="40">
        <v>6066</v>
      </c>
      <c r="P2501" s="40">
        <v>1020</v>
      </c>
      <c r="Q2501" s="40">
        <v>0</v>
      </c>
      <c r="R2501" s="40">
        <v>0</v>
      </c>
      <c r="S2501" s="40">
        <v>0</v>
      </c>
    </row>
    <row r="2502" spans="1:19" x14ac:dyDescent="0.35">
      <c r="A2502" s="38">
        <v>1569</v>
      </c>
      <c r="B2502" s="38" t="str">
        <f>_xlfn.XLOOKUP(A2502,'Model Modeshare by TAZ'!A:A,'Model Modeshare by TAZ'!B:B)</f>
        <v>Redwood City</v>
      </c>
      <c r="C2502" s="38" t="str">
        <f>_xlfn.XLOOKUP(A2502,'Model Modeshare by TAZ'!A:A,'Model Modeshare by TAZ'!D:D)</f>
        <v>YES</v>
      </c>
      <c r="D2502" s="6">
        <v>2</v>
      </c>
      <c r="E2502" s="6">
        <v>320</v>
      </c>
      <c r="F2502" s="6">
        <v>873</v>
      </c>
      <c r="G2502" s="6">
        <v>878</v>
      </c>
      <c r="H2502" s="6">
        <v>430</v>
      </c>
      <c r="I2502" s="6">
        <v>232</v>
      </c>
      <c r="J2502" s="6">
        <v>89</v>
      </c>
      <c r="K2502" s="40">
        <v>13</v>
      </c>
      <c r="L2502" s="40">
        <v>0</v>
      </c>
      <c r="M2502" s="40">
        <v>33</v>
      </c>
      <c r="N2502" s="40">
        <v>11</v>
      </c>
      <c r="O2502" s="40">
        <v>11</v>
      </c>
      <c r="P2502" s="40">
        <v>6</v>
      </c>
      <c r="Q2502" s="40">
        <v>0</v>
      </c>
      <c r="R2502" s="40">
        <v>0</v>
      </c>
      <c r="S2502" s="40">
        <v>6</v>
      </c>
    </row>
    <row r="2503" spans="1:19" x14ac:dyDescent="0.35">
      <c r="A2503" s="38">
        <v>1570</v>
      </c>
      <c r="B2503" s="38" t="str">
        <f>_xlfn.XLOOKUP(A2503,'Model Modeshare by TAZ'!A:A,'Model Modeshare by TAZ'!B:B)</f>
        <v>Redwood City</v>
      </c>
      <c r="C2503" s="38" t="str">
        <f>_xlfn.XLOOKUP(A2503,'Model Modeshare by TAZ'!A:A,'Model Modeshare by TAZ'!D:D)</f>
        <v>YES</v>
      </c>
      <c r="D2503" s="6">
        <v>2</v>
      </c>
      <c r="E2503" s="6">
        <v>0</v>
      </c>
      <c r="F2503" s="6">
        <v>0</v>
      </c>
      <c r="G2503" s="6">
        <v>0</v>
      </c>
      <c r="H2503" s="6">
        <v>0</v>
      </c>
      <c r="I2503" s="6">
        <v>0</v>
      </c>
      <c r="J2503" s="6">
        <v>0</v>
      </c>
      <c r="K2503" s="40">
        <v>0</v>
      </c>
      <c r="L2503" s="40">
        <v>3</v>
      </c>
      <c r="M2503" s="40">
        <v>6</v>
      </c>
      <c r="N2503" s="40">
        <v>0</v>
      </c>
      <c r="O2503" s="40">
        <v>0</v>
      </c>
      <c r="P2503" s="40">
        <v>0</v>
      </c>
      <c r="Q2503" s="40">
        <v>5</v>
      </c>
      <c r="R2503" s="40">
        <v>1</v>
      </c>
      <c r="S2503" s="40">
        <v>0</v>
      </c>
    </row>
    <row r="2504" spans="1:19" x14ac:dyDescent="0.35">
      <c r="A2504" s="38">
        <v>1571</v>
      </c>
      <c r="B2504" s="38" t="str">
        <f>_xlfn.XLOOKUP(A2504,'Model Modeshare by TAZ'!A:A,'Model Modeshare by TAZ'!B:B)</f>
        <v>Redwood City</v>
      </c>
      <c r="C2504" s="38" t="str">
        <f>_xlfn.XLOOKUP(A2504,'Model Modeshare by TAZ'!A:A,'Model Modeshare by TAZ'!D:D)</f>
        <v>YES</v>
      </c>
      <c r="D2504" s="6">
        <v>2</v>
      </c>
      <c r="E2504" s="6">
        <v>0</v>
      </c>
      <c r="F2504" s="6">
        <v>0</v>
      </c>
      <c r="G2504" s="6">
        <v>0</v>
      </c>
      <c r="H2504" s="6">
        <v>0</v>
      </c>
      <c r="I2504" s="6">
        <v>0</v>
      </c>
      <c r="J2504" s="6">
        <v>0</v>
      </c>
      <c r="K2504" s="40">
        <v>0</v>
      </c>
      <c r="L2504" s="40">
        <v>1</v>
      </c>
      <c r="M2504" s="40">
        <v>200</v>
      </c>
      <c r="N2504" s="40">
        <v>9</v>
      </c>
      <c r="O2504" s="40">
        <v>79</v>
      </c>
      <c r="P2504" s="40">
        <v>108</v>
      </c>
      <c r="Q2504" s="40">
        <v>2</v>
      </c>
      <c r="R2504" s="40">
        <v>3</v>
      </c>
      <c r="S2504" s="40">
        <v>0</v>
      </c>
    </row>
    <row r="2505" spans="1:19" x14ac:dyDescent="0.35">
      <c r="A2505" s="38">
        <v>1572</v>
      </c>
      <c r="B2505" s="38" t="str">
        <f>_xlfn.XLOOKUP(A2505,'Model Modeshare by TAZ'!A:A,'Model Modeshare by TAZ'!B:B)</f>
        <v>Redwood City</v>
      </c>
      <c r="C2505" s="38" t="str">
        <f>_xlfn.XLOOKUP(A2505,'Model Modeshare by TAZ'!A:A,'Model Modeshare by TAZ'!D:D)</f>
        <v>YES</v>
      </c>
      <c r="D2505" s="6">
        <v>2</v>
      </c>
      <c r="E2505" s="6">
        <v>188</v>
      </c>
      <c r="F2505" s="6">
        <v>619</v>
      </c>
      <c r="G2505" s="6">
        <v>774</v>
      </c>
      <c r="H2505" s="6">
        <v>225</v>
      </c>
      <c r="I2505" s="6">
        <v>27</v>
      </c>
      <c r="J2505" s="6">
        <v>160</v>
      </c>
      <c r="K2505" s="40">
        <v>9</v>
      </c>
      <c r="L2505" s="40">
        <v>7</v>
      </c>
      <c r="M2505" s="40">
        <v>278</v>
      </c>
      <c r="N2505" s="40">
        <v>35</v>
      </c>
      <c r="O2505" s="40">
        <v>94</v>
      </c>
      <c r="P2505" s="40">
        <v>95</v>
      </c>
      <c r="Q2505" s="40">
        <v>3</v>
      </c>
      <c r="R2505" s="40">
        <v>41</v>
      </c>
      <c r="S2505" s="40">
        <v>11</v>
      </c>
    </row>
    <row r="2506" spans="1:19" x14ac:dyDescent="0.35">
      <c r="A2506" s="38">
        <v>1573</v>
      </c>
      <c r="B2506" s="38" t="str">
        <f>_xlfn.XLOOKUP(A2506,'Model Modeshare by TAZ'!A:A,'Model Modeshare by TAZ'!B:B)</f>
        <v>Redwood City</v>
      </c>
      <c r="C2506" s="38" t="str">
        <f>_xlfn.XLOOKUP(A2506,'Model Modeshare by TAZ'!A:A,'Model Modeshare by TAZ'!D:D)</f>
        <v>YES</v>
      </c>
      <c r="D2506" s="6">
        <v>2</v>
      </c>
      <c r="E2506" s="6">
        <v>1097</v>
      </c>
      <c r="F2506" s="6">
        <v>2435</v>
      </c>
      <c r="G2506" s="6">
        <v>2483</v>
      </c>
      <c r="H2506" s="6">
        <v>1600</v>
      </c>
      <c r="I2506" s="6">
        <v>566</v>
      </c>
      <c r="J2506" s="6">
        <v>531</v>
      </c>
      <c r="K2506" s="40">
        <v>64</v>
      </c>
      <c r="L2506" s="40">
        <v>7</v>
      </c>
      <c r="M2506" s="40">
        <v>177</v>
      </c>
      <c r="N2506" s="40">
        <v>91</v>
      </c>
      <c r="O2506" s="40">
        <v>26</v>
      </c>
      <c r="P2506" s="40">
        <v>60</v>
      </c>
      <c r="Q2506" s="40">
        <v>0</v>
      </c>
      <c r="R2506" s="40">
        <v>0</v>
      </c>
      <c r="S2506" s="40">
        <v>0</v>
      </c>
    </row>
    <row r="2507" spans="1:19" x14ac:dyDescent="0.35">
      <c r="A2507" s="38">
        <v>1574</v>
      </c>
      <c r="B2507" s="38" t="str">
        <f>_xlfn.XLOOKUP(A2507,'Model Modeshare by TAZ'!A:A,'Model Modeshare by TAZ'!B:B)</f>
        <v>Redwood City</v>
      </c>
      <c r="C2507" s="38" t="str">
        <f>_xlfn.XLOOKUP(A2507,'Model Modeshare by TAZ'!A:A,'Model Modeshare by TAZ'!D:D)</f>
        <v>YES</v>
      </c>
      <c r="D2507" s="6">
        <v>2</v>
      </c>
      <c r="E2507" s="6">
        <v>368</v>
      </c>
      <c r="F2507" s="6">
        <v>1036</v>
      </c>
      <c r="G2507" s="6">
        <v>1045</v>
      </c>
      <c r="H2507" s="6">
        <v>576</v>
      </c>
      <c r="I2507" s="6">
        <v>272</v>
      </c>
      <c r="J2507" s="6">
        <v>97</v>
      </c>
      <c r="K2507" s="40">
        <v>24</v>
      </c>
      <c r="L2507" s="40">
        <v>7</v>
      </c>
      <c r="M2507" s="40">
        <v>236</v>
      </c>
      <c r="N2507" s="40">
        <v>0</v>
      </c>
      <c r="O2507" s="40">
        <v>177</v>
      </c>
      <c r="P2507" s="40">
        <v>6</v>
      </c>
      <c r="Q2507" s="40">
        <v>18</v>
      </c>
      <c r="R2507" s="40">
        <v>10</v>
      </c>
      <c r="S2507" s="40">
        <v>26</v>
      </c>
    </row>
    <row r="2508" spans="1:19" x14ac:dyDescent="0.35">
      <c r="A2508" s="38">
        <v>1575</v>
      </c>
      <c r="B2508" s="38" t="str">
        <f>_xlfn.XLOOKUP(A2508,'Model Modeshare by TAZ'!A:A,'Model Modeshare by TAZ'!B:B)</f>
        <v>Redwood City</v>
      </c>
      <c r="C2508" s="38" t="str">
        <f>_xlfn.XLOOKUP(A2508,'Model Modeshare by TAZ'!A:A,'Model Modeshare by TAZ'!D:D)</f>
        <v>YES</v>
      </c>
      <c r="D2508" s="6">
        <v>2</v>
      </c>
      <c r="E2508" s="6">
        <v>1171</v>
      </c>
      <c r="F2508" s="6">
        <v>3300</v>
      </c>
      <c r="G2508" s="6">
        <v>3300</v>
      </c>
      <c r="H2508" s="6">
        <v>1990</v>
      </c>
      <c r="I2508" s="6">
        <v>587</v>
      </c>
      <c r="J2508" s="6">
        <v>585</v>
      </c>
      <c r="K2508" s="40">
        <v>82</v>
      </c>
      <c r="L2508" s="40">
        <v>9</v>
      </c>
      <c r="M2508" s="40">
        <v>187</v>
      </c>
      <c r="N2508" s="40">
        <v>16</v>
      </c>
      <c r="O2508" s="40">
        <v>149</v>
      </c>
      <c r="P2508" s="40">
        <v>19</v>
      </c>
      <c r="Q2508" s="40">
        <v>3</v>
      </c>
      <c r="R2508" s="40">
        <v>1</v>
      </c>
      <c r="S2508" s="40">
        <v>0</v>
      </c>
    </row>
    <row r="2509" spans="1:19" x14ac:dyDescent="0.35">
      <c r="A2509" s="38">
        <v>1576</v>
      </c>
      <c r="B2509" s="38" t="str">
        <f>_xlfn.XLOOKUP(A2509,'Model Modeshare by TAZ'!A:A,'Model Modeshare by TAZ'!B:B)</f>
        <v>Redwood City</v>
      </c>
      <c r="C2509" s="38" t="str">
        <f>_xlfn.XLOOKUP(A2509,'Model Modeshare by TAZ'!A:A,'Model Modeshare by TAZ'!D:D)</f>
        <v>YES</v>
      </c>
      <c r="D2509" s="6">
        <v>2</v>
      </c>
      <c r="E2509" s="6">
        <v>113</v>
      </c>
      <c r="F2509" s="6">
        <v>389</v>
      </c>
      <c r="G2509" s="6">
        <v>389</v>
      </c>
      <c r="H2509" s="6">
        <v>204</v>
      </c>
      <c r="I2509" s="6">
        <v>30</v>
      </c>
      <c r="J2509" s="6">
        <v>82</v>
      </c>
      <c r="K2509" s="40">
        <v>2</v>
      </c>
      <c r="L2509" s="40">
        <v>3</v>
      </c>
      <c r="M2509" s="40">
        <v>116</v>
      </c>
      <c r="N2509" s="40">
        <v>25</v>
      </c>
      <c r="O2509" s="40">
        <v>46</v>
      </c>
      <c r="P2509" s="40">
        <v>42</v>
      </c>
      <c r="Q2509" s="40">
        <v>1</v>
      </c>
      <c r="R2509" s="40">
        <v>2</v>
      </c>
      <c r="S2509" s="40">
        <v>0</v>
      </c>
    </row>
    <row r="2510" spans="1:19" x14ac:dyDescent="0.35">
      <c r="A2510" s="38">
        <v>1577</v>
      </c>
      <c r="B2510" s="38" t="str">
        <f>_xlfn.XLOOKUP(A2510,'Model Modeshare by TAZ'!A:A,'Model Modeshare by TAZ'!B:B)</f>
        <v>Menlo Park</v>
      </c>
      <c r="C2510" s="38" t="str">
        <f>_xlfn.XLOOKUP(A2510,'Model Modeshare by TAZ'!A:A,'Model Modeshare by TAZ'!D:D)</f>
        <v>YES</v>
      </c>
      <c r="D2510" s="6">
        <v>2</v>
      </c>
      <c r="E2510" s="6">
        <v>0</v>
      </c>
      <c r="F2510" s="6">
        <v>0</v>
      </c>
      <c r="G2510" s="6">
        <v>0</v>
      </c>
      <c r="H2510" s="6">
        <v>0</v>
      </c>
      <c r="I2510" s="6">
        <v>0</v>
      </c>
      <c r="J2510" s="6">
        <v>0</v>
      </c>
      <c r="K2510" s="40">
        <v>0</v>
      </c>
      <c r="L2510" s="40">
        <v>4</v>
      </c>
      <c r="M2510" s="40">
        <v>37</v>
      </c>
      <c r="N2510" s="40">
        <v>1</v>
      </c>
      <c r="O2510" s="40">
        <v>10</v>
      </c>
      <c r="P2510" s="40">
        <v>7</v>
      </c>
      <c r="Q2510" s="40">
        <v>7</v>
      </c>
      <c r="R2510" s="40">
        <v>5</v>
      </c>
      <c r="S2510" s="40">
        <v>7</v>
      </c>
    </row>
    <row r="2511" spans="1:19" x14ac:dyDescent="0.35">
      <c r="A2511" s="38">
        <v>1578</v>
      </c>
      <c r="B2511" s="38" t="str">
        <f>_xlfn.XLOOKUP(A2511,'Model Modeshare by TAZ'!A:A,'Model Modeshare by TAZ'!B:B)</f>
        <v>Menlo Park</v>
      </c>
      <c r="C2511" s="38" t="str">
        <f>_xlfn.XLOOKUP(A2511,'Model Modeshare by TAZ'!A:A,'Model Modeshare by TAZ'!D:D)</f>
        <v>YES</v>
      </c>
      <c r="D2511" s="6">
        <v>2</v>
      </c>
      <c r="E2511" s="6">
        <v>0</v>
      </c>
      <c r="F2511" s="6">
        <v>0</v>
      </c>
      <c r="G2511" s="6">
        <v>0</v>
      </c>
      <c r="H2511" s="6">
        <v>0</v>
      </c>
      <c r="I2511" s="6">
        <v>0</v>
      </c>
      <c r="J2511" s="6">
        <v>0</v>
      </c>
      <c r="K2511" s="40">
        <v>0</v>
      </c>
      <c r="L2511" s="40">
        <v>0</v>
      </c>
      <c r="M2511" s="40">
        <v>1</v>
      </c>
      <c r="N2511" s="40">
        <v>0</v>
      </c>
      <c r="O2511" s="40">
        <v>0</v>
      </c>
      <c r="P2511" s="40">
        <v>0</v>
      </c>
      <c r="Q2511" s="40">
        <v>1</v>
      </c>
      <c r="R2511" s="40">
        <v>0</v>
      </c>
      <c r="S2511" s="40">
        <v>0</v>
      </c>
    </row>
    <row r="2512" spans="1:19" x14ac:dyDescent="0.35">
      <c r="A2512" s="38">
        <v>1579</v>
      </c>
      <c r="B2512" s="38" t="str">
        <f>_xlfn.XLOOKUP(A2512,'Model Modeshare by TAZ'!A:A,'Model Modeshare by TAZ'!B:B)</f>
        <v>East Palo Alto</v>
      </c>
      <c r="C2512" s="38" t="str">
        <f>_xlfn.XLOOKUP(A2512,'Model Modeshare by TAZ'!A:A,'Model Modeshare by TAZ'!D:D)</f>
        <v>YES</v>
      </c>
      <c r="D2512" s="6">
        <v>2</v>
      </c>
      <c r="E2512" s="6">
        <v>708</v>
      </c>
      <c r="F2512" s="6">
        <v>2389</v>
      </c>
      <c r="G2512" s="6">
        <v>2403</v>
      </c>
      <c r="H2512" s="6">
        <v>1402</v>
      </c>
      <c r="I2512" s="6">
        <v>560</v>
      </c>
      <c r="J2512" s="6">
        <v>148</v>
      </c>
      <c r="K2512" s="40">
        <v>86</v>
      </c>
      <c r="L2512" s="40">
        <v>32</v>
      </c>
      <c r="M2512" s="40">
        <v>1057</v>
      </c>
      <c r="N2512" s="40">
        <v>806</v>
      </c>
      <c r="O2512" s="40">
        <v>244</v>
      </c>
      <c r="P2512" s="40">
        <v>0</v>
      </c>
      <c r="Q2512" s="40">
        <v>2</v>
      </c>
      <c r="R2512" s="40">
        <v>0</v>
      </c>
      <c r="S2512" s="40">
        <v>5</v>
      </c>
    </row>
    <row r="2513" spans="1:19" x14ac:dyDescent="0.35">
      <c r="A2513" s="38">
        <v>1580</v>
      </c>
      <c r="B2513" s="38" t="str">
        <f>_xlfn.XLOOKUP(A2513,'Model Modeshare by TAZ'!A:A,'Model Modeshare by TAZ'!B:B)</f>
        <v>East Palo Alto</v>
      </c>
      <c r="C2513" s="38" t="str">
        <f>_xlfn.XLOOKUP(A2513,'Model Modeshare by TAZ'!A:A,'Model Modeshare by TAZ'!D:D)</f>
        <v>YES</v>
      </c>
      <c r="D2513" s="6">
        <v>2</v>
      </c>
      <c r="E2513" s="6">
        <v>783</v>
      </c>
      <c r="F2513" s="6">
        <v>3947</v>
      </c>
      <c r="G2513" s="6">
        <v>4057</v>
      </c>
      <c r="H2513" s="6">
        <v>1831</v>
      </c>
      <c r="I2513" s="6">
        <v>636</v>
      </c>
      <c r="J2513" s="6">
        <v>147</v>
      </c>
      <c r="K2513" s="40">
        <v>84</v>
      </c>
      <c r="L2513" s="40">
        <v>12</v>
      </c>
      <c r="M2513" s="40">
        <v>505</v>
      </c>
      <c r="N2513" s="40">
        <v>65</v>
      </c>
      <c r="O2513" s="40">
        <v>409</v>
      </c>
      <c r="P2513" s="40">
        <v>9</v>
      </c>
      <c r="Q2513" s="40">
        <v>0</v>
      </c>
      <c r="R2513" s="40">
        <v>21</v>
      </c>
      <c r="S2513" s="40">
        <v>1</v>
      </c>
    </row>
    <row r="2514" spans="1:19" x14ac:dyDescent="0.35">
      <c r="A2514" s="38">
        <v>1581</v>
      </c>
      <c r="B2514" s="38" t="str">
        <f>_xlfn.XLOOKUP(A2514,'Model Modeshare by TAZ'!A:A,'Model Modeshare by TAZ'!B:B)</f>
        <v>Menlo Park</v>
      </c>
      <c r="C2514" s="38" t="str">
        <f>_xlfn.XLOOKUP(A2514,'Model Modeshare by TAZ'!A:A,'Model Modeshare by TAZ'!D:D)</f>
        <v>YES</v>
      </c>
      <c r="D2514" s="6">
        <v>2</v>
      </c>
      <c r="E2514" s="6">
        <v>402</v>
      </c>
      <c r="F2514" s="6">
        <v>1237</v>
      </c>
      <c r="G2514" s="6">
        <v>1243</v>
      </c>
      <c r="H2514" s="6">
        <v>635</v>
      </c>
      <c r="I2514" s="6">
        <v>274</v>
      </c>
      <c r="J2514" s="6">
        <v>128</v>
      </c>
      <c r="K2514" s="40">
        <v>50</v>
      </c>
      <c r="L2514" s="40">
        <v>15</v>
      </c>
      <c r="M2514" s="40">
        <v>253</v>
      </c>
      <c r="N2514" s="40">
        <v>35</v>
      </c>
      <c r="O2514" s="40">
        <v>150</v>
      </c>
      <c r="P2514" s="40">
        <v>56</v>
      </c>
      <c r="Q2514" s="40">
        <v>0</v>
      </c>
      <c r="R2514" s="40">
        <v>12</v>
      </c>
      <c r="S2514" s="40">
        <v>0</v>
      </c>
    </row>
    <row r="2515" spans="1:19" x14ac:dyDescent="0.35">
      <c r="A2515" s="38">
        <v>1582</v>
      </c>
      <c r="B2515" s="38" t="str">
        <f>_xlfn.XLOOKUP(A2515,'Model Modeshare by TAZ'!A:A,'Model Modeshare by TAZ'!B:B)</f>
        <v>Menlo Park</v>
      </c>
      <c r="C2515" s="38" t="str">
        <f>_xlfn.XLOOKUP(A2515,'Model Modeshare by TAZ'!A:A,'Model Modeshare by TAZ'!D:D)</f>
        <v>YES</v>
      </c>
      <c r="D2515" s="6">
        <v>2</v>
      </c>
      <c r="E2515" s="6">
        <v>10</v>
      </c>
      <c r="F2515" s="6">
        <v>34</v>
      </c>
      <c r="G2515" s="6">
        <v>217</v>
      </c>
      <c r="H2515" s="6">
        <v>15</v>
      </c>
      <c r="I2515" s="6">
        <v>10</v>
      </c>
      <c r="J2515" s="6">
        <v>0</v>
      </c>
      <c r="K2515" s="40">
        <v>6</v>
      </c>
      <c r="L2515" s="40">
        <v>92</v>
      </c>
      <c r="M2515" s="40">
        <v>801</v>
      </c>
      <c r="N2515" s="40">
        <v>0</v>
      </c>
      <c r="O2515" s="40">
        <v>750</v>
      </c>
      <c r="P2515" s="40">
        <v>48</v>
      </c>
      <c r="Q2515" s="40">
        <v>0</v>
      </c>
      <c r="R2515" s="40">
        <v>2</v>
      </c>
      <c r="S2515" s="40">
        <v>1</v>
      </c>
    </row>
    <row r="2516" spans="1:19" x14ac:dyDescent="0.35">
      <c r="A2516" s="38">
        <v>1583</v>
      </c>
      <c r="B2516" s="38" t="str">
        <f>_xlfn.XLOOKUP(A2516,'Model Modeshare by TAZ'!A:A,'Model Modeshare by TAZ'!B:B)</f>
        <v>Menlo Park</v>
      </c>
      <c r="C2516" s="38" t="str">
        <f>_xlfn.XLOOKUP(A2516,'Model Modeshare by TAZ'!A:A,'Model Modeshare by TAZ'!D:D)</f>
        <v>YES</v>
      </c>
      <c r="D2516" s="6">
        <v>2</v>
      </c>
      <c r="E2516" s="6">
        <v>313</v>
      </c>
      <c r="F2516" s="6">
        <v>855</v>
      </c>
      <c r="G2516" s="6">
        <v>899</v>
      </c>
      <c r="H2516" s="6">
        <v>417</v>
      </c>
      <c r="I2516" s="6">
        <v>301</v>
      </c>
      <c r="J2516" s="6">
        <v>12</v>
      </c>
      <c r="K2516" s="40">
        <v>53</v>
      </c>
      <c r="L2516" s="40">
        <v>4</v>
      </c>
      <c r="M2516" s="40">
        <v>288</v>
      </c>
      <c r="N2516" s="40">
        <v>80</v>
      </c>
      <c r="O2516" s="40">
        <v>116</v>
      </c>
      <c r="P2516" s="40">
        <v>6</v>
      </c>
      <c r="Q2516" s="40">
        <v>30</v>
      </c>
      <c r="R2516" s="40">
        <v>18</v>
      </c>
      <c r="S2516" s="40">
        <v>39</v>
      </c>
    </row>
    <row r="2517" spans="1:19" x14ac:dyDescent="0.35">
      <c r="A2517" s="38">
        <v>1584</v>
      </c>
      <c r="B2517" s="38" t="str">
        <f>_xlfn.XLOOKUP(A2517,'Model Modeshare by TAZ'!A:A,'Model Modeshare by TAZ'!B:B)</f>
        <v>Atherton</v>
      </c>
      <c r="C2517" s="38" t="str">
        <f>_xlfn.XLOOKUP(A2517,'Model Modeshare by TAZ'!A:A,'Model Modeshare by TAZ'!D:D)</f>
        <v>YES</v>
      </c>
      <c r="D2517" s="6">
        <v>2</v>
      </c>
      <c r="E2517" s="6">
        <v>186</v>
      </c>
      <c r="F2517" s="6">
        <v>522</v>
      </c>
      <c r="G2517" s="6">
        <v>522</v>
      </c>
      <c r="H2517" s="6">
        <v>211</v>
      </c>
      <c r="I2517" s="6">
        <v>186</v>
      </c>
      <c r="J2517" s="6">
        <v>0</v>
      </c>
      <c r="K2517" s="40">
        <v>84</v>
      </c>
      <c r="L2517" s="40">
        <v>7</v>
      </c>
      <c r="M2517" s="40">
        <v>106</v>
      </c>
      <c r="N2517" s="40">
        <v>30</v>
      </c>
      <c r="O2517" s="40">
        <v>66</v>
      </c>
      <c r="P2517" s="40">
        <v>8</v>
      </c>
      <c r="Q2517" s="40">
        <v>0</v>
      </c>
      <c r="R2517" s="40">
        <v>1</v>
      </c>
      <c r="S2517" s="40">
        <v>2</v>
      </c>
    </row>
    <row r="2518" spans="1:19" x14ac:dyDescent="0.35">
      <c r="A2518" s="38">
        <v>1585</v>
      </c>
      <c r="B2518" s="38" t="str">
        <f>_xlfn.XLOOKUP(A2518,'Model Modeshare by TAZ'!A:A,'Model Modeshare by TAZ'!B:B)</f>
        <v>Menlo Park</v>
      </c>
      <c r="C2518" s="38" t="str">
        <f>_xlfn.XLOOKUP(A2518,'Model Modeshare by TAZ'!A:A,'Model Modeshare by TAZ'!D:D)</f>
        <v>YES</v>
      </c>
      <c r="D2518" s="6">
        <v>2</v>
      </c>
      <c r="E2518" s="6">
        <v>1137</v>
      </c>
      <c r="F2518" s="6">
        <v>2460</v>
      </c>
      <c r="G2518" s="6">
        <v>2480</v>
      </c>
      <c r="H2518" s="6">
        <v>1325</v>
      </c>
      <c r="I2518" s="6">
        <v>354</v>
      </c>
      <c r="J2518" s="6">
        <v>782</v>
      </c>
      <c r="K2518" s="40">
        <v>103</v>
      </c>
      <c r="L2518" s="40">
        <v>131</v>
      </c>
      <c r="M2518" s="40">
        <v>5425</v>
      </c>
      <c r="N2518" s="40">
        <v>1344</v>
      </c>
      <c r="O2518" s="40">
        <v>19</v>
      </c>
      <c r="P2518" s="40">
        <v>4039</v>
      </c>
      <c r="Q2518" s="40">
        <v>12</v>
      </c>
      <c r="R2518" s="40">
        <v>0</v>
      </c>
      <c r="S2518" s="40">
        <v>12</v>
      </c>
    </row>
    <row r="2519" spans="1:19" x14ac:dyDescent="0.35">
      <c r="A2519" s="38">
        <v>1586</v>
      </c>
      <c r="B2519" s="38" t="str">
        <f>_xlfn.XLOOKUP(A2519,'Model Modeshare by TAZ'!A:A,'Model Modeshare by TAZ'!B:B)</f>
        <v>Menlo Park</v>
      </c>
      <c r="C2519" s="38" t="str">
        <f>_xlfn.XLOOKUP(A2519,'Model Modeshare by TAZ'!A:A,'Model Modeshare by TAZ'!D:D)</f>
        <v>YES</v>
      </c>
      <c r="D2519" s="6">
        <v>2</v>
      </c>
      <c r="E2519" s="6">
        <v>371</v>
      </c>
      <c r="F2519" s="6">
        <v>964</v>
      </c>
      <c r="G2519" s="6">
        <v>994</v>
      </c>
      <c r="H2519" s="6">
        <v>517</v>
      </c>
      <c r="I2519" s="6">
        <v>123</v>
      </c>
      <c r="J2519" s="6">
        <v>248</v>
      </c>
      <c r="K2519" s="40">
        <v>32</v>
      </c>
      <c r="L2519" s="40">
        <v>2</v>
      </c>
      <c r="M2519" s="40">
        <v>1018</v>
      </c>
      <c r="N2519" s="40">
        <v>81</v>
      </c>
      <c r="O2519" s="40">
        <v>648</v>
      </c>
      <c r="P2519" s="40">
        <v>237</v>
      </c>
      <c r="Q2519" s="40">
        <v>0</v>
      </c>
      <c r="R2519" s="40">
        <v>3</v>
      </c>
      <c r="S2519" s="40">
        <v>49</v>
      </c>
    </row>
    <row r="2520" spans="1:19" x14ac:dyDescent="0.35">
      <c r="A2520" s="38">
        <v>1587</v>
      </c>
      <c r="B2520" s="38" t="str">
        <f>_xlfn.XLOOKUP(A2520,'Model Modeshare by TAZ'!A:A,'Model Modeshare by TAZ'!B:B)</f>
        <v>Atherton</v>
      </c>
      <c r="C2520" s="38" t="str">
        <f>_xlfn.XLOOKUP(A2520,'Model Modeshare by TAZ'!A:A,'Model Modeshare by TAZ'!D:D)</f>
        <v>YES</v>
      </c>
      <c r="D2520" s="6">
        <v>2</v>
      </c>
      <c r="E2520" s="6">
        <v>115</v>
      </c>
      <c r="F2520" s="6">
        <v>319</v>
      </c>
      <c r="G2520" s="6">
        <v>339</v>
      </c>
      <c r="H2520" s="6">
        <v>132</v>
      </c>
      <c r="I2520" s="6">
        <v>114</v>
      </c>
      <c r="J2520" s="6">
        <v>1</v>
      </c>
      <c r="K2520" s="40">
        <v>169</v>
      </c>
      <c r="L2520" s="40">
        <v>45</v>
      </c>
      <c r="M2520" s="40">
        <v>0</v>
      </c>
      <c r="N2520" s="40">
        <v>0</v>
      </c>
      <c r="O2520" s="40">
        <v>0</v>
      </c>
      <c r="P2520" s="40">
        <v>0</v>
      </c>
      <c r="Q2520" s="40">
        <v>0</v>
      </c>
      <c r="R2520" s="40">
        <v>0</v>
      </c>
      <c r="S2520" s="40">
        <v>0</v>
      </c>
    </row>
    <row r="2521" spans="1:19" x14ac:dyDescent="0.35">
      <c r="A2521" s="38">
        <v>1588</v>
      </c>
      <c r="B2521" s="38" t="str">
        <f>_xlfn.XLOOKUP(A2521,'Model Modeshare by TAZ'!A:A,'Model Modeshare by TAZ'!B:B)</f>
        <v>Menlo Park</v>
      </c>
      <c r="C2521" s="38" t="str">
        <f>_xlfn.XLOOKUP(A2521,'Model Modeshare by TAZ'!A:A,'Model Modeshare by TAZ'!D:D)</f>
        <v>YES</v>
      </c>
      <c r="D2521" s="6">
        <v>2</v>
      </c>
      <c r="E2521" s="6">
        <v>761</v>
      </c>
      <c r="F2521" s="6">
        <v>1892</v>
      </c>
      <c r="G2521" s="6">
        <v>1892</v>
      </c>
      <c r="H2521" s="6">
        <v>768</v>
      </c>
      <c r="I2521" s="6">
        <v>418</v>
      </c>
      <c r="J2521" s="6">
        <v>343</v>
      </c>
      <c r="K2521" s="40">
        <v>147</v>
      </c>
      <c r="L2521" s="40">
        <v>104</v>
      </c>
      <c r="M2521" s="40">
        <v>929</v>
      </c>
      <c r="N2521" s="40">
        <v>73</v>
      </c>
      <c r="O2521" s="40">
        <v>762</v>
      </c>
      <c r="P2521" s="40">
        <v>91</v>
      </c>
      <c r="Q2521" s="40">
        <v>4</v>
      </c>
      <c r="R2521" s="40">
        <v>0</v>
      </c>
      <c r="S2521" s="40">
        <v>0</v>
      </c>
    </row>
    <row r="2522" spans="1:19" x14ac:dyDescent="0.35">
      <c r="A2522" s="38">
        <v>1589</v>
      </c>
      <c r="B2522" s="38" t="str">
        <f>_xlfn.XLOOKUP(A2522,'Model Modeshare by TAZ'!A:A,'Model Modeshare by TAZ'!B:B)</f>
        <v>Daly City</v>
      </c>
      <c r="C2522" s="38" t="str">
        <f>_xlfn.XLOOKUP(A2522,'Model Modeshare by TAZ'!A:A,'Model Modeshare by TAZ'!D:D)</f>
        <v>YES</v>
      </c>
      <c r="D2522" s="6">
        <v>2</v>
      </c>
      <c r="E2522" s="6">
        <v>987</v>
      </c>
      <c r="F2522" s="6">
        <v>2487</v>
      </c>
      <c r="G2522" s="6">
        <v>2487</v>
      </c>
      <c r="H2522" s="6">
        <v>1628</v>
      </c>
      <c r="I2522" s="6">
        <v>198</v>
      </c>
      <c r="J2522" s="6">
        <v>789</v>
      </c>
      <c r="K2522" s="40">
        <v>31</v>
      </c>
      <c r="L2522" s="40">
        <v>2</v>
      </c>
      <c r="M2522" s="40">
        <v>51</v>
      </c>
      <c r="N2522" s="40">
        <v>9</v>
      </c>
      <c r="O2522" s="40">
        <v>32</v>
      </c>
      <c r="P2522" s="40">
        <v>9</v>
      </c>
      <c r="Q2522" s="40">
        <v>0</v>
      </c>
      <c r="R2522" s="40">
        <v>0</v>
      </c>
      <c r="S2522" s="40">
        <v>0</v>
      </c>
    </row>
    <row r="2523" spans="1:19" x14ac:dyDescent="0.35">
      <c r="A2523" s="38">
        <v>1590</v>
      </c>
      <c r="B2523" s="38" t="str">
        <f>_xlfn.XLOOKUP(A2523,'Model Modeshare by TAZ'!A:A,'Model Modeshare by TAZ'!B:B)</f>
        <v>Unincorporated</v>
      </c>
      <c r="C2523" s="38" t="str">
        <f>_xlfn.XLOOKUP(A2523,'Model Modeshare by TAZ'!A:A,'Model Modeshare by TAZ'!D:D)</f>
        <v>YES</v>
      </c>
      <c r="D2523" s="6">
        <v>2</v>
      </c>
      <c r="E2523" s="6">
        <v>323</v>
      </c>
      <c r="F2523" s="6">
        <v>896</v>
      </c>
      <c r="G2523" s="6">
        <v>901</v>
      </c>
      <c r="H2523" s="6">
        <v>517</v>
      </c>
      <c r="I2523" s="6">
        <v>83</v>
      </c>
      <c r="J2523" s="6">
        <v>240</v>
      </c>
      <c r="K2523" s="40">
        <v>16</v>
      </c>
      <c r="L2523" s="40">
        <v>26</v>
      </c>
      <c r="M2523" s="40">
        <v>468</v>
      </c>
      <c r="N2523" s="40">
        <v>95</v>
      </c>
      <c r="O2523" s="40">
        <v>280</v>
      </c>
      <c r="P2523" s="40">
        <v>65</v>
      </c>
      <c r="Q2523" s="40">
        <v>5</v>
      </c>
      <c r="R2523" s="40">
        <v>9</v>
      </c>
      <c r="S2523" s="40">
        <v>15</v>
      </c>
    </row>
    <row r="2524" spans="1:19" x14ac:dyDescent="0.35">
      <c r="A2524" s="38">
        <v>1591</v>
      </c>
      <c r="B2524" s="38" t="str">
        <f>_xlfn.XLOOKUP(A2524,'Model Modeshare by TAZ'!A:A,'Model Modeshare by TAZ'!B:B)</f>
        <v>Daly City</v>
      </c>
      <c r="C2524" s="38" t="str">
        <f>_xlfn.XLOOKUP(A2524,'Model Modeshare by TAZ'!A:A,'Model Modeshare by TAZ'!D:D)</f>
        <v>YES</v>
      </c>
      <c r="D2524" s="6">
        <v>2</v>
      </c>
      <c r="E2524" s="6">
        <v>734</v>
      </c>
      <c r="F2524" s="6">
        <v>2553</v>
      </c>
      <c r="G2524" s="6">
        <v>2571</v>
      </c>
      <c r="H2524" s="6">
        <v>1285</v>
      </c>
      <c r="I2524" s="6">
        <v>515</v>
      </c>
      <c r="J2524" s="6">
        <v>220</v>
      </c>
      <c r="K2524" s="40">
        <v>33</v>
      </c>
      <c r="L2524" s="40">
        <v>12</v>
      </c>
      <c r="M2524" s="40">
        <v>404</v>
      </c>
      <c r="N2524" s="40">
        <v>112</v>
      </c>
      <c r="O2524" s="40">
        <v>230</v>
      </c>
      <c r="P2524" s="40">
        <v>46</v>
      </c>
      <c r="Q2524" s="40">
        <v>1</v>
      </c>
      <c r="R2524" s="40">
        <v>10</v>
      </c>
      <c r="S2524" s="40">
        <v>5</v>
      </c>
    </row>
    <row r="2525" spans="1:19" x14ac:dyDescent="0.35">
      <c r="A2525" s="38">
        <v>1592</v>
      </c>
      <c r="B2525" s="38" t="str">
        <f>_xlfn.XLOOKUP(A2525,'Model Modeshare by TAZ'!A:A,'Model Modeshare by TAZ'!B:B)</f>
        <v>Brisbane</v>
      </c>
      <c r="C2525" s="38" t="str">
        <f>_xlfn.XLOOKUP(A2525,'Model Modeshare by TAZ'!A:A,'Model Modeshare by TAZ'!D:D)</f>
        <v>YES</v>
      </c>
      <c r="D2525" s="6">
        <v>2</v>
      </c>
      <c r="E2525" s="6">
        <v>0</v>
      </c>
      <c r="F2525" s="6">
        <v>0</v>
      </c>
      <c r="G2525" s="6">
        <v>0</v>
      </c>
      <c r="H2525" s="6">
        <v>0</v>
      </c>
      <c r="I2525" s="6">
        <v>0</v>
      </c>
      <c r="J2525" s="6">
        <v>0</v>
      </c>
      <c r="K2525" s="40">
        <v>0</v>
      </c>
      <c r="L2525" s="40">
        <v>97</v>
      </c>
      <c r="M2525" s="40">
        <v>2278</v>
      </c>
      <c r="N2525" s="40">
        <v>23</v>
      </c>
      <c r="O2525" s="40">
        <v>748</v>
      </c>
      <c r="P2525" s="40">
        <v>287</v>
      </c>
      <c r="Q2525" s="40">
        <v>6</v>
      </c>
      <c r="R2525" s="40">
        <v>902</v>
      </c>
      <c r="S2525" s="40">
        <v>312</v>
      </c>
    </row>
    <row r="2526" spans="1:19" x14ac:dyDescent="0.35">
      <c r="A2526" s="38">
        <v>1593</v>
      </c>
      <c r="B2526" s="38" t="str">
        <f>_xlfn.XLOOKUP(A2526,'Model Modeshare by TAZ'!A:A,'Model Modeshare by TAZ'!B:B)</f>
        <v>Unincorporated</v>
      </c>
      <c r="C2526" s="38" t="str">
        <f>_xlfn.XLOOKUP(A2526,'Model Modeshare by TAZ'!A:A,'Model Modeshare by TAZ'!D:D)</f>
        <v>YES</v>
      </c>
      <c r="D2526" s="6">
        <v>2</v>
      </c>
      <c r="E2526" s="6">
        <v>0</v>
      </c>
      <c r="F2526" s="6">
        <v>0</v>
      </c>
      <c r="G2526" s="6">
        <v>0</v>
      </c>
      <c r="H2526" s="6">
        <v>0</v>
      </c>
      <c r="I2526" s="6">
        <v>0</v>
      </c>
      <c r="J2526" s="6">
        <v>0</v>
      </c>
      <c r="K2526" s="40">
        <v>0</v>
      </c>
      <c r="L2526" s="40">
        <v>2</v>
      </c>
      <c r="M2526" s="40">
        <v>8</v>
      </c>
      <c r="N2526" s="40">
        <v>0</v>
      </c>
      <c r="O2526" s="40">
        <v>2</v>
      </c>
      <c r="P2526" s="40">
        <v>3</v>
      </c>
      <c r="Q2526" s="40">
        <v>2</v>
      </c>
      <c r="R2526" s="40">
        <v>0</v>
      </c>
      <c r="S2526" s="40">
        <v>0</v>
      </c>
    </row>
    <row r="2527" spans="1:19" x14ac:dyDescent="0.35">
      <c r="A2527" s="38">
        <v>1594</v>
      </c>
      <c r="B2527" s="38" t="str">
        <f>_xlfn.XLOOKUP(A2527,'Model Modeshare by TAZ'!A:A,'Model Modeshare by TAZ'!B:B)</f>
        <v>South San Francisco</v>
      </c>
      <c r="C2527" s="38" t="str">
        <f>_xlfn.XLOOKUP(A2527,'Model Modeshare by TAZ'!A:A,'Model Modeshare by TAZ'!D:D)</f>
        <v>YES</v>
      </c>
      <c r="D2527" s="6">
        <v>2</v>
      </c>
      <c r="E2527" s="6">
        <v>1212</v>
      </c>
      <c r="F2527" s="6">
        <v>3597</v>
      </c>
      <c r="G2527" s="6">
        <v>3604</v>
      </c>
      <c r="H2527" s="6">
        <v>2062</v>
      </c>
      <c r="I2527" s="6">
        <v>477</v>
      </c>
      <c r="J2527" s="6">
        <v>735</v>
      </c>
      <c r="K2527" s="40">
        <v>62</v>
      </c>
      <c r="L2527" s="40">
        <v>5</v>
      </c>
      <c r="M2527" s="40">
        <v>275</v>
      </c>
      <c r="N2527" s="40">
        <v>9</v>
      </c>
      <c r="O2527" s="40">
        <v>47</v>
      </c>
      <c r="P2527" s="40">
        <v>8</v>
      </c>
      <c r="Q2527" s="40">
        <v>1</v>
      </c>
      <c r="R2527" s="40">
        <v>197</v>
      </c>
      <c r="S2527" s="40">
        <v>15</v>
      </c>
    </row>
    <row r="2528" spans="1:19" x14ac:dyDescent="0.35">
      <c r="A2528" s="38">
        <v>1595</v>
      </c>
      <c r="B2528" s="38" t="str">
        <f>_xlfn.XLOOKUP(A2528,'Model Modeshare by TAZ'!A:A,'Model Modeshare by TAZ'!B:B)</f>
        <v>South San Francisco</v>
      </c>
      <c r="C2528" s="38" t="str">
        <f>_xlfn.XLOOKUP(A2528,'Model Modeshare by TAZ'!A:A,'Model Modeshare by TAZ'!D:D)</f>
        <v>YES</v>
      </c>
      <c r="D2528" s="6">
        <v>2</v>
      </c>
      <c r="E2528" s="6">
        <v>0</v>
      </c>
      <c r="F2528" s="6">
        <v>0</v>
      </c>
      <c r="G2528" s="6">
        <v>0</v>
      </c>
      <c r="H2528" s="6">
        <v>0</v>
      </c>
      <c r="I2528" s="6">
        <v>0</v>
      </c>
      <c r="J2528" s="6">
        <v>0</v>
      </c>
      <c r="K2528" s="40">
        <v>0</v>
      </c>
      <c r="L2528" s="40">
        <v>2</v>
      </c>
      <c r="M2528" s="40">
        <v>450</v>
      </c>
      <c r="N2528" s="40">
        <v>60</v>
      </c>
      <c r="O2528" s="40">
        <v>336</v>
      </c>
      <c r="P2528" s="40">
        <v>50</v>
      </c>
      <c r="Q2528" s="40">
        <v>2</v>
      </c>
      <c r="R2528" s="40">
        <v>1</v>
      </c>
      <c r="S2528" s="40">
        <v>1</v>
      </c>
    </row>
    <row r="2529" spans="1:19" x14ac:dyDescent="0.35">
      <c r="A2529" s="38">
        <v>1596</v>
      </c>
      <c r="B2529" s="38" t="str">
        <f>_xlfn.XLOOKUP(A2529,'Model Modeshare by TAZ'!A:A,'Model Modeshare by TAZ'!B:B)</f>
        <v>South San Francisco</v>
      </c>
      <c r="C2529" s="38" t="str">
        <f>_xlfn.XLOOKUP(A2529,'Model Modeshare by TAZ'!A:A,'Model Modeshare by TAZ'!D:D)</f>
        <v>YES</v>
      </c>
      <c r="D2529" s="6">
        <v>2</v>
      </c>
      <c r="E2529" s="6">
        <v>367</v>
      </c>
      <c r="F2529" s="6">
        <v>1108</v>
      </c>
      <c r="G2529" s="6">
        <v>1108</v>
      </c>
      <c r="H2529" s="6">
        <v>525</v>
      </c>
      <c r="I2529" s="6">
        <v>95</v>
      </c>
      <c r="J2529" s="6">
        <v>272</v>
      </c>
      <c r="K2529" s="40">
        <v>91</v>
      </c>
      <c r="L2529" s="40">
        <v>9</v>
      </c>
      <c r="M2529" s="40">
        <v>478</v>
      </c>
      <c r="N2529" s="40">
        <v>71</v>
      </c>
      <c r="O2529" s="40">
        <v>341</v>
      </c>
      <c r="P2529" s="40">
        <v>59</v>
      </c>
      <c r="Q2529" s="40">
        <v>5</v>
      </c>
      <c r="R2529" s="40">
        <v>2</v>
      </c>
      <c r="S2529" s="40">
        <v>2</v>
      </c>
    </row>
    <row r="2530" spans="1:19" x14ac:dyDescent="0.35">
      <c r="A2530" s="38">
        <v>1597</v>
      </c>
      <c r="B2530" s="38" t="str">
        <f>_xlfn.XLOOKUP(A2530,'Model Modeshare by TAZ'!A:A,'Model Modeshare by TAZ'!B:B)</f>
        <v>Pacifica</v>
      </c>
      <c r="C2530" s="38" t="str">
        <f>_xlfn.XLOOKUP(A2530,'Model Modeshare by TAZ'!A:A,'Model Modeshare by TAZ'!D:D)</f>
        <v>YES</v>
      </c>
      <c r="D2530" s="6">
        <v>2</v>
      </c>
      <c r="E2530" s="6">
        <v>542</v>
      </c>
      <c r="F2530" s="6">
        <v>1169</v>
      </c>
      <c r="G2530" s="6">
        <v>1193</v>
      </c>
      <c r="H2530" s="6">
        <v>711</v>
      </c>
      <c r="I2530" s="6">
        <v>322</v>
      </c>
      <c r="J2530" s="6">
        <v>220</v>
      </c>
      <c r="K2530" s="40">
        <v>57</v>
      </c>
      <c r="L2530" s="40">
        <v>17</v>
      </c>
      <c r="M2530" s="40">
        <v>565</v>
      </c>
      <c r="N2530" s="40">
        <v>170</v>
      </c>
      <c r="O2530" s="40">
        <v>189</v>
      </c>
      <c r="P2530" s="40">
        <v>162</v>
      </c>
      <c r="Q2530" s="40">
        <v>0</v>
      </c>
      <c r="R2530" s="40">
        <v>44</v>
      </c>
      <c r="S2530" s="40">
        <v>1</v>
      </c>
    </row>
    <row r="2531" spans="1:19" x14ac:dyDescent="0.35">
      <c r="A2531" s="38">
        <v>1598</v>
      </c>
      <c r="B2531" s="38" t="str">
        <f>_xlfn.XLOOKUP(A2531,'Model Modeshare by TAZ'!A:A,'Model Modeshare by TAZ'!B:B)</f>
        <v>San Bruno</v>
      </c>
      <c r="C2531" s="38" t="str">
        <f>_xlfn.XLOOKUP(A2531,'Model Modeshare by TAZ'!A:A,'Model Modeshare by TAZ'!D:D)</f>
        <v>YES</v>
      </c>
      <c r="D2531" s="6">
        <v>2</v>
      </c>
      <c r="E2531" s="6">
        <v>490</v>
      </c>
      <c r="F2531" s="6">
        <v>1653</v>
      </c>
      <c r="G2531" s="6">
        <v>1669</v>
      </c>
      <c r="H2531" s="6">
        <v>929</v>
      </c>
      <c r="I2531" s="6">
        <v>382</v>
      </c>
      <c r="J2531" s="6">
        <v>108</v>
      </c>
      <c r="K2531" s="40">
        <v>81</v>
      </c>
      <c r="L2531" s="40">
        <v>46</v>
      </c>
      <c r="M2531" s="40">
        <v>99</v>
      </c>
      <c r="N2531" s="40">
        <v>0</v>
      </c>
      <c r="O2531" s="40">
        <v>88</v>
      </c>
      <c r="P2531" s="40">
        <v>11</v>
      </c>
      <c r="Q2531" s="40">
        <v>0</v>
      </c>
      <c r="R2531" s="40">
        <v>0</v>
      </c>
      <c r="S2531" s="40">
        <v>0</v>
      </c>
    </row>
    <row r="2532" spans="1:19" x14ac:dyDescent="0.35">
      <c r="A2532" s="38">
        <v>1599</v>
      </c>
      <c r="B2532" s="38" t="str">
        <f>_xlfn.XLOOKUP(A2532,'Model Modeshare by TAZ'!A:A,'Model Modeshare by TAZ'!B:B)</f>
        <v>San Bruno</v>
      </c>
      <c r="C2532" s="38" t="str">
        <f>_xlfn.XLOOKUP(A2532,'Model Modeshare by TAZ'!A:A,'Model Modeshare by TAZ'!D:D)</f>
        <v>YES</v>
      </c>
      <c r="D2532" s="6">
        <v>2</v>
      </c>
      <c r="E2532" s="6">
        <v>618</v>
      </c>
      <c r="F2532" s="6">
        <v>1150</v>
      </c>
      <c r="G2532" s="6">
        <v>1150</v>
      </c>
      <c r="H2532" s="6">
        <v>752</v>
      </c>
      <c r="I2532" s="6">
        <v>61</v>
      </c>
      <c r="J2532" s="6">
        <v>557</v>
      </c>
      <c r="K2532" s="40">
        <v>5</v>
      </c>
      <c r="L2532" s="40">
        <v>23</v>
      </c>
      <c r="M2532" s="40">
        <v>844</v>
      </c>
      <c r="N2532" s="40">
        <v>248</v>
      </c>
      <c r="O2532" s="40">
        <v>438</v>
      </c>
      <c r="P2532" s="40">
        <v>138</v>
      </c>
      <c r="Q2532" s="40">
        <v>1</v>
      </c>
      <c r="R2532" s="40">
        <v>18</v>
      </c>
      <c r="S2532" s="40">
        <v>2</v>
      </c>
    </row>
    <row r="2533" spans="1:19" x14ac:dyDescent="0.35">
      <c r="A2533" s="38">
        <v>1600</v>
      </c>
      <c r="B2533" s="38" t="str">
        <f>_xlfn.XLOOKUP(A2533,'Model Modeshare by TAZ'!A:A,'Model Modeshare by TAZ'!B:B)</f>
        <v>San Bruno</v>
      </c>
      <c r="C2533" s="38" t="str">
        <f>_xlfn.XLOOKUP(A2533,'Model Modeshare by TAZ'!A:A,'Model Modeshare by TAZ'!D:D)</f>
        <v>YES</v>
      </c>
      <c r="D2533" s="6">
        <v>2</v>
      </c>
      <c r="E2533" s="6">
        <v>532</v>
      </c>
      <c r="F2533" s="6">
        <v>1639</v>
      </c>
      <c r="G2533" s="6">
        <v>1663</v>
      </c>
      <c r="H2533" s="6">
        <v>1014</v>
      </c>
      <c r="I2533" s="6">
        <v>235</v>
      </c>
      <c r="J2533" s="6">
        <v>298</v>
      </c>
      <c r="K2533" s="40">
        <v>24</v>
      </c>
      <c r="L2533" s="40">
        <v>27</v>
      </c>
      <c r="M2533" s="40">
        <v>1201</v>
      </c>
      <c r="N2533" s="40">
        <v>579</v>
      </c>
      <c r="O2533" s="40">
        <v>288</v>
      </c>
      <c r="P2533" s="40">
        <v>239</v>
      </c>
      <c r="Q2533" s="40">
        <v>1</v>
      </c>
      <c r="R2533" s="40">
        <v>18</v>
      </c>
      <c r="S2533" s="40">
        <v>75</v>
      </c>
    </row>
    <row r="2534" spans="1:19" x14ac:dyDescent="0.35">
      <c r="A2534" s="38">
        <v>1601</v>
      </c>
      <c r="B2534" s="38" t="str">
        <f>_xlfn.XLOOKUP(A2534,'Model Modeshare by TAZ'!A:A,'Model Modeshare by TAZ'!B:B)</f>
        <v>Unincorporated</v>
      </c>
      <c r="C2534" s="38" t="str">
        <f>_xlfn.XLOOKUP(A2534,'Model Modeshare by TAZ'!A:A,'Model Modeshare by TAZ'!D:D)</f>
        <v>YES</v>
      </c>
      <c r="D2534" s="6">
        <v>2</v>
      </c>
      <c r="E2534" s="6">
        <v>0</v>
      </c>
      <c r="F2534" s="6">
        <v>0</v>
      </c>
      <c r="G2534" s="6">
        <v>0</v>
      </c>
      <c r="H2534" s="6">
        <v>0</v>
      </c>
      <c r="I2534" s="6">
        <v>0</v>
      </c>
      <c r="J2534" s="6">
        <v>0</v>
      </c>
      <c r="K2534" s="40">
        <v>0</v>
      </c>
      <c r="L2534" s="40">
        <v>0</v>
      </c>
      <c r="M2534" s="40">
        <v>0</v>
      </c>
      <c r="N2534" s="40">
        <v>0</v>
      </c>
      <c r="O2534" s="40">
        <v>0</v>
      </c>
      <c r="P2534" s="40">
        <v>0</v>
      </c>
      <c r="Q2534" s="40">
        <v>0</v>
      </c>
      <c r="R2534" s="40">
        <v>0</v>
      </c>
      <c r="S2534" s="40">
        <v>0</v>
      </c>
    </row>
    <row r="2535" spans="1:19" x14ac:dyDescent="0.35">
      <c r="A2535" s="38">
        <v>1602</v>
      </c>
      <c r="B2535" s="38" t="str">
        <f>_xlfn.XLOOKUP(A2535,'Model Modeshare by TAZ'!A:A,'Model Modeshare by TAZ'!B:B)</f>
        <v>Unincorporated</v>
      </c>
      <c r="C2535" s="38" t="str">
        <f>_xlfn.XLOOKUP(A2535,'Model Modeshare by TAZ'!A:A,'Model Modeshare by TAZ'!D:D)</f>
        <v>YES</v>
      </c>
      <c r="D2535" s="6">
        <v>2</v>
      </c>
      <c r="E2535" s="6">
        <v>0</v>
      </c>
      <c r="F2535" s="6">
        <v>0</v>
      </c>
      <c r="G2535" s="6">
        <v>0</v>
      </c>
      <c r="H2535" s="6">
        <v>0</v>
      </c>
      <c r="I2535" s="6">
        <v>0</v>
      </c>
      <c r="J2535" s="6">
        <v>0</v>
      </c>
      <c r="K2535" s="40">
        <v>0</v>
      </c>
      <c r="L2535" s="40">
        <v>2</v>
      </c>
      <c r="M2535" s="40">
        <v>0</v>
      </c>
      <c r="N2535" s="40">
        <v>0</v>
      </c>
      <c r="O2535" s="40">
        <v>0</v>
      </c>
      <c r="P2535" s="40">
        <v>0</v>
      </c>
      <c r="Q2535" s="40">
        <v>0</v>
      </c>
      <c r="R2535" s="40">
        <v>0</v>
      </c>
      <c r="S2535" s="40">
        <v>0</v>
      </c>
    </row>
    <row r="2536" spans="1:19" x14ac:dyDescent="0.35">
      <c r="A2536" s="38">
        <v>1603</v>
      </c>
      <c r="B2536" s="38" t="str">
        <f>_xlfn.XLOOKUP(A2536,'Model Modeshare by TAZ'!A:A,'Model Modeshare by TAZ'!B:B)</f>
        <v>Millbrae</v>
      </c>
      <c r="C2536" s="38" t="str">
        <f>_xlfn.XLOOKUP(A2536,'Model Modeshare by TAZ'!A:A,'Model Modeshare by TAZ'!D:D)</f>
        <v>YES</v>
      </c>
      <c r="D2536" s="6">
        <v>2</v>
      </c>
      <c r="E2536" s="6">
        <v>187</v>
      </c>
      <c r="F2536" s="6">
        <v>543</v>
      </c>
      <c r="G2536" s="6">
        <v>565</v>
      </c>
      <c r="H2536" s="6">
        <v>297</v>
      </c>
      <c r="I2536" s="6">
        <v>85</v>
      </c>
      <c r="J2536" s="6">
        <v>103</v>
      </c>
      <c r="K2536" s="40">
        <v>17</v>
      </c>
      <c r="L2536" s="40">
        <v>0</v>
      </c>
      <c r="M2536" s="40">
        <v>6</v>
      </c>
      <c r="N2536" s="40">
        <v>0</v>
      </c>
      <c r="O2536" s="40">
        <v>0</v>
      </c>
      <c r="P2536" s="40">
        <v>0</v>
      </c>
      <c r="Q2536" s="40">
        <v>4</v>
      </c>
      <c r="R2536" s="40">
        <v>2</v>
      </c>
      <c r="S2536" s="40">
        <v>0</v>
      </c>
    </row>
    <row r="2537" spans="1:19" x14ac:dyDescent="0.35">
      <c r="A2537" s="38">
        <v>1604</v>
      </c>
      <c r="B2537" s="38" t="str">
        <f>_xlfn.XLOOKUP(A2537,'Model Modeshare by TAZ'!A:A,'Model Modeshare by TAZ'!B:B)</f>
        <v>Unincorporated</v>
      </c>
      <c r="C2537" s="38" t="str">
        <f>_xlfn.XLOOKUP(A2537,'Model Modeshare by TAZ'!A:A,'Model Modeshare by TAZ'!D:D)</f>
        <v>YES</v>
      </c>
      <c r="D2537" s="6">
        <v>2</v>
      </c>
      <c r="E2537" s="6">
        <v>472</v>
      </c>
      <c r="F2537" s="6">
        <v>1388</v>
      </c>
      <c r="G2537" s="6">
        <v>1446</v>
      </c>
      <c r="H2537" s="6">
        <v>631</v>
      </c>
      <c r="I2537" s="6">
        <v>330</v>
      </c>
      <c r="J2537" s="6">
        <v>142</v>
      </c>
      <c r="K2537" s="40">
        <v>103</v>
      </c>
      <c r="L2537" s="40">
        <v>17</v>
      </c>
      <c r="M2537" s="40">
        <v>126</v>
      </c>
      <c r="N2537" s="40">
        <v>7</v>
      </c>
      <c r="O2537" s="40">
        <v>13</v>
      </c>
      <c r="P2537" s="40">
        <v>25</v>
      </c>
      <c r="Q2537" s="40">
        <v>2</v>
      </c>
      <c r="R2537" s="40">
        <v>27</v>
      </c>
      <c r="S2537" s="40">
        <v>51</v>
      </c>
    </row>
    <row r="2538" spans="1:19" x14ac:dyDescent="0.35">
      <c r="A2538" s="38">
        <v>1605</v>
      </c>
      <c r="B2538" s="38" t="str">
        <f>_xlfn.XLOOKUP(A2538,'Model Modeshare by TAZ'!A:A,'Model Modeshare by TAZ'!B:B)</f>
        <v>Burlingame</v>
      </c>
      <c r="C2538" s="38" t="str">
        <f>_xlfn.XLOOKUP(A2538,'Model Modeshare by TAZ'!A:A,'Model Modeshare by TAZ'!D:D)</f>
        <v>YES</v>
      </c>
      <c r="D2538" s="6">
        <v>2</v>
      </c>
      <c r="E2538" s="6">
        <v>1139</v>
      </c>
      <c r="F2538" s="6">
        <v>2399</v>
      </c>
      <c r="G2538" s="6">
        <v>2399</v>
      </c>
      <c r="H2538" s="6">
        <v>1396</v>
      </c>
      <c r="I2538" s="6">
        <v>498</v>
      </c>
      <c r="J2538" s="6">
        <v>641</v>
      </c>
      <c r="K2538" s="40">
        <v>94</v>
      </c>
      <c r="L2538" s="40">
        <v>17</v>
      </c>
      <c r="M2538" s="40">
        <v>902</v>
      </c>
      <c r="N2538" s="40">
        <v>381</v>
      </c>
      <c r="O2538" s="40">
        <v>279</v>
      </c>
      <c r="P2538" s="40">
        <v>164</v>
      </c>
      <c r="Q2538" s="40">
        <v>1</v>
      </c>
      <c r="R2538" s="40">
        <v>37</v>
      </c>
      <c r="S2538" s="40">
        <v>40</v>
      </c>
    </row>
    <row r="2539" spans="1:19" x14ac:dyDescent="0.35">
      <c r="A2539" s="38">
        <v>1606</v>
      </c>
      <c r="B2539" s="38" t="str">
        <f>_xlfn.XLOOKUP(A2539,'Model Modeshare by TAZ'!A:A,'Model Modeshare by TAZ'!B:B)</f>
        <v>Burlingame</v>
      </c>
      <c r="C2539" s="38" t="str">
        <f>_xlfn.XLOOKUP(A2539,'Model Modeshare by TAZ'!A:A,'Model Modeshare by TAZ'!D:D)</f>
        <v>YES</v>
      </c>
      <c r="D2539" s="6">
        <v>2</v>
      </c>
      <c r="E2539" s="6">
        <v>964</v>
      </c>
      <c r="F2539" s="6">
        <v>2225</v>
      </c>
      <c r="G2539" s="6">
        <v>2225</v>
      </c>
      <c r="H2539" s="6">
        <v>1349</v>
      </c>
      <c r="I2539" s="6">
        <v>530</v>
      </c>
      <c r="J2539" s="6">
        <v>433</v>
      </c>
      <c r="K2539" s="40">
        <v>79</v>
      </c>
      <c r="L2539" s="40">
        <v>16</v>
      </c>
      <c r="M2539" s="40">
        <v>326</v>
      </c>
      <c r="N2539" s="40">
        <v>162</v>
      </c>
      <c r="O2539" s="40">
        <v>38</v>
      </c>
      <c r="P2539" s="40">
        <v>103</v>
      </c>
      <c r="Q2539" s="40">
        <v>15</v>
      </c>
      <c r="R2539" s="40">
        <v>9</v>
      </c>
      <c r="S2539" s="40">
        <v>0</v>
      </c>
    </row>
    <row r="2540" spans="1:19" x14ac:dyDescent="0.35">
      <c r="A2540" s="38">
        <v>1607</v>
      </c>
      <c r="B2540" s="38" t="str">
        <f>_xlfn.XLOOKUP(A2540,'Model Modeshare by TAZ'!A:A,'Model Modeshare by TAZ'!B:B)</f>
        <v>Burlingame</v>
      </c>
      <c r="C2540" s="38" t="str">
        <f>_xlfn.XLOOKUP(A2540,'Model Modeshare by TAZ'!A:A,'Model Modeshare by TAZ'!D:D)</f>
        <v>YES</v>
      </c>
      <c r="D2540" s="6">
        <v>2</v>
      </c>
      <c r="E2540" s="6">
        <v>617</v>
      </c>
      <c r="F2540" s="6">
        <v>1444</v>
      </c>
      <c r="G2540" s="6">
        <v>1449</v>
      </c>
      <c r="H2540" s="6">
        <v>711</v>
      </c>
      <c r="I2540" s="6">
        <v>95</v>
      </c>
      <c r="J2540" s="6">
        <v>522</v>
      </c>
      <c r="K2540" s="40">
        <v>38</v>
      </c>
      <c r="L2540" s="40">
        <v>2</v>
      </c>
      <c r="M2540" s="40">
        <v>293</v>
      </c>
      <c r="N2540" s="40">
        <v>11</v>
      </c>
      <c r="O2540" s="40">
        <v>189</v>
      </c>
      <c r="P2540" s="40">
        <v>72</v>
      </c>
      <c r="Q2540" s="40">
        <v>12</v>
      </c>
      <c r="R2540" s="40">
        <v>9</v>
      </c>
      <c r="S2540" s="40">
        <v>1</v>
      </c>
    </row>
    <row r="2541" spans="1:19" x14ac:dyDescent="0.35">
      <c r="A2541" s="38">
        <v>1608</v>
      </c>
      <c r="B2541" s="38" t="str">
        <f>_xlfn.XLOOKUP(A2541,'Model Modeshare by TAZ'!A:A,'Model Modeshare by TAZ'!B:B)</f>
        <v>Hillsborough</v>
      </c>
      <c r="C2541" s="38" t="str">
        <f>_xlfn.XLOOKUP(A2541,'Model Modeshare by TAZ'!A:A,'Model Modeshare by TAZ'!D:D)</f>
        <v>YES</v>
      </c>
      <c r="D2541" s="6">
        <v>2</v>
      </c>
      <c r="E2541" s="6">
        <v>774</v>
      </c>
      <c r="F2541" s="6">
        <v>2384</v>
      </c>
      <c r="G2541" s="6">
        <v>2384</v>
      </c>
      <c r="H2541" s="6">
        <v>863</v>
      </c>
      <c r="I2541" s="6">
        <v>772</v>
      </c>
      <c r="J2541" s="6">
        <v>2</v>
      </c>
      <c r="K2541" s="40">
        <v>572</v>
      </c>
      <c r="L2541" s="40">
        <v>27</v>
      </c>
      <c r="M2541" s="40">
        <v>152</v>
      </c>
      <c r="N2541" s="40">
        <v>1</v>
      </c>
      <c r="O2541" s="40">
        <v>123</v>
      </c>
      <c r="P2541" s="40">
        <v>20</v>
      </c>
      <c r="Q2541" s="40">
        <v>6</v>
      </c>
      <c r="R2541" s="40">
        <v>2</v>
      </c>
      <c r="S2541" s="40">
        <v>1</v>
      </c>
    </row>
    <row r="2542" spans="1:19" x14ac:dyDescent="0.35">
      <c r="A2542" s="38">
        <v>1609</v>
      </c>
      <c r="B2542" s="38" t="str">
        <f>_xlfn.XLOOKUP(A2542,'Model Modeshare by TAZ'!A:A,'Model Modeshare by TAZ'!B:B)</f>
        <v>Hillsborough</v>
      </c>
      <c r="C2542" s="38" t="str">
        <f>_xlfn.XLOOKUP(A2542,'Model Modeshare by TAZ'!A:A,'Model Modeshare by TAZ'!D:D)</f>
        <v>YES</v>
      </c>
      <c r="D2542" s="6">
        <v>2</v>
      </c>
      <c r="E2542" s="6">
        <v>756</v>
      </c>
      <c r="F2542" s="6">
        <v>2227</v>
      </c>
      <c r="G2542" s="6">
        <v>2231</v>
      </c>
      <c r="H2542" s="6">
        <v>1021</v>
      </c>
      <c r="I2542" s="6">
        <v>752</v>
      </c>
      <c r="J2542" s="6">
        <v>5</v>
      </c>
      <c r="K2542" s="40">
        <v>623</v>
      </c>
      <c r="L2542" s="40">
        <v>10</v>
      </c>
      <c r="M2542" s="40">
        <v>226</v>
      </c>
      <c r="N2542" s="40">
        <v>51</v>
      </c>
      <c r="O2542" s="40">
        <v>69</v>
      </c>
      <c r="P2542" s="40">
        <v>86</v>
      </c>
      <c r="Q2542" s="40">
        <v>3</v>
      </c>
      <c r="R2542" s="40">
        <v>9</v>
      </c>
      <c r="S2542" s="40">
        <v>8</v>
      </c>
    </row>
    <row r="2543" spans="1:19" x14ac:dyDescent="0.35">
      <c r="A2543" s="38">
        <v>1610</v>
      </c>
      <c r="B2543" s="38" t="str">
        <f>_xlfn.XLOOKUP(A2543,'Model Modeshare by TAZ'!A:A,'Model Modeshare by TAZ'!B:B)</f>
        <v>San Mateo</v>
      </c>
      <c r="C2543" s="38" t="str">
        <f>_xlfn.XLOOKUP(A2543,'Model Modeshare by TAZ'!A:A,'Model Modeshare by TAZ'!D:D)</f>
        <v>YES</v>
      </c>
      <c r="D2543" s="6">
        <v>2</v>
      </c>
      <c r="E2543" s="6">
        <v>1002</v>
      </c>
      <c r="F2543" s="6">
        <v>1984</v>
      </c>
      <c r="G2543" s="6">
        <v>1984</v>
      </c>
      <c r="H2543" s="6">
        <v>1089</v>
      </c>
      <c r="I2543" s="6">
        <v>222</v>
      </c>
      <c r="J2543" s="6">
        <v>780</v>
      </c>
      <c r="K2543" s="40">
        <v>54</v>
      </c>
      <c r="L2543" s="40">
        <v>6</v>
      </c>
      <c r="M2543" s="40">
        <v>461</v>
      </c>
      <c r="N2543" s="40">
        <v>97</v>
      </c>
      <c r="O2543" s="40">
        <v>103</v>
      </c>
      <c r="P2543" s="40">
        <v>99</v>
      </c>
      <c r="Q2543" s="40">
        <v>1</v>
      </c>
      <c r="R2543" s="40">
        <v>135</v>
      </c>
      <c r="S2543" s="40">
        <v>26</v>
      </c>
    </row>
    <row r="2544" spans="1:19" x14ac:dyDescent="0.35">
      <c r="A2544" s="38">
        <v>1611</v>
      </c>
      <c r="B2544" s="38" t="str">
        <f>_xlfn.XLOOKUP(A2544,'Model Modeshare by TAZ'!A:A,'Model Modeshare by TAZ'!B:B)</f>
        <v>San Mateo</v>
      </c>
      <c r="C2544" s="38" t="str">
        <f>_xlfn.XLOOKUP(A2544,'Model Modeshare by TAZ'!A:A,'Model Modeshare by TAZ'!D:D)</f>
        <v>YES</v>
      </c>
      <c r="D2544" s="6">
        <v>2</v>
      </c>
      <c r="E2544" s="6">
        <v>1300</v>
      </c>
      <c r="F2544" s="6">
        <v>4229</v>
      </c>
      <c r="G2544" s="6">
        <v>4232</v>
      </c>
      <c r="H2544" s="6">
        <v>2500</v>
      </c>
      <c r="I2544" s="6">
        <v>764</v>
      </c>
      <c r="J2544" s="6">
        <v>536</v>
      </c>
      <c r="K2544" s="40">
        <v>82</v>
      </c>
      <c r="L2544" s="40">
        <v>16</v>
      </c>
      <c r="M2544" s="40">
        <v>789</v>
      </c>
      <c r="N2544" s="40">
        <v>154</v>
      </c>
      <c r="O2544" s="40">
        <v>416</v>
      </c>
      <c r="P2544" s="40">
        <v>126</v>
      </c>
      <c r="Q2544" s="40">
        <v>4</v>
      </c>
      <c r="R2544" s="40">
        <v>35</v>
      </c>
      <c r="S2544" s="40">
        <v>54</v>
      </c>
    </row>
    <row r="2545" spans="1:19" x14ac:dyDescent="0.35">
      <c r="A2545" s="38">
        <v>1612</v>
      </c>
      <c r="B2545" s="38" t="str">
        <f>_xlfn.XLOOKUP(A2545,'Model Modeshare by TAZ'!A:A,'Model Modeshare by TAZ'!B:B)</f>
        <v>Foster City</v>
      </c>
      <c r="C2545" s="38" t="str">
        <f>_xlfn.XLOOKUP(A2545,'Model Modeshare by TAZ'!A:A,'Model Modeshare by TAZ'!D:D)</f>
        <v>YES</v>
      </c>
      <c r="D2545" s="6">
        <v>2</v>
      </c>
      <c r="E2545" s="6">
        <v>834</v>
      </c>
      <c r="F2545" s="6">
        <v>1685</v>
      </c>
      <c r="G2545" s="6">
        <v>1803</v>
      </c>
      <c r="H2545" s="6">
        <v>957</v>
      </c>
      <c r="I2545" s="6">
        <v>0</v>
      </c>
      <c r="J2545" s="6">
        <v>834</v>
      </c>
      <c r="K2545" s="40">
        <v>31</v>
      </c>
      <c r="L2545" s="40">
        <v>18</v>
      </c>
      <c r="M2545" s="40">
        <v>1243</v>
      </c>
      <c r="N2545" s="40">
        <v>12</v>
      </c>
      <c r="O2545" s="40">
        <v>331</v>
      </c>
      <c r="P2545" s="40">
        <v>705</v>
      </c>
      <c r="Q2545" s="40">
        <v>2</v>
      </c>
      <c r="R2545" s="40">
        <v>87</v>
      </c>
      <c r="S2545" s="40">
        <v>106</v>
      </c>
    </row>
    <row r="2546" spans="1:19" x14ac:dyDescent="0.35">
      <c r="A2546" s="38">
        <v>1613</v>
      </c>
      <c r="B2546" s="38" t="str">
        <f>_xlfn.XLOOKUP(A2546,'Model Modeshare by TAZ'!A:A,'Model Modeshare by TAZ'!B:B)</f>
        <v>San Mateo</v>
      </c>
      <c r="C2546" s="38" t="str">
        <f>_xlfn.XLOOKUP(A2546,'Model Modeshare by TAZ'!A:A,'Model Modeshare by TAZ'!D:D)</f>
        <v>YES</v>
      </c>
      <c r="D2546" s="6">
        <v>2</v>
      </c>
      <c r="E2546" s="6">
        <v>4</v>
      </c>
      <c r="F2546" s="6">
        <v>33</v>
      </c>
      <c r="G2546" s="6">
        <v>33</v>
      </c>
      <c r="H2546" s="6">
        <v>6</v>
      </c>
      <c r="I2546" s="6">
        <v>3</v>
      </c>
      <c r="J2546" s="6">
        <v>2</v>
      </c>
      <c r="K2546" s="40">
        <v>0</v>
      </c>
      <c r="L2546" s="40">
        <v>71</v>
      </c>
      <c r="M2546" s="40">
        <v>2515</v>
      </c>
      <c r="N2546" s="40">
        <v>339</v>
      </c>
      <c r="O2546" s="40">
        <v>381</v>
      </c>
      <c r="P2546" s="40">
        <v>1655</v>
      </c>
      <c r="Q2546" s="40">
        <v>6</v>
      </c>
      <c r="R2546" s="40">
        <v>53</v>
      </c>
      <c r="S2546" s="40">
        <v>81</v>
      </c>
    </row>
    <row r="2547" spans="1:19" x14ac:dyDescent="0.35">
      <c r="A2547" s="38">
        <v>1614</v>
      </c>
      <c r="B2547" s="38" t="str">
        <f>_xlfn.XLOOKUP(A2547,'Model Modeshare by TAZ'!A:A,'Model Modeshare by TAZ'!B:B)</f>
        <v>Belmont</v>
      </c>
      <c r="C2547" s="38" t="str">
        <f>_xlfn.XLOOKUP(A2547,'Model Modeshare by TAZ'!A:A,'Model Modeshare by TAZ'!D:D)</f>
        <v>YES</v>
      </c>
      <c r="D2547" s="6">
        <v>2</v>
      </c>
      <c r="E2547" s="6">
        <v>185</v>
      </c>
      <c r="F2547" s="6">
        <v>558</v>
      </c>
      <c r="G2547" s="6">
        <v>686</v>
      </c>
      <c r="H2547" s="6">
        <v>260</v>
      </c>
      <c r="I2547" s="6">
        <v>133</v>
      </c>
      <c r="J2547" s="6">
        <v>52</v>
      </c>
      <c r="K2547" s="40">
        <v>33</v>
      </c>
      <c r="L2547" s="40">
        <v>20</v>
      </c>
      <c r="M2547" s="40">
        <v>388</v>
      </c>
      <c r="N2547" s="40">
        <v>26</v>
      </c>
      <c r="O2547" s="40">
        <v>318</v>
      </c>
      <c r="P2547" s="40">
        <v>40</v>
      </c>
      <c r="Q2547" s="40">
        <v>0</v>
      </c>
      <c r="R2547" s="40">
        <v>2</v>
      </c>
      <c r="S2547" s="40">
        <v>1</v>
      </c>
    </row>
    <row r="2548" spans="1:19" x14ac:dyDescent="0.35">
      <c r="A2548" s="38">
        <v>1615</v>
      </c>
      <c r="B2548" s="38" t="str">
        <f>_xlfn.XLOOKUP(A2548,'Model Modeshare by TAZ'!A:A,'Model Modeshare by TAZ'!B:B)</f>
        <v>Unincorporated</v>
      </c>
      <c r="C2548" s="38" t="str">
        <f>_xlfn.XLOOKUP(A2548,'Model Modeshare by TAZ'!A:A,'Model Modeshare by TAZ'!D:D)</f>
        <v>YES</v>
      </c>
      <c r="D2548" s="6">
        <v>2</v>
      </c>
      <c r="E2548" s="6">
        <v>7</v>
      </c>
      <c r="F2548" s="6">
        <v>24</v>
      </c>
      <c r="G2548" s="6">
        <v>34</v>
      </c>
      <c r="H2548" s="6">
        <v>10</v>
      </c>
      <c r="I2548" s="6">
        <v>6</v>
      </c>
      <c r="J2548" s="6">
        <v>1</v>
      </c>
      <c r="K2548" s="40">
        <v>23</v>
      </c>
      <c r="L2548" s="40">
        <v>5</v>
      </c>
      <c r="M2548" s="40">
        <v>92</v>
      </c>
      <c r="N2548" s="40">
        <v>34</v>
      </c>
      <c r="O2548" s="40">
        <v>22</v>
      </c>
      <c r="P2548" s="40">
        <v>34</v>
      </c>
      <c r="Q2548" s="40">
        <v>0</v>
      </c>
      <c r="R2548" s="40">
        <v>2</v>
      </c>
      <c r="S2548" s="40">
        <v>0</v>
      </c>
    </row>
    <row r="2549" spans="1:19" x14ac:dyDescent="0.35">
      <c r="A2549" s="38">
        <v>1616</v>
      </c>
      <c r="B2549" s="38" t="str">
        <f>_xlfn.XLOOKUP(A2549,'Model Modeshare by TAZ'!A:A,'Model Modeshare by TAZ'!B:B)</f>
        <v>Unincorporated</v>
      </c>
      <c r="C2549" s="38" t="str">
        <f>_xlfn.XLOOKUP(A2549,'Model Modeshare by TAZ'!A:A,'Model Modeshare by TAZ'!D:D)</f>
        <v>YES</v>
      </c>
      <c r="D2549" s="6">
        <v>2</v>
      </c>
      <c r="E2549" s="6">
        <v>1590</v>
      </c>
      <c r="F2549" s="6">
        <v>4371</v>
      </c>
      <c r="G2549" s="6">
        <v>4389</v>
      </c>
      <c r="H2549" s="6">
        <v>2272</v>
      </c>
      <c r="I2549" s="6">
        <v>1432</v>
      </c>
      <c r="J2549" s="6">
        <v>159</v>
      </c>
      <c r="K2549" s="40">
        <v>277</v>
      </c>
      <c r="L2549" s="40">
        <v>180</v>
      </c>
      <c r="M2549" s="40">
        <v>848</v>
      </c>
      <c r="N2549" s="40">
        <v>277</v>
      </c>
      <c r="O2549" s="40">
        <v>209</v>
      </c>
      <c r="P2549" s="40">
        <v>299</v>
      </c>
      <c r="Q2549" s="40">
        <v>42</v>
      </c>
      <c r="R2549" s="40">
        <v>18</v>
      </c>
      <c r="S2549" s="40">
        <v>2</v>
      </c>
    </row>
    <row r="2550" spans="1:19" x14ac:dyDescent="0.35">
      <c r="A2550" s="38">
        <v>1617</v>
      </c>
      <c r="B2550" s="38" t="str">
        <f>_xlfn.XLOOKUP(A2550,'Model Modeshare by TAZ'!A:A,'Model Modeshare by TAZ'!B:B)</f>
        <v>Unincorporated</v>
      </c>
      <c r="C2550" s="38" t="str">
        <f>_xlfn.XLOOKUP(A2550,'Model Modeshare by TAZ'!A:A,'Model Modeshare by TAZ'!D:D)</f>
        <v>YES</v>
      </c>
      <c r="D2550" s="6">
        <v>2</v>
      </c>
      <c r="E2550" s="6">
        <v>95</v>
      </c>
      <c r="F2550" s="6">
        <v>242</v>
      </c>
      <c r="G2550" s="6">
        <v>250</v>
      </c>
      <c r="H2550" s="6">
        <v>134</v>
      </c>
      <c r="I2550" s="6">
        <v>67</v>
      </c>
      <c r="J2550" s="6">
        <v>28</v>
      </c>
      <c r="K2550" s="40">
        <v>269</v>
      </c>
      <c r="L2550" s="40">
        <v>3</v>
      </c>
      <c r="M2550" s="40">
        <v>66</v>
      </c>
      <c r="N2550" s="40">
        <v>8</v>
      </c>
      <c r="O2550" s="40">
        <v>6</v>
      </c>
      <c r="P2550" s="40">
        <v>0</v>
      </c>
      <c r="Q2550" s="40">
        <v>51</v>
      </c>
      <c r="R2550" s="40">
        <v>1</v>
      </c>
      <c r="S2550" s="40">
        <v>0</v>
      </c>
    </row>
    <row r="2551" spans="1:19" x14ac:dyDescent="0.35">
      <c r="A2551" s="38">
        <v>1618</v>
      </c>
      <c r="B2551" s="38" t="str">
        <f>_xlfn.XLOOKUP(A2551,'Model Modeshare by TAZ'!A:A,'Model Modeshare by TAZ'!B:B)</f>
        <v>Unincorporated</v>
      </c>
      <c r="C2551" s="38" t="str">
        <f>_xlfn.XLOOKUP(A2551,'Model Modeshare by TAZ'!A:A,'Model Modeshare by TAZ'!D:D)</f>
        <v>YES</v>
      </c>
      <c r="D2551" s="6">
        <v>2</v>
      </c>
      <c r="E2551" s="6">
        <v>249</v>
      </c>
      <c r="F2551" s="6">
        <v>700</v>
      </c>
      <c r="G2551" s="6">
        <v>716</v>
      </c>
      <c r="H2551" s="6">
        <v>343</v>
      </c>
      <c r="I2551" s="6">
        <v>189</v>
      </c>
      <c r="J2551" s="6">
        <v>60</v>
      </c>
      <c r="K2551" s="40">
        <v>431</v>
      </c>
      <c r="L2551" s="40">
        <v>9</v>
      </c>
      <c r="M2551" s="40">
        <v>113</v>
      </c>
      <c r="N2551" s="40">
        <v>44</v>
      </c>
      <c r="O2551" s="40">
        <v>1</v>
      </c>
      <c r="P2551" s="40">
        <v>63</v>
      </c>
      <c r="Q2551" s="40">
        <v>5</v>
      </c>
      <c r="R2551" s="40">
        <v>0</v>
      </c>
      <c r="S2551" s="40">
        <v>0</v>
      </c>
    </row>
    <row r="2552" spans="1:19" x14ac:dyDescent="0.35">
      <c r="A2552" s="38">
        <v>1619</v>
      </c>
      <c r="B2552" s="38" t="str">
        <f>_xlfn.XLOOKUP(A2552,'Model Modeshare by TAZ'!A:A,'Model Modeshare by TAZ'!B:B)</f>
        <v>Unincorporated</v>
      </c>
      <c r="C2552" s="38" t="str">
        <f>_xlfn.XLOOKUP(A2552,'Model Modeshare by TAZ'!A:A,'Model Modeshare by TAZ'!D:D)</f>
        <v>YES</v>
      </c>
      <c r="D2552" s="6">
        <v>2</v>
      </c>
      <c r="E2552" s="6">
        <v>27</v>
      </c>
      <c r="F2552" s="6">
        <v>76</v>
      </c>
      <c r="G2552" s="6">
        <v>79</v>
      </c>
      <c r="H2552" s="6">
        <v>34</v>
      </c>
      <c r="I2552" s="6">
        <v>24</v>
      </c>
      <c r="J2552" s="6">
        <v>3</v>
      </c>
      <c r="K2552" s="40">
        <v>366</v>
      </c>
      <c r="L2552" s="40">
        <v>71</v>
      </c>
      <c r="M2552" s="40">
        <v>48</v>
      </c>
      <c r="N2552" s="40">
        <v>0</v>
      </c>
      <c r="O2552" s="40">
        <v>35</v>
      </c>
      <c r="P2552" s="40">
        <v>2</v>
      </c>
      <c r="Q2552" s="40">
        <v>11</v>
      </c>
      <c r="R2552" s="40">
        <v>0</v>
      </c>
      <c r="S2552" s="40">
        <v>0</v>
      </c>
    </row>
    <row r="2553" spans="1:19" x14ac:dyDescent="0.35">
      <c r="A2553" s="38">
        <v>1620</v>
      </c>
      <c r="B2553" s="38" t="str">
        <f>_xlfn.XLOOKUP(A2553,'Model Modeshare by TAZ'!A:A,'Model Modeshare by TAZ'!B:B)</f>
        <v>Portola Valley</v>
      </c>
      <c r="C2553" s="38" t="str">
        <f>_xlfn.XLOOKUP(A2553,'Model Modeshare by TAZ'!A:A,'Model Modeshare by TAZ'!D:D)</f>
        <v>YES</v>
      </c>
      <c r="D2553" s="6">
        <v>2</v>
      </c>
      <c r="E2553" s="6">
        <v>668</v>
      </c>
      <c r="F2553" s="6">
        <v>1794</v>
      </c>
      <c r="G2553" s="6">
        <v>1810</v>
      </c>
      <c r="H2553" s="6">
        <v>737</v>
      </c>
      <c r="I2553" s="6">
        <v>611</v>
      </c>
      <c r="J2553" s="6">
        <v>58</v>
      </c>
      <c r="K2553" s="40">
        <v>1132</v>
      </c>
      <c r="L2553" s="40">
        <v>393</v>
      </c>
      <c r="M2553" s="40">
        <v>598</v>
      </c>
      <c r="N2553" s="40">
        <v>31</v>
      </c>
      <c r="O2553" s="40">
        <v>192</v>
      </c>
      <c r="P2553" s="40">
        <v>305</v>
      </c>
      <c r="Q2553" s="40">
        <v>64</v>
      </c>
      <c r="R2553" s="40">
        <v>7</v>
      </c>
      <c r="S2553" s="40">
        <v>0</v>
      </c>
    </row>
    <row r="2554" spans="1:19" x14ac:dyDescent="0.35">
      <c r="A2554" s="38">
        <v>1621</v>
      </c>
      <c r="B2554" s="38" t="str">
        <f>_xlfn.XLOOKUP(A2554,'Model Modeshare by TAZ'!A:A,'Model Modeshare by TAZ'!B:B)</f>
        <v>Woodside</v>
      </c>
      <c r="C2554" s="38" t="str">
        <f>_xlfn.XLOOKUP(A2554,'Model Modeshare by TAZ'!A:A,'Model Modeshare by TAZ'!D:D)</f>
        <v>YES</v>
      </c>
      <c r="D2554" s="6">
        <v>2</v>
      </c>
      <c r="E2554" s="6">
        <v>129</v>
      </c>
      <c r="F2554" s="6">
        <v>373</v>
      </c>
      <c r="G2554" s="6">
        <v>373</v>
      </c>
      <c r="H2554" s="6">
        <v>153</v>
      </c>
      <c r="I2554" s="6">
        <v>127</v>
      </c>
      <c r="J2554" s="6">
        <v>2</v>
      </c>
      <c r="K2554" s="40">
        <v>219</v>
      </c>
      <c r="L2554" s="40">
        <v>2</v>
      </c>
      <c r="M2554" s="40">
        <v>8</v>
      </c>
      <c r="N2554" s="40">
        <v>0</v>
      </c>
      <c r="O2554" s="40">
        <v>0</v>
      </c>
      <c r="P2554" s="40">
        <v>8</v>
      </c>
      <c r="Q2554" s="40">
        <v>0</v>
      </c>
      <c r="R2554" s="40">
        <v>0</v>
      </c>
      <c r="S2554" s="40">
        <v>0</v>
      </c>
    </row>
    <row r="2555" spans="1:19" x14ac:dyDescent="0.35">
      <c r="A2555" s="38">
        <v>1622</v>
      </c>
      <c r="B2555" s="38" t="str">
        <f>_xlfn.XLOOKUP(A2555,'Model Modeshare by TAZ'!A:A,'Model Modeshare by TAZ'!B:B)</f>
        <v>Redwood City</v>
      </c>
      <c r="C2555" s="38" t="str">
        <f>_xlfn.XLOOKUP(A2555,'Model Modeshare by TAZ'!A:A,'Model Modeshare by TAZ'!D:D)</f>
        <v>YES</v>
      </c>
      <c r="D2555" s="6">
        <v>2</v>
      </c>
      <c r="E2555" s="6">
        <v>833</v>
      </c>
      <c r="F2555" s="6">
        <v>2243</v>
      </c>
      <c r="G2555" s="6">
        <v>2266</v>
      </c>
      <c r="H2555" s="6">
        <v>1211</v>
      </c>
      <c r="I2555" s="6">
        <v>747</v>
      </c>
      <c r="J2555" s="6">
        <v>86</v>
      </c>
      <c r="K2555" s="40">
        <v>198</v>
      </c>
      <c r="L2555" s="40">
        <v>18</v>
      </c>
      <c r="M2555" s="40">
        <v>176</v>
      </c>
      <c r="N2555" s="40">
        <v>3</v>
      </c>
      <c r="O2555" s="40">
        <v>42</v>
      </c>
      <c r="P2555" s="40">
        <v>125</v>
      </c>
      <c r="Q2555" s="40">
        <v>0</v>
      </c>
      <c r="R2555" s="40">
        <v>6</v>
      </c>
      <c r="S2555" s="40">
        <v>0</v>
      </c>
    </row>
    <row r="2556" spans="1:19" x14ac:dyDescent="0.35">
      <c r="A2556" s="38">
        <v>1623</v>
      </c>
      <c r="B2556" s="38" t="str">
        <f>_xlfn.XLOOKUP(A2556,'Model Modeshare by TAZ'!A:A,'Model Modeshare by TAZ'!B:B)</f>
        <v>San Carlos</v>
      </c>
      <c r="C2556" s="38" t="str">
        <f>_xlfn.XLOOKUP(A2556,'Model Modeshare by TAZ'!A:A,'Model Modeshare by TAZ'!D:D)</f>
        <v>YES</v>
      </c>
      <c r="D2556" s="6">
        <v>2</v>
      </c>
      <c r="E2556" s="6">
        <v>1125</v>
      </c>
      <c r="F2556" s="6">
        <v>2641</v>
      </c>
      <c r="G2556" s="6">
        <v>2661</v>
      </c>
      <c r="H2556" s="6">
        <v>1333</v>
      </c>
      <c r="I2556" s="6">
        <v>523</v>
      </c>
      <c r="J2556" s="6">
        <v>602</v>
      </c>
      <c r="K2556" s="40">
        <v>120</v>
      </c>
      <c r="L2556" s="40">
        <v>17</v>
      </c>
      <c r="M2556" s="40">
        <v>1718</v>
      </c>
      <c r="N2556" s="40">
        <v>800</v>
      </c>
      <c r="O2556" s="40">
        <v>199</v>
      </c>
      <c r="P2556" s="40">
        <v>576</v>
      </c>
      <c r="Q2556" s="40">
        <v>5</v>
      </c>
      <c r="R2556" s="40">
        <v>108</v>
      </c>
      <c r="S2556" s="40">
        <v>28</v>
      </c>
    </row>
    <row r="2557" spans="1:19" x14ac:dyDescent="0.35">
      <c r="A2557" s="38">
        <v>1624</v>
      </c>
      <c r="B2557" s="38" t="str">
        <f>_xlfn.XLOOKUP(A2557,'Model Modeshare by TAZ'!A:A,'Model Modeshare by TAZ'!B:B)</f>
        <v>San Carlos</v>
      </c>
      <c r="C2557" s="38" t="str">
        <f>_xlfn.XLOOKUP(A2557,'Model Modeshare by TAZ'!A:A,'Model Modeshare by TAZ'!D:D)</f>
        <v>YES</v>
      </c>
      <c r="D2557" s="6">
        <v>2</v>
      </c>
      <c r="E2557" s="6">
        <v>0</v>
      </c>
      <c r="F2557" s="6">
        <v>0</v>
      </c>
      <c r="G2557" s="6">
        <v>0</v>
      </c>
      <c r="H2557" s="6">
        <v>0</v>
      </c>
      <c r="I2557" s="6">
        <v>0</v>
      </c>
      <c r="J2557" s="6">
        <v>0</v>
      </c>
      <c r="K2557" s="40">
        <v>1</v>
      </c>
      <c r="L2557" s="40">
        <v>140</v>
      </c>
      <c r="M2557" s="40">
        <v>3534</v>
      </c>
      <c r="N2557" s="40">
        <v>554</v>
      </c>
      <c r="O2557" s="40">
        <v>372</v>
      </c>
      <c r="P2557" s="40">
        <v>884</v>
      </c>
      <c r="Q2557" s="40">
        <v>2</v>
      </c>
      <c r="R2557" s="40">
        <v>1126</v>
      </c>
      <c r="S2557" s="40">
        <v>595</v>
      </c>
    </row>
    <row r="2558" spans="1:19" x14ac:dyDescent="0.35">
      <c r="A2558" s="38">
        <v>1625</v>
      </c>
      <c r="B2558" s="38" t="str">
        <f>_xlfn.XLOOKUP(A2558,'Model Modeshare by TAZ'!A:A,'Model Modeshare by TAZ'!B:B)</f>
        <v>Redwood City</v>
      </c>
      <c r="C2558" s="38" t="str">
        <f>_xlfn.XLOOKUP(A2558,'Model Modeshare by TAZ'!A:A,'Model Modeshare by TAZ'!D:D)</f>
        <v>YES</v>
      </c>
      <c r="D2558" s="6">
        <v>2</v>
      </c>
      <c r="E2558" s="6">
        <v>579</v>
      </c>
      <c r="F2558" s="6">
        <v>1313</v>
      </c>
      <c r="G2558" s="6">
        <v>1321</v>
      </c>
      <c r="H2558" s="6">
        <v>761</v>
      </c>
      <c r="I2558" s="6">
        <v>400</v>
      </c>
      <c r="J2558" s="6">
        <v>179</v>
      </c>
      <c r="K2558" s="40">
        <v>98</v>
      </c>
      <c r="L2558" s="40">
        <v>41</v>
      </c>
      <c r="M2558" s="40">
        <v>2606</v>
      </c>
      <c r="N2558" s="40">
        <v>0</v>
      </c>
      <c r="O2558" s="40">
        <v>2578</v>
      </c>
      <c r="P2558" s="40">
        <v>28</v>
      </c>
      <c r="Q2558" s="40">
        <v>0</v>
      </c>
      <c r="R2558" s="40">
        <v>0</v>
      </c>
      <c r="S2558" s="40">
        <v>0</v>
      </c>
    </row>
    <row r="2559" spans="1:19" x14ac:dyDescent="0.35">
      <c r="A2559" s="38">
        <v>1626</v>
      </c>
      <c r="B2559" s="38" t="str">
        <f>_xlfn.XLOOKUP(A2559,'Model Modeshare by TAZ'!A:A,'Model Modeshare by TAZ'!B:B)</f>
        <v>Redwood City</v>
      </c>
      <c r="C2559" s="38" t="str">
        <f>_xlfn.XLOOKUP(A2559,'Model Modeshare by TAZ'!A:A,'Model Modeshare by TAZ'!D:D)</f>
        <v>YES</v>
      </c>
      <c r="D2559" s="6">
        <v>2</v>
      </c>
      <c r="E2559" s="6">
        <v>0</v>
      </c>
      <c r="F2559" s="6">
        <v>0</v>
      </c>
      <c r="G2559" s="6">
        <v>0</v>
      </c>
      <c r="H2559" s="6">
        <v>0</v>
      </c>
      <c r="I2559" s="6">
        <v>0</v>
      </c>
      <c r="J2559" s="6">
        <v>0</v>
      </c>
      <c r="K2559" s="40">
        <v>0</v>
      </c>
      <c r="L2559" s="40">
        <v>3</v>
      </c>
      <c r="M2559" s="40">
        <v>6</v>
      </c>
      <c r="N2559" s="40">
        <v>0</v>
      </c>
      <c r="O2559" s="40">
        <v>0</v>
      </c>
      <c r="P2559" s="40">
        <v>0</v>
      </c>
      <c r="Q2559" s="40">
        <v>5</v>
      </c>
      <c r="R2559" s="40">
        <v>1</v>
      </c>
      <c r="S2559" s="40">
        <v>0</v>
      </c>
    </row>
    <row r="2560" spans="1:19" x14ac:dyDescent="0.35">
      <c r="A2560" s="38">
        <v>1627</v>
      </c>
      <c r="B2560" s="38" t="str">
        <f>_xlfn.XLOOKUP(A2560,'Model Modeshare by TAZ'!A:A,'Model Modeshare by TAZ'!B:B)</f>
        <v>Redwood City</v>
      </c>
      <c r="C2560" s="38" t="str">
        <f>_xlfn.XLOOKUP(A2560,'Model Modeshare by TAZ'!A:A,'Model Modeshare by TAZ'!D:D)</f>
        <v>YES</v>
      </c>
      <c r="D2560" s="6">
        <v>2</v>
      </c>
      <c r="E2560" s="6">
        <v>819</v>
      </c>
      <c r="F2560" s="6">
        <v>2829</v>
      </c>
      <c r="G2560" s="6">
        <v>2841</v>
      </c>
      <c r="H2560" s="6">
        <v>1479</v>
      </c>
      <c r="I2560" s="6">
        <v>230</v>
      </c>
      <c r="J2560" s="6">
        <v>589</v>
      </c>
      <c r="K2560" s="40">
        <v>17</v>
      </c>
      <c r="L2560" s="40">
        <v>25</v>
      </c>
      <c r="M2560" s="40">
        <v>1206</v>
      </c>
      <c r="N2560" s="40">
        <v>259</v>
      </c>
      <c r="O2560" s="40">
        <v>420</v>
      </c>
      <c r="P2560" s="40">
        <v>497</v>
      </c>
      <c r="Q2560" s="40">
        <v>2</v>
      </c>
      <c r="R2560" s="40">
        <v>29</v>
      </c>
      <c r="S2560" s="40">
        <v>0</v>
      </c>
    </row>
    <row r="2561" spans="1:19" x14ac:dyDescent="0.35">
      <c r="A2561" s="38">
        <v>1628</v>
      </c>
      <c r="B2561" s="38" t="str">
        <f>_xlfn.XLOOKUP(A2561,'Model Modeshare by TAZ'!A:A,'Model Modeshare by TAZ'!B:B)</f>
        <v>Redwood City</v>
      </c>
      <c r="C2561" s="38" t="str">
        <f>_xlfn.XLOOKUP(A2561,'Model Modeshare by TAZ'!A:A,'Model Modeshare by TAZ'!D:D)</f>
        <v>YES</v>
      </c>
      <c r="D2561" s="6">
        <v>2</v>
      </c>
      <c r="E2561" s="6">
        <v>274</v>
      </c>
      <c r="F2561" s="6">
        <v>393</v>
      </c>
      <c r="G2561" s="6">
        <v>489</v>
      </c>
      <c r="H2561" s="6">
        <v>340</v>
      </c>
      <c r="I2561" s="6">
        <v>15</v>
      </c>
      <c r="J2561" s="6">
        <v>259</v>
      </c>
      <c r="K2561" s="40">
        <v>18</v>
      </c>
      <c r="L2561" s="40">
        <v>26</v>
      </c>
      <c r="M2561" s="40">
        <v>1483</v>
      </c>
      <c r="N2561" s="40">
        <v>467</v>
      </c>
      <c r="O2561" s="40">
        <v>447</v>
      </c>
      <c r="P2561" s="40">
        <v>352</v>
      </c>
      <c r="Q2561" s="40">
        <v>9</v>
      </c>
      <c r="R2561" s="40">
        <v>204</v>
      </c>
      <c r="S2561" s="40">
        <v>4</v>
      </c>
    </row>
    <row r="2562" spans="1:19" x14ac:dyDescent="0.35">
      <c r="A2562" s="38">
        <v>1629</v>
      </c>
      <c r="B2562" s="38" t="str">
        <f>_xlfn.XLOOKUP(A2562,'Model Modeshare by TAZ'!A:A,'Model Modeshare by TAZ'!B:B)</f>
        <v>Redwood City</v>
      </c>
      <c r="C2562" s="38" t="str">
        <f>_xlfn.XLOOKUP(A2562,'Model Modeshare by TAZ'!A:A,'Model Modeshare by TAZ'!D:D)</f>
        <v>YES</v>
      </c>
      <c r="D2562" s="6">
        <v>2</v>
      </c>
      <c r="E2562" s="6">
        <v>34</v>
      </c>
      <c r="F2562" s="6">
        <v>133</v>
      </c>
      <c r="G2562" s="6">
        <v>150</v>
      </c>
      <c r="H2562" s="6">
        <v>65</v>
      </c>
      <c r="I2562" s="6">
        <v>9</v>
      </c>
      <c r="J2562" s="6">
        <v>25</v>
      </c>
      <c r="K2562" s="40">
        <v>4</v>
      </c>
      <c r="L2562" s="40">
        <v>8</v>
      </c>
      <c r="M2562" s="40">
        <v>160</v>
      </c>
      <c r="N2562" s="40">
        <v>12</v>
      </c>
      <c r="O2562" s="40">
        <v>66</v>
      </c>
      <c r="P2562" s="40">
        <v>50</v>
      </c>
      <c r="Q2562" s="40">
        <v>1</v>
      </c>
      <c r="R2562" s="40">
        <v>29</v>
      </c>
      <c r="S2562" s="40">
        <v>2</v>
      </c>
    </row>
    <row r="2563" spans="1:19" x14ac:dyDescent="0.35">
      <c r="A2563" s="38">
        <v>1630</v>
      </c>
      <c r="B2563" s="38" t="str">
        <f>_xlfn.XLOOKUP(A2563,'Model Modeshare by TAZ'!A:A,'Model Modeshare by TAZ'!B:B)</f>
        <v>Menlo Park</v>
      </c>
      <c r="C2563" s="38" t="str">
        <f>_xlfn.XLOOKUP(A2563,'Model Modeshare by TAZ'!A:A,'Model Modeshare by TAZ'!D:D)</f>
        <v>YES</v>
      </c>
      <c r="D2563" s="6">
        <v>2</v>
      </c>
      <c r="E2563" s="6">
        <v>477</v>
      </c>
      <c r="F2563" s="6">
        <v>1902</v>
      </c>
      <c r="G2563" s="6">
        <v>1902</v>
      </c>
      <c r="H2563" s="6">
        <v>926</v>
      </c>
      <c r="I2563" s="6">
        <v>369</v>
      </c>
      <c r="J2563" s="6">
        <v>108</v>
      </c>
      <c r="K2563" s="40">
        <v>63</v>
      </c>
      <c r="L2563" s="40">
        <v>9</v>
      </c>
      <c r="M2563" s="40">
        <v>81</v>
      </c>
      <c r="N2563" s="40">
        <v>18</v>
      </c>
      <c r="O2563" s="40">
        <v>27</v>
      </c>
      <c r="P2563" s="40">
        <v>7</v>
      </c>
      <c r="Q2563" s="40">
        <v>7</v>
      </c>
      <c r="R2563" s="40">
        <v>14</v>
      </c>
      <c r="S2563" s="40">
        <v>9</v>
      </c>
    </row>
    <row r="2564" spans="1:19" x14ac:dyDescent="0.35">
      <c r="A2564" s="38">
        <v>1631</v>
      </c>
      <c r="B2564" s="38" t="str">
        <f>_xlfn.XLOOKUP(A2564,'Model Modeshare by TAZ'!A:A,'Model Modeshare by TAZ'!B:B)</f>
        <v>Menlo Park</v>
      </c>
      <c r="C2564" s="38" t="str">
        <f>_xlfn.XLOOKUP(A2564,'Model Modeshare by TAZ'!A:A,'Model Modeshare by TAZ'!D:D)</f>
        <v>YES</v>
      </c>
      <c r="D2564" s="6">
        <v>2</v>
      </c>
      <c r="E2564" s="6">
        <v>314</v>
      </c>
      <c r="F2564" s="6">
        <v>1472</v>
      </c>
      <c r="G2564" s="6">
        <v>1493</v>
      </c>
      <c r="H2564" s="6">
        <v>634</v>
      </c>
      <c r="I2564" s="6">
        <v>253</v>
      </c>
      <c r="J2564" s="6">
        <v>61</v>
      </c>
      <c r="K2564" s="40">
        <v>149</v>
      </c>
      <c r="L2564" s="40">
        <v>265</v>
      </c>
      <c r="M2564" s="40">
        <v>3630</v>
      </c>
      <c r="N2564" s="40">
        <v>341</v>
      </c>
      <c r="O2564" s="40">
        <v>1969</v>
      </c>
      <c r="P2564" s="40">
        <v>1135</v>
      </c>
      <c r="Q2564" s="40">
        <v>1</v>
      </c>
      <c r="R2564" s="40">
        <v>115</v>
      </c>
      <c r="S2564" s="40">
        <v>69</v>
      </c>
    </row>
    <row r="2565" spans="1:19" x14ac:dyDescent="0.35">
      <c r="A2565" s="38">
        <v>1632</v>
      </c>
      <c r="B2565" s="38" t="str">
        <f>_xlfn.XLOOKUP(A2565,'Model Modeshare by TAZ'!A:A,'Model Modeshare by TAZ'!B:B)</f>
        <v>East Palo Alto</v>
      </c>
      <c r="C2565" s="38" t="str">
        <f>_xlfn.XLOOKUP(A2565,'Model Modeshare by TAZ'!A:A,'Model Modeshare by TAZ'!D:D)</f>
        <v>YES</v>
      </c>
      <c r="D2565" s="6">
        <v>2</v>
      </c>
      <c r="E2565" s="6">
        <v>723</v>
      </c>
      <c r="F2565" s="6">
        <v>2943</v>
      </c>
      <c r="G2565" s="6">
        <v>2961</v>
      </c>
      <c r="H2565" s="6">
        <v>1434</v>
      </c>
      <c r="I2565" s="6">
        <v>567</v>
      </c>
      <c r="J2565" s="6">
        <v>155</v>
      </c>
      <c r="K2565" s="40">
        <v>123</v>
      </c>
      <c r="L2565" s="40">
        <v>0</v>
      </c>
      <c r="M2565" s="40">
        <v>2</v>
      </c>
      <c r="N2565" s="40">
        <v>0</v>
      </c>
      <c r="O2565" s="40">
        <v>0</v>
      </c>
      <c r="P2565" s="40">
        <v>0</v>
      </c>
      <c r="Q2565" s="40">
        <v>2</v>
      </c>
      <c r="R2565" s="40">
        <v>0</v>
      </c>
      <c r="S2565" s="40">
        <v>0</v>
      </c>
    </row>
    <row r="2566" spans="1:19" x14ac:dyDescent="0.35">
      <c r="A2566" s="38">
        <v>1633</v>
      </c>
      <c r="B2566" s="38" t="str">
        <f>_xlfn.XLOOKUP(A2566,'Model Modeshare by TAZ'!A:A,'Model Modeshare by TAZ'!B:B)</f>
        <v>Atherton</v>
      </c>
      <c r="C2566" s="38" t="str">
        <f>_xlfn.XLOOKUP(A2566,'Model Modeshare by TAZ'!A:A,'Model Modeshare by TAZ'!D:D)</f>
        <v>YES</v>
      </c>
      <c r="D2566" s="6">
        <v>2</v>
      </c>
      <c r="E2566" s="6">
        <v>197</v>
      </c>
      <c r="F2566" s="6">
        <v>590</v>
      </c>
      <c r="G2566" s="6">
        <v>590</v>
      </c>
      <c r="H2566" s="6">
        <v>223</v>
      </c>
      <c r="I2566" s="6">
        <v>197</v>
      </c>
      <c r="J2566" s="6">
        <v>0</v>
      </c>
      <c r="K2566" s="40">
        <v>183</v>
      </c>
      <c r="L2566" s="40">
        <v>8</v>
      </c>
      <c r="M2566" s="40">
        <v>68</v>
      </c>
      <c r="N2566" s="40">
        <v>9</v>
      </c>
      <c r="O2566" s="40">
        <v>50</v>
      </c>
      <c r="P2566" s="40">
        <v>2</v>
      </c>
      <c r="Q2566" s="40">
        <v>0</v>
      </c>
      <c r="R2566" s="40">
        <v>6</v>
      </c>
      <c r="S2566" s="40">
        <v>2</v>
      </c>
    </row>
    <row r="2567" spans="1:19" x14ac:dyDescent="0.35">
      <c r="A2567" s="38">
        <v>1634</v>
      </c>
      <c r="B2567" s="38" t="str">
        <f>_xlfn.XLOOKUP(A2567,'Model Modeshare by TAZ'!A:A,'Model Modeshare by TAZ'!B:B)</f>
        <v>Atherton</v>
      </c>
      <c r="C2567" s="38" t="str">
        <f>_xlfn.XLOOKUP(A2567,'Model Modeshare by TAZ'!A:A,'Model Modeshare by TAZ'!D:D)</f>
        <v>YES</v>
      </c>
      <c r="D2567" s="6">
        <v>2</v>
      </c>
      <c r="E2567" s="6">
        <v>180</v>
      </c>
      <c r="F2567" s="6">
        <v>511</v>
      </c>
      <c r="G2567" s="6">
        <v>542</v>
      </c>
      <c r="H2567" s="6">
        <v>206</v>
      </c>
      <c r="I2567" s="6">
        <v>179</v>
      </c>
      <c r="J2567" s="6">
        <v>1</v>
      </c>
      <c r="K2567" s="40">
        <v>242</v>
      </c>
      <c r="L2567" s="40">
        <v>2</v>
      </c>
      <c r="M2567" s="40">
        <v>14</v>
      </c>
      <c r="N2567" s="40">
        <v>1</v>
      </c>
      <c r="O2567" s="40">
        <v>12</v>
      </c>
      <c r="P2567" s="40">
        <v>1</v>
      </c>
      <c r="Q2567" s="40">
        <v>1</v>
      </c>
      <c r="R2567" s="40">
        <v>0</v>
      </c>
      <c r="S2567" s="40">
        <v>0</v>
      </c>
    </row>
    <row r="2568" spans="1:19" x14ac:dyDescent="0.35">
      <c r="A2568" s="38">
        <v>1635</v>
      </c>
      <c r="B2568" s="38" t="str">
        <f>_xlfn.XLOOKUP(A2568,'Model Modeshare by TAZ'!A:A,'Model Modeshare by TAZ'!B:B)</f>
        <v>Menlo Park</v>
      </c>
      <c r="C2568" s="38" t="str">
        <f>_xlfn.XLOOKUP(A2568,'Model Modeshare by TAZ'!A:A,'Model Modeshare by TAZ'!D:D)</f>
        <v>YES</v>
      </c>
      <c r="D2568" s="6">
        <v>2</v>
      </c>
      <c r="E2568" s="6">
        <v>456</v>
      </c>
      <c r="F2568" s="6">
        <v>1038</v>
      </c>
      <c r="G2568" s="6">
        <v>1038</v>
      </c>
      <c r="H2568" s="6">
        <v>462</v>
      </c>
      <c r="I2568" s="6">
        <v>251</v>
      </c>
      <c r="J2568" s="6">
        <v>205</v>
      </c>
      <c r="K2568" s="40">
        <v>71</v>
      </c>
      <c r="L2568" s="40">
        <v>300</v>
      </c>
      <c r="M2568" s="40">
        <v>4593</v>
      </c>
      <c r="N2568" s="40">
        <v>369</v>
      </c>
      <c r="O2568" s="40">
        <v>2289</v>
      </c>
      <c r="P2568" s="40">
        <v>767</v>
      </c>
      <c r="Q2568" s="40">
        <v>4</v>
      </c>
      <c r="R2568" s="40">
        <v>911</v>
      </c>
      <c r="S2568" s="40">
        <v>253</v>
      </c>
    </row>
    <row r="2569" spans="1:19" x14ac:dyDescent="0.35">
      <c r="A2569" s="38">
        <v>1636</v>
      </c>
      <c r="B2569" s="38" t="str">
        <f>_xlfn.XLOOKUP(A2569,'Model Modeshare by TAZ'!A:A,'Model Modeshare by TAZ'!B:B)</f>
        <v>Brisbane</v>
      </c>
      <c r="C2569" s="38" t="str">
        <f>_xlfn.XLOOKUP(A2569,'Model Modeshare by TAZ'!A:A,'Model Modeshare by TAZ'!D:D)</f>
        <v>YES</v>
      </c>
      <c r="D2569" s="6">
        <v>2</v>
      </c>
      <c r="E2569" s="6">
        <v>0</v>
      </c>
      <c r="F2569" s="6">
        <v>0</v>
      </c>
      <c r="G2569" s="6">
        <v>0</v>
      </c>
      <c r="H2569" s="6">
        <v>0</v>
      </c>
      <c r="I2569" s="6">
        <v>0</v>
      </c>
      <c r="J2569" s="6">
        <v>0</v>
      </c>
      <c r="K2569" s="40">
        <v>0</v>
      </c>
      <c r="L2569" s="40">
        <v>337</v>
      </c>
      <c r="M2569" s="40">
        <v>3412</v>
      </c>
      <c r="N2569" s="40">
        <v>121</v>
      </c>
      <c r="O2569" s="40">
        <v>284</v>
      </c>
      <c r="P2569" s="40">
        <v>1294</v>
      </c>
      <c r="Q2569" s="40">
        <v>9</v>
      </c>
      <c r="R2569" s="40">
        <v>943</v>
      </c>
      <c r="S2569" s="40">
        <v>761</v>
      </c>
    </row>
    <row r="2570" spans="1:19" x14ac:dyDescent="0.35">
      <c r="A2570" s="38">
        <v>1637</v>
      </c>
      <c r="B2570" s="38" t="str">
        <f>_xlfn.XLOOKUP(A2570,'Model Modeshare by TAZ'!A:A,'Model Modeshare by TAZ'!B:B)</f>
        <v>Brisbane</v>
      </c>
      <c r="C2570" s="38" t="str">
        <f>_xlfn.XLOOKUP(A2570,'Model Modeshare by TAZ'!A:A,'Model Modeshare by TAZ'!D:D)</f>
        <v>YES</v>
      </c>
      <c r="D2570" s="6">
        <v>2</v>
      </c>
      <c r="E2570" s="6">
        <v>0</v>
      </c>
      <c r="F2570" s="6">
        <v>0</v>
      </c>
      <c r="G2570" s="6">
        <v>0</v>
      </c>
      <c r="H2570" s="6">
        <v>0</v>
      </c>
      <c r="I2570" s="6">
        <v>0</v>
      </c>
      <c r="J2570" s="6">
        <v>0</v>
      </c>
      <c r="K2570" s="40">
        <v>2</v>
      </c>
      <c r="L2570" s="40">
        <v>160</v>
      </c>
      <c r="M2570" s="40">
        <v>3766</v>
      </c>
      <c r="N2570" s="40">
        <v>503</v>
      </c>
      <c r="O2570" s="40">
        <v>1618</v>
      </c>
      <c r="P2570" s="40">
        <v>490</v>
      </c>
      <c r="Q2570" s="40">
        <v>11</v>
      </c>
      <c r="R2570" s="40">
        <v>515</v>
      </c>
      <c r="S2570" s="40">
        <v>631</v>
      </c>
    </row>
    <row r="2571" spans="1:19" x14ac:dyDescent="0.35">
      <c r="A2571" s="38">
        <v>1638</v>
      </c>
      <c r="B2571" s="38" t="str">
        <f>_xlfn.XLOOKUP(A2571,'Model Modeshare by TAZ'!A:A,'Model Modeshare by TAZ'!B:B)</f>
        <v>Brisbane</v>
      </c>
      <c r="C2571" s="38" t="str">
        <f>_xlfn.XLOOKUP(A2571,'Model Modeshare by TAZ'!A:A,'Model Modeshare by TAZ'!D:D)</f>
        <v>YES</v>
      </c>
      <c r="D2571" s="6">
        <v>2</v>
      </c>
      <c r="E2571" s="6">
        <v>485</v>
      </c>
      <c r="F2571" s="6">
        <v>1159</v>
      </c>
      <c r="G2571" s="6">
        <v>1159</v>
      </c>
      <c r="H2571" s="6">
        <v>635</v>
      </c>
      <c r="I2571" s="6">
        <v>277</v>
      </c>
      <c r="J2571" s="6">
        <v>208</v>
      </c>
      <c r="K2571" s="40">
        <v>72</v>
      </c>
      <c r="L2571" s="40">
        <v>78</v>
      </c>
      <c r="M2571" s="40">
        <v>760</v>
      </c>
      <c r="N2571" s="40">
        <v>9</v>
      </c>
      <c r="O2571" s="40">
        <v>250</v>
      </c>
      <c r="P2571" s="40">
        <v>96</v>
      </c>
      <c r="Q2571" s="40">
        <v>2</v>
      </c>
      <c r="R2571" s="40">
        <v>300</v>
      </c>
      <c r="S2571" s="40">
        <v>102</v>
      </c>
    </row>
    <row r="2572" spans="1:19" x14ac:dyDescent="0.35">
      <c r="A2572" s="38">
        <v>1639</v>
      </c>
      <c r="B2572" s="38" t="str">
        <f>_xlfn.XLOOKUP(A2572,'Model Modeshare by TAZ'!A:A,'Model Modeshare by TAZ'!B:B)</f>
        <v>Brisbane</v>
      </c>
      <c r="C2572" s="38" t="str">
        <f>_xlfn.XLOOKUP(A2572,'Model Modeshare by TAZ'!A:A,'Model Modeshare by TAZ'!D:D)</f>
        <v>YES</v>
      </c>
      <c r="D2572" s="6">
        <v>2</v>
      </c>
      <c r="E2572" s="6">
        <v>1444</v>
      </c>
      <c r="F2572" s="6">
        <v>3526</v>
      </c>
      <c r="G2572" s="6">
        <v>3526</v>
      </c>
      <c r="H2572" s="6">
        <v>1921</v>
      </c>
      <c r="I2572" s="6">
        <v>841</v>
      </c>
      <c r="J2572" s="6">
        <v>603</v>
      </c>
      <c r="K2572" s="40">
        <v>213</v>
      </c>
      <c r="L2572" s="40">
        <v>55</v>
      </c>
      <c r="M2572" s="40">
        <v>512</v>
      </c>
      <c r="N2572" s="40">
        <v>46</v>
      </c>
      <c r="O2572" s="40">
        <v>85</v>
      </c>
      <c r="P2572" s="40">
        <v>46</v>
      </c>
      <c r="Q2572" s="40">
        <v>1</v>
      </c>
      <c r="R2572" s="40">
        <v>257</v>
      </c>
      <c r="S2572" s="40">
        <v>77</v>
      </c>
    </row>
    <row r="2573" spans="1:19" x14ac:dyDescent="0.35">
      <c r="A2573" s="38">
        <v>1640</v>
      </c>
      <c r="B2573" s="38" t="str">
        <f>_xlfn.XLOOKUP(A2573,'Model Modeshare by TAZ'!A:A,'Model Modeshare by TAZ'!B:B)</f>
        <v>South San Francisco</v>
      </c>
      <c r="C2573" s="38" t="str">
        <f>_xlfn.XLOOKUP(A2573,'Model Modeshare by TAZ'!A:A,'Model Modeshare by TAZ'!D:D)</f>
        <v>YES</v>
      </c>
      <c r="D2573" s="6">
        <v>2</v>
      </c>
      <c r="E2573" s="6">
        <v>73</v>
      </c>
      <c r="F2573" s="6">
        <v>156</v>
      </c>
      <c r="G2573" s="6">
        <v>159</v>
      </c>
      <c r="H2573" s="6">
        <v>129</v>
      </c>
      <c r="I2573" s="6">
        <v>73</v>
      </c>
      <c r="J2573" s="6">
        <v>0</v>
      </c>
      <c r="K2573" s="40">
        <v>15</v>
      </c>
      <c r="L2573" s="40">
        <v>470</v>
      </c>
      <c r="M2573" s="40">
        <v>8000</v>
      </c>
      <c r="N2573" s="40">
        <v>532</v>
      </c>
      <c r="O2573" s="40">
        <v>1112</v>
      </c>
      <c r="P2573" s="40">
        <v>1881</v>
      </c>
      <c r="Q2573" s="40">
        <v>5</v>
      </c>
      <c r="R2573" s="40">
        <v>2716</v>
      </c>
      <c r="S2573" s="40">
        <v>1753</v>
      </c>
    </row>
    <row r="2574" spans="1:19" x14ac:dyDescent="0.35">
      <c r="A2574" s="38">
        <v>1641</v>
      </c>
      <c r="B2574" s="38" t="str">
        <f>_xlfn.XLOOKUP(A2574,'Model Modeshare by TAZ'!A:A,'Model Modeshare by TAZ'!B:B)</f>
        <v>South San Francisco</v>
      </c>
      <c r="C2574" s="38" t="str">
        <f>_xlfn.XLOOKUP(A2574,'Model Modeshare by TAZ'!A:A,'Model Modeshare by TAZ'!D:D)</f>
        <v>YES</v>
      </c>
      <c r="D2574" s="6">
        <v>2</v>
      </c>
      <c r="E2574" s="6">
        <v>0</v>
      </c>
      <c r="F2574" s="6">
        <v>0</v>
      </c>
      <c r="G2574" s="6">
        <v>0</v>
      </c>
      <c r="H2574" s="6">
        <v>0</v>
      </c>
      <c r="I2574" s="6">
        <v>0</v>
      </c>
      <c r="J2574" s="6">
        <v>0</v>
      </c>
      <c r="K2574" s="40">
        <v>1</v>
      </c>
      <c r="L2574" s="40">
        <v>514</v>
      </c>
      <c r="M2574" s="40">
        <v>8500</v>
      </c>
      <c r="N2574" s="40">
        <v>1184</v>
      </c>
      <c r="O2574" s="40">
        <v>2488</v>
      </c>
      <c r="P2574" s="40">
        <v>2109</v>
      </c>
      <c r="Q2574" s="40">
        <v>5</v>
      </c>
      <c r="R2574" s="40">
        <v>1525</v>
      </c>
      <c r="S2574" s="40">
        <v>1189</v>
      </c>
    </row>
    <row r="2575" spans="1:19" x14ac:dyDescent="0.35">
      <c r="A2575" s="38">
        <v>1642</v>
      </c>
      <c r="B2575" s="38" t="str">
        <f>_xlfn.XLOOKUP(A2575,'Model Modeshare by TAZ'!A:A,'Model Modeshare by TAZ'!B:B)</f>
        <v>South San Francisco</v>
      </c>
      <c r="C2575" s="38" t="str">
        <f>_xlfn.XLOOKUP(A2575,'Model Modeshare by TAZ'!A:A,'Model Modeshare by TAZ'!D:D)</f>
        <v>YES</v>
      </c>
      <c r="D2575" s="6">
        <v>2</v>
      </c>
      <c r="E2575" s="6">
        <v>0</v>
      </c>
      <c r="F2575" s="6">
        <v>0</v>
      </c>
      <c r="G2575" s="6">
        <v>0</v>
      </c>
      <c r="H2575" s="6">
        <v>0</v>
      </c>
      <c r="I2575" s="6">
        <v>0</v>
      </c>
      <c r="J2575" s="6">
        <v>0</v>
      </c>
      <c r="K2575" s="40">
        <v>0</v>
      </c>
      <c r="L2575" s="40">
        <v>217</v>
      </c>
      <c r="M2575" s="40">
        <v>3590</v>
      </c>
      <c r="N2575" s="40">
        <v>301</v>
      </c>
      <c r="O2575" s="40">
        <v>442</v>
      </c>
      <c r="P2575" s="40">
        <v>1705</v>
      </c>
      <c r="Q2575" s="40">
        <v>2</v>
      </c>
      <c r="R2575" s="40">
        <v>1048</v>
      </c>
      <c r="S2575" s="40">
        <v>93</v>
      </c>
    </row>
    <row r="2576" spans="1:19" x14ac:dyDescent="0.35">
      <c r="A2576" s="38">
        <v>1643</v>
      </c>
      <c r="B2576" s="38" t="str">
        <f>_xlfn.XLOOKUP(A2576,'Model Modeshare by TAZ'!A:A,'Model Modeshare by TAZ'!B:B)</f>
        <v>South San Francisco</v>
      </c>
      <c r="C2576" s="38" t="str">
        <f>_xlfn.XLOOKUP(A2576,'Model Modeshare by TAZ'!A:A,'Model Modeshare by TAZ'!D:D)</f>
        <v>YES</v>
      </c>
      <c r="D2576" s="6">
        <v>2</v>
      </c>
      <c r="E2576" s="6">
        <v>1069</v>
      </c>
      <c r="F2576" s="6">
        <v>3794</v>
      </c>
      <c r="G2576" s="6">
        <v>3851</v>
      </c>
      <c r="H2576" s="6">
        <v>1907</v>
      </c>
      <c r="I2576" s="6">
        <v>824</v>
      </c>
      <c r="J2576" s="6">
        <v>245</v>
      </c>
      <c r="K2576" s="40">
        <v>146</v>
      </c>
      <c r="L2576" s="40">
        <v>157</v>
      </c>
      <c r="M2576" s="40">
        <v>2168</v>
      </c>
      <c r="N2576" s="40">
        <v>409</v>
      </c>
      <c r="O2576" s="40">
        <v>450</v>
      </c>
      <c r="P2576" s="40">
        <v>700</v>
      </c>
      <c r="Q2576" s="40">
        <v>2</v>
      </c>
      <c r="R2576" s="40">
        <v>402</v>
      </c>
      <c r="S2576" s="40">
        <v>206</v>
      </c>
    </row>
    <row r="2577" spans="1:19" x14ac:dyDescent="0.35">
      <c r="A2577" s="38">
        <v>1644</v>
      </c>
      <c r="B2577" s="38" t="str">
        <f>_xlfn.XLOOKUP(A2577,'Model Modeshare by TAZ'!A:A,'Model Modeshare by TAZ'!B:B)</f>
        <v>South San Francisco</v>
      </c>
      <c r="C2577" s="38" t="str">
        <f>_xlfn.XLOOKUP(A2577,'Model Modeshare by TAZ'!A:A,'Model Modeshare by TAZ'!D:D)</f>
        <v>YES</v>
      </c>
      <c r="D2577" s="6">
        <v>2</v>
      </c>
      <c r="E2577" s="6">
        <v>0</v>
      </c>
      <c r="F2577" s="6">
        <v>0</v>
      </c>
      <c r="G2577" s="6">
        <v>0</v>
      </c>
      <c r="H2577" s="6">
        <v>0</v>
      </c>
      <c r="I2577" s="6">
        <v>0</v>
      </c>
      <c r="J2577" s="6">
        <v>0</v>
      </c>
      <c r="K2577" s="40">
        <v>0</v>
      </c>
      <c r="L2577" s="40">
        <v>125</v>
      </c>
      <c r="M2577" s="40">
        <v>2986</v>
      </c>
      <c r="N2577" s="40">
        <v>563</v>
      </c>
      <c r="O2577" s="40">
        <v>984</v>
      </c>
      <c r="P2577" s="40">
        <v>1127</v>
      </c>
      <c r="Q2577" s="40">
        <v>1</v>
      </c>
      <c r="R2577" s="40">
        <v>274</v>
      </c>
      <c r="S2577" s="40">
        <v>37</v>
      </c>
    </row>
    <row r="2578" spans="1:19" x14ac:dyDescent="0.35">
      <c r="A2578" s="38">
        <v>1645</v>
      </c>
      <c r="B2578" s="38" t="str">
        <f>_xlfn.XLOOKUP(A2578,'Model Modeshare by TAZ'!A:A,'Model Modeshare by TAZ'!B:B)</f>
        <v>San Bruno</v>
      </c>
      <c r="C2578" s="38" t="str">
        <f>_xlfn.XLOOKUP(A2578,'Model Modeshare by TAZ'!A:A,'Model Modeshare by TAZ'!D:D)</f>
        <v>YES</v>
      </c>
      <c r="D2578" s="6">
        <v>2</v>
      </c>
      <c r="E2578" s="6">
        <v>0</v>
      </c>
      <c r="F2578" s="6">
        <v>0</v>
      </c>
      <c r="G2578" s="6">
        <v>0</v>
      </c>
      <c r="H2578" s="6">
        <v>0</v>
      </c>
      <c r="I2578" s="6">
        <v>0</v>
      </c>
      <c r="J2578" s="6">
        <v>0</v>
      </c>
      <c r="K2578" s="40">
        <v>0</v>
      </c>
      <c r="L2578" s="40">
        <v>8</v>
      </c>
      <c r="M2578" s="40">
        <v>65</v>
      </c>
      <c r="N2578" s="40">
        <v>14</v>
      </c>
      <c r="O2578" s="40">
        <v>36</v>
      </c>
      <c r="P2578" s="40">
        <v>13</v>
      </c>
      <c r="Q2578" s="40">
        <v>1</v>
      </c>
      <c r="R2578" s="40">
        <v>0</v>
      </c>
      <c r="S2578" s="40">
        <v>1</v>
      </c>
    </row>
    <row r="2579" spans="1:19" x14ac:dyDescent="0.35">
      <c r="A2579" s="38">
        <v>1646</v>
      </c>
      <c r="B2579" s="38" t="str">
        <f>_xlfn.XLOOKUP(A2579,'Model Modeshare by TAZ'!A:A,'Model Modeshare by TAZ'!B:B)</f>
        <v>San Bruno</v>
      </c>
      <c r="C2579" s="38" t="str">
        <f>_xlfn.XLOOKUP(A2579,'Model Modeshare by TAZ'!A:A,'Model Modeshare by TAZ'!D:D)</f>
        <v>YES</v>
      </c>
      <c r="D2579" s="6">
        <v>2</v>
      </c>
      <c r="E2579" s="6">
        <v>33</v>
      </c>
      <c r="F2579" s="6">
        <v>73</v>
      </c>
      <c r="G2579" s="6">
        <v>73</v>
      </c>
      <c r="H2579" s="6">
        <v>40</v>
      </c>
      <c r="I2579" s="6">
        <v>8</v>
      </c>
      <c r="J2579" s="6">
        <v>25</v>
      </c>
      <c r="K2579" s="40">
        <v>4</v>
      </c>
      <c r="L2579" s="40">
        <v>76</v>
      </c>
      <c r="M2579" s="40">
        <v>2379</v>
      </c>
      <c r="N2579" s="40">
        <v>412</v>
      </c>
      <c r="O2579" s="40">
        <v>784</v>
      </c>
      <c r="P2579" s="40">
        <v>1151</v>
      </c>
      <c r="Q2579" s="40">
        <v>1</v>
      </c>
      <c r="R2579" s="40">
        <v>25</v>
      </c>
      <c r="S2579" s="40">
        <v>5</v>
      </c>
    </row>
    <row r="2580" spans="1:19" x14ac:dyDescent="0.35">
      <c r="A2580" s="38">
        <v>1647</v>
      </c>
      <c r="B2580" s="38" t="str">
        <f>_xlfn.XLOOKUP(A2580,'Model Modeshare by TAZ'!A:A,'Model Modeshare by TAZ'!B:B)</f>
        <v>San Bruno</v>
      </c>
      <c r="C2580" s="38" t="str">
        <f>_xlfn.XLOOKUP(A2580,'Model Modeshare by TAZ'!A:A,'Model Modeshare by TAZ'!D:D)</f>
        <v>YES</v>
      </c>
      <c r="D2580" s="6">
        <v>2</v>
      </c>
      <c r="E2580" s="6">
        <v>689</v>
      </c>
      <c r="F2580" s="6">
        <v>2272</v>
      </c>
      <c r="G2580" s="6">
        <v>2292</v>
      </c>
      <c r="H2580" s="6">
        <v>1310</v>
      </c>
      <c r="I2580" s="6">
        <v>304</v>
      </c>
      <c r="J2580" s="6">
        <v>385</v>
      </c>
      <c r="K2580" s="40">
        <v>30</v>
      </c>
      <c r="L2580" s="40">
        <v>18</v>
      </c>
      <c r="M2580" s="40">
        <v>818</v>
      </c>
      <c r="N2580" s="40">
        <v>494</v>
      </c>
      <c r="O2580" s="40">
        <v>174</v>
      </c>
      <c r="P2580" s="40">
        <v>88</v>
      </c>
      <c r="Q2580" s="40">
        <v>1</v>
      </c>
      <c r="R2580" s="40">
        <v>17</v>
      </c>
      <c r="S2580" s="40">
        <v>44</v>
      </c>
    </row>
    <row r="2581" spans="1:19" x14ac:dyDescent="0.35">
      <c r="A2581" s="38">
        <v>1648</v>
      </c>
      <c r="B2581" s="38" t="str">
        <f>_xlfn.XLOOKUP(A2581,'Model Modeshare by TAZ'!A:A,'Model Modeshare by TAZ'!B:B)</f>
        <v>Unincorporated</v>
      </c>
      <c r="C2581" s="38" t="str">
        <f>_xlfn.XLOOKUP(A2581,'Model Modeshare by TAZ'!A:A,'Model Modeshare by TAZ'!D:D)</f>
        <v>YES</v>
      </c>
      <c r="D2581" s="6">
        <v>2</v>
      </c>
      <c r="E2581" s="6">
        <v>0</v>
      </c>
      <c r="F2581" s="6">
        <v>0</v>
      </c>
      <c r="G2581" s="6">
        <v>0</v>
      </c>
      <c r="H2581" s="6">
        <v>0</v>
      </c>
      <c r="I2581" s="6">
        <v>0</v>
      </c>
      <c r="J2581" s="6">
        <v>0</v>
      </c>
      <c r="K2581" s="40">
        <v>0</v>
      </c>
      <c r="L2581" s="40">
        <v>1414</v>
      </c>
      <c r="M2581" s="40">
        <v>2326</v>
      </c>
      <c r="N2581" s="40">
        <v>482</v>
      </c>
      <c r="O2581" s="40">
        <v>722</v>
      </c>
      <c r="P2581" s="40">
        <v>1112</v>
      </c>
      <c r="Q2581" s="40">
        <v>0</v>
      </c>
      <c r="R2581" s="40">
        <v>9</v>
      </c>
      <c r="S2581" s="40">
        <v>0</v>
      </c>
    </row>
    <row r="2582" spans="1:19" x14ac:dyDescent="0.35">
      <c r="A2582" s="38">
        <v>1649</v>
      </c>
      <c r="B2582" s="38" t="str">
        <f>_xlfn.XLOOKUP(A2582,'Model Modeshare by TAZ'!A:A,'Model Modeshare by TAZ'!B:B)</f>
        <v>Unincorporated</v>
      </c>
      <c r="C2582" s="38" t="str">
        <f>_xlfn.XLOOKUP(A2582,'Model Modeshare by TAZ'!A:A,'Model Modeshare by TAZ'!D:D)</f>
        <v>YES</v>
      </c>
      <c r="D2582" s="6">
        <v>2</v>
      </c>
      <c r="E2582" s="6">
        <v>0</v>
      </c>
      <c r="F2582" s="6">
        <v>0</v>
      </c>
      <c r="G2582" s="6">
        <v>0</v>
      </c>
      <c r="H2582" s="6">
        <v>0</v>
      </c>
      <c r="I2582" s="6">
        <v>0</v>
      </c>
      <c r="J2582" s="6">
        <v>0</v>
      </c>
      <c r="K2582" s="40">
        <v>0</v>
      </c>
      <c r="L2582" s="40">
        <v>144</v>
      </c>
      <c r="M2582" s="40">
        <v>1165</v>
      </c>
      <c r="N2582" s="40">
        <v>0</v>
      </c>
      <c r="O2582" s="40">
        <v>94</v>
      </c>
      <c r="P2582" s="40">
        <v>925</v>
      </c>
      <c r="Q2582" s="40">
        <v>0</v>
      </c>
      <c r="R2582" s="40">
        <v>5</v>
      </c>
      <c r="S2582" s="40">
        <v>142</v>
      </c>
    </row>
    <row r="2583" spans="1:19" x14ac:dyDescent="0.35">
      <c r="A2583" s="38">
        <v>1650</v>
      </c>
      <c r="B2583" s="38" t="str">
        <f>_xlfn.XLOOKUP(A2583,'Model Modeshare by TAZ'!A:A,'Model Modeshare by TAZ'!B:B)</f>
        <v>Millbrae</v>
      </c>
      <c r="C2583" s="38" t="str">
        <f>_xlfn.XLOOKUP(A2583,'Model Modeshare by TAZ'!A:A,'Model Modeshare by TAZ'!D:D)</f>
        <v>YES</v>
      </c>
      <c r="D2583" s="6">
        <v>2</v>
      </c>
      <c r="E2583" s="6">
        <v>569</v>
      </c>
      <c r="F2583" s="6">
        <v>1494</v>
      </c>
      <c r="G2583" s="6">
        <v>1555</v>
      </c>
      <c r="H2583" s="6">
        <v>926</v>
      </c>
      <c r="I2583" s="6">
        <v>256</v>
      </c>
      <c r="J2583" s="6">
        <v>313</v>
      </c>
      <c r="K2583" s="40">
        <v>49</v>
      </c>
      <c r="L2583" s="40">
        <v>18</v>
      </c>
      <c r="M2583" s="40">
        <v>368</v>
      </c>
      <c r="N2583" s="40">
        <v>234</v>
      </c>
      <c r="O2583" s="40">
        <v>62</v>
      </c>
      <c r="P2583" s="40">
        <v>40</v>
      </c>
      <c r="Q2583" s="40">
        <v>4</v>
      </c>
      <c r="R2583" s="40">
        <v>27</v>
      </c>
      <c r="S2583" s="40">
        <v>0</v>
      </c>
    </row>
    <row r="2584" spans="1:19" x14ac:dyDescent="0.35">
      <c r="A2584" s="38">
        <v>1651</v>
      </c>
      <c r="B2584" s="38" t="str">
        <f>_xlfn.XLOOKUP(A2584,'Model Modeshare by TAZ'!A:A,'Model Modeshare by TAZ'!B:B)</f>
        <v>Millbrae</v>
      </c>
      <c r="C2584" s="38" t="str">
        <f>_xlfn.XLOOKUP(A2584,'Model Modeshare by TAZ'!A:A,'Model Modeshare by TAZ'!D:D)</f>
        <v>YES</v>
      </c>
      <c r="D2584" s="6">
        <v>2</v>
      </c>
      <c r="E2584" s="6">
        <v>559</v>
      </c>
      <c r="F2584" s="6">
        <v>1519</v>
      </c>
      <c r="G2584" s="6">
        <v>1585</v>
      </c>
      <c r="H2584" s="6">
        <v>897</v>
      </c>
      <c r="I2584" s="6">
        <v>252</v>
      </c>
      <c r="J2584" s="6">
        <v>308</v>
      </c>
      <c r="K2584" s="40">
        <v>51</v>
      </c>
      <c r="L2584" s="40">
        <v>87</v>
      </c>
      <c r="M2584" s="40">
        <v>1748</v>
      </c>
      <c r="N2584" s="40">
        <v>779</v>
      </c>
      <c r="O2584" s="40">
        <v>592</v>
      </c>
      <c r="P2584" s="40">
        <v>331</v>
      </c>
      <c r="Q2584" s="40">
        <v>4</v>
      </c>
      <c r="R2584" s="40">
        <v>41</v>
      </c>
      <c r="S2584" s="40">
        <v>0</v>
      </c>
    </row>
    <row r="2585" spans="1:19" x14ac:dyDescent="0.35">
      <c r="A2585" s="38">
        <v>1652</v>
      </c>
      <c r="B2585" s="38" t="str">
        <f>_xlfn.XLOOKUP(A2585,'Model Modeshare by TAZ'!A:A,'Model Modeshare by TAZ'!B:B)</f>
        <v>Burlingame</v>
      </c>
      <c r="C2585" s="38" t="str">
        <f>_xlfn.XLOOKUP(A2585,'Model Modeshare by TAZ'!A:A,'Model Modeshare by TAZ'!D:D)</f>
        <v>YES</v>
      </c>
      <c r="D2585" s="6">
        <v>2</v>
      </c>
      <c r="E2585" s="6">
        <v>3</v>
      </c>
      <c r="F2585" s="6">
        <v>4</v>
      </c>
      <c r="G2585" s="6">
        <v>4</v>
      </c>
      <c r="H2585" s="6">
        <v>3</v>
      </c>
      <c r="I2585" s="6">
        <v>1</v>
      </c>
      <c r="J2585" s="6">
        <v>1</v>
      </c>
      <c r="K2585" s="40">
        <v>1</v>
      </c>
      <c r="L2585" s="40">
        <v>135</v>
      </c>
      <c r="M2585" s="40">
        <v>4516</v>
      </c>
      <c r="N2585" s="40">
        <v>421</v>
      </c>
      <c r="O2585" s="40">
        <v>732</v>
      </c>
      <c r="P2585" s="40">
        <v>862</v>
      </c>
      <c r="Q2585" s="40">
        <v>7</v>
      </c>
      <c r="R2585" s="40">
        <v>1944</v>
      </c>
      <c r="S2585" s="40">
        <v>550</v>
      </c>
    </row>
    <row r="2586" spans="1:19" x14ac:dyDescent="0.35">
      <c r="A2586" s="38">
        <v>1653</v>
      </c>
      <c r="B2586" s="38" t="str">
        <f>_xlfn.XLOOKUP(A2586,'Model Modeshare by TAZ'!A:A,'Model Modeshare by TAZ'!B:B)</f>
        <v>Burlingame</v>
      </c>
      <c r="C2586" s="38" t="str">
        <f>_xlfn.XLOOKUP(A2586,'Model Modeshare by TAZ'!A:A,'Model Modeshare by TAZ'!D:D)</f>
        <v>YES</v>
      </c>
      <c r="D2586" s="6">
        <v>2</v>
      </c>
      <c r="E2586" s="6">
        <v>837</v>
      </c>
      <c r="F2586" s="6">
        <v>1992</v>
      </c>
      <c r="G2586" s="6">
        <v>1992</v>
      </c>
      <c r="H2586" s="6">
        <v>1168</v>
      </c>
      <c r="I2586" s="6">
        <v>465</v>
      </c>
      <c r="J2586" s="6">
        <v>372</v>
      </c>
      <c r="K2586" s="40">
        <v>73</v>
      </c>
      <c r="L2586" s="40">
        <v>8</v>
      </c>
      <c r="M2586" s="40">
        <v>167</v>
      </c>
      <c r="N2586" s="40">
        <v>26</v>
      </c>
      <c r="O2586" s="40">
        <v>75</v>
      </c>
      <c r="P2586" s="40">
        <v>39</v>
      </c>
      <c r="Q2586" s="40">
        <v>15</v>
      </c>
      <c r="R2586" s="40">
        <v>1</v>
      </c>
      <c r="S2586" s="40">
        <v>12</v>
      </c>
    </row>
    <row r="2587" spans="1:19" x14ac:dyDescent="0.35">
      <c r="A2587" s="38">
        <v>1654</v>
      </c>
      <c r="B2587" s="38" t="str">
        <f>_xlfn.XLOOKUP(A2587,'Model Modeshare by TAZ'!A:A,'Model Modeshare by TAZ'!B:B)</f>
        <v>Foster City</v>
      </c>
      <c r="C2587" s="38" t="str">
        <f>_xlfn.XLOOKUP(A2587,'Model Modeshare by TAZ'!A:A,'Model Modeshare by TAZ'!D:D)</f>
        <v>YES</v>
      </c>
      <c r="D2587" s="6">
        <v>2</v>
      </c>
      <c r="E2587" s="6">
        <v>0</v>
      </c>
      <c r="F2587" s="6">
        <v>0</v>
      </c>
      <c r="G2587" s="6">
        <v>0</v>
      </c>
      <c r="H2587" s="6">
        <v>0</v>
      </c>
      <c r="I2587" s="6">
        <v>0</v>
      </c>
      <c r="J2587" s="6">
        <v>0</v>
      </c>
      <c r="K2587" s="40">
        <v>75</v>
      </c>
      <c r="L2587" s="40">
        <v>140</v>
      </c>
      <c r="M2587" s="40">
        <v>10700</v>
      </c>
      <c r="N2587" s="40">
        <v>907</v>
      </c>
      <c r="O2587" s="40">
        <v>6283</v>
      </c>
      <c r="P2587" s="40">
        <v>1950</v>
      </c>
      <c r="Q2587" s="40">
        <v>2</v>
      </c>
      <c r="R2587" s="40">
        <v>1182</v>
      </c>
      <c r="S2587" s="40">
        <v>375</v>
      </c>
    </row>
    <row r="2588" spans="1:19" x14ac:dyDescent="0.35">
      <c r="A2588" s="38">
        <v>1655</v>
      </c>
      <c r="B2588" s="38" t="str">
        <f>_xlfn.XLOOKUP(A2588,'Model Modeshare by TAZ'!A:A,'Model Modeshare by TAZ'!B:B)</f>
        <v>Foster City</v>
      </c>
      <c r="C2588" s="38" t="str">
        <f>_xlfn.XLOOKUP(A2588,'Model Modeshare by TAZ'!A:A,'Model Modeshare by TAZ'!D:D)</f>
        <v>YES</v>
      </c>
      <c r="D2588" s="6">
        <v>2</v>
      </c>
      <c r="E2588" s="6">
        <v>868</v>
      </c>
      <c r="F2588" s="6">
        <v>1768</v>
      </c>
      <c r="G2588" s="6">
        <v>1768</v>
      </c>
      <c r="H2588" s="6">
        <v>995</v>
      </c>
      <c r="I2588" s="6">
        <v>348</v>
      </c>
      <c r="J2588" s="6">
        <v>520</v>
      </c>
      <c r="K2588" s="40">
        <v>29</v>
      </c>
      <c r="L2588" s="40">
        <v>116</v>
      </c>
      <c r="M2588" s="40">
        <v>8245</v>
      </c>
      <c r="N2588" s="40">
        <v>965</v>
      </c>
      <c r="O2588" s="40">
        <v>2615</v>
      </c>
      <c r="P2588" s="40">
        <v>4210</v>
      </c>
      <c r="Q2588" s="40">
        <v>2</v>
      </c>
      <c r="R2588" s="40">
        <v>202</v>
      </c>
      <c r="S2588" s="40">
        <v>251</v>
      </c>
    </row>
    <row r="2589" spans="1:19" x14ac:dyDescent="0.35">
      <c r="A2589" s="38">
        <v>1656</v>
      </c>
      <c r="B2589" s="38" t="str">
        <f>_xlfn.XLOOKUP(A2589,'Model Modeshare by TAZ'!A:A,'Model Modeshare by TAZ'!B:B)</f>
        <v>South San Francisco</v>
      </c>
      <c r="C2589" s="38" t="str">
        <f>_xlfn.XLOOKUP(A2589,'Model Modeshare by TAZ'!A:A,'Model Modeshare by TAZ'!D:D)</f>
        <v>YES</v>
      </c>
      <c r="D2589" s="6">
        <v>2</v>
      </c>
      <c r="E2589" s="6">
        <v>702</v>
      </c>
      <c r="F2589" s="6">
        <v>1472</v>
      </c>
      <c r="G2589" s="6">
        <v>1472</v>
      </c>
      <c r="H2589" s="6">
        <v>923</v>
      </c>
      <c r="I2589" s="6">
        <v>0</v>
      </c>
      <c r="J2589" s="6">
        <v>702</v>
      </c>
      <c r="K2589" s="40">
        <v>19</v>
      </c>
      <c r="L2589" s="40">
        <v>23</v>
      </c>
      <c r="M2589" s="40">
        <v>844</v>
      </c>
      <c r="N2589" s="40">
        <v>123</v>
      </c>
      <c r="O2589" s="40">
        <v>601</v>
      </c>
      <c r="P2589" s="40">
        <v>98</v>
      </c>
      <c r="Q2589" s="40">
        <v>17</v>
      </c>
      <c r="R2589" s="40">
        <v>2</v>
      </c>
      <c r="S2589" s="40">
        <v>3</v>
      </c>
    </row>
    <row r="2590" spans="1:19" x14ac:dyDescent="0.35">
      <c r="A2590" s="38">
        <v>1657</v>
      </c>
      <c r="B2590" s="38" t="str">
        <f>_xlfn.XLOOKUP(A2590,'Model Modeshare by TAZ'!A:A,'Model Modeshare by TAZ'!B:B)</f>
        <v>Belmont</v>
      </c>
      <c r="C2590" s="38" t="str">
        <f>_xlfn.XLOOKUP(A2590,'Model Modeshare by TAZ'!A:A,'Model Modeshare by TAZ'!D:D)</f>
        <v>YES</v>
      </c>
      <c r="D2590" s="6">
        <v>2</v>
      </c>
      <c r="E2590" s="6">
        <v>908</v>
      </c>
      <c r="F2590" s="6">
        <v>2240</v>
      </c>
      <c r="G2590" s="6">
        <v>2341</v>
      </c>
      <c r="H2590" s="6">
        <v>1280</v>
      </c>
      <c r="I2590" s="6">
        <v>656</v>
      </c>
      <c r="J2590" s="6">
        <v>252</v>
      </c>
      <c r="K2590" s="40">
        <v>132</v>
      </c>
      <c r="L2590" s="40">
        <v>23</v>
      </c>
      <c r="M2590" s="40">
        <v>498</v>
      </c>
      <c r="N2590" s="40">
        <v>252</v>
      </c>
      <c r="O2590" s="40">
        <v>121</v>
      </c>
      <c r="P2590" s="40">
        <v>86</v>
      </c>
      <c r="Q2590" s="40">
        <v>0</v>
      </c>
      <c r="R2590" s="40">
        <v>34</v>
      </c>
      <c r="S2590" s="40">
        <v>5</v>
      </c>
    </row>
    <row r="2591" spans="1:19" x14ac:dyDescent="0.35">
      <c r="A2591" s="38">
        <v>1658</v>
      </c>
      <c r="B2591" s="38" t="str">
        <f>_xlfn.XLOOKUP(A2591,'Model Modeshare by TAZ'!A:A,'Model Modeshare by TAZ'!B:B)</f>
        <v>Unincorporated</v>
      </c>
      <c r="C2591" s="38" t="str">
        <f>_xlfn.XLOOKUP(A2591,'Model Modeshare by TAZ'!A:A,'Model Modeshare by TAZ'!D:D)</f>
        <v>YES</v>
      </c>
      <c r="D2591" s="6">
        <v>2</v>
      </c>
      <c r="E2591" s="6">
        <v>1074</v>
      </c>
      <c r="F2591" s="6">
        <v>3137</v>
      </c>
      <c r="G2591" s="6">
        <v>3190</v>
      </c>
      <c r="H2591" s="6">
        <v>1508</v>
      </c>
      <c r="I2591" s="6">
        <v>902</v>
      </c>
      <c r="J2591" s="6">
        <v>172</v>
      </c>
      <c r="K2591" s="40">
        <v>266</v>
      </c>
      <c r="L2591" s="40">
        <v>629</v>
      </c>
      <c r="M2591" s="40">
        <v>885</v>
      </c>
      <c r="N2591" s="40">
        <v>30</v>
      </c>
      <c r="O2591" s="40">
        <v>136</v>
      </c>
      <c r="P2591" s="40">
        <v>207</v>
      </c>
      <c r="Q2591" s="40">
        <v>271</v>
      </c>
      <c r="R2591" s="40">
        <v>163</v>
      </c>
      <c r="S2591" s="40">
        <v>78</v>
      </c>
    </row>
    <row r="2592" spans="1:19" x14ac:dyDescent="0.35">
      <c r="A2592" s="38">
        <v>1659</v>
      </c>
      <c r="B2592" s="38" t="str">
        <f>_xlfn.XLOOKUP(A2592,'Model Modeshare by TAZ'!A:A,'Model Modeshare by TAZ'!B:B)</f>
        <v>Unincorporated</v>
      </c>
      <c r="C2592" s="38" t="str">
        <f>_xlfn.XLOOKUP(A2592,'Model Modeshare by TAZ'!A:A,'Model Modeshare by TAZ'!D:D)</f>
        <v>YES</v>
      </c>
      <c r="D2592" s="6">
        <v>2</v>
      </c>
      <c r="E2592" s="6">
        <v>541</v>
      </c>
      <c r="F2592" s="6">
        <v>1548</v>
      </c>
      <c r="G2592" s="6">
        <v>1557</v>
      </c>
      <c r="H2592" s="6">
        <v>751</v>
      </c>
      <c r="I2592" s="6">
        <v>410</v>
      </c>
      <c r="J2592" s="6">
        <v>131</v>
      </c>
      <c r="K2592" s="40">
        <v>1311</v>
      </c>
      <c r="L2592" s="40">
        <v>11</v>
      </c>
      <c r="M2592" s="40">
        <v>122</v>
      </c>
      <c r="N2592" s="40">
        <v>47</v>
      </c>
      <c r="O2592" s="40">
        <v>11</v>
      </c>
      <c r="P2592" s="40">
        <v>59</v>
      </c>
      <c r="Q2592" s="40">
        <v>5</v>
      </c>
      <c r="R2592" s="40">
        <v>0</v>
      </c>
      <c r="S2592" s="40">
        <v>0</v>
      </c>
    </row>
    <row r="2593" spans="1:19" x14ac:dyDescent="0.35">
      <c r="A2593" s="38">
        <v>1660</v>
      </c>
      <c r="B2593" s="38" t="str">
        <f>_xlfn.XLOOKUP(A2593,'Model Modeshare by TAZ'!A:A,'Model Modeshare by TAZ'!B:B)</f>
        <v>Unincorporated</v>
      </c>
      <c r="C2593" s="38" t="str">
        <f>_xlfn.XLOOKUP(A2593,'Model Modeshare by TAZ'!A:A,'Model Modeshare by TAZ'!D:D)</f>
        <v>YES</v>
      </c>
      <c r="D2593" s="6">
        <v>2</v>
      </c>
      <c r="E2593" s="6">
        <v>39</v>
      </c>
      <c r="F2593" s="6">
        <v>110</v>
      </c>
      <c r="G2593" s="6">
        <v>111</v>
      </c>
      <c r="H2593" s="6">
        <v>54</v>
      </c>
      <c r="I2593" s="6">
        <v>29</v>
      </c>
      <c r="J2593" s="6">
        <v>9</v>
      </c>
      <c r="K2593" s="40">
        <v>91</v>
      </c>
      <c r="L2593" s="40">
        <v>3</v>
      </c>
      <c r="M2593" s="40">
        <v>13</v>
      </c>
      <c r="N2593" s="40">
        <v>10</v>
      </c>
      <c r="O2593" s="40">
        <v>0</v>
      </c>
      <c r="P2593" s="40">
        <v>1</v>
      </c>
      <c r="Q2593" s="40">
        <v>1</v>
      </c>
      <c r="R2593" s="40">
        <v>1</v>
      </c>
      <c r="S2593" s="40">
        <v>0</v>
      </c>
    </row>
    <row r="2594" spans="1:19" x14ac:dyDescent="0.35">
      <c r="A2594" s="38">
        <v>1661</v>
      </c>
      <c r="B2594" s="38" t="str">
        <f>_xlfn.XLOOKUP(A2594,'Model Modeshare by TAZ'!A:A,'Model Modeshare by TAZ'!B:B)</f>
        <v>Unincorporated</v>
      </c>
      <c r="C2594" s="38" t="str">
        <f>_xlfn.XLOOKUP(A2594,'Model Modeshare by TAZ'!A:A,'Model Modeshare by TAZ'!D:D)</f>
        <v>YES</v>
      </c>
      <c r="D2594" s="6">
        <v>2</v>
      </c>
      <c r="E2594" s="6">
        <v>166</v>
      </c>
      <c r="F2594" s="6">
        <v>385</v>
      </c>
      <c r="G2594" s="6">
        <v>406</v>
      </c>
      <c r="H2594" s="6">
        <v>216</v>
      </c>
      <c r="I2594" s="6">
        <v>151</v>
      </c>
      <c r="J2594" s="6">
        <v>15</v>
      </c>
      <c r="K2594" s="40">
        <v>691</v>
      </c>
      <c r="L2594" s="40">
        <v>111</v>
      </c>
      <c r="M2594" s="40">
        <v>72</v>
      </c>
      <c r="N2594" s="40">
        <v>0</v>
      </c>
      <c r="O2594" s="40">
        <v>50</v>
      </c>
      <c r="P2594" s="40">
        <v>5</v>
      </c>
      <c r="Q2594" s="40">
        <v>18</v>
      </c>
      <c r="R2594" s="40">
        <v>0</v>
      </c>
      <c r="S2594" s="40">
        <v>0</v>
      </c>
    </row>
    <row r="2595" spans="1:19" x14ac:dyDescent="0.35">
      <c r="A2595" s="38">
        <v>1662</v>
      </c>
      <c r="B2595" s="38" t="str">
        <f>_xlfn.XLOOKUP(A2595,'Model Modeshare by TAZ'!A:A,'Model Modeshare by TAZ'!B:B)</f>
        <v>Unincorporated</v>
      </c>
      <c r="C2595" s="38" t="str">
        <f>_xlfn.XLOOKUP(A2595,'Model Modeshare by TAZ'!A:A,'Model Modeshare by TAZ'!D:D)</f>
        <v>YES</v>
      </c>
      <c r="D2595" s="6">
        <v>2</v>
      </c>
      <c r="E2595" s="6">
        <v>330</v>
      </c>
      <c r="F2595" s="6">
        <v>822</v>
      </c>
      <c r="G2595" s="6">
        <v>854</v>
      </c>
      <c r="H2595" s="6">
        <v>430</v>
      </c>
      <c r="I2595" s="6">
        <v>300</v>
      </c>
      <c r="J2595" s="6">
        <v>30</v>
      </c>
      <c r="K2595" s="40">
        <v>4673</v>
      </c>
      <c r="L2595" s="40">
        <v>606</v>
      </c>
      <c r="M2595" s="40">
        <v>469</v>
      </c>
      <c r="N2595" s="40">
        <v>292</v>
      </c>
      <c r="O2595" s="40">
        <v>86</v>
      </c>
      <c r="P2595" s="40">
        <v>5</v>
      </c>
      <c r="Q2595" s="40">
        <v>87</v>
      </c>
      <c r="R2595" s="40">
        <v>0</v>
      </c>
      <c r="S2595" s="40">
        <v>0</v>
      </c>
    </row>
    <row r="2596" spans="1:19" x14ac:dyDescent="0.35">
      <c r="A2596" s="38">
        <v>1663</v>
      </c>
      <c r="B2596" s="38" t="str">
        <f>_xlfn.XLOOKUP(A2596,'Model Modeshare by TAZ'!A:A,'Model Modeshare by TAZ'!B:B)</f>
        <v>Unincorporated</v>
      </c>
      <c r="C2596" s="38" t="str">
        <f>_xlfn.XLOOKUP(A2596,'Model Modeshare by TAZ'!A:A,'Model Modeshare by TAZ'!D:D)</f>
        <v>YES</v>
      </c>
      <c r="D2596" s="6">
        <v>2</v>
      </c>
      <c r="E2596" s="6">
        <v>119</v>
      </c>
      <c r="F2596" s="6">
        <v>296</v>
      </c>
      <c r="G2596" s="6">
        <v>345</v>
      </c>
      <c r="H2596" s="6">
        <v>156</v>
      </c>
      <c r="I2596" s="6">
        <v>108</v>
      </c>
      <c r="J2596" s="6">
        <v>11</v>
      </c>
      <c r="K2596" s="40">
        <v>610</v>
      </c>
      <c r="L2596" s="40">
        <v>7</v>
      </c>
      <c r="M2596" s="40">
        <v>6</v>
      </c>
      <c r="N2596" s="40">
        <v>0</v>
      </c>
      <c r="O2596" s="40">
        <v>4</v>
      </c>
      <c r="P2596" s="40">
        <v>0</v>
      </c>
      <c r="Q2596" s="40">
        <v>2</v>
      </c>
      <c r="R2596" s="40">
        <v>0</v>
      </c>
      <c r="S2596" s="40">
        <v>0</v>
      </c>
    </row>
    <row r="2597" spans="1:19" x14ac:dyDescent="0.35">
      <c r="A2597" s="38">
        <v>1664</v>
      </c>
      <c r="B2597" s="38" t="str">
        <f>_xlfn.XLOOKUP(A2597,'Model Modeshare by TAZ'!A:A,'Model Modeshare by TAZ'!B:B)</f>
        <v>Unincorporated</v>
      </c>
      <c r="C2597" s="38" t="str">
        <f>_xlfn.XLOOKUP(A2597,'Model Modeshare by TAZ'!A:A,'Model Modeshare by TAZ'!D:D)</f>
        <v>YES</v>
      </c>
      <c r="D2597" s="6">
        <v>2</v>
      </c>
      <c r="E2597" s="6">
        <v>82</v>
      </c>
      <c r="F2597" s="6">
        <v>187</v>
      </c>
      <c r="G2597" s="6">
        <v>195</v>
      </c>
      <c r="H2597" s="6">
        <v>107</v>
      </c>
      <c r="I2597" s="6">
        <v>74</v>
      </c>
      <c r="J2597" s="6">
        <v>8</v>
      </c>
      <c r="K2597" s="40">
        <v>859</v>
      </c>
      <c r="L2597" s="40">
        <v>150</v>
      </c>
      <c r="M2597" s="40">
        <v>97</v>
      </c>
      <c r="N2597" s="40">
        <v>0</v>
      </c>
      <c r="O2597" s="40">
        <v>72</v>
      </c>
      <c r="P2597" s="40">
        <v>0</v>
      </c>
      <c r="Q2597" s="40">
        <v>25</v>
      </c>
      <c r="R2597" s="40">
        <v>0</v>
      </c>
      <c r="S2597" s="40">
        <v>0</v>
      </c>
    </row>
    <row r="2598" spans="1:19" x14ac:dyDescent="0.35">
      <c r="A2598" s="38">
        <v>1665</v>
      </c>
      <c r="B2598" s="38" t="str">
        <f>_xlfn.XLOOKUP(A2598,'Model Modeshare by TAZ'!A:A,'Model Modeshare by TAZ'!B:B)</f>
        <v>Unincorporated</v>
      </c>
      <c r="C2598" s="38" t="str">
        <f>_xlfn.XLOOKUP(A2598,'Model Modeshare by TAZ'!A:A,'Model Modeshare by TAZ'!D:D)</f>
        <v>YES</v>
      </c>
      <c r="D2598" s="6">
        <v>2</v>
      </c>
      <c r="E2598" s="6">
        <v>142</v>
      </c>
      <c r="F2598" s="6">
        <v>440</v>
      </c>
      <c r="G2598" s="6">
        <v>480</v>
      </c>
      <c r="H2598" s="6">
        <v>187</v>
      </c>
      <c r="I2598" s="6">
        <v>129</v>
      </c>
      <c r="J2598" s="6">
        <v>13</v>
      </c>
      <c r="K2598" s="40">
        <v>2007</v>
      </c>
      <c r="L2598" s="40">
        <v>395</v>
      </c>
      <c r="M2598" s="40">
        <v>291</v>
      </c>
      <c r="N2598" s="40">
        <v>223</v>
      </c>
      <c r="O2598" s="40">
        <v>16</v>
      </c>
      <c r="P2598" s="40">
        <v>3</v>
      </c>
      <c r="Q2598" s="40">
        <v>49</v>
      </c>
      <c r="R2598" s="40">
        <v>0</v>
      </c>
      <c r="S2598" s="40">
        <v>0</v>
      </c>
    </row>
    <row r="2599" spans="1:19" x14ac:dyDescent="0.35">
      <c r="A2599" s="38">
        <v>1666</v>
      </c>
      <c r="B2599" s="38" t="str">
        <f>_xlfn.XLOOKUP(A2599,'Model Modeshare by TAZ'!A:A,'Model Modeshare by TAZ'!B:B)</f>
        <v>Unincorporated</v>
      </c>
      <c r="C2599" s="38" t="str">
        <f>_xlfn.XLOOKUP(A2599,'Model Modeshare by TAZ'!A:A,'Model Modeshare by TAZ'!D:D)</f>
        <v>YES</v>
      </c>
      <c r="D2599" s="6">
        <v>2</v>
      </c>
      <c r="E2599" s="6">
        <v>743</v>
      </c>
      <c r="F2599" s="6">
        <v>2015</v>
      </c>
      <c r="G2599" s="6">
        <v>2030</v>
      </c>
      <c r="H2599" s="6">
        <v>823</v>
      </c>
      <c r="I2599" s="6">
        <v>680</v>
      </c>
      <c r="J2599" s="6">
        <v>64</v>
      </c>
      <c r="K2599" s="40">
        <v>661</v>
      </c>
      <c r="L2599" s="40">
        <v>134</v>
      </c>
      <c r="M2599" s="40">
        <v>199</v>
      </c>
      <c r="N2599" s="40">
        <v>27</v>
      </c>
      <c r="O2599" s="40">
        <v>61</v>
      </c>
      <c r="P2599" s="40">
        <v>85</v>
      </c>
      <c r="Q2599" s="40">
        <v>16</v>
      </c>
      <c r="R2599" s="40">
        <v>9</v>
      </c>
      <c r="S2599" s="40">
        <v>1</v>
      </c>
    </row>
    <row r="2600" spans="1:19" x14ac:dyDescent="0.35">
      <c r="A2600" s="38">
        <v>1667</v>
      </c>
      <c r="B2600" s="38" t="str">
        <f>_xlfn.XLOOKUP(A2600,'Model Modeshare by TAZ'!A:A,'Model Modeshare by TAZ'!B:B)</f>
        <v>Woodside</v>
      </c>
      <c r="C2600" s="38" t="str">
        <f>_xlfn.XLOOKUP(A2600,'Model Modeshare by TAZ'!A:A,'Model Modeshare by TAZ'!D:D)</f>
        <v>YES</v>
      </c>
      <c r="D2600" s="6">
        <v>2</v>
      </c>
      <c r="E2600" s="6">
        <v>264</v>
      </c>
      <c r="F2600" s="6">
        <v>725</v>
      </c>
      <c r="G2600" s="6">
        <v>725</v>
      </c>
      <c r="H2600" s="6">
        <v>309</v>
      </c>
      <c r="I2600" s="6">
        <v>261</v>
      </c>
      <c r="J2600" s="6">
        <v>3</v>
      </c>
      <c r="K2600" s="40">
        <v>471</v>
      </c>
      <c r="L2600" s="40">
        <v>19</v>
      </c>
      <c r="M2600" s="40">
        <v>109</v>
      </c>
      <c r="N2600" s="40">
        <v>26</v>
      </c>
      <c r="O2600" s="40">
        <v>53</v>
      </c>
      <c r="P2600" s="40">
        <v>29</v>
      </c>
      <c r="Q2600" s="40">
        <v>1</v>
      </c>
      <c r="R2600" s="40">
        <v>0</v>
      </c>
      <c r="S2600" s="40">
        <v>0</v>
      </c>
    </row>
    <row r="2601" spans="1:19" x14ac:dyDescent="0.35">
      <c r="A2601" s="38">
        <v>1668</v>
      </c>
      <c r="B2601" s="38" t="str">
        <f>_xlfn.XLOOKUP(A2601,'Model Modeshare by TAZ'!A:A,'Model Modeshare by TAZ'!B:B)</f>
        <v>Woodside</v>
      </c>
      <c r="C2601" s="38" t="str">
        <f>_xlfn.XLOOKUP(A2601,'Model Modeshare by TAZ'!A:A,'Model Modeshare by TAZ'!D:D)</f>
        <v>YES</v>
      </c>
      <c r="D2601" s="6">
        <v>2</v>
      </c>
      <c r="E2601" s="6">
        <v>133</v>
      </c>
      <c r="F2601" s="6">
        <v>403</v>
      </c>
      <c r="G2601" s="6">
        <v>403</v>
      </c>
      <c r="H2601" s="6">
        <v>158</v>
      </c>
      <c r="I2601" s="6">
        <v>131</v>
      </c>
      <c r="J2601" s="6">
        <v>2</v>
      </c>
      <c r="K2601" s="40">
        <v>174</v>
      </c>
      <c r="L2601" s="40">
        <v>12</v>
      </c>
      <c r="M2601" s="40">
        <v>52</v>
      </c>
      <c r="N2601" s="40">
        <v>0</v>
      </c>
      <c r="O2601" s="40">
        <v>49</v>
      </c>
      <c r="P2601" s="40">
        <v>2</v>
      </c>
      <c r="Q2601" s="40">
        <v>1</v>
      </c>
      <c r="R2601" s="40">
        <v>0</v>
      </c>
      <c r="S2601" s="40">
        <v>0</v>
      </c>
    </row>
    <row r="2602" spans="1:19" x14ac:dyDescent="0.35">
      <c r="A2602" s="38">
        <v>1669</v>
      </c>
      <c r="B2602" s="38" t="str">
        <f>_xlfn.XLOOKUP(A2602,'Model Modeshare by TAZ'!A:A,'Model Modeshare by TAZ'!B:B)</f>
        <v>San Carlos</v>
      </c>
      <c r="C2602" s="38" t="str">
        <f>_xlfn.XLOOKUP(A2602,'Model Modeshare by TAZ'!A:A,'Model Modeshare by TAZ'!D:D)</f>
        <v>YES</v>
      </c>
      <c r="D2602" s="6">
        <v>2</v>
      </c>
      <c r="E2602" s="6">
        <v>0</v>
      </c>
      <c r="F2602" s="6">
        <v>0</v>
      </c>
      <c r="G2602" s="6">
        <v>0</v>
      </c>
      <c r="H2602" s="6">
        <v>0</v>
      </c>
      <c r="I2602" s="6">
        <v>0</v>
      </c>
      <c r="J2602" s="6">
        <v>0</v>
      </c>
      <c r="K2602" s="40">
        <v>0</v>
      </c>
      <c r="L2602" s="40">
        <v>26</v>
      </c>
      <c r="M2602" s="40">
        <v>622</v>
      </c>
      <c r="N2602" s="40">
        <v>45</v>
      </c>
      <c r="O2602" s="40">
        <v>418</v>
      </c>
      <c r="P2602" s="40">
        <v>133</v>
      </c>
      <c r="Q2602" s="40">
        <v>1</v>
      </c>
      <c r="R2602" s="40">
        <v>25</v>
      </c>
      <c r="S2602" s="40">
        <v>0</v>
      </c>
    </row>
    <row r="2603" spans="1:19" x14ac:dyDescent="0.35">
      <c r="A2603" s="38">
        <v>1670</v>
      </c>
      <c r="B2603" s="38" t="str">
        <f>_xlfn.XLOOKUP(A2603,'Model Modeshare by TAZ'!A:A,'Model Modeshare by TAZ'!B:B)</f>
        <v>San Carlos</v>
      </c>
      <c r="C2603" s="38" t="str">
        <f>_xlfn.XLOOKUP(A2603,'Model Modeshare by TAZ'!A:A,'Model Modeshare by TAZ'!D:D)</f>
        <v>YES</v>
      </c>
      <c r="D2603" s="6">
        <v>2</v>
      </c>
      <c r="E2603" s="6">
        <v>3</v>
      </c>
      <c r="F2603" s="6">
        <v>5</v>
      </c>
      <c r="G2603" s="6">
        <v>46</v>
      </c>
      <c r="H2603" s="6">
        <v>4</v>
      </c>
      <c r="I2603" s="6">
        <v>2</v>
      </c>
      <c r="J2603" s="6">
        <v>1</v>
      </c>
      <c r="K2603" s="40">
        <v>1</v>
      </c>
      <c r="L2603" s="40">
        <v>143</v>
      </c>
      <c r="M2603" s="40">
        <v>3618</v>
      </c>
      <c r="N2603" s="40">
        <v>254</v>
      </c>
      <c r="O2603" s="40">
        <v>372</v>
      </c>
      <c r="P2603" s="40">
        <v>571</v>
      </c>
      <c r="Q2603" s="40">
        <v>2</v>
      </c>
      <c r="R2603" s="40">
        <v>1684</v>
      </c>
      <c r="S2603" s="40">
        <v>735</v>
      </c>
    </row>
    <row r="2604" spans="1:19" x14ac:dyDescent="0.35">
      <c r="A2604" s="38">
        <v>1671</v>
      </c>
      <c r="B2604" s="38" t="str">
        <f>_xlfn.XLOOKUP(A2604,'Model Modeshare by TAZ'!A:A,'Model Modeshare by TAZ'!B:B)</f>
        <v>Redwood City</v>
      </c>
      <c r="C2604" s="38" t="str">
        <f>_xlfn.XLOOKUP(A2604,'Model Modeshare by TAZ'!A:A,'Model Modeshare by TAZ'!D:D)</f>
        <v>YES</v>
      </c>
      <c r="D2604" s="6">
        <v>2</v>
      </c>
      <c r="E2604" s="6">
        <v>396</v>
      </c>
      <c r="F2604" s="6">
        <v>1060</v>
      </c>
      <c r="G2604" s="6">
        <v>1070</v>
      </c>
      <c r="H2604" s="6">
        <v>521</v>
      </c>
      <c r="I2604" s="6">
        <v>272</v>
      </c>
      <c r="J2604" s="6">
        <v>124</v>
      </c>
      <c r="K2604" s="40">
        <v>50</v>
      </c>
      <c r="L2604" s="40">
        <v>195</v>
      </c>
      <c r="M2604" s="40">
        <v>12019</v>
      </c>
      <c r="N2604" s="40">
        <v>2190</v>
      </c>
      <c r="O2604" s="40">
        <v>3408</v>
      </c>
      <c r="P2604" s="40">
        <v>5763</v>
      </c>
      <c r="Q2604" s="40">
        <v>0</v>
      </c>
      <c r="R2604" s="40">
        <v>0</v>
      </c>
      <c r="S2604" s="40">
        <v>658</v>
      </c>
    </row>
    <row r="2605" spans="1:19" x14ac:dyDescent="0.35">
      <c r="A2605" s="38">
        <v>1672</v>
      </c>
      <c r="B2605" s="38" t="str">
        <f>_xlfn.XLOOKUP(A2605,'Model Modeshare by TAZ'!A:A,'Model Modeshare by TAZ'!B:B)</f>
        <v>Redwood City</v>
      </c>
      <c r="C2605" s="38" t="str">
        <f>_xlfn.XLOOKUP(A2605,'Model Modeshare by TAZ'!A:A,'Model Modeshare by TAZ'!D:D)</f>
        <v>YES</v>
      </c>
      <c r="D2605" s="6">
        <v>2</v>
      </c>
      <c r="E2605" s="6">
        <v>391</v>
      </c>
      <c r="F2605" s="6">
        <v>1048</v>
      </c>
      <c r="G2605" s="6">
        <v>1185</v>
      </c>
      <c r="H2605" s="6">
        <v>530</v>
      </c>
      <c r="I2605" s="6">
        <v>28</v>
      </c>
      <c r="J2605" s="6">
        <v>363</v>
      </c>
      <c r="K2605" s="40">
        <v>35</v>
      </c>
      <c r="L2605" s="40">
        <v>139</v>
      </c>
      <c r="M2605" s="40">
        <v>416</v>
      </c>
      <c r="N2605" s="40">
        <v>202</v>
      </c>
      <c r="O2605" s="40">
        <v>20</v>
      </c>
      <c r="P2605" s="40">
        <v>176</v>
      </c>
      <c r="Q2605" s="40">
        <v>5</v>
      </c>
      <c r="R2605" s="40">
        <v>12</v>
      </c>
      <c r="S2605" s="40">
        <v>0</v>
      </c>
    </row>
    <row r="2606" spans="1:19" x14ac:dyDescent="0.35">
      <c r="A2606" s="38">
        <v>1673</v>
      </c>
      <c r="B2606" s="38" t="str">
        <f>_xlfn.XLOOKUP(A2606,'Model Modeshare by TAZ'!A:A,'Model Modeshare by TAZ'!B:B)</f>
        <v>Redwood City</v>
      </c>
      <c r="C2606" s="38" t="str">
        <f>_xlfn.XLOOKUP(A2606,'Model Modeshare by TAZ'!A:A,'Model Modeshare by TAZ'!D:D)</f>
        <v>YES</v>
      </c>
      <c r="D2606" s="6">
        <v>2</v>
      </c>
      <c r="E2606" s="6">
        <v>2</v>
      </c>
      <c r="F2606" s="6">
        <v>6</v>
      </c>
      <c r="G2606" s="6">
        <v>7</v>
      </c>
      <c r="H2606" s="6">
        <v>2</v>
      </c>
      <c r="I2606" s="6">
        <v>0</v>
      </c>
      <c r="J2606" s="6">
        <v>2</v>
      </c>
      <c r="K2606" s="40">
        <v>3</v>
      </c>
      <c r="L2606" s="40">
        <v>956</v>
      </c>
      <c r="M2606" s="40">
        <v>5239</v>
      </c>
      <c r="N2606" s="40">
        <v>335</v>
      </c>
      <c r="O2606" s="40">
        <v>3230</v>
      </c>
      <c r="P2606" s="40">
        <v>1295</v>
      </c>
      <c r="Q2606" s="40">
        <v>5</v>
      </c>
      <c r="R2606" s="40">
        <v>287</v>
      </c>
      <c r="S2606" s="40">
        <v>88</v>
      </c>
    </row>
    <row r="2607" spans="1:19" x14ac:dyDescent="0.35">
      <c r="A2607" s="38">
        <v>1674</v>
      </c>
      <c r="B2607" s="38" t="str">
        <f>_xlfn.XLOOKUP(A2607,'Model Modeshare by TAZ'!A:A,'Model Modeshare by TAZ'!B:B)</f>
        <v>Redwood City</v>
      </c>
      <c r="C2607" s="38" t="str">
        <f>_xlfn.XLOOKUP(A2607,'Model Modeshare by TAZ'!A:A,'Model Modeshare by TAZ'!D:D)</f>
        <v>YES</v>
      </c>
      <c r="D2607" s="6">
        <v>2</v>
      </c>
      <c r="E2607" s="6">
        <v>0</v>
      </c>
      <c r="F2607" s="6">
        <v>0</v>
      </c>
      <c r="G2607" s="6">
        <v>0</v>
      </c>
      <c r="H2607" s="6">
        <v>0</v>
      </c>
      <c r="I2607" s="6">
        <v>0</v>
      </c>
      <c r="J2607" s="6">
        <v>0</v>
      </c>
      <c r="K2607" s="40">
        <v>0</v>
      </c>
      <c r="L2607" s="40">
        <v>3</v>
      </c>
      <c r="M2607" s="40">
        <v>6</v>
      </c>
      <c r="N2607" s="40">
        <v>0</v>
      </c>
      <c r="O2607" s="40">
        <v>0</v>
      </c>
      <c r="P2607" s="40">
        <v>0</v>
      </c>
      <c r="Q2607" s="40">
        <v>5</v>
      </c>
      <c r="R2607" s="40">
        <v>1</v>
      </c>
      <c r="S2607" s="40">
        <v>0</v>
      </c>
    </row>
    <row r="2608" spans="1:19" x14ac:dyDescent="0.35">
      <c r="A2608" s="38">
        <v>1675</v>
      </c>
      <c r="B2608" s="38" t="str">
        <f>_xlfn.XLOOKUP(A2608,'Model Modeshare by TAZ'!A:A,'Model Modeshare by TAZ'!B:B)</f>
        <v>Redwood City</v>
      </c>
      <c r="C2608" s="38" t="str">
        <f>_xlfn.XLOOKUP(A2608,'Model Modeshare by TAZ'!A:A,'Model Modeshare by TAZ'!D:D)</f>
        <v>YES</v>
      </c>
      <c r="D2608" s="6">
        <v>2</v>
      </c>
      <c r="E2608" s="6">
        <v>532</v>
      </c>
      <c r="F2608" s="6">
        <v>1448</v>
      </c>
      <c r="G2608" s="6">
        <v>1569</v>
      </c>
      <c r="H2608" s="6">
        <v>749</v>
      </c>
      <c r="I2608" s="6">
        <v>54</v>
      </c>
      <c r="J2608" s="6">
        <v>478</v>
      </c>
      <c r="K2608" s="40">
        <v>69</v>
      </c>
      <c r="L2608" s="40">
        <v>143</v>
      </c>
      <c r="M2608" s="40">
        <v>330</v>
      </c>
      <c r="N2608" s="40">
        <v>51</v>
      </c>
      <c r="O2608" s="40">
        <v>8</v>
      </c>
      <c r="P2608" s="40">
        <v>239</v>
      </c>
      <c r="Q2608" s="40">
        <v>5</v>
      </c>
      <c r="R2608" s="40">
        <v>27</v>
      </c>
      <c r="S2608" s="40">
        <v>0</v>
      </c>
    </row>
    <row r="2609" spans="1:19" x14ac:dyDescent="0.35">
      <c r="A2609" s="38">
        <v>1676</v>
      </c>
      <c r="B2609" s="38" t="str">
        <f>_xlfn.XLOOKUP(A2609,'Model Modeshare by TAZ'!A:A,'Model Modeshare by TAZ'!B:B)</f>
        <v>Redwood City</v>
      </c>
      <c r="C2609" s="38" t="str">
        <f>_xlfn.XLOOKUP(A2609,'Model Modeshare by TAZ'!A:A,'Model Modeshare by TAZ'!D:D)</f>
        <v>YES</v>
      </c>
      <c r="D2609" s="6">
        <v>2</v>
      </c>
      <c r="E2609" s="6">
        <v>0</v>
      </c>
      <c r="F2609" s="6">
        <v>0</v>
      </c>
      <c r="G2609" s="6">
        <v>0</v>
      </c>
      <c r="H2609" s="6">
        <v>0</v>
      </c>
      <c r="I2609" s="6">
        <v>0</v>
      </c>
      <c r="J2609" s="6">
        <v>0</v>
      </c>
      <c r="K2609" s="40">
        <v>0</v>
      </c>
      <c r="L2609" s="40">
        <v>3</v>
      </c>
      <c r="M2609" s="40">
        <v>6</v>
      </c>
      <c r="N2609" s="40">
        <v>0</v>
      </c>
      <c r="O2609" s="40">
        <v>0</v>
      </c>
      <c r="P2609" s="40">
        <v>0</v>
      </c>
      <c r="Q2609" s="40">
        <v>5</v>
      </c>
      <c r="R2609" s="40">
        <v>1</v>
      </c>
      <c r="S2609" s="40">
        <v>0</v>
      </c>
    </row>
    <row r="2610" spans="1:19" x14ac:dyDescent="0.35">
      <c r="A2610" s="38">
        <v>1677</v>
      </c>
      <c r="B2610" s="38" t="str">
        <f>_xlfn.XLOOKUP(A2610,'Model Modeshare by TAZ'!A:A,'Model Modeshare by TAZ'!B:B)</f>
        <v>Redwood City</v>
      </c>
      <c r="C2610" s="38" t="str">
        <f>_xlfn.XLOOKUP(A2610,'Model Modeshare by TAZ'!A:A,'Model Modeshare by TAZ'!D:D)</f>
        <v>YES</v>
      </c>
      <c r="D2610" s="6">
        <v>2</v>
      </c>
      <c r="E2610" s="6">
        <v>2</v>
      </c>
      <c r="F2610" s="6">
        <v>4</v>
      </c>
      <c r="G2610" s="6">
        <v>4</v>
      </c>
      <c r="H2610" s="6">
        <v>2</v>
      </c>
      <c r="I2610" s="6">
        <v>0</v>
      </c>
      <c r="J2610" s="6">
        <v>2</v>
      </c>
      <c r="K2610" s="40">
        <v>0</v>
      </c>
      <c r="L2610" s="40">
        <v>3</v>
      </c>
      <c r="M2610" s="40">
        <v>6</v>
      </c>
      <c r="N2610" s="40">
        <v>0</v>
      </c>
      <c r="O2610" s="40">
        <v>0</v>
      </c>
      <c r="P2610" s="40">
        <v>0</v>
      </c>
      <c r="Q2610" s="40">
        <v>5</v>
      </c>
      <c r="R2610" s="40">
        <v>1</v>
      </c>
      <c r="S2610" s="40">
        <v>0</v>
      </c>
    </row>
    <row r="2611" spans="1:19" x14ac:dyDescent="0.35">
      <c r="A2611" s="38">
        <v>1678</v>
      </c>
      <c r="B2611" s="38" t="str">
        <f>_xlfn.XLOOKUP(A2611,'Model Modeshare by TAZ'!A:A,'Model Modeshare by TAZ'!B:B)</f>
        <v>Redwood City</v>
      </c>
      <c r="C2611" s="38" t="str">
        <f>_xlfn.XLOOKUP(A2611,'Model Modeshare by TAZ'!A:A,'Model Modeshare by TAZ'!D:D)</f>
        <v>YES</v>
      </c>
      <c r="D2611" s="6">
        <v>2</v>
      </c>
      <c r="E2611" s="6">
        <v>252</v>
      </c>
      <c r="F2611" s="6">
        <v>1003</v>
      </c>
      <c r="G2611" s="6">
        <v>1009</v>
      </c>
      <c r="H2611" s="6">
        <v>453</v>
      </c>
      <c r="I2611" s="6">
        <v>71</v>
      </c>
      <c r="J2611" s="6">
        <v>181</v>
      </c>
      <c r="K2611" s="40">
        <v>22</v>
      </c>
      <c r="L2611" s="40">
        <v>15</v>
      </c>
      <c r="M2611" s="40">
        <v>422</v>
      </c>
      <c r="N2611" s="40">
        <v>91</v>
      </c>
      <c r="O2611" s="40">
        <v>160</v>
      </c>
      <c r="P2611" s="40">
        <v>162</v>
      </c>
      <c r="Q2611" s="40">
        <v>2</v>
      </c>
      <c r="R2611" s="40">
        <v>8</v>
      </c>
      <c r="S2611" s="40">
        <v>0</v>
      </c>
    </row>
    <row r="2612" spans="1:19" x14ac:dyDescent="0.35">
      <c r="A2612" s="38">
        <v>1679</v>
      </c>
      <c r="B2612" s="38" t="str">
        <f>_xlfn.XLOOKUP(A2612,'Model Modeshare by TAZ'!A:A,'Model Modeshare by TAZ'!B:B)</f>
        <v>Redwood City</v>
      </c>
      <c r="C2612" s="38" t="str">
        <f>_xlfn.XLOOKUP(A2612,'Model Modeshare by TAZ'!A:A,'Model Modeshare by TAZ'!D:D)</f>
        <v>YES</v>
      </c>
      <c r="D2612" s="6">
        <v>2</v>
      </c>
      <c r="E2612" s="6">
        <v>49</v>
      </c>
      <c r="F2612" s="6">
        <v>90</v>
      </c>
      <c r="G2612" s="6">
        <v>113</v>
      </c>
      <c r="H2612" s="6">
        <v>61</v>
      </c>
      <c r="I2612" s="6">
        <v>4</v>
      </c>
      <c r="J2612" s="6">
        <v>45</v>
      </c>
      <c r="K2612" s="40">
        <v>1</v>
      </c>
      <c r="L2612" s="40">
        <v>77</v>
      </c>
      <c r="M2612" s="40">
        <v>4445</v>
      </c>
      <c r="N2612" s="40">
        <v>733</v>
      </c>
      <c r="O2612" s="40">
        <v>1067</v>
      </c>
      <c r="P2612" s="40">
        <v>1206</v>
      </c>
      <c r="Q2612" s="40">
        <v>9</v>
      </c>
      <c r="R2612" s="40">
        <v>1268</v>
      </c>
      <c r="S2612" s="40">
        <v>161</v>
      </c>
    </row>
    <row r="2613" spans="1:19" x14ac:dyDescent="0.35">
      <c r="A2613" s="38">
        <v>1680</v>
      </c>
      <c r="B2613" s="38" t="str">
        <f>_xlfn.XLOOKUP(A2613,'Model Modeshare by TAZ'!A:A,'Model Modeshare by TAZ'!B:B)</f>
        <v>Redwood City</v>
      </c>
      <c r="C2613" s="38" t="str">
        <f>_xlfn.XLOOKUP(A2613,'Model Modeshare by TAZ'!A:A,'Model Modeshare by TAZ'!D:D)</f>
        <v>YES</v>
      </c>
      <c r="D2613" s="6">
        <v>2</v>
      </c>
      <c r="E2613" s="6">
        <v>99</v>
      </c>
      <c r="F2613" s="6">
        <v>338</v>
      </c>
      <c r="G2613" s="6">
        <v>354</v>
      </c>
      <c r="H2613" s="6">
        <v>186</v>
      </c>
      <c r="I2613" s="6">
        <v>27</v>
      </c>
      <c r="J2613" s="6">
        <v>72</v>
      </c>
      <c r="K2613" s="40">
        <v>6</v>
      </c>
      <c r="L2613" s="40">
        <v>4</v>
      </c>
      <c r="M2613" s="40">
        <v>85</v>
      </c>
      <c r="N2613" s="40">
        <v>16</v>
      </c>
      <c r="O2613" s="40">
        <v>34</v>
      </c>
      <c r="P2613" s="40">
        <v>33</v>
      </c>
      <c r="Q2613" s="40">
        <v>1</v>
      </c>
      <c r="R2613" s="40">
        <v>1</v>
      </c>
      <c r="S2613" s="40">
        <v>0</v>
      </c>
    </row>
    <row r="2614" spans="1:19" x14ac:dyDescent="0.35">
      <c r="A2614" s="38">
        <v>1681</v>
      </c>
      <c r="B2614" s="38" t="str">
        <f>_xlfn.XLOOKUP(A2614,'Model Modeshare by TAZ'!A:A,'Model Modeshare by TAZ'!B:B)</f>
        <v>Menlo Park</v>
      </c>
      <c r="C2614" s="38" t="str">
        <f>_xlfn.XLOOKUP(A2614,'Model Modeshare by TAZ'!A:A,'Model Modeshare by TAZ'!D:D)</f>
        <v>YES</v>
      </c>
      <c r="D2614" s="6">
        <v>2</v>
      </c>
      <c r="E2614" s="6">
        <v>875</v>
      </c>
      <c r="F2614" s="6">
        <v>3373</v>
      </c>
      <c r="G2614" s="6">
        <v>3373</v>
      </c>
      <c r="H2614" s="6">
        <v>1709</v>
      </c>
      <c r="I2614" s="6">
        <v>674</v>
      </c>
      <c r="J2614" s="6">
        <v>201</v>
      </c>
      <c r="K2614" s="40">
        <v>105</v>
      </c>
      <c r="L2614" s="40">
        <v>14</v>
      </c>
      <c r="M2614" s="40">
        <v>136</v>
      </c>
      <c r="N2614" s="40">
        <v>33</v>
      </c>
      <c r="O2614" s="40">
        <v>46</v>
      </c>
      <c r="P2614" s="40">
        <v>13</v>
      </c>
      <c r="Q2614" s="40">
        <v>7</v>
      </c>
      <c r="R2614" s="40">
        <v>21</v>
      </c>
      <c r="S2614" s="40">
        <v>16</v>
      </c>
    </row>
    <row r="2615" spans="1:19" x14ac:dyDescent="0.35">
      <c r="A2615" s="38">
        <v>1682</v>
      </c>
      <c r="B2615" s="38" t="str">
        <f>_xlfn.XLOOKUP(A2615,'Model Modeshare by TAZ'!A:A,'Model Modeshare by TAZ'!B:B)</f>
        <v>East Palo Alto</v>
      </c>
      <c r="C2615" s="38" t="str">
        <f>_xlfn.XLOOKUP(A2615,'Model Modeshare by TAZ'!A:A,'Model Modeshare by TAZ'!D:D)</f>
        <v>YES</v>
      </c>
      <c r="D2615" s="6">
        <v>2</v>
      </c>
      <c r="E2615" s="6">
        <v>886</v>
      </c>
      <c r="F2615" s="6">
        <v>3548</v>
      </c>
      <c r="G2615" s="6">
        <v>3580</v>
      </c>
      <c r="H2615" s="6">
        <v>1757</v>
      </c>
      <c r="I2615" s="6">
        <v>696</v>
      </c>
      <c r="J2615" s="6">
        <v>190</v>
      </c>
      <c r="K2615" s="40">
        <v>151</v>
      </c>
      <c r="L2615" s="40">
        <v>11</v>
      </c>
      <c r="M2615" s="40">
        <v>95</v>
      </c>
      <c r="N2615" s="40">
        <v>1</v>
      </c>
      <c r="O2615" s="40">
        <v>65</v>
      </c>
      <c r="P2615" s="40">
        <v>26</v>
      </c>
      <c r="Q2615" s="40">
        <v>2</v>
      </c>
      <c r="R2615" s="40">
        <v>1</v>
      </c>
      <c r="S2615" s="40">
        <v>0</v>
      </c>
    </row>
    <row r="2616" spans="1:19" x14ac:dyDescent="0.35">
      <c r="A2616" s="38">
        <v>1683</v>
      </c>
      <c r="B2616" s="38" t="str">
        <f>_xlfn.XLOOKUP(A2616,'Model Modeshare by TAZ'!A:A,'Model Modeshare by TAZ'!B:B)</f>
        <v>Menlo Park</v>
      </c>
      <c r="C2616" s="38" t="str">
        <f>_xlfn.XLOOKUP(A2616,'Model Modeshare by TAZ'!A:A,'Model Modeshare by TAZ'!D:D)</f>
        <v>YES</v>
      </c>
      <c r="D2616" s="6">
        <v>2</v>
      </c>
      <c r="E2616" s="6">
        <v>217</v>
      </c>
      <c r="F2616" s="6">
        <v>628</v>
      </c>
      <c r="G2616" s="6">
        <v>887</v>
      </c>
      <c r="H2616" s="6">
        <v>345</v>
      </c>
      <c r="I2616" s="6">
        <v>209</v>
      </c>
      <c r="J2616" s="6">
        <v>9</v>
      </c>
      <c r="K2616" s="40">
        <v>59</v>
      </c>
      <c r="L2616" s="40">
        <v>4</v>
      </c>
      <c r="M2616" s="40">
        <v>10</v>
      </c>
      <c r="N2616" s="40">
        <v>0</v>
      </c>
      <c r="O2616" s="40">
        <v>6</v>
      </c>
      <c r="P2616" s="40">
        <v>2</v>
      </c>
      <c r="Q2616" s="40">
        <v>0</v>
      </c>
      <c r="R2616" s="40">
        <v>2</v>
      </c>
      <c r="S2616" s="40">
        <v>1</v>
      </c>
    </row>
    <row r="2617" spans="1:19" x14ac:dyDescent="0.35">
      <c r="A2617" s="38">
        <v>1684</v>
      </c>
      <c r="B2617" s="38" t="str">
        <f>_xlfn.XLOOKUP(A2617,'Model Modeshare by TAZ'!A:A,'Model Modeshare by TAZ'!B:B)</f>
        <v>Atherton</v>
      </c>
      <c r="C2617" s="38" t="str">
        <f>_xlfn.XLOOKUP(A2617,'Model Modeshare by TAZ'!A:A,'Model Modeshare by TAZ'!D:D)</f>
        <v>YES</v>
      </c>
      <c r="D2617" s="6">
        <v>2</v>
      </c>
      <c r="E2617" s="6">
        <v>296</v>
      </c>
      <c r="F2617" s="6">
        <v>818</v>
      </c>
      <c r="G2617" s="6">
        <v>1027</v>
      </c>
      <c r="H2617" s="6">
        <v>340</v>
      </c>
      <c r="I2617" s="6">
        <v>293</v>
      </c>
      <c r="J2617" s="6">
        <v>2</v>
      </c>
      <c r="K2617" s="40">
        <v>398</v>
      </c>
      <c r="L2617" s="40">
        <v>21</v>
      </c>
      <c r="M2617" s="40">
        <v>161</v>
      </c>
      <c r="N2617" s="40">
        <v>1</v>
      </c>
      <c r="O2617" s="40">
        <v>127</v>
      </c>
      <c r="P2617" s="40">
        <v>25</v>
      </c>
      <c r="Q2617" s="40">
        <v>1</v>
      </c>
      <c r="R2617" s="40">
        <v>5</v>
      </c>
      <c r="S2617" s="40">
        <v>3</v>
      </c>
    </row>
    <row r="2618" spans="1:19" x14ac:dyDescent="0.35">
      <c r="A2618" s="38">
        <v>1685</v>
      </c>
      <c r="B2618" s="38" t="str">
        <f>_xlfn.XLOOKUP(A2618,'Model Modeshare by TAZ'!A:A,'Model Modeshare by TAZ'!B:B)</f>
        <v>Atherton</v>
      </c>
      <c r="C2618" s="38" t="str">
        <f>_xlfn.XLOOKUP(A2618,'Model Modeshare by TAZ'!A:A,'Model Modeshare by TAZ'!D:D)</f>
        <v>YES</v>
      </c>
      <c r="D2618" s="6">
        <v>2</v>
      </c>
      <c r="E2618" s="6">
        <v>469</v>
      </c>
      <c r="F2618" s="6">
        <v>1240</v>
      </c>
      <c r="G2618" s="6">
        <v>1319</v>
      </c>
      <c r="H2618" s="6">
        <v>535</v>
      </c>
      <c r="I2618" s="6">
        <v>466</v>
      </c>
      <c r="J2618" s="6">
        <v>3</v>
      </c>
      <c r="K2618" s="40">
        <v>508</v>
      </c>
      <c r="L2618" s="40">
        <v>39</v>
      </c>
      <c r="M2618" s="40">
        <v>0</v>
      </c>
      <c r="N2618" s="40">
        <v>0</v>
      </c>
      <c r="O2618" s="40">
        <v>0</v>
      </c>
      <c r="P2618" s="40">
        <v>0</v>
      </c>
      <c r="Q2618" s="40">
        <v>0</v>
      </c>
      <c r="R2618" s="40">
        <v>0</v>
      </c>
      <c r="S2618" s="40">
        <v>0</v>
      </c>
    </row>
    <row r="2619" spans="1:19" x14ac:dyDescent="0.35">
      <c r="A2619" s="38">
        <v>1686</v>
      </c>
      <c r="B2619" s="38" t="str">
        <f>_xlfn.XLOOKUP(A2619,'Model Modeshare by TAZ'!A:A,'Model Modeshare by TAZ'!B:B)</f>
        <v>Atherton</v>
      </c>
      <c r="C2619" s="38" t="str">
        <f>_xlfn.XLOOKUP(A2619,'Model Modeshare by TAZ'!A:A,'Model Modeshare by TAZ'!D:D)</f>
        <v>YES</v>
      </c>
      <c r="D2619" s="6">
        <v>2</v>
      </c>
      <c r="E2619" s="6">
        <v>103</v>
      </c>
      <c r="F2619" s="6">
        <v>324</v>
      </c>
      <c r="G2619" s="6">
        <v>449</v>
      </c>
      <c r="H2619" s="6">
        <v>117</v>
      </c>
      <c r="I2619" s="6">
        <v>102</v>
      </c>
      <c r="J2619" s="6">
        <v>1</v>
      </c>
      <c r="K2619" s="40">
        <v>115</v>
      </c>
      <c r="L2619" s="40">
        <v>35</v>
      </c>
      <c r="M2619" s="40">
        <v>260</v>
      </c>
      <c r="N2619" s="40">
        <v>21</v>
      </c>
      <c r="O2619" s="40">
        <v>165</v>
      </c>
      <c r="P2619" s="40">
        <v>62</v>
      </c>
      <c r="Q2619" s="40">
        <v>1</v>
      </c>
      <c r="R2619" s="40">
        <v>10</v>
      </c>
      <c r="S2619" s="40">
        <v>2</v>
      </c>
    </row>
    <row r="2620" spans="1:19" x14ac:dyDescent="0.35">
      <c r="A2620" s="38">
        <v>1687</v>
      </c>
      <c r="B2620" s="38" t="str">
        <f>_xlfn.XLOOKUP(A2620,'Model Modeshare by TAZ'!A:A,'Model Modeshare by TAZ'!B:B)</f>
        <v>South San Francisco</v>
      </c>
      <c r="C2620" s="38" t="str">
        <f>_xlfn.XLOOKUP(A2620,'Model Modeshare by TAZ'!A:A,'Model Modeshare by TAZ'!D:D)</f>
        <v>YES</v>
      </c>
      <c r="D2620" s="6">
        <v>2</v>
      </c>
      <c r="E2620" s="6">
        <v>123</v>
      </c>
      <c r="F2620" s="6">
        <v>297</v>
      </c>
      <c r="G2620" s="6">
        <v>305</v>
      </c>
      <c r="H2620" s="6">
        <v>133</v>
      </c>
      <c r="I2620" s="6">
        <v>0</v>
      </c>
      <c r="J2620" s="6">
        <v>123</v>
      </c>
      <c r="K2620" s="40">
        <v>48</v>
      </c>
      <c r="L2620" s="40">
        <v>20</v>
      </c>
      <c r="M2620" s="40">
        <v>950</v>
      </c>
      <c r="N2620" s="40">
        <v>132</v>
      </c>
      <c r="O2620" s="40">
        <v>690</v>
      </c>
      <c r="P2620" s="40">
        <v>109</v>
      </c>
      <c r="Q2620" s="40">
        <v>14</v>
      </c>
      <c r="R2620" s="40">
        <v>5</v>
      </c>
      <c r="S2620" s="40">
        <v>0</v>
      </c>
    </row>
    <row r="2621" spans="1:19" x14ac:dyDescent="0.35">
      <c r="A2621" s="38">
        <v>1891</v>
      </c>
      <c r="B2621" s="38" t="str">
        <f>_xlfn.XLOOKUP(A2621,'Model Modeshare by TAZ'!A:A,'Model Modeshare by TAZ'!B:B)</f>
        <v>Unincorporated</v>
      </c>
      <c r="C2621" s="38" t="str">
        <f>_xlfn.XLOOKUP(A2621,'Model Modeshare by TAZ'!A:A,'Model Modeshare by TAZ'!D:D)</f>
        <v>YES</v>
      </c>
      <c r="D2621" s="6">
        <v>2</v>
      </c>
      <c r="E2621" s="6">
        <v>662</v>
      </c>
      <c r="F2621" s="6">
        <v>1898</v>
      </c>
      <c r="G2621" s="6">
        <v>1908</v>
      </c>
      <c r="H2621" s="6">
        <v>979</v>
      </c>
      <c r="I2621" s="6">
        <v>607</v>
      </c>
      <c r="J2621" s="6">
        <v>55</v>
      </c>
      <c r="K2621" s="40">
        <v>60</v>
      </c>
      <c r="L2621" s="40">
        <v>14</v>
      </c>
      <c r="M2621" s="40">
        <v>403</v>
      </c>
      <c r="N2621" s="40">
        <v>279</v>
      </c>
      <c r="O2621" s="40">
        <v>60</v>
      </c>
      <c r="P2621" s="40">
        <v>61</v>
      </c>
      <c r="Q2621" s="40">
        <v>0</v>
      </c>
      <c r="R2621" s="40">
        <v>1</v>
      </c>
      <c r="S2621" s="40">
        <v>2</v>
      </c>
    </row>
    <row r="2622" spans="1:19" x14ac:dyDescent="0.35">
      <c r="A2622" s="38">
        <v>1892</v>
      </c>
      <c r="B2622" s="38" t="str">
        <f>_xlfn.XLOOKUP(A2622,'Model Modeshare by TAZ'!A:A,'Model Modeshare by TAZ'!B:B)</f>
        <v>Daly City</v>
      </c>
      <c r="C2622" s="38" t="str">
        <f>_xlfn.XLOOKUP(A2622,'Model Modeshare by TAZ'!A:A,'Model Modeshare by TAZ'!D:D)</f>
        <v>YES</v>
      </c>
      <c r="D2622" s="6">
        <v>2</v>
      </c>
      <c r="E2622" s="6">
        <v>2720</v>
      </c>
      <c r="F2622" s="6">
        <v>7367</v>
      </c>
      <c r="G2622" s="6">
        <v>7375</v>
      </c>
      <c r="H2622" s="6">
        <v>4252</v>
      </c>
      <c r="I2622" s="6">
        <v>310</v>
      </c>
      <c r="J2622" s="6">
        <v>2410</v>
      </c>
      <c r="K2622" s="40">
        <v>66</v>
      </c>
      <c r="L2622" s="40">
        <v>37</v>
      </c>
      <c r="M2622" s="40">
        <v>1713</v>
      </c>
      <c r="N2622" s="40">
        <v>507</v>
      </c>
      <c r="O2622" s="40">
        <v>563</v>
      </c>
      <c r="P2622" s="40">
        <v>621</v>
      </c>
      <c r="Q2622" s="40">
        <v>3</v>
      </c>
      <c r="R2622" s="40">
        <v>16</v>
      </c>
      <c r="S2622" s="40">
        <v>3</v>
      </c>
    </row>
    <row r="2623" spans="1:19" x14ac:dyDescent="0.35">
      <c r="A2623" s="38">
        <v>1893</v>
      </c>
      <c r="B2623" s="38" t="str">
        <f>_xlfn.XLOOKUP(A2623,'Model Modeshare by TAZ'!A:A,'Model Modeshare by TAZ'!B:B)</f>
        <v>Daly City</v>
      </c>
      <c r="C2623" s="38" t="str">
        <f>_xlfn.XLOOKUP(A2623,'Model Modeshare by TAZ'!A:A,'Model Modeshare by TAZ'!D:D)</f>
        <v>YES</v>
      </c>
      <c r="D2623" s="6">
        <v>2</v>
      </c>
      <c r="E2623" s="6">
        <v>1031</v>
      </c>
      <c r="F2623" s="6">
        <v>3217</v>
      </c>
      <c r="G2623" s="6">
        <v>3302</v>
      </c>
      <c r="H2623" s="6">
        <v>1923</v>
      </c>
      <c r="I2623" s="6">
        <v>685</v>
      </c>
      <c r="J2623" s="6">
        <v>347</v>
      </c>
      <c r="K2623" s="40">
        <v>121</v>
      </c>
      <c r="L2623" s="40">
        <v>43</v>
      </c>
      <c r="M2623" s="40">
        <v>2370</v>
      </c>
      <c r="N2623" s="40">
        <v>401</v>
      </c>
      <c r="O2623" s="40">
        <v>1448</v>
      </c>
      <c r="P2623" s="40">
        <v>508</v>
      </c>
      <c r="Q2623" s="40">
        <v>6</v>
      </c>
      <c r="R2623" s="40">
        <v>5</v>
      </c>
      <c r="S2623" s="40">
        <v>3</v>
      </c>
    </row>
    <row r="2624" spans="1:19" x14ac:dyDescent="0.35">
      <c r="A2624" s="38">
        <v>1894</v>
      </c>
      <c r="B2624" s="38" t="str">
        <f>_xlfn.XLOOKUP(A2624,'Model Modeshare by TAZ'!A:A,'Model Modeshare by TAZ'!B:B)</f>
        <v>Daly City</v>
      </c>
      <c r="C2624" s="38" t="str">
        <f>_xlfn.XLOOKUP(A2624,'Model Modeshare by TAZ'!A:A,'Model Modeshare by TAZ'!D:D)</f>
        <v>YES</v>
      </c>
      <c r="D2624" s="6">
        <v>2</v>
      </c>
      <c r="E2624" s="6">
        <v>1143</v>
      </c>
      <c r="F2624" s="6">
        <v>3710</v>
      </c>
      <c r="G2624" s="6">
        <v>3765</v>
      </c>
      <c r="H2624" s="6">
        <v>2135</v>
      </c>
      <c r="I2624" s="6">
        <v>891</v>
      </c>
      <c r="J2624" s="6">
        <v>252</v>
      </c>
      <c r="K2624" s="40">
        <v>77</v>
      </c>
      <c r="L2624" s="40">
        <v>136</v>
      </c>
      <c r="M2624" s="40">
        <v>3150</v>
      </c>
      <c r="N2624" s="40">
        <v>186</v>
      </c>
      <c r="O2624" s="40">
        <v>1977</v>
      </c>
      <c r="P2624" s="40">
        <v>942</v>
      </c>
      <c r="Q2624" s="40">
        <v>17</v>
      </c>
      <c r="R2624" s="40">
        <v>19</v>
      </c>
      <c r="S2624" s="40">
        <v>9</v>
      </c>
    </row>
    <row r="2625" spans="1:19" x14ac:dyDescent="0.35">
      <c r="A2625" s="38">
        <v>1895</v>
      </c>
      <c r="B2625" s="38" t="str">
        <f>_xlfn.XLOOKUP(A2625,'Model Modeshare by TAZ'!A:A,'Model Modeshare by TAZ'!B:B)</f>
        <v>Daly City</v>
      </c>
      <c r="C2625" s="38" t="str">
        <f>_xlfn.XLOOKUP(A2625,'Model Modeshare by TAZ'!A:A,'Model Modeshare by TAZ'!D:D)</f>
        <v>YES</v>
      </c>
      <c r="D2625" s="6">
        <v>2</v>
      </c>
      <c r="E2625" s="6">
        <v>1922</v>
      </c>
      <c r="F2625" s="6">
        <v>6276</v>
      </c>
      <c r="G2625" s="6">
        <v>6287</v>
      </c>
      <c r="H2625" s="6">
        <v>3260</v>
      </c>
      <c r="I2625" s="6">
        <v>1784</v>
      </c>
      <c r="J2625" s="6">
        <v>138</v>
      </c>
      <c r="K2625" s="40">
        <v>137</v>
      </c>
      <c r="L2625" s="40">
        <v>12</v>
      </c>
      <c r="M2625" s="40">
        <v>434</v>
      </c>
      <c r="N2625" s="40">
        <v>114</v>
      </c>
      <c r="O2625" s="40">
        <v>231</v>
      </c>
      <c r="P2625" s="40">
        <v>66</v>
      </c>
      <c r="Q2625" s="40">
        <v>8</v>
      </c>
      <c r="R2625" s="40">
        <v>2</v>
      </c>
      <c r="S2625" s="40">
        <v>14</v>
      </c>
    </row>
    <row r="2626" spans="1:19" x14ac:dyDescent="0.35">
      <c r="A2626" s="38">
        <v>1896</v>
      </c>
      <c r="B2626" s="38" t="str">
        <f>_xlfn.XLOOKUP(A2626,'Model Modeshare by TAZ'!A:A,'Model Modeshare by TAZ'!B:B)</f>
        <v>Daly City</v>
      </c>
      <c r="C2626" s="38" t="str">
        <f>_xlfn.XLOOKUP(A2626,'Model Modeshare by TAZ'!A:A,'Model Modeshare by TAZ'!D:D)</f>
        <v>YES</v>
      </c>
      <c r="D2626" s="6">
        <v>2</v>
      </c>
      <c r="E2626" s="6">
        <v>1960</v>
      </c>
      <c r="F2626" s="6">
        <v>6365</v>
      </c>
      <c r="G2626" s="6">
        <v>6409</v>
      </c>
      <c r="H2626" s="6">
        <v>3446</v>
      </c>
      <c r="I2626" s="6">
        <v>1940</v>
      </c>
      <c r="J2626" s="6">
        <v>20</v>
      </c>
      <c r="K2626" s="40">
        <v>152</v>
      </c>
      <c r="L2626" s="40">
        <v>81</v>
      </c>
      <c r="M2626" s="40">
        <v>224</v>
      </c>
      <c r="N2626" s="40">
        <v>104</v>
      </c>
      <c r="O2626" s="40">
        <v>73</v>
      </c>
      <c r="P2626" s="40">
        <v>39</v>
      </c>
      <c r="Q2626" s="40">
        <v>4</v>
      </c>
      <c r="R2626" s="40">
        <v>4</v>
      </c>
      <c r="S2626" s="40">
        <v>0</v>
      </c>
    </row>
    <row r="2627" spans="1:19" x14ac:dyDescent="0.35">
      <c r="A2627" s="38">
        <v>1897</v>
      </c>
      <c r="B2627" s="38" t="str">
        <f>_xlfn.XLOOKUP(A2627,'Model Modeshare by TAZ'!A:A,'Model Modeshare by TAZ'!B:B)</f>
        <v>Daly City</v>
      </c>
      <c r="C2627" s="38" t="str">
        <f>_xlfn.XLOOKUP(A2627,'Model Modeshare by TAZ'!A:A,'Model Modeshare by TAZ'!D:D)</f>
        <v>YES</v>
      </c>
      <c r="D2627" s="6">
        <v>2</v>
      </c>
      <c r="E2627" s="6">
        <v>1045</v>
      </c>
      <c r="F2627" s="6">
        <v>4234</v>
      </c>
      <c r="G2627" s="6">
        <v>4260</v>
      </c>
      <c r="H2627" s="6">
        <v>2164</v>
      </c>
      <c r="I2627" s="6">
        <v>1005</v>
      </c>
      <c r="J2627" s="6">
        <v>41</v>
      </c>
      <c r="K2627" s="40">
        <v>75</v>
      </c>
      <c r="L2627" s="40">
        <v>8</v>
      </c>
      <c r="M2627" s="40">
        <v>82</v>
      </c>
      <c r="N2627" s="40">
        <v>11</v>
      </c>
      <c r="O2627" s="40">
        <v>66</v>
      </c>
      <c r="P2627" s="40">
        <v>4</v>
      </c>
      <c r="Q2627" s="40">
        <v>0</v>
      </c>
      <c r="R2627" s="40">
        <v>1</v>
      </c>
      <c r="S2627" s="40">
        <v>0</v>
      </c>
    </row>
    <row r="2628" spans="1:19" x14ac:dyDescent="0.35">
      <c r="A2628" s="38">
        <v>1898</v>
      </c>
      <c r="B2628" s="38" t="str">
        <f>_xlfn.XLOOKUP(A2628,'Model Modeshare by TAZ'!A:A,'Model Modeshare by TAZ'!B:B)</f>
        <v>Daly City</v>
      </c>
      <c r="C2628" s="38" t="str">
        <f>_xlfn.XLOOKUP(A2628,'Model Modeshare by TAZ'!A:A,'Model Modeshare by TAZ'!D:D)</f>
        <v>YES</v>
      </c>
      <c r="D2628" s="6">
        <v>2</v>
      </c>
      <c r="E2628" s="6">
        <v>852</v>
      </c>
      <c r="F2628" s="6">
        <v>2077</v>
      </c>
      <c r="G2628" s="6">
        <v>2212</v>
      </c>
      <c r="H2628" s="6">
        <v>1455</v>
      </c>
      <c r="I2628" s="6">
        <v>122</v>
      </c>
      <c r="J2628" s="6">
        <v>730</v>
      </c>
      <c r="K2628" s="40">
        <v>53</v>
      </c>
      <c r="L2628" s="40">
        <v>23</v>
      </c>
      <c r="M2628" s="40">
        <v>524</v>
      </c>
      <c r="N2628" s="40">
        <v>61</v>
      </c>
      <c r="O2628" s="40">
        <v>411</v>
      </c>
      <c r="P2628" s="40">
        <v>47</v>
      </c>
      <c r="Q2628" s="40">
        <v>1</v>
      </c>
      <c r="R2628" s="40">
        <v>4</v>
      </c>
      <c r="S2628" s="40">
        <v>0</v>
      </c>
    </row>
    <row r="2629" spans="1:19" x14ac:dyDescent="0.35">
      <c r="A2629" s="38">
        <v>1899</v>
      </c>
      <c r="B2629" s="38" t="str">
        <f>_xlfn.XLOOKUP(A2629,'Model Modeshare by TAZ'!A:A,'Model Modeshare by TAZ'!B:B)</f>
        <v>Daly City</v>
      </c>
      <c r="C2629" s="38" t="str">
        <f>_xlfn.XLOOKUP(A2629,'Model Modeshare by TAZ'!A:A,'Model Modeshare by TAZ'!D:D)</f>
        <v>YES</v>
      </c>
      <c r="D2629" s="6">
        <v>2</v>
      </c>
      <c r="E2629" s="6">
        <v>70</v>
      </c>
      <c r="F2629" s="6">
        <v>211</v>
      </c>
      <c r="G2629" s="6">
        <v>212</v>
      </c>
      <c r="H2629" s="6">
        <v>117</v>
      </c>
      <c r="I2629" s="6">
        <v>14</v>
      </c>
      <c r="J2629" s="6">
        <v>56</v>
      </c>
      <c r="K2629" s="40">
        <v>4</v>
      </c>
      <c r="L2629" s="40">
        <v>134</v>
      </c>
      <c r="M2629" s="40">
        <v>3916</v>
      </c>
      <c r="N2629" s="40">
        <v>2019</v>
      </c>
      <c r="O2629" s="40">
        <v>1558</v>
      </c>
      <c r="P2629" s="40">
        <v>314</v>
      </c>
      <c r="Q2629" s="40">
        <v>0</v>
      </c>
      <c r="R2629" s="40">
        <v>21</v>
      </c>
      <c r="S2629" s="40">
        <v>4</v>
      </c>
    </row>
    <row r="2630" spans="1:19" x14ac:dyDescent="0.35">
      <c r="A2630" s="38">
        <v>1900</v>
      </c>
      <c r="B2630" s="38" t="str">
        <f>_xlfn.XLOOKUP(A2630,'Model Modeshare by TAZ'!A:A,'Model Modeshare by TAZ'!B:B)</f>
        <v>Colma</v>
      </c>
      <c r="C2630" s="38" t="str">
        <f>_xlfn.XLOOKUP(A2630,'Model Modeshare by TAZ'!A:A,'Model Modeshare by TAZ'!D:D)</f>
        <v>YES</v>
      </c>
      <c r="D2630" s="6">
        <v>2</v>
      </c>
      <c r="E2630" s="6">
        <v>455</v>
      </c>
      <c r="F2630" s="6">
        <v>1536</v>
      </c>
      <c r="G2630" s="6">
        <v>1538</v>
      </c>
      <c r="H2630" s="6">
        <v>807</v>
      </c>
      <c r="I2630" s="6">
        <v>147</v>
      </c>
      <c r="J2630" s="6">
        <v>308</v>
      </c>
      <c r="K2630" s="40">
        <v>43</v>
      </c>
      <c r="L2630" s="40">
        <v>135</v>
      </c>
      <c r="M2630" s="40">
        <v>4515</v>
      </c>
      <c r="N2630" s="40">
        <v>1582</v>
      </c>
      <c r="O2630" s="40">
        <v>1241</v>
      </c>
      <c r="P2630" s="40">
        <v>1458</v>
      </c>
      <c r="Q2630" s="40">
        <v>11</v>
      </c>
      <c r="R2630" s="40">
        <v>146</v>
      </c>
      <c r="S2630" s="40">
        <v>74</v>
      </c>
    </row>
    <row r="2631" spans="1:19" x14ac:dyDescent="0.35">
      <c r="A2631" s="38">
        <v>1901</v>
      </c>
      <c r="B2631" s="38" t="str">
        <f>_xlfn.XLOOKUP(A2631,'Model Modeshare by TAZ'!A:A,'Model Modeshare by TAZ'!B:B)</f>
        <v>Daly City</v>
      </c>
      <c r="C2631" s="38" t="str">
        <f>_xlfn.XLOOKUP(A2631,'Model Modeshare by TAZ'!A:A,'Model Modeshare by TAZ'!D:D)</f>
        <v>YES</v>
      </c>
      <c r="D2631" s="6">
        <v>2</v>
      </c>
      <c r="E2631" s="6">
        <v>1753</v>
      </c>
      <c r="F2631" s="6">
        <v>6143</v>
      </c>
      <c r="G2631" s="6">
        <v>6162</v>
      </c>
      <c r="H2631" s="6">
        <v>2969</v>
      </c>
      <c r="I2631" s="6">
        <v>603</v>
      </c>
      <c r="J2631" s="6">
        <v>1150</v>
      </c>
      <c r="K2631" s="40">
        <v>42</v>
      </c>
      <c r="L2631" s="40">
        <v>18</v>
      </c>
      <c r="M2631" s="40">
        <v>341</v>
      </c>
      <c r="N2631" s="40">
        <v>33</v>
      </c>
      <c r="O2631" s="40">
        <v>85</v>
      </c>
      <c r="P2631" s="40">
        <v>176</v>
      </c>
      <c r="Q2631" s="40">
        <v>4</v>
      </c>
      <c r="R2631" s="40">
        <v>43</v>
      </c>
      <c r="S2631" s="40">
        <v>0</v>
      </c>
    </row>
    <row r="2632" spans="1:19" x14ac:dyDescent="0.35">
      <c r="A2632" s="38">
        <v>1902</v>
      </c>
      <c r="B2632" s="38" t="str">
        <f>_xlfn.XLOOKUP(A2632,'Model Modeshare by TAZ'!A:A,'Model Modeshare by TAZ'!B:B)</f>
        <v>Daly City</v>
      </c>
      <c r="C2632" s="38" t="str">
        <f>_xlfn.XLOOKUP(A2632,'Model Modeshare by TAZ'!A:A,'Model Modeshare by TAZ'!D:D)</f>
        <v>YES</v>
      </c>
      <c r="D2632" s="6">
        <v>2</v>
      </c>
      <c r="E2632" s="6">
        <v>1217</v>
      </c>
      <c r="F2632" s="6">
        <v>4218</v>
      </c>
      <c r="G2632" s="6">
        <v>4246</v>
      </c>
      <c r="H2632" s="6">
        <v>2858</v>
      </c>
      <c r="I2632" s="6">
        <v>833</v>
      </c>
      <c r="J2632" s="6">
        <v>384</v>
      </c>
      <c r="K2632" s="40">
        <v>110</v>
      </c>
      <c r="L2632" s="40">
        <v>12</v>
      </c>
      <c r="M2632" s="40">
        <v>137</v>
      </c>
      <c r="N2632" s="40">
        <v>0</v>
      </c>
      <c r="O2632" s="40">
        <v>130</v>
      </c>
      <c r="P2632" s="40">
        <v>6</v>
      </c>
      <c r="Q2632" s="40">
        <v>1</v>
      </c>
      <c r="R2632" s="40">
        <v>0</v>
      </c>
      <c r="S2632" s="40">
        <v>0</v>
      </c>
    </row>
    <row r="2633" spans="1:19" x14ac:dyDescent="0.35">
      <c r="A2633" s="38">
        <v>1903</v>
      </c>
      <c r="B2633" s="38" t="str">
        <f>_xlfn.XLOOKUP(A2633,'Model Modeshare by TAZ'!A:A,'Model Modeshare by TAZ'!B:B)</f>
        <v>Daly City</v>
      </c>
      <c r="C2633" s="38" t="str">
        <f>_xlfn.XLOOKUP(A2633,'Model Modeshare by TAZ'!A:A,'Model Modeshare by TAZ'!D:D)</f>
        <v>YES</v>
      </c>
      <c r="D2633" s="6">
        <v>2</v>
      </c>
      <c r="E2633" s="6">
        <v>978</v>
      </c>
      <c r="F2633" s="6">
        <v>3616</v>
      </c>
      <c r="G2633" s="6">
        <v>3618</v>
      </c>
      <c r="H2633" s="6">
        <v>1965</v>
      </c>
      <c r="I2633" s="6">
        <v>667</v>
      </c>
      <c r="J2633" s="6">
        <v>311</v>
      </c>
      <c r="K2633" s="40">
        <v>41</v>
      </c>
      <c r="L2633" s="40">
        <v>30</v>
      </c>
      <c r="M2633" s="40">
        <v>1600</v>
      </c>
      <c r="N2633" s="40">
        <v>335</v>
      </c>
      <c r="O2633" s="40">
        <v>783</v>
      </c>
      <c r="P2633" s="40">
        <v>471</v>
      </c>
      <c r="Q2633" s="40">
        <v>11</v>
      </c>
      <c r="R2633" s="40">
        <v>1</v>
      </c>
      <c r="S2633" s="40">
        <v>0</v>
      </c>
    </row>
    <row r="2634" spans="1:19" x14ac:dyDescent="0.35">
      <c r="A2634" s="38">
        <v>1904</v>
      </c>
      <c r="B2634" s="38" t="str">
        <f>_xlfn.XLOOKUP(A2634,'Model Modeshare by TAZ'!A:A,'Model Modeshare by TAZ'!B:B)</f>
        <v>Daly City</v>
      </c>
      <c r="C2634" s="38" t="str">
        <f>_xlfn.XLOOKUP(A2634,'Model Modeshare by TAZ'!A:A,'Model Modeshare by TAZ'!D:D)</f>
        <v>YES</v>
      </c>
      <c r="D2634" s="6">
        <v>2</v>
      </c>
      <c r="E2634" s="6">
        <v>910</v>
      </c>
      <c r="F2634" s="6">
        <v>2953</v>
      </c>
      <c r="G2634" s="6">
        <v>2997</v>
      </c>
      <c r="H2634" s="6">
        <v>1644</v>
      </c>
      <c r="I2634" s="6">
        <v>655</v>
      </c>
      <c r="J2634" s="6">
        <v>256</v>
      </c>
      <c r="K2634" s="40">
        <v>34</v>
      </c>
      <c r="L2634" s="40">
        <v>8</v>
      </c>
      <c r="M2634" s="40">
        <v>318</v>
      </c>
      <c r="N2634" s="40">
        <v>176</v>
      </c>
      <c r="O2634" s="40">
        <v>16</v>
      </c>
      <c r="P2634" s="40">
        <v>90</v>
      </c>
      <c r="Q2634" s="40">
        <v>1</v>
      </c>
      <c r="R2634" s="40">
        <v>35</v>
      </c>
      <c r="S2634" s="40">
        <v>0</v>
      </c>
    </row>
    <row r="2635" spans="1:19" x14ac:dyDescent="0.35">
      <c r="A2635" s="38">
        <v>1905</v>
      </c>
      <c r="B2635" s="38" t="str">
        <f>_xlfn.XLOOKUP(A2635,'Model Modeshare by TAZ'!A:A,'Model Modeshare by TAZ'!B:B)</f>
        <v>Daly City</v>
      </c>
      <c r="C2635" s="38" t="str">
        <f>_xlfn.XLOOKUP(A2635,'Model Modeshare by TAZ'!A:A,'Model Modeshare by TAZ'!D:D)</f>
        <v>YES</v>
      </c>
      <c r="D2635" s="6">
        <v>2</v>
      </c>
      <c r="E2635" s="6">
        <v>2354</v>
      </c>
      <c r="F2635" s="6">
        <v>8618</v>
      </c>
      <c r="G2635" s="6">
        <v>8640</v>
      </c>
      <c r="H2635" s="6">
        <v>4658</v>
      </c>
      <c r="I2635" s="6">
        <v>2006</v>
      </c>
      <c r="J2635" s="6">
        <v>348</v>
      </c>
      <c r="K2635" s="40">
        <v>148</v>
      </c>
      <c r="L2635" s="40">
        <v>10</v>
      </c>
      <c r="M2635" s="40">
        <v>139</v>
      </c>
      <c r="N2635" s="40">
        <v>0</v>
      </c>
      <c r="O2635" s="40">
        <v>123</v>
      </c>
      <c r="P2635" s="40">
        <v>15</v>
      </c>
      <c r="Q2635" s="40">
        <v>0</v>
      </c>
      <c r="R2635" s="40">
        <v>0</v>
      </c>
      <c r="S2635" s="40">
        <v>1</v>
      </c>
    </row>
    <row r="2636" spans="1:19" x14ac:dyDescent="0.35">
      <c r="A2636" s="38">
        <v>1906</v>
      </c>
      <c r="B2636" s="38" t="str">
        <f>_xlfn.XLOOKUP(A2636,'Model Modeshare by TAZ'!A:A,'Model Modeshare by TAZ'!B:B)</f>
        <v>Unincorporated</v>
      </c>
      <c r="C2636" s="38" t="str">
        <f>_xlfn.XLOOKUP(A2636,'Model Modeshare by TAZ'!A:A,'Model Modeshare by TAZ'!D:D)</f>
        <v>YES</v>
      </c>
      <c r="D2636" s="6">
        <v>2</v>
      </c>
      <c r="E2636" s="6">
        <v>173</v>
      </c>
      <c r="F2636" s="6">
        <v>422</v>
      </c>
      <c r="G2636" s="6">
        <v>422</v>
      </c>
      <c r="H2636" s="6">
        <v>279</v>
      </c>
      <c r="I2636" s="6">
        <v>110</v>
      </c>
      <c r="J2636" s="6">
        <v>63</v>
      </c>
      <c r="K2636" s="40">
        <v>5</v>
      </c>
      <c r="L2636" s="40">
        <v>1</v>
      </c>
      <c r="M2636" s="40">
        <v>5</v>
      </c>
      <c r="N2636" s="40">
        <v>0</v>
      </c>
      <c r="O2636" s="40">
        <v>0</v>
      </c>
      <c r="P2636" s="40">
        <v>0</v>
      </c>
      <c r="Q2636" s="40">
        <v>2</v>
      </c>
      <c r="R2636" s="40">
        <v>0</v>
      </c>
      <c r="S2636" s="40">
        <v>2</v>
      </c>
    </row>
    <row r="2637" spans="1:19" x14ac:dyDescent="0.35">
      <c r="A2637" s="38">
        <v>1907</v>
      </c>
      <c r="B2637" s="38" t="str">
        <f>_xlfn.XLOOKUP(A2637,'Model Modeshare by TAZ'!A:A,'Model Modeshare by TAZ'!B:B)</f>
        <v>Daly City</v>
      </c>
      <c r="C2637" s="38" t="str">
        <f>_xlfn.XLOOKUP(A2637,'Model Modeshare by TAZ'!A:A,'Model Modeshare by TAZ'!D:D)</f>
        <v>YES</v>
      </c>
      <c r="D2637" s="6">
        <v>2</v>
      </c>
      <c r="E2637" s="6">
        <v>1085</v>
      </c>
      <c r="F2637" s="6">
        <v>3941</v>
      </c>
      <c r="G2637" s="6">
        <v>3942</v>
      </c>
      <c r="H2637" s="6">
        <v>2012</v>
      </c>
      <c r="I2637" s="6">
        <v>773</v>
      </c>
      <c r="J2637" s="6">
        <v>312</v>
      </c>
      <c r="K2637" s="40">
        <v>82</v>
      </c>
      <c r="L2637" s="40">
        <v>86</v>
      </c>
      <c r="M2637" s="40">
        <v>976</v>
      </c>
      <c r="N2637" s="40">
        <v>112</v>
      </c>
      <c r="O2637" s="40">
        <v>280</v>
      </c>
      <c r="P2637" s="40">
        <v>392</v>
      </c>
      <c r="Q2637" s="40">
        <v>3</v>
      </c>
      <c r="R2637" s="40">
        <v>98</v>
      </c>
      <c r="S2637" s="40">
        <v>92</v>
      </c>
    </row>
    <row r="2638" spans="1:19" x14ac:dyDescent="0.35">
      <c r="A2638" s="38">
        <v>1908</v>
      </c>
      <c r="B2638" s="38" t="str">
        <f>_xlfn.XLOOKUP(A2638,'Model Modeshare by TAZ'!A:A,'Model Modeshare by TAZ'!B:B)</f>
        <v>Unincorporated</v>
      </c>
      <c r="C2638" s="38" t="str">
        <f>_xlfn.XLOOKUP(A2638,'Model Modeshare by TAZ'!A:A,'Model Modeshare by TAZ'!D:D)</f>
        <v>YES</v>
      </c>
      <c r="D2638" s="6">
        <v>2</v>
      </c>
      <c r="E2638" s="6">
        <v>0</v>
      </c>
      <c r="F2638" s="6">
        <v>0</v>
      </c>
      <c r="G2638" s="6">
        <v>0</v>
      </c>
      <c r="H2638" s="6">
        <v>0</v>
      </c>
      <c r="I2638" s="6">
        <v>0</v>
      </c>
      <c r="J2638" s="6">
        <v>0</v>
      </c>
      <c r="K2638" s="40">
        <v>0</v>
      </c>
      <c r="L2638" s="40">
        <v>18</v>
      </c>
      <c r="M2638" s="40">
        <v>145</v>
      </c>
      <c r="N2638" s="40">
        <v>1</v>
      </c>
      <c r="O2638" s="40">
        <v>6</v>
      </c>
      <c r="P2638" s="40">
        <v>61</v>
      </c>
      <c r="Q2638" s="40">
        <v>0</v>
      </c>
      <c r="R2638" s="40">
        <v>42</v>
      </c>
      <c r="S2638" s="40">
        <v>35</v>
      </c>
    </row>
    <row r="2639" spans="1:19" x14ac:dyDescent="0.35">
      <c r="A2639" s="38">
        <v>1909</v>
      </c>
      <c r="B2639" s="38" t="str">
        <f>_xlfn.XLOOKUP(A2639,'Model Modeshare by TAZ'!A:A,'Model Modeshare by TAZ'!B:B)</f>
        <v>South San Francisco</v>
      </c>
      <c r="C2639" s="38" t="str">
        <f>_xlfn.XLOOKUP(A2639,'Model Modeshare by TAZ'!A:A,'Model Modeshare by TAZ'!D:D)</f>
        <v>YES</v>
      </c>
      <c r="D2639" s="6">
        <v>2</v>
      </c>
      <c r="E2639" s="6">
        <v>2202</v>
      </c>
      <c r="F2639" s="6">
        <v>7150</v>
      </c>
      <c r="G2639" s="6">
        <v>7180</v>
      </c>
      <c r="H2639" s="6">
        <v>3968</v>
      </c>
      <c r="I2639" s="6">
        <v>1691</v>
      </c>
      <c r="J2639" s="6">
        <v>511</v>
      </c>
      <c r="K2639" s="40">
        <v>285</v>
      </c>
      <c r="L2639" s="40">
        <v>45</v>
      </c>
      <c r="M2639" s="40">
        <v>300</v>
      </c>
      <c r="N2639" s="40">
        <v>23</v>
      </c>
      <c r="O2639" s="40">
        <v>245</v>
      </c>
      <c r="P2639" s="40">
        <v>23</v>
      </c>
      <c r="Q2639" s="40">
        <v>2</v>
      </c>
      <c r="R2639" s="40">
        <v>0</v>
      </c>
      <c r="S2639" s="40">
        <v>7</v>
      </c>
    </row>
    <row r="2640" spans="1:19" x14ac:dyDescent="0.35">
      <c r="A2640" s="38">
        <v>1910</v>
      </c>
      <c r="B2640" s="38" t="str">
        <f>_xlfn.XLOOKUP(A2640,'Model Modeshare by TAZ'!A:A,'Model Modeshare by TAZ'!B:B)</f>
        <v>South San Francisco</v>
      </c>
      <c r="C2640" s="38" t="str">
        <f>_xlfn.XLOOKUP(A2640,'Model Modeshare by TAZ'!A:A,'Model Modeshare by TAZ'!D:D)</f>
        <v>YES</v>
      </c>
      <c r="D2640" s="6">
        <v>2</v>
      </c>
      <c r="E2640" s="6">
        <v>977</v>
      </c>
      <c r="F2640" s="6">
        <v>3447</v>
      </c>
      <c r="G2640" s="6">
        <v>3447</v>
      </c>
      <c r="H2640" s="6">
        <v>1969</v>
      </c>
      <c r="I2640" s="6">
        <v>369</v>
      </c>
      <c r="J2640" s="6">
        <v>608</v>
      </c>
      <c r="K2640" s="40">
        <v>72</v>
      </c>
      <c r="L2640" s="40">
        <v>19</v>
      </c>
      <c r="M2640" s="40">
        <v>837</v>
      </c>
      <c r="N2640" s="40">
        <v>178</v>
      </c>
      <c r="O2640" s="40">
        <v>223</v>
      </c>
      <c r="P2640" s="40">
        <v>177</v>
      </c>
      <c r="Q2640" s="40">
        <v>0</v>
      </c>
      <c r="R2640" s="40">
        <v>181</v>
      </c>
      <c r="S2640" s="40">
        <v>78</v>
      </c>
    </row>
    <row r="2641" spans="1:19" x14ac:dyDescent="0.35">
      <c r="A2641" s="38">
        <v>1911</v>
      </c>
      <c r="B2641" s="38" t="str">
        <f>_xlfn.XLOOKUP(A2641,'Model Modeshare by TAZ'!A:A,'Model Modeshare by TAZ'!B:B)</f>
        <v>South San Francisco</v>
      </c>
      <c r="C2641" s="38" t="str">
        <f>_xlfn.XLOOKUP(A2641,'Model Modeshare by TAZ'!A:A,'Model Modeshare by TAZ'!D:D)</f>
        <v>YES</v>
      </c>
      <c r="D2641" s="6">
        <v>2</v>
      </c>
      <c r="E2641" s="6">
        <v>928</v>
      </c>
      <c r="F2641" s="6">
        <v>3361</v>
      </c>
      <c r="G2641" s="6">
        <v>3390</v>
      </c>
      <c r="H2641" s="6">
        <v>1686</v>
      </c>
      <c r="I2641" s="6">
        <v>374</v>
      </c>
      <c r="J2641" s="6">
        <v>554</v>
      </c>
      <c r="K2641" s="40">
        <v>48</v>
      </c>
      <c r="L2641" s="40">
        <v>22</v>
      </c>
      <c r="M2641" s="40">
        <v>1461</v>
      </c>
      <c r="N2641" s="40">
        <v>192</v>
      </c>
      <c r="O2641" s="40">
        <v>599</v>
      </c>
      <c r="P2641" s="40">
        <v>365</v>
      </c>
      <c r="Q2641" s="40">
        <v>1</v>
      </c>
      <c r="R2641" s="40">
        <v>207</v>
      </c>
      <c r="S2641" s="40">
        <v>97</v>
      </c>
    </row>
    <row r="2642" spans="1:19" x14ac:dyDescent="0.35">
      <c r="A2642" s="38">
        <v>1912</v>
      </c>
      <c r="B2642" s="38" t="str">
        <f>_xlfn.XLOOKUP(A2642,'Model Modeshare by TAZ'!A:A,'Model Modeshare by TAZ'!B:B)</f>
        <v>South San Francisco</v>
      </c>
      <c r="C2642" s="38" t="str">
        <f>_xlfn.XLOOKUP(A2642,'Model Modeshare by TAZ'!A:A,'Model Modeshare by TAZ'!D:D)</f>
        <v>YES</v>
      </c>
      <c r="D2642" s="6">
        <v>2</v>
      </c>
      <c r="E2642" s="6">
        <v>0</v>
      </c>
      <c r="F2642" s="6">
        <v>0</v>
      </c>
      <c r="G2642" s="6">
        <v>0</v>
      </c>
      <c r="H2642" s="6">
        <v>0</v>
      </c>
      <c r="I2642" s="6">
        <v>0</v>
      </c>
      <c r="J2642" s="6">
        <v>0</v>
      </c>
      <c r="K2642" s="40">
        <v>0</v>
      </c>
      <c r="L2642" s="40">
        <v>303</v>
      </c>
      <c r="M2642" s="40">
        <v>4173</v>
      </c>
      <c r="N2642" s="40">
        <v>606</v>
      </c>
      <c r="O2642" s="40">
        <v>957</v>
      </c>
      <c r="P2642" s="40">
        <v>404</v>
      </c>
      <c r="Q2642" s="40">
        <v>3</v>
      </c>
      <c r="R2642" s="40">
        <v>1350</v>
      </c>
      <c r="S2642" s="40">
        <v>853</v>
      </c>
    </row>
    <row r="2643" spans="1:19" x14ac:dyDescent="0.35">
      <c r="A2643" s="38">
        <v>1913</v>
      </c>
      <c r="B2643" s="38" t="str">
        <f>_xlfn.XLOOKUP(A2643,'Model Modeshare by TAZ'!A:A,'Model Modeshare by TAZ'!B:B)</f>
        <v>South San Francisco</v>
      </c>
      <c r="C2643" s="38" t="str">
        <f>_xlfn.XLOOKUP(A2643,'Model Modeshare by TAZ'!A:A,'Model Modeshare by TAZ'!D:D)</f>
        <v>YES</v>
      </c>
      <c r="D2643" s="6">
        <v>2</v>
      </c>
      <c r="E2643" s="6">
        <v>1914</v>
      </c>
      <c r="F2643" s="6">
        <v>5031</v>
      </c>
      <c r="G2643" s="6">
        <v>5072</v>
      </c>
      <c r="H2643" s="6">
        <v>3001</v>
      </c>
      <c r="I2643" s="6">
        <v>1125</v>
      </c>
      <c r="J2643" s="6">
        <v>789</v>
      </c>
      <c r="K2643" s="40">
        <v>194</v>
      </c>
      <c r="L2643" s="40">
        <v>33</v>
      </c>
      <c r="M2643" s="40">
        <v>900</v>
      </c>
      <c r="N2643" s="40">
        <v>142</v>
      </c>
      <c r="O2643" s="40">
        <v>609</v>
      </c>
      <c r="P2643" s="40">
        <v>143</v>
      </c>
      <c r="Q2643" s="40">
        <v>5</v>
      </c>
      <c r="R2643" s="40">
        <v>1</v>
      </c>
      <c r="S2643" s="40">
        <v>0</v>
      </c>
    </row>
    <row r="2644" spans="1:19" x14ac:dyDescent="0.35">
      <c r="A2644" s="38">
        <v>1914</v>
      </c>
      <c r="B2644" s="38" t="str">
        <f>_xlfn.XLOOKUP(A2644,'Model Modeshare by TAZ'!A:A,'Model Modeshare by TAZ'!B:B)</f>
        <v>South San Francisco</v>
      </c>
      <c r="C2644" s="38" t="str">
        <f>_xlfn.XLOOKUP(A2644,'Model Modeshare by TAZ'!A:A,'Model Modeshare by TAZ'!D:D)</f>
        <v>YES</v>
      </c>
      <c r="D2644" s="6">
        <v>2</v>
      </c>
      <c r="E2644" s="6">
        <v>1225</v>
      </c>
      <c r="F2644" s="6">
        <v>4161</v>
      </c>
      <c r="G2644" s="6">
        <v>4211</v>
      </c>
      <c r="H2644" s="6">
        <v>2047</v>
      </c>
      <c r="I2644" s="6">
        <v>1087</v>
      </c>
      <c r="J2644" s="6">
        <v>138</v>
      </c>
      <c r="K2644" s="40">
        <v>79</v>
      </c>
      <c r="L2644" s="40">
        <v>12</v>
      </c>
      <c r="M2644" s="40">
        <v>500</v>
      </c>
      <c r="N2644" s="40">
        <v>265</v>
      </c>
      <c r="O2644" s="40">
        <v>94</v>
      </c>
      <c r="P2644" s="40">
        <v>127</v>
      </c>
      <c r="Q2644" s="40">
        <v>3</v>
      </c>
      <c r="R2644" s="40">
        <v>11</v>
      </c>
      <c r="S2644" s="40">
        <v>0</v>
      </c>
    </row>
    <row r="2645" spans="1:19" x14ac:dyDescent="0.35">
      <c r="A2645" s="38">
        <v>1915</v>
      </c>
      <c r="B2645" s="38" t="str">
        <f>_xlfn.XLOOKUP(A2645,'Model Modeshare by TAZ'!A:A,'Model Modeshare by TAZ'!B:B)</f>
        <v>South San Francisco</v>
      </c>
      <c r="C2645" s="38" t="str">
        <f>_xlfn.XLOOKUP(A2645,'Model Modeshare by TAZ'!A:A,'Model Modeshare by TAZ'!D:D)</f>
        <v>YES</v>
      </c>
      <c r="D2645" s="6">
        <v>2</v>
      </c>
      <c r="E2645" s="6">
        <v>1382</v>
      </c>
      <c r="F2645" s="6">
        <v>4281</v>
      </c>
      <c r="G2645" s="6">
        <v>4302</v>
      </c>
      <c r="H2645" s="6">
        <v>2418</v>
      </c>
      <c r="I2645" s="6">
        <v>679</v>
      </c>
      <c r="J2645" s="6">
        <v>703</v>
      </c>
      <c r="K2645" s="40">
        <v>29</v>
      </c>
      <c r="L2645" s="40">
        <v>20</v>
      </c>
      <c r="M2645" s="40">
        <v>432</v>
      </c>
      <c r="N2645" s="40">
        <v>61</v>
      </c>
      <c r="O2645" s="40">
        <v>309</v>
      </c>
      <c r="P2645" s="40">
        <v>51</v>
      </c>
      <c r="Q2645" s="40">
        <v>6</v>
      </c>
      <c r="R2645" s="40">
        <v>1</v>
      </c>
      <c r="S2645" s="40">
        <v>3</v>
      </c>
    </row>
    <row r="2646" spans="1:19" x14ac:dyDescent="0.35">
      <c r="A2646" s="38">
        <v>1916</v>
      </c>
      <c r="B2646" s="38" t="str">
        <f>_xlfn.XLOOKUP(A2646,'Model Modeshare by TAZ'!A:A,'Model Modeshare by TAZ'!B:B)</f>
        <v>South San Francisco</v>
      </c>
      <c r="C2646" s="38" t="str">
        <f>_xlfn.XLOOKUP(A2646,'Model Modeshare by TAZ'!A:A,'Model Modeshare by TAZ'!D:D)</f>
        <v>YES</v>
      </c>
      <c r="D2646" s="6">
        <v>2</v>
      </c>
      <c r="E2646" s="6">
        <v>674</v>
      </c>
      <c r="F2646" s="6">
        <v>1654</v>
      </c>
      <c r="G2646" s="6">
        <v>1654</v>
      </c>
      <c r="H2646" s="6">
        <v>1019</v>
      </c>
      <c r="I2646" s="6">
        <v>672</v>
      </c>
      <c r="J2646" s="6">
        <v>2</v>
      </c>
      <c r="K2646" s="40">
        <v>29</v>
      </c>
      <c r="L2646" s="40">
        <v>83</v>
      </c>
      <c r="M2646" s="40">
        <v>350</v>
      </c>
      <c r="N2646" s="40">
        <v>52</v>
      </c>
      <c r="O2646" s="40">
        <v>251</v>
      </c>
      <c r="P2646" s="40">
        <v>41</v>
      </c>
      <c r="Q2646" s="40">
        <v>4</v>
      </c>
      <c r="R2646" s="40">
        <v>1</v>
      </c>
      <c r="S2646" s="40">
        <v>2</v>
      </c>
    </row>
    <row r="2647" spans="1:19" x14ac:dyDescent="0.35">
      <c r="A2647" s="38">
        <v>1917</v>
      </c>
      <c r="B2647" s="38" t="str">
        <f>_xlfn.XLOOKUP(A2647,'Model Modeshare by TAZ'!A:A,'Model Modeshare by TAZ'!B:B)</f>
        <v>South San Francisco</v>
      </c>
      <c r="C2647" s="38" t="str">
        <f>_xlfn.XLOOKUP(A2647,'Model Modeshare by TAZ'!A:A,'Model Modeshare by TAZ'!D:D)</f>
        <v>YES</v>
      </c>
      <c r="D2647" s="6">
        <v>2</v>
      </c>
      <c r="E2647" s="6">
        <v>928</v>
      </c>
      <c r="F2647" s="6">
        <v>3060</v>
      </c>
      <c r="G2647" s="6">
        <v>3182</v>
      </c>
      <c r="H2647" s="6">
        <v>1636</v>
      </c>
      <c r="I2647" s="6">
        <v>928</v>
      </c>
      <c r="J2647" s="6">
        <v>0</v>
      </c>
      <c r="K2647" s="40">
        <v>111</v>
      </c>
      <c r="L2647" s="40">
        <v>20</v>
      </c>
      <c r="M2647" s="40">
        <v>564</v>
      </c>
      <c r="N2647" s="40">
        <v>133</v>
      </c>
      <c r="O2647" s="40">
        <v>283</v>
      </c>
      <c r="P2647" s="40">
        <v>146</v>
      </c>
      <c r="Q2647" s="40">
        <v>0</v>
      </c>
      <c r="R2647" s="40">
        <v>2</v>
      </c>
      <c r="S2647" s="40">
        <v>0</v>
      </c>
    </row>
    <row r="2648" spans="1:19" x14ac:dyDescent="0.35">
      <c r="A2648" s="38">
        <v>1918</v>
      </c>
      <c r="B2648" s="38" t="str">
        <f>_xlfn.XLOOKUP(A2648,'Model Modeshare by TAZ'!A:A,'Model Modeshare by TAZ'!B:B)</f>
        <v>Daly City</v>
      </c>
      <c r="C2648" s="38" t="str">
        <f>_xlfn.XLOOKUP(A2648,'Model Modeshare by TAZ'!A:A,'Model Modeshare by TAZ'!D:D)</f>
        <v>YES</v>
      </c>
      <c r="D2648" s="6">
        <v>2</v>
      </c>
      <c r="E2648" s="6">
        <v>1343</v>
      </c>
      <c r="F2648" s="6">
        <v>4108</v>
      </c>
      <c r="G2648" s="6">
        <v>4127</v>
      </c>
      <c r="H2648" s="6">
        <v>2333</v>
      </c>
      <c r="I2648" s="6">
        <v>1045</v>
      </c>
      <c r="J2648" s="6">
        <v>298</v>
      </c>
      <c r="K2648" s="40">
        <v>120</v>
      </c>
      <c r="L2648" s="40">
        <v>12</v>
      </c>
      <c r="M2648" s="40">
        <v>713</v>
      </c>
      <c r="N2648" s="40">
        <v>262</v>
      </c>
      <c r="O2648" s="40">
        <v>174</v>
      </c>
      <c r="P2648" s="40">
        <v>275</v>
      </c>
      <c r="Q2648" s="40">
        <v>0</v>
      </c>
      <c r="R2648" s="40">
        <v>1</v>
      </c>
      <c r="S2648" s="40">
        <v>0</v>
      </c>
    </row>
    <row r="2649" spans="1:19" x14ac:dyDescent="0.35">
      <c r="A2649" s="38">
        <v>1919</v>
      </c>
      <c r="B2649" s="38" t="str">
        <f>_xlfn.XLOOKUP(A2649,'Model Modeshare by TAZ'!A:A,'Model Modeshare by TAZ'!B:B)</f>
        <v>Daly City</v>
      </c>
      <c r="C2649" s="38" t="str">
        <f>_xlfn.XLOOKUP(A2649,'Model Modeshare by TAZ'!A:A,'Model Modeshare by TAZ'!D:D)</f>
        <v>YES</v>
      </c>
      <c r="D2649" s="6">
        <v>2</v>
      </c>
      <c r="E2649" s="6">
        <v>1247</v>
      </c>
      <c r="F2649" s="6">
        <v>4583</v>
      </c>
      <c r="G2649" s="6">
        <v>4597</v>
      </c>
      <c r="H2649" s="6">
        <v>2551</v>
      </c>
      <c r="I2649" s="6">
        <v>1231</v>
      </c>
      <c r="J2649" s="6">
        <v>16</v>
      </c>
      <c r="K2649" s="40">
        <v>71</v>
      </c>
      <c r="L2649" s="40">
        <v>10</v>
      </c>
      <c r="M2649" s="40">
        <v>351</v>
      </c>
      <c r="N2649" s="40">
        <v>205</v>
      </c>
      <c r="O2649" s="40">
        <v>117</v>
      </c>
      <c r="P2649" s="40">
        <v>27</v>
      </c>
      <c r="Q2649" s="40">
        <v>0</v>
      </c>
      <c r="R2649" s="40">
        <v>1</v>
      </c>
      <c r="S2649" s="40">
        <v>0</v>
      </c>
    </row>
    <row r="2650" spans="1:19" x14ac:dyDescent="0.35">
      <c r="A2650" s="38">
        <v>1920</v>
      </c>
      <c r="B2650" s="38" t="str">
        <f>_xlfn.XLOOKUP(A2650,'Model Modeshare by TAZ'!A:A,'Model Modeshare by TAZ'!B:B)</f>
        <v>Pacifica</v>
      </c>
      <c r="C2650" s="38" t="str">
        <f>_xlfn.XLOOKUP(A2650,'Model Modeshare by TAZ'!A:A,'Model Modeshare by TAZ'!D:D)</f>
        <v>YES</v>
      </c>
      <c r="D2650" s="6">
        <v>2</v>
      </c>
      <c r="E2650" s="6">
        <v>1944</v>
      </c>
      <c r="F2650" s="6">
        <v>6035</v>
      </c>
      <c r="G2650" s="6">
        <v>6062</v>
      </c>
      <c r="H2650" s="6">
        <v>3554</v>
      </c>
      <c r="I2650" s="6">
        <v>1382</v>
      </c>
      <c r="J2650" s="6">
        <v>562</v>
      </c>
      <c r="K2650" s="40">
        <v>193</v>
      </c>
      <c r="L2650" s="40">
        <v>87</v>
      </c>
      <c r="M2650" s="40">
        <v>395</v>
      </c>
      <c r="N2650" s="40">
        <v>30</v>
      </c>
      <c r="O2650" s="40">
        <v>312</v>
      </c>
      <c r="P2650" s="40">
        <v>53</v>
      </c>
      <c r="Q2650" s="40">
        <v>0</v>
      </c>
      <c r="R2650" s="40">
        <v>0</v>
      </c>
      <c r="S2650" s="40">
        <v>0</v>
      </c>
    </row>
    <row r="2651" spans="1:19" x14ac:dyDescent="0.35">
      <c r="A2651" s="38">
        <v>1921</v>
      </c>
      <c r="B2651" s="38" t="str">
        <f>_xlfn.XLOOKUP(A2651,'Model Modeshare by TAZ'!A:A,'Model Modeshare by TAZ'!B:B)</f>
        <v>Pacifica</v>
      </c>
      <c r="C2651" s="38" t="str">
        <f>_xlfn.XLOOKUP(A2651,'Model Modeshare by TAZ'!A:A,'Model Modeshare by TAZ'!D:D)</f>
        <v>YES</v>
      </c>
      <c r="D2651" s="6">
        <v>2</v>
      </c>
      <c r="E2651" s="6">
        <v>1151</v>
      </c>
      <c r="F2651" s="6">
        <v>3662</v>
      </c>
      <c r="G2651" s="6">
        <v>3662</v>
      </c>
      <c r="H2651" s="6">
        <v>1987</v>
      </c>
      <c r="I2651" s="6">
        <v>900</v>
      </c>
      <c r="J2651" s="6">
        <v>251</v>
      </c>
      <c r="K2651" s="40">
        <v>127</v>
      </c>
      <c r="L2651" s="40">
        <v>35</v>
      </c>
      <c r="M2651" s="40">
        <v>90</v>
      </c>
      <c r="N2651" s="40">
        <v>35</v>
      </c>
      <c r="O2651" s="40">
        <v>14</v>
      </c>
      <c r="P2651" s="40">
        <v>40</v>
      </c>
      <c r="Q2651" s="40">
        <v>0</v>
      </c>
      <c r="R2651" s="40">
        <v>1</v>
      </c>
      <c r="S2651" s="40">
        <v>0</v>
      </c>
    </row>
    <row r="2652" spans="1:19" x14ac:dyDescent="0.35">
      <c r="A2652" s="38">
        <v>1922</v>
      </c>
      <c r="B2652" s="38" t="str">
        <f>_xlfn.XLOOKUP(A2652,'Model Modeshare by TAZ'!A:A,'Model Modeshare by TAZ'!B:B)</f>
        <v>Pacifica</v>
      </c>
      <c r="C2652" s="38" t="str">
        <f>_xlfn.XLOOKUP(A2652,'Model Modeshare by TAZ'!A:A,'Model Modeshare by TAZ'!D:D)</f>
        <v>YES</v>
      </c>
      <c r="D2652" s="6">
        <v>2</v>
      </c>
      <c r="E2652" s="6">
        <v>1025</v>
      </c>
      <c r="F2652" s="6">
        <v>2592</v>
      </c>
      <c r="G2652" s="6">
        <v>2640</v>
      </c>
      <c r="H2652" s="6">
        <v>1372</v>
      </c>
      <c r="I2652" s="6">
        <v>612</v>
      </c>
      <c r="J2652" s="6">
        <v>413</v>
      </c>
      <c r="K2652" s="40">
        <v>86</v>
      </c>
      <c r="L2652" s="40">
        <v>7</v>
      </c>
      <c r="M2652" s="40">
        <v>235</v>
      </c>
      <c r="N2652" s="40">
        <v>125</v>
      </c>
      <c r="O2652" s="40">
        <v>70</v>
      </c>
      <c r="P2652" s="40">
        <v>39</v>
      </c>
      <c r="Q2652" s="40">
        <v>0</v>
      </c>
      <c r="R2652" s="40">
        <v>2</v>
      </c>
      <c r="S2652" s="40">
        <v>0</v>
      </c>
    </row>
    <row r="2653" spans="1:19" x14ac:dyDescent="0.35">
      <c r="A2653" s="38">
        <v>1923</v>
      </c>
      <c r="B2653" s="38" t="str">
        <f>_xlfn.XLOOKUP(A2653,'Model Modeshare by TAZ'!A:A,'Model Modeshare by TAZ'!B:B)</f>
        <v>Pacifica</v>
      </c>
      <c r="C2653" s="38" t="str">
        <f>_xlfn.XLOOKUP(A2653,'Model Modeshare by TAZ'!A:A,'Model Modeshare by TAZ'!D:D)</f>
        <v>YES</v>
      </c>
      <c r="D2653" s="6">
        <v>2</v>
      </c>
      <c r="E2653" s="6">
        <v>920</v>
      </c>
      <c r="F2653" s="6">
        <v>2294</v>
      </c>
      <c r="G2653" s="6">
        <v>2315</v>
      </c>
      <c r="H2653" s="6">
        <v>1223</v>
      </c>
      <c r="I2653" s="6">
        <v>507</v>
      </c>
      <c r="J2653" s="6">
        <v>413</v>
      </c>
      <c r="K2653" s="40">
        <v>135</v>
      </c>
      <c r="L2653" s="40">
        <v>216</v>
      </c>
      <c r="M2653" s="40">
        <v>663</v>
      </c>
      <c r="N2653" s="40">
        <v>131</v>
      </c>
      <c r="O2653" s="40">
        <v>285</v>
      </c>
      <c r="P2653" s="40">
        <v>219</v>
      </c>
      <c r="Q2653" s="40">
        <v>2</v>
      </c>
      <c r="R2653" s="40">
        <v>4</v>
      </c>
      <c r="S2653" s="40">
        <v>22</v>
      </c>
    </row>
    <row r="2654" spans="1:19" x14ac:dyDescent="0.35">
      <c r="A2654" s="38">
        <v>1924</v>
      </c>
      <c r="B2654" s="38" t="str">
        <f>_xlfn.XLOOKUP(A2654,'Model Modeshare by TAZ'!A:A,'Model Modeshare by TAZ'!B:B)</f>
        <v>Pacifica</v>
      </c>
      <c r="C2654" s="38" t="str">
        <f>_xlfn.XLOOKUP(A2654,'Model Modeshare by TAZ'!A:A,'Model Modeshare by TAZ'!D:D)</f>
        <v>YES</v>
      </c>
      <c r="D2654" s="6">
        <v>2</v>
      </c>
      <c r="E2654" s="6">
        <v>1199</v>
      </c>
      <c r="F2654" s="6">
        <v>3427</v>
      </c>
      <c r="G2654" s="6">
        <v>3433</v>
      </c>
      <c r="H2654" s="6">
        <v>1928</v>
      </c>
      <c r="I2654" s="6">
        <v>1092</v>
      </c>
      <c r="J2654" s="6">
        <v>107</v>
      </c>
      <c r="K2654" s="40">
        <v>178</v>
      </c>
      <c r="L2654" s="40">
        <v>38</v>
      </c>
      <c r="M2654" s="40">
        <v>604</v>
      </c>
      <c r="N2654" s="40">
        <v>203</v>
      </c>
      <c r="O2654" s="40">
        <v>225</v>
      </c>
      <c r="P2654" s="40">
        <v>143</v>
      </c>
      <c r="Q2654" s="40">
        <v>12</v>
      </c>
      <c r="R2654" s="40">
        <v>4</v>
      </c>
      <c r="S2654" s="40">
        <v>16</v>
      </c>
    </row>
    <row r="2655" spans="1:19" x14ac:dyDescent="0.35">
      <c r="A2655" s="38">
        <v>1925</v>
      </c>
      <c r="B2655" s="38" t="str">
        <f>_xlfn.XLOOKUP(A2655,'Model Modeshare by TAZ'!A:A,'Model Modeshare by TAZ'!B:B)</f>
        <v>Unincorporated</v>
      </c>
      <c r="C2655" s="38" t="str">
        <f>_xlfn.XLOOKUP(A2655,'Model Modeshare by TAZ'!A:A,'Model Modeshare by TAZ'!D:D)</f>
        <v>YES</v>
      </c>
      <c r="D2655" s="6">
        <v>2</v>
      </c>
      <c r="E2655" s="6">
        <v>1082</v>
      </c>
      <c r="F2655" s="6">
        <v>2941</v>
      </c>
      <c r="G2655" s="6">
        <v>2977</v>
      </c>
      <c r="H2655" s="6">
        <v>1651</v>
      </c>
      <c r="I2655" s="6">
        <v>1008</v>
      </c>
      <c r="J2655" s="6">
        <v>73</v>
      </c>
      <c r="K2655" s="40">
        <v>177</v>
      </c>
      <c r="L2655" s="40">
        <v>37</v>
      </c>
      <c r="M2655" s="40">
        <v>989</v>
      </c>
      <c r="N2655" s="40">
        <v>367</v>
      </c>
      <c r="O2655" s="40">
        <v>255</v>
      </c>
      <c r="P2655" s="40">
        <v>342</v>
      </c>
      <c r="Q2655" s="40">
        <v>3</v>
      </c>
      <c r="R2655" s="40">
        <v>15</v>
      </c>
      <c r="S2655" s="40">
        <v>7</v>
      </c>
    </row>
    <row r="2656" spans="1:19" x14ac:dyDescent="0.35">
      <c r="A2656" s="38">
        <v>1926</v>
      </c>
      <c r="B2656" s="38" t="str">
        <f>_xlfn.XLOOKUP(A2656,'Model Modeshare by TAZ'!A:A,'Model Modeshare by TAZ'!B:B)</f>
        <v>Unincorporated</v>
      </c>
      <c r="C2656" s="38" t="str">
        <f>_xlfn.XLOOKUP(A2656,'Model Modeshare by TAZ'!A:A,'Model Modeshare by TAZ'!D:D)</f>
        <v>YES</v>
      </c>
      <c r="D2656" s="6">
        <v>2</v>
      </c>
      <c r="E2656" s="6">
        <v>1685</v>
      </c>
      <c r="F2656" s="6">
        <v>4884</v>
      </c>
      <c r="G2656" s="6">
        <v>4884</v>
      </c>
      <c r="H2656" s="6">
        <v>2596</v>
      </c>
      <c r="I2656" s="6">
        <v>1569</v>
      </c>
      <c r="J2656" s="6">
        <v>116</v>
      </c>
      <c r="K2656" s="40">
        <v>355</v>
      </c>
      <c r="L2656" s="40">
        <v>102</v>
      </c>
      <c r="M2656" s="40">
        <v>691</v>
      </c>
      <c r="N2656" s="40">
        <v>299</v>
      </c>
      <c r="O2656" s="40">
        <v>237</v>
      </c>
      <c r="P2656" s="40">
        <v>144</v>
      </c>
      <c r="Q2656" s="40">
        <v>8</v>
      </c>
      <c r="R2656" s="40">
        <v>1</v>
      </c>
      <c r="S2656" s="40">
        <v>1</v>
      </c>
    </row>
    <row r="2657" spans="1:19" x14ac:dyDescent="0.35">
      <c r="A2657" s="38">
        <v>1927</v>
      </c>
      <c r="B2657" s="38" t="str">
        <f>_xlfn.XLOOKUP(A2657,'Model Modeshare by TAZ'!A:A,'Model Modeshare by TAZ'!B:B)</f>
        <v>Pacifica</v>
      </c>
      <c r="C2657" s="38" t="str">
        <f>_xlfn.XLOOKUP(A2657,'Model Modeshare by TAZ'!A:A,'Model Modeshare by TAZ'!D:D)</f>
        <v>YES</v>
      </c>
      <c r="D2657" s="6">
        <v>2</v>
      </c>
      <c r="E2657" s="6">
        <v>2070</v>
      </c>
      <c r="F2657" s="6">
        <v>5868</v>
      </c>
      <c r="G2657" s="6">
        <v>5868</v>
      </c>
      <c r="H2657" s="6">
        <v>2866</v>
      </c>
      <c r="I2657" s="6">
        <v>1737</v>
      </c>
      <c r="J2657" s="6">
        <v>333</v>
      </c>
      <c r="K2657" s="40">
        <v>533</v>
      </c>
      <c r="L2657" s="40">
        <v>193</v>
      </c>
      <c r="M2657" s="40">
        <v>328</v>
      </c>
      <c r="N2657" s="40">
        <v>149</v>
      </c>
      <c r="O2657" s="40">
        <v>106</v>
      </c>
      <c r="P2657" s="40">
        <v>70</v>
      </c>
      <c r="Q2657" s="40">
        <v>2</v>
      </c>
      <c r="R2657" s="40">
        <v>0</v>
      </c>
      <c r="S2657" s="40">
        <v>0</v>
      </c>
    </row>
    <row r="2658" spans="1:19" x14ac:dyDescent="0.35">
      <c r="A2658" s="38">
        <v>1928</v>
      </c>
      <c r="B2658" s="38" t="str">
        <f>_xlfn.XLOOKUP(A2658,'Model Modeshare by TAZ'!A:A,'Model Modeshare by TAZ'!B:B)</f>
        <v>Unincorporated</v>
      </c>
      <c r="C2658" s="38" t="str">
        <f>_xlfn.XLOOKUP(A2658,'Model Modeshare by TAZ'!A:A,'Model Modeshare by TAZ'!D:D)</f>
        <v>YES</v>
      </c>
      <c r="D2658" s="6">
        <v>2</v>
      </c>
      <c r="E2658" s="6">
        <v>11</v>
      </c>
      <c r="F2658" s="6">
        <v>37</v>
      </c>
      <c r="G2658" s="6">
        <v>38</v>
      </c>
      <c r="H2658" s="6">
        <v>23</v>
      </c>
      <c r="I2658" s="6">
        <v>0</v>
      </c>
      <c r="J2658" s="6">
        <v>11</v>
      </c>
      <c r="K2658" s="40">
        <v>2</v>
      </c>
      <c r="L2658" s="40">
        <v>207</v>
      </c>
      <c r="M2658" s="40">
        <v>47</v>
      </c>
      <c r="N2658" s="40">
        <v>1</v>
      </c>
      <c r="O2658" s="40">
        <v>1</v>
      </c>
      <c r="P2658" s="40">
        <v>45</v>
      </c>
      <c r="Q2658" s="40">
        <v>0</v>
      </c>
      <c r="R2658" s="40">
        <v>0</v>
      </c>
      <c r="S2658" s="40">
        <v>0</v>
      </c>
    </row>
    <row r="2659" spans="1:19" x14ac:dyDescent="0.35">
      <c r="A2659" s="38">
        <v>1929</v>
      </c>
      <c r="B2659" s="38" t="str">
        <f>_xlfn.XLOOKUP(A2659,'Model Modeshare by TAZ'!A:A,'Model Modeshare by TAZ'!B:B)</f>
        <v>San Bruno</v>
      </c>
      <c r="C2659" s="38" t="str">
        <f>_xlfn.XLOOKUP(A2659,'Model Modeshare by TAZ'!A:A,'Model Modeshare by TAZ'!D:D)</f>
        <v>YES</v>
      </c>
      <c r="D2659" s="6">
        <v>2</v>
      </c>
      <c r="E2659" s="6">
        <v>431</v>
      </c>
      <c r="F2659" s="6">
        <v>1462</v>
      </c>
      <c r="G2659" s="6">
        <v>1502</v>
      </c>
      <c r="H2659" s="6">
        <v>831</v>
      </c>
      <c r="I2659" s="6">
        <v>337</v>
      </c>
      <c r="J2659" s="6">
        <v>95</v>
      </c>
      <c r="K2659" s="40">
        <v>71</v>
      </c>
      <c r="L2659" s="40">
        <v>53</v>
      </c>
      <c r="M2659" s="40">
        <v>115</v>
      </c>
      <c r="N2659" s="40">
        <v>0</v>
      </c>
      <c r="O2659" s="40">
        <v>91</v>
      </c>
      <c r="P2659" s="40">
        <v>24</v>
      </c>
      <c r="Q2659" s="40">
        <v>0</v>
      </c>
      <c r="R2659" s="40">
        <v>0</v>
      </c>
      <c r="S2659" s="40">
        <v>0</v>
      </c>
    </row>
    <row r="2660" spans="1:19" x14ac:dyDescent="0.35">
      <c r="A2660" s="38">
        <v>1930</v>
      </c>
      <c r="B2660" s="38" t="str">
        <f>_xlfn.XLOOKUP(A2660,'Model Modeshare by TAZ'!A:A,'Model Modeshare by TAZ'!B:B)</f>
        <v>South San Francisco</v>
      </c>
      <c r="C2660" s="38" t="str">
        <f>_xlfn.XLOOKUP(A2660,'Model Modeshare by TAZ'!A:A,'Model Modeshare by TAZ'!D:D)</f>
        <v>YES</v>
      </c>
      <c r="D2660" s="6">
        <v>2</v>
      </c>
      <c r="E2660" s="6">
        <v>2825</v>
      </c>
      <c r="F2660" s="6">
        <v>8447</v>
      </c>
      <c r="G2660" s="6">
        <v>8451</v>
      </c>
      <c r="H2660" s="6">
        <v>4476</v>
      </c>
      <c r="I2660" s="6">
        <v>1356</v>
      </c>
      <c r="J2660" s="6">
        <v>1469</v>
      </c>
      <c r="K2660" s="40">
        <v>211</v>
      </c>
      <c r="L2660" s="40">
        <v>57</v>
      </c>
      <c r="M2660" s="40">
        <v>1334</v>
      </c>
      <c r="N2660" s="40">
        <v>459</v>
      </c>
      <c r="O2660" s="40">
        <v>587</v>
      </c>
      <c r="P2660" s="40">
        <v>285</v>
      </c>
      <c r="Q2660" s="40">
        <v>0</v>
      </c>
      <c r="R2660" s="40">
        <v>0</v>
      </c>
      <c r="S2660" s="40">
        <v>3</v>
      </c>
    </row>
    <row r="2661" spans="1:19" x14ac:dyDescent="0.35">
      <c r="A2661" s="38">
        <v>1931</v>
      </c>
      <c r="B2661" s="38" t="str">
        <f>_xlfn.XLOOKUP(A2661,'Model Modeshare by TAZ'!A:A,'Model Modeshare by TAZ'!B:B)</f>
        <v>South San Francisco</v>
      </c>
      <c r="C2661" s="38" t="str">
        <f>_xlfn.XLOOKUP(A2661,'Model Modeshare by TAZ'!A:A,'Model Modeshare by TAZ'!D:D)</f>
        <v>YES</v>
      </c>
      <c r="D2661" s="6">
        <v>2</v>
      </c>
      <c r="E2661" s="6">
        <v>1594</v>
      </c>
      <c r="F2661" s="6">
        <v>5816</v>
      </c>
      <c r="G2661" s="6">
        <v>6013</v>
      </c>
      <c r="H2661" s="6">
        <v>3065</v>
      </c>
      <c r="I2661" s="6">
        <v>1395</v>
      </c>
      <c r="J2661" s="6">
        <v>199</v>
      </c>
      <c r="K2661" s="40">
        <v>191</v>
      </c>
      <c r="L2661" s="40">
        <v>17</v>
      </c>
      <c r="M2661" s="40">
        <v>200</v>
      </c>
      <c r="N2661" s="40">
        <v>5</v>
      </c>
      <c r="O2661" s="40">
        <v>107</v>
      </c>
      <c r="P2661" s="40">
        <v>78</v>
      </c>
      <c r="Q2661" s="40">
        <v>9</v>
      </c>
      <c r="R2661" s="40">
        <v>0</v>
      </c>
      <c r="S2661" s="40">
        <v>0</v>
      </c>
    </row>
    <row r="2662" spans="1:19" x14ac:dyDescent="0.35">
      <c r="A2662" s="38">
        <v>1932</v>
      </c>
      <c r="B2662" s="38" t="str">
        <f>_xlfn.XLOOKUP(A2662,'Model Modeshare by TAZ'!A:A,'Model Modeshare by TAZ'!B:B)</f>
        <v>San Bruno</v>
      </c>
      <c r="C2662" s="38" t="str">
        <f>_xlfn.XLOOKUP(A2662,'Model Modeshare by TAZ'!A:A,'Model Modeshare by TAZ'!D:D)</f>
        <v>YES</v>
      </c>
      <c r="D2662" s="6">
        <v>2</v>
      </c>
      <c r="E2662" s="6">
        <v>924</v>
      </c>
      <c r="F2662" s="6">
        <v>2929</v>
      </c>
      <c r="G2662" s="6">
        <v>3084</v>
      </c>
      <c r="H2662" s="6">
        <v>1492</v>
      </c>
      <c r="I2662" s="6">
        <v>886</v>
      </c>
      <c r="J2662" s="6">
        <v>38</v>
      </c>
      <c r="K2662" s="40">
        <v>160</v>
      </c>
      <c r="L2662" s="40">
        <v>15</v>
      </c>
      <c r="M2662" s="40">
        <v>233</v>
      </c>
      <c r="N2662" s="40">
        <v>73</v>
      </c>
      <c r="O2662" s="40">
        <v>104</v>
      </c>
      <c r="P2662" s="40">
        <v>39</v>
      </c>
      <c r="Q2662" s="40">
        <v>4</v>
      </c>
      <c r="R2662" s="40">
        <v>0</v>
      </c>
      <c r="S2662" s="40">
        <v>13</v>
      </c>
    </row>
    <row r="2663" spans="1:19" x14ac:dyDescent="0.35">
      <c r="A2663" s="38">
        <v>1933</v>
      </c>
      <c r="B2663" s="38" t="str">
        <f>_xlfn.XLOOKUP(A2663,'Model Modeshare by TAZ'!A:A,'Model Modeshare by TAZ'!B:B)</f>
        <v>San Bruno</v>
      </c>
      <c r="C2663" s="38" t="str">
        <f>_xlfn.XLOOKUP(A2663,'Model Modeshare by TAZ'!A:A,'Model Modeshare by TAZ'!D:D)</f>
        <v>YES</v>
      </c>
      <c r="D2663" s="6">
        <v>2</v>
      </c>
      <c r="E2663" s="6">
        <v>2325</v>
      </c>
      <c r="F2663" s="6">
        <v>5309</v>
      </c>
      <c r="G2663" s="6">
        <v>5313</v>
      </c>
      <c r="H2663" s="6">
        <v>3175</v>
      </c>
      <c r="I2663" s="6">
        <v>1203</v>
      </c>
      <c r="J2663" s="6">
        <v>1122</v>
      </c>
      <c r="K2663" s="40">
        <v>221</v>
      </c>
      <c r="L2663" s="40">
        <v>112</v>
      </c>
      <c r="M2663" s="40">
        <v>278</v>
      </c>
      <c r="N2663" s="40">
        <v>67</v>
      </c>
      <c r="O2663" s="40">
        <v>91</v>
      </c>
      <c r="P2663" s="40">
        <v>108</v>
      </c>
      <c r="Q2663" s="40">
        <v>6</v>
      </c>
      <c r="R2663" s="40">
        <v>0</v>
      </c>
      <c r="S2663" s="40">
        <v>6</v>
      </c>
    </row>
    <row r="2664" spans="1:19" x14ac:dyDescent="0.35">
      <c r="A2664" s="38">
        <v>1934</v>
      </c>
      <c r="B2664" s="38" t="str">
        <f>_xlfn.XLOOKUP(A2664,'Model Modeshare by TAZ'!A:A,'Model Modeshare by TAZ'!B:B)</f>
        <v>San Bruno</v>
      </c>
      <c r="C2664" s="38" t="str">
        <f>_xlfn.XLOOKUP(A2664,'Model Modeshare by TAZ'!A:A,'Model Modeshare by TAZ'!D:D)</f>
        <v>YES</v>
      </c>
      <c r="D2664" s="6">
        <v>2</v>
      </c>
      <c r="E2664" s="6">
        <v>6</v>
      </c>
      <c r="F2664" s="6">
        <v>15</v>
      </c>
      <c r="G2664" s="6">
        <v>18</v>
      </c>
      <c r="H2664" s="6">
        <v>8</v>
      </c>
      <c r="I2664" s="6">
        <v>1</v>
      </c>
      <c r="J2664" s="6">
        <v>4</v>
      </c>
      <c r="K2664" s="40">
        <v>1</v>
      </c>
      <c r="L2664" s="40">
        <v>83</v>
      </c>
      <c r="M2664" s="40">
        <v>3234</v>
      </c>
      <c r="N2664" s="40">
        <v>2436</v>
      </c>
      <c r="O2664" s="40">
        <v>516</v>
      </c>
      <c r="P2664" s="40">
        <v>150</v>
      </c>
      <c r="Q2664" s="40">
        <v>1</v>
      </c>
      <c r="R2664" s="40">
        <v>6</v>
      </c>
      <c r="S2664" s="40">
        <v>125</v>
      </c>
    </row>
    <row r="2665" spans="1:19" x14ac:dyDescent="0.35">
      <c r="A2665" s="38">
        <v>1935</v>
      </c>
      <c r="B2665" s="38" t="str">
        <f>_xlfn.XLOOKUP(A2665,'Model Modeshare by TAZ'!A:A,'Model Modeshare by TAZ'!B:B)</f>
        <v>San Bruno</v>
      </c>
      <c r="C2665" s="38" t="str">
        <f>_xlfn.XLOOKUP(A2665,'Model Modeshare by TAZ'!A:A,'Model Modeshare by TAZ'!D:D)</f>
        <v>YES</v>
      </c>
      <c r="D2665" s="6">
        <v>2</v>
      </c>
      <c r="E2665" s="6">
        <v>1110</v>
      </c>
      <c r="F2665" s="6">
        <v>3224</v>
      </c>
      <c r="G2665" s="6">
        <v>3229</v>
      </c>
      <c r="H2665" s="6">
        <v>1616</v>
      </c>
      <c r="I2665" s="6">
        <v>1064</v>
      </c>
      <c r="J2665" s="6">
        <v>46</v>
      </c>
      <c r="K2665" s="40">
        <v>133</v>
      </c>
      <c r="L2665" s="40">
        <v>14</v>
      </c>
      <c r="M2665" s="40">
        <v>606</v>
      </c>
      <c r="N2665" s="40">
        <v>221</v>
      </c>
      <c r="O2665" s="40">
        <v>154</v>
      </c>
      <c r="P2665" s="40">
        <v>206</v>
      </c>
      <c r="Q2665" s="40">
        <v>0</v>
      </c>
      <c r="R2665" s="40">
        <v>24</v>
      </c>
      <c r="S2665" s="40">
        <v>1</v>
      </c>
    </row>
    <row r="2666" spans="1:19" x14ac:dyDescent="0.35">
      <c r="A2666" s="38">
        <v>1936</v>
      </c>
      <c r="B2666" s="38" t="str">
        <f>_xlfn.XLOOKUP(A2666,'Model Modeshare by TAZ'!A:A,'Model Modeshare by TAZ'!B:B)</f>
        <v>San Bruno</v>
      </c>
      <c r="C2666" s="38" t="str">
        <f>_xlfn.XLOOKUP(A2666,'Model Modeshare by TAZ'!A:A,'Model Modeshare by TAZ'!D:D)</f>
        <v>YES</v>
      </c>
      <c r="D2666" s="6">
        <v>2</v>
      </c>
      <c r="E2666" s="6">
        <v>1292</v>
      </c>
      <c r="F2666" s="6">
        <v>3349</v>
      </c>
      <c r="G2666" s="6">
        <v>3366</v>
      </c>
      <c r="H2666" s="6">
        <v>2044</v>
      </c>
      <c r="I2666" s="6">
        <v>900</v>
      </c>
      <c r="J2666" s="6">
        <v>392</v>
      </c>
      <c r="K2666" s="40">
        <v>82</v>
      </c>
      <c r="L2666" s="40">
        <v>32</v>
      </c>
      <c r="M2666" s="40">
        <v>481</v>
      </c>
      <c r="N2666" s="40">
        <v>54</v>
      </c>
      <c r="O2666" s="40">
        <v>371</v>
      </c>
      <c r="P2666" s="40">
        <v>53</v>
      </c>
      <c r="Q2666" s="40">
        <v>2</v>
      </c>
      <c r="R2666" s="40">
        <v>1</v>
      </c>
      <c r="S2666" s="40">
        <v>0</v>
      </c>
    </row>
    <row r="2667" spans="1:19" x14ac:dyDescent="0.35">
      <c r="A2667" s="38">
        <v>1937</v>
      </c>
      <c r="B2667" s="38" t="str">
        <f>_xlfn.XLOOKUP(A2667,'Model Modeshare by TAZ'!A:A,'Model Modeshare by TAZ'!B:B)</f>
        <v>San Bruno</v>
      </c>
      <c r="C2667" s="38" t="str">
        <f>_xlfn.XLOOKUP(A2667,'Model Modeshare by TAZ'!A:A,'Model Modeshare by TAZ'!D:D)</f>
        <v>YES</v>
      </c>
      <c r="D2667" s="6">
        <v>2</v>
      </c>
      <c r="E2667" s="6">
        <v>830</v>
      </c>
      <c r="F2667" s="6">
        <v>2686</v>
      </c>
      <c r="G2667" s="6">
        <v>2709</v>
      </c>
      <c r="H2667" s="6">
        <v>1632</v>
      </c>
      <c r="I2667" s="6">
        <v>365</v>
      </c>
      <c r="J2667" s="6">
        <v>464</v>
      </c>
      <c r="K2667" s="40">
        <v>38</v>
      </c>
      <c r="L2667" s="40">
        <v>4</v>
      </c>
      <c r="M2667" s="40">
        <v>177</v>
      </c>
      <c r="N2667" s="40">
        <v>69</v>
      </c>
      <c r="O2667" s="40">
        <v>53</v>
      </c>
      <c r="P2667" s="40">
        <v>33</v>
      </c>
      <c r="Q2667" s="40">
        <v>1</v>
      </c>
      <c r="R2667" s="40">
        <v>4</v>
      </c>
      <c r="S2667" s="40">
        <v>17</v>
      </c>
    </row>
    <row r="2668" spans="1:19" x14ac:dyDescent="0.35">
      <c r="A2668" s="38">
        <v>1938</v>
      </c>
      <c r="B2668" s="38" t="str">
        <f>_xlfn.XLOOKUP(A2668,'Model Modeshare by TAZ'!A:A,'Model Modeshare by TAZ'!B:B)</f>
        <v>San Bruno</v>
      </c>
      <c r="C2668" s="38" t="str">
        <f>_xlfn.XLOOKUP(A2668,'Model Modeshare by TAZ'!A:A,'Model Modeshare by TAZ'!D:D)</f>
        <v>YES</v>
      </c>
      <c r="D2668" s="6">
        <v>2</v>
      </c>
      <c r="E2668" s="6">
        <v>859</v>
      </c>
      <c r="F2668" s="6">
        <v>3052</v>
      </c>
      <c r="G2668" s="6">
        <v>3052</v>
      </c>
      <c r="H2668" s="6">
        <v>1533</v>
      </c>
      <c r="I2668" s="6">
        <v>587</v>
      </c>
      <c r="J2668" s="6">
        <v>272</v>
      </c>
      <c r="K2668" s="40">
        <v>113</v>
      </c>
      <c r="L2668" s="40">
        <v>108</v>
      </c>
      <c r="M2668" s="40">
        <v>492</v>
      </c>
      <c r="N2668" s="40">
        <v>59</v>
      </c>
      <c r="O2668" s="40">
        <v>68</v>
      </c>
      <c r="P2668" s="40">
        <v>348</v>
      </c>
      <c r="Q2668" s="40">
        <v>0</v>
      </c>
      <c r="R2668" s="40">
        <v>11</v>
      </c>
      <c r="S2668" s="40">
        <v>7</v>
      </c>
    </row>
    <row r="2669" spans="1:19" x14ac:dyDescent="0.35">
      <c r="A2669" s="38">
        <v>1939</v>
      </c>
      <c r="B2669" s="38" t="str">
        <f>_xlfn.XLOOKUP(A2669,'Model Modeshare by TAZ'!A:A,'Model Modeshare by TAZ'!B:B)</f>
        <v>Unincorporated</v>
      </c>
      <c r="C2669" s="38" t="str">
        <f>_xlfn.XLOOKUP(A2669,'Model Modeshare by TAZ'!A:A,'Model Modeshare by TAZ'!D:D)</f>
        <v>YES</v>
      </c>
      <c r="D2669" s="6">
        <v>2</v>
      </c>
      <c r="E2669" s="6">
        <v>0</v>
      </c>
      <c r="F2669" s="6">
        <v>0</v>
      </c>
      <c r="G2669" s="6">
        <v>0</v>
      </c>
      <c r="H2669" s="6">
        <v>0</v>
      </c>
      <c r="I2669" s="6">
        <v>0</v>
      </c>
      <c r="J2669" s="6">
        <v>0</v>
      </c>
      <c r="K2669" s="40">
        <v>0</v>
      </c>
      <c r="L2669" s="40">
        <v>0</v>
      </c>
      <c r="M2669" s="40">
        <v>0</v>
      </c>
      <c r="N2669" s="40">
        <v>0</v>
      </c>
      <c r="O2669" s="40">
        <v>0</v>
      </c>
      <c r="P2669" s="40">
        <v>0</v>
      </c>
      <c r="Q2669" s="40">
        <v>0</v>
      </c>
      <c r="R2669" s="40">
        <v>0</v>
      </c>
      <c r="S2669" s="40">
        <v>0</v>
      </c>
    </row>
    <row r="2670" spans="1:19" x14ac:dyDescent="0.35">
      <c r="A2670" s="38">
        <v>1940</v>
      </c>
      <c r="B2670" s="38" t="str">
        <f>_xlfn.XLOOKUP(A2670,'Model Modeshare by TAZ'!A:A,'Model Modeshare by TAZ'!B:B)</f>
        <v>Millbrae</v>
      </c>
      <c r="C2670" s="38" t="str">
        <f>_xlfn.XLOOKUP(A2670,'Model Modeshare by TAZ'!A:A,'Model Modeshare by TAZ'!D:D)</f>
        <v>YES</v>
      </c>
      <c r="D2670" s="6">
        <v>2</v>
      </c>
      <c r="E2670" s="6">
        <v>420</v>
      </c>
      <c r="F2670" s="6">
        <v>1187</v>
      </c>
      <c r="G2670" s="6">
        <v>1236</v>
      </c>
      <c r="H2670" s="6">
        <v>708</v>
      </c>
      <c r="I2670" s="6">
        <v>136</v>
      </c>
      <c r="J2670" s="6">
        <v>285</v>
      </c>
      <c r="K2670" s="40">
        <v>33</v>
      </c>
      <c r="L2670" s="40">
        <v>65</v>
      </c>
      <c r="M2670" s="40">
        <v>1258</v>
      </c>
      <c r="N2670" s="40">
        <v>190</v>
      </c>
      <c r="O2670" s="40">
        <v>621</v>
      </c>
      <c r="P2670" s="40">
        <v>43</v>
      </c>
      <c r="Q2670" s="40">
        <v>4</v>
      </c>
      <c r="R2670" s="40">
        <v>282</v>
      </c>
      <c r="S2670" s="40">
        <v>118</v>
      </c>
    </row>
    <row r="2671" spans="1:19" x14ac:dyDescent="0.35">
      <c r="A2671" s="38">
        <v>1941</v>
      </c>
      <c r="B2671" s="38" t="str">
        <f>_xlfn.XLOOKUP(A2671,'Model Modeshare by TAZ'!A:A,'Model Modeshare by TAZ'!B:B)</f>
        <v>Millbrae</v>
      </c>
      <c r="C2671" s="38" t="str">
        <f>_xlfn.XLOOKUP(A2671,'Model Modeshare by TAZ'!A:A,'Model Modeshare by TAZ'!D:D)</f>
        <v>YES</v>
      </c>
      <c r="D2671" s="6">
        <v>2</v>
      </c>
      <c r="E2671" s="6">
        <v>1297</v>
      </c>
      <c r="F2671" s="6">
        <v>3702</v>
      </c>
      <c r="G2671" s="6">
        <v>3742</v>
      </c>
      <c r="H2671" s="6">
        <v>1795</v>
      </c>
      <c r="I2671" s="6">
        <v>1074</v>
      </c>
      <c r="J2671" s="6">
        <v>223</v>
      </c>
      <c r="K2671" s="40">
        <v>198</v>
      </c>
      <c r="L2671" s="40">
        <v>28</v>
      </c>
      <c r="M2671" s="40">
        <v>454</v>
      </c>
      <c r="N2671" s="40">
        <v>0</v>
      </c>
      <c r="O2671" s="40">
        <v>118</v>
      </c>
      <c r="P2671" s="40">
        <v>201</v>
      </c>
      <c r="Q2671" s="40">
        <v>64</v>
      </c>
      <c r="R2671" s="40">
        <v>0</v>
      </c>
      <c r="S2671" s="40">
        <v>72</v>
      </c>
    </row>
    <row r="2672" spans="1:19" x14ac:dyDescent="0.35">
      <c r="A2672" s="38">
        <v>1942</v>
      </c>
      <c r="B2672" s="38" t="str">
        <f>_xlfn.XLOOKUP(A2672,'Model Modeshare by TAZ'!A:A,'Model Modeshare by TAZ'!B:B)</f>
        <v>Millbrae</v>
      </c>
      <c r="C2672" s="38" t="str">
        <f>_xlfn.XLOOKUP(A2672,'Model Modeshare by TAZ'!A:A,'Model Modeshare by TAZ'!D:D)</f>
        <v>YES</v>
      </c>
      <c r="D2672" s="6">
        <v>2</v>
      </c>
      <c r="E2672" s="6">
        <v>954</v>
      </c>
      <c r="F2672" s="6">
        <v>2897</v>
      </c>
      <c r="G2672" s="6">
        <v>2897</v>
      </c>
      <c r="H2672" s="6">
        <v>1398</v>
      </c>
      <c r="I2672" s="6">
        <v>953</v>
      </c>
      <c r="J2672" s="6">
        <v>1</v>
      </c>
      <c r="K2672" s="40">
        <v>147</v>
      </c>
      <c r="L2672" s="40">
        <v>25</v>
      </c>
      <c r="M2672" s="40">
        <v>120</v>
      </c>
      <c r="N2672" s="40">
        <v>58</v>
      </c>
      <c r="O2672" s="40">
        <v>10</v>
      </c>
      <c r="P2672" s="40">
        <v>48</v>
      </c>
      <c r="Q2672" s="40">
        <v>3</v>
      </c>
      <c r="R2672" s="40">
        <v>0</v>
      </c>
      <c r="S2672" s="40">
        <v>0</v>
      </c>
    </row>
    <row r="2673" spans="1:19" x14ac:dyDescent="0.35">
      <c r="A2673" s="38">
        <v>1943</v>
      </c>
      <c r="B2673" s="38" t="str">
        <f>_xlfn.XLOOKUP(A2673,'Model Modeshare by TAZ'!A:A,'Model Modeshare by TAZ'!B:B)</f>
        <v>Millbrae</v>
      </c>
      <c r="C2673" s="38" t="str">
        <f>_xlfn.XLOOKUP(A2673,'Model Modeshare by TAZ'!A:A,'Model Modeshare by TAZ'!D:D)</f>
        <v>YES</v>
      </c>
      <c r="D2673" s="6">
        <v>2</v>
      </c>
      <c r="E2673" s="6">
        <v>954</v>
      </c>
      <c r="F2673" s="6">
        <v>2665</v>
      </c>
      <c r="G2673" s="6">
        <v>2686</v>
      </c>
      <c r="H2673" s="6">
        <v>1328</v>
      </c>
      <c r="I2673" s="6">
        <v>885</v>
      </c>
      <c r="J2673" s="6">
        <v>69</v>
      </c>
      <c r="K2673" s="40">
        <v>169</v>
      </c>
      <c r="L2673" s="40">
        <v>10</v>
      </c>
      <c r="M2673" s="40">
        <v>140</v>
      </c>
      <c r="N2673" s="40">
        <v>58</v>
      </c>
      <c r="O2673" s="40">
        <v>19</v>
      </c>
      <c r="P2673" s="40">
        <v>56</v>
      </c>
      <c r="Q2673" s="40">
        <v>1</v>
      </c>
      <c r="R2673" s="40">
        <v>1</v>
      </c>
      <c r="S2673" s="40">
        <v>5</v>
      </c>
    </row>
    <row r="2674" spans="1:19" x14ac:dyDescent="0.35">
      <c r="A2674" s="38">
        <v>1944</v>
      </c>
      <c r="B2674" s="38" t="str">
        <f>_xlfn.XLOOKUP(A2674,'Model Modeshare by TAZ'!A:A,'Model Modeshare by TAZ'!B:B)</f>
        <v>Millbrae</v>
      </c>
      <c r="C2674" s="38" t="str">
        <f>_xlfn.XLOOKUP(A2674,'Model Modeshare by TAZ'!A:A,'Model Modeshare by TAZ'!D:D)</f>
        <v>YES</v>
      </c>
      <c r="D2674" s="6">
        <v>2</v>
      </c>
      <c r="E2674" s="6">
        <v>1884</v>
      </c>
      <c r="F2674" s="6">
        <v>4952</v>
      </c>
      <c r="G2674" s="6">
        <v>4970</v>
      </c>
      <c r="H2674" s="6">
        <v>2382</v>
      </c>
      <c r="I2674" s="6">
        <v>916</v>
      </c>
      <c r="J2674" s="6">
        <v>968</v>
      </c>
      <c r="K2674" s="40">
        <v>161</v>
      </c>
      <c r="L2674" s="40">
        <v>38</v>
      </c>
      <c r="M2674" s="40">
        <v>1456</v>
      </c>
      <c r="N2674" s="40">
        <v>916</v>
      </c>
      <c r="O2674" s="40">
        <v>237</v>
      </c>
      <c r="P2674" s="40">
        <v>290</v>
      </c>
      <c r="Q2674" s="40">
        <v>0</v>
      </c>
      <c r="R2674" s="40">
        <v>0</v>
      </c>
      <c r="S2674" s="40">
        <v>13</v>
      </c>
    </row>
    <row r="2675" spans="1:19" x14ac:dyDescent="0.35">
      <c r="A2675" s="38">
        <v>1945</v>
      </c>
      <c r="B2675" s="38" t="str">
        <f>_xlfn.XLOOKUP(A2675,'Model Modeshare by TAZ'!A:A,'Model Modeshare by TAZ'!B:B)</f>
        <v>Millbrae</v>
      </c>
      <c r="C2675" s="38" t="str">
        <f>_xlfn.XLOOKUP(A2675,'Model Modeshare by TAZ'!A:A,'Model Modeshare by TAZ'!D:D)</f>
        <v>YES</v>
      </c>
      <c r="D2675" s="6">
        <v>2</v>
      </c>
      <c r="E2675" s="6">
        <v>910</v>
      </c>
      <c r="F2675" s="6">
        <v>2380</v>
      </c>
      <c r="G2675" s="6">
        <v>2405</v>
      </c>
      <c r="H2675" s="6">
        <v>1032</v>
      </c>
      <c r="I2675" s="6">
        <v>660</v>
      </c>
      <c r="J2675" s="6">
        <v>250</v>
      </c>
      <c r="K2675" s="40">
        <v>188</v>
      </c>
      <c r="L2675" s="40">
        <v>6</v>
      </c>
      <c r="M2675" s="40">
        <v>55</v>
      </c>
      <c r="N2675" s="40">
        <v>0</v>
      </c>
      <c r="O2675" s="40">
        <v>11</v>
      </c>
      <c r="P2675" s="40">
        <v>37</v>
      </c>
      <c r="Q2675" s="40">
        <v>1</v>
      </c>
      <c r="R2675" s="40">
        <v>1</v>
      </c>
      <c r="S2675" s="40">
        <v>6</v>
      </c>
    </row>
    <row r="2676" spans="1:19" x14ac:dyDescent="0.35">
      <c r="A2676" s="38">
        <v>1946</v>
      </c>
      <c r="B2676" s="38" t="str">
        <f>_xlfn.XLOOKUP(A2676,'Model Modeshare by TAZ'!A:A,'Model Modeshare by TAZ'!B:B)</f>
        <v>Burlingame</v>
      </c>
      <c r="C2676" s="38" t="str">
        <f>_xlfn.XLOOKUP(A2676,'Model Modeshare by TAZ'!A:A,'Model Modeshare by TAZ'!D:D)</f>
        <v>YES</v>
      </c>
      <c r="D2676" s="6">
        <v>2</v>
      </c>
      <c r="E2676" s="6">
        <v>1831</v>
      </c>
      <c r="F2676" s="6">
        <v>5136</v>
      </c>
      <c r="G2676" s="6">
        <v>5351</v>
      </c>
      <c r="H2676" s="6">
        <v>2501</v>
      </c>
      <c r="I2676" s="6">
        <v>1284</v>
      </c>
      <c r="J2676" s="6">
        <v>547</v>
      </c>
      <c r="K2676" s="40">
        <v>409</v>
      </c>
      <c r="L2676" s="40">
        <v>53</v>
      </c>
      <c r="M2676" s="40">
        <v>410</v>
      </c>
      <c r="N2676" s="40">
        <v>10</v>
      </c>
      <c r="O2676" s="40">
        <v>174</v>
      </c>
      <c r="P2676" s="40">
        <v>164</v>
      </c>
      <c r="Q2676" s="40">
        <v>2</v>
      </c>
      <c r="R2676" s="40">
        <v>27</v>
      </c>
      <c r="S2676" s="40">
        <v>32</v>
      </c>
    </row>
    <row r="2677" spans="1:19" x14ac:dyDescent="0.35">
      <c r="A2677" s="38">
        <v>1947</v>
      </c>
      <c r="B2677" s="38" t="str">
        <f>_xlfn.XLOOKUP(A2677,'Model Modeshare by TAZ'!A:A,'Model Modeshare by TAZ'!B:B)</f>
        <v>Burlingame</v>
      </c>
      <c r="C2677" s="38" t="str">
        <f>_xlfn.XLOOKUP(A2677,'Model Modeshare by TAZ'!A:A,'Model Modeshare by TAZ'!D:D)</f>
        <v>YES</v>
      </c>
      <c r="D2677" s="6">
        <v>2</v>
      </c>
      <c r="E2677" s="6">
        <v>1262</v>
      </c>
      <c r="F2677" s="6">
        <v>3726</v>
      </c>
      <c r="G2677" s="6">
        <v>3745</v>
      </c>
      <c r="H2677" s="6">
        <v>1644</v>
      </c>
      <c r="I2677" s="6">
        <v>1060</v>
      </c>
      <c r="J2677" s="6">
        <v>202</v>
      </c>
      <c r="K2677" s="40">
        <v>154</v>
      </c>
      <c r="L2677" s="40">
        <v>20</v>
      </c>
      <c r="M2677" s="40">
        <v>315</v>
      </c>
      <c r="N2677" s="40">
        <v>21</v>
      </c>
      <c r="O2677" s="40">
        <v>228</v>
      </c>
      <c r="P2677" s="40">
        <v>63</v>
      </c>
      <c r="Q2677" s="40">
        <v>1</v>
      </c>
      <c r="R2677" s="40">
        <v>1</v>
      </c>
      <c r="S2677" s="40">
        <v>2</v>
      </c>
    </row>
    <row r="2678" spans="1:19" x14ac:dyDescent="0.35">
      <c r="A2678" s="38">
        <v>1948</v>
      </c>
      <c r="B2678" s="38" t="str">
        <f>_xlfn.XLOOKUP(A2678,'Model Modeshare by TAZ'!A:A,'Model Modeshare by TAZ'!B:B)</f>
        <v>Burlingame</v>
      </c>
      <c r="C2678" s="38" t="str">
        <f>_xlfn.XLOOKUP(A2678,'Model Modeshare by TAZ'!A:A,'Model Modeshare by TAZ'!D:D)</f>
        <v>YES</v>
      </c>
      <c r="D2678" s="6">
        <v>2</v>
      </c>
      <c r="E2678" s="6">
        <v>1</v>
      </c>
      <c r="F2678" s="6">
        <v>3</v>
      </c>
      <c r="G2678" s="6">
        <v>18</v>
      </c>
      <c r="H2678" s="6">
        <v>1</v>
      </c>
      <c r="I2678" s="6">
        <v>0</v>
      </c>
      <c r="J2678" s="6">
        <v>1</v>
      </c>
      <c r="K2678" s="40">
        <v>0</v>
      </c>
      <c r="L2678" s="40">
        <v>218</v>
      </c>
      <c r="M2678" s="40">
        <v>8392</v>
      </c>
      <c r="N2678" s="40">
        <v>1575</v>
      </c>
      <c r="O2678" s="40">
        <v>3520</v>
      </c>
      <c r="P2678" s="40">
        <v>810</v>
      </c>
      <c r="Q2678" s="40">
        <v>24</v>
      </c>
      <c r="R2678" s="40">
        <v>1946</v>
      </c>
      <c r="S2678" s="40">
        <v>517</v>
      </c>
    </row>
    <row r="2679" spans="1:19" x14ac:dyDescent="0.35">
      <c r="A2679" s="38">
        <v>1949</v>
      </c>
      <c r="B2679" s="38" t="str">
        <f>_xlfn.XLOOKUP(A2679,'Model Modeshare by TAZ'!A:A,'Model Modeshare by TAZ'!B:B)</f>
        <v>Burlingame</v>
      </c>
      <c r="C2679" s="38" t="str">
        <f>_xlfn.XLOOKUP(A2679,'Model Modeshare by TAZ'!A:A,'Model Modeshare by TAZ'!D:D)</f>
        <v>YES</v>
      </c>
      <c r="D2679" s="6">
        <v>2</v>
      </c>
      <c r="E2679" s="6">
        <v>0</v>
      </c>
      <c r="F2679" s="6">
        <v>0</v>
      </c>
      <c r="G2679" s="6">
        <v>0</v>
      </c>
      <c r="H2679" s="6">
        <v>0</v>
      </c>
      <c r="I2679" s="6">
        <v>0</v>
      </c>
      <c r="J2679" s="6">
        <v>0</v>
      </c>
      <c r="K2679" s="40">
        <v>1</v>
      </c>
      <c r="L2679" s="40">
        <v>252</v>
      </c>
      <c r="M2679" s="40">
        <v>4661</v>
      </c>
      <c r="N2679" s="40">
        <v>681</v>
      </c>
      <c r="O2679" s="40">
        <v>1509</v>
      </c>
      <c r="P2679" s="40">
        <v>1581</v>
      </c>
      <c r="Q2679" s="40">
        <v>15</v>
      </c>
      <c r="R2679" s="40">
        <v>217</v>
      </c>
      <c r="S2679" s="40">
        <v>659</v>
      </c>
    </row>
    <row r="2680" spans="1:19" x14ac:dyDescent="0.35">
      <c r="A2680" s="38">
        <v>1950</v>
      </c>
      <c r="B2680" s="38" t="str">
        <f>_xlfn.XLOOKUP(A2680,'Model Modeshare by TAZ'!A:A,'Model Modeshare by TAZ'!B:B)</f>
        <v>Burlingame</v>
      </c>
      <c r="C2680" s="38" t="str">
        <f>_xlfn.XLOOKUP(A2680,'Model Modeshare by TAZ'!A:A,'Model Modeshare by TAZ'!D:D)</f>
        <v>YES</v>
      </c>
      <c r="D2680" s="6">
        <v>2</v>
      </c>
      <c r="E2680" s="6">
        <v>981</v>
      </c>
      <c r="F2680" s="6">
        <v>2476</v>
      </c>
      <c r="G2680" s="6">
        <v>2526</v>
      </c>
      <c r="H2680" s="6">
        <v>1302</v>
      </c>
      <c r="I2680" s="6">
        <v>570</v>
      </c>
      <c r="J2680" s="6">
        <v>411</v>
      </c>
      <c r="K2680" s="40">
        <v>106</v>
      </c>
      <c r="L2680" s="40">
        <v>4</v>
      </c>
      <c r="M2680" s="40">
        <v>311</v>
      </c>
      <c r="N2680" s="40">
        <v>0</v>
      </c>
      <c r="O2680" s="40">
        <v>107</v>
      </c>
      <c r="P2680" s="40">
        <v>165</v>
      </c>
      <c r="Q2680" s="40">
        <v>8</v>
      </c>
      <c r="R2680" s="40">
        <v>27</v>
      </c>
      <c r="S2680" s="40">
        <v>4</v>
      </c>
    </row>
    <row r="2681" spans="1:19" x14ac:dyDescent="0.35">
      <c r="A2681" s="38">
        <v>1951</v>
      </c>
      <c r="B2681" s="38" t="str">
        <f>_xlfn.XLOOKUP(A2681,'Model Modeshare by TAZ'!A:A,'Model Modeshare by TAZ'!B:B)</f>
        <v>Burlingame</v>
      </c>
      <c r="C2681" s="38" t="str">
        <f>_xlfn.XLOOKUP(A2681,'Model Modeshare by TAZ'!A:A,'Model Modeshare by TAZ'!D:D)</f>
        <v>YES</v>
      </c>
      <c r="D2681" s="6">
        <v>2</v>
      </c>
      <c r="E2681" s="6">
        <v>1665</v>
      </c>
      <c r="F2681" s="6">
        <v>2936</v>
      </c>
      <c r="G2681" s="6">
        <v>2948</v>
      </c>
      <c r="H2681" s="6">
        <v>2015</v>
      </c>
      <c r="I2681" s="6">
        <v>258</v>
      </c>
      <c r="J2681" s="6">
        <v>1407</v>
      </c>
      <c r="K2681" s="40">
        <v>85</v>
      </c>
      <c r="L2681" s="40">
        <v>34</v>
      </c>
      <c r="M2681" s="40">
        <v>4195</v>
      </c>
      <c r="N2681" s="40">
        <v>1333</v>
      </c>
      <c r="O2681" s="40">
        <v>1630</v>
      </c>
      <c r="P2681" s="40">
        <v>1113</v>
      </c>
      <c r="Q2681" s="40">
        <v>12</v>
      </c>
      <c r="R2681" s="40">
        <v>62</v>
      </c>
      <c r="S2681" s="40">
        <v>45</v>
      </c>
    </row>
    <row r="2682" spans="1:19" x14ac:dyDescent="0.35">
      <c r="A2682" s="38">
        <v>1952</v>
      </c>
      <c r="B2682" s="38" t="str">
        <f>_xlfn.XLOOKUP(A2682,'Model Modeshare by TAZ'!A:A,'Model Modeshare by TAZ'!B:B)</f>
        <v>Hillsborough</v>
      </c>
      <c r="C2682" s="38" t="str">
        <f>_xlfn.XLOOKUP(A2682,'Model Modeshare by TAZ'!A:A,'Model Modeshare by TAZ'!D:D)</f>
        <v>YES</v>
      </c>
      <c r="D2682" s="6">
        <v>2</v>
      </c>
      <c r="E2682" s="6">
        <v>661</v>
      </c>
      <c r="F2682" s="6">
        <v>2044</v>
      </c>
      <c r="G2682" s="6">
        <v>2044</v>
      </c>
      <c r="H2682" s="6">
        <v>753</v>
      </c>
      <c r="I2682" s="6">
        <v>659</v>
      </c>
      <c r="J2682" s="6">
        <v>2</v>
      </c>
      <c r="K2682" s="40">
        <v>488</v>
      </c>
      <c r="L2682" s="40">
        <v>164</v>
      </c>
      <c r="M2682" s="40">
        <v>912</v>
      </c>
      <c r="N2682" s="40">
        <v>60</v>
      </c>
      <c r="O2682" s="40">
        <v>644</v>
      </c>
      <c r="P2682" s="40">
        <v>197</v>
      </c>
      <c r="Q2682" s="40">
        <v>6</v>
      </c>
      <c r="R2682" s="40">
        <v>5</v>
      </c>
      <c r="S2682" s="40">
        <v>1</v>
      </c>
    </row>
    <row r="2683" spans="1:19" x14ac:dyDescent="0.35">
      <c r="A2683" s="38">
        <v>1953</v>
      </c>
      <c r="B2683" s="38" t="str">
        <f>_xlfn.XLOOKUP(A2683,'Model Modeshare by TAZ'!A:A,'Model Modeshare by TAZ'!B:B)</f>
        <v>San Mateo</v>
      </c>
      <c r="C2683" s="38" t="str">
        <f>_xlfn.XLOOKUP(A2683,'Model Modeshare by TAZ'!A:A,'Model Modeshare by TAZ'!D:D)</f>
        <v>YES</v>
      </c>
      <c r="D2683" s="6">
        <v>2</v>
      </c>
      <c r="E2683" s="6">
        <v>954</v>
      </c>
      <c r="F2683" s="6">
        <v>2573</v>
      </c>
      <c r="G2683" s="6">
        <v>2573</v>
      </c>
      <c r="H2683" s="6">
        <v>1118</v>
      </c>
      <c r="I2683" s="6">
        <v>714</v>
      </c>
      <c r="J2683" s="6">
        <v>240</v>
      </c>
      <c r="K2683" s="40">
        <v>218</v>
      </c>
      <c r="L2683" s="40">
        <v>4</v>
      </c>
      <c r="M2683" s="40">
        <v>239</v>
      </c>
      <c r="N2683" s="40">
        <v>23</v>
      </c>
      <c r="O2683" s="40">
        <v>170</v>
      </c>
      <c r="P2683" s="40">
        <v>38</v>
      </c>
      <c r="Q2683" s="40">
        <v>2</v>
      </c>
      <c r="R2683" s="40">
        <v>1</v>
      </c>
      <c r="S2683" s="40">
        <v>6</v>
      </c>
    </row>
    <row r="2684" spans="1:19" x14ac:dyDescent="0.35">
      <c r="A2684" s="38">
        <v>1954</v>
      </c>
      <c r="B2684" s="38" t="str">
        <f>_xlfn.XLOOKUP(A2684,'Model Modeshare by TAZ'!A:A,'Model Modeshare by TAZ'!B:B)</f>
        <v>Hillsborough</v>
      </c>
      <c r="C2684" s="38" t="str">
        <f>_xlfn.XLOOKUP(A2684,'Model Modeshare by TAZ'!A:A,'Model Modeshare by TAZ'!D:D)</f>
        <v>YES</v>
      </c>
      <c r="D2684" s="6">
        <v>2</v>
      </c>
      <c r="E2684" s="6">
        <v>690</v>
      </c>
      <c r="F2684" s="6">
        <v>2100</v>
      </c>
      <c r="G2684" s="6">
        <v>2100</v>
      </c>
      <c r="H2684" s="6">
        <v>953</v>
      </c>
      <c r="I2684" s="6">
        <v>686</v>
      </c>
      <c r="J2684" s="6">
        <v>4</v>
      </c>
      <c r="K2684" s="40">
        <v>567</v>
      </c>
      <c r="L2684" s="40">
        <v>0</v>
      </c>
      <c r="M2684" s="40">
        <v>9</v>
      </c>
      <c r="N2684" s="40">
        <v>0</v>
      </c>
      <c r="O2684" s="40">
        <v>3</v>
      </c>
      <c r="P2684" s="40">
        <v>2</v>
      </c>
      <c r="Q2684" s="40">
        <v>0</v>
      </c>
      <c r="R2684" s="40">
        <v>4</v>
      </c>
      <c r="S2684" s="40">
        <v>0</v>
      </c>
    </row>
    <row r="2685" spans="1:19" x14ac:dyDescent="0.35">
      <c r="A2685" s="38">
        <v>1955</v>
      </c>
      <c r="B2685" s="38" t="str">
        <f>_xlfn.XLOOKUP(A2685,'Model Modeshare by TAZ'!A:A,'Model Modeshare by TAZ'!B:B)</f>
        <v>San Mateo</v>
      </c>
      <c r="C2685" s="38" t="str">
        <f>_xlfn.XLOOKUP(A2685,'Model Modeshare by TAZ'!A:A,'Model Modeshare by TAZ'!D:D)</f>
        <v>YES</v>
      </c>
      <c r="D2685" s="6">
        <v>2</v>
      </c>
      <c r="E2685" s="6">
        <v>1197</v>
      </c>
      <c r="F2685" s="6">
        <v>3194</v>
      </c>
      <c r="G2685" s="6">
        <v>3199</v>
      </c>
      <c r="H2685" s="6">
        <v>1460</v>
      </c>
      <c r="I2685" s="6">
        <v>1095</v>
      </c>
      <c r="J2685" s="6">
        <v>102</v>
      </c>
      <c r="K2685" s="40">
        <v>224</v>
      </c>
      <c r="L2685" s="40">
        <v>37</v>
      </c>
      <c r="M2685" s="40">
        <v>751</v>
      </c>
      <c r="N2685" s="40">
        <v>6</v>
      </c>
      <c r="O2685" s="40">
        <v>223</v>
      </c>
      <c r="P2685" s="40">
        <v>521</v>
      </c>
      <c r="Q2685" s="40">
        <v>0</v>
      </c>
      <c r="R2685" s="40">
        <v>0</v>
      </c>
      <c r="S2685" s="40">
        <v>1</v>
      </c>
    </row>
    <row r="2686" spans="1:19" x14ac:dyDescent="0.35">
      <c r="A2686" s="38">
        <v>1956</v>
      </c>
      <c r="B2686" s="38" t="str">
        <f>_xlfn.XLOOKUP(A2686,'Model Modeshare by TAZ'!A:A,'Model Modeshare by TAZ'!B:B)</f>
        <v>San Mateo</v>
      </c>
      <c r="C2686" s="38" t="str">
        <f>_xlfn.XLOOKUP(A2686,'Model Modeshare by TAZ'!A:A,'Model Modeshare by TAZ'!D:D)</f>
        <v>YES</v>
      </c>
      <c r="D2686" s="6">
        <v>2</v>
      </c>
      <c r="E2686" s="6">
        <v>862</v>
      </c>
      <c r="F2686" s="6">
        <v>1930</v>
      </c>
      <c r="G2686" s="6">
        <v>1975</v>
      </c>
      <c r="H2686" s="6">
        <v>953</v>
      </c>
      <c r="I2686" s="6">
        <v>191</v>
      </c>
      <c r="J2686" s="6">
        <v>671</v>
      </c>
      <c r="K2686" s="40">
        <v>48</v>
      </c>
      <c r="L2686" s="40">
        <v>5</v>
      </c>
      <c r="M2686" s="40">
        <v>392</v>
      </c>
      <c r="N2686" s="40">
        <v>30</v>
      </c>
      <c r="O2686" s="40">
        <v>43</v>
      </c>
      <c r="P2686" s="40">
        <v>309</v>
      </c>
      <c r="Q2686" s="40">
        <v>1</v>
      </c>
      <c r="R2686" s="40">
        <v>8</v>
      </c>
      <c r="S2686" s="40">
        <v>1</v>
      </c>
    </row>
    <row r="2687" spans="1:19" x14ac:dyDescent="0.35">
      <c r="A2687" s="38">
        <v>1957</v>
      </c>
      <c r="B2687" s="38" t="str">
        <f>_xlfn.XLOOKUP(A2687,'Model Modeshare by TAZ'!A:A,'Model Modeshare by TAZ'!B:B)</f>
        <v>San Mateo</v>
      </c>
      <c r="C2687" s="38" t="str">
        <f>_xlfn.XLOOKUP(A2687,'Model Modeshare by TAZ'!A:A,'Model Modeshare by TAZ'!D:D)</f>
        <v>YES</v>
      </c>
      <c r="D2687" s="6">
        <v>2</v>
      </c>
      <c r="E2687" s="6">
        <v>1101</v>
      </c>
      <c r="F2687" s="6">
        <v>2305</v>
      </c>
      <c r="G2687" s="6">
        <v>2381</v>
      </c>
      <c r="H2687" s="6">
        <v>1372</v>
      </c>
      <c r="I2687" s="6">
        <v>291</v>
      </c>
      <c r="J2687" s="6">
        <v>810</v>
      </c>
      <c r="K2687" s="40">
        <v>68</v>
      </c>
      <c r="L2687" s="40">
        <v>61</v>
      </c>
      <c r="M2687" s="40">
        <v>6722</v>
      </c>
      <c r="N2687" s="40">
        <v>1864</v>
      </c>
      <c r="O2687" s="40">
        <v>3065</v>
      </c>
      <c r="P2687" s="40">
        <v>1098</v>
      </c>
      <c r="Q2687" s="40">
        <v>16</v>
      </c>
      <c r="R2687" s="40">
        <v>588</v>
      </c>
      <c r="S2687" s="40">
        <v>91</v>
      </c>
    </row>
    <row r="2688" spans="1:19" x14ac:dyDescent="0.35">
      <c r="A2688" s="38">
        <v>1958</v>
      </c>
      <c r="B2688" s="38" t="str">
        <f>_xlfn.XLOOKUP(A2688,'Model Modeshare by TAZ'!A:A,'Model Modeshare by TAZ'!B:B)</f>
        <v>San Mateo</v>
      </c>
      <c r="C2688" s="38" t="str">
        <f>_xlfn.XLOOKUP(A2688,'Model Modeshare by TAZ'!A:A,'Model Modeshare by TAZ'!D:D)</f>
        <v>YES</v>
      </c>
      <c r="D2688" s="6">
        <v>2</v>
      </c>
      <c r="E2688" s="6">
        <v>1248</v>
      </c>
      <c r="F2688" s="6">
        <v>2765</v>
      </c>
      <c r="G2688" s="6">
        <v>2914</v>
      </c>
      <c r="H2688" s="6">
        <v>1713</v>
      </c>
      <c r="I2688" s="6">
        <v>261</v>
      </c>
      <c r="J2688" s="6">
        <v>987</v>
      </c>
      <c r="K2688" s="40">
        <v>62</v>
      </c>
      <c r="L2688" s="40">
        <v>9</v>
      </c>
      <c r="M2688" s="40">
        <v>525</v>
      </c>
      <c r="N2688" s="40">
        <v>97</v>
      </c>
      <c r="O2688" s="40">
        <v>212</v>
      </c>
      <c r="P2688" s="40">
        <v>174</v>
      </c>
      <c r="Q2688" s="40">
        <v>1</v>
      </c>
      <c r="R2688" s="40">
        <v>23</v>
      </c>
      <c r="S2688" s="40">
        <v>19</v>
      </c>
    </row>
    <row r="2689" spans="1:19" x14ac:dyDescent="0.35">
      <c r="A2689" s="38">
        <v>1959</v>
      </c>
      <c r="B2689" s="38" t="str">
        <f>_xlfn.XLOOKUP(A2689,'Model Modeshare by TAZ'!A:A,'Model Modeshare by TAZ'!B:B)</f>
        <v>San Mateo</v>
      </c>
      <c r="C2689" s="38" t="str">
        <f>_xlfn.XLOOKUP(A2689,'Model Modeshare by TAZ'!A:A,'Model Modeshare by TAZ'!D:D)</f>
        <v>YES</v>
      </c>
      <c r="D2689" s="6">
        <v>2</v>
      </c>
      <c r="E2689" s="6">
        <v>1439</v>
      </c>
      <c r="F2689" s="6">
        <v>3630</v>
      </c>
      <c r="G2689" s="6">
        <v>3652</v>
      </c>
      <c r="H2689" s="6">
        <v>2005</v>
      </c>
      <c r="I2689" s="6">
        <v>288</v>
      </c>
      <c r="J2689" s="6">
        <v>1151</v>
      </c>
      <c r="K2689" s="40">
        <v>75</v>
      </c>
      <c r="L2689" s="40">
        <v>35</v>
      </c>
      <c r="M2689" s="40">
        <v>690</v>
      </c>
      <c r="N2689" s="40">
        <v>197</v>
      </c>
      <c r="O2689" s="40">
        <v>287</v>
      </c>
      <c r="P2689" s="40">
        <v>71</v>
      </c>
      <c r="Q2689" s="40">
        <v>1</v>
      </c>
      <c r="R2689" s="40">
        <v>104</v>
      </c>
      <c r="S2689" s="40">
        <v>30</v>
      </c>
    </row>
    <row r="2690" spans="1:19" x14ac:dyDescent="0.35">
      <c r="A2690" s="38">
        <v>1960</v>
      </c>
      <c r="B2690" s="38" t="str">
        <f>_xlfn.XLOOKUP(A2690,'Model Modeshare by TAZ'!A:A,'Model Modeshare by TAZ'!B:B)</f>
        <v>San Mateo</v>
      </c>
      <c r="C2690" s="38" t="str">
        <f>_xlfn.XLOOKUP(A2690,'Model Modeshare by TAZ'!A:A,'Model Modeshare by TAZ'!D:D)</f>
        <v>YES</v>
      </c>
      <c r="D2690" s="6">
        <v>2</v>
      </c>
      <c r="E2690" s="6">
        <v>884</v>
      </c>
      <c r="F2690" s="6">
        <v>3241</v>
      </c>
      <c r="G2690" s="6">
        <v>3290</v>
      </c>
      <c r="H2690" s="6">
        <v>1732</v>
      </c>
      <c r="I2690" s="6">
        <v>516</v>
      </c>
      <c r="J2690" s="6">
        <v>368</v>
      </c>
      <c r="K2690" s="40">
        <v>68</v>
      </c>
      <c r="L2690" s="40">
        <v>16</v>
      </c>
      <c r="M2690" s="40">
        <v>762</v>
      </c>
      <c r="N2690" s="40">
        <v>79</v>
      </c>
      <c r="O2690" s="40">
        <v>573</v>
      </c>
      <c r="P2690" s="40">
        <v>83</v>
      </c>
      <c r="Q2690" s="40">
        <v>4</v>
      </c>
      <c r="R2690" s="40">
        <v>22</v>
      </c>
      <c r="S2690" s="40">
        <v>0</v>
      </c>
    </row>
    <row r="2691" spans="1:19" x14ac:dyDescent="0.35">
      <c r="A2691" s="38">
        <v>1961</v>
      </c>
      <c r="B2691" s="38" t="str">
        <f>_xlfn.XLOOKUP(A2691,'Model Modeshare by TAZ'!A:A,'Model Modeshare by TAZ'!B:B)</f>
        <v>San Mateo</v>
      </c>
      <c r="C2691" s="38" t="str">
        <f>_xlfn.XLOOKUP(A2691,'Model Modeshare by TAZ'!A:A,'Model Modeshare by TAZ'!D:D)</f>
        <v>YES</v>
      </c>
      <c r="D2691" s="6">
        <v>2</v>
      </c>
      <c r="E2691" s="6">
        <v>1310</v>
      </c>
      <c r="F2691" s="6">
        <v>4655</v>
      </c>
      <c r="G2691" s="6">
        <v>4671</v>
      </c>
      <c r="H2691" s="6">
        <v>2518</v>
      </c>
      <c r="I2691" s="6">
        <v>877</v>
      </c>
      <c r="J2691" s="6">
        <v>433</v>
      </c>
      <c r="K2691" s="40">
        <v>168</v>
      </c>
      <c r="L2691" s="40">
        <v>117</v>
      </c>
      <c r="M2691" s="40">
        <v>909</v>
      </c>
      <c r="N2691" s="40">
        <v>100</v>
      </c>
      <c r="O2691" s="40">
        <v>659</v>
      </c>
      <c r="P2691" s="40">
        <v>138</v>
      </c>
      <c r="Q2691" s="40">
        <v>0</v>
      </c>
      <c r="R2691" s="40">
        <v>1</v>
      </c>
      <c r="S2691" s="40">
        <v>11</v>
      </c>
    </row>
    <row r="2692" spans="1:19" x14ac:dyDescent="0.35">
      <c r="A2692" s="38">
        <v>1962</v>
      </c>
      <c r="B2692" s="38" t="str">
        <f>_xlfn.XLOOKUP(A2692,'Model Modeshare by TAZ'!A:A,'Model Modeshare by TAZ'!B:B)</f>
        <v>San Mateo</v>
      </c>
      <c r="C2692" s="38" t="str">
        <f>_xlfn.XLOOKUP(A2692,'Model Modeshare by TAZ'!A:A,'Model Modeshare by TAZ'!D:D)</f>
        <v>YES</v>
      </c>
      <c r="D2692" s="6">
        <v>2</v>
      </c>
      <c r="E2692" s="6">
        <v>1169</v>
      </c>
      <c r="F2692" s="6">
        <v>3923</v>
      </c>
      <c r="G2692" s="6">
        <v>4092</v>
      </c>
      <c r="H2692" s="6">
        <v>2152</v>
      </c>
      <c r="I2692" s="6">
        <v>841</v>
      </c>
      <c r="J2692" s="6">
        <v>328</v>
      </c>
      <c r="K2692" s="40">
        <v>152</v>
      </c>
      <c r="L2692" s="40">
        <v>52</v>
      </c>
      <c r="M2692" s="40">
        <v>553</v>
      </c>
      <c r="N2692" s="40">
        <v>129</v>
      </c>
      <c r="O2692" s="40">
        <v>228</v>
      </c>
      <c r="P2692" s="40">
        <v>179</v>
      </c>
      <c r="Q2692" s="40">
        <v>5</v>
      </c>
      <c r="R2692" s="40">
        <v>7</v>
      </c>
      <c r="S2692" s="40">
        <v>6</v>
      </c>
    </row>
    <row r="2693" spans="1:19" x14ac:dyDescent="0.35">
      <c r="A2693" s="38">
        <v>1963</v>
      </c>
      <c r="B2693" s="38" t="str">
        <f>_xlfn.XLOOKUP(A2693,'Model Modeshare by TAZ'!A:A,'Model Modeshare by TAZ'!B:B)</f>
        <v>San Mateo</v>
      </c>
      <c r="C2693" s="38" t="str">
        <f>_xlfn.XLOOKUP(A2693,'Model Modeshare by TAZ'!A:A,'Model Modeshare by TAZ'!D:D)</f>
        <v>YES</v>
      </c>
      <c r="D2693" s="6">
        <v>2</v>
      </c>
      <c r="E2693" s="6">
        <v>905</v>
      </c>
      <c r="F2693" s="6">
        <v>2890</v>
      </c>
      <c r="G2693" s="6">
        <v>3039</v>
      </c>
      <c r="H2693" s="6">
        <v>1560</v>
      </c>
      <c r="I2693" s="6">
        <v>891</v>
      </c>
      <c r="J2693" s="6">
        <v>14</v>
      </c>
      <c r="K2693" s="40">
        <v>93</v>
      </c>
      <c r="L2693" s="40">
        <v>8</v>
      </c>
      <c r="M2693" s="40">
        <v>167</v>
      </c>
      <c r="N2693" s="40">
        <v>45</v>
      </c>
      <c r="O2693" s="40">
        <v>62</v>
      </c>
      <c r="P2693" s="40">
        <v>60</v>
      </c>
      <c r="Q2693" s="40">
        <v>0</v>
      </c>
      <c r="R2693" s="40">
        <v>0</v>
      </c>
      <c r="S2693" s="40">
        <v>0</v>
      </c>
    </row>
    <row r="2694" spans="1:19" x14ac:dyDescent="0.35">
      <c r="A2694" s="38">
        <v>1964</v>
      </c>
      <c r="B2694" s="38" t="str">
        <f>_xlfn.XLOOKUP(A2694,'Model Modeshare by TAZ'!A:A,'Model Modeshare by TAZ'!B:B)</f>
        <v>San Mateo</v>
      </c>
      <c r="C2694" s="38" t="str">
        <f>_xlfn.XLOOKUP(A2694,'Model Modeshare by TAZ'!A:A,'Model Modeshare by TAZ'!D:D)</f>
        <v>YES</v>
      </c>
      <c r="D2694" s="6">
        <v>2</v>
      </c>
      <c r="E2694" s="6">
        <v>1025</v>
      </c>
      <c r="F2694" s="6">
        <v>3435</v>
      </c>
      <c r="G2694" s="6">
        <v>3590</v>
      </c>
      <c r="H2694" s="6">
        <v>1935</v>
      </c>
      <c r="I2694" s="6">
        <v>1023</v>
      </c>
      <c r="J2694" s="6">
        <v>2</v>
      </c>
      <c r="K2694" s="40">
        <v>131</v>
      </c>
      <c r="L2694" s="40">
        <v>54</v>
      </c>
      <c r="M2694" s="40">
        <v>1318</v>
      </c>
      <c r="N2694" s="40">
        <v>880</v>
      </c>
      <c r="O2694" s="40">
        <v>0</v>
      </c>
      <c r="P2694" s="40">
        <v>391</v>
      </c>
      <c r="Q2694" s="40">
        <v>26</v>
      </c>
      <c r="R2694" s="40">
        <v>16</v>
      </c>
      <c r="S2694" s="40">
        <v>5</v>
      </c>
    </row>
    <row r="2695" spans="1:19" x14ac:dyDescent="0.35">
      <c r="A2695" s="38">
        <v>1965</v>
      </c>
      <c r="B2695" s="38" t="str">
        <f>_xlfn.XLOOKUP(A2695,'Model Modeshare by TAZ'!A:A,'Model Modeshare by TAZ'!B:B)</f>
        <v>San Mateo</v>
      </c>
      <c r="C2695" s="38" t="str">
        <f>_xlfn.XLOOKUP(A2695,'Model Modeshare by TAZ'!A:A,'Model Modeshare by TAZ'!D:D)</f>
        <v>YES</v>
      </c>
      <c r="D2695" s="6">
        <v>2</v>
      </c>
      <c r="E2695" s="6">
        <v>1643</v>
      </c>
      <c r="F2695" s="6">
        <v>3094</v>
      </c>
      <c r="G2695" s="6">
        <v>3094</v>
      </c>
      <c r="H2695" s="6">
        <v>1860</v>
      </c>
      <c r="I2695" s="6">
        <v>762</v>
      </c>
      <c r="J2695" s="6">
        <v>881</v>
      </c>
      <c r="K2695" s="40">
        <v>103</v>
      </c>
      <c r="L2695" s="40">
        <v>110</v>
      </c>
      <c r="M2695" s="40">
        <v>5096</v>
      </c>
      <c r="N2695" s="40">
        <v>1219</v>
      </c>
      <c r="O2695" s="40">
        <v>2340</v>
      </c>
      <c r="P2695" s="40">
        <v>1227</v>
      </c>
      <c r="Q2695" s="40">
        <v>0</v>
      </c>
      <c r="R2695" s="40">
        <v>45</v>
      </c>
      <c r="S2695" s="40">
        <v>265</v>
      </c>
    </row>
    <row r="2696" spans="1:19" x14ac:dyDescent="0.35">
      <c r="A2696" s="38">
        <v>1966</v>
      </c>
      <c r="B2696" s="38" t="str">
        <f>_xlfn.XLOOKUP(A2696,'Model Modeshare by TAZ'!A:A,'Model Modeshare by TAZ'!B:B)</f>
        <v>Foster City</v>
      </c>
      <c r="C2696" s="38" t="str">
        <f>_xlfn.XLOOKUP(A2696,'Model Modeshare by TAZ'!A:A,'Model Modeshare by TAZ'!D:D)</f>
        <v>YES</v>
      </c>
      <c r="D2696" s="6">
        <v>2</v>
      </c>
      <c r="E2696" s="6">
        <v>1360</v>
      </c>
      <c r="F2696" s="6">
        <v>3417</v>
      </c>
      <c r="G2696" s="6">
        <v>3417</v>
      </c>
      <c r="H2696" s="6">
        <v>1592</v>
      </c>
      <c r="I2696" s="6">
        <v>680</v>
      </c>
      <c r="J2696" s="6">
        <v>680</v>
      </c>
      <c r="K2696" s="40">
        <v>73</v>
      </c>
      <c r="L2696" s="40">
        <v>4</v>
      </c>
      <c r="M2696" s="40">
        <v>270</v>
      </c>
      <c r="N2696" s="40">
        <v>10</v>
      </c>
      <c r="O2696" s="40">
        <v>236</v>
      </c>
      <c r="P2696" s="40">
        <v>17</v>
      </c>
      <c r="Q2696" s="40">
        <v>2</v>
      </c>
      <c r="R2696" s="40">
        <v>5</v>
      </c>
      <c r="S2696" s="40">
        <v>0</v>
      </c>
    </row>
    <row r="2697" spans="1:19" x14ac:dyDescent="0.35">
      <c r="A2697" s="38">
        <v>1967</v>
      </c>
      <c r="B2697" s="38" t="str">
        <f>_xlfn.XLOOKUP(A2697,'Model Modeshare by TAZ'!A:A,'Model Modeshare by TAZ'!B:B)</f>
        <v>Foster City</v>
      </c>
      <c r="C2697" s="38" t="str">
        <f>_xlfn.XLOOKUP(A2697,'Model Modeshare by TAZ'!A:A,'Model Modeshare by TAZ'!D:D)</f>
        <v>YES</v>
      </c>
      <c r="D2697" s="6">
        <v>2</v>
      </c>
      <c r="E2697" s="6">
        <v>1306</v>
      </c>
      <c r="F2697" s="6">
        <v>3636</v>
      </c>
      <c r="G2697" s="6">
        <v>3743</v>
      </c>
      <c r="H2697" s="6">
        <v>1911</v>
      </c>
      <c r="I2697" s="6">
        <v>1123</v>
      </c>
      <c r="J2697" s="6">
        <v>183</v>
      </c>
      <c r="K2697" s="40">
        <v>153</v>
      </c>
      <c r="L2697" s="40">
        <v>31</v>
      </c>
      <c r="M2697" s="40">
        <v>500</v>
      </c>
      <c r="N2697" s="40">
        <v>41</v>
      </c>
      <c r="O2697" s="40">
        <v>63</v>
      </c>
      <c r="P2697" s="40">
        <v>388</v>
      </c>
      <c r="Q2697" s="40">
        <v>3</v>
      </c>
      <c r="R2697" s="40">
        <v>2</v>
      </c>
      <c r="S2697" s="40">
        <v>2</v>
      </c>
    </row>
    <row r="2698" spans="1:19" x14ac:dyDescent="0.35">
      <c r="A2698" s="38">
        <v>1968</v>
      </c>
      <c r="B2698" s="38" t="str">
        <f>_xlfn.XLOOKUP(A2698,'Model Modeshare by TAZ'!A:A,'Model Modeshare by TAZ'!B:B)</f>
        <v>Foster City</v>
      </c>
      <c r="C2698" s="38" t="str">
        <f>_xlfn.XLOOKUP(A2698,'Model Modeshare by TAZ'!A:A,'Model Modeshare by TAZ'!D:D)</f>
        <v>YES</v>
      </c>
      <c r="D2698" s="6">
        <v>2</v>
      </c>
      <c r="E2698" s="6">
        <v>1348</v>
      </c>
      <c r="F2698" s="6">
        <v>3574</v>
      </c>
      <c r="G2698" s="6">
        <v>3585</v>
      </c>
      <c r="H2698" s="6">
        <v>1782</v>
      </c>
      <c r="I2698" s="6">
        <v>803</v>
      </c>
      <c r="J2698" s="6">
        <v>545</v>
      </c>
      <c r="K2698" s="40">
        <v>134</v>
      </c>
      <c r="L2698" s="40">
        <v>27</v>
      </c>
      <c r="M2698" s="40">
        <v>350</v>
      </c>
      <c r="N2698" s="40">
        <v>36</v>
      </c>
      <c r="O2698" s="40">
        <v>216</v>
      </c>
      <c r="P2698" s="40">
        <v>97</v>
      </c>
      <c r="Q2698" s="40">
        <v>0</v>
      </c>
      <c r="R2698" s="40">
        <v>0</v>
      </c>
      <c r="S2698" s="40">
        <v>0</v>
      </c>
    </row>
    <row r="2699" spans="1:19" x14ac:dyDescent="0.35">
      <c r="A2699" s="38">
        <v>1969</v>
      </c>
      <c r="B2699" s="38" t="str">
        <f>_xlfn.XLOOKUP(A2699,'Model Modeshare by TAZ'!A:A,'Model Modeshare by TAZ'!B:B)</f>
        <v>Foster City</v>
      </c>
      <c r="C2699" s="38" t="str">
        <f>_xlfn.XLOOKUP(A2699,'Model Modeshare by TAZ'!A:A,'Model Modeshare by TAZ'!D:D)</f>
        <v>YES</v>
      </c>
      <c r="D2699" s="6">
        <v>2</v>
      </c>
      <c r="E2699" s="6">
        <v>1460</v>
      </c>
      <c r="F2699" s="6">
        <v>3786</v>
      </c>
      <c r="G2699" s="6">
        <v>3808</v>
      </c>
      <c r="H2699" s="6">
        <v>2046</v>
      </c>
      <c r="I2699" s="6">
        <v>820</v>
      </c>
      <c r="J2699" s="6">
        <v>640</v>
      </c>
      <c r="K2699" s="40">
        <v>174</v>
      </c>
      <c r="L2699" s="40">
        <v>39</v>
      </c>
      <c r="M2699" s="40">
        <v>235</v>
      </c>
      <c r="N2699" s="40">
        <v>27</v>
      </c>
      <c r="O2699" s="40">
        <v>121</v>
      </c>
      <c r="P2699" s="40">
        <v>87</v>
      </c>
      <c r="Q2699" s="40">
        <v>0</v>
      </c>
      <c r="R2699" s="40">
        <v>0</v>
      </c>
      <c r="S2699" s="40">
        <v>0</v>
      </c>
    </row>
    <row r="2700" spans="1:19" x14ac:dyDescent="0.35">
      <c r="A2700" s="38">
        <v>1970</v>
      </c>
      <c r="B2700" s="38" t="str">
        <f>_xlfn.XLOOKUP(A2700,'Model Modeshare by TAZ'!A:A,'Model Modeshare by TAZ'!B:B)</f>
        <v>Foster City</v>
      </c>
      <c r="C2700" s="38" t="str">
        <f>_xlfn.XLOOKUP(A2700,'Model Modeshare by TAZ'!A:A,'Model Modeshare by TAZ'!D:D)</f>
        <v>YES</v>
      </c>
      <c r="D2700" s="6">
        <v>2</v>
      </c>
      <c r="E2700" s="6">
        <v>1528</v>
      </c>
      <c r="F2700" s="6">
        <v>3540</v>
      </c>
      <c r="G2700" s="6">
        <v>3540</v>
      </c>
      <c r="H2700" s="6">
        <v>1900</v>
      </c>
      <c r="I2700" s="6">
        <v>348</v>
      </c>
      <c r="J2700" s="6">
        <v>1180</v>
      </c>
      <c r="K2700" s="40">
        <v>112</v>
      </c>
      <c r="L2700" s="40">
        <v>8</v>
      </c>
      <c r="M2700" s="40">
        <v>375</v>
      </c>
      <c r="N2700" s="40">
        <v>80</v>
      </c>
      <c r="O2700" s="40">
        <v>25</v>
      </c>
      <c r="P2700" s="40">
        <v>269</v>
      </c>
      <c r="Q2700" s="40">
        <v>0</v>
      </c>
      <c r="R2700" s="40">
        <v>0</v>
      </c>
      <c r="S2700" s="40">
        <v>0</v>
      </c>
    </row>
    <row r="2701" spans="1:19" x14ac:dyDescent="0.35">
      <c r="A2701" s="38">
        <v>1971</v>
      </c>
      <c r="B2701" s="38" t="str">
        <f>_xlfn.XLOOKUP(A2701,'Model Modeshare by TAZ'!A:A,'Model Modeshare by TAZ'!B:B)</f>
        <v>Foster City</v>
      </c>
      <c r="C2701" s="38" t="str">
        <f>_xlfn.XLOOKUP(A2701,'Model Modeshare by TAZ'!A:A,'Model Modeshare by TAZ'!D:D)</f>
        <v>YES</v>
      </c>
      <c r="D2701" s="6">
        <v>2</v>
      </c>
      <c r="E2701" s="6">
        <v>1372</v>
      </c>
      <c r="F2701" s="6">
        <v>3587</v>
      </c>
      <c r="G2701" s="6">
        <v>3587</v>
      </c>
      <c r="H2701" s="6">
        <v>1711</v>
      </c>
      <c r="I2701" s="6">
        <v>1126</v>
      </c>
      <c r="J2701" s="6">
        <v>246</v>
      </c>
      <c r="K2701" s="40">
        <v>144</v>
      </c>
      <c r="L2701" s="40">
        <v>13</v>
      </c>
      <c r="M2701" s="40">
        <v>350</v>
      </c>
      <c r="N2701" s="40">
        <v>124</v>
      </c>
      <c r="O2701" s="40">
        <v>106</v>
      </c>
      <c r="P2701" s="40">
        <v>72</v>
      </c>
      <c r="Q2701" s="40">
        <v>2</v>
      </c>
      <c r="R2701" s="40">
        <v>39</v>
      </c>
      <c r="S2701" s="40">
        <v>6</v>
      </c>
    </row>
    <row r="2702" spans="1:19" x14ac:dyDescent="0.35">
      <c r="A2702" s="38">
        <v>1972</v>
      </c>
      <c r="B2702" s="38" t="str">
        <f>_xlfn.XLOOKUP(A2702,'Model Modeshare by TAZ'!A:A,'Model Modeshare by TAZ'!B:B)</f>
        <v>Foster City</v>
      </c>
      <c r="C2702" s="38" t="str">
        <f>_xlfn.XLOOKUP(A2702,'Model Modeshare by TAZ'!A:A,'Model Modeshare by TAZ'!D:D)</f>
        <v>YES</v>
      </c>
      <c r="D2702" s="6">
        <v>2</v>
      </c>
      <c r="E2702" s="6">
        <v>907</v>
      </c>
      <c r="F2702" s="6">
        <v>2644</v>
      </c>
      <c r="G2702" s="6">
        <v>2648</v>
      </c>
      <c r="H2702" s="6">
        <v>1237</v>
      </c>
      <c r="I2702" s="6">
        <v>907</v>
      </c>
      <c r="J2702" s="6">
        <v>0</v>
      </c>
      <c r="K2702" s="40">
        <v>144</v>
      </c>
      <c r="L2702" s="40">
        <v>5</v>
      </c>
      <c r="M2702" s="40">
        <v>647</v>
      </c>
      <c r="N2702" s="40">
        <v>227</v>
      </c>
      <c r="O2702" s="40">
        <v>72</v>
      </c>
      <c r="P2702" s="40">
        <v>318</v>
      </c>
      <c r="Q2702" s="40">
        <v>0</v>
      </c>
      <c r="R2702" s="40">
        <v>0</v>
      </c>
      <c r="S2702" s="40">
        <v>30</v>
      </c>
    </row>
    <row r="2703" spans="1:19" x14ac:dyDescent="0.35">
      <c r="A2703" s="38">
        <v>1973</v>
      </c>
      <c r="B2703" s="38" t="str">
        <f>_xlfn.XLOOKUP(A2703,'Model Modeshare by TAZ'!A:A,'Model Modeshare by TAZ'!B:B)</f>
        <v>Foster City</v>
      </c>
      <c r="C2703" s="38" t="str">
        <f>_xlfn.XLOOKUP(A2703,'Model Modeshare by TAZ'!A:A,'Model Modeshare by TAZ'!D:D)</f>
        <v>YES</v>
      </c>
      <c r="D2703" s="6">
        <v>2</v>
      </c>
      <c r="E2703" s="6">
        <v>1545</v>
      </c>
      <c r="F2703" s="6">
        <v>4164</v>
      </c>
      <c r="G2703" s="6">
        <v>4173</v>
      </c>
      <c r="H2703" s="6">
        <v>2038</v>
      </c>
      <c r="I2703" s="6">
        <v>845</v>
      </c>
      <c r="J2703" s="6">
        <v>700</v>
      </c>
      <c r="K2703" s="40">
        <v>142</v>
      </c>
      <c r="L2703" s="40">
        <v>9</v>
      </c>
      <c r="M2703" s="40">
        <v>115</v>
      </c>
      <c r="N2703" s="40">
        <v>34</v>
      </c>
      <c r="O2703" s="40">
        <v>17</v>
      </c>
      <c r="P2703" s="40">
        <v>60</v>
      </c>
      <c r="Q2703" s="40">
        <v>1</v>
      </c>
      <c r="R2703" s="40">
        <v>0</v>
      </c>
      <c r="S2703" s="40">
        <v>4</v>
      </c>
    </row>
    <row r="2704" spans="1:19" x14ac:dyDescent="0.35">
      <c r="A2704" s="38">
        <v>1974</v>
      </c>
      <c r="B2704" s="38" t="str">
        <f>_xlfn.XLOOKUP(A2704,'Model Modeshare by TAZ'!A:A,'Model Modeshare by TAZ'!B:B)</f>
        <v>San Mateo</v>
      </c>
      <c r="C2704" s="38" t="str">
        <f>_xlfn.XLOOKUP(A2704,'Model Modeshare by TAZ'!A:A,'Model Modeshare by TAZ'!D:D)</f>
        <v>YES</v>
      </c>
      <c r="D2704" s="6">
        <v>2</v>
      </c>
      <c r="E2704" s="6">
        <v>1261</v>
      </c>
      <c r="F2704" s="6">
        <v>3781</v>
      </c>
      <c r="G2704" s="6">
        <v>3787</v>
      </c>
      <c r="H2704" s="6">
        <v>2416</v>
      </c>
      <c r="I2704" s="6">
        <v>476</v>
      </c>
      <c r="J2704" s="6">
        <v>785</v>
      </c>
      <c r="K2704" s="40">
        <v>81</v>
      </c>
      <c r="L2704" s="40">
        <v>11</v>
      </c>
      <c r="M2704" s="40">
        <v>506</v>
      </c>
      <c r="N2704" s="40">
        <v>257</v>
      </c>
      <c r="O2704" s="40">
        <v>144</v>
      </c>
      <c r="P2704" s="40">
        <v>31</v>
      </c>
      <c r="Q2704" s="40">
        <v>1</v>
      </c>
      <c r="R2704" s="40">
        <v>0</v>
      </c>
      <c r="S2704" s="40">
        <v>74</v>
      </c>
    </row>
    <row r="2705" spans="1:19" x14ac:dyDescent="0.35">
      <c r="A2705" s="38">
        <v>1975</v>
      </c>
      <c r="B2705" s="38" t="str">
        <f>_xlfn.XLOOKUP(A2705,'Model Modeshare by TAZ'!A:A,'Model Modeshare by TAZ'!B:B)</f>
        <v>Belmont</v>
      </c>
      <c r="C2705" s="38" t="str">
        <f>_xlfn.XLOOKUP(A2705,'Model Modeshare by TAZ'!A:A,'Model Modeshare by TAZ'!D:D)</f>
        <v>YES</v>
      </c>
      <c r="D2705" s="6">
        <v>2</v>
      </c>
      <c r="E2705" s="6">
        <v>1592</v>
      </c>
      <c r="F2705" s="6">
        <v>4107</v>
      </c>
      <c r="G2705" s="6">
        <v>4130</v>
      </c>
      <c r="H2705" s="6">
        <v>2318</v>
      </c>
      <c r="I2705" s="6">
        <v>753</v>
      </c>
      <c r="J2705" s="6">
        <v>839</v>
      </c>
      <c r="K2705" s="40">
        <v>109</v>
      </c>
      <c r="L2705" s="40">
        <v>30</v>
      </c>
      <c r="M2705" s="40">
        <v>1110</v>
      </c>
      <c r="N2705" s="40">
        <v>196</v>
      </c>
      <c r="O2705" s="40">
        <v>50</v>
      </c>
      <c r="P2705" s="40">
        <v>243</v>
      </c>
      <c r="Q2705" s="40">
        <v>4</v>
      </c>
      <c r="R2705" s="40">
        <v>618</v>
      </c>
      <c r="S2705" s="40">
        <v>0</v>
      </c>
    </row>
    <row r="2706" spans="1:19" x14ac:dyDescent="0.35">
      <c r="A2706" s="38">
        <v>1976</v>
      </c>
      <c r="B2706" s="38" t="str">
        <f>_xlfn.XLOOKUP(A2706,'Model Modeshare by TAZ'!A:A,'Model Modeshare by TAZ'!B:B)</f>
        <v>San Mateo</v>
      </c>
      <c r="C2706" s="38" t="str">
        <f>_xlfn.XLOOKUP(A2706,'Model Modeshare by TAZ'!A:A,'Model Modeshare by TAZ'!D:D)</f>
        <v>YES</v>
      </c>
      <c r="D2706" s="6">
        <v>2</v>
      </c>
      <c r="E2706" s="6">
        <v>1206</v>
      </c>
      <c r="F2706" s="6">
        <v>2727</v>
      </c>
      <c r="G2706" s="6">
        <v>2727</v>
      </c>
      <c r="H2706" s="6">
        <v>1665</v>
      </c>
      <c r="I2706" s="6">
        <v>448</v>
      </c>
      <c r="J2706" s="6">
        <v>758</v>
      </c>
      <c r="K2706" s="40">
        <v>79</v>
      </c>
      <c r="L2706" s="40">
        <v>12</v>
      </c>
      <c r="M2706" s="40">
        <v>185</v>
      </c>
      <c r="N2706" s="40">
        <v>103</v>
      </c>
      <c r="O2706" s="40">
        <v>67</v>
      </c>
      <c r="P2706" s="40">
        <v>15</v>
      </c>
      <c r="Q2706" s="40">
        <v>0</v>
      </c>
      <c r="R2706" s="40">
        <v>0</v>
      </c>
      <c r="S2706" s="40">
        <v>0</v>
      </c>
    </row>
    <row r="2707" spans="1:19" x14ac:dyDescent="0.35">
      <c r="A2707" s="38">
        <v>1977</v>
      </c>
      <c r="B2707" s="38" t="str">
        <f>_xlfn.XLOOKUP(A2707,'Model Modeshare by TAZ'!A:A,'Model Modeshare by TAZ'!B:B)</f>
        <v>San Mateo</v>
      </c>
      <c r="C2707" s="38" t="str">
        <f>_xlfn.XLOOKUP(A2707,'Model Modeshare by TAZ'!A:A,'Model Modeshare by TAZ'!D:D)</f>
        <v>YES</v>
      </c>
      <c r="D2707" s="6">
        <v>2</v>
      </c>
      <c r="E2707" s="6">
        <v>1584</v>
      </c>
      <c r="F2707" s="6">
        <v>4604</v>
      </c>
      <c r="G2707" s="6">
        <v>4700</v>
      </c>
      <c r="H2707" s="6">
        <v>2594</v>
      </c>
      <c r="I2707" s="6">
        <v>1193</v>
      </c>
      <c r="J2707" s="6">
        <v>391</v>
      </c>
      <c r="K2707" s="40">
        <v>172</v>
      </c>
      <c r="L2707" s="40">
        <v>27</v>
      </c>
      <c r="M2707" s="40">
        <v>913</v>
      </c>
      <c r="N2707" s="40">
        <v>6</v>
      </c>
      <c r="O2707" s="40">
        <v>441</v>
      </c>
      <c r="P2707" s="40">
        <v>444</v>
      </c>
      <c r="Q2707" s="40">
        <v>1</v>
      </c>
      <c r="R2707" s="40">
        <v>13</v>
      </c>
      <c r="S2707" s="40">
        <v>8</v>
      </c>
    </row>
    <row r="2708" spans="1:19" x14ac:dyDescent="0.35">
      <c r="A2708" s="38">
        <v>1978</v>
      </c>
      <c r="B2708" s="38" t="str">
        <f>_xlfn.XLOOKUP(A2708,'Model Modeshare by TAZ'!A:A,'Model Modeshare by TAZ'!B:B)</f>
        <v>San Mateo</v>
      </c>
      <c r="C2708" s="38" t="str">
        <f>_xlfn.XLOOKUP(A2708,'Model Modeshare by TAZ'!A:A,'Model Modeshare by TAZ'!D:D)</f>
        <v>YES</v>
      </c>
      <c r="D2708" s="6">
        <v>2</v>
      </c>
      <c r="E2708" s="6">
        <v>1517</v>
      </c>
      <c r="F2708" s="6">
        <v>3965</v>
      </c>
      <c r="G2708" s="6">
        <v>3979</v>
      </c>
      <c r="H2708" s="6">
        <v>2151</v>
      </c>
      <c r="I2708" s="6">
        <v>861</v>
      </c>
      <c r="J2708" s="6">
        <v>656</v>
      </c>
      <c r="K2708" s="40">
        <v>145</v>
      </c>
      <c r="L2708" s="40">
        <v>28</v>
      </c>
      <c r="M2708" s="40">
        <v>977</v>
      </c>
      <c r="N2708" s="40">
        <v>109</v>
      </c>
      <c r="O2708" s="40">
        <v>253</v>
      </c>
      <c r="P2708" s="40">
        <v>467</v>
      </c>
      <c r="Q2708" s="40">
        <v>6</v>
      </c>
      <c r="R2708" s="40">
        <v>135</v>
      </c>
      <c r="S2708" s="40">
        <v>7</v>
      </c>
    </row>
    <row r="2709" spans="1:19" x14ac:dyDescent="0.35">
      <c r="A2709" s="38">
        <v>1979</v>
      </c>
      <c r="B2709" s="38" t="str">
        <f>_xlfn.XLOOKUP(A2709,'Model Modeshare by TAZ'!A:A,'Model Modeshare by TAZ'!B:B)</f>
        <v>San Mateo</v>
      </c>
      <c r="C2709" s="38" t="str">
        <f>_xlfn.XLOOKUP(A2709,'Model Modeshare by TAZ'!A:A,'Model Modeshare by TAZ'!D:D)</f>
        <v>YES</v>
      </c>
      <c r="D2709" s="6">
        <v>2</v>
      </c>
      <c r="E2709" s="6">
        <v>319</v>
      </c>
      <c r="F2709" s="6">
        <v>903</v>
      </c>
      <c r="G2709" s="6">
        <v>919</v>
      </c>
      <c r="H2709" s="6">
        <v>483</v>
      </c>
      <c r="I2709" s="6">
        <v>245</v>
      </c>
      <c r="J2709" s="6">
        <v>73</v>
      </c>
      <c r="K2709" s="40">
        <v>40</v>
      </c>
      <c r="L2709" s="40">
        <v>67</v>
      </c>
      <c r="M2709" s="40">
        <v>3776</v>
      </c>
      <c r="N2709" s="40">
        <v>504</v>
      </c>
      <c r="O2709" s="40">
        <v>2606</v>
      </c>
      <c r="P2709" s="40">
        <v>399</v>
      </c>
      <c r="Q2709" s="40">
        <v>5</v>
      </c>
      <c r="R2709" s="40">
        <v>205</v>
      </c>
      <c r="S2709" s="40">
        <v>56</v>
      </c>
    </row>
    <row r="2710" spans="1:19" x14ac:dyDescent="0.35">
      <c r="A2710" s="38">
        <v>1980</v>
      </c>
      <c r="B2710" s="38" t="str">
        <f>_xlfn.XLOOKUP(A2710,'Model Modeshare by TAZ'!A:A,'Model Modeshare by TAZ'!B:B)</f>
        <v>San Mateo</v>
      </c>
      <c r="C2710" s="38" t="str">
        <f>_xlfn.XLOOKUP(A2710,'Model Modeshare by TAZ'!A:A,'Model Modeshare by TAZ'!D:D)</f>
        <v>YES</v>
      </c>
      <c r="D2710" s="6">
        <v>2</v>
      </c>
      <c r="E2710" s="6">
        <v>982</v>
      </c>
      <c r="F2710" s="6">
        <v>2312</v>
      </c>
      <c r="G2710" s="6">
        <v>2316</v>
      </c>
      <c r="H2710" s="6">
        <v>1419</v>
      </c>
      <c r="I2710" s="6">
        <v>566</v>
      </c>
      <c r="J2710" s="6">
        <v>416</v>
      </c>
      <c r="K2710" s="40">
        <v>103</v>
      </c>
      <c r="L2710" s="40">
        <v>24</v>
      </c>
      <c r="M2710" s="40">
        <v>1745</v>
      </c>
      <c r="N2710" s="40">
        <v>392</v>
      </c>
      <c r="O2710" s="40">
        <v>828</v>
      </c>
      <c r="P2710" s="40">
        <v>449</v>
      </c>
      <c r="Q2710" s="40">
        <v>1</v>
      </c>
      <c r="R2710" s="40">
        <v>37</v>
      </c>
      <c r="S2710" s="40">
        <v>38</v>
      </c>
    </row>
    <row r="2711" spans="1:19" x14ac:dyDescent="0.35">
      <c r="A2711" s="38">
        <v>1981</v>
      </c>
      <c r="B2711" s="38" t="str">
        <f>_xlfn.XLOOKUP(A2711,'Model Modeshare by TAZ'!A:A,'Model Modeshare by TAZ'!B:B)</f>
        <v>San Mateo</v>
      </c>
      <c r="C2711" s="38" t="str">
        <f>_xlfn.XLOOKUP(A2711,'Model Modeshare by TAZ'!A:A,'Model Modeshare by TAZ'!D:D)</f>
        <v>YES</v>
      </c>
      <c r="D2711" s="6">
        <v>2</v>
      </c>
      <c r="E2711" s="6">
        <v>820</v>
      </c>
      <c r="F2711" s="6">
        <v>1988</v>
      </c>
      <c r="G2711" s="6">
        <v>2070</v>
      </c>
      <c r="H2711" s="6">
        <v>1163</v>
      </c>
      <c r="I2711" s="6">
        <v>387</v>
      </c>
      <c r="J2711" s="6">
        <v>433</v>
      </c>
      <c r="K2711" s="40">
        <v>74</v>
      </c>
      <c r="L2711" s="40">
        <v>24</v>
      </c>
      <c r="M2711" s="40">
        <v>1435</v>
      </c>
      <c r="N2711" s="40">
        <v>158</v>
      </c>
      <c r="O2711" s="40">
        <v>576</v>
      </c>
      <c r="P2711" s="40">
        <v>549</v>
      </c>
      <c r="Q2711" s="40">
        <v>6</v>
      </c>
      <c r="R2711" s="40">
        <v>74</v>
      </c>
      <c r="S2711" s="40">
        <v>70</v>
      </c>
    </row>
    <row r="2712" spans="1:19" x14ac:dyDescent="0.35">
      <c r="A2712" s="38">
        <v>1982</v>
      </c>
      <c r="B2712" s="38" t="str">
        <f>_xlfn.XLOOKUP(A2712,'Model Modeshare by TAZ'!A:A,'Model Modeshare by TAZ'!B:B)</f>
        <v>San Mateo</v>
      </c>
      <c r="C2712" s="38" t="str">
        <f>_xlfn.XLOOKUP(A2712,'Model Modeshare by TAZ'!A:A,'Model Modeshare by TAZ'!D:D)</f>
        <v>YES</v>
      </c>
      <c r="D2712" s="6">
        <v>2</v>
      </c>
      <c r="E2712" s="6">
        <v>951</v>
      </c>
      <c r="F2712" s="6">
        <v>2374</v>
      </c>
      <c r="G2712" s="6">
        <v>2374</v>
      </c>
      <c r="H2712" s="6">
        <v>1212</v>
      </c>
      <c r="I2712" s="6">
        <v>851</v>
      </c>
      <c r="J2712" s="6">
        <v>100</v>
      </c>
      <c r="K2712" s="40">
        <v>153</v>
      </c>
      <c r="L2712" s="40">
        <v>78</v>
      </c>
      <c r="M2712" s="40">
        <v>3460</v>
      </c>
      <c r="N2712" s="40">
        <v>212</v>
      </c>
      <c r="O2712" s="40">
        <v>1198</v>
      </c>
      <c r="P2712" s="40">
        <v>1779</v>
      </c>
      <c r="Q2712" s="40">
        <v>5</v>
      </c>
      <c r="R2712" s="40">
        <v>123</v>
      </c>
      <c r="S2712" s="40">
        <v>143</v>
      </c>
    </row>
    <row r="2713" spans="1:19" x14ac:dyDescent="0.35">
      <c r="A2713" s="38">
        <v>1983</v>
      </c>
      <c r="B2713" s="38" t="str">
        <f>_xlfn.XLOOKUP(A2713,'Model Modeshare by TAZ'!A:A,'Model Modeshare by TAZ'!B:B)</f>
        <v>San Mateo</v>
      </c>
      <c r="C2713" s="38" t="str">
        <f>_xlfn.XLOOKUP(A2713,'Model Modeshare by TAZ'!A:A,'Model Modeshare by TAZ'!D:D)</f>
        <v>YES</v>
      </c>
      <c r="D2713" s="6">
        <v>2</v>
      </c>
      <c r="E2713" s="6">
        <v>708</v>
      </c>
      <c r="F2713" s="6">
        <v>1886</v>
      </c>
      <c r="G2713" s="6">
        <v>1911</v>
      </c>
      <c r="H2713" s="6">
        <v>971</v>
      </c>
      <c r="I2713" s="6">
        <v>677</v>
      </c>
      <c r="J2713" s="6">
        <v>30</v>
      </c>
      <c r="K2713" s="40">
        <v>109</v>
      </c>
      <c r="L2713" s="40">
        <v>23</v>
      </c>
      <c r="M2713" s="40">
        <v>174</v>
      </c>
      <c r="N2713" s="40">
        <v>3</v>
      </c>
      <c r="O2713" s="40">
        <v>132</v>
      </c>
      <c r="P2713" s="40">
        <v>36</v>
      </c>
      <c r="Q2713" s="40">
        <v>3</v>
      </c>
      <c r="R2713" s="40">
        <v>0</v>
      </c>
      <c r="S2713" s="40">
        <v>0</v>
      </c>
    </row>
    <row r="2714" spans="1:19" x14ac:dyDescent="0.35">
      <c r="A2714" s="38">
        <v>1984</v>
      </c>
      <c r="B2714" s="38" t="str">
        <f>_xlfn.XLOOKUP(A2714,'Model Modeshare by TAZ'!A:A,'Model Modeshare by TAZ'!B:B)</f>
        <v>San Mateo</v>
      </c>
      <c r="C2714" s="38" t="str">
        <f>_xlfn.XLOOKUP(A2714,'Model Modeshare by TAZ'!A:A,'Model Modeshare by TAZ'!D:D)</f>
        <v>YES</v>
      </c>
      <c r="D2714" s="6">
        <v>2</v>
      </c>
      <c r="E2714" s="6">
        <v>1460</v>
      </c>
      <c r="F2714" s="6">
        <v>3494</v>
      </c>
      <c r="G2714" s="6">
        <v>3572</v>
      </c>
      <c r="H2714" s="6">
        <v>2064</v>
      </c>
      <c r="I2714" s="6">
        <v>501</v>
      </c>
      <c r="J2714" s="6">
        <v>959</v>
      </c>
      <c r="K2714" s="40">
        <v>109</v>
      </c>
      <c r="L2714" s="40">
        <v>35</v>
      </c>
      <c r="M2714" s="40">
        <v>4223</v>
      </c>
      <c r="N2714" s="40">
        <v>383</v>
      </c>
      <c r="O2714" s="40">
        <v>2231</v>
      </c>
      <c r="P2714" s="40">
        <v>1597</v>
      </c>
      <c r="Q2714" s="40">
        <v>6</v>
      </c>
      <c r="R2714" s="40">
        <v>6</v>
      </c>
      <c r="S2714" s="40">
        <v>0</v>
      </c>
    </row>
    <row r="2715" spans="1:19" x14ac:dyDescent="0.35">
      <c r="A2715" s="38">
        <v>1985</v>
      </c>
      <c r="B2715" s="38" t="str">
        <f>_xlfn.XLOOKUP(A2715,'Model Modeshare by TAZ'!A:A,'Model Modeshare by TAZ'!B:B)</f>
        <v>San Mateo</v>
      </c>
      <c r="C2715" s="38" t="str">
        <f>_xlfn.XLOOKUP(A2715,'Model Modeshare by TAZ'!A:A,'Model Modeshare by TAZ'!D:D)</f>
        <v>YES</v>
      </c>
      <c r="D2715" s="6">
        <v>2</v>
      </c>
      <c r="E2715" s="6">
        <v>425</v>
      </c>
      <c r="F2715" s="6">
        <v>1252</v>
      </c>
      <c r="G2715" s="6">
        <v>1253</v>
      </c>
      <c r="H2715" s="6">
        <v>556</v>
      </c>
      <c r="I2715" s="6">
        <v>419</v>
      </c>
      <c r="J2715" s="6">
        <v>7</v>
      </c>
      <c r="K2715" s="40">
        <v>78</v>
      </c>
      <c r="L2715" s="40">
        <v>20</v>
      </c>
      <c r="M2715" s="40">
        <v>132</v>
      </c>
      <c r="N2715" s="40">
        <v>0</v>
      </c>
      <c r="O2715" s="40">
        <v>94</v>
      </c>
      <c r="P2715" s="40">
        <v>20</v>
      </c>
      <c r="Q2715" s="40">
        <v>3</v>
      </c>
      <c r="R2715" s="40">
        <v>7</v>
      </c>
      <c r="S2715" s="40">
        <v>7</v>
      </c>
    </row>
    <row r="2716" spans="1:19" x14ac:dyDescent="0.35">
      <c r="A2716" s="38">
        <v>1986</v>
      </c>
      <c r="B2716" s="38" t="str">
        <f>_xlfn.XLOOKUP(A2716,'Model Modeshare by TAZ'!A:A,'Model Modeshare by TAZ'!B:B)</f>
        <v>Belmont</v>
      </c>
      <c r="C2716" s="38" t="str">
        <f>_xlfn.XLOOKUP(A2716,'Model Modeshare by TAZ'!A:A,'Model Modeshare by TAZ'!D:D)</f>
        <v>YES</v>
      </c>
      <c r="D2716" s="6">
        <v>2</v>
      </c>
      <c r="E2716" s="6">
        <v>1124</v>
      </c>
      <c r="F2716" s="6">
        <v>3197</v>
      </c>
      <c r="G2716" s="6">
        <v>3325</v>
      </c>
      <c r="H2716" s="6">
        <v>1616</v>
      </c>
      <c r="I2716" s="6">
        <v>810</v>
      </c>
      <c r="J2716" s="6">
        <v>314</v>
      </c>
      <c r="K2716" s="40">
        <v>187</v>
      </c>
      <c r="L2716" s="40">
        <v>9</v>
      </c>
      <c r="M2716" s="40">
        <v>181</v>
      </c>
      <c r="N2716" s="40">
        <v>55</v>
      </c>
      <c r="O2716" s="40">
        <v>35</v>
      </c>
      <c r="P2716" s="40">
        <v>56</v>
      </c>
      <c r="Q2716" s="40">
        <v>0</v>
      </c>
      <c r="R2716" s="40">
        <v>34</v>
      </c>
      <c r="S2716" s="40">
        <v>1</v>
      </c>
    </row>
    <row r="2717" spans="1:19" x14ac:dyDescent="0.35">
      <c r="A2717" s="38">
        <v>1987</v>
      </c>
      <c r="B2717" s="38" t="str">
        <f>_xlfn.XLOOKUP(A2717,'Model Modeshare by TAZ'!A:A,'Model Modeshare by TAZ'!B:B)</f>
        <v>Belmont</v>
      </c>
      <c r="C2717" s="38" t="str">
        <f>_xlfn.XLOOKUP(A2717,'Model Modeshare by TAZ'!A:A,'Model Modeshare by TAZ'!D:D)</f>
        <v>YES</v>
      </c>
      <c r="D2717" s="6">
        <v>2</v>
      </c>
      <c r="E2717" s="6">
        <v>952</v>
      </c>
      <c r="F2717" s="6">
        <v>2392</v>
      </c>
      <c r="G2717" s="6">
        <v>2445</v>
      </c>
      <c r="H2717" s="6">
        <v>1107</v>
      </c>
      <c r="I2717" s="6">
        <v>743</v>
      </c>
      <c r="J2717" s="6">
        <v>209</v>
      </c>
      <c r="K2717" s="40">
        <v>197</v>
      </c>
      <c r="L2717" s="40">
        <v>50</v>
      </c>
      <c r="M2717" s="40">
        <v>1896</v>
      </c>
      <c r="N2717" s="40">
        <v>399</v>
      </c>
      <c r="O2717" s="40">
        <v>546</v>
      </c>
      <c r="P2717" s="40">
        <v>592</v>
      </c>
      <c r="Q2717" s="40">
        <v>8</v>
      </c>
      <c r="R2717" s="40">
        <v>94</v>
      </c>
      <c r="S2717" s="40">
        <v>257</v>
      </c>
    </row>
    <row r="2718" spans="1:19" x14ac:dyDescent="0.35">
      <c r="A2718" s="38">
        <v>1988</v>
      </c>
      <c r="B2718" s="38" t="str">
        <f>_xlfn.XLOOKUP(A2718,'Model Modeshare by TAZ'!A:A,'Model Modeshare by TAZ'!B:B)</f>
        <v>Unincorporated</v>
      </c>
      <c r="C2718" s="38" t="str">
        <f>_xlfn.XLOOKUP(A2718,'Model Modeshare by TAZ'!A:A,'Model Modeshare by TAZ'!D:D)</f>
        <v>YES</v>
      </c>
      <c r="D2718" s="6">
        <v>2</v>
      </c>
      <c r="E2718" s="6">
        <v>484</v>
      </c>
      <c r="F2718" s="6">
        <v>1227</v>
      </c>
      <c r="G2718" s="6">
        <v>1240</v>
      </c>
      <c r="H2718" s="6">
        <v>620</v>
      </c>
      <c r="I2718" s="6">
        <v>194</v>
      </c>
      <c r="J2718" s="6">
        <v>290</v>
      </c>
      <c r="K2718" s="40">
        <v>84</v>
      </c>
      <c r="L2718" s="40">
        <v>24</v>
      </c>
      <c r="M2718" s="40">
        <v>67</v>
      </c>
      <c r="N2718" s="40">
        <v>0</v>
      </c>
      <c r="O2718" s="40">
        <v>63</v>
      </c>
      <c r="P2718" s="40">
        <v>0</v>
      </c>
      <c r="Q2718" s="40">
        <v>1</v>
      </c>
      <c r="R2718" s="40">
        <v>0</v>
      </c>
      <c r="S2718" s="40">
        <v>3</v>
      </c>
    </row>
    <row r="2719" spans="1:19" x14ac:dyDescent="0.35">
      <c r="A2719" s="38">
        <v>1989</v>
      </c>
      <c r="B2719" s="38" t="str">
        <f>_xlfn.XLOOKUP(A2719,'Model Modeshare by TAZ'!A:A,'Model Modeshare by TAZ'!B:B)</f>
        <v>Belmont</v>
      </c>
      <c r="C2719" s="38" t="str">
        <f>_xlfn.XLOOKUP(A2719,'Model Modeshare by TAZ'!A:A,'Model Modeshare by TAZ'!D:D)</f>
        <v>YES</v>
      </c>
      <c r="D2719" s="6">
        <v>2</v>
      </c>
      <c r="E2719" s="6">
        <v>1478</v>
      </c>
      <c r="F2719" s="6">
        <v>4229</v>
      </c>
      <c r="G2719" s="6">
        <v>4230</v>
      </c>
      <c r="H2719" s="6">
        <v>2158</v>
      </c>
      <c r="I2719" s="6">
        <v>1459</v>
      </c>
      <c r="J2719" s="6">
        <v>19</v>
      </c>
      <c r="K2719" s="40">
        <v>287</v>
      </c>
      <c r="L2719" s="40">
        <v>18</v>
      </c>
      <c r="M2719" s="40">
        <v>274</v>
      </c>
      <c r="N2719" s="40">
        <v>35</v>
      </c>
      <c r="O2719" s="40">
        <v>149</v>
      </c>
      <c r="P2719" s="40">
        <v>83</v>
      </c>
      <c r="Q2719" s="40">
        <v>1</v>
      </c>
      <c r="R2719" s="40">
        <v>5</v>
      </c>
      <c r="S2719" s="40">
        <v>0</v>
      </c>
    </row>
    <row r="2720" spans="1:19" x14ac:dyDescent="0.35">
      <c r="A2720" s="38">
        <v>1990</v>
      </c>
      <c r="B2720" s="38" t="str">
        <f>_xlfn.XLOOKUP(A2720,'Model Modeshare by TAZ'!A:A,'Model Modeshare by TAZ'!B:B)</f>
        <v>San Mateo</v>
      </c>
      <c r="C2720" s="38" t="str">
        <f>_xlfn.XLOOKUP(A2720,'Model Modeshare by TAZ'!A:A,'Model Modeshare by TAZ'!D:D)</f>
        <v>YES</v>
      </c>
      <c r="D2720" s="6">
        <v>2</v>
      </c>
      <c r="E2720" s="6">
        <v>1393</v>
      </c>
      <c r="F2720" s="6">
        <v>3465</v>
      </c>
      <c r="G2720" s="6">
        <v>3465</v>
      </c>
      <c r="H2720" s="6">
        <v>1837</v>
      </c>
      <c r="I2720" s="6">
        <v>992</v>
      </c>
      <c r="J2720" s="6">
        <v>401</v>
      </c>
      <c r="K2720" s="40">
        <v>274</v>
      </c>
      <c r="L2720" s="40">
        <v>16</v>
      </c>
      <c r="M2720" s="40">
        <v>155</v>
      </c>
      <c r="N2720" s="40">
        <v>47</v>
      </c>
      <c r="O2720" s="40">
        <v>40</v>
      </c>
      <c r="P2720" s="40">
        <v>14</v>
      </c>
      <c r="Q2720" s="40">
        <v>30</v>
      </c>
      <c r="R2720" s="40">
        <v>22</v>
      </c>
      <c r="S2720" s="40">
        <v>2</v>
      </c>
    </row>
    <row r="2721" spans="1:19" x14ac:dyDescent="0.35">
      <c r="A2721" s="38">
        <v>1991</v>
      </c>
      <c r="B2721" s="38" t="str">
        <f>_xlfn.XLOOKUP(A2721,'Model Modeshare by TAZ'!A:A,'Model Modeshare by TAZ'!B:B)</f>
        <v>Unincorporated</v>
      </c>
      <c r="C2721" s="38" t="str">
        <f>_xlfn.XLOOKUP(A2721,'Model Modeshare by TAZ'!A:A,'Model Modeshare by TAZ'!D:D)</f>
        <v>YES</v>
      </c>
      <c r="D2721" s="6">
        <v>2</v>
      </c>
      <c r="E2721" s="6">
        <v>1247</v>
      </c>
      <c r="F2721" s="6">
        <v>3361</v>
      </c>
      <c r="G2721" s="6">
        <v>3371</v>
      </c>
      <c r="H2721" s="6">
        <v>1682</v>
      </c>
      <c r="I2721" s="6">
        <v>1103</v>
      </c>
      <c r="J2721" s="6">
        <v>144</v>
      </c>
      <c r="K2721" s="40">
        <v>291</v>
      </c>
      <c r="L2721" s="40">
        <v>78</v>
      </c>
      <c r="M2721" s="40">
        <v>703</v>
      </c>
      <c r="N2721" s="40">
        <v>101</v>
      </c>
      <c r="O2721" s="40">
        <v>185</v>
      </c>
      <c r="P2721" s="40">
        <v>353</v>
      </c>
      <c r="Q2721" s="40">
        <v>2</v>
      </c>
      <c r="R2721" s="40">
        <v>36</v>
      </c>
      <c r="S2721" s="40">
        <v>26</v>
      </c>
    </row>
    <row r="2722" spans="1:19" x14ac:dyDescent="0.35">
      <c r="A2722" s="38">
        <v>1992</v>
      </c>
      <c r="B2722" s="38" t="str">
        <f>_xlfn.XLOOKUP(A2722,'Model Modeshare by TAZ'!A:A,'Model Modeshare by TAZ'!B:B)</f>
        <v>Unincorporated</v>
      </c>
      <c r="C2722" s="38" t="str">
        <f>_xlfn.XLOOKUP(A2722,'Model Modeshare by TAZ'!A:A,'Model Modeshare by TAZ'!D:D)</f>
        <v>YES</v>
      </c>
      <c r="D2722" s="6">
        <v>2</v>
      </c>
      <c r="E2722" s="6">
        <v>917</v>
      </c>
      <c r="F2722" s="6">
        <v>2394</v>
      </c>
      <c r="G2722" s="6">
        <v>2551</v>
      </c>
      <c r="H2722" s="6">
        <v>1305</v>
      </c>
      <c r="I2722" s="6">
        <v>848</v>
      </c>
      <c r="J2722" s="6">
        <v>69</v>
      </c>
      <c r="K2722" s="40">
        <v>194</v>
      </c>
      <c r="L2722" s="40">
        <v>64</v>
      </c>
      <c r="M2722" s="40">
        <v>1081</v>
      </c>
      <c r="N2722" s="40">
        <v>253</v>
      </c>
      <c r="O2722" s="40">
        <v>422</v>
      </c>
      <c r="P2722" s="40">
        <v>386</v>
      </c>
      <c r="Q2722" s="40">
        <v>2</v>
      </c>
      <c r="R2722" s="40">
        <v>6</v>
      </c>
      <c r="S2722" s="40">
        <v>12</v>
      </c>
    </row>
    <row r="2723" spans="1:19" x14ac:dyDescent="0.35">
      <c r="A2723" s="38">
        <v>1993</v>
      </c>
      <c r="B2723" s="38" t="str">
        <f>_xlfn.XLOOKUP(A2723,'Model Modeshare by TAZ'!A:A,'Model Modeshare by TAZ'!B:B)</f>
        <v>Unincorporated</v>
      </c>
      <c r="C2723" s="38" t="str">
        <f>_xlfn.XLOOKUP(A2723,'Model Modeshare by TAZ'!A:A,'Model Modeshare by TAZ'!D:D)</f>
        <v>YES</v>
      </c>
      <c r="D2723" s="6">
        <v>2</v>
      </c>
      <c r="E2723" s="6">
        <v>1212</v>
      </c>
      <c r="F2723" s="6">
        <v>3303</v>
      </c>
      <c r="G2723" s="6">
        <v>3354</v>
      </c>
      <c r="H2723" s="6">
        <v>1733</v>
      </c>
      <c r="I2723" s="6">
        <v>1006</v>
      </c>
      <c r="J2723" s="6">
        <v>206</v>
      </c>
      <c r="K2723" s="40">
        <v>324</v>
      </c>
      <c r="L2723" s="40">
        <v>106</v>
      </c>
      <c r="M2723" s="40">
        <v>140</v>
      </c>
      <c r="N2723" s="40">
        <v>11</v>
      </c>
      <c r="O2723" s="40">
        <v>26</v>
      </c>
      <c r="P2723" s="40">
        <v>14</v>
      </c>
      <c r="Q2723" s="40">
        <v>31</v>
      </c>
      <c r="R2723" s="40">
        <v>30</v>
      </c>
      <c r="S2723" s="40">
        <v>28</v>
      </c>
    </row>
    <row r="2724" spans="1:19" x14ac:dyDescent="0.35">
      <c r="A2724" s="38">
        <v>1994</v>
      </c>
      <c r="B2724" s="38" t="str">
        <f>_xlfn.XLOOKUP(A2724,'Model Modeshare by TAZ'!A:A,'Model Modeshare by TAZ'!B:B)</f>
        <v>Unincorporated</v>
      </c>
      <c r="C2724" s="38" t="str">
        <f>_xlfn.XLOOKUP(A2724,'Model Modeshare by TAZ'!A:A,'Model Modeshare by TAZ'!D:D)</f>
        <v>YES</v>
      </c>
      <c r="D2724" s="6">
        <v>2</v>
      </c>
      <c r="E2724" s="6">
        <v>590</v>
      </c>
      <c r="F2724" s="6">
        <v>1655</v>
      </c>
      <c r="G2724" s="6">
        <v>1655</v>
      </c>
      <c r="H2724" s="6">
        <v>868</v>
      </c>
      <c r="I2724" s="6">
        <v>529</v>
      </c>
      <c r="J2724" s="6">
        <v>61</v>
      </c>
      <c r="K2724" s="40">
        <v>538</v>
      </c>
      <c r="L2724" s="40">
        <v>4</v>
      </c>
      <c r="M2724" s="40">
        <v>61</v>
      </c>
      <c r="N2724" s="40">
        <v>7</v>
      </c>
      <c r="O2724" s="40">
        <v>5</v>
      </c>
      <c r="P2724" s="40">
        <v>0</v>
      </c>
      <c r="Q2724" s="40">
        <v>43</v>
      </c>
      <c r="R2724" s="40">
        <v>1</v>
      </c>
      <c r="S2724" s="40">
        <v>6</v>
      </c>
    </row>
    <row r="2725" spans="1:19" x14ac:dyDescent="0.35">
      <c r="A2725" s="38">
        <v>1995</v>
      </c>
      <c r="B2725" s="38" t="str">
        <f>_xlfn.XLOOKUP(A2725,'Model Modeshare by TAZ'!A:A,'Model Modeshare by TAZ'!B:B)</f>
        <v>Unincorporated</v>
      </c>
      <c r="C2725" s="38" t="str">
        <f>_xlfn.XLOOKUP(A2725,'Model Modeshare by TAZ'!A:A,'Model Modeshare by TAZ'!D:D)</f>
        <v>YES</v>
      </c>
      <c r="D2725" s="6">
        <v>2</v>
      </c>
      <c r="E2725" s="6">
        <v>29</v>
      </c>
      <c r="F2725" s="6">
        <v>74</v>
      </c>
      <c r="G2725" s="6">
        <v>81</v>
      </c>
      <c r="H2725" s="6">
        <v>57</v>
      </c>
      <c r="I2725" s="6">
        <v>23</v>
      </c>
      <c r="J2725" s="6">
        <v>7</v>
      </c>
      <c r="K2725" s="40">
        <v>37</v>
      </c>
      <c r="L2725" s="40">
        <v>49</v>
      </c>
      <c r="M2725" s="40">
        <v>105</v>
      </c>
      <c r="N2725" s="40">
        <v>17</v>
      </c>
      <c r="O2725" s="40">
        <v>73</v>
      </c>
      <c r="P2725" s="40">
        <v>0</v>
      </c>
      <c r="Q2725" s="40">
        <v>15</v>
      </c>
      <c r="R2725" s="40">
        <v>0</v>
      </c>
      <c r="S2725" s="40">
        <v>0</v>
      </c>
    </row>
    <row r="2726" spans="1:19" x14ac:dyDescent="0.35">
      <c r="A2726" s="38">
        <v>1996</v>
      </c>
      <c r="B2726" s="38" t="str">
        <f>_xlfn.XLOOKUP(A2726,'Model Modeshare by TAZ'!A:A,'Model Modeshare by TAZ'!B:B)</f>
        <v>Unincorporated</v>
      </c>
      <c r="C2726" s="38" t="str">
        <f>_xlfn.XLOOKUP(A2726,'Model Modeshare by TAZ'!A:A,'Model Modeshare by TAZ'!D:D)</f>
        <v>YES</v>
      </c>
      <c r="D2726" s="6">
        <v>2</v>
      </c>
      <c r="E2726" s="6">
        <v>6</v>
      </c>
      <c r="F2726" s="6">
        <v>11</v>
      </c>
      <c r="G2726" s="6">
        <v>17</v>
      </c>
      <c r="H2726" s="6">
        <v>8</v>
      </c>
      <c r="I2726" s="6">
        <v>5</v>
      </c>
      <c r="J2726" s="6">
        <v>1</v>
      </c>
      <c r="K2726" s="40">
        <v>55</v>
      </c>
      <c r="L2726" s="40">
        <v>0</v>
      </c>
      <c r="M2726" s="40">
        <v>0</v>
      </c>
      <c r="N2726" s="40">
        <v>0</v>
      </c>
      <c r="O2726" s="40">
        <v>0</v>
      </c>
      <c r="P2726" s="40">
        <v>0</v>
      </c>
      <c r="Q2726" s="40">
        <v>0</v>
      </c>
      <c r="R2726" s="40">
        <v>0</v>
      </c>
      <c r="S2726" s="40">
        <v>0</v>
      </c>
    </row>
    <row r="2727" spans="1:19" x14ac:dyDescent="0.35">
      <c r="A2727" s="38">
        <v>1997</v>
      </c>
      <c r="B2727" s="38" t="str">
        <f>_xlfn.XLOOKUP(A2727,'Model Modeshare by TAZ'!A:A,'Model Modeshare by TAZ'!B:B)</f>
        <v>Unincorporated</v>
      </c>
      <c r="C2727" s="38" t="str">
        <f>_xlfn.XLOOKUP(A2727,'Model Modeshare by TAZ'!A:A,'Model Modeshare by TAZ'!D:D)</f>
        <v>YES</v>
      </c>
      <c r="D2727" s="6">
        <v>2</v>
      </c>
      <c r="E2727" s="6">
        <v>501</v>
      </c>
      <c r="F2727" s="6">
        <v>1285</v>
      </c>
      <c r="G2727" s="6">
        <v>1338</v>
      </c>
      <c r="H2727" s="6">
        <v>663</v>
      </c>
      <c r="I2727" s="6">
        <v>455</v>
      </c>
      <c r="J2727" s="6">
        <v>46</v>
      </c>
      <c r="K2727" s="40">
        <v>4267</v>
      </c>
      <c r="L2727" s="40">
        <v>825</v>
      </c>
      <c r="M2727" s="40">
        <v>502</v>
      </c>
      <c r="N2727" s="40">
        <v>0</v>
      </c>
      <c r="O2727" s="40">
        <v>367</v>
      </c>
      <c r="P2727" s="40">
        <v>17</v>
      </c>
      <c r="Q2727" s="40">
        <v>118</v>
      </c>
      <c r="R2727" s="40">
        <v>0</v>
      </c>
      <c r="S2727" s="40">
        <v>0</v>
      </c>
    </row>
    <row r="2728" spans="1:19" x14ac:dyDescent="0.35">
      <c r="A2728" s="38">
        <v>1998</v>
      </c>
      <c r="B2728" s="38" t="str">
        <f>_xlfn.XLOOKUP(A2728,'Model Modeshare by TAZ'!A:A,'Model Modeshare by TAZ'!B:B)</f>
        <v>Portola Valley</v>
      </c>
      <c r="C2728" s="38" t="str">
        <f>_xlfn.XLOOKUP(A2728,'Model Modeshare by TAZ'!A:A,'Model Modeshare by TAZ'!D:D)</f>
        <v>YES</v>
      </c>
      <c r="D2728" s="6">
        <v>2</v>
      </c>
      <c r="E2728" s="6">
        <v>1205</v>
      </c>
      <c r="F2728" s="6">
        <v>2894</v>
      </c>
      <c r="G2728" s="6">
        <v>2920</v>
      </c>
      <c r="H2728" s="6">
        <v>1361</v>
      </c>
      <c r="I2728" s="6">
        <v>1101</v>
      </c>
      <c r="J2728" s="6">
        <v>104</v>
      </c>
      <c r="K2728" s="40">
        <v>1811</v>
      </c>
      <c r="L2728" s="40">
        <v>436</v>
      </c>
      <c r="M2728" s="40">
        <v>644</v>
      </c>
      <c r="N2728" s="40">
        <v>47</v>
      </c>
      <c r="O2728" s="40">
        <v>342</v>
      </c>
      <c r="P2728" s="40">
        <v>164</v>
      </c>
      <c r="Q2728" s="40">
        <v>61</v>
      </c>
      <c r="R2728" s="40">
        <v>12</v>
      </c>
      <c r="S2728" s="40">
        <v>18</v>
      </c>
    </row>
    <row r="2729" spans="1:19" x14ac:dyDescent="0.35">
      <c r="A2729" s="38">
        <v>1999</v>
      </c>
      <c r="B2729" s="38" t="str">
        <f>_xlfn.XLOOKUP(A2729,'Model Modeshare by TAZ'!A:A,'Model Modeshare by TAZ'!B:B)</f>
        <v>Unincorporated</v>
      </c>
      <c r="C2729" s="38" t="str">
        <f>_xlfn.XLOOKUP(A2729,'Model Modeshare by TAZ'!A:A,'Model Modeshare by TAZ'!D:D)</f>
        <v>YES</v>
      </c>
      <c r="D2729" s="6">
        <v>2</v>
      </c>
      <c r="E2729" s="6">
        <v>1166</v>
      </c>
      <c r="F2729" s="6">
        <v>3171</v>
      </c>
      <c r="G2729" s="6">
        <v>3171</v>
      </c>
      <c r="H2729" s="6">
        <v>1566</v>
      </c>
      <c r="I2729" s="6">
        <v>1137</v>
      </c>
      <c r="J2729" s="6">
        <v>29</v>
      </c>
      <c r="K2729" s="40">
        <v>4012</v>
      </c>
      <c r="L2729" s="40">
        <v>177</v>
      </c>
      <c r="M2729" s="40">
        <v>782</v>
      </c>
      <c r="N2729" s="40">
        <v>80</v>
      </c>
      <c r="O2729" s="40">
        <v>579</v>
      </c>
      <c r="P2729" s="40">
        <v>92</v>
      </c>
      <c r="Q2729" s="40">
        <v>8</v>
      </c>
      <c r="R2729" s="40">
        <v>15</v>
      </c>
      <c r="S2729" s="40">
        <v>9</v>
      </c>
    </row>
    <row r="2730" spans="1:19" x14ac:dyDescent="0.35">
      <c r="A2730" s="38">
        <v>2000</v>
      </c>
      <c r="B2730" s="38" t="str">
        <f>_xlfn.XLOOKUP(A2730,'Model Modeshare by TAZ'!A:A,'Model Modeshare by TAZ'!B:B)</f>
        <v>Woodside</v>
      </c>
      <c r="C2730" s="38" t="str">
        <f>_xlfn.XLOOKUP(A2730,'Model Modeshare by TAZ'!A:A,'Model Modeshare by TAZ'!D:D)</f>
        <v>YES</v>
      </c>
      <c r="D2730" s="6">
        <v>2</v>
      </c>
      <c r="E2730" s="6">
        <v>376</v>
      </c>
      <c r="F2730" s="6">
        <v>1098</v>
      </c>
      <c r="G2730" s="6">
        <v>1105</v>
      </c>
      <c r="H2730" s="6">
        <v>454</v>
      </c>
      <c r="I2730" s="6">
        <v>372</v>
      </c>
      <c r="J2730" s="6">
        <v>4</v>
      </c>
      <c r="K2730" s="40">
        <v>650</v>
      </c>
      <c r="L2730" s="40">
        <v>78</v>
      </c>
      <c r="M2730" s="40">
        <v>418</v>
      </c>
      <c r="N2730" s="40">
        <v>187</v>
      </c>
      <c r="O2730" s="40">
        <v>186</v>
      </c>
      <c r="P2730" s="40">
        <v>35</v>
      </c>
      <c r="Q2730" s="40">
        <v>2</v>
      </c>
      <c r="R2730" s="40">
        <v>5</v>
      </c>
      <c r="S2730" s="40">
        <v>3</v>
      </c>
    </row>
    <row r="2731" spans="1:19" x14ac:dyDescent="0.35">
      <c r="A2731" s="38">
        <v>2001</v>
      </c>
      <c r="B2731" s="38" t="str">
        <f>_xlfn.XLOOKUP(A2731,'Model Modeshare by TAZ'!A:A,'Model Modeshare by TAZ'!B:B)</f>
        <v>Redwood City</v>
      </c>
      <c r="C2731" s="38" t="str">
        <f>_xlfn.XLOOKUP(A2731,'Model Modeshare by TAZ'!A:A,'Model Modeshare by TAZ'!D:D)</f>
        <v>YES</v>
      </c>
      <c r="D2731" s="6">
        <v>2</v>
      </c>
      <c r="E2731" s="6">
        <v>1072</v>
      </c>
      <c r="F2731" s="6">
        <v>2907</v>
      </c>
      <c r="G2731" s="6">
        <v>2956</v>
      </c>
      <c r="H2731" s="6">
        <v>1583</v>
      </c>
      <c r="I2731" s="6">
        <v>962</v>
      </c>
      <c r="J2731" s="6">
        <v>110</v>
      </c>
      <c r="K2731" s="40">
        <v>231</v>
      </c>
      <c r="L2731" s="40">
        <v>41</v>
      </c>
      <c r="M2731" s="40">
        <v>350</v>
      </c>
      <c r="N2731" s="40">
        <v>41</v>
      </c>
      <c r="O2731" s="40">
        <v>288</v>
      </c>
      <c r="P2731" s="40">
        <v>16</v>
      </c>
      <c r="Q2731" s="40">
        <v>0</v>
      </c>
      <c r="R2731" s="40">
        <v>6</v>
      </c>
      <c r="S2731" s="40">
        <v>0</v>
      </c>
    </row>
    <row r="2732" spans="1:19" x14ac:dyDescent="0.35">
      <c r="A2732" s="38">
        <v>2002</v>
      </c>
      <c r="B2732" s="38" t="str">
        <f>_xlfn.XLOOKUP(A2732,'Model Modeshare by TAZ'!A:A,'Model Modeshare by TAZ'!B:B)</f>
        <v>Unincorporated</v>
      </c>
      <c r="C2732" s="38" t="str">
        <f>_xlfn.XLOOKUP(A2732,'Model Modeshare by TAZ'!A:A,'Model Modeshare by TAZ'!D:D)</f>
        <v>YES</v>
      </c>
      <c r="D2732" s="6">
        <v>2</v>
      </c>
      <c r="E2732" s="6">
        <v>1662</v>
      </c>
      <c r="F2732" s="6">
        <v>4587</v>
      </c>
      <c r="G2732" s="6">
        <v>4621</v>
      </c>
      <c r="H2732" s="6">
        <v>2247</v>
      </c>
      <c r="I2732" s="6">
        <v>1654</v>
      </c>
      <c r="J2732" s="6">
        <v>8</v>
      </c>
      <c r="K2732" s="40">
        <v>528</v>
      </c>
      <c r="L2732" s="40">
        <v>468</v>
      </c>
      <c r="M2732" s="40">
        <v>383</v>
      </c>
      <c r="N2732" s="40">
        <v>8</v>
      </c>
      <c r="O2732" s="40">
        <v>155</v>
      </c>
      <c r="P2732" s="40">
        <v>174</v>
      </c>
      <c r="Q2732" s="40">
        <v>17</v>
      </c>
      <c r="R2732" s="40">
        <v>29</v>
      </c>
      <c r="S2732" s="40">
        <v>0</v>
      </c>
    </row>
    <row r="2733" spans="1:19" x14ac:dyDescent="0.35">
      <c r="A2733" s="38">
        <v>2003</v>
      </c>
      <c r="B2733" s="38" t="str">
        <f>_xlfn.XLOOKUP(A2733,'Model Modeshare by TAZ'!A:A,'Model Modeshare by TAZ'!B:B)</f>
        <v>Redwood City</v>
      </c>
      <c r="C2733" s="38" t="str">
        <f>_xlfn.XLOOKUP(A2733,'Model Modeshare by TAZ'!A:A,'Model Modeshare by TAZ'!D:D)</f>
        <v>YES</v>
      </c>
      <c r="D2733" s="6">
        <v>2</v>
      </c>
      <c r="E2733" s="6">
        <v>1214</v>
      </c>
      <c r="F2733" s="6">
        <v>3365</v>
      </c>
      <c r="G2733" s="6">
        <v>3392</v>
      </c>
      <c r="H2733" s="6">
        <v>1917</v>
      </c>
      <c r="I2733" s="6">
        <v>1138</v>
      </c>
      <c r="J2733" s="6">
        <v>75</v>
      </c>
      <c r="K2733" s="40">
        <v>254</v>
      </c>
      <c r="L2733" s="40">
        <v>30</v>
      </c>
      <c r="M2733" s="40">
        <v>555</v>
      </c>
      <c r="N2733" s="40">
        <v>12</v>
      </c>
      <c r="O2733" s="40">
        <v>519</v>
      </c>
      <c r="P2733" s="40">
        <v>24</v>
      </c>
      <c r="Q2733" s="40">
        <v>0</v>
      </c>
      <c r="R2733" s="40">
        <v>0</v>
      </c>
      <c r="S2733" s="40">
        <v>0</v>
      </c>
    </row>
    <row r="2734" spans="1:19" x14ac:dyDescent="0.35">
      <c r="A2734" s="38">
        <v>2004</v>
      </c>
      <c r="B2734" s="38" t="str">
        <f>_xlfn.XLOOKUP(A2734,'Model Modeshare by TAZ'!A:A,'Model Modeshare by TAZ'!B:B)</f>
        <v>Unincorporated</v>
      </c>
      <c r="C2734" s="38" t="str">
        <f>_xlfn.XLOOKUP(A2734,'Model Modeshare by TAZ'!A:A,'Model Modeshare by TAZ'!D:D)</f>
        <v>YES</v>
      </c>
      <c r="D2734" s="6">
        <v>2</v>
      </c>
      <c r="E2734" s="6">
        <v>644</v>
      </c>
      <c r="F2734" s="6">
        <v>1501</v>
      </c>
      <c r="G2734" s="6">
        <v>1563</v>
      </c>
      <c r="H2734" s="6">
        <v>878</v>
      </c>
      <c r="I2734" s="6">
        <v>525</v>
      </c>
      <c r="J2734" s="6">
        <v>119</v>
      </c>
      <c r="K2734" s="40">
        <v>191</v>
      </c>
      <c r="L2734" s="40">
        <v>43</v>
      </c>
      <c r="M2734" s="40">
        <v>189</v>
      </c>
      <c r="N2734" s="40">
        <v>2</v>
      </c>
      <c r="O2734" s="40">
        <v>112</v>
      </c>
      <c r="P2734" s="40">
        <v>45</v>
      </c>
      <c r="Q2734" s="40">
        <v>11</v>
      </c>
      <c r="R2734" s="40">
        <v>1</v>
      </c>
      <c r="S2734" s="40">
        <v>17</v>
      </c>
    </row>
    <row r="2735" spans="1:19" x14ac:dyDescent="0.35">
      <c r="A2735" s="38">
        <v>2005</v>
      </c>
      <c r="B2735" s="38" t="str">
        <f>_xlfn.XLOOKUP(A2735,'Model Modeshare by TAZ'!A:A,'Model Modeshare by TAZ'!B:B)</f>
        <v>San Carlos</v>
      </c>
      <c r="C2735" s="38" t="str">
        <f>_xlfn.XLOOKUP(A2735,'Model Modeshare by TAZ'!A:A,'Model Modeshare by TAZ'!D:D)</f>
        <v>YES</v>
      </c>
      <c r="D2735" s="6">
        <v>2</v>
      </c>
      <c r="E2735" s="6">
        <v>739</v>
      </c>
      <c r="F2735" s="6">
        <v>1904</v>
      </c>
      <c r="G2735" s="6">
        <v>1905</v>
      </c>
      <c r="H2735" s="6">
        <v>963</v>
      </c>
      <c r="I2735" s="6">
        <v>644</v>
      </c>
      <c r="J2735" s="6">
        <v>95</v>
      </c>
      <c r="K2735" s="40">
        <v>184</v>
      </c>
      <c r="L2735" s="40">
        <v>38</v>
      </c>
      <c r="M2735" s="40">
        <v>116</v>
      </c>
      <c r="N2735" s="40">
        <v>17</v>
      </c>
      <c r="O2735" s="40">
        <v>60</v>
      </c>
      <c r="P2735" s="40">
        <v>17</v>
      </c>
      <c r="Q2735" s="40">
        <v>6</v>
      </c>
      <c r="R2735" s="40">
        <v>5</v>
      </c>
      <c r="S2735" s="40">
        <v>10</v>
      </c>
    </row>
    <row r="2736" spans="1:19" x14ac:dyDescent="0.35">
      <c r="A2736" s="38">
        <v>2006</v>
      </c>
      <c r="B2736" s="38" t="str">
        <f>_xlfn.XLOOKUP(A2736,'Model Modeshare by TAZ'!A:A,'Model Modeshare by TAZ'!B:B)</f>
        <v>San Carlos</v>
      </c>
      <c r="C2736" s="38" t="str">
        <f>_xlfn.XLOOKUP(A2736,'Model Modeshare by TAZ'!A:A,'Model Modeshare by TAZ'!D:D)</f>
        <v>YES</v>
      </c>
      <c r="D2736" s="6">
        <v>2</v>
      </c>
      <c r="E2736" s="6">
        <v>1265</v>
      </c>
      <c r="F2736" s="6">
        <v>3185</v>
      </c>
      <c r="G2736" s="6">
        <v>3203</v>
      </c>
      <c r="H2736" s="6">
        <v>1686</v>
      </c>
      <c r="I2736" s="6">
        <v>1027</v>
      </c>
      <c r="J2736" s="6">
        <v>238</v>
      </c>
      <c r="K2736" s="40">
        <v>381</v>
      </c>
      <c r="L2736" s="40">
        <v>41</v>
      </c>
      <c r="M2736" s="40">
        <v>30</v>
      </c>
      <c r="N2736" s="40">
        <v>0</v>
      </c>
      <c r="O2736" s="40">
        <v>16</v>
      </c>
      <c r="P2736" s="40">
        <v>6</v>
      </c>
      <c r="Q2736" s="40">
        <v>0</v>
      </c>
      <c r="R2736" s="40">
        <v>0</v>
      </c>
      <c r="S2736" s="40">
        <v>8</v>
      </c>
    </row>
    <row r="2737" spans="1:19" x14ac:dyDescent="0.35">
      <c r="A2737" s="38">
        <v>2007</v>
      </c>
      <c r="B2737" s="38" t="str">
        <f>_xlfn.XLOOKUP(A2737,'Model Modeshare by TAZ'!A:A,'Model Modeshare by TAZ'!B:B)</f>
        <v>San Carlos</v>
      </c>
      <c r="C2737" s="38" t="str">
        <f>_xlfn.XLOOKUP(A2737,'Model Modeshare by TAZ'!A:A,'Model Modeshare by TAZ'!D:D)</f>
        <v>YES</v>
      </c>
      <c r="D2737" s="6">
        <v>2</v>
      </c>
      <c r="E2737" s="6">
        <v>933</v>
      </c>
      <c r="F2737" s="6">
        <v>2705</v>
      </c>
      <c r="G2737" s="6">
        <v>2710</v>
      </c>
      <c r="H2737" s="6">
        <v>1373</v>
      </c>
      <c r="I2737" s="6">
        <v>892</v>
      </c>
      <c r="J2737" s="6">
        <v>41</v>
      </c>
      <c r="K2737" s="40">
        <v>184</v>
      </c>
      <c r="L2737" s="40">
        <v>32</v>
      </c>
      <c r="M2737" s="40">
        <v>192</v>
      </c>
      <c r="N2737" s="40">
        <v>9</v>
      </c>
      <c r="O2737" s="40">
        <v>109</v>
      </c>
      <c r="P2737" s="40">
        <v>54</v>
      </c>
      <c r="Q2737" s="40">
        <v>1</v>
      </c>
      <c r="R2737" s="40">
        <v>9</v>
      </c>
      <c r="S2737" s="40">
        <v>10</v>
      </c>
    </row>
    <row r="2738" spans="1:19" x14ac:dyDescent="0.35">
      <c r="A2738" s="38">
        <v>2008</v>
      </c>
      <c r="B2738" s="38" t="str">
        <f>_xlfn.XLOOKUP(A2738,'Model Modeshare by TAZ'!A:A,'Model Modeshare by TAZ'!B:B)</f>
        <v>San Carlos</v>
      </c>
      <c r="C2738" s="38" t="str">
        <f>_xlfn.XLOOKUP(A2738,'Model Modeshare by TAZ'!A:A,'Model Modeshare by TAZ'!D:D)</f>
        <v>YES</v>
      </c>
      <c r="D2738" s="6">
        <v>2</v>
      </c>
      <c r="E2738" s="6">
        <v>1576</v>
      </c>
      <c r="F2738" s="6">
        <v>4576</v>
      </c>
      <c r="G2738" s="6">
        <v>4618</v>
      </c>
      <c r="H2738" s="6">
        <v>2153</v>
      </c>
      <c r="I2738" s="6">
        <v>1565</v>
      </c>
      <c r="J2738" s="6">
        <v>11</v>
      </c>
      <c r="K2738" s="40">
        <v>210</v>
      </c>
      <c r="L2738" s="40">
        <v>14</v>
      </c>
      <c r="M2738" s="40">
        <v>50</v>
      </c>
      <c r="N2738" s="40">
        <v>0</v>
      </c>
      <c r="O2738" s="40">
        <v>1</v>
      </c>
      <c r="P2738" s="40">
        <v>49</v>
      </c>
      <c r="Q2738" s="40">
        <v>0</v>
      </c>
      <c r="R2738" s="40">
        <v>0</v>
      </c>
      <c r="S2738" s="40">
        <v>0</v>
      </c>
    </row>
    <row r="2739" spans="1:19" x14ac:dyDescent="0.35">
      <c r="A2739" s="38">
        <v>2009</v>
      </c>
      <c r="B2739" s="38" t="str">
        <f>_xlfn.XLOOKUP(A2739,'Model Modeshare by TAZ'!A:A,'Model Modeshare by TAZ'!B:B)</f>
        <v>San Carlos</v>
      </c>
      <c r="C2739" s="38" t="str">
        <f>_xlfn.XLOOKUP(A2739,'Model Modeshare by TAZ'!A:A,'Model Modeshare by TAZ'!D:D)</f>
        <v>YES</v>
      </c>
      <c r="D2739" s="6">
        <v>2</v>
      </c>
      <c r="E2739" s="6">
        <v>1810</v>
      </c>
      <c r="F2739" s="6">
        <v>3902</v>
      </c>
      <c r="G2739" s="6">
        <v>3941</v>
      </c>
      <c r="H2739" s="6">
        <v>2353</v>
      </c>
      <c r="I2739" s="6">
        <v>854</v>
      </c>
      <c r="J2739" s="6">
        <v>956</v>
      </c>
      <c r="K2739" s="40">
        <v>116</v>
      </c>
      <c r="L2739" s="40">
        <v>39</v>
      </c>
      <c r="M2739" s="40">
        <v>3882</v>
      </c>
      <c r="N2739" s="40">
        <v>1486</v>
      </c>
      <c r="O2739" s="40">
        <v>1281</v>
      </c>
      <c r="P2739" s="40">
        <v>790</v>
      </c>
      <c r="Q2739" s="40">
        <v>5</v>
      </c>
      <c r="R2739" s="40">
        <v>93</v>
      </c>
      <c r="S2739" s="40">
        <v>228</v>
      </c>
    </row>
    <row r="2740" spans="1:19" x14ac:dyDescent="0.35">
      <c r="A2740" s="38">
        <v>2010</v>
      </c>
      <c r="B2740" s="38" t="str">
        <f>_xlfn.XLOOKUP(A2740,'Model Modeshare by TAZ'!A:A,'Model Modeshare by TAZ'!B:B)</f>
        <v>San Carlos</v>
      </c>
      <c r="C2740" s="38" t="str">
        <f>_xlfn.XLOOKUP(A2740,'Model Modeshare by TAZ'!A:A,'Model Modeshare by TAZ'!D:D)</f>
        <v>YES</v>
      </c>
      <c r="D2740" s="6">
        <v>2</v>
      </c>
      <c r="E2740" s="6">
        <v>0</v>
      </c>
      <c r="F2740" s="6">
        <v>0</v>
      </c>
      <c r="G2740" s="6">
        <v>0</v>
      </c>
      <c r="H2740" s="6">
        <v>0</v>
      </c>
      <c r="I2740" s="6">
        <v>0</v>
      </c>
      <c r="J2740" s="6">
        <v>0</v>
      </c>
      <c r="K2740" s="40">
        <v>21</v>
      </c>
      <c r="L2740" s="40">
        <v>186</v>
      </c>
      <c r="M2740" s="40">
        <v>4808</v>
      </c>
      <c r="N2740" s="40">
        <v>406</v>
      </c>
      <c r="O2740" s="40">
        <v>1536</v>
      </c>
      <c r="P2740" s="40">
        <v>1184</v>
      </c>
      <c r="Q2740" s="40">
        <v>4</v>
      </c>
      <c r="R2740" s="40">
        <v>1221</v>
      </c>
      <c r="S2740" s="40">
        <v>457</v>
      </c>
    </row>
    <row r="2741" spans="1:19" x14ac:dyDescent="0.35">
      <c r="A2741" s="38">
        <v>2011</v>
      </c>
      <c r="B2741" s="38" t="str">
        <f>_xlfn.XLOOKUP(A2741,'Model Modeshare by TAZ'!A:A,'Model Modeshare by TAZ'!B:B)</f>
        <v>Redwood City</v>
      </c>
      <c r="C2741" s="38" t="str">
        <f>_xlfn.XLOOKUP(A2741,'Model Modeshare by TAZ'!A:A,'Model Modeshare by TAZ'!D:D)</f>
        <v>YES</v>
      </c>
      <c r="D2741" s="6">
        <v>2</v>
      </c>
      <c r="E2741" s="6">
        <v>984</v>
      </c>
      <c r="F2741" s="6">
        <v>2336</v>
      </c>
      <c r="G2741" s="6">
        <v>2344</v>
      </c>
      <c r="H2741" s="6">
        <v>1321</v>
      </c>
      <c r="I2741" s="6">
        <v>674</v>
      </c>
      <c r="J2741" s="6">
        <v>310</v>
      </c>
      <c r="K2741" s="40">
        <v>84</v>
      </c>
      <c r="L2741" s="40">
        <v>3</v>
      </c>
      <c r="M2741" s="40">
        <v>330</v>
      </c>
      <c r="N2741" s="40">
        <v>0</v>
      </c>
      <c r="O2741" s="40">
        <v>119</v>
      </c>
      <c r="P2741" s="40">
        <v>211</v>
      </c>
      <c r="Q2741" s="40">
        <v>0</v>
      </c>
      <c r="R2741" s="40">
        <v>0</v>
      </c>
      <c r="S2741" s="40">
        <v>0</v>
      </c>
    </row>
    <row r="2742" spans="1:19" x14ac:dyDescent="0.35">
      <c r="A2742" s="38">
        <v>2012</v>
      </c>
      <c r="B2742" s="38" t="str">
        <f>_xlfn.XLOOKUP(A2742,'Model Modeshare by TAZ'!A:A,'Model Modeshare by TAZ'!B:B)</f>
        <v>Redwood City</v>
      </c>
      <c r="C2742" s="38" t="str">
        <f>_xlfn.XLOOKUP(A2742,'Model Modeshare by TAZ'!A:A,'Model Modeshare by TAZ'!D:D)</f>
        <v>YES</v>
      </c>
      <c r="D2742" s="6">
        <v>2</v>
      </c>
      <c r="E2742" s="6">
        <v>3040</v>
      </c>
      <c r="F2742" s="6">
        <v>7465</v>
      </c>
      <c r="G2742" s="6">
        <v>7465</v>
      </c>
      <c r="H2742" s="6">
        <v>4179</v>
      </c>
      <c r="I2742" s="6">
        <v>2163</v>
      </c>
      <c r="J2742" s="6">
        <v>877</v>
      </c>
      <c r="K2742" s="40">
        <v>350</v>
      </c>
      <c r="L2742" s="40">
        <v>80</v>
      </c>
      <c r="M2742" s="40">
        <v>2058</v>
      </c>
      <c r="N2742" s="40">
        <v>200</v>
      </c>
      <c r="O2742" s="40">
        <v>1143</v>
      </c>
      <c r="P2742" s="40">
        <v>661</v>
      </c>
      <c r="Q2742" s="40">
        <v>0</v>
      </c>
      <c r="R2742" s="40">
        <v>0</v>
      </c>
      <c r="S2742" s="40">
        <v>54</v>
      </c>
    </row>
    <row r="2743" spans="1:19" x14ac:dyDescent="0.35">
      <c r="A2743" s="38">
        <v>2013</v>
      </c>
      <c r="B2743" s="38" t="str">
        <f>_xlfn.XLOOKUP(A2743,'Model Modeshare by TAZ'!A:A,'Model Modeshare by TAZ'!B:B)</f>
        <v>Redwood City</v>
      </c>
      <c r="C2743" s="38" t="str">
        <f>_xlfn.XLOOKUP(A2743,'Model Modeshare by TAZ'!A:A,'Model Modeshare by TAZ'!D:D)</f>
        <v>YES</v>
      </c>
      <c r="D2743" s="6">
        <v>2</v>
      </c>
      <c r="E2743" s="6">
        <v>0</v>
      </c>
      <c r="F2743" s="6">
        <v>0</v>
      </c>
      <c r="G2743" s="6">
        <v>0</v>
      </c>
      <c r="H2743" s="6">
        <v>0</v>
      </c>
      <c r="I2743" s="6">
        <v>0</v>
      </c>
      <c r="J2743" s="6">
        <v>0</v>
      </c>
      <c r="K2743" s="40">
        <v>0</v>
      </c>
      <c r="L2743" s="40">
        <v>3</v>
      </c>
      <c r="M2743" s="40">
        <v>6</v>
      </c>
      <c r="N2743" s="40">
        <v>0</v>
      </c>
      <c r="O2743" s="40">
        <v>0</v>
      </c>
      <c r="P2743" s="40">
        <v>0</v>
      </c>
      <c r="Q2743" s="40">
        <v>5</v>
      </c>
      <c r="R2743" s="40">
        <v>1</v>
      </c>
      <c r="S2743" s="40">
        <v>0</v>
      </c>
    </row>
    <row r="2744" spans="1:19" x14ac:dyDescent="0.35">
      <c r="A2744" s="38">
        <v>2014</v>
      </c>
      <c r="B2744" s="38" t="str">
        <f>_xlfn.XLOOKUP(A2744,'Model Modeshare by TAZ'!A:A,'Model Modeshare by TAZ'!B:B)</f>
        <v>Redwood City</v>
      </c>
      <c r="C2744" s="38" t="str">
        <f>_xlfn.XLOOKUP(A2744,'Model Modeshare by TAZ'!A:A,'Model Modeshare by TAZ'!D:D)</f>
        <v>YES</v>
      </c>
      <c r="D2744" s="6">
        <v>2</v>
      </c>
      <c r="E2744" s="6">
        <v>478</v>
      </c>
      <c r="F2744" s="6">
        <v>1846</v>
      </c>
      <c r="G2744" s="6">
        <v>1852</v>
      </c>
      <c r="H2744" s="6">
        <v>911</v>
      </c>
      <c r="I2744" s="6">
        <v>134</v>
      </c>
      <c r="J2744" s="6">
        <v>344</v>
      </c>
      <c r="K2744" s="40">
        <v>43</v>
      </c>
      <c r="L2744" s="40">
        <v>139</v>
      </c>
      <c r="M2744" s="40">
        <v>3335</v>
      </c>
      <c r="N2744" s="40">
        <v>244</v>
      </c>
      <c r="O2744" s="40">
        <v>1135</v>
      </c>
      <c r="P2744" s="40">
        <v>1014</v>
      </c>
      <c r="Q2744" s="40">
        <v>0</v>
      </c>
      <c r="R2744" s="40">
        <v>622</v>
      </c>
      <c r="S2744" s="40">
        <v>320</v>
      </c>
    </row>
    <row r="2745" spans="1:19" x14ac:dyDescent="0.35">
      <c r="A2745" s="38">
        <v>2015</v>
      </c>
      <c r="B2745" s="38" t="str">
        <f>_xlfn.XLOOKUP(A2745,'Model Modeshare by TAZ'!A:A,'Model Modeshare by TAZ'!B:B)</f>
        <v>Redwood City</v>
      </c>
      <c r="C2745" s="38" t="str">
        <f>_xlfn.XLOOKUP(A2745,'Model Modeshare by TAZ'!A:A,'Model Modeshare by TAZ'!D:D)</f>
        <v>YES</v>
      </c>
      <c r="D2745" s="6">
        <v>2</v>
      </c>
      <c r="E2745" s="6">
        <v>681</v>
      </c>
      <c r="F2745" s="6">
        <v>1718</v>
      </c>
      <c r="G2745" s="6">
        <v>2152</v>
      </c>
      <c r="H2745" s="6">
        <v>847</v>
      </c>
      <c r="I2745" s="6">
        <v>48</v>
      </c>
      <c r="J2745" s="6">
        <v>633</v>
      </c>
      <c r="K2745" s="40">
        <v>30</v>
      </c>
      <c r="L2745" s="40">
        <v>108</v>
      </c>
      <c r="M2745" s="40">
        <v>7744</v>
      </c>
      <c r="N2745" s="40">
        <v>446</v>
      </c>
      <c r="O2745" s="40">
        <v>3316</v>
      </c>
      <c r="P2745" s="40">
        <v>3186</v>
      </c>
      <c r="Q2745" s="40">
        <v>9</v>
      </c>
      <c r="R2745" s="40">
        <v>208</v>
      </c>
      <c r="S2745" s="40">
        <v>579</v>
      </c>
    </row>
    <row r="2746" spans="1:19" x14ac:dyDescent="0.35">
      <c r="A2746" s="38">
        <v>2016</v>
      </c>
      <c r="B2746" s="38" t="str">
        <f>_xlfn.XLOOKUP(A2746,'Model Modeshare by TAZ'!A:A,'Model Modeshare by TAZ'!B:B)</f>
        <v>Redwood City</v>
      </c>
      <c r="C2746" s="38" t="str">
        <f>_xlfn.XLOOKUP(A2746,'Model Modeshare by TAZ'!A:A,'Model Modeshare by TAZ'!D:D)</f>
        <v>YES</v>
      </c>
      <c r="D2746" s="6">
        <v>2</v>
      </c>
      <c r="E2746" s="6">
        <v>849</v>
      </c>
      <c r="F2746" s="6">
        <v>2231</v>
      </c>
      <c r="G2746" s="6">
        <v>2233</v>
      </c>
      <c r="H2746" s="6">
        <v>1257</v>
      </c>
      <c r="I2746" s="6">
        <v>422</v>
      </c>
      <c r="J2746" s="6">
        <v>427</v>
      </c>
      <c r="K2746" s="40">
        <v>56</v>
      </c>
      <c r="L2746" s="40">
        <v>15</v>
      </c>
      <c r="M2746" s="40">
        <v>909</v>
      </c>
      <c r="N2746" s="40">
        <v>25</v>
      </c>
      <c r="O2746" s="40">
        <v>97</v>
      </c>
      <c r="P2746" s="40">
        <v>754</v>
      </c>
      <c r="Q2746" s="40">
        <v>0</v>
      </c>
      <c r="R2746" s="40">
        <v>31</v>
      </c>
      <c r="S2746" s="40">
        <v>3</v>
      </c>
    </row>
    <row r="2747" spans="1:19" x14ac:dyDescent="0.35">
      <c r="A2747" s="38">
        <v>2017</v>
      </c>
      <c r="B2747" s="38" t="str">
        <f>_xlfn.XLOOKUP(A2747,'Model Modeshare by TAZ'!A:A,'Model Modeshare by TAZ'!B:B)</f>
        <v>Redwood City</v>
      </c>
      <c r="C2747" s="38" t="str">
        <f>_xlfn.XLOOKUP(A2747,'Model Modeshare by TAZ'!A:A,'Model Modeshare by TAZ'!D:D)</f>
        <v>YES</v>
      </c>
      <c r="D2747" s="6">
        <v>2</v>
      </c>
      <c r="E2747" s="6">
        <v>1222</v>
      </c>
      <c r="F2747" s="6">
        <v>3014</v>
      </c>
      <c r="G2747" s="6">
        <v>3071</v>
      </c>
      <c r="H2747" s="6">
        <v>1831</v>
      </c>
      <c r="I2747" s="6">
        <v>633</v>
      </c>
      <c r="J2747" s="6">
        <v>589</v>
      </c>
      <c r="K2747" s="40">
        <v>146</v>
      </c>
      <c r="L2747" s="40">
        <v>41</v>
      </c>
      <c r="M2747" s="40">
        <v>914</v>
      </c>
      <c r="N2747" s="40">
        <v>17</v>
      </c>
      <c r="O2747" s="40">
        <v>791</v>
      </c>
      <c r="P2747" s="40">
        <v>67</v>
      </c>
      <c r="Q2747" s="40">
        <v>0</v>
      </c>
      <c r="R2747" s="40">
        <v>22</v>
      </c>
      <c r="S2747" s="40">
        <v>17</v>
      </c>
    </row>
    <row r="2748" spans="1:19" x14ac:dyDescent="0.35">
      <c r="A2748" s="38">
        <v>2018</v>
      </c>
      <c r="B2748" s="38" t="str">
        <f>_xlfn.XLOOKUP(A2748,'Model Modeshare by TAZ'!A:A,'Model Modeshare by TAZ'!B:B)</f>
        <v>San Carlos</v>
      </c>
      <c r="C2748" s="38" t="str">
        <f>_xlfn.XLOOKUP(A2748,'Model Modeshare by TAZ'!A:A,'Model Modeshare by TAZ'!D:D)</f>
        <v>YES</v>
      </c>
      <c r="D2748" s="6">
        <v>2</v>
      </c>
      <c r="E2748" s="6">
        <v>1009</v>
      </c>
      <c r="F2748" s="6">
        <v>2847</v>
      </c>
      <c r="G2748" s="6">
        <v>2847</v>
      </c>
      <c r="H2748" s="6">
        <v>1354</v>
      </c>
      <c r="I2748" s="6">
        <v>900</v>
      </c>
      <c r="J2748" s="6">
        <v>109</v>
      </c>
      <c r="K2748" s="40">
        <v>126</v>
      </c>
      <c r="L2748" s="40">
        <v>9</v>
      </c>
      <c r="M2748" s="40">
        <v>512</v>
      </c>
      <c r="N2748" s="40">
        <v>174</v>
      </c>
      <c r="O2748" s="40">
        <v>206</v>
      </c>
      <c r="P2748" s="40">
        <v>125</v>
      </c>
      <c r="Q2748" s="40">
        <v>1</v>
      </c>
      <c r="R2748" s="40">
        <v>0</v>
      </c>
      <c r="S2748" s="40">
        <v>6</v>
      </c>
    </row>
    <row r="2749" spans="1:19" x14ac:dyDescent="0.35">
      <c r="A2749" s="38">
        <v>2019</v>
      </c>
      <c r="B2749" s="38" t="str">
        <f>_xlfn.XLOOKUP(A2749,'Model Modeshare by TAZ'!A:A,'Model Modeshare by TAZ'!B:B)</f>
        <v>Redwood City</v>
      </c>
      <c r="C2749" s="38" t="str">
        <f>_xlfn.XLOOKUP(A2749,'Model Modeshare by TAZ'!A:A,'Model Modeshare by TAZ'!D:D)</f>
        <v>YES</v>
      </c>
      <c r="D2749" s="6">
        <v>2</v>
      </c>
      <c r="E2749" s="6">
        <v>1169</v>
      </c>
      <c r="F2749" s="6">
        <v>3343</v>
      </c>
      <c r="G2749" s="6">
        <v>3354</v>
      </c>
      <c r="H2749" s="6">
        <v>1922</v>
      </c>
      <c r="I2749" s="6">
        <v>1154</v>
      </c>
      <c r="J2749" s="6">
        <v>15</v>
      </c>
      <c r="K2749" s="40">
        <v>217</v>
      </c>
      <c r="L2749" s="40">
        <v>9</v>
      </c>
      <c r="M2749" s="40">
        <v>204</v>
      </c>
      <c r="N2749" s="40">
        <v>16</v>
      </c>
      <c r="O2749" s="40">
        <v>114</v>
      </c>
      <c r="P2749" s="40">
        <v>31</v>
      </c>
      <c r="Q2749" s="40">
        <v>2</v>
      </c>
      <c r="R2749" s="40">
        <v>40</v>
      </c>
      <c r="S2749" s="40">
        <v>1</v>
      </c>
    </row>
    <row r="2750" spans="1:19" x14ac:dyDescent="0.35">
      <c r="A2750" s="38">
        <v>2020</v>
      </c>
      <c r="B2750" s="38" t="str">
        <f>_xlfn.XLOOKUP(A2750,'Model Modeshare by TAZ'!A:A,'Model Modeshare by TAZ'!B:B)</f>
        <v>Redwood City</v>
      </c>
      <c r="C2750" s="38" t="str">
        <f>_xlfn.XLOOKUP(A2750,'Model Modeshare by TAZ'!A:A,'Model Modeshare by TAZ'!D:D)</f>
        <v>YES</v>
      </c>
      <c r="D2750" s="6">
        <v>2</v>
      </c>
      <c r="E2750" s="6">
        <v>1839</v>
      </c>
      <c r="F2750" s="6">
        <v>5020</v>
      </c>
      <c r="G2750" s="6">
        <v>5062</v>
      </c>
      <c r="H2750" s="6">
        <v>2922</v>
      </c>
      <c r="I2750" s="6">
        <v>1359</v>
      </c>
      <c r="J2750" s="6">
        <v>480</v>
      </c>
      <c r="K2750" s="40">
        <v>195</v>
      </c>
      <c r="L2750" s="40">
        <v>11</v>
      </c>
      <c r="M2750" s="40">
        <v>368</v>
      </c>
      <c r="N2750" s="40">
        <v>39</v>
      </c>
      <c r="O2750" s="40">
        <v>194</v>
      </c>
      <c r="P2750" s="40">
        <v>110</v>
      </c>
      <c r="Q2750" s="40">
        <v>18</v>
      </c>
      <c r="R2750" s="40">
        <v>6</v>
      </c>
      <c r="S2750" s="40">
        <v>2</v>
      </c>
    </row>
    <row r="2751" spans="1:19" x14ac:dyDescent="0.35">
      <c r="A2751" s="38">
        <v>2021</v>
      </c>
      <c r="B2751" s="38" t="str">
        <f>_xlfn.XLOOKUP(A2751,'Model Modeshare by TAZ'!A:A,'Model Modeshare by TAZ'!B:B)</f>
        <v>Redwood City</v>
      </c>
      <c r="C2751" s="38" t="str">
        <f>_xlfn.XLOOKUP(A2751,'Model Modeshare by TAZ'!A:A,'Model Modeshare by TAZ'!D:D)</f>
        <v>YES</v>
      </c>
      <c r="D2751" s="6">
        <v>2</v>
      </c>
      <c r="E2751" s="6">
        <v>1020</v>
      </c>
      <c r="F2751" s="6">
        <v>2750</v>
      </c>
      <c r="G2751" s="6">
        <v>2790</v>
      </c>
      <c r="H2751" s="6">
        <v>1319</v>
      </c>
      <c r="I2751" s="6">
        <v>990</v>
      </c>
      <c r="J2751" s="6">
        <v>30</v>
      </c>
      <c r="K2751" s="40">
        <v>168</v>
      </c>
      <c r="L2751" s="40">
        <v>28</v>
      </c>
      <c r="M2751" s="40">
        <v>666</v>
      </c>
      <c r="N2751" s="40">
        <v>39</v>
      </c>
      <c r="O2751" s="40">
        <v>492</v>
      </c>
      <c r="P2751" s="40">
        <v>126</v>
      </c>
      <c r="Q2751" s="40">
        <v>6</v>
      </c>
      <c r="R2751" s="40">
        <v>1</v>
      </c>
      <c r="S2751" s="40">
        <v>2</v>
      </c>
    </row>
    <row r="2752" spans="1:19" x14ac:dyDescent="0.35">
      <c r="A2752" s="38">
        <v>2022</v>
      </c>
      <c r="B2752" s="38" t="str">
        <f>_xlfn.XLOOKUP(A2752,'Model Modeshare by TAZ'!A:A,'Model Modeshare by TAZ'!B:B)</f>
        <v>Unincorporated</v>
      </c>
      <c r="C2752" s="38" t="str">
        <f>_xlfn.XLOOKUP(A2752,'Model Modeshare by TAZ'!A:A,'Model Modeshare by TAZ'!D:D)</f>
        <v>YES</v>
      </c>
      <c r="D2752" s="6">
        <v>2</v>
      </c>
      <c r="E2752" s="6">
        <v>4002</v>
      </c>
      <c r="F2752" s="6">
        <v>10762</v>
      </c>
      <c r="G2752" s="6">
        <v>10822</v>
      </c>
      <c r="H2752" s="6">
        <v>5634</v>
      </c>
      <c r="I2752" s="6">
        <v>3348</v>
      </c>
      <c r="J2752" s="6">
        <v>655</v>
      </c>
      <c r="K2752" s="40">
        <v>262</v>
      </c>
      <c r="L2752" s="40">
        <v>50</v>
      </c>
      <c r="M2752" s="40">
        <v>633</v>
      </c>
      <c r="N2752" s="40">
        <v>66</v>
      </c>
      <c r="O2752" s="40">
        <v>329</v>
      </c>
      <c r="P2752" s="40">
        <v>159</v>
      </c>
      <c r="Q2752" s="40">
        <v>25</v>
      </c>
      <c r="R2752" s="40">
        <v>17</v>
      </c>
      <c r="S2752" s="40">
        <v>38</v>
      </c>
    </row>
    <row r="2753" spans="1:19" x14ac:dyDescent="0.35">
      <c r="A2753" s="38">
        <v>2023</v>
      </c>
      <c r="B2753" s="38" t="str">
        <f>_xlfn.XLOOKUP(A2753,'Model Modeshare by TAZ'!A:A,'Model Modeshare by TAZ'!B:B)</f>
        <v>Redwood City</v>
      </c>
      <c r="C2753" s="38" t="str">
        <f>_xlfn.XLOOKUP(A2753,'Model Modeshare by TAZ'!A:A,'Model Modeshare by TAZ'!D:D)</f>
        <v>YES</v>
      </c>
      <c r="D2753" s="6">
        <v>2</v>
      </c>
      <c r="E2753" s="6">
        <v>2060</v>
      </c>
      <c r="F2753" s="6">
        <v>4946</v>
      </c>
      <c r="G2753" s="6">
        <v>5009</v>
      </c>
      <c r="H2753" s="6">
        <v>2776</v>
      </c>
      <c r="I2753" s="6">
        <v>938</v>
      </c>
      <c r="J2753" s="6">
        <v>1122</v>
      </c>
      <c r="K2753" s="40">
        <v>150</v>
      </c>
      <c r="L2753" s="40">
        <v>38</v>
      </c>
      <c r="M2753" s="40">
        <v>1042</v>
      </c>
      <c r="N2753" s="40">
        <v>160</v>
      </c>
      <c r="O2753" s="40">
        <v>620</v>
      </c>
      <c r="P2753" s="40">
        <v>210</v>
      </c>
      <c r="Q2753" s="40">
        <v>11</v>
      </c>
      <c r="R2753" s="40">
        <v>6</v>
      </c>
      <c r="S2753" s="40">
        <v>36</v>
      </c>
    </row>
    <row r="2754" spans="1:19" x14ac:dyDescent="0.35">
      <c r="A2754" s="38">
        <v>2024</v>
      </c>
      <c r="B2754" s="38" t="str">
        <f>_xlfn.XLOOKUP(A2754,'Model Modeshare by TAZ'!A:A,'Model Modeshare by TAZ'!B:B)</f>
        <v>Redwood City</v>
      </c>
      <c r="C2754" s="38" t="str">
        <f>_xlfn.XLOOKUP(A2754,'Model Modeshare by TAZ'!A:A,'Model Modeshare by TAZ'!D:D)</f>
        <v>YES</v>
      </c>
      <c r="D2754" s="6">
        <v>2</v>
      </c>
      <c r="E2754" s="6">
        <v>1602</v>
      </c>
      <c r="F2754" s="6">
        <v>4844</v>
      </c>
      <c r="G2754" s="6">
        <v>4855</v>
      </c>
      <c r="H2754" s="6">
        <v>2789</v>
      </c>
      <c r="I2754" s="6">
        <v>414</v>
      </c>
      <c r="J2754" s="6">
        <v>1188</v>
      </c>
      <c r="K2754" s="40">
        <v>89</v>
      </c>
      <c r="L2754" s="40">
        <v>7</v>
      </c>
      <c r="M2754" s="40">
        <v>716</v>
      </c>
      <c r="N2754" s="40">
        <v>418</v>
      </c>
      <c r="O2754" s="40">
        <v>181</v>
      </c>
      <c r="P2754" s="40">
        <v>112</v>
      </c>
      <c r="Q2754" s="40">
        <v>5</v>
      </c>
      <c r="R2754" s="40">
        <v>0</v>
      </c>
      <c r="S2754" s="40">
        <v>0</v>
      </c>
    </row>
    <row r="2755" spans="1:19" x14ac:dyDescent="0.35">
      <c r="A2755" s="38">
        <v>2025</v>
      </c>
      <c r="B2755" s="38" t="str">
        <f>_xlfn.XLOOKUP(A2755,'Model Modeshare by TAZ'!A:A,'Model Modeshare by TAZ'!B:B)</f>
        <v>Redwood City</v>
      </c>
      <c r="C2755" s="38" t="str">
        <f>_xlfn.XLOOKUP(A2755,'Model Modeshare by TAZ'!A:A,'Model Modeshare by TAZ'!D:D)</f>
        <v>YES</v>
      </c>
      <c r="D2755" s="6">
        <v>2</v>
      </c>
      <c r="E2755" s="6">
        <v>1239</v>
      </c>
      <c r="F2755" s="6">
        <v>3272</v>
      </c>
      <c r="G2755" s="6">
        <v>3357</v>
      </c>
      <c r="H2755" s="6">
        <v>2159</v>
      </c>
      <c r="I2755" s="6">
        <v>621</v>
      </c>
      <c r="J2755" s="6">
        <v>618</v>
      </c>
      <c r="K2755" s="40">
        <v>85</v>
      </c>
      <c r="L2755" s="40">
        <v>8</v>
      </c>
      <c r="M2755" s="40">
        <v>165</v>
      </c>
      <c r="N2755" s="40">
        <v>16</v>
      </c>
      <c r="O2755" s="40">
        <v>66</v>
      </c>
      <c r="P2755" s="40">
        <v>70</v>
      </c>
      <c r="Q2755" s="40">
        <v>3</v>
      </c>
      <c r="R2755" s="40">
        <v>11</v>
      </c>
      <c r="S2755" s="40">
        <v>0</v>
      </c>
    </row>
    <row r="2756" spans="1:19" x14ac:dyDescent="0.35">
      <c r="A2756" s="38">
        <v>2026</v>
      </c>
      <c r="B2756" s="38" t="str">
        <f>_xlfn.XLOOKUP(A2756,'Model Modeshare by TAZ'!A:A,'Model Modeshare by TAZ'!B:B)</f>
        <v>Redwood City</v>
      </c>
      <c r="C2756" s="38" t="str">
        <f>_xlfn.XLOOKUP(A2756,'Model Modeshare by TAZ'!A:A,'Model Modeshare by TAZ'!D:D)</f>
        <v>YES</v>
      </c>
      <c r="D2756" s="6">
        <v>2</v>
      </c>
      <c r="E2756" s="6">
        <v>788</v>
      </c>
      <c r="F2756" s="6">
        <v>2865</v>
      </c>
      <c r="G2756" s="6">
        <v>2865</v>
      </c>
      <c r="H2756" s="6">
        <v>1539</v>
      </c>
      <c r="I2756" s="6">
        <v>114</v>
      </c>
      <c r="J2756" s="6">
        <v>675</v>
      </c>
      <c r="K2756" s="40">
        <v>35</v>
      </c>
      <c r="L2756" s="40">
        <v>20</v>
      </c>
      <c r="M2756" s="40">
        <v>498</v>
      </c>
      <c r="N2756" s="40">
        <v>60</v>
      </c>
      <c r="O2756" s="40">
        <v>178</v>
      </c>
      <c r="P2756" s="40">
        <v>172</v>
      </c>
      <c r="Q2756" s="40">
        <v>1</v>
      </c>
      <c r="R2756" s="40">
        <v>57</v>
      </c>
      <c r="S2756" s="40">
        <v>30</v>
      </c>
    </row>
    <row r="2757" spans="1:19" x14ac:dyDescent="0.35">
      <c r="A2757" s="38">
        <v>2027</v>
      </c>
      <c r="B2757" s="38" t="str">
        <f>_xlfn.XLOOKUP(A2757,'Model Modeshare by TAZ'!A:A,'Model Modeshare by TAZ'!B:B)</f>
        <v>Unincorporated</v>
      </c>
      <c r="C2757" s="38" t="str">
        <f>_xlfn.XLOOKUP(A2757,'Model Modeshare by TAZ'!A:A,'Model Modeshare by TAZ'!D:D)</f>
        <v>YES</v>
      </c>
      <c r="D2757" s="6">
        <v>2</v>
      </c>
      <c r="E2757" s="6">
        <v>1631</v>
      </c>
      <c r="F2757" s="6">
        <v>5916</v>
      </c>
      <c r="G2757" s="6">
        <v>5921</v>
      </c>
      <c r="H2757" s="6">
        <v>2976</v>
      </c>
      <c r="I2757" s="6">
        <v>765</v>
      </c>
      <c r="J2757" s="6">
        <v>866</v>
      </c>
      <c r="K2757" s="40">
        <v>84</v>
      </c>
      <c r="L2757" s="40">
        <v>37</v>
      </c>
      <c r="M2757" s="40">
        <v>881</v>
      </c>
      <c r="N2757" s="40">
        <v>126</v>
      </c>
      <c r="O2757" s="40">
        <v>205</v>
      </c>
      <c r="P2757" s="40">
        <v>282</v>
      </c>
      <c r="Q2757" s="40">
        <v>0</v>
      </c>
      <c r="R2757" s="40">
        <v>126</v>
      </c>
      <c r="S2757" s="40">
        <v>143</v>
      </c>
    </row>
    <row r="2758" spans="1:19" x14ac:dyDescent="0.35">
      <c r="A2758" s="38">
        <v>2028</v>
      </c>
      <c r="B2758" s="38" t="str">
        <f>_xlfn.XLOOKUP(A2758,'Model Modeshare by TAZ'!A:A,'Model Modeshare by TAZ'!B:B)</f>
        <v>Unincorporated</v>
      </c>
      <c r="C2758" s="38" t="str">
        <f>_xlfn.XLOOKUP(A2758,'Model Modeshare by TAZ'!A:A,'Model Modeshare by TAZ'!D:D)</f>
        <v>YES</v>
      </c>
      <c r="D2758" s="6">
        <v>2</v>
      </c>
      <c r="E2758" s="6">
        <v>1203</v>
      </c>
      <c r="F2758" s="6">
        <v>3721</v>
      </c>
      <c r="G2758" s="6">
        <v>3721</v>
      </c>
      <c r="H2758" s="6">
        <v>1710</v>
      </c>
      <c r="I2758" s="6">
        <v>962</v>
      </c>
      <c r="J2758" s="6">
        <v>241</v>
      </c>
      <c r="K2758" s="40">
        <v>159</v>
      </c>
      <c r="L2758" s="40">
        <v>20</v>
      </c>
      <c r="M2758" s="40">
        <v>821</v>
      </c>
      <c r="N2758" s="40">
        <v>105</v>
      </c>
      <c r="O2758" s="40">
        <v>208</v>
      </c>
      <c r="P2758" s="40">
        <v>274</v>
      </c>
      <c r="Q2758" s="40">
        <v>10</v>
      </c>
      <c r="R2758" s="40">
        <v>106</v>
      </c>
      <c r="S2758" s="40">
        <v>118</v>
      </c>
    </row>
    <row r="2759" spans="1:19" x14ac:dyDescent="0.35">
      <c r="A2759" s="38">
        <v>2029</v>
      </c>
      <c r="B2759" s="38" t="str">
        <f>_xlfn.XLOOKUP(A2759,'Model Modeshare by TAZ'!A:A,'Model Modeshare by TAZ'!B:B)</f>
        <v>Unincorporated</v>
      </c>
      <c r="C2759" s="38" t="str">
        <f>_xlfn.XLOOKUP(A2759,'Model Modeshare by TAZ'!A:A,'Model Modeshare by TAZ'!D:D)</f>
        <v>YES</v>
      </c>
      <c r="D2759" s="6">
        <v>2</v>
      </c>
      <c r="E2759" s="6">
        <v>1359</v>
      </c>
      <c r="F2759" s="6">
        <v>5048</v>
      </c>
      <c r="G2759" s="6">
        <v>5129</v>
      </c>
      <c r="H2759" s="6">
        <v>2548</v>
      </c>
      <c r="I2759" s="6">
        <v>696</v>
      </c>
      <c r="J2759" s="6">
        <v>663</v>
      </c>
      <c r="K2759" s="40">
        <v>125</v>
      </c>
      <c r="L2759" s="40">
        <v>91</v>
      </c>
      <c r="M2759" s="40">
        <v>2958</v>
      </c>
      <c r="N2759" s="40">
        <v>214</v>
      </c>
      <c r="O2759" s="40">
        <v>444</v>
      </c>
      <c r="P2759" s="40">
        <v>1129</v>
      </c>
      <c r="Q2759" s="40">
        <v>17</v>
      </c>
      <c r="R2759" s="40">
        <v>831</v>
      </c>
      <c r="S2759" s="40">
        <v>322</v>
      </c>
    </row>
    <row r="2760" spans="1:19" x14ac:dyDescent="0.35">
      <c r="A2760" s="38">
        <v>2030</v>
      </c>
      <c r="B2760" s="38" t="str">
        <f>_xlfn.XLOOKUP(A2760,'Model Modeshare by TAZ'!A:A,'Model Modeshare by TAZ'!B:B)</f>
        <v>Redwood City</v>
      </c>
      <c r="C2760" s="38" t="str">
        <f>_xlfn.XLOOKUP(A2760,'Model Modeshare by TAZ'!A:A,'Model Modeshare by TAZ'!D:D)</f>
        <v>YES</v>
      </c>
      <c r="D2760" s="6">
        <v>2</v>
      </c>
      <c r="E2760" s="6">
        <v>1677</v>
      </c>
      <c r="F2760" s="6">
        <v>6143</v>
      </c>
      <c r="G2760" s="6">
        <v>6173</v>
      </c>
      <c r="H2760" s="6">
        <v>2909</v>
      </c>
      <c r="I2760" s="6">
        <v>1194</v>
      </c>
      <c r="J2760" s="6">
        <v>483</v>
      </c>
      <c r="K2760" s="40">
        <v>154</v>
      </c>
      <c r="L2760" s="40">
        <v>16</v>
      </c>
      <c r="M2760" s="40">
        <v>599</v>
      </c>
      <c r="N2760" s="40">
        <v>62</v>
      </c>
      <c r="O2760" s="40">
        <v>233</v>
      </c>
      <c r="P2760" s="40">
        <v>85</v>
      </c>
      <c r="Q2760" s="40">
        <v>3</v>
      </c>
      <c r="R2760" s="40">
        <v>133</v>
      </c>
      <c r="S2760" s="40">
        <v>83</v>
      </c>
    </row>
    <row r="2761" spans="1:19" x14ac:dyDescent="0.35">
      <c r="A2761" s="38">
        <v>2031</v>
      </c>
      <c r="B2761" s="38" t="str">
        <f>_xlfn.XLOOKUP(A2761,'Model Modeshare by TAZ'!A:A,'Model Modeshare by TAZ'!B:B)</f>
        <v>Menlo Park</v>
      </c>
      <c r="C2761" s="38" t="str">
        <f>_xlfn.XLOOKUP(A2761,'Model Modeshare by TAZ'!A:A,'Model Modeshare by TAZ'!D:D)</f>
        <v>YES</v>
      </c>
      <c r="D2761" s="6">
        <v>2</v>
      </c>
      <c r="E2761" s="6">
        <v>20</v>
      </c>
      <c r="F2761" s="6">
        <v>70</v>
      </c>
      <c r="G2761" s="6">
        <v>70</v>
      </c>
      <c r="H2761" s="6">
        <v>39</v>
      </c>
      <c r="I2761" s="6">
        <v>15</v>
      </c>
      <c r="J2761" s="6">
        <v>5</v>
      </c>
      <c r="K2761" s="40">
        <v>1</v>
      </c>
      <c r="L2761" s="40">
        <v>621</v>
      </c>
      <c r="M2761" s="40">
        <v>5991</v>
      </c>
      <c r="N2761" s="40">
        <v>409</v>
      </c>
      <c r="O2761" s="40">
        <v>1904</v>
      </c>
      <c r="P2761" s="40">
        <v>468</v>
      </c>
      <c r="Q2761" s="40">
        <v>7</v>
      </c>
      <c r="R2761" s="40">
        <v>2199</v>
      </c>
      <c r="S2761" s="40">
        <v>1004</v>
      </c>
    </row>
    <row r="2762" spans="1:19" x14ac:dyDescent="0.35">
      <c r="A2762" s="38">
        <v>2032</v>
      </c>
      <c r="B2762" s="38" t="str">
        <f>_xlfn.XLOOKUP(A2762,'Model Modeshare by TAZ'!A:A,'Model Modeshare by TAZ'!B:B)</f>
        <v>Menlo Park</v>
      </c>
      <c r="C2762" s="38" t="str">
        <f>_xlfn.XLOOKUP(A2762,'Model Modeshare by TAZ'!A:A,'Model Modeshare by TAZ'!D:D)</f>
        <v>YES</v>
      </c>
      <c r="D2762" s="6">
        <v>2</v>
      </c>
      <c r="E2762" s="6">
        <v>518</v>
      </c>
      <c r="F2762" s="6">
        <v>2444</v>
      </c>
      <c r="G2762" s="6">
        <v>2471</v>
      </c>
      <c r="H2762" s="6">
        <v>1246</v>
      </c>
      <c r="I2762" s="6">
        <v>449</v>
      </c>
      <c r="J2762" s="6">
        <v>69</v>
      </c>
      <c r="K2762" s="40">
        <v>13</v>
      </c>
      <c r="L2762" s="40">
        <v>0</v>
      </c>
      <c r="M2762" s="40">
        <v>1</v>
      </c>
      <c r="N2762" s="40">
        <v>0</v>
      </c>
      <c r="O2762" s="40">
        <v>0</v>
      </c>
      <c r="P2762" s="40">
        <v>0</v>
      </c>
      <c r="Q2762" s="40">
        <v>1</v>
      </c>
      <c r="R2762" s="40">
        <v>0</v>
      </c>
      <c r="S2762" s="40">
        <v>0</v>
      </c>
    </row>
    <row r="2763" spans="1:19" x14ac:dyDescent="0.35">
      <c r="A2763" s="38">
        <v>2033</v>
      </c>
      <c r="B2763" s="38" t="str">
        <f>_xlfn.XLOOKUP(A2763,'Model Modeshare by TAZ'!A:A,'Model Modeshare by TAZ'!B:B)</f>
        <v>East Palo Alto</v>
      </c>
      <c r="C2763" s="38" t="str">
        <f>_xlfn.XLOOKUP(A2763,'Model Modeshare by TAZ'!A:A,'Model Modeshare by TAZ'!D:D)</f>
        <v>YES</v>
      </c>
      <c r="D2763" s="6">
        <v>2</v>
      </c>
      <c r="E2763" s="6">
        <v>320</v>
      </c>
      <c r="F2763" s="6">
        <v>1319</v>
      </c>
      <c r="G2763" s="6">
        <v>1336</v>
      </c>
      <c r="H2763" s="6">
        <v>651</v>
      </c>
      <c r="I2763" s="6">
        <v>253</v>
      </c>
      <c r="J2763" s="6">
        <v>67</v>
      </c>
      <c r="K2763" s="40">
        <v>73</v>
      </c>
      <c r="L2763" s="40">
        <v>61</v>
      </c>
      <c r="M2763" s="40">
        <v>492</v>
      </c>
      <c r="N2763" s="40">
        <v>0</v>
      </c>
      <c r="O2763" s="40">
        <v>296</v>
      </c>
      <c r="P2763" s="40">
        <v>178</v>
      </c>
      <c r="Q2763" s="40">
        <v>2</v>
      </c>
      <c r="R2763" s="40">
        <v>16</v>
      </c>
      <c r="S2763" s="40">
        <v>0</v>
      </c>
    </row>
    <row r="2764" spans="1:19" x14ac:dyDescent="0.35">
      <c r="A2764" s="38">
        <v>2034</v>
      </c>
      <c r="B2764" s="38" t="str">
        <f>_xlfn.XLOOKUP(A2764,'Model Modeshare by TAZ'!A:A,'Model Modeshare by TAZ'!B:B)</f>
        <v>East Palo Alto</v>
      </c>
      <c r="C2764" s="38" t="str">
        <f>_xlfn.XLOOKUP(A2764,'Model Modeshare by TAZ'!A:A,'Model Modeshare by TAZ'!D:D)</f>
        <v>YES</v>
      </c>
      <c r="D2764" s="6">
        <v>2</v>
      </c>
      <c r="E2764" s="6">
        <v>759</v>
      </c>
      <c r="F2764" s="6">
        <v>3351</v>
      </c>
      <c r="G2764" s="6">
        <v>3351</v>
      </c>
      <c r="H2764" s="6">
        <v>1807</v>
      </c>
      <c r="I2764" s="6">
        <v>616</v>
      </c>
      <c r="J2764" s="6">
        <v>143</v>
      </c>
      <c r="K2764" s="40">
        <v>84</v>
      </c>
      <c r="L2764" s="40">
        <v>12</v>
      </c>
      <c r="M2764" s="40">
        <v>508</v>
      </c>
      <c r="N2764" s="40">
        <v>70</v>
      </c>
      <c r="O2764" s="40">
        <v>410</v>
      </c>
      <c r="P2764" s="40">
        <v>9</v>
      </c>
      <c r="Q2764" s="40">
        <v>0</v>
      </c>
      <c r="R2764" s="40">
        <v>18</v>
      </c>
      <c r="S2764" s="40">
        <v>1</v>
      </c>
    </row>
    <row r="2765" spans="1:19" x14ac:dyDescent="0.35">
      <c r="A2765" s="38">
        <v>2035</v>
      </c>
      <c r="B2765" s="38" t="str">
        <f>_xlfn.XLOOKUP(A2765,'Model Modeshare by TAZ'!A:A,'Model Modeshare by TAZ'!B:B)</f>
        <v>East Palo Alto</v>
      </c>
      <c r="C2765" s="38" t="str">
        <f>_xlfn.XLOOKUP(A2765,'Model Modeshare by TAZ'!A:A,'Model Modeshare by TAZ'!D:D)</f>
        <v>YES</v>
      </c>
      <c r="D2765" s="6">
        <v>2</v>
      </c>
      <c r="E2765" s="6">
        <v>2744</v>
      </c>
      <c r="F2765" s="6">
        <v>8790</v>
      </c>
      <c r="G2765" s="6">
        <v>8817</v>
      </c>
      <c r="H2765" s="6">
        <v>4494</v>
      </c>
      <c r="I2765" s="6">
        <v>624</v>
      </c>
      <c r="J2765" s="6">
        <v>2120</v>
      </c>
      <c r="K2765" s="40">
        <v>163</v>
      </c>
      <c r="L2765" s="40">
        <v>21</v>
      </c>
      <c r="M2765" s="40">
        <v>1767</v>
      </c>
      <c r="N2765" s="40">
        <v>766</v>
      </c>
      <c r="O2765" s="40">
        <v>666</v>
      </c>
      <c r="P2765" s="40">
        <v>235</v>
      </c>
      <c r="Q2765" s="40">
        <v>42</v>
      </c>
      <c r="R2765" s="40">
        <v>19</v>
      </c>
      <c r="S2765" s="40">
        <v>39</v>
      </c>
    </row>
    <row r="2766" spans="1:19" x14ac:dyDescent="0.35">
      <c r="A2766" s="38">
        <v>2036</v>
      </c>
      <c r="B2766" s="38" t="str">
        <f>_xlfn.XLOOKUP(A2766,'Model Modeshare by TAZ'!A:A,'Model Modeshare by TAZ'!B:B)</f>
        <v>Menlo Park</v>
      </c>
      <c r="C2766" s="38" t="str">
        <f>_xlfn.XLOOKUP(A2766,'Model Modeshare by TAZ'!A:A,'Model Modeshare by TAZ'!D:D)</f>
        <v>YES</v>
      </c>
      <c r="D2766" s="6">
        <v>2</v>
      </c>
      <c r="E2766" s="6">
        <v>1235</v>
      </c>
      <c r="F2766" s="6">
        <v>3652</v>
      </c>
      <c r="G2766" s="6">
        <v>3680</v>
      </c>
      <c r="H2766" s="6">
        <v>2003</v>
      </c>
      <c r="I2766" s="6">
        <v>838</v>
      </c>
      <c r="J2766" s="6">
        <v>397</v>
      </c>
      <c r="K2766" s="40">
        <v>138</v>
      </c>
      <c r="L2766" s="40">
        <v>42</v>
      </c>
      <c r="M2766" s="40">
        <v>721</v>
      </c>
      <c r="N2766" s="40">
        <v>105</v>
      </c>
      <c r="O2766" s="40">
        <v>449</v>
      </c>
      <c r="P2766" s="40">
        <v>138</v>
      </c>
      <c r="Q2766" s="40">
        <v>0</v>
      </c>
      <c r="R2766" s="40">
        <v>29</v>
      </c>
      <c r="S2766" s="40">
        <v>0</v>
      </c>
    </row>
    <row r="2767" spans="1:19" x14ac:dyDescent="0.35">
      <c r="A2767" s="38">
        <v>2037</v>
      </c>
      <c r="B2767" s="38" t="str">
        <f>_xlfn.XLOOKUP(A2767,'Model Modeshare by TAZ'!A:A,'Model Modeshare by TAZ'!B:B)</f>
        <v>Unincorporated</v>
      </c>
      <c r="C2767" s="38" t="str">
        <f>_xlfn.XLOOKUP(A2767,'Model Modeshare by TAZ'!A:A,'Model Modeshare by TAZ'!D:D)</f>
        <v>YES</v>
      </c>
      <c r="D2767" s="6">
        <v>2</v>
      </c>
      <c r="E2767" s="6">
        <v>205</v>
      </c>
      <c r="F2767" s="6">
        <v>528</v>
      </c>
      <c r="G2767" s="6">
        <v>749</v>
      </c>
      <c r="H2767" s="6">
        <v>329</v>
      </c>
      <c r="I2767" s="6">
        <v>196</v>
      </c>
      <c r="J2767" s="6">
        <v>9</v>
      </c>
      <c r="K2767" s="40">
        <v>83</v>
      </c>
      <c r="L2767" s="40">
        <v>42</v>
      </c>
      <c r="M2767" s="40">
        <v>146</v>
      </c>
      <c r="N2767" s="40">
        <v>43</v>
      </c>
      <c r="O2767" s="40">
        <v>70</v>
      </c>
      <c r="P2767" s="40">
        <v>8</v>
      </c>
      <c r="Q2767" s="40">
        <v>0</v>
      </c>
      <c r="R2767" s="40">
        <v>13</v>
      </c>
      <c r="S2767" s="40">
        <v>11</v>
      </c>
    </row>
    <row r="2768" spans="1:19" x14ac:dyDescent="0.35">
      <c r="A2768" s="38">
        <v>2038</v>
      </c>
      <c r="B2768" s="38" t="str">
        <f>_xlfn.XLOOKUP(A2768,'Model Modeshare by TAZ'!A:A,'Model Modeshare by TAZ'!B:B)</f>
        <v>Menlo Park</v>
      </c>
      <c r="C2768" s="38" t="str">
        <f>_xlfn.XLOOKUP(A2768,'Model Modeshare by TAZ'!A:A,'Model Modeshare by TAZ'!D:D)</f>
        <v>YES</v>
      </c>
      <c r="D2768" s="6">
        <v>2</v>
      </c>
      <c r="E2768" s="6">
        <v>480</v>
      </c>
      <c r="F2768" s="6">
        <v>1368</v>
      </c>
      <c r="G2768" s="6">
        <v>1417</v>
      </c>
      <c r="H2768" s="6">
        <v>652</v>
      </c>
      <c r="I2768" s="6">
        <v>460</v>
      </c>
      <c r="J2768" s="6">
        <v>20</v>
      </c>
      <c r="K2768" s="40">
        <v>82</v>
      </c>
      <c r="L2768" s="40">
        <v>9</v>
      </c>
      <c r="M2768" s="40">
        <v>332</v>
      </c>
      <c r="N2768" s="40">
        <v>68</v>
      </c>
      <c r="O2768" s="40">
        <v>12</v>
      </c>
      <c r="P2768" s="40">
        <v>71</v>
      </c>
      <c r="Q2768" s="40">
        <v>30</v>
      </c>
      <c r="R2768" s="40">
        <v>18</v>
      </c>
      <c r="S2768" s="40">
        <v>133</v>
      </c>
    </row>
    <row r="2769" spans="1:19" x14ac:dyDescent="0.35">
      <c r="A2769" s="38">
        <v>2039</v>
      </c>
      <c r="B2769" s="38" t="str">
        <f>_xlfn.XLOOKUP(A2769,'Model Modeshare by TAZ'!A:A,'Model Modeshare by TAZ'!B:B)</f>
        <v>Atherton</v>
      </c>
      <c r="C2769" s="38" t="str">
        <f>_xlfn.XLOOKUP(A2769,'Model Modeshare by TAZ'!A:A,'Model Modeshare by TAZ'!D:D)</f>
        <v>YES</v>
      </c>
      <c r="D2769" s="6">
        <v>2</v>
      </c>
      <c r="E2769" s="6">
        <v>520</v>
      </c>
      <c r="F2769" s="6">
        <v>1550</v>
      </c>
      <c r="G2769" s="6">
        <v>1550</v>
      </c>
      <c r="H2769" s="6">
        <v>605</v>
      </c>
      <c r="I2769" s="6">
        <v>519</v>
      </c>
      <c r="J2769" s="6">
        <v>1</v>
      </c>
      <c r="K2769" s="40">
        <v>495</v>
      </c>
      <c r="L2769" s="40">
        <v>40</v>
      </c>
      <c r="M2769" s="40">
        <v>331</v>
      </c>
      <c r="N2769" s="40">
        <v>1</v>
      </c>
      <c r="O2769" s="40">
        <v>202</v>
      </c>
      <c r="P2769" s="40">
        <v>91</v>
      </c>
      <c r="Q2769" s="40">
        <v>0</v>
      </c>
      <c r="R2769" s="40">
        <v>26</v>
      </c>
      <c r="S2769" s="40">
        <v>11</v>
      </c>
    </row>
    <row r="2770" spans="1:19" x14ac:dyDescent="0.35">
      <c r="A2770" s="38">
        <v>2040</v>
      </c>
      <c r="B2770" s="38" t="str">
        <f>_xlfn.XLOOKUP(A2770,'Model Modeshare by TAZ'!A:A,'Model Modeshare by TAZ'!B:B)</f>
        <v>Menlo Park</v>
      </c>
      <c r="C2770" s="38" t="str">
        <f>_xlfn.XLOOKUP(A2770,'Model Modeshare by TAZ'!A:A,'Model Modeshare by TAZ'!D:D)</f>
        <v>YES</v>
      </c>
      <c r="D2770" s="6">
        <v>2</v>
      </c>
      <c r="E2770" s="6">
        <v>741</v>
      </c>
      <c r="F2770" s="6">
        <v>1693</v>
      </c>
      <c r="G2770" s="6">
        <v>1699</v>
      </c>
      <c r="H2770" s="6">
        <v>887</v>
      </c>
      <c r="I2770" s="6">
        <v>231</v>
      </c>
      <c r="J2770" s="6">
        <v>510</v>
      </c>
      <c r="K2770" s="40">
        <v>67</v>
      </c>
      <c r="L2770" s="40">
        <v>100</v>
      </c>
      <c r="M2770" s="40">
        <v>6564</v>
      </c>
      <c r="N2770" s="40">
        <v>1027</v>
      </c>
      <c r="O2770" s="40">
        <v>388</v>
      </c>
      <c r="P2770" s="40">
        <v>4895</v>
      </c>
      <c r="Q2770" s="40">
        <v>12</v>
      </c>
      <c r="R2770" s="40">
        <v>135</v>
      </c>
      <c r="S2770" s="40">
        <v>107</v>
      </c>
    </row>
    <row r="2771" spans="1:19" x14ac:dyDescent="0.35">
      <c r="A2771" s="38">
        <v>2041</v>
      </c>
      <c r="B2771" s="38" t="str">
        <f>_xlfn.XLOOKUP(A2771,'Model Modeshare by TAZ'!A:A,'Model Modeshare by TAZ'!B:B)</f>
        <v>Menlo Park</v>
      </c>
      <c r="C2771" s="38" t="str">
        <f>_xlfn.XLOOKUP(A2771,'Model Modeshare by TAZ'!A:A,'Model Modeshare by TAZ'!D:D)</f>
        <v>YES</v>
      </c>
      <c r="D2771" s="6">
        <v>2</v>
      </c>
      <c r="E2771" s="6">
        <v>1647</v>
      </c>
      <c r="F2771" s="6">
        <v>3638</v>
      </c>
      <c r="G2771" s="6">
        <v>3744</v>
      </c>
      <c r="H2771" s="6">
        <v>2353</v>
      </c>
      <c r="I2771" s="6">
        <v>546</v>
      </c>
      <c r="J2771" s="6">
        <v>1101</v>
      </c>
      <c r="K2771" s="40">
        <v>145</v>
      </c>
      <c r="L2771" s="40">
        <v>50</v>
      </c>
      <c r="M2771" s="40">
        <v>4570</v>
      </c>
      <c r="N2771" s="40">
        <v>545</v>
      </c>
      <c r="O2771" s="40">
        <v>2002</v>
      </c>
      <c r="P2771" s="40">
        <v>1620</v>
      </c>
      <c r="Q2771" s="40">
        <v>5</v>
      </c>
      <c r="R2771" s="40">
        <v>65</v>
      </c>
      <c r="S2771" s="40">
        <v>333</v>
      </c>
    </row>
    <row r="2772" spans="1:19" x14ac:dyDescent="0.35">
      <c r="A2772" s="38">
        <v>2042</v>
      </c>
      <c r="B2772" s="38" t="str">
        <f>_xlfn.XLOOKUP(A2772,'Model Modeshare by TAZ'!A:A,'Model Modeshare by TAZ'!B:B)</f>
        <v>Atherton</v>
      </c>
      <c r="C2772" s="38" t="str">
        <f>_xlfn.XLOOKUP(A2772,'Model Modeshare by TAZ'!A:A,'Model Modeshare by TAZ'!D:D)</f>
        <v>YES</v>
      </c>
      <c r="D2772" s="6">
        <v>2</v>
      </c>
      <c r="E2772" s="6">
        <v>249</v>
      </c>
      <c r="F2772" s="6">
        <v>691</v>
      </c>
      <c r="G2772" s="6">
        <v>736</v>
      </c>
      <c r="H2772" s="6">
        <v>292</v>
      </c>
      <c r="I2772" s="6">
        <v>247</v>
      </c>
      <c r="J2772" s="6">
        <v>2</v>
      </c>
      <c r="K2772" s="40">
        <v>327</v>
      </c>
      <c r="L2772" s="40">
        <v>0</v>
      </c>
      <c r="M2772" s="40">
        <v>1</v>
      </c>
      <c r="N2772" s="40">
        <v>0</v>
      </c>
      <c r="O2772" s="40">
        <v>0</v>
      </c>
      <c r="P2772" s="40">
        <v>0</v>
      </c>
      <c r="Q2772" s="40">
        <v>0</v>
      </c>
      <c r="R2772" s="40">
        <v>0</v>
      </c>
      <c r="S2772" s="40">
        <v>0</v>
      </c>
    </row>
    <row r="2773" spans="1:19" x14ac:dyDescent="0.35">
      <c r="A2773" s="38">
        <v>2043</v>
      </c>
      <c r="B2773" s="38" t="str">
        <f>_xlfn.XLOOKUP(A2773,'Model Modeshare by TAZ'!A:A,'Model Modeshare by TAZ'!B:B)</f>
        <v>Menlo Park</v>
      </c>
      <c r="C2773" s="38" t="str">
        <f>_xlfn.XLOOKUP(A2773,'Model Modeshare by TAZ'!A:A,'Model Modeshare by TAZ'!D:D)</f>
        <v>YES</v>
      </c>
      <c r="D2773" s="6">
        <v>2</v>
      </c>
      <c r="E2773" s="6">
        <v>733</v>
      </c>
      <c r="F2773" s="6">
        <v>2104</v>
      </c>
      <c r="G2773" s="6">
        <v>2114</v>
      </c>
      <c r="H2773" s="6">
        <v>901</v>
      </c>
      <c r="I2773" s="6">
        <v>731</v>
      </c>
      <c r="J2773" s="6">
        <v>2</v>
      </c>
      <c r="K2773" s="40">
        <v>227</v>
      </c>
      <c r="L2773" s="40">
        <v>33</v>
      </c>
      <c r="M2773" s="40">
        <v>260</v>
      </c>
      <c r="N2773" s="40">
        <v>15</v>
      </c>
      <c r="O2773" s="40">
        <v>185</v>
      </c>
      <c r="P2773" s="40">
        <v>6</v>
      </c>
      <c r="Q2773" s="40">
        <v>1</v>
      </c>
      <c r="R2773" s="40">
        <v>43</v>
      </c>
      <c r="S2773" s="40">
        <v>10</v>
      </c>
    </row>
    <row r="2774" spans="1:19" x14ac:dyDescent="0.35">
      <c r="A2774" s="38">
        <v>2044</v>
      </c>
      <c r="B2774" s="38" t="str">
        <f>_xlfn.XLOOKUP(A2774,'Model Modeshare by TAZ'!A:A,'Model Modeshare by TAZ'!B:B)</f>
        <v>Menlo Park</v>
      </c>
      <c r="C2774" s="38" t="str">
        <f>_xlfn.XLOOKUP(A2774,'Model Modeshare by TAZ'!A:A,'Model Modeshare by TAZ'!D:D)</f>
        <v>YES</v>
      </c>
      <c r="D2774" s="6">
        <v>2</v>
      </c>
      <c r="E2774" s="6">
        <v>985</v>
      </c>
      <c r="F2774" s="6">
        <v>3274</v>
      </c>
      <c r="G2774" s="6">
        <v>3296</v>
      </c>
      <c r="H2774" s="6">
        <v>1362</v>
      </c>
      <c r="I2774" s="6">
        <v>979</v>
      </c>
      <c r="J2774" s="6">
        <v>6</v>
      </c>
      <c r="K2774" s="40">
        <v>306</v>
      </c>
      <c r="L2774" s="40">
        <v>11</v>
      </c>
      <c r="M2774" s="40">
        <v>182</v>
      </c>
      <c r="N2774" s="40">
        <v>21</v>
      </c>
      <c r="O2774" s="40">
        <v>80</v>
      </c>
      <c r="P2774" s="40">
        <v>55</v>
      </c>
      <c r="Q2774" s="40">
        <v>5</v>
      </c>
      <c r="R2774" s="40">
        <v>0</v>
      </c>
      <c r="S2774" s="40">
        <v>21</v>
      </c>
    </row>
    <row r="2775" spans="1:19" x14ac:dyDescent="0.35">
      <c r="A2775" s="38">
        <v>2045</v>
      </c>
      <c r="B2775" s="38" t="str">
        <f>_xlfn.XLOOKUP(A2775,'Model Modeshare by TAZ'!A:A,'Model Modeshare by TAZ'!B:B)</f>
        <v>Unincorporated</v>
      </c>
      <c r="C2775" s="38" t="str">
        <f>_xlfn.XLOOKUP(A2775,'Model Modeshare by TAZ'!A:A,'Model Modeshare by TAZ'!D:D)</f>
        <v>YES</v>
      </c>
      <c r="D2775" s="6">
        <v>2</v>
      </c>
      <c r="E2775" s="6">
        <v>1727</v>
      </c>
      <c r="F2775" s="6">
        <v>4621</v>
      </c>
      <c r="G2775" s="6">
        <v>4632</v>
      </c>
      <c r="H2775" s="6">
        <v>2218</v>
      </c>
      <c r="I2775" s="6">
        <v>1414</v>
      </c>
      <c r="J2775" s="6">
        <v>313</v>
      </c>
      <c r="K2775" s="40">
        <v>301</v>
      </c>
      <c r="L2775" s="40">
        <v>16</v>
      </c>
      <c r="M2775" s="40">
        <v>605</v>
      </c>
      <c r="N2775" s="40">
        <v>99</v>
      </c>
      <c r="O2775" s="40">
        <v>231</v>
      </c>
      <c r="P2775" s="40">
        <v>106</v>
      </c>
      <c r="Q2775" s="40">
        <v>25</v>
      </c>
      <c r="R2775" s="40">
        <v>55</v>
      </c>
      <c r="S2775" s="40">
        <v>89</v>
      </c>
    </row>
    <row r="2776" spans="1:19" x14ac:dyDescent="0.35">
      <c r="A2776" s="38">
        <v>2046</v>
      </c>
      <c r="B2776" s="38" t="str">
        <f>_xlfn.XLOOKUP(A2776,'Model Modeshare by TAZ'!A:A,'Model Modeshare by TAZ'!B:B)</f>
        <v>Unincorporated</v>
      </c>
      <c r="C2776" s="38" t="str">
        <f>_xlfn.XLOOKUP(A2776,'Model Modeshare by TAZ'!A:A,'Model Modeshare by TAZ'!D:D)</f>
        <v>YES</v>
      </c>
      <c r="D2776" s="6">
        <v>2</v>
      </c>
      <c r="E2776" s="6">
        <v>194</v>
      </c>
      <c r="F2776" s="6">
        <v>524</v>
      </c>
      <c r="G2776" s="6">
        <v>535</v>
      </c>
      <c r="H2776" s="6">
        <v>202</v>
      </c>
      <c r="I2776" s="6">
        <v>106</v>
      </c>
      <c r="J2776" s="6">
        <v>88</v>
      </c>
      <c r="K2776" s="40">
        <v>36</v>
      </c>
      <c r="L2776" s="40">
        <v>91</v>
      </c>
      <c r="M2776" s="40">
        <v>779</v>
      </c>
      <c r="N2776" s="40">
        <v>134</v>
      </c>
      <c r="O2776" s="40">
        <v>579</v>
      </c>
      <c r="P2776" s="40">
        <v>48</v>
      </c>
      <c r="Q2776" s="40">
        <v>4</v>
      </c>
      <c r="R2776" s="40">
        <v>13</v>
      </c>
      <c r="S2776" s="40">
        <v>0</v>
      </c>
    </row>
    <row r="2777" spans="1:19" x14ac:dyDescent="0.35">
      <c r="A2777" s="38">
        <v>2901</v>
      </c>
      <c r="B2777" s="38" t="str">
        <f>_xlfn.XLOOKUP(A2777,'Model Modeshare by TAZ'!A:A,'Model Modeshare by TAZ'!B:B)</f>
        <v>Unincorporated</v>
      </c>
      <c r="C2777" s="38" t="str">
        <f>_xlfn.XLOOKUP(A2777,'Model Modeshare by TAZ'!A:A,'Model Modeshare by TAZ'!D:D)</f>
        <v>NO</v>
      </c>
      <c r="D2777" s="6">
        <v>10</v>
      </c>
      <c r="E2777" s="6">
        <v>1743</v>
      </c>
      <c r="F2777" s="6">
        <v>1307</v>
      </c>
      <c r="G2777" s="6">
        <v>4658</v>
      </c>
      <c r="H2777" s="6">
        <v>2400</v>
      </c>
      <c r="I2777" s="6">
        <v>0</v>
      </c>
      <c r="J2777" s="6">
        <v>0</v>
      </c>
      <c r="K2777" s="40">
        <v>0</v>
      </c>
      <c r="L2777" s="40">
        <v>0</v>
      </c>
      <c r="M2777" s="40">
        <v>1980</v>
      </c>
      <c r="N2777" s="40">
        <v>36</v>
      </c>
      <c r="O2777" s="40">
        <v>467</v>
      </c>
      <c r="P2777" s="40">
        <v>284</v>
      </c>
      <c r="Q2777" s="40">
        <v>871</v>
      </c>
      <c r="R2777" s="40">
        <v>322</v>
      </c>
      <c r="S2777" s="40">
        <v>0</v>
      </c>
    </row>
    <row r="2778" spans="1:19" x14ac:dyDescent="0.35">
      <c r="A2778" s="38">
        <v>2902</v>
      </c>
      <c r="B2778" s="38" t="str">
        <f>_xlfn.XLOOKUP(A2778,'Model Modeshare by TAZ'!A:A,'Model Modeshare by TAZ'!B:B)</f>
        <v>Unincorporated</v>
      </c>
      <c r="C2778" s="38" t="str">
        <f>_xlfn.XLOOKUP(A2778,'Model Modeshare by TAZ'!A:A,'Model Modeshare by TAZ'!D:D)</f>
        <v>NO</v>
      </c>
      <c r="D2778" s="6">
        <v>10</v>
      </c>
      <c r="E2778" s="6">
        <v>4957</v>
      </c>
      <c r="F2778" s="6">
        <v>3185</v>
      </c>
      <c r="G2778" s="6">
        <v>13214</v>
      </c>
      <c r="H2778" s="6">
        <v>6940</v>
      </c>
      <c r="I2778" s="6">
        <v>0</v>
      </c>
      <c r="J2778" s="6">
        <v>0</v>
      </c>
      <c r="K2778" s="40">
        <v>0</v>
      </c>
      <c r="L2778" s="40">
        <v>0</v>
      </c>
      <c r="M2778" s="40">
        <v>2644</v>
      </c>
      <c r="N2778" s="40">
        <v>278</v>
      </c>
      <c r="O2778" s="40">
        <v>1131</v>
      </c>
      <c r="P2778" s="40">
        <v>894</v>
      </c>
      <c r="Q2778" s="40">
        <v>137</v>
      </c>
      <c r="R2778" s="40">
        <v>204</v>
      </c>
      <c r="S2778" s="40">
        <v>0</v>
      </c>
    </row>
    <row r="2779" spans="1:19" x14ac:dyDescent="0.35">
      <c r="A2779" s="38">
        <v>2903</v>
      </c>
      <c r="B2779" s="38" t="str">
        <f>_xlfn.XLOOKUP(A2779,'Model Modeshare by TAZ'!A:A,'Model Modeshare by TAZ'!B:B)</f>
        <v>Unincorporated</v>
      </c>
      <c r="C2779" s="38" t="str">
        <f>_xlfn.XLOOKUP(A2779,'Model Modeshare by TAZ'!A:A,'Model Modeshare by TAZ'!D:D)</f>
        <v>NO</v>
      </c>
      <c r="D2779" s="6">
        <v>10</v>
      </c>
      <c r="E2779" s="6">
        <v>2425</v>
      </c>
      <c r="F2779" s="6">
        <v>1594</v>
      </c>
      <c r="G2779" s="6">
        <v>6610</v>
      </c>
      <c r="H2779" s="6">
        <v>3395</v>
      </c>
      <c r="I2779" s="6">
        <v>0</v>
      </c>
      <c r="J2779" s="6">
        <v>0</v>
      </c>
      <c r="K2779" s="40">
        <v>0</v>
      </c>
      <c r="L2779" s="40">
        <v>0</v>
      </c>
      <c r="M2779" s="40">
        <v>574</v>
      </c>
      <c r="N2779" s="40">
        <v>21</v>
      </c>
      <c r="O2779" s="40">
        <v>161</v>
      </c>
      <c r="P2779" s="40">
        <v>228</v>
      </c>
      <c r="Q2779" s="40">
        <v>111</v>
      </c>
      <c r="R2779" s="40">
        <v>53</v>
      </c>
      <c r="S2779" s="40">
        <v>0</v>
      </c>
    </row>
    <row r="2780" spans="1:19" x14ac:dyDescent="0.35">
      <c r="A2780" s="38">
        <v>2904</v>
      </c>
      <c r="B2780" s="38" t="str">
        <f>_xlfn.XLOOKUP(A2780,'Model Modeshare by TAZ'!A:A,'Model Modeshare by TAZ'!B:B)</f>
        <v>Unincorporated</v>
      </c>
      <c r="C2780" s="38" t="str">
        <f>_xlfn.XLOOKUP(A2780,'Model Modeshare by TAZ'!A:A,'Model Modeshare by TAZ'!D:D)</f>
        <v>NO</v>
      </c>
      <c r="D2780" s="6">
        <v>10</v>
      </c>
      <c r="E2780" s="6">
        <v>6391</v>
      </c>
      <c r="F2780" s="6">
        <v>4415</v>
      </c>
      <c r="G2780" s="6">
        <v>15245</v>
      </c>
      <c r="H2780" s="6">
        <v>8947</v>
      </c>
      <c r="I2780" s="6">
        <v>0</v>
      </c>
      <c r="J2780" s="6">
        <v>0</v>
      </c>
      <c r="K2780" s="40">
        <v>0</v>
      </c>
      <c r="L2780" s="40">
        <v>0</v>
      </c>
      <c r="M2780" s="40">
        <v>7005</v>
      </c>
      <c r="N2780" s="40">
        <v>928</v>
      </c>
      <c r="O2780" s="40">
        <v>2540</v>
      </c>
      <c r="P2780" s="40">
        <v>1534</v>
      </c>
      <c r="Q2780" s="40">
        <v>76</v>
      </c>
      <c r="R2780" s="40">
        <v>1927</v>
      </c>
      <c r="S2780" s="40">
        <v>0</v>
      </c>
    </row>
    <row r="2781" spans="1:19" x14ac:dyDescent="0.35">
      <c r="A2781" s="38">
        <v>2905</v>
      </c>
      <c r="B2781" s="38" t="str">
        <f>_xlfn.XLOOKUP(A2781,'Model Modeshare by TAZ'!A:A,'Model Modeshare by TAZ'!B:B)</f>
        <v>Unincorporated</v>
      </c>
      <c r="C2781" s="38" t="str">
        <f>_xlfn.XLOOKUP(A2781,'Model Modeshare by TAZ'!A:A,'Model Modeshare by TAZ'!D:D)</f>
        <v>NO</v>
      </c>
      <c r="D2781" s="6">
        <v>10</v>
      </c>
      <c r="E2781" s="6">
        <v>9736</v>
      </c>
      <c r="F2781" s="6">
        <v>8581</v>
      </c>
      <c r="G2781" s="6">
        <v>38727</v>
      </c>
      <c r="H2781" s="6">
        <v>13629</v>
      </c>
      <c r="I2781" s="6">
        <v>0</v>
      </c>
      <c r="J2781" s="6">
        <v>0</v>
      </c>
      <c r="K2781" s="40">
        <v>0</v>
      </c>
      <c r="L2781" s="40">
        <v>0</v>
      </c>
      <c r="M2781" s="40">
        <v>9879</v>
      </c>
      <c r="N2781" s="40">
        <v>1395</v>
      </c>
      <c r="O2781" s="40">
        <v>3794</v>
      </c>
      <c r="P2781" s="40">
        <v>2609</v>
      </c>
      <c r="Q2781" s="40">
        <v>317</v>
      </c>
      <c r="R2781" s="40">
        <v>1764</v>
      </c>
      <c r="S2781" s="40">
        <v>0</v>
      </c>
    </row>
    <row r="2782" spans="1:19" x14ac:dyDescent="0.35">
      <c r="A2782" s="38">
        <v>2906</v>
      </c>
      <c r="B2782" s="38" t="str">
        <f>_xlfn.XLOOKUP(A2782,'Model Modeshare by TAZ'!A:A,'Model Modeshare by TAZ'!B:B)</f>
        <v>Santa Cruz</v>
      </c>
      <c r="C2782" s="38" t="str">
        <f>_xlfn.XLOOKUP(A2782,'Model Modeshare by TAZ'!A:A,'Model Modeshare by TAZ'!D:D)</f>
        <v>NO</v>
      </c>
      <c r="D2782" s="6">
        <v>10</v>
      </c>
      <c r="E2782" s="6">
        <v>7158</v>
      </c>
      <c r="F2782" s="6">
        <v>4643</v>
      </c>
      <c r="G2782" s="6">
        <v>17198</v>
      </c>
      <c r="H2782" s="6">
        <v>10021</v>
      </c>
      <c r="I2782" s="6">
        <v>0</v>
      </c>
      <c r="J2782" s="6">
        <v>0</v>
      </c>
      <c r="K2782" s="40">
        <v>0</v>
      </c>
      <c r="L2782" s="40">
        <v>0</v>
      </c>
      <c r="M2782" s="40">
        <v>16847</v>
      </c>
      <c r="N2782" s="40">
        <v>2168</v>
      </c>
      <c r="O2782" s="40">
        <v>7437</v>
      </c>
      <c r="P2782" s="40">
        <v>6146</v>
      </c>
      <c r="Q2782" s="40">
        <v>242</v>
      </c>
      <c r="R2782" s="40">
        <v>854</v>
      </c>
      <c r="S2782" s="40">
        <v>0</v>
      </c>
    </row>
    <row r="2783" spans="1:19" x14ac:dyDescent="0.35">
      <c r="A2783" s="38">
        <v>2907</v>
      </c>
      <c r="B2783" s="38" t="str">
        <f>_xlfn.XLOOKUP(A2783,'Model Modeshare by TAZ'!A:A,'Model Modeshare by TAZ'!B:B)</f>
        <v>Santa Cruz</v>
      </c>
      <c r="C2783" s="38" t="str">
        <f>_xlfn.XLOOKUP(A2783,'Model Modeshare by TAZ'!A:A,'Model Modeshare by TAZ'!D:D)</f>
        <v>NO</v>
      </c>
      <c r="D2783" s="6">
        <v>10</v>
      </c>
      <c r="E2783" s="6">
        <v>13391</v>
      </c>
      <c r="F2783" s="6">
        <v>8675</v>
      </c>
      <c r="G2783" s="6">
        <v>32537</v>
      </c>
      <c r="H2783" s="6">
        <v>18748</v>
      </c>
      <c r="I2783" s="6">
        <v>0</v>
      </c>
      <c r="J2783" s="6">
        <v>0</v>
      </c>
      <c r="K2783" s="40">
        <v>0</v>
      </c>
      <c r="L2783" s="40">
        <v>0</v>
      </c>
      <c r="M2783" s="40">
        <v>21764</v>
      </c>
      <c r="N2783" s="40">
        <v>2413</v>
      </c>
      <c r="O2783" s="40">
        <v>7658</v>
      </c>
      <c r="P2783" s="40">
        <v>10598</v>
      </c>
      <c r="Q2783" s="40">
        <v>482</v>
      </c>
      <c r="R2783" s="40">
        <v>613</v>
      </c>
      <c r="S2783" s="40">
        <v>0</v>
      </c>
    </row>
    <row r="2784" spans="1:19" x14ac:dyDescent="0.35">
      <c r="A2784" s="38">
        <v>2908</v>
      </c>
      <c r="B2784" s="38" t="str">
        <f>_xlfn.XLOOKUP(A2784,'Model Modeshare by TAZ'!A:A,'Model Modeshare by TAZ'!B:B)</f>
        <v>Capitola</v>
      </c>
      <c r="C2784" s="38" t="str">
        <f>_xlfn.XLOOKUP(A2784,'Model Modeshare by TAZ'!A:A,'Model Modeshare by TAZ'!D:D)</f>
        <v>NO</v>
      </c>
      <c r="D2784" s="6">
        <v>10</v>
      </c>
      <c r="E2784" s="6">
        <v>8709</v>
      </c>
      <c r="F2784" s="6">
        <v>4819</v>
      </c>
      <c r="G2784" s="6">
        <v>20958</v>
      </c>
      <c r="H2784" s="6">
        <v>12192</v>
      </c>
      <c r="I2784" s="6">
        <v>0</v>
      </c>
      <c r="J2784" s="6">
        <v>0</v>
      </c>
      <c r="K2784" s="40">
        <v>0</v>
      </c>
      <c r="L2784" s="40">
        <v>0</v>
      </c>
      <c r="M2784" s="40">
        <v>8529</v>
      </c>
      <c r="N2784" s="40">
        <v>1810</v>
      </c>
      <c r="O2784" s="40">
        <v>4637</v>
      </c>
      <c r="P2784" s="40">
        <v>1840</v>
      </c>
      <c r="Q2784" s="40">
        <v>0</v>
      </c>
      <c r="R2784" s="40">
        <v>242</v>
      </c>
      <c r="S2784" s="40">
        <v>0</v>
      </c>
    </row>
    <row r="2785" spans="1:19" x14ac:dyDescent="0.35">
      <c r="A2785" s="38">
        <v>2909</v>
      </c>
      <c r="B2785" s="38" t="str">
        <f>_xlfn.XLOOKUP(A2785,'Model Modeshare by TAZ'!A:A,'Model Modeshare by TAZ'!B:B)</f>
        <v>Unincorporated</v>
      </c>
      <c r="C2785" s="38" t="str">
        <f>_xlfn.XLOOKUP(A2785,'Model Modeshare by TAZ'!A:A,'Model Modeshare by TAZ'!D:D)</f>
        <v>NO</v>
      </c>
      <c r="D2785" s="6">
        <v>10</v>
      </c>
      <c r="E2785" s="6">
        <v>11430</v>
      </c>
      <c r="F2785" s="6">
        <v>8104</v>
      </c>
      <c r="G2785" s="6">
        <v>29499</v>
      </c>
      <c r="H2785" s="6">
        <v>16002</v>
      </c>
      <c r="I2785" s="6">
        <v>0</v>
      </c>
      <c r="J2785" s="6">
        <v>0</v>
      </c>
      <c r="K2785" s="40">
        <v>0</v>
      </c>
      <c r="L2785" s="40">
        <v>0</v>
      </c>
      <c r="M2785" s="40">
        <v>13372</v>
      </c>
      <c r="N2785" s="40">
        <v>2153</v>
      </c>
      <c r="O2785" s="40">
        <v>4691</v>
      </c>
      <c r="P2785" s="40">
        <v>5447</v>
      </c>
      <c r="Q2785" s="40">
        <v>731</v>
      </c>
      <c r="R2785" s="40">
        <v>350</v>
      </c>
      <c r="S2785" s="40">
        <v>0</v>
      </c>
    </row>
    <row r="2786" spans="1:19" x14ac:dyDescent="0.35">
      <c r="A2786" s="38">
        <v>2910</v>
      </c>
      <c r="B2786" s="38" t="str">
        <f>_xlfn.XLOOKUP(A2786,'Model Modeshare by TAZ'!A:A,'Model Modeshare by TAZ'!B:B)</f>
        <v>Unincorporated</v>
      </c>
      <c r="C2786" s="38" t="str">
        <f>_xlfn.XLOOKUP(A2786,'Model Modeshare by TAZ'!A:A,'Model Modeshare by TAZ'!D:D)</f>
        <v>NO</v>
      </c>
      <c r="D2786" s="6">
        <v>10</v>
      </c>
      <c r="E2786" s="6">
        <v>1347</v>
      </c>
      <c r="F2786" s="6">
        <v>954</v>
      </c>
      <c r="G2786" s="6">
        <v>3602</v>
      </c>
      <c r="H2786" s="6">
        <v>1885</v>
      </c>
      <c r="I2786" s="6">
        <v>0</v>
      </c>
      <c r="J2786" s="6">
        <v>0</v>
      </c>
      <c r="K2786" s="40">
        <v>0</v>
      </c>
      <c r="L2786" s="40">
        <v>0</v>
      </c>
      <c r="M2786" s="40">
        <v>495</v>
      </c>
      <c r="N2786" s="40">
        <v>0</v>
      </c>
      <c r="O2786" s="40">
        <v>54</v>
      </c>
      <c r="P2786" s="40">
        <v>86</v>
      </c>
      <c r="Q2786" s="40">
        <v>292</v>
      </c>
      <c r="R2786" s="40">
        <v>63</v>
      </c>
      <c r="S2786" s="40">
        <v>0</v>
      </c>
    </row>
    <row r="2787" spans="1:19" x14ac:dyDescent="0.35">
      <c r="A2787" s="38">
        <v>2911</v>
      </c>
      <c r="B2787" s="38" t="str">
        <f>_xlfn.XLOOKUP(A2787,'Model Modeshare by TAZ'!A:A,'Model Modeshare by TAZ'!B:B)</f>
        <v>Unincorporated</v>
      </c>
      <c r="C2787" s="38" t="str">
        <f>_xlfn.XLOOKUP(A2787,'Model Modeshare by TAZ'!A:A,'Model Modeshare by TAZ'!D:D)</f>
        <v>NO</v>
      </c>
      <c r="D2787" s="6">
        <v>10</v>
      </c>
      <c r="E2787" s="6">
        <v>4990</v>
      </c>
      <c r="F2787" s="6">
        <v>3989</v>
      </c>
      <c r="G2787" s="6">
        <v>12923</v>
      </c>
      <c r="H2787" s="6">
        <v>6987</v>
      </c>
      <c r="I2787" s="6">
        <v>0</v>
      </c>
      <c r="J2787" s="6">
        <v>0</v>
      </c>
      <c r="K2787" s="40">
        <v>0</v>
      </c>
      <c r="L2787" s="40">
        <v>0</v>
      </c>
      <c r="M2787" s="40">
        <v>3952</v>
      </c>
      <c r="N2787" s="40">
        <v>423</v>
      </c>
      <c r="O2787" s="40">
        <v>1389</v>
      </c>
      <c r="P2787" s="40">
        <v>902</v>
      </c>
      <c r="Q2787" s="40">
        <v>911</v>
      </c>
      <c r="R2787" s="40">
        <v>327</v>
      </c>
      <c r="S2787" s="40">
        <v>0</v>
      </c>
    </row>
    <row r="2788" spans="1:19" x14ac:dyDescent="0.35">
      <c r="A2788" s="38">
        <v>2912</v>
      </c>
      <c r="B2788" s="38" t="str">
        <f>_xlfn.XLOOKUP(A2788,'Model Modeshare by TAZ'!A:A,'Model Modeshare by TAZ'!B:B)</f>
        <v>Unincorporated</v>
      </c>
      <c r="C2788" s="38" t="str">
        <f>_xlfn.XLOOKUP(A2788,'Model Modeshare by TAZ'!A:A,'Model Modeshare by TAZ'!D:D)</f>
        <v>NO</v>
      </c>
      <c r="D2788" s="6">
        <v>10</v>
      </c>
      <c r="E2788" s="6">
        <v>5394</v>
      </c>
      <c r="F2788" s="6">
        <v>2735</v>
      </c>
      <c r="G2788" s="6">
        <v>13681</v>
      </c>
      <c r="H2788" s="6">
        <v>7551</v>
      </c>
      <c r="I2788" s="6">
        <v>0</v>
      </c>
      <c r="J2788" s="6">
        <v>0</v>
      </c>
      <c r="K2788" s="40">
        <v>0</v>
      </c>
      <c r="L2788" s="40">
        <v>0</v>
      </c>
      <c r="M2788" s="40">
        <v>5378</v>
      </c>
      <c r="N2788" s="40">
        <v>76</v>
      </c>
      <c r="O2788" s="40">
        <v>2080</v>
      </c>
      <c r="P2788" s="40">
        <v>896</v>
      </c>
      <c r="Q2788" s="40">
        <v>1373</v>
      </c>
      <c r="R2788" s="40">
        <v>953</v>
      </c>
      <c r="S2788" s="40">
        <v>0</v>
      </c>
    </row>
    <row r="2789" spans="1:19" x14ac:dyDescent="0.35">
      <c r="A2789" s="38">
        <v>2913</v>
      </c>
      <c r="B2789" s="38" t="str">
        <f>_xlfn.XLOOKUP(A2789,'Model Modeshare by TAZ'!A:A,'Model Modeshare by TAZ'!B:B)</f>
        <v>Watsonville</v>
      </c>
      <c r="C2789" s="38" t="str">
        <f>_xlfn.XLOOKUP(A2789,'Model Modeshare by TAZ'!A:A,'Model Modeshare by TAZ'!D:D)</f>
        <v>NO</v>
      </c>
      <c r="D2789" s="6">
        <v>10</v>
      </c>
      <c r="E2789" s="6">
        <v>18795</v>
      </c>
      <c r="F2789" s="6">
        <v>20593</v>
      </c>
      <c r="G2789" s="6">
        <v>63536</v>
      </c>
      <c r="H2789" s="6">
        <v>26313</v>
      </c>
      <c r="I2789" s="6">
        <v>0</v>
      </c>
      <c r="J2789" s="6">
        <v>0</v>
      </c>
      <c r="K2789" s="40">
        <v>0</v>
      </c>
      <c r="L2789" s="40">
        <v>0</v>
      </c>
      <c r="M2789" s="40">
        <v>23194</v>
      </c>
      <c r="N2789" s="40">
        <v>3699</v>
      </c>
      <c r="O2789" s="40">
        <v>7162</v>
      </c>
      <c r="P2789" s="40">
        <v>7006</v>
      </c>
      <c r="Q2789" s="40">
        <v>2683</v>
      </c>
      <c r="R2789" s="40">
        <v>2644</v>
      </c>
      <c r="S2789" s="40">
        <v>0</v>
      </c>
    </row>
    <row r="2790" spans="1:19" x14ac:dyDescent="0.35">
      <c r="A2790" s="38">
        <v>2914</v>
      </c>
      <c r="B2790" s="38" t="str">
        <f>_xlfn.XLOOKUP(A2790,'Model Modeshare by TAZ'!A:A,'Model Modeshare by TAZ'!B:B)</f>
        <v>Unincorporated</v>
      </c>
      <c r="C2790" s="38" t="str">
        <f>_xlfn.XLOOKUP(A2790,'Model Modeshare by TAZ'!A:A,'Model Modeshare by TAZ'!D:D)</f>
        <v>NO</v>
      </c>
      <c r="D2790" s="6">
        <v>10</v>
      </c>
      <c r="E2790" s="6">
        <v>451</v>
      </c>
      <c r="F2790" s="6">
        <v>406</v>
      </c>
      <c r="G2790" s="6">
        <v>1206</v>
      </c>
      <c r="H2790" s="6">
        <v>631</v>
      </c>
      <c r="I2790" s="6">
        <v>0</v>
      </c>
      <c r="J2790" s="6">
        <v>0</v>
      </c>
      <c r="K2790" s="40">
        <v>0</v>
      </c>
      <c r="L2790" s="40">
        <v>0</v>
      </c>
      <c r="M2790" s="40">
        <v>437</v>
      </c>
      <c r="N2790" s="40">
        <v>0</v>
      </c>
      <c r="O2790" s="40">
        <v>101</v>
      </c>
      <c r="P2790" s="40">
        <v>130</v>
      </c>
      <c r="Q2790" s="40">
        <v>174</v>
      </c>
      <c r="R2790" s="40">
        <v>32</v>
      </c>
      <c r="S2790" s="40">
        <v>0</v>
      </c>
    </row>
    <row r="2791" spans="1:19" x14ac:dyDescent="0.35">
      <c r="A2791" s="38">
        <v>2915</v>
      </c>
      <c r="B2791" s="38" t="str">
        <f>_xlfn.XLOOKUP(A2791,'Model Modeshare by TAZ'!A:A,'Model Modeshare by TAZ'!B:B)</f>
        <v>Unincorporated</v>
      </c>
      <c r="C2791" s="38" t="str">
        <f>_xlfn.XLOOKUP(A2791,'Model Modeshare by TAZ'!A:A,'Model Modeshare by TAZ'!D:D)</f>
        <v>NO</v>
      </c>
      <c r="D2791" s="6">
        <v>12</v>
      </c>
      <c r="E2791" s="6">
        <v>2543</v>
      </c>
      <c r="F2791" s="6">
        <v>2172</v>
      </c>
      <c r="G2791" s="6">
        <v>7507</v>
      </c>
      <c r="H2791" s="6">
        <v>3459</v>
      </c>
      <c r="I2791" s="6">
        <v>0</v>
      </c>
      <c r="J2791" s="6">
        <v>0</v>
      </c>
      <c r="K2791" s="40">
        <v>0</v>
      </c>
      <c r="L2791" s="40">
        <v>0</v>
      </c>
      <c r="M2791" s="40">
        <v>1886</v>
      </c>
      <c r="N2791" s="40">
        <v>254</v>
      </c>
      <c r="O2791" s="40">
        <v>520</v>
      </c>
      <c r="P2791" s="40">
        <v>333</v>
      </c>
      <c r="Q2791" s="40">
        <v>467</v>
      </c>
      <c r="R2791" s="40">
        <v>312</v>
      </c>
      <c r="S2791" s="40">
        <v>0</v>
      </c>
    </row>
    <row r="2792" spans="1:19" x14ac:dyDescent="0.35">
      <c r="A2792" s="38">
        <v>2916</v>
      </c>
      <c r="B2792" s="38" t="str">
        <f>_xlfn.XLOOKUP(A2792,'Model Modeshare by TAZ'!A:A,'Model Modeshare by TAZ'!B:B)</f>
        <v>Unincorporated</v>
      </c>
      <c r="C2792" s="38" t="str">
        <f>_xlfn.XLOOKUP(A2792,'Model Modeshare by TAZ'!A:A,'Model Modeshare by TAZ'!D:D)</f>
        <v>NO</v>
      </c>
      <c r="D2792" s="6">
        <v>12</v>
      </c>
      <c r="E2792" s="6">
        <v>1304</v>
      </c>
      <c r="F2792" s="6">
        <v>1173</v>
      </c>
      <c r="G2792" s="6">
        <v>4534</v>
      </c>
      <c r="H2792" s="6">
        <v>1774</v>
      </c>
      <c r="I2792" s="6">
        <v>0</v>
      </c>
      <c r="J2792" s="6">
        <v>0</v>
      </c>
      <c r="K2792" s="40">
        <v>0</v>
      </c>
      <c r="L2792" s="40">
        <v>0</v>
      </c>
      <c r="M2792" s="40">
        <v>3967</v>
      </c>
      <c r="N2792" s="40">
        <v>337</v>
      </c>
      <c r="O2792" s="40">
        <v>1091</v>
      </c>
      <c r="P2792" s="40">
        <v>503</v>
      </c>
      <c r="Q2792" s="40">
        <v>776</v>
      </c>
      <c r="R2792" s="40">
        <v>1260</v>
      </c>
      <c r="S2792" s="40">
        <v>0</v>
      </c>
    </row>
    <row r="2793" spans="1:19" x14ac:dyDescent="0.35">
      <c r="A2793" s="38">
        <v>2917</v>
      </c>
      <c r="B2793" s="38" t="str">
        <f>_xlfn.XLOOKUP(A2793,'Model Modeshare by TAZ'!A:A,'Model Modeshare by TAZ'!B:B)</f>
        <v>Unincorporated</v>
      </c>
      <c r="C2793" s="38" t="str">
        <f>_xlfn.XLOOKUP(A2793,'Model Modeshare by TAZ'!A:A,'Model Modeshare by TAZ'!D:D)</f>
        <v>NO</v>
      </c>
      <c r="D2793" s="6">
        <v>12</v>
      </c>
      <c r="E2793" s="6">
        <v>4373</v>
      </c>
      <c r="F2793" s="6">
        <v>4670</v>
      </c>
      <c r="G2793" s="6">
        <v>17250</v>
      </c>
      <c r="H2793" s="6">
        <v>5947</v>
      </c>
      <c r="I2793" s="6">
        <v>0</v>
      </c>
      <c r="J2793" s="6">
        <v>0</v>
      </c>
      <c r="K2793" s="40">
        <v>0</v>
      </c>
      <c r="L2793" s="40">
        <v>0</v>
      </c>
      <c r="M2793" s="40">
        <v>6834</v>
      </c>
      <c r="N2793" s="40">
        <v>1400</v>
      </c>
      <c r="O2793" s="40">
        <v>2388</v>
      </c>
      <c r="P2793" s="40">
        <v>1789</v>
      </c>
      <c r="Q2793" s="40">
        <v>119</v>
      </c>
      <c r="R2793" s="40">
        <v>1140</v>
      </c>
      <c r="S2793" s="40">
        <v>0</v>
      </c>
    </row>
    <row r="2794" spans="1:19" x14ac:dyDescent="0.35">
      <c r="A2794" s="38">
        <v>2918</v>
      </c>
      <c r="B2794" s="38" t="str">
        <f>_xlfn.XLOOKUP(A2794,'Model Modeshare by TAZ'!A:A,'Model Modeshare by TAZ'!B:B)</f>
        <v>Hollister</v>
      </c>
      <c r="C2794" s="38" t="str">
        <f>_xlfn.XLOOKUP(A2794,'Model Modeshare by TAZ'!A:A,'Model Modeshare by TAZ'!D:D)</f>
        <v>NO</v>
      </c>
      <c r="D2794" s="6">
        <v>12</v>
      </c>
      <c r="E2794" s="6">
        <v>5598</v>
      </c>
      <c r="F2794" s="6">
        <v>6114</v>
      </c>
      <c r="G2794" s="6">
        <v>17864</v>
      </c>
      <c r="H2794" s="6">
        <v>7613</v>
      </c>
      <c r="I2794" s="6">
        <v>0</v>
      </c>
      <c r="J2794" s="6">
        <v>0</v>
      </c>
      <c r="K2794" s="40">
        <v>0</v>
      </c>
      <c r="L2794" s="40">
        <v>0</v>
      </c>
      <c r="M2794" s="40">
        <v>4048</v>
      </c>
      <c r="N2794" s="40">
        <v>869</v>
      </c>
      <c r="O2794" s="40">
        <v>1073</v>
      </c>
      <c r="P2794" s="40">
        <v>1476</v>
      </c>
      <c r="Q2794" s="40">
        <v>15</v>
      </c>
      <c r="R2794" s="40">
        <v>615</v>
      </c>
      <c r="S2794" s="40">
        <v>0</v>
      </c>
    </row>
    <row r="2795" spans="1:19" x14ac:dyDescent="0.35">
      <c r="A2795" s="38">
        <v>2919</v>
      </c>
      <c r="B2795" s="38" t="str">
        <f>_xlfn.XLOOKUP(A2795,'Model Modeshare by TAZ'!A:A,'Model Modeshare by TAZ'!B:B)</f>
        <v>Unincorporated</v>
      </c>
      <c r="C2795" s="38" t="str">
        <f>_xlfn.XLOOKUP(A2795,'Model Modeshare by TAZ'!A:A,'Model Modeshare by TAZ'!D:D)</f>
        <v>NO</v>
      </c>
      <c r="D2795" s="6">
        <v>12</v>
      </c>
      <c r="E2795" s="6">
        <v>3551</v>
      </c>
      <c r="F2795" s="6">
        <v>3242</v>
      </c>
      <c r="G2795" s="6">
        <v>9290</v>
      </c>
      <c r="H2795" s="6">
        <v>4830</v>
      </c>
      <c r="I2795" s="6">
        <v>0</v>
      </c>
      <c r="J2795" s="6">
        <v>0</v>
      </c>
      <c r="K2795" s="40">
        <v>0</v>
      </c>
      <c r="L2795" s="40">
        <v>0</v>
      </c>
      <c r="M2795" s="40">
        <v>1352</v>
      </c>
      <c r="N2795" s="40">
        <v>140</v>
      </c>
      <c r="O2795" s="40">
        <v>487</v>
      </c>
      <c r="P2795" s="40">
        <v>199</v>
      </c>
      <c r="Q2795" s="40">
        <v>494</v>
      </c>
      <c r="R2795" s="40">
        <v>32</v>
      </c>
      <c r="S2795" s="40">
        <v>0</v>
      </c>
    </row>
    <row r="2796" spans="1:19" x14ac:dyDescent="0.35">
      <c r="A2796" s="38">
        <v>2920</v>
      </c>
      <c r="B2796" s="38" t="str">
        <f>_xlfn.XLOOKUP(A2796,'Model Modeshare by TAZ'!A:A,'Model Modeshare by TAZ'!B:B)</f>
        <v>Unincorporated</v>
      </c>
      <c r="C2796" s="38" t="str">
        <f>_xlfn.XLOOKUP(A2796,'Model Modeshare by TAZ'!A:A,'Model Modeshare by TAZ'!D:D)</f>
        <v>NO</v>
      </c>
      <c r="D2796" s="6">
        <v>11</v>
      </c>
      <c r="E2796" s="6">
        <v>10382</v>
      </c>
      <c r="F2796" s="6">
        <v>8811</v>
      </c>
      <c r="G2796" s="6">
        <v>35687</v>
      </c>
      <c r="H2796" s="6">
        <v>14846</v>
      </c>
      <c r="I2796" s="6">
        <v>0</v>
      </c>
      <c r="J2796" s="6">
        <v>0</v>
      </c>
      <c r="K2796" s="40">
        <v>0</v>
      </c>
      <c r="L2796" s="40">
        <v>0</v>
      </c>
      <c r="M2796" s="40">
        <v>12625</v>
      </c>
      <c r="N2796" s="40">
        <v>718</v>
      </c>
      <c r="O2796" s="40">
        <v>1780</v>
      </c>
      <c r="P2796" s="40">
        <v>1508</v>
      </c>
      <c r="Q2796" s="40">
        <v>7964</v>
      </c>
      <c r="R2796" s="40">
        <v>655</v>
      </c>
      <c r="S2796" s="40">
        <v>0</v>
      </c>
    </row>
    <row r="2797" spans="1:19" x14ac:dyDescent="0.35">
      <c r="A2797" s="38">
        <v>2921</v>
      </c>
      <c r="B2797" s="38" t="str">
        <f>_xlfn.XLOOKUP(A2797,'Model Modeshare by TAZ'!A:A,'Model Modeshare by TAZ'!B:B)</f>
        <v>Unincorporated</v>
      </c>
      <c r="C2797" s="38" t="str">
        <f>_xlfn.XLOOKUP(A2797,'Model Modeshare by TAZ'!A:A,'Model Modeshare by TAZ'!D:D)</f>
        <v>NO</v>
      </c>
      <c r="D2797" s="6">
        <v>11</v>
      </c>
      <c r="E2797" s="6">
        <v>2606</v>
      </c>
      <c r="F2797" s="6">
        <v>1813</v>
      </c>
      <c r="G2797" s="6">
        <v>7289</v>
      </c>
      <c r="H2797" s="6">
        <v>3726</v>
      </c>
      <c r="I2797" s="6">
        <v>0</v>
      </c>
      <c r="J2797" s="6">
        <v>0</v>
      </c>
      <c r="K2797" s="40">
        <v>0</v>
      </c>
      <c r="L2797" s="40">
        <v>0</v>
      </c>
      <c r="M2797" s="40">
        <v>3361</v>
      </c>
      <c r="N2797" s="40">
        <v>330</v>
      </c>
      <c r="O2797" s="40">
        <v>757</v>
      </c>
      <c r="P2797" s="40">
        <v>384</v>
      </c>
      <c r="Q2797" s="40">
        <v>1728</v>
      </c>
      <c r="R2797" s="40">
        <v>162</v>
      </c>
      <c r="S2797" s="40">
        <v>0</v>
      </c>
    </row>
    <row r="2798" spans="1:19" x14ac:dyDescent="0.35">
      <c r="A2798" s="38">
        <v>2922</v>
      </c>
      <c r="B2798" s="38" t="str">
        <f>_xlfn.XLOOKUP(A2798,'Model Modeshare by TAZ'!A:A,'Model Modeshare by TAZ'!B:B)</f>
        <v>Unincorporated</v>
      </c>
      <c r="C2798" s="38" t="str">
        <f>_xlfn.XLOOKUP(A2798,'Model Modeshare by TAZ'!A:A,'Model Modeshare by TAZ'!D:D)</f>
        <v>NO</v>
      </c>
      <c r="D2798" s="6">
        <v>11</v>
      </c>
      <c r="E2798" s="6">
        <v>3673</v>
      </c>
      <c r="F2798" s="6">
        <v>3310</v>
      </c>
      <c r="G2798" s="6">
        <v>12402</v>
      </c>
      <c r="H2798" s="6">
        <v>5253</v>
      </c>
      <c r="I2798" s="6">
        <v>0</v>
      </c>
      <c r="J2798" s="6">
        <v>0</v>
      </c>
      <c r="K2798" s="40">
        <v>0</v>
      </c>
      <c r="L2798" s="40">
        <v>0</v>
      </c>
      <c r="M2798" s="40">
        <v>9736</v>
      </c>
      <c r="N2798" s="40">
        <v>2205</v>
      </c>
      <c r="O2798" s="40">
        <v>3274</v>
      </c>
      <c r="P2798" s="40">
        <v>1256</v>
      </c>
      <c r="Q2798" s="40">
        <v>2139</v>
      </c>
      <c r="R2798" s="40">
        <v>862</v>
      </c>
      <c r="S2798" s="40">
        <v>0</v>
      </c>
    </row>
    <row r="2799" spans="1:19" x14ac:dyDescent="0.35">
      <c r="A2799" s="38">
        <v>2923</v>
      </c>
      <c r="B2799" s="38" t="str">
        <f>_xlfn.XLOOKUP(A2799,'Model Modeshare by TAZ'!A:A,'Model Modeshare by TAZ'!B:B)</f>
        <v>Unincorporated</v>
      </c>
      <c r="C2799" s="38" t="str">
        <f>_xlfn.XLOOKUP(A2799,'Model Modeshare by TAZ'!A:A,'Model Modeshare by TAZ'!D:D)</f>
        <v>NO</v>
      </c>
      <c r="D2799" s="6">
        <v>11</v>
      </c>
      <c r="E2799" s="6">
        <v>7562</v>
      </c>
      <c r="F2799" s="6">
        <v>5609</v>
      </c>
      <c r="G2799" s="6">
        <v>25442</v>
      </c>
      <c r="H2799" s="6">
        <v>10814</v>
      </c>
      <c r="I2799" s="6">
        <v>0</v>
      </c>
      <c r="J2799" s="6">
        <v>0</v>
      </c>
      <c r="K2799" s="40">
        <v>0</v>
      </c>
      <c r="L2799" s="40">
        <v>0</v>
      </c>
      <c r="M2799" s="40">
        <v>10995</v>
      </c>
      <c r="N2799" s="40">
        <v>1409</v>
      </c>
      <c r="O2799" s="40">
        <v>3112</v>
      </c>
      <c r="P2799" s="40">
        <v>3139</v>
      </c>
      <c r="Q2799" s="40">
        <v>2560</v>
      </c>
      <c r="R2799" s="40">
        <v>775</v>
      </c>
      <c r="S2799" s="40">
        <v>0</v>
      </c>
    </row>
    <row r="2800" spans="1:19" x14ac:dyDescent="0.35">
      <c r="A2800" s="38">
        <v>2924</v>
      </c>
      <c r="B2800" s="38" t="str">
        <f>_xlfn.XLOOKUP(A2800,'Model Modeshare by TAZ'!A:A,'Model Modeshare by TAZ'!B:B)</f>
        <v>Salinas</v>
      </c>
      <c r="C2800" s="38" t="str">
        <f>_xlfn.XLOOKUP(A2800,'Model Modeshare by TAZ'!A:A,'Model Modeshare by TAZ'!D:D)</f>
        <v>NO</v>
      </c>
      <c r="D2800" s="6">
        <v>11</v>
      </c>
      <c r="E2800" s="6">
        <v>27287</v>
      </c>
      <c r="F2800" s="6">
        <v>29957</v>
      </c>
      <c r="G2800" s="6">
        <v>119472</v>
      </c>
      <c r="H2800" s="6">
        <v>39020</v>
      </c>
      <c r="I2800" s="6">
        <v>0</v>
      </c>
      <c r="J2800" s="6">
        <v>0</v>
      </c>
      <c r="K2800" s="40">
        <v>0</v>
      </c>
      <c r="L2800" s="40">
        <v>0</v>
      </c>
      <c r="M2800" s="40">
        <v>18398</v>
      </c>
      <c r="N2800" s="40">
        <v>3509</v>
      </c>
      <c r="O2800" s="40">
        <v>4827</v>
      </c>
      <c r="P2800" s="40">
        <v>7653</v>
      </c>
      <c r="Q2800" s="40">
        <v>1832</v>
      </c>
      <c r="R2800" s="40">
        <v>577</v>
      </c>
      <c r="S2800" s="40">
        <v>0</v>
      </c>
    </row>
    <row r="2801" spans="1:19" x14ac:dyDescent="0.35">
      <c r="A2801" s="38">
        <v>2925</v>
      </c>
      <c r="B2801" s="38" t="str">
        <f>_xlfn.XLOOKUP(A2801,'Model Modeshare by TAZ'!A:A,'Model Modeshare by TAZ'!B:B)</f>
        <v>Unincorporated</v>
      </c>
      <c r="C2801" s="38" t="str">
        <f>_xlfn.XLOOKUP(A2801,'Model Modeshare by TAZ'!A:A,'Model Modeshare by TAZ'!D:D)</f>
        <v>NO</v>
      </c>
      <c r="D2801" s="6">
        <v>11</v>
      </c>
      <c r="E2801" s="6">
        <v>1111</v>
      </c>
      <c r="F2801" s="6">
        <v>1104</v>
      </c>
      <c r="G2801" s="6">
        <v>3332</v>
      </c>
      <c r="H2801" s="6">
        <v>1589</v>
      </c>
      <c r="I2801" s="6">
        <v>0</v>
      </c>
      <c r="J2801" s="6">
        <v>0</v>
      </c>
      <c r="K2801" s="40">
        <v>0</v>
      </c>
      <c r="L2801" s="40">
        <v>0</v>
      </c>
      <c r="M2801" s="40">
        <v>3051</v>
      </c>
      <c r="N2801" s="40">
        <v>101</v>
      </c>
      <c r="O2801" s="40">
        <v>130</v>
      </c>
      <c r="P2801" s="40">
        <v>219</v>
      </c>
      <c r="Q2801" s="40">
        <v>2436</v>
      </c>
      <c r="R2801" s="40">
        <v>165</v>
      </c>
      <c r="S2801" s="40">
        <v>0</v>
      </c>
    </row>
    <row r="2802" spans="1:19" x14ac:dyDescent="0.35">
      <c r="A2802" s="38">
        <v>2926</v>
      </c>
      <c r="B2802" s="38" t="str">
        <f>_xlfn.XLOOKUP(A2802,'Model Modeshare by TAZ'!A:A,'Model Modeshare by TAZ'!B:B)</f>
        <v>Unincorporated</v>
      </c>
      <c r="C2802" s="38" t="str">
        <f>_xlfn.XLOOKUP(A2802,'Model Modeshare by TAZ'!A:A,'Model Modeshare by TAZ'!D:D)</f>
        <v>NO</v>
      </c>
      <c r="D2802" s="6">
        <v>11</v>
      </c>
      <c r="E2802" s="6">
        <v>9685</v>
      </c>
      <c r="F2802" s="6">
        <v>7581</v>
      </c>
      <c r="G2802" s="6">
        <v>29000</v>
      </c>
      <c r="H2802" s="6">
        <v>13850</v>
      </c>
      <c r="I2802" s="6">
        <v>0</v>
      </c>
      <c r="J2802" s="6">
        <v>0</v>
      </c>
      <c r="K2802" s="40">
        <v>0</v>
      </c>
      <c r="L2802" s="40">
        <v>0</v>
      </c>
      <c r="M2802" s="40">
        <v>42154</v>
      </c>
      <c r="N2802" s="40">
        <v>3584</v>
      </c>
      <c r="O2802" s="40">
        <v>11526</v>
      </c>
      <c r="P2802" s="40">
        <v>12407</v>
      </c>
      <c r="Q2802" s="40">
        <v>11691</v>
      </c>
      <c r="R2802" s="40">
        <v>2946</v>
      </c>
      <c r="S2802" s="40">
        <v>0</v>
      </c>
    </row>
    <row r="2803" spans="1:19" x14ac:dyDescent="0.35">
      <c r="A2803" s="38">
        <v>2927</v>
      </c>
      <c r="B2803" s="38" t="str">
        <f>_xlfn.XLOOKUP(A2803,'Model Modeshare by TAZ'!A:A,'Model Modeshare by TAZ'!B:B)</f>
        <v>Unincorporated</v>
      </c>
      <c r="C2803" s="38" t="str">
        <f>_xlfn.XLOOKUP(A2803,'Model Modeshare by TAZ'!A:A,'Model Modeshare by TAZ'!D:D)</f>
        <v>NO</v>
      </c>
      <c r="D2803" s="6">
        <v>11</v>
      </c>
      <c r="E2803" s="6">
        <v>4584</v>
      </c>
      <c r="F2803" s="6">
        <v>2999</v>
      </c>
      <c r="G2803" s="6">
        <v>11919</v>
      </c>
      <c r="H2803" s="6">
        <v>6564</v>
      </c>
      <c r="I2803" s="6">
        <v>0</v>
      </c>
      <c r="J2803" s="6">
        <v>0</v>
      </c>
      <c r="K2803" s="40">
        <v>0</v>
      </c>
      <c r="L2803" s="40">
        <v>0</v>
      </c>
      <c r="M2803" s="40">
        <v>2922</v>
      </c>
      <c r="N2803" s="40">
        <v>85</v>
      </c>
      <c r="O2803" s="40">
        <v>685</v>
      </c>
      <c r="P2803" s="40">
        <v>403</v>
      </c>
      <c r="Q2803" s="40">
        <v>1479</v>
      </c>
      <c r="R2803" s="40">
        <v>270</v>
      </c>
      <c r="S2803" s="40">
        <v>0</v>
      </c>
    </row>
    <row r="2804" spans="1:19" x14ac:dyDescent="0.35">
      <c r="A2804" s="38">
        <v>2928</v>
      </c>
      <c r="B2804" s="38" t="str">
        <f>_xlfn.XLOOKUP(A2804,'Model Modeshare by TAZ'!A:A,'Model Modeshare by TAZ'!B:B)</f>
        <v>Unincorporated</v>
      </c>
      <c r="C2804" s="38" t="str">
        <f>_xlfn.XLOOKUP(A2804,'Model Modeshare by TAZ'!A:A,'Model Modeshare by TAZ'!D:D)</f>
        <v>NO</v>
      </c>
      <c r="D2804" s="6">
        <v>11</v>
      </c>
      <c r="E2804" s="6">
        <v>15547</v>
      </c>
      <c r="F2804" s="6">
        <v>11301</v>
      </c>
      <c r="G2804" s="6">
        <v>46557</v>
      </c>
      <c r="H2804" s="6">
        <v>22231</v>
      </c>
      <c r="I2804" s="6">
        <v>0</v>
      </c>
      <c r="J2804" s="6">
        <v>0</v>
      </c>
      <c r="K2804" s="40">
        <v>0</v>
      </c>
      <c r="L2804" s="40">
        <v>0</v>
      </c>
      <c r="M2804" s="40">
        <v>22968</v>
      </c>
      <c r="N2804" s="40">
        <v>3600</v>
      </c>
      <c r="O2804" s="40">
        <v>10849</v>
      </c>
      <c r="P2804" s="40">
        <v>5403</v>
      </c>
      <c r="Q2804" s="40">
        <v>797</v>
      </c>
      <c r="R2804" s="40">
        <v>2319</v>
      </c>
      <c r="S2804" s="40">
        <v>0</v>
      </c>
    </row>
    <row r="2805" spans="1:19" x14ac:dyDescent="0.35">
      <c r="A2805" s="38">
        <v>2929</v>
      </c>
      <c r="B2805" s="38" t="str">
        <f>_xlfn.XLOOKUP(A2805,'Model Modeshare by TAZ'!A:A,'Model Modeshare by TAZ'!B:B)</f>
        <v>Unincorporated</v>
      </c>
      <c r="C2805" s="38" t="str">
        <f>_xlfn.XLOOKUP(A2805,'Model Modeshare by TAZ'!A:A,'Model Modeshare by TAZ'!D:D)</f>
        <v>NO</v>
      </c>
      <c r="D2805" s="6">
        <v>11</v>
      </c>
      <c r="E2805" s="6">
        <v>21154</v>
      </c>
      <c r="F2805" s="6">
        <v>13255</v>
      </c>
      <c r="G2805" s="6">
        <v>48252</v>
      </c>
      <c r="H2805" s="6">
        <v>30251</v>
      </c>
      <c r="I2805" s="6">
        <v>0</v>
      </c>
      <c r="J2805" s="6">
        <v>0</v>
      </c>
      <c r="K2805" s="40">
        <v>0</v>
      </c>
      <c r="L2805" s="40">
        <v>0</v>
      </c>
      <c r="M2805" s="40">
        <v>35658</v>
      </c>
      <c r="N2805" s="40">
        <v>4064</v>
      </c>
      <c r="O2805" s="40">
        <v>18510</v>
      </c>
      <c r="P2805" s="40">
        <v>11514</v>
      </c>
      <c r="Q2805" s="40">
        <v>207</v>
      </c>
      <c r="R2805" s="40">
        <v>1363</v>
      </c>
      <c r="S2805" s="40">
        <v>0</v>
      </c>
    </row>
    <row r="2806" spans="1:19" x14ac:dyDescent="0.35">
      <c r="A2806" s="38">
        <v>2930</v>
      </c>
      <c r="B2806" s="38" t="str">
        <f>_xlfn.XLOOKUP(A2806,'Model Modeshare by TAZ'!A:A,'Model Modeshare by TAZ'!B:B)</f>
        <v>Unincorporated</v>
      </c>
      <c r="C2806" s="38" t="str">
        <f>_xlfn.XLOOKUP(A2806,'Model Modeshare by TAZ'!A:A,'Model Modeshare by TAZ'!D:D)</f>
        <v>NO</v>
      </c>
      <c r="D2806" s="6">
        <v>11</v>
      </c>
      <c r="E2806" s="6">
        <v>6719</v>
      </c>
      <c r="F2806" s="6">
        <v>4858</v>
      </c>
      <c r="G2806" s="6">
        <v>15931</v>
      </c>
      <c r="H2806" s="6">
        <v>9608</v>
      </c>
      <c r="I2806" s="6">
        <v>0</v>
      </c>
      <c r="J2806" s="6">
        <v>0</v>
      </c>
      <c r="K2806" s="40">
        <v>0</v>
      </c>
      <c r="L2806" s="40">
        <v>0</v>
      </c>
      <c r="M2806" s="40">
        <v>10881</v>
      </c>
      <c r="N2806" s="40">
        <v>1085</v>
      </c>
      <c r="O2806" s="40">
        <v>6540</v>
      </c>
      <c r="P2806" s="40">
        <v>1837</v>
      </c>
      <c r="Q2806" s="40">
        <v>1044</v>
      </c>
      <c r="R2806" s="40">
        <v>375</v>
      </c>
      <c r="S2806" s="40">
        <v>0</v>
      </c>
    </row>
    <row r="2807" spans="1:19" x14ac:dyDescent="0.35">
      <c r="A2807" s="38">
        <v>2931</v>
      </c>
      <c r="B2807" s="38" t="str">
        <f>_xlfn.XLOOKUP(A2807,'Model Modeshare by TAZ'!A:A,'Model Modeshare by TAZ'!B:B)</f>
        <v>Unincorporated</v>
      </c>
      <c r="C2807" s="38" t="str">
        <f>_xlfn.XLOOKUP(A2807,'Model Modeshare by TAZ'!A:A,'Model Modeshare by TAZ'!D:D)</f>
        <v>NO</v>
      </c>
      <c r="D2807" s="6">
        <v>11</v>
      </c>
      <c r="E2807" s="6">
        <v>9830</v>
      </c>
      <c r="F2807" s="6">
        <v>16040</v>
      </c>
      <c r="G2807" s="6">
        <v>54768</v>
      </c>
      <c r="H2807" s="6">
        <v>14058</v>
      </c>
      <c r="I2807" s="6">
        <v>0</v>
      </c>
      <c r="J2807" s="6">
        <v>0</v>
      </c>
      <c r="K2807" s="40">
        <v>0</v>
      </c>
      <c r="L2807" s="40">
        <v>0</v>
      </c>
      <c r="M2807" s="40">
        <v>21601</v>
      </c>
      <c r="N2807" s="40">
        <v>651</v>
      </c>
      <c r="O2807" s="40">
        <v>3068</v>
      </c>
      <c r="P2807" s="40">
        <v>1831</v>
      </c>
      <c r="Q2807" s="40">
        <v>15529</v>
      </c>
      <c r="R2807" s="40">
        <v>522</v>
      </c>
      <c r="S2807" s="40">
        <v>0</v>
      </c>
    </row>
    <row r="2808" spans="1:19" x14ac:dyDescent="0.35">
      <c r="A2808" s="38">
        <v>2932</v>
      </c>
      <c r="B2808" s="38" t="str">
        <f>_xlfn.XLOOKUP(A2808,'Model Modeshare by TAZ'!A:A,'Model Modeshare by TAZ'!B:B)</f>
        <v>Unincorporated</v>
      </c>
      <c r="C2808" s="38" t="str">
        <f>_xlfn.XLOOKUP(A2808,'Model Modeshare by TAZ'!A:A,'Model Modeshare by TAZ'!D:D)</f>
        <v>NO</v>
      </c>
      <c r="D2808" s="6">
        <v>11</v>
      </c>
      <c r="E2808" s="6">
        <v>5852</v>
      </c>
      <c r="F2808" s="6">
        <v>5588</v>
      </c>
      <c r="G2808" s="6">
        <v>22586</v>
      </c>
      <c r="H2808" s="6">
        <v>8368</v>
      </c>
      <c r="I2808" s="6">
        <v>0</v>
      </c>
      <c r="J2808" s="6">
        <v>0</v>
      </c>
      <c r="K2808" s="40">
        <v>0</v>
      </c>
      <c r="L2808" s="40">
        <v>0</v>
      </c>
      <c r="M2808" s="40">
        <v>9079</v>
      </c>
      <c r="N2808" s="40">
        <v>459</v>
      </c>
      <c r="O2808" s="40">
        <v>1475</v>
      </c>
      <c r="P2808" s="40">
        <v>1931</v>
      </c>
      <c r="Q2808" s="40">
        <v>4694</v>
      </c>
      <c r="R2808" s="40">
        <v>520</v>
      </c>
      <c r="S2808" s="40">
        <v>0</v>
      </c>
    </row>
    <row r="2809" spans="1:19" x14ac:dyDescent="0.35">
      <c r="A2809" s="38">
        <v>2933</v>
      </c>
      <c r="B2809" s="38" t="str">
        <f>_xlfn.XLOOKUP(A2809,'Model Modeshare by TAZ'!A:A,'Model Modeshare by TAZ'!B:B)</f>
        <v>Tracy</v>
      </c>
      <c r="C2809" s="38" t="str">
        <f>_xlfn.XLOOKUP(A2809,'Model Modeshare by TAZ'!A:A,'Model Modeshare by TAZ'!D:D)</f>
        <v>NO</v>
      </c>
      <c r="D2809" s="6">
        <v>13</v>
      </c>
      <c r="E2809" s="6">
        <v>10143</v>
      </c>
      <c r="F2809" s="6">
        <v>0</v>
      </c>
      <c r="G2809" s="6">
        <v>0</v>
      </c>
      <c r="H2809" s="6">
        <v>0</v>
      </c>
      <c r="I2809" s="6">
        <v>9170</v>
      </c>
      <c r="J2809" s="6">
        <v>973</v>
      </c>
      <c r="K2809" s="40">
        <v>0</v>
      </c>
      <c r="L2809" s="40">
        <v>0</v>
      </c>
      <c r="M2809" s="40">
        <v>4853</v>
      </c>
      <c r="N2809" s="40">
        <v>852</v>
      </c>
      <c r="O2809" s="40">
        <v>1295</v>
      </c>
      <c r="P2809" s="40">
        <v>2706</v>
      </c>
      <c r="Q2809" s="40">
        <v>0</v>
      </c>
      <c r="R2809" s="40">
        <v>0</v>
      </c>
      <c r="S2809" s="40">
        <v>0</v>
      </c>
    </row>
    <row r="2810" spans="1:19" x14ac:dyDescent="0.35">
      <c r="A2810" s="38">
        <v>2934</v>
      </c>
      <c r="B2810" s="38" t="str">
        <f>_xlfn.XLOOKUP(A2810,'Model Modeshare by TAZ'!A:A,'Model Modeshare by TAZ'!B:B)</f>
        <v>Unincorporated</v>
      </c>
      <c r="C2810" s="38" t="str">
        <f>_xlfn.XLOOKUP(A2810,'Model Modeshare by TAZ'!A:A,'Model Modeshare by TAZ'!D:D)</f>
        <v>NO</v>
      </c>
      <c r="D2810" s="6">
        <v>13</v>
      </c>
      <c r="E2810" s="6">
        <v>2526</v>
      </c>
      <c r="F2810" s="6">
        <v>0</v>
      </c>
      <c r="G2810" s="6">
        <v>0</v>
      </c>
      <c r="H2810" s="6">
        <v>0</v>
      </c>
      <c r="I2810" s="6">
        <v>2330</v>
      </c>
      <c r="J2810" s="6">
        <v>195</v>
      </c>
      <c r="K2810" s="40">
        <v>0</v>
      </c>
      <c r="L2810" s="40">
        <v>0</v>
      </c>
      <c r="M2810" s="40">
        <v>4514</v>
      </c>
      <c r="N2810" s="40">
        <v>465</v>
      </c>
      <c r="O2810" s="40">
        <v>1098</v>
      </c>
      <c r="P2810" s="40">
        <v>2951</v>
      </c>
      <c r="Q2810" s="40">
        <v>0</v>
      </c>
      <c r="R2810" s="40">
        <v>0</v>
      </c>
      <c r="S2810" s="40">
        <v>0</v>
      </c>
    </row>
    <row r="2811" spans="1:19" x14ac:dyDescent="0.35">
      <c r="A2811" s="38">
        <v>2935</v>
      </c>
      <c r="B2811" s="38" t="str">
        <f>_xlfn.XLOOKUP(A2811,'Model Modeshare by TAZ'!A:A,'Model Modeshare by TAZ'!B:B)</f>
        <v>Unincorporated</v>
      </c>
      <c r="C2811" s="38" t="str">
        <f>_xlfn.XLOOKUP(A2811,'Model Modeshare by TAZ'!A:A,'Model Modeshare by TAZ'!D:D)</f>
        <v>NO</v>
      </c>
      <c r="D2811" s="6">
        <v>13</v>
      </c>
      <c r="E2811" s="6">
        <v>11924</v>
      </c>
      <c r="F2811" s="6">
        <v>0</v>
      </c>
      <c r="G2811" s="6">
        <v>0</v>
      </c>
      <c r="H2811" s="6">
        <v>0</v>
      </c>
      <c r="I2811" s="6">
        <v>11084</v>
      </c>
      <c r="J2811" s="6">
        <v>840</v>
      </c>
      <c r="K2811" s="40">
        <v>0</v>
      </c>
      <c r="L2811" s="40">
        <v>0</v>
      </c>
      <c r="M2811" s="40">
        <v>8658</v>
      </c>
      <c r="N2811" s="40">
        <v>687</v>
      </c>
      <c r="O2811" s="40">
        <v>3710</v>
      </c>
      <c r="P2811" s="40">
        <v>4261</v>
      </c>
      <c r="Q2811" s="40">
        <v>0</v>
      </c>
      <c r="R2811" s="40">
        <v>0</v>
      </c>
      <c r="S2811" s="40">
        <v>0</v>
      </c>
    </row>
    <row r="2812" spans="1:19" x14ac:dyDescent="0.35">
      <c r="A2812" s="38">
        <v>2936</v>
      </c>
      <c r="B2812" s="38" t="str">
        <f>_xlfn.XLOOKUP(A2812,'Model Modeshare by TAZ'!A:A,'Model Modeshare by TAZ'!B:B)</f>
        <v>Unincorporated</v>
      </c>
      <c r="C2812" s="38" t="str">
        <f>_xlfn.XLOOKUP(A2812,'Model Modeshare by TAZ'!A:A,'Model Modeshare by TAZ'!D:D)</f>
        <v>NO</v>
      </c>
      <c r="D2812" s="6">
        <v>13</v>
      </c>
      <c r="E2812" s="6">
        <v>1393</v>
      </c>
      <c r="F2812" s="6">
        <v>0</v>
      </c>
      <c r="G2812" s="6">
        <v>0</v>
      </c>
      <c r="H2812" s="6">
        <v>0</v>
      </c>
      <c r="I2812" s="6">
        <v>1261</v>
      </c>
      <c r="J2812" s="6">
        <v>131</v>
      </c>
      <c r="K2812" s="40">
        <v>0</v>
      </c>
      <c r="L2812" s="40">
        <v>0</v>
      </c>
      <c r="M2812" s="40">
        <v>3262</v>
      </c>
      <c r="N2812" s="40">
        <v>789</v>
      </c>
      <c r="O2812" s="40">
        <v>1234</v>
      </c>
      <c r="P2812" s="40">
        <v>1239</v>
      </c>
      <c r="Q2812" s="40">
        <v>0</v>
      </c>
      <c r="R2812" s="40">
        <v>0</v>
      </c>
      <c r="S2812" s="40">
        <v>0</v>
      </c>
    </row>
    <row r="2813" spans="1:19" x14ac:dyDescent="0.35">
      <c r="A2813" s="38">
        <v>2937</v>
      </c>
      <c r="B2813" s="38" t="str">
        <f>_xlfn.XLOOKUP(A2813,'Model Modeshare by TAZ'!A:A,'Model Modeshare by TAZ'!B:B)</f>
        <v>Unincorporated</v>
      </c>
      <c r="C2813" s="38" t="str">
        <f>_xlfn.XLOOKUP(A2813,'Model Modeshare by TAZ'!A:A,'Model Modeshare by TAZ'!D:D)</f>
        <v>NO</v>
      </c>
      <c r="D2813" s="6">
        <v>13</v>
      </c>
      <c r="E2813" s="6">
        <v>12906</v>
      </c>
      <c r="F2813" s="6">
        <v>0</v>
      </c>
      <c r="G2813" s="6">
        <v>0</v>
      </c>
      <c r="H2813" s="6">
        <v>0</v>
      </c>
      <c r="I2813" s="6">
        <v>10901</v>
      </c>
      <c r="J2813" s="6">
        <v>2006</v>
      </c>
      <c r="K2813" s="40">
        <v>0</v>
      </c>
      <c r="L2813" s="40">
        <v>0</v>
      </c>
      <c r="M2813" s="40">
        <v>10751</v>
      </c>
      <c r="N2813" s="40">
        <v>2476</v>
      </c>
      <c r="O2813" s="40">
        <v>2416</v>
      </c>
      <c r="P2813" s="40">
        <v>5859</v>
      </c>
      <c r="Q2813" s="40">
        <v>0</v>
      </c>
      <c r="R2813" s="40">
        <v>0</v>
      </c>
      <c r="S2813" s="40">
        <v>0</v>
      </c>
    </row>
    <row r="2814" spans="1:19" x14ac:dyDescent="0.35">
      <c r="A2814" s="38">
        <v>2938</v>
      </c>
      <c r="B2814" s="38" t="str">
        <f>_xlfn.XLOOKUP(A2814,'Model Modeshare by TAZ'!A:A,'Model Modeshare by TAZ'!B:B)</f>
        <v>Manteca</v>
      </c>
      <c r="C2814" s="38" t="str">
        <f>_xlfn.XLOOKUP(A2814,'Model Modeshare by TAZ'!A:A,'Model Modeshare by TAZ'!D:D)</f>
        <v>NO</v>
      </c>
      <c r="D2814" s="6">
        <v>13</v>
      </c>
      <c r="E2814" s="6">
        <v>9931</v>
      </c>
      <c r="F2814" s="6">
        <v>0</v>
      </c>
      <c r="G2814" s="6">
        <v>0</v>
      </c>
      <c r="H2814" s="6">
        <v>0</v>
      </c>
      <c r="I2814" s="6">
        <v>8285</v>
      </c>
      <c r="J2814" s="6">
        <v>1646</v>
      </c>
      <c r="K2814" s="40">
        <v>0</v>
      </c>
      <c r="L2814" s="40">
        <v>0</v>
      </c>
      <c r="M2814" s="40">
        <v>5959</v>
      </c>
      <c r="N2814" s="40">
        <v>2193</v>
      </c>
      <c r="O2814" s="40">
        <v>2314</v>
      </c>
      <c r="P2814" s="40">
        <v>1452</v>
      </c>
      <c r="Q2814" s="40">
        <v>0</v>
      </c>
      <c r="R2814" s="40">
        <v>0</v>
      </c>
      <c r="S2814" s="40">
        <v>0</v>
      </c>
    </row>
    <row r="2815" spans="1:19" x14ac:dyDescent="0.35">
      <c r="A2815" s="38">
        <v>2939</v>
      </c>
      <c r="B2815" s="38" t="str">
        <f>_xlfn.XLOOKUP(A2815,'Model Modeshare by TAZ'!A:A,'Model Modeshare by TAZ'!B:B)</f>
        <v>Lathrop</v>
      </c>
      <c r="C2815" s="38" t="str">
        <f>_xlfn.XLOOKUP(A2815,'Model Modeshare by TAZ'!A:A,'Model Modeshare by TAZ'!D:D)</f>
        <v>NO</v>
      </c>
      <c r="D2815" s="6">
        <v>13</v>
      </c>
      <c r="E2815" s="6">
        <v>5513</v>
      </c>
      <c r="F2815" s="6">
        <v>0</v>
      </c>
      <c r="G2815" s="6">
        <v>0</v>
      </c>
      <c r="H2815" s="6">
        <v>0</v>
      </c>
      <c r="I2815" s="6">
        <v>4802</v>
      </c>
      <c r="J2815" s="6">
        <v>711</v>
      </c>
      <c r="K2815" s="40">
        <v>0</v>
      </c>
      <c r="L2815" s="40">
        <v>0</v>
      </c>
      <c r="M2815" s="40">
        <v>6612</v>
      </c>
      <c r="N2815" s="40">
        <v>1510</v>
      </c>
      <c r="O2815" s="40">
        <v>3042</v>
      </c>
      <c r="P2815" s="40">
        <v>2060</v>
      </c>
      <c r="Q2815" s="40">
        <v>0</v>
      </c>
      <c r="R2815" s="40">
        <v>0</v>
      </c>
      <c r="S2815" s="40">
        <v>0</v>
      </c>
    </row>
    <row r="2816" spans="1:19" x14ac:dyDescent="0.35">
      <c r="A2816" s="38">
        <v>2940</v>
      </c>
      <c r="B2816" s="38" t="str">
        <f>_xlfn.XLOOKUP(A2816,'Model Modeshare by TAZ'!A:A,'Model Modeshare by TAZ'!B:B)</f>
        <v>Unincorporated</v>
      </c>
      <c r="C2816" s="38" t="str">
        <f>_xlfn.XLOOKUP(A2816,'Model Modeshare by TAZ'!A:A,'Model Modeshare by TAZ'!D:D)</f>
        <v>NO</v>
      </c>
      <c r="D2816" s="6">
        <v>13</v>
      </c>
      <c r="E2816" s="6">
        <v>9264</v>
      </c>
      <c r="F2816" s="6">
        <v>0</v>
      </c>
      <c r="G2816" s="6">
        <v>0</v>
      </c>
      <c r="H2816" s="6">
        <v>0</v>
      </c>
      <c r="I2816" s="6">
        <v>6483</v>
      </c>
      <c r="J2816" s="6">
        <v>2781</v>
      </c>
      <c r="K2816" s="40">
        <v>0</v>
      </c>
      <c r="L2816" s="40">
        <v>0</v>
      </c>
      <c r="M2816" s="40">
        <v>9205</v>
      </c>
      <c r="N2816" s="40">
        <v>1246</v>
      </c>
      <c r="O2816" s="40">
        <v>3273</v>
      </c>
      <c r="P2816" s="40">
        <v>4686</v>
      </c>
      <c r="Q2816" s="40">
        <v>0</v>
      </c>
      <c r="R2816" s="40">
        <v>0</v>
      </c>
      <c r="S2816" s="40">
        <v>0</v>
      </c>
    </row>
    <row r="2817" spans="1:19" x14ac:dyDescent="0.35">
      <c r="A2817" s="38">
        <v>2941</v>
      </c>
      <c r="B2817" s="38" t="str">
        <f>_xlfn.XLOOKUP(A2817,'Model Modeshare by TAZ'!A:A,'Model Modeshare by TAZ'!B:B)</f>
        <v>Unincorporated</v>
      </c>
      <c r="C2817" s="38" t="str">
        <f>_xlfn.XLOOKUP(A2817,'Model Modeshare by TAZ'!A:A,'Model Modeshare by TAZ'!D:D)</f>
        <v>NO</v>
      </c>
      <c r="D2817" s="6">
        <v>13</v>
      </c>
      <c r="E2817" s="6">
        <v>971</v>
      </c>
      <c r="F2817" s="6">
        <v>0</v>
      </c>
      <c r="G2817" s="6">
        <v>0</v>
      </c>
      <c r="H2817" s="6">
        <v>0</v>
      </c>
      <c r="I2817" s="6">
        <v>785</v>
      </c>
      <c r="J2817" s="6">
        <v>186</v>
      </c>
      <c r="K2817" s="40">
        <v>0</v>
      </c>
      <c r="L2817" s="40">
        <v>0</v>
      </c>
      <c r="M2817" s="40">
        <v>10768</v>
      </c>
      <c r="N2817" s="40">
        <v>1787</v>
      </c>
      <c r="O2817" s="40">
        <v>2504</v>
      </c>
      <c r="P2817" s="40">
        <v>6477</v>
      </c>
      <c r="Q2817" s="40">
        <v>0</v>
      </c>
      <c r="R2817" s="40">
        <v>0</v>
      </c>
      <c r="S2817" s="40">
        <v>0</v>
      </c>
    </row>
    <row r="2818" spans="1:19" x14ac:dyDescent="0.35">
      <c r="A2818" s="38">
        <v>2942</v>
      </c>
      <c r="B2818" s="38" t="str">
        <f>_xlfn.XLOOKUP(A2818,'Model Modeshare by TAZ'!A:A,'Model Modeshare by TAZ'!B:B)</f>
        <v>Stockton</v>
      </c>
      <c r="C2818" s="38" t="str">
        <f>_xlfn.XLOOKUP(A2818,'Model Modeshare by TAZ'!A:A,'Model Modeshare by TAZ'!D:D)</f>
        <v>NO</v>
      </c>
      <c r="D2818" s="6">
        <v>13</v>
      </c>
      <c r="E2818" s="6">
        <v>3292</v>
      </c>
      <c r="F2818" s="6">
        <v>0</v>
      </c>
      <c r="G2818" s="6">
        <v>0</v>
      </c>
      <c r="H2818" s="6">
        <v>0</v>
      </c>
      <c r="I2818" s="6">
        <v>2913</v>
      </c>
      <c r="J2818" s="6">
        <v>379</v>
      </c>
      <c r="K2818" s="40">
        <v>0</v>
      </c>
      <c r="L2818" s="40">
        <v>0</v>
      </c>
      <c r="M2818" s="40">
        <v>1902</v>
      </c>
      <c r="N2818" s="40">
        <v>114</v>
      </c>
      <c r="O2818" s="40">
        <v>634</v>
      </c>
      <c r="P2818" s="40">
        <v>1154</v>
      </c>
      <c r="Q2818" s="40">
        <v>0</v>
      </c>
      <c r="R2818" s="40">
        <v>0</v>
      </c>
      <c r="S2818" s="40">
        <v>0</v>
      </c>
    </row>
    <row r="2819" spans="1:19" x14ac:dyDescent="0.35">
      <c r="A2819" s="38">
        <v>2943</v>
      </c>
      <c r="B2819" s="38" t="str">
        <f>_xlfn.XLOOKUP(A2819,'Model Modeshare by TAZ'!A:A,'Model Modeshare by TAZ'!B:B)</f>
        <v>Stockton</v>
      </c>
      <c r="C2819" s="38" t="str">
        <f>_xlfn.XLOOKUP(A2819,'Model Modeshare by TAZ'!A:A,'Model Modeshare by TAZ'!D:D)</f>
        <v>NO</v>
      </c>
      <c r="D2819" s="6">
        <v>13</v>
      </c>
      <c r="E2819" s="6">
        <v>5276</v>
      </c>
      <c r="F2819" s="6">
        <v>0</v>
      </c>
      <c r="G2819" s="6">
        <v>0</v>
      </c>
      <c r="H2819" s="6">
        <v>0</v>
      </c>
      <c r="I2819" s="6">
        <v>4676</v>
      </c>
      <c r="J2819" s="6">
        <v>600</v>
      </c>
      <c r="K2819" s="40">
        <v>0</v>
      </c>
      <c r="L2819" s="40">
        <v>0</v>
      </c>
      <c r="M2819" s="40">
        <v>5042</v>
      </c>
      <c r="N2819" s="40">
        <v>727</v>
      </c>
      <c r="O2819" s="40">
        <v>1076</v>
      </c>
      <c r="P2819" s="40">
        <v>3239</v>
      </c>
      <c r="Q2819" s="40">
        <v>0</v>
      </c>
      <c r="R2819" s="40">
        <v>0</v>
      </c>
      <c r="S2819" s="40">
        <v>0</v>
      </c>
    </row>
    <row r="2820" spans="1:19" x14ac:dyDescent="0.35">
      <c r="A2820" s="38">
        <v>2944</v>
      </c>
      <c r="B2820" s="38" t="str">
        <f>_xlfn.XLOOKUP(A2820,'Model Modeshare by TAZ'!A:A,'Model Modeshare by TAZ'!B:B)</f>
        <v>Stockton</v>
      </c>
      <c r="C2820" s="38" t="str">
        <f>_xlfn.XLOOKUP(A2820,'Model Modeshare by TAZ'!A:A,'Model Modeshare by TAZ'!D:D)</f>
        <v>NO</v>
      </c>
      <c r="D2820" s="6">
        <v>13</v>
      </c>
      <c r="E2820" s="6">
        <v>8273</v>
      </c>
      <c r="F2820" s="6">
        <v>0</v>
      </c>
      <c r="G2820" s="6">
        <v>0</v>
      </c>
      <c r="H2820" s="6">
        <v>0</v>
      </c>
      <c r="I2820" s="6">
        <v>6965</v>
      </c>
      <c r="J2820" s="6">
        <v>1308</v>
      </c>
      <c r="K2820" s="40">
        <v>0</v>
      </c>
      <c r="L2820" s="40">
        <v>0</v>
      </c>
      <c r="M2820" s="40">
        <v>3983</v>
      </c>
      <c r="N2820" s="40">
        <v>337</v>
      </c>
      <c r="O2820" s="40">
        <v>1340</v>
      </c>
      <c r="P2820" s="40">
        <v>2306</v>
      </c>
      <c r="Q2820" s="40">
        <v>0</v>
      </c>
      <c r="R2820" s="40">
        <v>0</v>
      </c>
      <c r="S2820" s="40">
        <v>0</v>
      </c>
    </row>
    <row r="2821" spans="1:19" x14ac:dyDescent="0.35">
      <c r="A2821" s="38">
        <v>2945</v>
      </c>
      <c r="B2821" s="38" t="str">
        <f>_xlfn.XLOOKUP(A2821,'Model Modeshare by TAZ'!A:A,'Model Modeshare by TAZ'!B:B)</f>
        <v>Stockton</v>
      </c>
      <c r="C2821" s="38" t="str">
        <f>_xlfn.XLOOKUP(A2821,'Model Modeshare by TAZ'!A:A,'Model Modeshare by TAZ'!D:D)</f>
        <v>NO</v>
      </c>
      <c r="D2821" s="6">
        <v>13</v>
      </c>
      <c r="E2821" s="6">
        <v>7934</v>
      </c>
      <c r="F2821" s="6">
        <v>0</v>
      </c>
      <c r="G2821" s="6">
        <v>0</v>
      </c>
      <c r="H2821" s="6">
        <v>0</v>
      </c>
      <c r="I2821" s="6">
        <v>7772</v>
      </c>
      <c r="J2821" s="6">
        <v>162</v>
      </c>
      <c r="K2821" s="40">
        <v>0</v>
      </c>
      <c r="L2821" s="40">
        <v>0</v>
      </c>
      <c r="M2821" s="40">
        <v>5157</v>
      </c>
      <c r="N2821" s="40">
        <v>706</v>
      </c>
      <c r="O2821" s="40">
        <v>2584</v>
      </c>
      <c r="P2821" s="40">
        <v>1867</v>
      </c>
      <c r="Q2821" s="40">
        <v>0</v>
      </c>
      <c r="R2821" s="40">
        <v>0</v>
      </c>
      <c r="S2821" s="40">
        <v>0</v>
      </c>
    </row>
    <row r="2822" spans="1:19" x14ac:dyDescent="0.35">
      <c r="A2822" s="38">
        <v>2946</v>
      </c>
      <c r="B2822" s="38" t="str">
        <f>_xlfn.XLOOKUP(A2822,'Model Modeshare by TAZ'!A:A,'Model Modeshare by TAZ'!B:B)</f>
        <v>Stockton</v>
      </c>
      <c r="C2822" s="38" t="str">
        <f>_xlfn.XLOOKUP(A2822,'Model Modeshare by TAZ'!A:A,'Model Modeshare by TAZ'!D:D)</f>
        <v>NO</v>
      </c>
      <c r="D2822" s="6">
        <v>13</v>
      </c>
      <c r="E2822" s="6">
        <v>8711</v>
      </c>
      <c r="F2822" s="6">
        <v>0</v>
      </c>
      <c r="G2822" s="6">
        <v>0</v>
      </c>
      <c r="H2822" s="6">
        <v>0</v>
      </c>
      <c r="I2822" s="6">
        <v>6011</v>
      </c>
      <c r="J2822" s="6">
        <v>2699</v>
      </c>
      <c r="K2822" s="40">
        <v>0</v>
      </c>
      <c r="L2822" s="40">
        <v>0</v>
      </c>
      <c r="M2822" s="40">
        <v>16225</v>
      </c>
      <c r="N2822" s="40">
        <v>4007</v>
      </c>
      <c r="O2822" s="40">
        <v>3640</v>
      </c>
      <c r="P2822" s="40">
        <v>8578</v>
      </c>
      <c r="Q2822" s="40">
        <v>0</v>
      </c>
      <c r="R2822" s="40">
        <v>0</v>
      </c>
      <c r="S2822" s="40">
        <v>0</v>
      </c>
    </row>
    <row r="2823" spans="1:19" x14ac:dyDescent="0.35">
      <c r="A2823" s="38">
        <v>2947</v>
      </c>
      <c r="B2823" s="38" t="str">
        <f>_xlfn.XLOOKUP(A2823,'Model Modeshare by TAZ'!A:A,'Model Modeshare by TAZ'!B:B)</f>
        <v>Stockton</v>
      </c>
      <c r="C2823" s="38" t="str">
        <f>_xlfn.XLOOKUP(A2823,'Model Modeshare by TAZ'!A:A,'Model Modeshare by TAZ'!D:D)</f>
        <v>NO</v>
      </c>
      <c r="D2823" s="6">
        <v>13</v>
      </c>
      <c r="E2823" s="6">
        <v>4347</v>
      </c>
      <c r="F2823" s="6">
        <v>0</v>
      </c>
      <c r="G2823" s="6">
        <v>0</v>
      </c>
      <c r="H2823" s="6">
        <v>0</v>
      </c>
      <c r="I2823" s="6">
        <v>1415</v>
      </c>
      <c r="J2823" s="6">
        <v>2931</v>
      </c>
      <c r="K2823" s="40">
        <v>0</v>
      </c>
      <c r="L2823" s="40">
        <v>0</v>
      </c>
      <c r="M2823" s="40">
        <v>13820</v>
      </c>
      <c r="N2823" s="40">
        <v>2693</v>
      </c>
      <c r="O2823" s="40">
        <v>3990</v>
      </c>
      <c r="P2823" s="40">
        <v>7137</v>
      </c>
      <c r="Q2823" s="40">
        <v>0</v>
      </c>
      <c r="R2823" s="40">
        <v>0</v>
      </c>
      <c r="S2823" s="40">
        <v>0</v>
      </c>
    </row>
    <row r="2824" spans="1:19" x14ac:dyDescent="0.35">
      <c r="A2824" s="38">
        <v>2948</v>
      </c>
      <c r="B2824" s="38" t="str">
        <f>_xlfn.XLOOKUP(A2824,'Model Modeshare by TAZ'!A:A,'Model Modeshare by TAZ'!B:B)</f>
        <v>Stockton</v>
      </c>
      <c r="C2824" s="38" t="str">
        <f>_xlfn.XLOOKUP(A2824,'Model Modeshare by TAZ'!A:A,'Model Modeshare by TAZ'!D:D)</f>
        <v>NO</v>
      </c>
      <c r="D2824" s="6">
        <v>13</v>
      </c>
      <c r="E2824" s="6">
        <v>9374</v>
      </c>
      <c r="F2824" s="6">
        <v>0</v>
      </c>
      <c r="G2824" s="6">
        <v>0</v>
      </c>
      <c r="H2824" s="6">
        <v>0</v>
      </c>
      <c r="I2824" s="6">
        <v>7648</v>
      </c>
      <c r="J2824" s="6">
        <v>1726</v>
      </c>
      <c r="K2824" s="40">
        <v>0</v>
      </c>
      <c r="L2824" s="40">
        <v>0</v>
      </c>
      <c r="M2824" s="40">
        <v>12074</v>
      </c>
      <c r="N2824" s="40">
        <v>1339</v>
      </c>
      <c r="O2824" s="40">
        <v>4580</v>
      </c>
      <c r="P2824" s="40">
        <v>6155</v>
      </c>
      <c r="Q2824" s="40">
        <v>0</v>
      </c>
      <c r="R2824" s="40">
        <v>0</v>
      </c>
      <c r="S2824" s="40">
        <v>0</v>
      </c>
    </row>
    <row r="2825" spans="1:19" x14ac:dyDescent="0.35">
      <c r="A2825" s="38">
        <v>2949</v>
      </c>
      <c r="B2825" s="38" t="str">
        <f>_xlfn.XLOOKUP(A2825,'Model Modeshare by TAZ'!A:A,'Model Modeshare by TAZ'!B:B)</f>
        <v>Unincorporated</v>
      </c>
      <c r="C2825" s="38" t="str">
        <f>_xlfn.XLOOKUP(A2825,'Model Modeshare by TAZ'!A:A,'Model Modeshare by TAZ'!D:D)</f>
        <v>NO</v>
      </c>
      <c r="D2825" s="6">
        <v>13</v>
      </c>
      <c r="E2825" s="6">
        <v>6945</v>
      </c>
      <c r="F2825" s="6">
        <v>0</v>
      </c>
      <c r="G2825" s="6">
        <v>0</v>
      </c>
      <c r="H2825" s="6">
        <v>0</v>
      </c>
      <c r="I2825" s="6">
        <v>6095</v>
      </c>
      <c r="J2825" s="6">
        <v>850</v>
      </c>
      <c r="K2825" s="40">
        <v>0</v>
      </c>
      <c r="L2825" s="40">
        <v>0</v>
      </c>
      <c r="M2825" s="40">
        <v>11542</v>
      </c>
      <c r="N2825" s="40">
        <v>2008</v>
      </c>
      <c r="O2825" s="40">
        <v>5919</v>
      </c>
      <c r="P2825" s="40">
        <v>3615</v>
      </c>
      <c r="Q2825" s="40">
        <v>0</v>
      </c>
      <c r="R2825" s="40">
        <v>0</v>
      </c>
      <c r="S2825" s="40">
        <v>0</v>
      </c>
    </row>
    <row r="2826" spans="1:19" x14ac:dyDescent="0.35">
      <c r="A2826" s="38">
        <v>2950</v>
      </c>
      <c r="B2826" s="38" t="str">
        <f>_xlfn.XLOOKUP(A2826,'Model Modeshare by TAZ'!A:A,'Model Modeshare by TAZ'!B:B)</f>
        <v>Unincorporated</v>
      </c>
      <c r="C2826" s="38" t="str">
        <f>_xlfn.XLOOKUP(A2826,'Model Modeshare by TAZ'!A:A,'Model Modeshare by TAZ'!D:D)</f>
        <v>NO</v>
      </c>
      <c r="D2826" s="6">
        <v>13</v>
      </c>
      <c r="E2826" s="6">
        <v>17059</v>
      </c>
      <c r="F2826" s="6">
        <v>0</v>
      </c>
      <c r="G2826" s="6">
        <v>0</v>
      </c>
      <c r="H2826" s="6">
        <v>0</v>
      </c>
      <c r="I2826" s="6">
        <v>13353</v>
      </c>
      <c r="J2826" s="6">
        <v>3706</v>
      </c>
      <c r="K2826" s="40">
        <v>0</v>
      </c>
      <c r="L2826" s="40">
        <v>0</v>
      </c>
      <c r="M2826" s="40">
        <v>15379</v>
      </c>
      <c r="N2826" s="40">
        <v>2440</v>
      </c>
      <c r="O2826" s="40">
        <v>8747</v>
      </c>
      <c r="P2826" s="40">
        <v>4192</v>
      </c>
      <c r="Q2826" s="40">
        <v>0</v>
      </c>
      <c r="R2826" s="40">
        <v>0</v>
      </c>
      <c r="S2826" s="40">
        <v>0</v>
      </c>
    </row>
    <row r="2827" spans="1:19" x14ac:dyDescent="0.35">
      <c r="A2827" s="38">
        <v>2951</v>
      </c>
      <c r="B2827" s="38" t="str">
        <f>_xlfn.XLOOKUP(A2827,'Model Modeshare by TAZ'!A:A,'Model Modeshare by TAZ'!B:B)</f>
        <v>Tracy</v>
      </c>
      <c r="C2827" s="38" t="str">
        <f>_xlfn.XLOOKUP(A2827,'Model Modeshare by TAZ'!A:A,'Model Modeshare by TAZ'!D:D)</f>
        <v>NO</v>
      </c>
      <c r="D2827" s="6">
        <v>13</v>
      </c>
      <c r="E2827" s="6">
        <v>7839</v>
      </c>
      <c r="F2827" s="6">
        <v>0</v>
      </c>
      <c r="G2827" s="6">
        <v>0</v>
      </c>
      <c r="H2827" s="6">
        <v>0</v>
      </c>
      <c r="I2827" s="6">
        <v>5346</v>
      </c>
      <c r="J2827" s="6">
        <v>2493</v>
      </c>
      <c r="K2827" s="40">
        <v>0</v>
      </c>
      <c r="L2827" s="40">
        <v>0</v>
      </c>
      <c r="M2827" s="40">
        <v>4747</v>
      </c>
      <c r="N2827" s="40">
        <v>751</v>
      </c>
      <c r="O2827" s="40">
        <v>2562</v>
      </c>
      <c r="P2827" s="40">
        <v>1434</v>
      </c>
      <c r="Q2827" s="40">
        <v>0</v>
      </c>
      <c r="R2827" s="40">
        <v>0</v>
      </c>
      <c r="S2827" s="40">
        <v>0</v>
      </c>
    </row>
    <row r="2828" spans="1:19" x14ac:dyDescent="0.35">
      <c r="A2828" s="38">
        <v>2952</v>
      </c>
      <c r="B2828" s="38" t="str">
        <f>_xlfn.XLOOKUP(A2828,'Model Modeshare by TAZ'!A:A,'Model Modeshare by TAZ'!B:B)</f>
        <v>Stockton</v>
      </c>
      <c r="C2828" s="38" t="str">
        <f>_xlfn.XLOOKUP(A2828,'Model Modeshare by TAZ'!A:A,'Model Modeshare by TAZ'!D:D)</f>
        <v>NO</v>
      </c>
      <c r="D2828" s="6">
        <v>13</v>
      </c>
      <c r="E2828" s="6">
        <v>33635</v>
      </c>
      <c r="F2828" s="6">
        <v>0</v>
      </c>
      <c r="G2828" s="6">
        <v>0</v>
      </c>
      <c r="H2828" s="6">
        <v>0</v>
      </c>
      <c r="I2828" s="6">
        <v>24243</v>
      </c>
      <c r="J2828" s="6">
        <v>9392</v>
      </c>
      <c r="K2828" s="40">
        <v>0</v>
      </c>
      <c r="L2828" s="40">
        <v>0</v>
      </c>
      <c r="M2828" s="40">
        <v>28302</v>
      </c>
      <c r="N2828" s="40">
        <v>5216</v>
      </c>
      <c r="O2828" s="40">
        <v>16427</v>
      </c>
      <c r="P2828" s="40">
        <v>6659</v>
      </c>
      <c r="Q2828" s="40">
        <v>0</v>
      </c>
      <c r="R2828" s="40">
        <v>0</v>
      </c>
      <c r="S2828" s="40">
        <v>0</v>
      </c>
    </row>
    <row r="2829" spans="1:19" x14ac:dyDescent="0.35">
      <c r="A2829" s="38">
        <v>2953</v>
      </c>
      <c r="B2829" s="38" t="str">
        <f>_xlfn.XLOOKUP(A2829,'Model Modeshare by TAZ'!A:A,'Model Modeshare by TAZ'!B:B)</f>
        <v>Unincorporated</v>
      </c>
      <c r="C2829" s="38" t="str">
        <f>_xlfn.XLOOKUP(A2829,'Model Modeshare by TAZ'!A:A,'Model Modeshare by TAZ'!D:D)</f>
        <v>NO</v>
      </c>
      <c r="D2829" s="6">
        <v>13</v>
      </c>
      <c r="E2829" s="6">
        <v>985</v>
      </c>
      <c r="F2829" s="6">
        <v>0</v>
      </c>
      <c r="G2829" s="6">
        <v>0</v>
      </c>
      <c r="H2829" s="6">
        <v>0</v>
      </c>
      <c r="I2829" s="6">
        <v>480</v>
      </c>
      <c r="J2829" s="6">
        <v>505</v>
      </c>
      <c r="K2829" s="40">
        <v>0</v>
      </c>
      <c r="L2829" s="40">
        <v>0</v>
      </c>
      <c r="M2829" s="40">
        <v>1256</v>
      </c>
      <c r="N2829" s="40">
        <v>38</v>
      </c>
      <c r="O2829" s="40">
        <v>635</v>
      </c>
      <c r="P2829" s="40">
        <v>583</v>
      </c>
      <c r="Q2829" s="40">
        <v>0</v>
      </c>
      <c r="R2829" s="40">
        <v>0</v>
      </c>
      <c r="S2829" s="40">
        <v>0</v>
      </c>
    </row>
    <row r="2830" spans="1:19" x14ac:dyDescent="0.35">
      <c r="A2830" s="38">
        <v>2954</v>
      </c>
      <c r="B2830" s="38" t="str">
        <f>_xlfn.XLOOKUP(A2830,'Model Modeshare by TAZ'!A:A,'Model Modeshare by TAZ'!B:B)</f>
        <v>Unincorporated</v>
      </c>
      <c r="C2830" s="38" t="str">
        <f>_xlfn.XLOOKUP(A2830,'Model Modeshare by TAZ'!A:A,'Model Modeshare by TAZ'!D:D)</f>
        <v>NO</v>
      </c>
      <c r="D2830" s="6">
        <v>13</v>
      </c>
      <c r="E2830" s="6">
        <v>24982</v>
      </c>
      <c r="F2830" s="6">
        <v>0</v>
      </c>
      <c r="G2830" s="6">
        <v>0</v>
      </c>
      <c r="H2830" s="6">
        <v>0</v>
      </c>
      <c r="I2830" s="6">
        <v>18131</v>
      </c>
      <c r="J2830" s="6">
        <v>6851</v>
      </c>
      <c r="K2830" s="40">
        <v>0</v>
      </c>
      <c r="L2830" s="40">
        <v>0</v>
      </c>
      <c r="M2830" s="40">
        <v>29351</v>
      </c>
      <c r="N2830" s="40">
        <v>4204</v>
      </c>
      <c r="O2830" s="40">
        <v>12032</v>
      </c>
      <c r="P2830" s="40">
        <v>13115</v>
      </c>
      <c r="Q2830" s="40">
        <v>0</v>
      </c>
      <c r="R2830" s="40">
        <v>0</v>
      </c>
      <c r="S2830" s="40">
        <v>0</v>
      </c>
    </row>
    <row r="2831" spans="1:19" x14ac:dyDescent="0.35">
      <c r="A2831" s="38">
        <v>2955</v>
      </c>
      <c r="B2831" s="38" t="str">
        <f>_xlfn.XLOOKUP(A2831,'Model Modeshare by TAZ'!A:A,'Model Modeshare by TAZ'!B:B)</f>
        <v>Unincorporated</v>
      </c>
      <c r="C2831" s="38" t="str">
        <f>_xlfn.XLOOKUP(A2831,'Model Modeshare by TAZ'!A:A,'Model Modeshare by TAZ'!D:D)</f>
        <v>NO</v>
      </c>
      <c r="D2831" s="6">
        <v>13</v>
      </c>
      <c r="E2831" s="6">
        <v>4178</v>
      </c>
      <c r="F2831" s="6">
        <v>0</v>
      </c>
      <c r="G2831" s="6">
        <v>0</v>
      </c>
      <c r="H2831" s="6">
        <v>0</v>
      </c>
      <c r="I2831" s="6">
        <v>3734</v>
      </c>
      <c r="J2831" s="6">
        <v>444</v>
      </c>
      <c r="K2831" s="40">
        <v>0</v>
      </c>
      <c r="L2831" s="40">
        <v>0</v>
      </c>
      <c r="M2831" s="40">
        <v>4312</v>
      </c>
      <c r="N2831" s="40">
        <v>341</v>
      </c>
      <c r="O2831" s="40">
        <v>1047</v>
      </c>
      <c r="P2831" s="40">
        <v>2924</v>
      </c>
      <c r="Q2831" s="40">
        <v>0</v>
      </c>
      <c r="R2831" s="40">
        <v>0</v>
      </c>
      <c r="S2831" s="40">
        <v>0</v>
      </c>
    </row>
    <row r="2832" spans="1:19" x14ac:dyDescent="0.35">
      <c r="A2832" s="38">
        <v>2956</v>
      </c>
      <c r="B2832" s="38" t="str">
        <f>_xlfn.XLOOKUP(A2832,'Model Modeshare by TAZ'!A:A,'Model Modeshare by TAZ'!B:B)</f>
        <v>Unincorporated</v>
      </c>
      <c r="C2832" s="38" t="str">
        <f>_xlfn.XLOOKUP(A2832,'Model Modeshare by TAZ'!A:A,'Model Modeshare by TAZ'!D:D)</f>
        <v>NO</v>
      </c>
      <c r="D2832" s="6">
        <v>13</v>
      </c>
      <c r="E2832" s="6">
        <v>2077</v>
      </c>
      <c r="F2832" s="6">
        <v>0</v>
      </c>
      <c r="G2832" s="6">
        <v>0</v>
      </c>
      <c r="H2832" s="6">
        <v>0</v>
      </c>
      <c r="I2832" s="6">
        <v>1928</v>
      </c>
      <c r="J2832" s="6">
        <v>149</v>
      </c>
      <c r="K2832" s="40">
        <v>0</v>
      </c>
      <c r="L2832" s="40">
        <v>0</v>
      </c>
      <c r="M2832" s="40">
        <v>3607</v>
      </c>
      <c r="N2832" s="40">
        <v>805</v>
      </c>
      <c r="O2832" s="40">
        <v>2004</v>
      </c>
      <c r="P2832" s="40">
        <v>798</v>
      </c>
      <c r="Q2832" s="40">
        <v>0</v>
      </c>
      <c r="R2832" s="40">
        <v>0</v>
      </c>
      <c r="S2832" s="40">
        <v>0</v>
      </c>
    </row>
    <row r="2833" spans="1:19" x14ac:dyDescent="0.35">
      <c r="A2833" s="38">
        <v>2957</v>
      </c>
      <c r="B2833" s="38" t="str">
        <f>_xlfn.XLOOKUP(A2833,'Model Modeshare by TAZ'!A:A,'Model Modeshare by TAZ'!B:B)</f>
        <v>Unincorporated</v>
      </c>
      <c r="C2833" s="38" t="str">
        <f>_xlfn.XLOOKUP(A2833,'Model Modeshare by TAZ'!A:A,'Model Modeshare by TAZ'!D:D)</f>
        <v>NO</v>
      </c>
      <c r="D2833" s="6">
        <v>13</v>
      </c>
      <c r="E2833" s="6">
        <v>5011</v>
      </c>
      <c r="F2833" s="6">
        <v>0</v>
      </c>
      <c r="G2833" s="6">
        <v>0</v>
      </c>
      <c r="H2833" s="6">
        <v>0</v>
      </c>
      <c r="I2833" s="6">
        <v>4562</v>
      </c>
      <c r="J2833" s="6">
        <v>449</v>
      </c>
      <c r="K2833" s="40">
        <v>0</v>
      </c>
      <c r="L2833" s="40">
        <v>0</v>
      </c>
      <c r="M2833" s="40">
        <v>6354</v>
      </c>
      <c r="N2833" s="40">
        <v>886</v>
      </c>
      <c r="O2833" s="40">
        <v>4256</v>
      </c>
      <c r="P2833" s="40">
        <v>1212</v>
      </c>
      <c r="Q2833" s="40">
        <v>0</v>
      </c>
      <c r="R2833" s="40">
        <v>0</v>
      </c>
      <c r="S2833" s="40">
        <v>0</v>
      </c>
    </row>
    <row r="2834" spans="1:19" x14ac:dyDescent="0.35">
      <c r="A2834" s="38">
        <v>2958</v>
      </c>
      <c r="B2834" s="38" t="str">
        <f>_xlfn.XLOOKUP(A2834,'Model Modeshare by TAZ'!A:A,'Model Modeshare by TAZ'!B:B)</f>
        <v>Unincorporated</v>
      </c>
      <c r="C2834" s="38" t="str">
        <f>_xlfn.XLOOKUP(A2834,'Model Modeshare by TAZ'!A:A,'Model Modeshare by TAZ'!D:D)</f>
        <v>NO</v>
      </c>
      <c r="D2834" s="6">
        <v>13</v>
      </c>
      <c r="E2834" s="6">
        <v>3477</v>
      </c>
      <c r="F2834" s="6">
        <v>0</v>
      </c>
      <c r="G2834" s="6">
        <v>0</v>
      </c>
      <c r="H2834" s="6">
        <v>0</v>
      </c>
      <c r="I2834" s="6">
        <v>2392</v>
      </c>
      <c r="J2834" s="6">
        <v>1085</v>
      </c>
      <c r="K2834" s="40">
        <v>0</v>
      </c>
      <c r="L2834" s="40">
        <v>0</v>
      </c>
      <c r="M2834" s="40">
        <v>3541</v>
      </c>
      <c r="N2834" s="40">
        <v>515</v>
      </c>
      <c r="O2834" s="40">
        <v>1063</v>
      </c>
      <c r="P2834" s="40">
        <v>1963</v>
      </c>
      <c r="Q2834" s="40">
        <v>0</v>
      </c>
      <c r="R2834" s="40">
        <v>0</v>
      </c>
      <c r="S2834" s="40">
        <v>0</v>
      </c>
    </row>
  </sheetData>
  <autoFilter ref="A3:S2834" xr:uid="{98C72D5F-8158-4438-AABD-C802A450EB51}"/>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9A0F-F4B3-49E1-8491-D861660771DD}">
  <sheetPr>
    <tabColor theme="8"/>
  </sheetPr>
  <dimension ref="B1:AC39"/>
  <sheetViews>
    <sheetView tabSelected="1" topLeftCell="A11" zoomScaleNormal="100" workbookViewId="0">
      <selection activeCell="C25" sqref="C25"/>
    </sheetView>
  </sheetViews>
  <sheetFormatPr defaultRowHeight="14.5" x14ac:dyDescent="0.35"/>
  <cols>
    <col min="2" max="2" width="52.7265625" customWidth="1"/>
    <col min="3" max="3" width="26.1796875" customWidth="1"/>
    <col min="4" max="4" width="35.54296875" bestFit="1" customWidth="1"/>
    <col min="5" max="5" width="13.1796875" customWidth="1"/>
    <col min="6" max="6" width="23" bestFit="1" customWidth="1"/>
    <col min="7" max="7" width="12.1796875" customWidth="1"/>
    <col min="8" max="8" width="12" bestFit="1" customWidth="1"/>
  </cols>
  <sheetData>
    <row r="1" spans="2:29" ht="31" x14ac:dyDescent="0.7">
      <c r="B1" s="8" t="s">
        <v>175</v>
      </c>
    </row>
    <row r="3" spans="2:29" x14ac:dyDescent="0.35">
      <c r="B3" s="9" t="s">
        <v>29</v>
      </c>
      <c r="C3" s="10"/>
      <c r="D3" s="10"/>
      <c r="E3" s="10"/>
      <c r="F3" s="10"/>
      <c r="G3" s="10"/>
      <c r="H3" s="10"/>
      <c r="I3" s="10"/>
      <c r="J3" s="10"/>
      <c r="K3" s="10"/>
      <c r="L3" s="10"/>
      <c r="M3" s="10"/>
      <c r="N3" s="10"/>
      <c r="O3" s="10"/>
      <c r="P3" s="10"/>
      <c r="Q3" s="10"/>
      <c r="R3" s="10"/>
      <c r="S3" s="10"/>
      <c r="T3" s="10"/>
      <c r="U3" s="10"/>
      <c r="V3" s="10"/>
      <c r="W3" s="10"/>
      <c r="X3" s="10"/>
      <c r="Y3" s="11"/>
      <c r="AC3" t="s">
        <v>148</v>
      </c>
    </row>
    <row r="4" spans="2:29" x14ac:dyDescent="0.35">
      <c r="B4" s="49" t="s">
        <v>456</v>
      </c>
      <c r="Y4" s="13"/>
      <c r="AC4" t="s">
        <v>149</v>
      </c>
    </row>
    <row r="5" spans="2:29" x14ac:dyDescent="0.35">
      <c r="B5" s="14"/>
      <c r="C5" s="15"/>
      <c r="D5" s="15"/>
      <c r="E5" s="15"/>
      <c r="F5" s="15"/>
      <c r="G5" s="15"/>
      <c r="H5" s="15"/>
      <c r="I5" s="15"/>
      <c r="J5" s="15"/>
      <c r="K5" s="15"/>
      <c r="L5" s="15"/>
      <c r="M5" s="15"/>
      <c r="N5" s="15"/>
      <c r="O5" s="15"/>
      <c r="P5" s="15"/>
      <c r="Q5" s="15"/>
      <c r="R5" s="15"/>
      <c r="S5" s="15"/>
      <c r="T5" s="15"/>
      <c r="U5" s="15"/>
      <c r="V5" s="15"/>
      <c r="W5" s="15"/>
      <c r="X5" s="15"/>
      <c r="Y5" s="16"/>
    </row>
    <row r="7" spans="2:29" x14ac:dyDescent="0.35">
      <c r="B7" s="9" t="s">
        <v>221</v>
      </c>
      <c r="C7" s="10"/>
      <c r="D7" s="10"/>
      <c r="E7" s="10"/>
      <c r="F7" s="10"/>
      <c r="G7" s="10"/>
      <c r="H7" s="10"/>
      <c r="I7" s="10"/>
      <c r="J7" s="10"/>
      <c r="K7" s="10"/>
      <c r="L7" s="10"/>
      <c r="M7" s="10"/>
      <c r="N7" s="10"/>
      <c r="O7" s="10"/>
      <c r="P7" s="10"/>
      <c r="Q7" s="10"/>
      <c r="R7" s="10"/>
      <c r="S7" s="10"/>
      <c r="T7" s="10"/>
      <c r="U7" s="10"/>
      <c r="V7" s="10"/>
      <c r="W7" s="10"/>
      <c r="X7" s="10"/>
      <c r="Y7" s="11"/>
    </row>
    <row r="8" spans="2:29" x14ac:dyDescent="0.35">
      <c r="B8" s="12" t="s">
        <v>457</v>
      </c>
      <c r="Y8" s="13"/>
    </row>
    <row r="9" spans="2:29" x14ac:dyDescent="0.35">
      <c r="B9" s="12" t="s">
        <v>458</v>
      </c>
      <c r="Y9" s="13"/>
    </row>
    <row r="10" spans="2:29" x14ac:dyDescent="0.35">
      <c r="B10" s="14"/>
      <c r="C10" s="15"/>
      <c r="D10" s="15"/>
      <c r="E10" s="15"/>
      <c r="F10" s="15"/>
      <c r="G10" s="15"/>
      <c r="H10" s="15"/>
      <c r="I10" s="15"/>
      <c r="J10" s="15"/>
      <c r="K10" s="15"/>
      <c r="L10" s="15"/>
      <c r="M10" s="15"/>
      <c r="N10" s="15"/>
      <c r="O10" s="15"/>
      <c r="P10" s="15"/>
      <c r="Q10" s="15"/>
      <c r="R10" s="15"/>
      <c r="S10" s="15"/>
      <c r="T10" s="15"/>
      <c r="U10" s="15"/>
      <c r="V10" s="15"/>
      <c r="W10" s="15"/>
      <c r="X10" s="15"/>
      <c r="Y10" s="16"/>
    </row>
    <row r="12" spans="2:29" x14ac:dyDescent="0.35">
      <c r="B12" s="9" t="s">
        <v>224</v>
      </c>
      <c r="C12" s="10"/>
      <c r="D12" s="10"/>
      <c r="E12" s="10"/>
      <c r="F12" s="10"/>
      <c r="G12" s="10"/>
      <c r="H12" s="10"/>
      <c r="I12" s="10"/>
      <c r="J12" s="10"/>
      <c r="K12" s="10"/>
      <c r="L12" s="10"/>
      <c r="M12" s="10"/>
      <c r="N12" s="10"/>
      <c r="O12" s="10"/>
      <c r="P12" s="10"/>
      <c r="Q12" s="10"/>
      <c r="R12" s="10"/>
      <c r="S12" s="10"/>
      <c r="T12" s="10"/>
      <c r="U12" s="10"/>
      <c r="V12" s="10"/>
      <c r="W12" s="10"/>
      <c r="X12" s="10"/>
      <c r="Y12" s="11"/>
    </row>
    <row r="13" spans="2:29" x14ac:dyDescent="0.35">
      <c r="B13" s="499" t="s">
        <v>225</v>
      </c>
      <c r="C13" s="17" t="s">
        <v>459</v>
      </c>
      <c r="Y13" s="13"/>
    </row>
    <row r="14" spans="2:29" x14ac:dyDescent="0.35">
      <c r="B14" s="499"/>
      <c r="C14" s="17" t="s">
        <v>460</v>
      </c>
      <c r="Y14" s="13"/>
    </row>
    <row r="15" spans="2:29"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6"/>
    </row>
    <row r="17" spans="2:25" x14ac:dyDescent="0.35">
      <c r="B17" s="2"/>
    </row>
    <row r="18" spans="2:25" x14ac:dyDescent="0.35">
      <c r="B18" s="18" t="s">
        <v>230</v>
      </c>
      <c r="C18" s="18"/>
      <c r="D18" s="18"/>
      <c r="E18" s="18"/>
      <c r="F18" s="18"/>
      <c r="G18" s="18"/>
      <c r="H18" s="18"/>
      <c r="I18" s="18"/>
      <c r="J18" s="18"/>
      <c r="K18" s="18"/>
      <c r="L18" s="18"/>
      <c r="M18" s="18"/>
      <c r="N18" s="18"/>
      <c r="O18" s="18"/>
      <c r="P18" s="18"/>
      <c r="Q18" s="18"/>
      <c r="R18" s="18"/>
      <c r="S18" s="18"/>
      <c r="T18" s="136"/>
      <c r="U18" s="136"/>
      <c r="V18" s="136"/>
      <c r="W18" s="136"/>
      <c r="X18" s="136"/>
      <c r="Y18" s="136"/>
    </row>
    <row r="20" spans="2:25" x14ac:dyDescent="0.35">
      <c r="B20" s="2" t="s">
        <v>461</v>
      </c>
    </row>
    <row r="21" spans="2:25" x14ac:dyDescent="0.35">
      <c r="B21" s="509" t="s">
        <v>285</v>
      </c>
      <c r="C21" s="509"/>
      <c r="D21" s="166" t="s">
        <v>276</v>
      </c>
      <c r="F21" s="507" t="s">
        <v>462</v>
      </c>
      <c r="G21" s="508"/>
      <c r="H21" s="166" t="s">
        <v>276</v>
      </c>
    </row>
    <row r="22" spans="2:25" ht="29" x14ac:dyDescent="0.35">
      <c r="B22" s="289" t="s">
        <v>463</v>
      </c>
      <c r="C22" s="286">
        <v>1000</v>
      </c>
      <c r="D22" s="287" t="s">
        <v>464</v>
      </c>
      <c r="F22" s="6" t="s">
        <v>465</v>
      </c>
      <c r="G22" s="140">
        <v>30</v>
      </c>
      <c r="H22" s="24" t="s">
        <v>466</v>
      </c>
    </row>
    <row r="23" spans="2:25" x14ac:dyDescent="0.35">
      <c r="B23" s="69" t="s">
        <v>467</v>
      </c>
      <c r="C23" s="482">
        <v>5000</v>
      </c>
      <c r="D23" s="24" t="s">
        <v>468</v>
      </c>
      <c r="F23" s="6" t="s">
        <v>469</v>
      </c>
      <c r="G23" s="140">
        <v>7</v>
      </c>
      <c r="H23" s="24" t="s">
        <v>466</v>
      </c>
    </row>
    <row r="24" spans="2:25" x14ac:dyDescent="0.35">
      <c r="B24" s="483" t="s">
        <v>470</v>
      </c>
      <c r="C24" s="484">
        <f>C23*G24</f>
        <v>20000</v>
      </c>
      <c r="D24" s="287"/>
      <c r="F24" s="6" t="s">
        <v>471</v>
      </c>
      <c r="G24" s="65">
        <f>ROUNDDOWN(G22/G23,0)</f>
        <v>4</v>
      </c>
      <c r="H24" s="24"/>
    </row>
    <row r="25" spans="2:25" x14ac:dyDescent="0.35">
      <c r="B25" s="285" t="s">
        <v>472</v>
      </c>
      <c r="C25" s="179">
        <f>C22*C24</f>
        <v>20000000</v>
      </c>
      <c r="D25" s="60" t="s">
        <v>473</v>
      </c>
    </row>
    <row r="26" spans="2:25" x14ac:dyDescent="0.35">
      <c r="B26" s="285" t="s">
        <v>474</v>
      </c>
      <c r="C26" s="179">
        <f>IF(G28="YES",C25*H28,0)+C25</f>
        <v>20000000</v>
      </c>
      <c r="D26" s="60" t="s">
        <v>473</v>
      </c>
      <c r="F26" s="2" t="s">
        <v>285</v>
      </c>
    </row>
    <row r="27" spans="2:25" x14ac:dyDescent="0.35">
      <c r="F27" s="106" t="s">
        <v>252</v>
      </c>
      <c r="G27" s="106" t="s">
        <v>253</v>
      </c>
      <c r="H27" s="106" t="s">
        <v>254</v>
      </c>
    </row>
    <row r="28" spans="2:25" x14ac:dyDescent="0.35">
      <c r="F28" s="250" t="s">
        <v>311</v>
      </c>
      <c r="G28" s="141" t="s">
        <v>149</v>
      </c>
      <c r="H28" s="418">
        <v>0.05</v>
      </c>
    </row>
    <row r="30" spans="2:25" x14ac:dyDescent="0.35">
      <c r="B30" s="18" t="s">
        <v>256</v>
      </c>
      <c r="C30" s="18"/>
      <c r="D30" s="18"/>
      <c r="E30" s="18"/>
      <c r="F30" s="18"/>
      <c r="G30" s="18"/>
      <c r="H30" s="18"/>
      <c r="I30" s="18"/>
      <c r="J30" s="18"/>
      <c r="K30" s="18"/>
      <c r="L30" s="18"/>
      <c r="M30" s="18"/>
      <c r="N30" s="18"/>
      <c r="O30" s="18"/>
      <c r="P30" s="18"/>
      <c r="Q30" s="18"/>
      <c r="R30" s="18"/>
      <c r="S30" s="18"/>
      <c r="T30" s="18"/>
      <c r="U30" s="18"/>
      <c r="V30" s="18"/>
      <c r="W30" s="18"/>
      <c r="X30" s="18"/>
      <c r="Y30" s="18"/>
    </row>
    <row r="32" spans="2:25" x14ac:dyDescent="0.35">
      <c r="B32" s="2" t="s">
        <v>287</v>
      </c>
    </row>
    <row r="33" spans="2:7" ht="43.5" x14ac:dyDescent="0.35">
      <c r="B33" s="37" t="s">
        <v>475</v>
      </c>
      <c r="C33" s="37" t="s">
        <v>317</v>
      </c>
      <c r="D33" s="37" t="s">
        <v>260</v>
      </c>
      <c r="E33" s="37" t="s">
        <v>261</v>
      </c>
      <c r="F33" s="37" t="s">
        <v>476</v>
      </c>
      <c r="G33" s="37" t="s">
        <v>477</v>
      </c>
    </row>
    <row r="34" spans="2:7" x14ac:dyDescent="0.35">
      <c r="B34" s="180">
        <f>B39/'Action 6 Calculations'!C25</f>
        <v>-4305.6421803535386</v>
      </c>
      <c r="C34" s="180">
        <f>C39/'Action 6 Calculations'!C25</f>
        <v>-129169.26541060615</v>
      </c>
      <c r="D34" s="186">
        <f>D39</f>
        <v>666666.66666666663</v>
      </c>
      <c r="E34" s="187">
        <f>-(D34/B34)</f>
        <v>154.83559449241699</v>
      </c>
      <c r="F34" s="186">
        <f>F39</f>
        <v>20000000</v>
      </c>
      <c r="G34" s="187">
        <f>-(F34/C34)</f>
        <v>154.83559449241702</v>
      </c>
    </row>
    <row r="37" spans="2:7" x14ac:dyDescent="0.35">
      <c r="B37" s="2" t="s">
        <v>288</v>
      </c>
    </row>
    <row r="38" spans="2:7" ht="43.5" x14ac:dyDescent="0.35">
      <c r="B38" s="37" t="s">
        <v>478</v>
      </c>
      <c r="C38" s="37" t="s">
        <v>320</v>
      </c>
      <c r="D38" s="37" t="s">
        <v>260</v>
      </c>
      <c r="E38" s="37" t="s">
        <v>261</v>
      </c>
      <c r="F38" s="37" t="s">
        <v>476</v>
      </c>
      <c r="G38" s="37" t="s">
        <v>477</v>
      </c>
    </row>
    <row r="39" spans="2:7" x14ac:dyDescent="0.35">
      <c r="B39" s="180">
        <f>'Action 6 Calculations'!C28</f>
        <v>-1270164.443204294</v>
      </c>
      <c r="C39" s="180">
        <f>B39*G22</f>
        <v>-38104933.296128817</v>
      </c>
      <c r="D39" s="186">
        <f>C26/G22</f>
        <v>666666.66666666663</v>
      </c>
      <c r="E39" s="187">
        <f>-(D39/B39)</f>
        <v>0.52486642200819311</v>
      </c>
      <c r="F39" s="186">
        <f>C26</f>
        <v>20000000</v>
      </c>
      <c r="G39" s="187">
        <f>-(F39/C39)</f>
        <v>0.52486642200819322</v>
      </c>
    </row>
  </sheetData>
  <sheetProtection sheet="1" objects="1" scenarios="1"/>
  <protectedRanges>
    <protectedRange sqref="G22:G24" name="Range2"/>
    <protectedRange sqref="C22:C24" name="Range1"/>
    <protectedRange sqref="G28:H28" name="Range3"/>
  </protectedRanges>
  <mergeCells count="3">
    <mergeCell ref="B13:B14"/>
    <mergeCell ref="B21:C21"/>
    <mergeCell ref="F21:G21"/>
  </mergeCells>
  <dataValidations count="2">
    <dataValidation type="list" allowBlank="1" showInputMessage="1" showErrorMessage="1" sqref="F31" xr:uid="{1B4AE9FE-1858-4163-93D2-BA336D45C592}">
      <formula1>$AA$4:$AA$4</formula1>
    </dataValidation>
    <dataValidation type="list" allowBlank="1" showInputMessage="1" showErrorMessage="1" sqref="G28" xr:uid="{3255C3FE-36B6-410D-97DD-43D0539FC2DF}">
      <formula1>$AC$3:$AC$4</formula1>
    </dataValidation>
  </dataValidations>
  <hyperlinks>
    <hyperlink ref="D22" r:id="rId1" display="https://www.peninsulacleanenergy.com/ebikes/" xr:uid="{B9BEA07A-FD0D-4D24-B0E2-044495C538A2}"/>
  </hyperlinks>
  <pageMargins left="0.7" right="0.7" top="0.75" bottom="0.75" header="0.3" footer="0.3"/>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10E22-0D48-4B87-9C52-2CA01B1FA8FB}">
  <sheetPr>
    <tabColor theme="8"/>
  </sheetPr>
  <dimension ref="B2:AI42"/>
  <sheetViews>
    <sheetView topLeftCell="A17" workbookViewId="0">
      <selection activeCell="C23" sqref="C23"/>
    </sheetView>
  </sheetViews>
  <sheetFormatPr defaultRowHeight="14.5" x14ac:dyDescent="0.35"/>
  <cols>
    <col min="2" max="2" width="46.54296875" customWidth="1"/>
    <col min="3" max="3" width="22.1796875" customWidth="1"/>
    <col min="4" max="4" width="24.1796875" customWidth="1"/>
    <col min="5" max="5" width="41.1796875" customWidth="1"/>
    <col min="6" max="6" width="25" customWidth="1"/>
    <col min="7" max="7" width="19.26953125" customWidth="1"/>
    <col min="19" max="19" width="0" hidden="1" customWidth="1"/>
    <col min="35" max="35" width="0" hidden="1" customWidth="1"/>
  </cols>
  <sheetData>
    <row r="2" spans="2:35" ht="31" x14ac:dyDescent="0.7">
      <c r="B2" s="8" t="s">
        <v>176</v>
      </c>
    </row>
    <row r="4" spans="2:35" x14ac:dyDescent="0.35">
      <c r="B4" s="9" t="s">
        <v>29</v>
      </c>
      <c r="C4" s="10"/>
      <c r="D4" s="10"/>
      <c r="E4" s="10"/>
      <c r="F4" s="10"/>
      <c r="G4" s="10"/>
      <c r="H4" s="10"/>
      <c r="I4" s="10"/>
      <c r="J4" s="10"/>
      <c r="K4" s="10"/>
      <c r="L4" s="10"/>
      <c r="M4" s="10"/>
      <c r="N4" s="10"/>
      <c r="O4" s="11"/>
    </row>
    <row r="5" spans="2:35" x14ac:dyDescent="0.35">
      <c r="B5" s="12" t="s">
        <v>479</v>
      </c>
      <c r="O5" s="13"/>
    </row>
    <row r="6" spans="2:35" x14ac:dyDescent="0.35">
      <c r="B6" s="12" t="s">
        <v>480</v>
      </c>
      <c r="O6" s="13"/>
    </row>
    <row r="7" spans="2:35" x14ac:dyDescent="0.35">
      <c r="B7" s="14"/>
      <c r="C7" s="15"/>
      <c r="D7" s="15"/>
      <c r="E7" s="15"/>
      <c r="F7" s="15"/>
      <c r="G7" s="15"/>
      <c r="H7" s="15"/>
      <c r="I7" s="15"/>
      <c r="J7" s="15"/>
      <c r="K7" s="15"/>
      <c r="L7" s="15"/>
      <c r="M7" s="15"/>
      <c r="N7" s="15"/>
      <c r="O7" s="16"/>
      <c r="AI7" s="4" t="s">
        <v>355</v>
      </c>
    </row>
    <row r="8" spans="2:35" x14ac:dyDescent="0.35">
      <c r="S8" t="s">
        <v>148</v>
      </c>
      <c r="AI8" s="4" t="s">
        <v>359</v>
      </c>
    </row>
    <row r="9" spans="2:35" x14ac:dyDescent="0.35">
      <c r="B9" s="9" t="s">
        <v>221</v>
      </c>
      <c r="C9" s="10"/>
      <c r="D9" s="10"/>
      <c r="E9" s="10"/>
      <c r="F9" s="10"/>
      <c r="G9" s="10"/>
      <c r="H9" s="10"/>
      <c r="I9" s="10"/>
      <c r="J9" s="10"/>
      <c r="K9" s="10"/>
      <c r="L9" s="10"/>
      <c r="M9" s="10"/>
      <c r="N9" s="10"/>
      <c r="O9" s="11"/>
      <c r="S9" t="s">
        <v>149</v>
      </c>
      <c r="AI9" s="4" t="s">
        <v>362</v>
      </c>
    </row>
    <row r="10" spans="2:35" x14ac:dyDescent="0.35">
      <c r="B10" s="49" t="s">
        <v>481</v>
      </c>
      <c r="O10" s="13"/>
      <c r="AI10" s="4" t="s">
        <v>364</v>
      </c>
    </row>
    <row r="11" spans="2:35" x14ac:dyDescent="0.35">
      <c r="B11" s="12" t="s">
        <v>482</v>
      </c>
      <c r="O11" s="13"/>
      <c r="AI11" s="4" t="s">
        <v>366</v>
      </c>
    </row>
    <row r="12" spans="2:35" x14ac:dyDescent="0.35">
      <c r="B12" s="14"/>
      <c r="C12" s="15"/>
      <c r="D12" s="15"/>
      <c r="E12" s="15"/>
      <c r="F12" s="15"/>
      <c r="G12" s="15"/>
      <c r="H12" s="15"/>
      <c r="I12" s="15"/>
      <c r="J12" s="15"/>
      <c r="K12" s="15"/>
      <c r="L12" s="15"/>
      <c r="M12" s="15"/>
      <c r="N12" s="15"/>
      <c r="O12" s="16"/>
      <c r="AI12" s="4" t="s">
        <v>368</v>
      </c>
    </row>
    <row r="13" spans="2:35" x14ac:dyDescent="0.35">
      <c r="AI13" s="4" t="s">
        <v>370</v>
      </c>
    </row>
    <row r="14" spans="2:35" x14ac:dyDescent="0.35">
      <c r="B14" s="9" t="s">
        <v>224</v>
      </c>
      <c r="C14" s="10"/>
      <c r="D14" s="10"/>
      <c r="E14" s="10"/>
      <c r="F14" s="10"/>
      <c r="G14" s="10"/>
      <c r="H14" s="10"/>
      <c r="I14" s="10"/>
      <c r="J14" s="10"/>
      <c r="K14" s="10"/>
      <c r="L14" s="10"/>
      <c r="M14" s="10"/>
      <c r="N14" s="10"/>
      <c r="O14" s="11"/>
      <c r="AI14" s="4" t="s">
        <v>372</v>
      </c>
    </row>
    <row r="15" spans="2:35" x14ac:dyDescent="0.35">
      <c r="B15" s="499" t="s">
        <v>225</v>
      </c>
      <c r="C15" s="17" t="s">
        <v>483</v>
      </c>
      <c r="O15" s="13"/>
      <c r="AI15" s="4" t="s">
        <v>373</v>
      </c>
    </row>
    <row r="16" spans="2:35" x14ac:dyDescent="0.35">
      <c r="B16" s="499"/>
      <c r="C16" t="s">
        <v>484</v>
      </c>
      <c r="O16" s="13"/>
      <c r="AI16" s="4" t="s">
        <v>374</v>
      </c>
    </row>
    <row r="17" spans="2:35" x14ac:dyDescent="0.35">
      <c r="B17" s="14"/>
      <c r="C17" s="15"/>
      <c r="D17" s="15"/>
      <c r="E17" s="15"/>
      <c r="F17" s="15"/>
      <c r="G17" s="15"/>
      <c r="H17" s="15"/>
      <c r="I17" s="15"/>
      <c r="J17" s="15"/>
      <c r="K17" s="15"/>
      <c r="L17" s="15"/>
      <c r="M17" s="15"/>
      <c r="N17" s="15"/>
      <c r="O17" s="16"/>
      <c r="AI17" s="4" t="s">
        <v>375</v>
      </c>
    </row>
    <row r="18" spans="2:35" x14ac:dyDescent="0.35">
      <c r="AI18" s="4" t="s">
        <v>376</v>
      </c>
    </row>
    <row r="19" spans="2:35" x14ac:dyDescent="0.35">
      <c r="B19" s="18" t="s">
        <v>230</v>
      </c>
      <c r="C19" s="18"/>
      <c r="D19" s="18"/>
      <c r="E19" s="18"/>
      <c r="F19" s="18"/>
      <c r="G19" s="18"/>
      <c r="H19" s="18"/>
      <c r="I19" s="18"/>
      <c r="J19" s="18"/>
      <c r="K19" s="18"/>
      <c r="L19" s="18"/>
      <c r="M19" s="18"/>
      <c r="N19" s="18"/>
      <c r="O19" s="18"/>
      <c r="P19" s="2"/>
      <c r="Q19" s="2"/>
      <c r="R19" s="2"/>
      <c r="S19" s="2"/>
      <c r="T19" s="2"/>
      <c r="U19" s="2"/>
      <c r="V19" s="2"/>
      <c r="W19" s="2"/>
      <c r="X19" s="2"/>
      <c r="Y19" s="2"/>
    </row>
    <row r="20" spans="2:35" x14ac:dyDescent="0.35">
      <c r="AI20" s="4" t="s">
        <v>378</v>
      </c>
    </row>
    <row r="21" spans="2:35" x14ac:dyDescent="0.35">
      <c r="B21" s="2" t="s">
        <v>233</v>
      </c>
      <c r="E21" s="2" t="s">
        <v>232</v>
      </c>
      <c r="AI21" s="4" t="s">
        <v>379</v>
      </c>
    </row>
    <row r="22" spans="2:35" ht="29" x14ac:dyDescent="0.35">
      <c r="B22" s="190" t="s">
        <v>485</v>
      </c>
      <c r="C22" s="255">
        <v>0.1</v>
      </c>
      <c r="E22" s="507" t="s">
        <v>232</v>
      </c>
      <c r="F22" s="508"/>
      <c r="H22" s="210"/>
      <c r="I22" s="210"/>
      <c r="J22" s="210"/>
      <c r="AI22" s="4" t="s">
        <v>380</v>
      </c>
    </row>
    <row r="23" spans="2:35" ht="29" x14ac:dyDescent="0.35">
      <c r="B23" s="190" t="s">
        <v>486</v>
      </c>
      <c r="C23" s="140" t="s">
        <v>487</v>
      </c>
      <c r="E23" s="139" t="s">
        <v>236</v>
      </c>
      <c r="F23" s="140">
        <v>30</v>
      </c>
      <c r="H23" s="210"/>
      <c r="I23" s="210"/>
      <c r="J23" s="210"/>
      <c r="AI23" s="4" t="s">
        <v>381</v>
      </c>
    </row>
    <row r="24" spans="2:35" x14ac:dyDescent="0.35">
      <c r="B24" s="190" t="s">
        <v>488</v>
      </c>
      <c r="C24" s="338">
        <f>IF(C23='Action 7 Calculations'!X2,'Action 7 Calculations'!C38,'Action 7 Calculations'!C19)</f>
        <v>264145</v>
      </c>
      <c r="AI24" s="4" t="s">
        <v>382</v>
      </c>
    </row>
    <row r="25" spans="2:35" x14ac:dyDescent="0.35">
      <c r="B25" s="190" t="s">
        <v>489</v>
      </c>
      <c r="C25" s="338">
        <f>IF(C23='Action 7 Calculations'!X2,'Action 7 Calculations'!C39,'Action 7 Calculations'!C20)</f>
        <v>26414.5</v>
      </c>
      <c r="E25" s="2" t="s">
        <v>285</v>
      </c>
      <c r="AI25" s="4" t="s">
        <v>299</v>
      </c>
    </row>
    <row r="26" spans="2:35" x14ac:dyDescent="0.35">
      <c r="E26" s="106" t="s">
        <v>252</v>
      </c>
      <c r="F26" s="106" t="s">
        <v>253</v>
      </c>
      <c r="G26" s="106" t="s">
        <v>254</v>
      </c>
      <c r="AI26" s="4" t="s">
        <v>383</v>
      </c>
    </row>
    <row r="27" spans="2:35" x14ac:dyDescent="0.35">
      <c r="B27" s="190" t="s">
        <v>490</v>
      </c>
      <c r="C27" s="392">
        <v>75</v>
      </c>
      <c r="E27" s="7" t="s">
        <v>311</v>
      </c>
      <c r="F27" s="141" t="s">
        <v>148</v>
      </c>
      <c r="G27" s="142">
        <v>0.05</v>
      </c>
    </row>
    <row r="28" spans="2:35" x14ac:dyDescent="0.35">
      <c r="B28" s="190" t="s">
        <v>350</v>
      </c>
      <c r="C28" s="393">
        <f>C27*C25</f>
        <v>1981087.5</v>
      </c>
      <c r="E28" s="28"/>
      <c r="G28" s="391"/>
    </row>
    <row r="29" spans="2:35" ht="29" x14ac:dyDescent="0.35">
      <c r="B29" s="106" t="s">
        <v>243</v>
      </c>
      <c r="C29" s="393">
        <f>IF(F27="YES", (C28*G27)+C28,C28)</f>
        <v>2080141.875</v>
      </c>
    </row>
    <row r="30" spans="2:35" x14ac:dyDescent="0.35">
      <c r="B30" s="190" t="s">
        <v>491</v>
      </c>
      <c r="C30" s="143">
        <f>IF(C23='Action 7 Calculations'!X2,'Action 7 Calculations'!C51,'Action 7 Calculations'!C32)</f>
        <v>-7195471.5732072024</v>
      </c>
    </row>
    <row r="33" spans="2:19" x14ac:dyDescent="0.35">
      <c r="B33" s="18" t="s">
        <v>256</v>
      </c>
      <c r="C33" s="18"/>
      <c r="D33" s="18"/>
      <c r="E33" s="18"/>
      <c r="F33" s="18"/>
      <c r="G33" s="18"/>
      <c r="H33" s="18"/>
      <c r="I33" s="18"/>
      <c r="J33" s="18"/>
      <c r="K33" s="18"/>
      <c r="L33" s="18"/>
      <c r="M33" s="18"/>
      <c r="N33" s="18"/>
      <c r="O33" s="18"/>
      <c r="P33" s="2"/>
      <c r="Q33" s="2"/>
      <c r="R33" s="2"/>
      <c r="S33" s="2"/>
    </row>
    <row r="35" spans="2:19" x14ac:dyDescent="0.35">
      <c r="B35" s="2" t="s">
        <v>287</v>
      </c>
    </row>
    <row r="36" spans="2:19" ht="29" x14ac:dyDescent="0.35">
      <c r="B36" s="37" t="s">
        <v>475</v>
      </c>
      <c r="C36" s="37" t="s">
        <v>259</v>
      </c>
      <c r="D36" s="37" t="s">
        <v>260</v>
      </c>
      <c r="E36" s="37" t="s">
        <v>261</v>
      </c>
      <c r="F36" s="37" t="s">
        <v>262</v>
      </c>
      <c r="G36" s="37" t="s">
        <v>263</v>
      </c>
    </row>
    <row r="37" spans="2:19" x14ac:dyDescent="0.35">
      <c r="B37" s="180">
        <f>B42/'Action 7 Calculations'!C50</f>
        <v>-20736.229317600006</v>
      </c>
      <c r="C37" s="180">
        <f>C42/'Action 7 Calculations'!C50</f>
        <v>-622086.87952800025</v>
      </c>
      <c r="D37" s="186">
        <f>D42</f>
        <v>2080141.875</v>
      </c>
      <c r="E37" s="187">
        <f>-(D37/B37)</f>
        <v>100.31437457312774</v>
      </c>
      <c r="F37" s="186">
        <f>F42</f>
        <v>62404256.25</v>
      </c>
      <c r="G37" s="187">
        <f>-(F37/C37)</f>
        <v>100.31437457312772</v>
      </c>
    </row>
    <row r="40" spans="2:19" x14ac:dyDescent="0.35">
      <c r="B40" s="2" t="s">
        <v>288</v>
      </c>
    </row>
    <row r="41" spans="2:19" ht="29" x14ac:dyDescent="0.35">
      <c r="B41" s="37" t="s">
        <v>478</v>
      </c>
      <c r="C41" s="37" t="s">
        <v>259</v>
      </c>
      <c r="D41" s="37" t="s">
        <v>260</v>
      </c>
      <c r="E41" s="37" t="s">
        <v>261</v>
      </c>
      <c r="F41" s="37" t="s">
        <v>262</v>
      </c>
      <c r="G41" s="37" t="s">
        <v>263</v>
      </c>
    </row>
    <row r="42" spans="2:19" x14ac:dyDescent="0.35">
      <c r="B42" s="180">
        <f>C30</f>
        <v>-7195471.5732072024</v>
      </c>
      <c r="C42" s="180">
        <f>B42*F23</f>
        <v>-215864147.19621608</v>
      </c>
      <c r="D42" s="186">
        <f>C29</f>
        <v>2080141.875</v>
      </c>
      <c r="E42" s="187">
        <f>-(D42/B42)</f>
        <v>0.28909041663725571</v>
      </c>
      <c r="F42" s="186">
        <f>F23*D42</f>
        <v>62404256.25</v>
      </c>
      <c r="G42" s="187">
        <f>-(F42/(B42*F23))</f>
        <v>0.28909041663725571</v>
      </c>
    </row>
  </sheetData>
  <sheetProtection sheet="1" objects="1" scenarios="1"/>
  <protectedRanges>
    <protectedRange sqref="F27" name="Range4"/>
    <protectedRange sqref="C27" name="Range2"/>
    <protectedRange sqref="C22:C23" name="Range1"/>
    <protectedRange sqref="F23" name="Range3"/>
  </protectedRanges>
  <mergeCells count="2">
    <mergeCell ref="B15:B16"/>
    <mergeCell ref="E22:F22"/>
  </mergeCells>
  <dataValidations count="2">
    <dataValidation type="list" allowBlank="1" showInputMessage="1" showErrorMessage="1" sqref="F20" xr:uid="{1B24F235-B6A8-484A-ACF3-36B269F10B2F}">
      <formula1>$AA$4:$AA$5</formula1>
    </dataValidation>
    <dataValidation type="list" allowBlank="1" showInputMessage="1" showErrorMessage="1" sqref="F27" xr:uid="{2314A201-3168-4715-B51C-8C9AF94866F3}">
      <formula1>$S$8:$S$9</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0E7EF2C-37F2-4FD3-A10B-B967FCB10BBF}">
          <x14:formula1>
            <xm:f>'Action 7 Calculations'!$X$2:$X$22</xm:f>
          </x14:formula1>
          <xm:sqref>C23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5096A-224F-45FF-9A47-279FE4BE2D63}">
  <sheetPr>
    <tabColor theme="8"/>
  </sheetPr>
  <dimension ref="B1:AE51"/>
  <sheetViews>
    <sheetView topLeftCell="A5" workbookViewId="0">
      <selection activeCell="I42" sqref="I42"/>
    </sheetView>
  </sheetViews>
  <sheetFormatPr defaultRowHeight="14.5" x14ac:dyDescent="0.35"/>
  <cols>
    <col min="2" max="2" width="34.1796875" customWidth="1"/>
    <col min="3" max="3" width="21.7265625" customWidth="1"/>
    <col min="4" max="4" width="18.7265625" customWidth="1"/>
    <col min="5" max="5" width="22.81640625" customWidth="1"/>
    <col min="6" max="6" width="20.81640625" bestFit="1" customWidth="1"/>
    <col min="7" max="7" width="23" bestFit="1" customWidth="1"/>
    <col min="8" max="8" width="16.54296875" customWidth="1"/>
    <col min="9" max="9" width="26.81640625" customWidth="1"/>
    <col min="10" max="10" width="21.453125" customWidth="1"/>
    <col min="11" max="11" width="16.81640625" customWidth="1"/>
    <col min="12" max="12" width="11.54296875" customWidth="1"/>
    <col min="13" max="13" width="13.453125" customWidth="1"/>
    <col min="14" max="14" width="10.1796875" customWidth="1"/>
    <col min="15" max="15" width="12" bestFit="1" customWidth="1"/>
    <col min="24" max="24" width="9.1796875" customWidth="1"/>
    <col min="25" max="25" width="2.26953125" customWidth="1"/>
    <col min="31" max="31" width="0" hidden="1" customWidth="1"/>
  </cols>
  <sheetData>
    <row r="1" spans="2:25" ht="31" x14ac:dyDescent="0.7">
      <c r="B1" s="8" t="s">
        <v>177</v>
      </c>
    </row>
    <row r="3" spans="2:25" x14ac:dyDescent="0.35">
      <c r="B3" s="9" t="s">
        <v>29</v>
      </c>
      <c r="C3" s="10"/>
      <c r="D3" s="10"/>
      <c r="E3" s="10"/>
      <c r="F3" s="10"/>
      <c r="G3" s="10"/>
      <c r="H3" s="10"/>
      <c r="I3" s="10"/>
      <c r="J3" s="10"/>
      <c r="K3" s="10"/>
      <c r="L3" s="10"/>
      <c r="M3" s="10"/>
      <c r="N3" s="10"/>
      <c r="O3" s="10"/>
      <c r="P3" s="10"/>
      <c r="Q3" s="10"/>
      <c r="R3" s="10"/>
      <c r="S3" s="10"/>
      <c r="T3" s="10"/>
      <c r="U3" s="10"/>
      <c r="V3" s="10"/>
      <c r="W3" s="10"/>
      <c r="X3" s="10"/>
      <c r="Y3" s="11"/>
    </row>
    <row r="4" spans="2:25" x14ac:dyDescent="0.35">
      <c r="B4" s="12" t="s">
        <v>492</v>
      </c>
      <c r="Y4" s="13"/>
    </row>
    <row r="5" spans="2:25" x14ac:dyDescent="0.35">
      <c r="B5" s="12" t="s">
        <v>493</v>
      </c>
      <c r="Y5" s="13"/>
    </row>
    <row r="6" spans="2:25" x14ac:dyDescent="0.35">
      <c r="B6" s="14"/>
      <c r="C6" s="15"/>
      <c r="D6" s="15"/>
      <c r="E6" s="15"/>
      <c r="F6" s="15"/>
      <c r="G6" s="15"/>
      <c r="H6" s="15"/>
      <c r="I6" s="15"/>
      <c r="J6" s="15"/>
      <c r="K6" s="15"/>
      <c r="L6" s="15"/>
      <c r="M6" s="15"/>
      <c r="N6" s="15"/>
      <c r="O6" s="15"/>
      <c r="P6" s="15"/>
      <c r="Q6" s="15"/>
      <c r="R6" s="15"/>
      <c r="S6" s="15"/>
      <c r="T6" s="15"/>
      <c r="U6" s="15"/>
      <c r="V6" s="15"/>
      <c r="W6" s="15"/>
      <c r="X6" s="15"/>
      <c r="Y6" s="16"/>
    </row>
    <row r="8" spans="2:25" x14ac:dyDescent="0.35">
      <c r="B8" s="9" t="s">
        <v>221</v>
      </c>
      <c r="C8" s="10"/>
      <c r="D8" s="10"/>
      <c r="E8" s="10"/>
      <c r="F8" s="10"/>
      <c r="G8" s="10"/>
      <c r="H8" s="10"/>
      <c r="I8" s="10"/>
      <c r="J8" s="10"/>
      <c r="K8" s="10"/>
      <c r="L8" s="10"/>
      <c r="M8" s="10"/>
      <c r="N8" s="10"/>
      <c r="O8" s="10"/>
      <c r="P8" s="10"/>
      <c r="Q8" s="10"/>
      <c r="R8" s="10"/>
      <c r="S8" s="10"/>
      <c r="T8" s="10"/>
      <c r="U8" s="10"/>
      <c r="V8" s="10"/>
      <c r="W8" s="10"/>
      <c r="X8" s="10"/>
      <c r="Y8" s="11"/>
    </row>
    <row r="9" spans="2:25" x14ac:dyDescent="0.35">
      <c r="B9" s="12" t="s">
        <v>494</v>
      </c>
      <c r="Y9" s="13"/>
    </row>
    <row r="10" spans="2:25" x14ac:dyDescent="0.35">
      <c r="B10" s="12" t="s">
        <v>495</v>
      </c>
      <c r="Y10" s="13"/>
    </row>
    <row r="11" spans="2:25" x14ac:dyDescent="0.35">
      <c r="B11" s="14"/>
      <c r="C11" s="15"/>
      <c r="D11" s="15"/>
      <c r="E11" s="15"/>
      <c r="F11" s="15"/>
      <c r="G11" s="15"/>
      <c r="H11" s="15"/>
      <c r="I11" s="15"/>
      <c r="J11" s="15"/>
      <c r="K11" s="15"/>
      <c r="L11" s="15"/>
      <c r="M11" s="15"/>
      <c r="N11" s="15"/>
      <c r="O11" s="15"/>
      <c r="P11" s="15"/>
      <c r="Q11" s="15"/>
      <c r="R11" s="15"/>
      <c r="S11" s="15"/>
      <c r="T11" s="15"/>
      <c r="U11" s="15"/>
      <c r="V11" s="15"/>
      <c r="W11" s="15"/>
      <c r="X11" s="15"/>
      <c r="Y11" s="16"/>
    </row>
    <row r="13" spans="2:25" x14ac:dyDescent="0.35">
      <c r="B13" s="9" t="s">
        <v>224</v>
      </c>
      <c r="C13" s="10"/>
      <c r="D13" s="10"/>
      <c r="E13" s="10"/>
      <c r="F13" s="10"/>
      <c r="G13" s="10"/>
      <c r="H13" s="10"/>
      <c r="I13" s="10"/>
      <c r="J13" s="10"/>
      <c r="K13" s="10"/>
      <c r="L13" s="10"/>
      <c r="M13" s="10"/>
      <c r="N13" s="10"/>
      <c r="O13" s="10"/>
      <c r="P13" s="10"/>
      <c r="Q13" s="10"/>
      <c r="R13" s="10"/>
      <c r="S13" s="10"/>
      <c r="T13" s="10"/>
      <c r="U13" s="10"/>
      <c r="V13" s="10"/>
      <c r="W13" s="10"/>
      <c r="X13" s="10"/>
      <c r="Y13" s="11"/>
    </row>
    <row r="14" spans="2:25" x14ac:dyDescent="0.35">
      <c r="B14" s="499" t="s">
        <v>225</v>
      </c>
      <c r="C14" s="17" t="s">
        <v>496</v>
      </c>
      <c r="Y14" s="13"/>
    </row>
    <row r="15" spans="2:25" x14ac:dyDescent="0.35">
      <c r="B15" s="499"/>
      <c r="C15" t="s">
        <v>497</v>
      </c>
      <c r="Y15" s="13"/>
    </row>
    <row r="16" spans="2:25" x14ac:dyDescent="0.35">
      <c r="B16" s="400"/>
      <c r="Y16" s="13"/>
    </row>
    <row r="17" spans="2:31" x14ac:dyDescent="0.35">
      <c r="B17" s="401" t="s">
        <v>228</v>
      </c>
      <c r="C17" s="17" t="s">
        <v>229</v>
      </c>
      <c r="Y17" s="13"/>
    </row>
    <row r="18" spans="2:31" x14ac:dyDescent="0.35">
      <c r="B18" s="14"/>
      <c r="C18" s="15"/>
      <c r="D18" s="15"/>
      <c r="E18" s="15"/>
      <c r="F18" s="15"/>
      <c r="G18" s="15"/>
      <c r="H18" s="15"/>
      <c r="I18" s="15"/>
      <c r="J18" s="15"/>
      <c r="K18" s="15"/>
      <c r="L18" s="15"/>
      <c r="M18" s="15"/>
      <c r="N18" s="15"/>
      <c r="O18" s="15"/>
      <c r="P18" s="15"/>
      <c r="Q18" s="15"/>
      <c r="R18" s="15"/>
      <c r="S18" s="15"/>
      <c r="T18" s="15"/>
      <c r="U18" s="15"/>
      <c r="V18" s="15"/>
      <c r="W18" s="15"/>
      <c r="X18" s="15"/>
      <c r="Y18" s="16"/>
    </row>
    <row r="20" spans="2:31" x14ac:dyDescent="0.35">
      <c r="B20" s="18" t="s">
        <v>230</v>
      </c>
      <c r="C20" s="136"/>
      <c r="D20" s="136"/>
      <c r="E20" s="136"/>
      <c r="F20" s="136"/>
      <c r="G20" s="136"/>
      <c r="H20" s="136"/>
      <c r="I20" s="136"/>
      <c r="J20" s="136"/>
      <c r="K20" s="136"/>
      <c r="L20" s="136"/>
      <c r="M20" s="136"/>
      <c r="N20" s="136"/>
      <c r="O20" s="136"/>
      <c r="P20" s="136"/>
      <c r="Q20" s="136"/>
      <c r="R20" s="136"/>
      <c r="S20" s="136"/>
      <c r="T20" s="136"/>
      <c r="U20" s="136"/>
      <c r="V20" s="136"/>
      <c r="W20" s="136"/>
      <c r="X20" s="136"/>
      <c r="Y20" s="136"/>
    </row>
    <row r="21" spans="2:31" x14ac:dyDescent="0.35">
      <c r="B21" s="4"/>
      <c r="AE21" t="s">
        <v>148</v>
      </c>
    </row>
    <row r="22" spans="2:31" x14ac:dyDescent="0.35">
      <c r="B22" s="2" t="s">
        <v>233</v>
      </c>
      <c r="G22" s="2" t="s">
        <v>350</v>
      </c>
      <c r="K22" s="2" t="s">
        <v>285</v>
      </c>
      <c r="AE22" t="s">
        <v>149</v>
      </c>
    </row>
    <row r="23" spans="2:31" ht="43.5" x14ac:dyDescent="0.35">
      <c r="B23" s="166" t="s">
        <v>498</v>
      </c>
      <c r="C23" s="106" t="s">
        <v>499</v>
      </c>
      <c r="D23" s="106" t="s">
        <v>500</v>
      </c>
      <c r="E23" s="106" t="s">
        <v>501</v>
      </c>
      <c r="G23" s="106" t="s">
        <v>502</v>
      </c>
      <c r="H23" s="106" t="s">
        <v>503</v>
      </c>
      <c r="I23" s="106" t="s">
        <v>504</v>
      </c>
      <c r="K23" s="106" t="s">
        <v>252</v>
      </c>
      <c r="L23" s="106" t="s">
        <v>253</v>
      </c>
      <c r="M23" s="106" t="s">
        <v>254</v>
      </c>
    </row>
    <row r="24" spans="2:31" x14ac:dyDescent="0.35">
      <c r="B24" s="6" t="s">
        <v>368</v>
      </c>
      <c r="C24" s="162">
        <v>3</v>
      </c>
      <c r="D24" s="185">
        <v>5</v>
      </c>
      <c r="E24" s="185">
        <v>5</v>
      </c>
      <c r="G24" s="6" t="s">
        <v>505</v>
      </c>
      <c r="H24" s="272">
        <v>40000</v>
      </c>
      <c r="I24" s="301"/>
      <c r="K24" s="7" t="s">
        <v>311</v>
      </c>
      <c r="L24" s="141" t="s">
        <v>148</v>
      </c>
      <c r="M24" s="203">
        <v>0.05</v>
      </c>
    </row>
    <row r="25" spans="2:31" ht="25.9" customHeight="1" x14ac:dyDescent="0.35">
      <c r="B25" s="6" t="s">
        <v>376</v>
      </c>
      <c r="C25" s="162">
        <v>3</v>
      </c>
      <c r="D25" s="185">
        <v>5</v>
      </c>
      <c r="E25" s="185">
        <v>5</v>
      </c>
      <c r="G25" s="6" t="s">
        <v>506</v>
      </c>
      <c r="H25" s="272">
        <v>15000</v>
      </c>
      <c r="I25" s="7" t="s">
        <v>507</v>
      </c>
    </row>
    <row r="26" spans="2:31" ht="31.15" customHeight="1" x14ac:dyDescent="0.35">
      <c r="B26" s="6" t="s">
        <v>382</v>
      </c>
      <c r="C26" s="162">
        <v>3</v>
      </c>
      <c r="D26" s="185">
        <v>5</v>
      </c>
      <c r="E26" s="185">
        <v>5</v>
      </c>
      <c r="G26" s="6" t="s">
        <v>508</v>
      </c>
      <c r="H26" s="272">
        <v>15000</v>
      </c>
      <c r="I26" s="7" t="s">
        <v>507</v>
      </c>
    </row>
    <row r="27" spans="2:31" x14ac:dyDescent="0.35">
      <c r="B27" s="6" t="s">
        <v>375</v>
      </c>
      <c r="C27" s="162">
        <v>3</v>
      </c>
      <c r="D27" s="185">
        <v>5</v>
      </c>
      <c r="E27" s="185">
        <v>5</v>
      </c>
      <c r="K27" s="2" t="s">
        <v>232</v>
      </c>
    </row>
    <row r="28" spans="2:31" x14ac:dyDescent="0.35">
      <c r="B28" s="6" t="s">
        <v>373</v>
      </c>
      <c r="C28" s="162">
        <v>3</v>
      </c>
      <c r="D28" s="185">
        <v>5</v>
      </c>
      <c r="E28" s="185">
        <v>5</v>
      </c>
      <c r="K28" s="109" t="s">
        <v>462</v>
      </c>
      <c r="L28" s="191"/>
    </row>
    <row r="29" spans="2:31" ht="27.75" customHeight="1" x14ac:dyDescent="0.35">
      <c r="K29" s="257" t="s">
        <v>236</v>
      </c>
      <c r="L29" s="140">
        <v>30</v>
      </c>
    </row>
    <row r="30" spans="2:31" x14ac:dyDescent="0.35">
      <c r="J30" s="54"/>
    </row>
    <row r="32" spans="2:31" x14ac:dyDescent="0.35">
      <c r="B32" s="190" t="s">
        <v>498</v>
      </c>
      <c r="C32" s="65" t="s">
        <v>368</v>
      </c>
      <c r="D32" s="65" t="s">
        <v>376</v>
      </c>
      <c r="E32" s="65" t="s">
        <v>382</v>
      </c>
      <c r="F32" s="65" t="s">
        <v>375</v>
      </c>
      <c r="G32" s="65" t="s">
        <v>373</v>
      </c>
    </row>
    <row r="33" spans="2:25" ht="29" x14ac:dyDescent="0.35">
      <c r="B33" s="213" t="s">
        <v>509</v>
      </c>
      <c r="C33" s="205">
        <f>C24*H24</f>
        <v>120000</v>
      </c>
      <c r="D33" s="205">
        <f>C25*H24</f>
        <v>120000</v>
      </c>
      <c r="E33" s="205">
        <f>C26*H24</f>
        <v>120000</v>
      </c>
      <c r="F33" s="205">
        <f>C27*H24</f>
        <v>120000</v>
      </c>
      <c r="G33" s="205">
        <f>C28*H24</f>
        <v>120000</v>
      </c>
    </row>
    <row r="34" spans="2:25" x14ac:dyDescent="0.35">
      <c r="B34" s="213" t="s">
        <v>510</v>
      </c>
      <c r="C34" s="205">
        <f>D24*H25</f>
        <v>75000</v>
      </c>
      <c r="D34" s="205">
        <f>D25*H25</f>
        <v>75000</v>
      </c>
      <c r="E34" s="205">
        <f>D26*H25</f>
        <v>75000</v>
      </c>
      <c r="F34" s="205">
        <f>D27*H25</f>
        <v>75000</v>
      </c>
      <c r="G34" s="205">
        <f>D28*H25</f>
        <v>75000</v>
      </c>
    </row>
    <row r="35" spans="2:25" x14ac:dyDescent="0.35">
      <c r="B35" s="213" t="s">
        <v>511</v>
      </c>
      <c r="C35" s="205">
        <f>E24*H26</f>
        <v>75000</v>
      </c>
      <c r="D35" s="205">
        <f>E25*H26</f>
        <v>75000</v>
      </c>
      <c r="E35" s="205">
        <f>E26*H26</f>
        <v>75000</v>
      </c>
      <c r="F35" s="205">
        <f>E27*H26</f>
        <v>75000</v>
      </c>
      <c r="G35" s="205">
        <f>E28*H26</f>
        <v>75000</v>
      </c>
    </row>
    <row r="36" spans="2:25" x14ac:dyDescent="0.35">
      <c r="B36" s="213" t="s">
        <v>350</v>
      </c>
      <c r="C36" s="179">
        <f>SUM(C33:C35)</f>
        <v>270000</v>
      </c>
      <c r="D36" s="179">
        <f t="shared" ref="D36:G36" si="0">SUM(D33:D35)</f>
        <v>270000</v>
      </c>
      <c r="E36" s="179">
        <f t="shared" si="0"/>
        <v>270000</v>
      </c>
      <c r="F36" s="179">
        <f>SUM(F33:F35)</f>
        <v>270000</v>
      </c>
      <c r="G36" s="179">
        <f t="shared" si="0"/>
        <v>270000</v>
      </c>
      <c r="J36" s="208"/>
    </row>
    <row r="37" spans="2:25" ht="29" x14ac:dyDescent="0.35">
      <c r="B37" s="214" t="s">
        <v>243</v>
      </c>
      <c r="C37" s="209">
        <f>IF(L24="YES",C36*M24,0)+C36</f>
        <v>283500</v>
      </c>
      <c r="D37" s="209">
        <f>IF(L24="YES",D36*M24,0)+IF(L25="YES",D36*M25,0)+D36</f>
        <v>283500</v>
      </c>
      <c r="E37" s="209">
        <f>IF(L24="YES",E36*M24,0)+IF(L25="YES",E36*M25,0)+E36</f>
        <v>283500</v>
      </c>
      <c r="F37" s="209">
        <f>IF(L24="YES",F36*M24,0)+IF(L25="YES",F36*M25,0)+F36</f>
        <v>283500</v>
      </c>
      <c r="G37" s="209">
        <f>IF(L24="YES",G36*M24,0)+IF(L25="YES",G36*M25,0)+G36</f>
        <v>283500</v>
      </c>
    </row>
    <row r="38" spans="2:25" x14ac:dyDescent="0.35">
      <c r="B38" s="215" t="s">
        <v>245</v>
      </c>
      <c r="C38" s="256">
        <f>'Action 8 Calculations'!E182</f>
        <v>-332190.18586916104</v>
      </c>
      <c r="D38" s="256">
        <f>'Action 8 Calculations'!E183</f>
        <v>-304127.55984500475</v>
      </c>
      <c r="E38" s="256">
        <f>'Action 8 Calculations'!E184</f>
        <v>-189850.09837988851</v>
      </c>
      <c r="F38" s="256">
        <f>'Action 8 Calculations'!E185</f>
        <v>-211744.10977969621</v>
      </c>
      <c r="G38" s="256">
        <f>'Action 8 Calculations'!E186</f>
        <v>-98508.195443813966</v>
      </c>
      <c r="M38" s="163"/>
      <c r="N38" s="206"/>
      <c r="O38" s="207"/>
    </row>
    <row r="39" spans="2:25" x14ac:dyDescent="0.35">
      <c r="B39" s="215" t="s">
        <v>512</v>
      </c>
      <c r="C39" s="141" t="s">
        <v>148</v>
      </c>
      <c r="D39" s="141" t="s">
        <v>148</v>
      </c>
      <c r="E39" s="141" t="s">
        <v>148</v>
      </c>
      <c r="F39" s="141" t="s">
        <v>148</v>
      </c>
      <c r="G39" s="141" t="s">
        <v>148</v>
      </c>
    </row>
    <row r="42" spans="2:25" x14ac:dyDescent="0.35">
      <c r="B42" s="18" t="s">
        <v>256</v>
      </c>
      <c r="C42" s="136"/>
      <c r="D42" s="136"/>
      <c r="E42" s="136"/>
      <c r="F42" s="136"/>
      <c r="G42" s="136"/>
      <c r="H42" s="136"/>
      <c r="I42" s="136"/>
      <c r="J42" s="136"/>
      <c r="K42" s="136"/>
      <c r="L42" s="136"/>
      <c r="M42" s="136"/>
      <c r="N42" s="136"/>
      <c r="O42" s="136"/>
      <c r="P42" s="136"/>
      <c r="Q42" s="136"/>
      <c r="R42" s="136"/>
      <c r="S42" s="136"/>
      <c r="T42" s="136"/>
      <c r="U42" s="136"/>
      <c r="V42" s="136"/>
      <c r="W42" s="136"/>
      <c r="X42" s="136"/>
      <c r="Y42" s="136"/>
    </row>
    <row r="44" spans="2:25" x14ac:dyDescent="0.35">
      <c r="B44" s="2" t="s">
        <v>287</v>
      </c>
    </row>
    <row r="45" spans="2:25" ht="29" x14ac:dyDescent="0.35">
      <c r="B45" s="108" t="s">
        <v>258</v>
      </c>
      <c r="C45" s="108" t="s">
        <v>259</v>
      </c>
      <c r="D45" s="108" t="s">
        <v>513</v>
      </c>
      <c r="E45" s="108" t="s">
        <v>261</v>
      </c>
      <c r="F45" s="108" t="s">
        <v>262</v>
      </c>
      <c r="G45" s="108" t="s">
        <v>263</v>
      </c>
    </row>
    <row r="46" spans="2:25" x14ac:dyDescent="0.35">
      <c r="B46" s="180">
        <f>B51/'Action 8 Calculations'!D182</f>
        <v>-3274.986021088082</v>
      </c>
      <c r="C46" s="180">
        <f>C51/'Action 8 Calculations'!D182</f>
        <v>-98249.580632642464</v>
      </c>
      <c r="D46" s="186">
        <f>D51</f>
        <v>1417500</v>
      </c>
      <c r="E46" s="187">
        <f>-D46/B46</f>
        <v>432.82627494362544</v>
      </c>
      <c r="F46" s="186">
        <f>F51</f>
        <v>42525000</v>
      </c>
      <c r="G46" s="187">
        <f>-F46/C46</f>
        <v>432.82627494362538</v>
      </c>
    </row>
    <row r="47" spans="2:25" x14ac:dyDescent="0.35">
      <c r="D47" s="181"/>
    </row>
    <row r="48" spans="2:25" x14ac:dyDescent="0.35">
      <c r="D48" s="181"/>
    </row>
    <row r="49" spans="2:7" x14ac:dyDescent="0.35">
      <c r="B49" s="2" t="s">
        <v>514</v>
      </c>
    </row>
    <row r="50" spans="2:7" ht="29" x14ac:dyDescent="0.35">
      <c r="B50" s="108" t="s">
        <v>245</v>
      </c>
      <c r="C50" s="108" t="s">
        <v>259</v>
      </c>
      <c r="D50" s="108" t="s">
        <v>513</v>
      </c>
      <c r="E50" s="108" t="s">
        <v>261</v>
      </c>
      <c r="F50" s="108" t="s">
        <v>262</v>
      </c>
      <c r="G50" s="108" t="s">
        <v>263</v>
      </c>
    </row>
    <row r="51" spans="2:7" x14ac:dyDescent="0.35">
      <c r="B51" s="180">
        <f>SUMIFS(C38:G38, C39:G39,"YES")</f>
        <v>-1136420.1493175644</v>
      </c>
      <c r="C51" s="180">
        <f>L29*B51</f>
        <v>-34092604.479526937</v>
      </c>
      <c r="D51" s="186">
        <f>SUMIFS(C37:G37, C39:G39, "YES")</f>
        <v>1417500</v>
      </c>
      <c r="E51" s="187">
        <f>-D51/B51</f>
        <v>1.247337968137249</v>
      </c>
      <c r="F51" s="186">
        <f>D51*L29</f>
        <v>42525000</v>
      </c>
      <c r="G51" s="187">
        <f>-F51/C51</f>
        <v>1.247337968137249</v>
      </c>
    </row>
  </sheetData>
  <sheetProtection sheet="1" objects="1" scenarios="1"/>
  <protectedRanges>
    <protectedRange sqref="L29" name="Range5"/>
    <protectedRange sqref="C38:G39" name="Range3"/>
    <protectedRange sqref="C24:E28" name="Range1"/>
    <protectedRange sqref="H24:H26" name="Range2"/>
    <protectedRange sqref="L24:M24" name="Range4"/>
  </protectedRanges>
  <mergeCells count="1">
    <mergeCell ref="B14:B15"/>
  </mergeCells>
  <dataValidations count="1">
    <dataValidation type="list" allowBlank="1" showInputMessage="1" showErrorMessage="1" sqref="C39:G39 N38 L24:L25" xr:uid="{0E5EF3F8-D1BB-44F3-9AC1-D4D5FF44DE6C}">
      <formula1>$AE$21:$AE$22</formula1>
    </dataValidation>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EDE-B9E2-40A9-9EA0-BD81954DCCC5}">
  <sheetPr>
    <tabColor theme="8"/>
  </sheetPr>
  <dimension ref="B2:AD54"/>
  <sheetViews>
    <sheetView topLeftCell="A30" workbookViewId="0">
      <selection activeCell="I39" sqref="I39"/>
    </sheetView>
  </sheetViews>
  <sheetFormatPr defaultRowHeight="14.5" x14ac:dyDescent="0.35"/>
  <cols>
    <col min="2" max="2" width="37.453125" customWidth="1"/>
    <col min="3" max="3" width="20" bestFit="1" customWidth="1"/>
    <col min="4" max="4" width="24.453125" customWidth="1"/>
    <col min="5" max="5" width="34.453125" customWidth="1"/>
    <col min="6" max="6" width="19.7265625" customWidth="1"/>
    <col min="7" max="7" width="16" customWidth="1"/>
    <col min="8" max="8" width="41.1796875" customWidth="1"/>
    <col min="9" max="9" width="35.54296875" bestFit="1" customWidth="1"/>
    <col min="10" max="10" width="66.26953125" customWidth="1"/>
    <col min="28" max="28" width="0" hidden="1" customWidth="1"/>
    <col min="30" max="30" width="0" hidden="1" customWidth="1"/>
  </cols>
  <sheetData>
    <row r="2" spans="2:30" ht="31" x14ac:dyDescent="0.7">
      <c r="B2" s="8" t="s">
        <v>178</v>
      </c>
    </row>
    <row r="3" spans="2:30" x14ac:dyDescent="0.35">
      <c r="AD3" t="s">
        <v>148</v>
      </c>
    </row>
    <row r="4" spans="2:30" x14ac:dyDescent="0.35">
      <c r="B4" s="9" t="s">
        <v>29</v>
      </c>
      <c r="C4" s="10"/>
      <c r="D4" s="10"/>
      <c r="E4" s="10"/>
      <c r="F4" s="10"/>
      <c r="G4" s="10"/>
      <c r="H4" s="10"/>
      <c r="I4" s="10"/>
      <c r="J4" s="10"/>
      <c r="K4" s="10"/>
      <c r="L4" s="10"/>
      <c r="M4" s="10"/>
      <c r="N4" s="10"/>
      <c r="O4" s="10"/>
      <c r="P4" s="10"/>
      <c r="Q4" s="10"/>
      <c r="R4" s="10"/>
      <c r="S4" s="10"/>
      <c r="T4" s="10"/>
      <c r="U4" s="10"/>
      <c r="V4" s="10"/>
      <c r="W4" s="10"/>
      <c r="X4" s="10"/>
      <c r="Y4" s="11"/>
      <c r="AD4" t="s">
        <v>149</v>
      </c>
    </row>
    <row r="5" spans="2:30" x14ac:dyDescent="0.35">
      <c r="B5" s="49" t="s">
        <v>515</v>
      </c>
      <c r="Y5" s="13"/>
    </row>
    <row r="6" spans="2:30" x14ac:dyDescent="0.35">
      <c r="B6" s="12" t="s">
        <v>516</v>
      </c>
      <c r="Y6" s="13"/>
    </row>
    <row r="7" spans="2:30" x14ac:dyDescent="0.35">
      <c r="B7" s="14"/>
      <c r="C7" s="15"/>
      <c r="D7" s="15"/>
      <c r="E7" s="15"/>
      <c r="F7" s="15"/>
      <c r="G7" s="15"/>
      <c r="H7" s="15"/>
      <c r="I7" s="15"/>
      <c r="J7" s="15"/>
      <c r="K7" s="15"/>
      <c r="L7" s="15"/>
      <c r="M7" s="15"/>
      <c r="N7" s="15"/>
      <c r="O7" s="15"/>
      <c r="P7" s="15"/>
      <c r="Q7" s="15"/>
      <c r="R7" s="15"/>
      <c r="S7" s="15"/>
      <c r="T7" s="15"/>
      <c r="U7" s="15"/>
      <c r="V7" s="15"/>
      <c r="W7" s="15"/>
      <c r="X7" s="15"/>
      <c r="Y7" s="16"/>
    </row>
    <row r="9" spans="2:30" x14ac:dyDescent="0.35">
      <c r="B9" s="9" t="s">
        <v>221</v>
      </c>
      <c r="C9" s="10"/>
      <c r="D9" s="10"/>
      <c r="E9" s="10"/>
      <c r="F9" s="10"/>
      <c r="G9" s="10"/>
      <c r="H9" s="10"/>
      <c r="I9" s="10"/>
      <c r="J9" s="10"/>
      <c r="K9" s="10"/>
      <c r="L9" s="10"/>
      <c r="M9" s="10"/>
      <c r="N9" s="10"/>
      <c r="O9" s="10"/>
      <c r="P9" s="10"/>
      <c r="Q9" s="10"/>
      <c r="R9" s="10"/>
      <c r="S9" s="10"/>
      <c r="T9" s="10"/>
      <c r="U9" s="10"/>
      <c r="V9" s="10"/>
      <c r="W9" s="10"/>
      <c r="X9" s="10"/>
      <c r="Y9" s="11"/>
    </row>
    <row r="10" spans="2:30" x14ac:dyDescent="0.35">
      <c r="B10" s="12" t="s">
        <v>517</v>
      </c>
      <c r="Y10" s="13"/>
    </row>
    <row r="11" spans="2:30" x14ac:dyDescent="0.35">
      <c r="B11" s="12" t="s">
        <v>292</v>
      </c>
      <c r="Y11" s="13"/>
    </row>
    <row r="12" spans="2:30"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6"/>
    </row>
    <row r="14" spans="2:30" x14ac:dyDescent="0.35">
      <c r="B14" s="9" t="s">
        <v>224</v>
      </c>
      <c r="C14" s="10"/>
      <c r="D14" s="10"/>
      <c r="E14" s="10"/>
      <c r="F14" s="10"/>
      <c r="G14" s="10"/>
      <c r="H14" s="10"/>
      <c r="I14" s="10"/>
      <c r="J14" s="10"/>
      <c r="K14" s="10"/>
      <c r="L14" s="10"/>
      <c r="M14" s="10"/>
      <c r="N14" s="10"/>
      <c r="O14" s="10"/>
      <c r="P14" s="10"/>
      <c r="Q14" s="10"/>
      <c r="R14" s="10"/>
      <c r="S14" s="10"/>
      <c r="T14" s="10"/>
      <c r="U14" s="10"/>
      <c r="V14" s="10"/>
      <c r="W14" s="10"/>
      <c r="X14" s="10"/>
      <c r="Y14" s="11"/>
    </row>
    <row r="15" spans="2:30" x14ac:dyDescent="0.35">
      <c r="B15" s="499" t="s">
        <v>225</v>
      </c>
      <c r="C15" s="17" t="s">
        <v>518</v>
      </c>
      <c r="Y15" s="13"/>
    </row>
    <row r="16" spans="2:30" x14ac:dyDescent="0.35">
      <c r="B16" s="499"/>
      <c r="C16" t="s">
        <v>497</v>
      </c>
      <c r="Y16" s="13"/>
    </row>
    <row r="17" spans="2:28" x14ac:dyDescent="0.35">
      <c r="B17" s="14"/>
      <c r="C17" s="15"/>
      <c r="D17" s="15"/>
      <c r="E17" s="15"/>
      <c r="F17" s="15"/>
      <c r="G17" s="15"/>
      <c r="H17" s="15"/>
      <c r="I17" s="15"/>
      <c r="J17" s="15"/>
      <c r="K17" s="15"/>
      <c r="L17" s="15"/>
      <c r="M17" s="15"/>
      <c r="N17" s="15"/>
      <c r="O17" s="15"/>
      <c r="P17" s="15"/>
      <c r="Q17" s="15"/>
      <c r="R17" s="15"/>
      <c r="S17" s="15"/>
      <c r="T17" s="15"/>
      <c r="U17" s="15"/>
      <c r="V17" s="15"/>
      <c r="W17" s="15"/>
      <c r="X17" s="15"/>
      <c r="Y17" s="16"/>
    </row>
    <row r="19" spans="2:28" x14ac:dyDescent="0.35">
      <c r="B19" s="18" t="s">
        <v>230</v>
      </c>
      <c r="C19" s="136"/>
      <c r="D19" s="136"/>
      <c r="E19" s="136"/>
      <c r="F19" s="136"/>
      <c r="G19" s="136"/>
      <c r="H19" s="136"/>
      <c r="I19" s="136"/>
      <c r="J19" s="136"/>
      <c r="K19" s="136"/>
      <c r="L19" s="136"/>
      <c r="M19" s="136"/>
      <c r="N19" s="136"/>
      <c r="O19" s="136"/>
      <c r="P19" s="136"/>
      <c r="Q19" s="136"/>
      <c r="R19" s="136"/>
      <c r="S19" s="136"/>
      <c r="T19" s="136"/>
      <c r="U19" s="136"/>
      <c r="V19" s="136"/>
      <c r="W19" s="136"/>
      <c r="X19" s="136"/>
      <c r="Y19" s="136"/>
    </row>
    <row r="20" spans="2:28" x14ac:dyDescent="0.35">
      <c r="AB20" t="s">
        <v>148</v>
      </c>
    </row>
    <row r="21" spans="2:28" x14ac:dyDescent="0.35">
      <c r="B21" s="2" t="s">
        <v>233</v>
      </c>
      <c r="H21" s="2" t="s">
        <v>461</v>
      </c>
      <c r="AB21" t="s">
        <v>149</v>
      </c>
    </row>
    <row r="22" spans="2:28" ht="43.5" x14ac:dyDescent="0.35">
      <c r="B22" s="166" t="s">
        <v>519</v>
      </c>
      <c r="C22" s="106" t="s">
        <v>353</v>
      </c>
      <c r="D22" s="166" t="s">
        <v>347</v>
      </c>
      <c r="E22" s="106" t="s">
        <v>520</v>
      </c>
      <c r="F22" s="106" t="s">
        <v>521</v>
      </c>
      <c r="H22" s="166" t="s">
        <v>285</v>
      </c>
      <c r="I22" s="166"/>
      <c r="J22" s="166" t="s">
        <v>276</v>
      </c>
    </row>
    <row r="23" spans="2:28" x14ac:dyDescent="0.35">
      <c r="B23" s="198" t="s">
        <v>355</v>
      </c>
      <c r="C23" s="140" t="s">
        <v>148</v>
      </c>
      <c r="D23" s="56">
        <f>SUMIFS('Model VMT by TAZ'!J:J,'Model VMT by TAZ'!B:B, B23)</f>
        <v>7022</v>
      </c>
      <c r="E23" s="56">
        <f>'Action 9 Calculations'!G58</f>
        <v>-22766.298486129028</v>
      </c>
      <c r="F23" s="251">
        <v>10</v>
      </c>
      <c r="H23" s="198" t="s">
        <v>522</v>
      </c>
      <c r="I23" s="212">
        <v>15000</v>
      </c>
      <c r="J23" s="6" t="s">
        <v>523</v>
      </c>
    </row>
    <row r="24" spans="2:28" x14ac:dyDescent="0.35">
      <c r="B24" s="198" t="s">
        <v>359</v>
      </c>
      <c r="C24" s="140" t="s">
        <v>148</v>
      </c>
      <c r="D24" s="56">
        <f>SUMIFS('Model VMT by TAZ'!J:J,'Model VMT by TAZ'!B:B, B24)</f>
        <v>25251</v>
      </c>
      <c r="E24" s="56">
        <f>'Action 9 Calculations'!G59</f>
        <v>-107703.4454856754</v>
      </c>
      <c r="F24" s="251">
        <v>30</v>
      </c>
      <c r="H24" s="6" t="s">
        <v>524</v>
      </c>
      <c r="I24" s="40">
        <f>SUMIFS(F23:F42, C23:C42,"YES")</f>
        <v>605</v>
      </c>
      <c r="J24" s="6"/>
    </row>
    <row r="25" spans="2:28" x14ac:dyDescent="0.35">
      <c r="B25" s="198" t="s">
        <v>362</v>
      </c>
      <c r="C25" s="140" t="s">
        <v>148</v>
      </c>
      <c r="D25" s="56">
        <f>SUMIFS('Model VMT by TAZ'!J:J,'Model VMT by TAZ'!B:B, B25)</f>
        <v>4388</v>
      </c>
      <c r="E25" s="56">
        <f>'Action 9 Calculations'!G60</f>
        <v>-61714.777318659268</v>
      </c>
      <c r="F25" s="251">
        <v>5</v>
      </c>
      <c r="H25" s="211" t="s">
        <v>525</v>
      </c>
      <c r="I25" s="179">
        <f>I23*I24</f>
        <v>9075000</v>
      </c>
      <c r="J25" s="60" t="s">
        <v>473</v>
      </c>
    </row>
    <row r="26" spans="2:28" ht="29" x14ac:dyDescent="0.35">
      <c r="B26" s="198" t="s">
        <v>364</v>
      </c>
      <c r="C26" s="140" t="s">
        <v>148</v>
      </c>
      <c r="D26" s="56">
        <f>SUMIFS('Model VMT by TAZ'!J:J,'Model VMT by TAZ'!B:B, B26)</f>
        <v>29685</v>
      </c>
      <c r="E26" s="56">
        <f>'Action 9 Calculations'!G61</f>
        <v>-257545.05941556455</v>
      </c>
      <c r="F26" s="251">
        <v>30</v>
      </c>
      <c r="H26" s="211" t="s">
        <v>526</v>
      </c>
      <c r="I26" s="179">
        <f>IF(I35="YES",J35*I25,0)+I25</f>
        <v>9528750</v>
      </c>
      <c r="J26" s="60" t="s">
        <v>473</v>
      </c>
    </row>
    <row r="27" spans="2:28" x14ac:dyDescent="0.35">
      <c r="B27" s="198" t="s">
        <v>366</v>
      </c>
      <c r="C27" s="140" t="s">
        <v>148</v>
      </c>
      <c r="D27" s="56">
        <f>SUMIFS('Model VMT by TAZ'!J:J,'Model VMT by TAZ'!B:B, B27)</f>
        <v>3155</v>
      </c>
      <c r="E27" s="56">
        <f>'Action 9 Calculations'!G62</f>
        <v>-30158.328054354835</v>
      </c>
      <c r="F27" s="251">
        <v>5</v>
      </c>
    </row>
    <row r="28" spans="2:28" x14ac:dyDescent="0.35">
      <c r="B28" s="198" t="s">
        <v>368</v>
      </c>
      <c r="C28" s="140" t="s">
        <v>148</v>
      </c>
      <c r="D28" s="56">
        <f>SUMIFS('Model VMT by TAZ'!J:J,'Model VMT by TAZ'!B:B, B28)</f>
        <v>101437</v>
      </c>
      <c r="E28" s="56">
        <f>'Action 9 Calculations'!G63</f>
        <v>-340946.22241298383</v>
      </c>
      <c r="F28" s="251">
        <v>70</v>
      </c>
      <c r="H28" s="2" t="s">
        <v>527</v>
      </c>
    </row>
    <row r="29" spans="2:28" ht="43.5" x14ac:dyDescent="0.35">
      <c r="B29" s="198" t="s">
        <v>370</v>
      </c>
      <c r="C29" s="140" t="s">
        <v>148</v>
      </c>
      <c r="D29" s="56">
        <f>SUMIFS('Model VMT by TAZ'!J:J,'Model VMT by TAZ'!B:B, B29)</f>
        <v>25474</v>
      </c>
      <c r="E29" s="56">
        <f>'Action 9 Calculations'!G64</f>
        <v>-91967.093569143137</v>
      </c>
      <c r="F29" s="251">
        <v>30</v>
      </c>
      <c r="H29" s="7" t="s">
        <v>528</v>
      </c>
      <c r="I29" s="192">
        <v>0.75</v>
      </c>
      <c r="J29" s="25" t="s">
        <v>529</v>
      </c>
    </row>
    <row r="30" spans="2:28" x14ac:dyDescent="0.35">
      <c r="B30" s="198" t="s">
        <v>372</v>
      </c>
      <c r="C30" s="140" t="s">
        <v>148</v>
      </c>
      <c r="D30" s="56">
        <f>SUMIFS('Model VMT by TAZ'!J:J,'Model VMT by TAZ'!B:B, B30)</f>
        <v>31082</v>
      </c>
      <c r="E30" s="56">
        <f>'Action 9 Calculations'!G65</f>
        <v>-214683.27208675403</v>
      </c>
      <c r="F30" s="251">
        <v>35</v>
      </c>
    </row>
    <row r="31" spans="2:28" x14ac:dyDescent="0.35">
      <c r="B31" s="198" t="s">
        <v>373</v>
      </c>
      <c r="C31" s="140" t="s">
        <v>148</v>
      </c>
      <c r="D31" s="56">
        <f>SUMIFS('Model VMT by TAZ'!J:J,'Model VMT by TAZ'!B:B, B31)</f>
        <v>10584</v>
      </c>
      <c r="E31" s="56">
        <f>'Action 9 Calculations'!G66</f>
        <v>-83271.151751854835</v>
      </c>
      <c r="F31" s="251">
        <v>20</v>
      </c>
    </row>
    <row r="32" spans="2:28" x14ac:dyDescent="0.35">
      <c r="B32" s="198" t="s">
        <v>374</v>
      </c>
      <c r="C32" s="140" t="s">
        <v>148</v>
      </c>
      <c r="D32" s="56">
        <f>SUMIFS('Model VMT by TAZ'!J:J,'Model VMT by TAZ'!B:B, B32)</f>
        <v>11102</v>
      </c>
      <c r="E32" s="56">
        <f>'Action 9 Calculations'!G67</f>
        <v>-47384.183392973777</v>
      </c>
      <c r="F32" s="251">
        <v>20</v>
      </c>
    </row>
    <row r="33" spans="2:25" x14ac:dyDescent="0.35">
      <c r="B33" s="198" t="s">
        <v>375</v>
      </c>
      <c r="C33" s="140" t="s">
        <v>148</v>
      </c>
      <c r="D33" s="56">
        <f>SUMIFS('Model VMT by TAZ'!J:J,'Model VMT by TAZ'!B:B, B33)</f>
        <v>35567</v>
      </c>
      <c r="E33" s="56">
        <f>'Action 9 Calculations'!G68</f>
        <v>-247412.30496485886</v>
      </c>
      <c r="F33" s="251">
        <v>35</v>
      </c>
      <c r="H33" s="2" t="s">
        <v>285</v>
      </c>
    </row>
    <row r="34" spans="2:25" x14ac:dyDescent="0.35">
      <c r="B34" s="198" t="s">
        <v>376</v>
      </c>
      <c r="C34" s="140" t="s">
        <v>148</v>
      </c>
      <c r="D34" s="56">
        <f>SUMIFS('Model VMT by TAZ'!J:J,'Model VMT by TAZ'!B:B, B34)</f>
        <v>22658</v>
      </c>
      <c r="E34" s="56">
        <f>'Action 9 Calculations'!G69</f>
        <v>-100789.53839203628</v>
      </c>
      <c r="F34" s="251">
        <v>30</v>
      </c>
      <c r="H34" s="106" t="s">
        <v>252</v>
      </c>
      <c r="I34" s="106" t="s">
        <v>253</v>
      </c>
      <c r="J34" s="106" t="s">
        <v>254</v>
      </c>
    </row>
    <row r="35" spans="2:25" x14ac:dyDescent="0.35">
      <c r="B35" s="198" t="s">
        <v>377</v>
      </c>
      <c r="C35" s="140" t="s">
        <v>148</v>
      </c>
      <c r="D35" s="56">
        <f>SUMIFS('Model VMT by TAZ'!J:J,'Model VMT by TAZ'!B:B, B35)</f>
        <v>29802</v>
      </c>
      <c r="E35" s="56">
        <f>'Action 9 Calculations'!G70</f>
        <v>-111285.09692626006</v>
      </c>
      <c r="F35" s="251">
        <v>30</v>
      </c>
      <c r="H35" s="7" t="s">
        <v>311</v>
      </c>
      <c r="I35" s="141" t="s">
        <v>148</v>
      </c>
      <c r="J35" s="203">
        <v>0.05</v>
      </c>
    </row>
    <row r="36" spans="2:25" x14ac:dyDescent="0.35">
      <c r="B36" s="198" t="s">
        <v>378</v>
      </c>
      <c r="C36" s="140" t="s">
        <v>148</v>
      </c>
      <c r="D36" s="56">
        <f>SUMIFS('Model VMT by TAZ'!J:J,'Model VMT by TAZ'!B:B, B36)</f>
        <v>4563</v>
      </c>
      <c r="E36" s="56">
        <f>'Action 9 Calculations'!G71</f>
        <v>-47032.106796965723</v>
      </c>
      <c r="F36" s="251">
        <v>30</v>
      </c>
    </row>
    <row r="37" spans="2:25" x14ac:dyDescent="0.35">
      <c r="B37" s="198" t="s">
        <v>379</v>
      </c>
      <c r="C37" s="140" t="s">
        <v>148</v>
      </c>
      <c r="D37" s="56">
        <f>SUMIFS('Model VMT by TAZ'!J:J,'Model VMT by TAZ'!B:B, B37)</f>
        <v>79464</v>
      </c>
      <c r="E37" s="56">
        <f>'Action 9 Calculations'!G72</f>
        <v>-514424.83343442529</v>
      </c>
      <c r="F37" s="251">
        <v>60</v>
      </c>
      <c r="H37" s="2" t="s">
        <v>530</v>
      </c>
    </row>
    <row r="38" spans="2:25" x14ac:dyDescent="0.35">
      <c r="B38" s="198" t="s">
        <v>380</v>
      </c>
      <c r="C38" s="140" t="s">
        <v>148</v>
      </c>
      <c r="D38" s="56">
        <f>SUMIFS('Model VMT by TAZ'!J:J,'Model VMT by TAZ'!B:B, B38)</f>
        <v>43377</v>
      </c>
      <c r="E38" s="56">
        <f>'Action 9 Calculations'!G73</f>
        <v>-187218.10010855846</v>
      </c>
      <c r="F38" s="251">
        <v>40</v>
      </c>
      <c r="H38" s="242" t="s">
        <v>305</v>
      </c>
      <c r="I38" s="243"/>
    </row>
    <row r="39" spans="2:25" x14ac:dyDescent="0.35">
      <c r="B39" s="198" t="s">
        <v>381</v>
      </c>
      <c r="C39" s="140" t="s">
        <v>148</v>
      </c>
      <c r="D39" s="56">
        <f>SUMIFS('Model VMT by TAZ'!J:J,'Model VMT by TAZ'!B:B, B39)</f>
        <v>29258</v>
      </c>
      <c r="E39" s="56">
        <f>'Action 9 Calculations'!G74</f>
        <v>-176176.03961555444</v>
      </c>
      <c r="F39" s="251">
        <v>30</v>
      </c>
      <c r="H39" s="6" t="s">
        <v>531</v>
      </c>
      <c r="I39" s="140">
        <v>30</v>
      </c>
    </row>
    <row r="40" spans="2:25" x14ac:dyDescent="0.35">
      <c r="B40" s="198" t="s">
        <v>382</v>
      </c>
      <c r="C40" s="140" t="s">
        <v>148</v>
      </c>
      <c r="D40" s="56">
        <f>SUMIFS('Model VMT by TAZ'!J:J,'Model VMT by TAZ'!B:B, B40)</f>
        <v>99489</v>
      </c>
      <c r="E40" s="56">
        <f>'Action 9 Calculations'!G75</f>
        <v>-571131.25626523199</v>
      </c>
      <c r="F40" s="251">
        <v>50</v>
      </c>
    </row>
    <row r="41" spans="2:25" x14ac:dyDescent="0.35">
      <c r="B41" s="198" t="s">
        <v>299</v>
      </c>
      <c r="C41" s="140" t="s">
        <v>148</v>
      </c>
      <c r="D41" s="56">
        <f>SUMIFS('Model VMT by TAZ'!J:J,'Model VMT by TAZ'!B:B, B41)</f>
        <v>67421</v>
      </c>
      <c r="E41" s="56">
        <f>'Action 9 Calculations'!G76</f>
        <v>-361097.71831493947</v>
      </c>
      <c r="F41" s="251">
        <v>40</v>
      </c>
    </row>
    <row r="42" spans="2:25" x14ac:dyDescent="0.35">
      <c r="B42" s="198" t="s">
        <v>383</v>
      </c>
      <c r="C42" s="140" t="s">
        <v>148</v>
      </c>
      <c r="D42" s="56">
        <f>SUMIFS('Model VMT by TAZ'!J:J,'Model VMT by TAZ'!B:B, B42)</f>
        <v>2747</v>
      </c>
      <c r="E42" s="56">
        <f>'Action 9 Calculations'!G77</f>
        <v>-20171.202756038303</v>
      </c>
      <c r="F42" s="251">
        <v>5</v>
      </c>
    </row>
    <row r="45" spans="2:25" x14ac:dyDescent="0.35">
      <c r="B45" s="18" t="s">
        <v>256</v>
      </c>
      <c r="C45" s="136"/>
      <c r="D45" s="136"/>
      <c r="E45" s="136"/>
      <c r="F45" s="136"/>
      <c r="G45" s="136"/>
      <c r="H45" s="136"/>
      <c r="I45" s="136"/>
      <c r="J45" s="136"/>
      <c r="K45" s="136"/>
      <c r="L45" s="136"/>
      <c r="M45" s="136"/>
      <c r="N45" s="136"/>
      <c r="O45" s="136"/>
      <c r="P45" s="136"/>
      <c r="Q45" s="136"/>
      <c r="R45" s="136"/>
      <c r="S45" s="136"/>
      <c r="T45" s="136"/>
      <c r="U45" s="136"/>
      <c r="V45" s="136"/>
      <c r="W45" s="136"/>
      <c r="X45" s="136"/>
      <c r="Y45" s="136"/>
    </row>
    <row r="47" spans="2:25" x14ac:dyDescent="0.35">
      <c r="B47" s="2" t="s">
        <v>287</v>
      </c>
    </row>
    <row r="48" spans="2:25" ht="29" x14ac:dyDescent="0.35">
      <c r="B48" s="108" t="s">
        <v>258</v>
      </c>
      <c r="C48" s="108" t="s">
        <v>385</v>
      </c>
      <c r="D48" s="108" t="s">
        <v>513</v>
      </c>
      <c r="E48" s="108" t="s">
        <v>261</v>
      </c>
      <c r="F48" s="108" t="s">
        <v>262</v>
      </c>
      <c r="G48" s="108" t="s">
        <v>263</v>
      </c>
    </row>
    <row r="49" spans="2:7" x14ac:dyDescent="0.35">
      <c r="B49" s="180">
        <f>B54/'Action 9 Calculations'!F58</f>
        <v>-10359.879047691533</v>
      </c>
      <c r="C49" s="180">
        <f>C54/'Action 9 Calculations'!F58</f>
        <v>-310796.37143074599</v>
      </c>
      <c r="D49" s="186">
        <f>D54</f>
        <v>9528750</v>
      </c>
      <c r="E49" s="187">
        <f>IFERROR(-D49/B49,0)</f>
        <v>919.77425181650824</v>
      </c>
      <c r="F49" s="186">
        <f>F54</f>
        <v>285862500</v>
      </c>
      <c r="G49" s="187">
        <f>IFERROR(-F49/C49,0)</f>
        <v>919.77425181650824</v>
      </c>
    </row>
    <row r="52" spans="2:7" x14ac:dyDescent="0.35">
      <c r="B52" s="2" t="s">
        <v>288</v>
      </c>
    </row>
    <row r="53" spans="2:7" ht="29" x14ac:dyDescent="0.35">
      <c r="B53" s="108" t="s">
        <v>245</v>
      </c>
      <c r="C53" s="108" t="s">
        <v>259</v>
      </c>
      <c r="D53" s="108" t="s">
        <v>513</v>
      </c>
      <c r="E53" s="108" t="s">
        <v>261</v>
      </c>
      <c r="F53" s="108" t="s">
        <v>262</v>
      </c>
      <c r="G53" s="108" t="s">
        <v>263</v>
      </c>
    </row>
    <row r="54" spans="2:7" x14ac:dyDescent="0.35">
      <c r="B54" s="180">
        <f>SUMIFS(E23:E42, C23:C42,"YES")</f>
        <v>-3594878.0295489617</v>
      </c>
      <c r="C54" s="180">
        <f>I39*B54</f>
        <v>-107846340.88646886</v>
      </c>
      <c r="D54" s="186">
        <f>I26</f>
        <v>9528750</v>
      </c>
      <c r="E54" s="187">
        <f>IFERROR(-D54/B54,0)</f>
        <v>2.6506462588371997</v>
      </c>
      <c r="F54" s="186">
        <f>D54*I39</f>
        <v>285862500</v>
      </c>
      <c r="G54" s="187">
        <f>IFERROR(-F54/C54,0)</f>
        <v>2.6506462588371997</v>
      </c>
    </row>
  </sheetData>
  <sheetProtection sheet="1" objects="1" scenarios="1"/>
  <protectedRanges>
    <protectedRange sqref="I39" name="Range6"/>
    <protectedRange sqref="I29" name="Range4"/>
    <protectedRange sqref="F23:F43" name="Range2"/>
    <protectedRange sqref="C23:C42" name="Range1"/>
    <protectedRange sqref="I23" name="Range3"/>
    <protectedRange sqref="I35:J35" name="Range5"/>
  </protectedRanges>
  <mergeCells count="1">
    <mergeCell ref="B15:B16"/>
  </mergeCells>
  <dataValidations count="2">
    <dataValidation type="list" allowBlank="1" showInputMessage="1" showErrorMessage="1" sqref="C23:C42" xr:uid="{1733F200-00D6-4BCC-8E12-E701C4135D5B}">
      <formula1>$AB$20:$AB$21</formula1>
    </dataValidation>
    <dataValidation type="list" allowBlank="1" showInputMessage="1" showErrorMessage="1" sqref="I35" xr:uid="{58B311E4-2F8E-4A51-B66B-011C6537D49E}">
      <formula1>$AD$3:$AD$4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6F86F-8DD0-4683-AAC3-C05561CC18C8}">
  <sheetPr>
    <tabColor theme="8"/>
  </sheetPr>
  <dimension ref="B2:AG45"/>
  <sheetViews>
    <sheetView topLeftCell="A24" workbookViewId="0">
      <selection activeCell="K31" sqref="K31"/>
    </sheetView>
  </sheetViews>
  <sheetFormatPr defaultRowHeight="14.5" x14ac:dyDescent="0.35"/>
  <cols>
    <col min="2" max="2" width="28.26953125" customWidth="1"/>
    <col min="3" max="4" width="27.26953125" customWidth="1"/>
    <col min="5" max="5" width="26" customWidth="1"/>
    <col min="6" max="6" width="23.81640625" customWidth="1"/>
    <col min="7" max="7" width="21.81640625" customWidth="1"/>
    <col min="8" max="8" width="4.54296875" customWidth="1"/>
    <col min="9" max="9" width="5.26953125" customWidth="1"/>
    <col min="10" max="10" width="45.26953125" bestFit="1" customWidth="1"/>
    <col min="11" max="11" width="18.453125" customWidth="1"/>
    <col min="12" max="12" width="35.54296875" customWidth="1"/>
    <col min="31" max="31" width="0" hidden="1" customWidth="1"/>
    <col min="33" max="33" width="0" hidden="1" customWidth="1"/>
  </cols>
  <sheetData>
    <row r="2" spans="2:33" ht="31" x14ac:dyDescent="0.7">
      <c r="B2" s="8" t="s">
        <v>179</v>
      </c>
    </row>
    <row r="3" spans="2:33" x14ac:dyDescent="0.35">
      <c r="AE3" t="s">
        <v>148</v>
      </c>
    </row>
    <row r="4" spans="2:33" x14ac:dyDescent="0.35">
      <c r="B4" s="9" t="s">
        <v>29</v>
      </c>
      <c r="C4" s="10"/>
      <c r="D4" s="10"/>
      <c r="E4" s="10"/>
      <c r="F4" s="10"/>
      <c r="G4" s="10"/>
      <c r="H4" s="10"/>
      <c r="I4" s="10"/>
      <c r="J4" s="10"/>
      <c r="K4" s="10"/>
      <c r="L4" s="10"/>
      <c r="M4" s="10"/>
      <c r="N4" s="10"/>
      <c r="O4" s="10"/>
      <c r="P4" s="10"/>
      <c r="Q4" s="10"/>
      <c r="R4" s="10"/>
      <c r="S4" s="10"/>
      <c r="T4" s="10"/>
      <c r="U4" s="10"/>
      <c r="V4" s="10"/>
      <c r="W4" s="10"/>
      <c r="X4" s="10"/>
      <c r="Y4" s="10"/>
      <c r="Z4" s="10"/>
      <c r="AA4" s="11"/>
      <c r="AE4" t="s">
        <v>149</v>
      </c>
    </row>
    <row r="5" spans="2:33" x14ac:dyDescent="0.35">
      <c r="B5" s="49" t="s">
        <v>532</v>
      </c>
      <c r="AA5" s="13"/>
      <c r="AG5" t="s">
        <v>148</v>
      </c>
    </row>
    <row r="6" spans="2:33" x14ac:dyDescent="0.35">
      <c r="B6" s="12" t="s">
        <v>533</v>
      </c>
      <c r="AA6" s="13"/>
      <c r="AG6" t="s">
        <v>149</v>
      </c>
    </row>
    <row r="7" spans="2:33" x14ac:dyDescent="0.35">
      <c r="B7" s="14"/>
      <c r="C7" s="15"/>
      <c r="D7" s="15"/>
      <c r="E7" s="15"/>
      <c r="F7" s="15"/>
      <c r="G7" s="15"/>
      <c r="H7" s="15"/>
      <c r="I7" s="15"/>
      <c r="J7" s="15"/>
      <c r="K7" s="15"/>
      <c r="L7" s="15"/>
      <c r="M7" s="15"/>
      <c r="N7" s="15"/>
      <c r="O7" s="15"/>
      <c r="P7" s="15"/>
      <c r="Q7" s="15"/>
      <c r="R7" s="15"/>
      <c r="S7" s="15"/>
      <c r="T7" s="15"/>
      <c r="U7" s="15"/>
      <c r="V7" s="15"/>
      <c r="W7" s="15"/>
      <c r="X7" s="15"/>
      <c r="Y7" s="15"/>
      <c r="Z7" s="15"/>
      <c r="AA7" s="16"/>
    </row>
    <row r="9" spans="2:33" x14ac:dyDescent="0.35">
      <c r="B9" s="9" t="s">
        <v>221</v>
      </c>
      <c r="C9" s="10"/>
      <c r="D9" s="10"/>
      <c r="E9" s="10"/>
      <c r="F9" s="10"/>
      <c r="G9" s="10"/>
      <c r="H9" s="10"/>
      <c r="I9" s="10"/>
      <c r="J9" s="10"/>
      <c r="K9" s="10"/>
      <c r="L9" s="10"/>
      <c r="M9" s="10"/>
      <c r="N9" s="10"/>
      <c r="O9" s="10"/>
      <c r="P9" s="10"/>
      <c r="Q9" s="10"/>
      <c r="R9" s="10"/>
      <c r="S9" s="10"/>
      <c r="T9" s="10"/>
      <c r="U9" s="10"/>
      <c r="V9" s="10"/>
      <c r="W9" s="10"/>
      <c r="X9" s="10"/>
      <c r="Y9" s="10"/>
      <c r="Z9" s="10"/>
      <c r="AA9" s="11"/>
    </row>
    <row r="10" spans="2:33" x14ac:dyDescent="0.35">
      <c r="B10" s="12" t="s">
        <v>534</v>
      </c>
      <c r="AA10" s="13"/>
    </row>
    <row r="11" spans="2:33" x14ac:dyDescent="0.35">
      <c r="B11" s="12" t="s">
        <v>535</v>
      </c>
      <c r="AA11" s="13"/>
    </row>
    <row r="12" spans="2:33"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6"/>
    </row>
    <row r="14" spans="2:33" x14ac:dyDescent="0.35">
      <c r="B14" s="9" t="s">
        <v>224</v>
      </c>
      <c r="C14" s="10"/>
      <c r="D14" s="10"/>
      <c r="E14" s="10"/>
      <c r="F14" s="10"/>
      <c r="G14" s="10"/>
      <c r="H14" s="10"/>
      <c r="I14" s="10"/>
      <c r="J14" s="10"/>
      <c r="K14" s="10"/>
      <c r="L14" s="10"/>
      <c r="M14" s="10"/>
      <c r="N14" s="10"/>
      <c r="O14" s="10"/>
      <c r="P14" s="10"/>
      <c r="Q14" s="10"/>
      <c r="R14" s="10"/>
      <c r="S14" s="10"/>
      <c r="T14" s="10"/>
      <c r="U14" s="10"/>
      <c r="V14" s="10"/>
      <c r="W14" s="10"/>
      <c r="X14" s="10"/>
      <c r="Y14" s="10"/>
      <c r="Z14" s="10"/>
      <c r="AA14" s="11"/>
    </row>
    <row r="15" spans="2:33" x14ac:dyDescent="0.35">
      <c r="B15" s="499" t="s">
        <v>225</v>
      </c>
      <c r="C15" s="17" t="s">
        <v>536</v>
      </c>
      <c r="D15" s="17"/>
      <c r="AA15" s="13"/>
    </row>
    <row r="16" spans="2:33" x14ac:dyDescent="0.35">
      <c r="B16" s="499"/>
      <c r="C16" t="s">
        <v>497</v>
      </c>
      <c r="AA16" s="13"/>
    </row>
    <row r="17" spans="2:27" x14ac:dyDescent="0.35">
      <c r="B17" s="400"/>
      <c r="AA17" s="13"/>
    </row>
    <row r="18" spans="2:27" x14ac:dyDescent="0.35">
      <c r="B18" s="401" t="s">
        <v>228</v>
      </c>
      <c r="C18" s="17" t="s">
        <v>229</v>
      </c>
      <c r="D18" s="17"/>
      <c r="AA18" s="13"/>
    </row>
    <row r="19" spans="2:27" x14ac:dyDescent="0.35">
      <c r="B19" s="14"/>
      <c r="C19" s="15"/>
      <c r="D19" s="15"/>
      <c r="E19" s="15"/>
      <c r="F19" s="15"/>
      <c r="G19" s="15"/>
      <c r="H19" s="15"/>
      <c r="I19" s="15"/>
      <c r="J19" s="15"/>
      <c r="K19" s="15"/>
      <c r="L19" s="15"/>
      <c r="M19" s="15"/>
      <c r="N19" s="15"/>
      <c r="O19" s="15"/>
      <c r="P19" s="15"/>
      <c r="Q19" s="15"/>
      <c r="R19" s="15"/>
      <c r="S19" s="15"/>
      <c r="T19" s="15"/>
      <c r="U19" s="15"/>
      <c r="V19" s="15"/>
      <c r="W19" s="15"/>
      <c r="X19" s="15"/>
      <c r="Y19" s="15"/>
      <c r="Z19" s="15"/>
      <c r="AA19" s="16"/>
    </row>
    <row r="21" spans="2:27" x14ac:dyDescent="0.35">
      <c r="B21" s="18" t="s">
        <v>230</v>
      </c>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row>
    <row r="23" spans="2:27" x14ac:dyDescent="0.35">
      <c r="B23" s="2" t="s">
        <v>537</v>
      </c>
      <c r="F23" s="2" t="s">
        <v>373</v>
      </c>
      <c r="J23" s="2" t="s">
        <v>285</v>
      </c>
      <c r="K23" s="54" t="s">
        <v>275</v>
      </c>
      <c r="L23" s="54" t="s">
        <v>276</v>
      </c>
    </row>
    <row r="24" spans="2:27" ht="43.5" x14ac:dyDescent="0.35">
      <c r="B24" s="166" t="s">
        <v>538</v>
      </c>
      <c r="C24" s="40">
        <f>'Action 10 Calculations'!C16</f>
        <v>16</v>
      </c>
      <c r="F24" s="166" t="s">
        <v>538</v>
      </c>
      <c r="G24" s="40">
        <f>'Action 10 Calculations'!I16</f>
        <v>9</v>
      </c>
      <c r="J24" s="166" t="s">
        <v>539</v>
      </c>
      <c r="K24" s="295">
        <f>'2.) Enhance Route ECR Frequency'!K27*(1-0.24)</f>
        <v>158.22950296404571</v>
      </c>
      <c r="L24" s="7" t="s">
        <v>540</v>
      </c>
    </row>
    <row r="25" spans="2:27" x14ac:dyDescent="0.35">
      <c r="B25" s="166" t="s">
        <v>541</v>
      </c>
      <c r="C25" s="171">
        <v>24</v>
      </c>
      <c r="F25" s="166" t="s">
        <v>541</v>
      </c>
      <c r="G25" s="171">
        <v>24</v>
      </c>
      <c r="K25" s="294"/>
    </row>
    <row r="26" spans="2:27" x14ac:dyDescent="0.35">
      <c r="B26" s="166" t="s">
        <v>245</v>
      </c>
      <c r="C26" s="180">
        <f>'Action 10 Calculations'!I43</f>
        <v>-1744405.96638783</v>
      </c>
      <c r="F26" s="166" t="s">
        <v>245</v>
      </c>
      <c r="G26" s="180">
        <f>'Action 10 Calculations'!I44</f>
        <v>-2038842.4573148913</v>
      </c>
      <c r="J26" s="106" t="s">
        <v>252</v>
      </c>
      <c r="K26" s="106" t="s">
        <v>253</v>
      </c>
      <c r="L26" s="106" t="s">
        <v>254</v>
      </c>
    </row>
    <row r="27" spans="2:27" x14ac:dyDescent="0.35">
      <c r="B27" s="166" t="s">
        <v>542</v>
      </c>
      <c r="C27" s="179">
        <f>'Action 10 Calculations'!H43</f>
        <v>439245.10022819089</v>
      </c>
      <c r="F27" s="166" t="s">
        <v>542</v>
      </c>
      <c r="G27" s="179">
        <f>'Action 10 Calculations'!H44</f>
        <v>823584.56292785786</v>
      </c>
      <c r="J27" s="7" t="s">
        <v>311</v>
      </c>
      <c r="K27" s="141" t="s">
        <v>148</v>
      </c>
      <c r="L27" s="203">
        <v>0.05</v>
      </c>
    </row>
    <row r="28" spans="2:27" x14ac:dyDescent="0.35">
      <c r="B28" s="166" t="s">
        <v>543</v>
      </c>
      <c r="C28" s="140" t="s">
        <v>148</v>
      </c>
      <c r="F28" s="166" t="s">
        <v>543</v>
      </c>
      <c r="G28" s="140" t="s">
        <v>149</v>
      </c>
    </row>
    <row r="29" spans="2:27" x14ac:dyDescent="0.35">
      <c r="J29" s="2" t="s">
        <v>232</v>
      </c>
    </row>
    <row r="30" spans="2:27" x14ac:dyDescent="0.35">
      <c r="J30" s="109" t="s">
        <v>462</v>
      </c>
      <c r="K30" s="191"/>
    </row>
    <row r="31" spans="2:27" x14ac:dyDescent="0.35">
      <c r="D31" s="2" t="s">
        <v>544</v>
      </c>
      <c r="J31" s="257" t="s">
        <v>236</v>
      </c>
      <c r="K31" s="140">
        <v>30</v>
      </c>
    </row>
    <row r="32" spans="2:27" x14ac:dyDescent="0.35">
      <c r="D32" s="166" t="s">
        <v>245</v>
      </c>
      <c r="E32" s="180">
        <f>IF(C28="YES",C26,0)+IF(G28="YES",G26,0)</f>
        <v>-1744405.96638783</v>
      </c>
    </row>
    <row r="33" spans="2:27" x14ac:dyDescent="0.35">
      <c r="D33" s="166" t="s">
        <v>542</v>
      </c>
      <c r="E33" s="186">
        <f>IF(C28="YES",C27,0)+IF(G28="YES",G27,0)</f>
        <v>439245.10022819089</v>
      </c>
    </row>
    <row r="34" spans="2:27" ht="29" x14ac:dyDescent="0.35">
      <c r="D34" s="214" t="s">
        <v>545</v>
      </c>
      <c r="E34" s="186">
        <f>IF(K27="YES",(E33*L27)+E33,E33)</f>
        <v>461207.35523960041</v>
      </c>
    </row>
    <row r="36" spans="2:27" x14ac:dyDescent="0.35">
      <c r="B36" s="18" t="s">
        <v>256</v>
      </c>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row>
    <row r="38" spans="2:27" x14ac:dyDescent="0.35">
      <c r="B38" s="2" t="s">
        <v>287</v>
      </c>
    </row>
    <row r="39" spans="2:27" ht="29" x14ac:dyDescent="0.35">
      <c r="B39" s="108" t="s">
        <v>258</v>
      </c>
      <c r="C39" s="108" t="s">
        <v>546</v>
      </c>
      <c r="D39" s="108" t="s">
        <v>513</v>
      </c>
      <c r="E39" s="108" t="s">
        <v>261</v>
      </c>
      <c r="F39" s="108" t="s">
        <v>262</v>
      </c>
      <c r="G39" s="108" t="s">
        <v>263</v>
      </c>
    </row>
    <row r="40" spans="2:27" x14ac:dyDescent="0.35">
      <c r="B40" s="180">
        <f>B45/'Action 10 Calculations'!D43</f>
        <v>-5027.1065313770314</v>
      </c>
      <c r="C40" s="180">
        <f>C45/'Action 10 Calculations'!D43</f>
        <v>-150813.19594131096</v>
      </c>
      <c r="D40" s="186">
        <f>D45</f>
        <v>461207.35523960041</v>
      </c>
      <c r="E40" s="187">
        <f>IFERROR(-D40/B40,0)</f>
        <v>91.744098192656736</v>
      </c>
      <c r="F40" s="186">
        <f>F45</f>
        <v>13836220.657188013</v>
      </c>
      <c r="G40" s="187">
        <f>IFERROR(-F40/C40,0)</f>
        <v>91.744098192656736</v>
      </c>
    </row>
    <row r="41" spans="2:27" x14ac:dyDescent="0.35">
      <c r="H41" s="403"/>
    </row>
    <row r="43" spans="2:27" x14ac:dyDescent="0.35">
      <c r="B43" s="2" t="s">
        <v>288</v>
      </c>
    </row>
    <row r="44" spans="2:27" ht="29" x14ac:dyDescent="0.35">
      <c r="B44" s="108" t="s">
        <v>245</v>
      </c>
      <c r="C44" s="108" t="s">
        <v>259</v>
      </c>
      <c r="D44" s="108" t="s">
        <v>513</v>
      </c>
      <c r="E44" s="108" t="s">
        <v>261</v>
      </c>
      <c r="F44" s="108" t="s">
        <v>262</v>
      </c>
      <c r="G44" s="108" t="s">
        <v>263</v>
      </c>
    </row>
    <row r="45" spans="2:27" x14ac:dyDescent="0.35">
      <c r="B45" s="180">
        <f>E32</f>
        <v>-1744405.96638783</v>
      </c>
      <c r="C45" s="180">
        <f>B45*K31</f>
        <v>-52332178.991634898</v>
      </c>
      <c r="D45" s="186">
        <f>E34</f>
        <v>461207.35523960041</v>
      </c>
      <c r="E45" s="187">
        <f>IFERROR(-D45/B45,0)</f>
        <v>0.26439221381169087</v>
      </c>
      <c r="F45" s="186">
        <f>E34*K31</f>
        <v>13836220.657188013</v>
      </c>
      <c r="G45" s="187">
        <f>IFERROR(-F45/C45,0)</f>
        <v>0.26439221381169092</v>
      </c>
    </row>
  </sheetData>
  <sheetProtection sheet="1" objects="1" scenarios="1"/>
  <protectedRanges>
    <protectedRange sqref="K31" name="Range7"/>
    <protectedRange sqref="K24" name="Range5"/>
    <protectedRange sqref="G25" name="Range3"/>
    <protectedRange sqref="C25" name="Range1"/>
    <protectedRange sqref="C28" name="Range2"/>
    <protectedRange sqref="G28" name="Range4"/>
    <protectedRange sqref="K27:L27" name="Range6"/>
  </protectedRanges>
  <mergeCells count="1">
    <mergeCell ref="B15:B16"/>
  </mergeCells>
  <dataValidations count="2">
    <dataValidation type="list" allowBlank="1" showInputMessage="1" showErrorMessage="1" sqref="C28:D28 G28 H28" xr:uid="{99796C31-3F30-4847-8BBB-0D987BA0DA65}">
      <formula1>$AG$5:$AG$6</formula1>
    </dataValidation>
    <dataValidation type="list" allowBlank="1" showInputMessage="1" showErrorMessage="1" sqref="K27" xr:uid="{ACFB336C-C91F-42E6-B878-E42BFABFCB04}">
      <formula1>$AE$3:$AE$4</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36E9-2CB3-4CD3-A680-F450F2946B31}">
  <sheetPr>
    <tabColor theme="8"/>
  </sheetPr>
  <dimension ref="B2:AD38"/>
  <sheetViews>
    <sheetView topLeftCell="A14" workbookViewId="0">
      <selection activeCell="I37" sqref="I37"/>
    </sheetView>
  </sheetViews>
  <sheetFormatPr defaultRowHeight="14.5" x14ac:dyDescent="0.35"/>
  <cols>
    <col min="2" max="2" width="46.7265625" customWidth="1"/>
    <col min="3" max="3" width="27.26953125" customWidth="1"/>
    <col min="4" max="4" width="17.26953125" customWidth="1"/>
    <col min="5" max="5" width="21" bestFit="1" customWidth="1"/>
    <col min="6" max="6" width="21" customWidth="1"/>
    <col min="7" max="7" width="33" customWidth="1"/>
    <col min="8" max="8" width="13.7265625" customWidth="1"/>
    <col min="9" max="9" width="34.453125" customWidth="1"/>
    <col min="10" max="10" width="19.7265625" customWidth="1"/>
    <col min="30" max="30" width="8.81640625" hidden="1" customWidth="1"/>
  </cols>
  <sheetData>
    <row r="2" spans="2:30" ht="31" x14ac:dyDescent="0.7">
      <c r="B2" s="8" t="s">
        <v>180</v>
      </c>
    </row>
    <row r="4" spans="2:30" x14ac:dyDescent="0.35">
      <c r="B4" s="9" t="s">
        <v>29</v>
      </c>
      <c r="C4" s="10"/>
      <c r="D4" s="10"/>
      <c r="E4" s="10"/>
      <c r="F4" s="10"/>
      <c r="G4" s="10"/>
      <c r="H4" s="10"/>
      <c r="I4" s="10"/>
      <c r="J4" s="10"/>
      <c r="K4" s="10"/>
      <c r="L4" s="10"/>
      <c r="M4" s="10"/>
      <c r="N4" s="10"/>
      <c r="O4" s="10"/>
      <c r="P4" s="10"/>
      <c r="Q4" s="10"/>
      <c r="R4" s="10"/>
      <c r="S4" s="10"/>
      <c r="T4" s="10"/>
      <c r="U4" s="10"/>
      <c r="V4" s="10"/>
      <c r="W4" s="10"/>
      <c r="X4" s="10"/>
      <c r="Y4" s="10"/>
      <c r="Z4" s="11"/>
    </row>
    <row r="5" spans="2:30" x14ac:dyDescent="0.35">
      <c r="B5" s="49" t="s">
        <v>547</v>
      </c>
      <c r="Z5" s="13"/>
    </row>
    <row r="6" spans="2:30" x14ac:dyDescent="0.35">
      <c r="B6" s="12" t="s">
        <v>548</v>
      </c>
      <c r="Z6" s="13"/>
    </row>
    <row r="7" spans="2:30" x14ac:dyDescent="0.35">
      <c r="B7" s="14"/>
      <c r="C7" s="15"/>
      <c r="D7" s="15"/>
      <c r="E7" s="15"/>
      <c r="F7" s="15"/>
      <c r="G7" s="15"/>
      <c r="H7" s="15"/>
      <c r="I7" s="15"/>
      <c r="J7" s="15"/>
      <c r="K7" s="15"/>
      <c r="L7" s="15"/>
      <c r="M7" s="15"/>
      <c r="N7" s="15"/>
      <c r="O7" s="15"/>
      <c r="P7" s="15"/>
      <c r="Q7" s="15"/>
      <c r="R7" s="15"/>
      <c r="S7" s="15"/>
      <c r="T7" s="15"/>
      <c r="U7" s="15"/>
      <c r="V7" s="15"/>
      <c r="W7" s="15"/>
      <c r="X7" s="15"/>
      <c r="Y7" s="15"/>
      <c r="Z7" s="16"/>
    </row>
    <row r="9" spans="2:30" x14ac:dyDescent="0.35">
      <c r="B9" s="9" t="s">
        <v>549</v>
      </c>
      <c r="C9" s="10"/>
      <c r="D9" s="10"/>
      <c r="E9" s="10"/>
      <c r="F9" s="10"/>
      <c r="G9" s="10"/>
      <c r="H9" s="10"/>
      <c r="I9" s="10"/>
      <c r="J9" s="10"/>
      <c r="K9" s="10"/>
      <c r="L9" s="10"/>
      <c r="M9" s="10"/>
      <c r="N9" s="10"/>
      <c r="O9" s="10"/>
      <c r="P9" s="10"/>
      <c r="Q9" s="10"/>
      <c r="R9" s="10"/>
      <c r="S9" s="10"/>
      <c r="T9" s="10"/>
      <c r="U9" s="10"/>
      <c r="V9" s="10"/>
      <c r="W9" s="10"/>
      <c r="X9" s="10"/>
      <c r="Y9" s="10"/>
      <c r="Z9" s="11"/>
      <c r="AD9" t="s">
        <v>148</v>
      </c>
    </row>
    <row r="10" spans="2:30" x14ac:dyDescent="0.35">
      <c r="B10" s="12" t="s">
        <v>550</v>
      </c>
      <c r="Z10" s="13"/>
      <c r="AD10" t="s">
        <v>149</v>
      </c>
    </row>
    <row r="11" spans="2:30" x14ac:dyDescent="0.35">
      <c r="B11" s="12" t="s">
        <v>551</v>
      </c>
      <c r="Z11" s="13"/>
    </row>
    <row r="12" spans="2:30"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4" spans="2:30" x14ac:dyDescent="0.35">
      <c r="B14" s="9" t="s">
        <v>224</v>
      </c>
      <c r="C14" s="10"/>
      <c r="D14" s="10"/>
      <c r="E14" s="10"/>
      <c r="F14" s="10"/>
      <c r="G14" s="10"/>
      <c r="H14" s="10"/>
      <c r="I14" s="10"/>
      <c r="J14" s="10"/>
      <c r="K14" s="10"/>
      <c r="L14" s="10"/>
      <c r="M14" s="10"/>
      <c r="N14" s="10"/>
      <c r="O14" s="10"/>
      <c r="P14" s="10"/>
      <c r="Q14" s="10"/>
      <c r="R14" s="10"/>
      <c r="S14" s="10"/>
      <c r="T14" s="10"/>
      <c r="U14" s="10"/>
      <c r="V14" s="10"/>
      <c r="W14" s="10"/>
      <c r="X14" s="10"/>
      <c r="Y14" s="10"/>
      <c r="Z14" s="11"/>
    </row>
    <row r="15" spans="2:30" x14ac:dyDescent="0.35">
      <c r="B15" s="499" t="s">
        <v>225</v>
      </c>
      <c r="C15" s="17" t="s">
        <v>552</v>
      </c>
      <c r="Z15" s="13"/>
    </row>
    <row r="16" spans="2:30" x14ac:dyDescent="0.35">
      <c r="B16" s="499"/>
      <c r="C16" s="17" t="s">
        <v>553</v>
      </c>
      <c r="Z16" s="13"/>
    </row>
    <row r="17" spans="2:26" x14ac:dyDescent="0.35">
      <c r="B17" s="14"/>
      <c r="C17" s="15"/>
      <c r="D17" s="15"/>
      <c r="E17" s="15"/>
      <c r="F17" s="15"/>
      <c r="G17" s="15"/>
      <c r="H17" s="15"/>
      <c r="I17" s="15"/>
      <c r="J17" s="15"/>
      <c r="K17" s="15"/>
      <c r="L17" s="15"/>
      <c r="M17" s="15"/>
      <c r="N17" s="15"/>
      <c r="O17" s="15"/>
      <c r="P17" s="15"/>
      <c r="Q17" s="15"/>
      <c r="R17" s="15"/>
      <c r="S17" s="15"/>
      <c r="T17" s="15"/>
      <c r="U17" s="15"/>
      <c r="V17" s="15"/>
      <c r="W17" s="15"/>
      <c r="X17" s="15"/>
      <c r="Y17" s="15"/>
      <c r="Z17" s="16"/>
    </row>
    <row r="19" spans="2:26" x14ac:dyDescent="0.35">
      <c r="B19" s="18" t="s">
        <v>230</v>
      </c>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row>
    <row r="22" spans="2:26" x14ac:dyDescent="0.35">
      <c r="B22" s="2" t="s">
        <v>233</v>
      </c>
      <c r="I22" s="2" t="s">
        <v>350</v>
      </c>
    </row>
    <row r="23" spans="2:26" ht="43.5" x14ac:dyDescent="0.35">
      <c r="B23" s="166" t="s">
        <v>498</v>
      </c>
      <c r="C23" s="166" t="s">
        <v>554</v>
      </c>
      <c r="D23" s="106" t="s">
        <v>555</v>
      </c>
      <c r="E23" s="386" t="s">
        <v>556</v>
      </c>
      <c r="F23" s="106" t="s">
        <v>557</v>
      </c>
      <c r="G23" s="106" t="s">
        <v>543</v>
      </c>
      <c r="I23" s="106" t="s">
        <v>558</v>
      </c>
      <c r="J23" s="189">
        <v>1283</v>
      </c>
    </row>
    <row r="24" spans="2:26" x14ac:dyDescent="0.35">
      <c r="B24" s="6" t="s">
        <v>368</v>
      </c>
      <c r="C24" s="248">
        <v>5</v>
      </c>
      <c r="D24" s="278">
        <f>'Action 11 Calculations'!D124+IF($J$26="YES",'Action 11 Calculations'!D124*$K$26,0)</f>
        <v>6735.75</v>
      </c>
      <c r="E24" s="27">
        <f>'Action 11 Calculations'!E124</f>
        <v>-22.306262590594773</v>
      </c>
      <c r="F24" s="40">
        <f>E24*$J$29</f>
        <v>-223.06262590594773</v>
      </c>
      <c r="G24" s="248" t="s">
        <v>148</v>
      </c>
    </row>
    <row r="25" spans="2:26" x14ac:dyDescent="0.35">
      <c r="B25" s="6" t="s">
        <v>376</v>
      </c>
      <c r="C25" s="248">
        <v>5</v>
      </c>
      <c r="D25" s="278">
        <f>'Action 11 Calculations'!D125+IF($J$26="YES",'Action 11 Calculations'!D125*$K$26,0)</f>
        <v>6735.75</v>
      </c>
      <c r="E25" s="27">
        <f>'Action 11 Calculations'!E125</f>
        <v>-22.306262590594773</v>
      </c>
      <c r="F25" s="40">
        <f t="shared" ref="F25:F29" si="0">E25*$J$29</f>
        <v>-223.06262590594773</v>
      </c>
      <c r="G25" s="248" t="s">
        <v>148</v>
      </c>
      <c r="I25" s="106" t="s">
        <v>252</v>
      </c>
      <c r="J25" s="106" t="s">
        <v>253</v>
      </c>
      <c r="K25" s="106" t="s">
        <v>254</v>
      </c>
    </row>
    <row r="26" spans="2:26" x14ac:dyDescent="0.35">
      <c r="B26" s="6" t="s">
        <v>382</v>
      </c>
      <c r="C26" s="248">
        <v>5</v>
      </c>
      <c r="D26" s="278">
        <f>'Action 11 Calculations'!D126+IF($J$26="YES",'Action 11 Calculations'!D126*$K$26,0)</f>
        <v>6735.75</v>
      </c>
      <c r="E26" s="27">
        <f>'Action 11 Calculations'!E126</f>
        <v>-22.306262590594773</v>
      </c>
      <c r="F26" s="40">
        <f t="shared" si="0"/>
        <v>-223.06262590594773</v>
      </c>
      <c r="G26" s="248" t="s">
        <v>148</v>
      </c>
      <c r="I26" s="7" t="s">
        <v>311</v>
      </c>
      <c r="J26" s="141" t="s">
        <v>148</v>
      </c>
      <c r="K26" s="203">
        <v>0.05</v>
      </c>
    </row>
    <row r="27" spans="2:26" x14ac:dyDescent="0.35">
      <c r="B27" s="6" t="s">
        <v>375</v>
      </c>
      <c r="C27" s="248">
        <v>5</v>
      </c>
      <c r="D27" s="278">
        <f>'Action 11 Calculations'!D127+IF($J$26="YES",'Action 11 Calculations'!D127*$K$26,0)</f>
        <v>6735.75</v>
      </c>
      <c r="E27" s="27">
        <f>'Action 11 Calculations'!E127</f>
        <v>-22.306262590594773</v>
      </c>
      <c r="F27" s="40">
        <f t="shared" si="0"/>
        <v>-223.06262590594773</v>
      </c>
      <c r="G27" s="248" t="s">
        <v>148</v>
      </c>
    </row>
    <row r="28" spans="2:26" x14ac:dyDescent="0.35">
      <c r="B28" s="6" t="s">
        <v>373</v>
      </c>
      <c r="C28" s="248">
        <v>5</v>
      </c>
      <c r="D28" s="278">
        <f>'Action 11 Calculations'!D128+IF($J$26="YES",'Action 11 Calculations'!D128*$K$26,0)</f>
        <v>6735.75</v>
      </c>
      <c r="E28" s="27">
        <f>'Action 11 Calculations'!E128</f>
        <v>-22.306262590594773</v>
      </c>
      <c r="F28" s="40">
        <f t="shared" si="0"/>
        <v>-223.06262590594773</v>
      </c>
      <c r="G28" s="248" t="s">
        <v>148</v>
      </c>
      <c r="I28" s="109" t="s">
        <v>559</v>
      </c>
      <c r="J28" s="191"/>
    </row>
    <row r="29" spans="2:26" x14ac:dyDescent="0.35">
      <c r="B29" s="24" t="s">
        <v>560</v>
      </c>
      <c r="C29" s="248">
        <v>15</v>
      </c>
      <c r="D29" s="278">
        <f>'Action 11 Calculations'!C104+IF($J$26="YES",'Action 11 Calculations'!D129*$K$26,0)</f>
        <v>20207.25</v>
      </c>
      <c r="E29" s="27">
        <f>'Action 11 Calculations'!C116</f>
        <v>-66.918787771784309</v>
      </c>
      <c r="F29" s="40">
        <f t="shared" si="0"/>
        <v>-669.18787771784309</v>
      </c>
      <c r="G29" s="248" t="s">
        <v>149</v>
      </c>
      <c r="I29" s="257" t="s">
        <v>561</v>
      </c>
      <c r="J29" s="140">
        <v>10</v>
      </c>
    </row>
    <row r="33" spans="2:26" x14ac:dyDescent="0.35">
      <c r="B33" s="18" t="s">
        <v>562</v>
      </c>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row>
    <row r="36" spans="2:26" x14ac:dyDescent="0.35">
      <c r="B36" s="2" t="s">
        <v>563</v>
      </c>
    </row>
    <row r="37" spans="2:26" ht="29" x14ac:dyDescent="0.35">
      <c r="B37" s="108" t="s">
        <v>564</v>
      </c>
      <c r="C37" s="387" t="s">
        <v>565</v>
      </c>
      <c r="D37" s="108" t="s">
        <v>318</v>
      </c>
      <c r="E37" s="108" t="s">
        <v>566</v>
      </c>
      <c r="F37" s="108" t="s">
        <v>567</v>
      </c>
    </row>
    <row r="38" spans="2:26" x14ac:dyDescent="0.35">
      <c r="B38" s="180">
        <f>SUMIFS(E24:E29,G24:G29,"YES")</f>
        <v>-111.53131295297386</v>
      </c>
      <c r="C38" s="180">
        <f>SUMIFS(F24:F29,G24:G29,"YES")</f>
        <v>-1115.3131295297387</v>
      </c>
      <c r="D38" s="186">
        <f>SUMIFS(D24:D29,G24:G29,"YES")</f>
        <v>33678.75</v>
      </c>
      <c r="E38" s="187">
        <f>-D38/B38</f>
        <v>301.96676707464502</v>
      </c>
      <c r="F38" s="186">
        <f>-D38/C38</f>
        <v>30.196676707464501</v>
      </c>
    </row>
  </sheetData>
  <sheetProtection sheet="1" objects="1" scenarios="1"/>
  <protectedRanges>
    <protectedRange sqref="J29" name="Range5"/>
    <protectedRange sqref="J23" name="Range3"/>
    <protectedRange sqref="C24:C29" name="Range1"/>
    <protectedRange sqref="G24:G29" name="Range2"/>
    <protectedRange sqref="J26:K26" name="Range4"/>
  </protectedRanges>
  <mergeCells count="1">
    <mergeCell ref="B15:B16"/>
  </mergeCells>
  <dataValidations count="1">
    <dataValidation type="list" allowBlank="1" showInputMessage="1" showErrorMessage="1" sqref="G24:G29 J26" xr:uid="{CC405AEE-55DB-4BAC-AD26-74F7116BEBD6}">
      <formula1>$AD$9:$AD$10</formula1>
    </dataValidation>
  </dataValidations>
  <pageMargins left="0.7" right="0.7" top="0.75" bottom="0.75" header="0.3" footer="0.3"/>
  <pageSetup orientation="portrait" horizontalDpi="1200" verticalDpi="1200"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223E-4C06-45C1-8D41-A1924142BCFE}">
  <sheetPr>
    <tabColor theme="8"/>
  </sheetPr>
  <dimension ref="B2:AD75"/>
  <sheetViews>
    <sheetView topLeftCell="A55" zoomScaleNormal="100" workbookViewId="0">
      <selection activeCell="F75" sqref="F75"/>
    </sheetView>
  </sheetViews>
  <sheetFormatPr defaultRowHeight="14.5" x14ac:dyDescent="0.35"/>
  <cols>
    <col min="2" max="2" width="35" customWidth="1"/>
    <col min="3" max="3" width="22.7265625" customWidth="1"/>
    <col min="4" max="4" width="25.54296875" customWidth="1"/>
    <col min="5" max="5" width="29.453125" customWidth="1"/>
    <col min="6" max="6" width="17.453125" customWidth="1"/>
    <col min="7" max="7" width="17.7265625" customWidth="1"/>
    <col min="8" max="8" width="36.1796875" customWidth="1"/>
    <col min="9" max="9" width="23.1796875" customWidth="1"/>
    <col min="10" max="10" width="31.1796875" bestFit="1" customWidth="1"/>
    <col min="11" max="11" width="19.81640625" customWidth="1"/>
    <col min="12" max="12" width="9.453125" customWidth="1"/>
    <col min="13" max="13" width="29.54296875" customWidth="1"/>
    <col min="14" max="14" width="16.7265625" customWidth="1"/>
    <col min="16" max="16" width="14.26953125" bestFit="1" customWidth="1"/>
    <col min="30" max="30" width="9.1796875" hidden="1" customWidth="1"/>
  </cols>
  <sheetData>
    <row r="2" spans="2:25" ht="31" x14ac:dyDescent="0.7">
      <c r="B2" s="8" t="s">
        <v>183</v>
      </c>
    </row>
    <row r="4" spans="2:25" x14ac:dyDescent="0.35">
      <c r="B4" s="9" t="s">
        <v>29</v>
      </c>
      <c r="C4" s="10"/>
      <c r="D4" s="10"/>
      <c r="E4" s="10"/>
      <c r="F4" s="10"/>
      <c r="G4" s="10"/>
      <c r="H4" s="10"/>
      <c r="I4" s="10"/>
      <c r="J4" s="10"/>
      <c r="K4" s="10"/>
      <c r="L4" s="10"/>
      <c r="M4" s="10"/>
      <c r="N4" s="10"/>
      <c r="O4" s="10"/>
      <c r="P4" s="10"/>
      <c r="Q4" s="10"/>
      <c r="R4" s="10"/>
      <c r="S4" s="10"/>
      <c r="T4" s="10"/>
      <c r="U4" s="10"/>
      <c r="V4" s="10"/>
      <c r="W4" s="10"/>
      <c r="X4" s="10"/>
      <c r="Y4" s="11"/>
    </row>
    <row r="5" spans="2:25" x14ac:dyDescent="0.35">
      <c r="B5" s="49" t="s">
        <v>568</v>
      </c>
      <c r="Y5" s="13"/>
    </row>
    <row r="6" spans="2:25" x14ac:dyDescent="0.35">
      <c r="B6" s="14"/>
      <c r="C6" s="15"/>
      <c r="D6" s="15"/>
      <c r="E6" s="15"/>
      <c r="F6" s="15"/>
      <c r="G6" s="15"/>
      <c r="H6" s="15"/>
      <c r="I6" s="15"/>
      <c r="J6" s="15"/>
      <c r="K6" s="15"/>
      <c r="L6" s="15"/>
      <c r="M6" s="15"/>
      <c r="N6" s="15"/>
      <c r="O6" s="15"/>
      <c r="P6" s="15"/>
      <c r="Q6" s="15"/>
      <c r="R6" s="15"/>
      <c r="S6" s="15"/>
      <c r="T6" s="15"/>
      <c r="U6" s="15"/>
      <c r="V6" s="15"/>
      <c r="W6" s="15"/>
      <c r="X6" s="15"/>
      <c r="Y6" s="16"/>
    </row>
    <row r="8" spans="2:25" x14ac:dyDescent="0.35">
      <c r="B8" s="9" t="s">
        <v>221</v>
      </c>
      <c r="C8" s="10"/>
      <c r="D8" s="10"/>
      <c r="E8" s="10"/>
      <c r="F8" s="10"/>
      <c r="G8" s="10"/>
      <c r="H8" s="10"/>
      <c r="I8" s="10"/>
      <c r="J8" s="10"/>
      <c r="K8" s="10"/>
      <c r="L8" s="10"/>
      <c r="M8" s="10"/>
      <c r="N8" s="10"/>
      <c r="O8" s="10"/>
      <c r="P8" s="10"/>
      <c r="Q8" s="10"/>
      <c r="R8" s="10"/>
      <c r="S8" s="10"/>
      <c r="T8" s="10"/>
      <c r="U8" s="10"/>
      <c r="V8" s="10"/>
      <c r="W8" s="10"/>
      <c r="X8" s="10"/>
      <c r="Y8" s="11"/>
    </row>
    <row r="9" spans="2:25" x14ac:dyDescent="0.35">
      <c r="B9" s="12" t="s">
        <v>569</v>
      </c>
      <c r="Y9" s="13"/>
    </row>
    <row r="10" spans="2:25" x14ac:dyDescent="0.35">
      <c r="B10" s="12" t="s">
        <v>570</v>
      </c>
      <c r="Y10" s="13"/>
    </row>
    <row r="11" spans="2:25" x14ac:dyDescent="0.35">
      <c r="B11" s="14"/>
      <c r="C11" s="15"/>
      <c r="D11" s="15"/>
      <c r="E11" s="15"/>
      <c r="F11" s="15"/>
      <c r="G11" s="15"/>
      <c r="H11" s="15"/>
      <c r="I11" s="15"/>
      <c r="J11" s="15"/>
      <c r="K11" s="15"/>
      <c r="L11" s="15"/>
      <c r="M11" s="15"/>
      <c r="N11" s="15"/>
      <c r="O11" s="15"/>
      <c r="P11" s="15"/>
      <c r="Q11" s="15"/>
      <c r="R11" s="15"/>
      <c r="S11" s="15"/>
      <c r="T11" s="15"/>
      <c r="U11" s="15"/>
      <c r="V11" s="15"/>
      <c r="W11" s="15"/>
      <c r="X11" s="15"/>
      <c r="Y11" s="16"/>
    </row>
    <row r="13" spans="2:25" x14ac:dyDescent="0.35">
      <c r="B13" s="9" t="s">
        <v>224</v>
      </c>
      <c r="C13" s="10"/>
      <c r="D13" s="10"/>
      <c r="E13" s="10"/>
      <c r="F13" s="10"/>
      <c r="G13" s="10"/>
      <c r="H13" s="10"/>
      <c r="I13" s="10"/>
      <c r="J13" s="10"/>
      <c r="K13" s="10"/>
      <c r="L13" s="10"/>
      <c r="M13" s="10"/>
      <c r="N13" s="10"/>
      <c r="O13" s="10"/>
      <c r="P13" s="10"/>
      <c r="Q13" s="10"/>
      <c r="R13" s="10"/>
      <c r="S13" s="10"/>
      <c r="T13" s="10"/>
      <c r="U13" s="10"/>
      <c r="V13" s="10"/>
      <c r="W13" s="10"/>
      <c r="X13" s="10"/>
      <c r="Y13" s="11"/>
    </row>
    <row r="14" spans="2:25" x14ac:dyDescent="0.35">
      <c r="B14" s="499" t="s">
        <v>225</v>
      </c>
      <c r="C14" s="17" t="s">
        <v>571</v>
      </c>
      <c r="Y14" s="13"/>
    </row>
    <row r="15" spans="2:25" x14ac:dyDescent="0.35">
      <c r="B15" s="499"/>
      <c r="C15" t="s">
        <v>572</v>
      </c>
      <c r="Y15" s="13"/>
    </row>
    <row r="16" spans="2:25" x14ac:dyDescent="0.35">
      <c r="B16" s="400"/>
      <c r="Y16" s="13"/>
    </row>
    <row r="17" spans="2:30" x14ac:dyDescent="0.35">
      <c r="B17" s="401" t="s">
        <v>573</v>
      </c>
      <c r="C17" t="s">
        <v>574</v>
      </c>
      <c r="Y17" s="13"/>
    </row>
    <row r="18" spans="2:30" x14ac:dyDescent="0.35">
      <c r="B18" s="14"/>
      <c r="C18" s="15"/>
      <c r="D18" s="15"/>
      <c r="E18" s="15"/>
      <c r="F18" s="15"/>
      <c r="G18" s="15"/>
      <c r="H18" s="15"/>
      <c r="I18" s="15"/>
      <c r="J18" s="15"/>
      <c r="K18" s="15"/>
      <c r="L18" s="15"/>
      <c r="M18" s="15"/>
      <c r="N18" s="15"/>
      <c r="O18" s="15"/>
      <c r="P18" s="15"/>
      <c r="Q18" s="15"/>
      <c r="R18" s="15"/>
      <c r="S18" s="15"/>
      <c r="T18" s="15"/>
      <c r="U18" s="15"/>
      <c r="V18" s="15"/>
      <c r="W18" s="15"/>
      <c r="X18" s="15"/>
      <c r="Y18" s="16"/>
    </row>
    <row r="20" spans="2:30" x14ac:dyDescent="0.35">
      <c r="B20" s="2"/>
    </row>
    <row r="21" spans="2:30" x14ac:dyDescent="0.35">
      <c r="B21" s="18" t="s">
        <v>575</v>
      </c>
      <c r="C21" s="18"/>
      <c r="D21" s="18"/>
      <c r="E21" s="18"/>
      <c r="F21" s="18"/>
      <c r="G21" s="18"/>
      <c r="H21" s="18"/>
      <c r="I21" s="18"/>
      <c r="J21" s="18"/>
      <c r="K21" s="18"/>
      <c r="L21" s="18"/>
      <c r="M21" s="18"/>
      <c r="N21" s="18"/>
      <c r="O21" s="18"/>
      <c r="P21" s="18"/>
      <c r="Q21" s="18"/>
      <c r="R21" s="18"/>
      <c r="S21" s="18"/>
      <c r="T21" s="136"/>
      <c r="U21" s="136"/>
      <c r="V21" s="136"/>
      <c r="W21" s="136"/>
      <c r="X21" s="136"/>
      <c r="Y21" s="136"/>
    </row>
    <row r="23" spans="2:30" x14ac:dyDescent="0.35">
      <c r="B23" s="2" t="s">
        <v>576</v>
      </c>
      <c r="H23" s="2" t="s">
        <v>577</v>
      </c>
      <c r="M23" s="2" t="s">
        <v>285</v>
      </c>
      <c r="AD23" t="s">
        <v>148</v>
      </c>
    </row>
    <row r="24" spans="2:30" x14ac:dyDescent="0.35">
      <c r="B24" s="106" t="s">
        <v>519</v>
      </c>
      <c r="C24" s="510" t="s">
        <v>578</v>
      </c>
      <c r="D24" s="511"/>
      <c r="E24" s="512"/>
      <c r="H24" s="106" t="s">
        <v>519</v>
      </c>
      <c r="I24" s="510" t="s">
        <v>579</v>
      </c>
      <c r="J24" s="511"/>
      <c r="K24" s="512"/>
      <c r="M24" s="106" t="s">
        <v>196</v>
      </c>
      <c r="N24" s="106" t="s">
        <v>580</v>
      </c>
      <c r="AD24" t="s">
        <v>149</v>
      </c>
    </row>
    <row r="25" spans="2:30" x14ac:dyDescent="0.35">
      <c r="B25" s="106" t="s">
        <v>196</v>
      </c>
      <c r="C25" s="60" t="str">
        <f>'Action 12 Calculation'!C13</f>
        <v>Class II</v>
      </c>
      <c r="D25" s="188" t="str">
        <f>'Action 12 Calculation'!D13</f>
        <v>Class IV</v>
      </c>
      <c r="E25" s="60" t="str">
        <f>'Action 12 Calculation'!E13</f>
        <v>Class II to Class IV Conversion</v>
      </c>
      <c r="H25" s="106" t="s">
        <v>196</v>
      </c>
      <c r="I25" s="60" t="str">
        <f>'Action 12 Calculation'!C72</f>
        <v>Class IV</v>
      </c>
      <c r="J25" s="60" t="str">
        <f>'Action 12 Calculation'!D72</f>
        <v>Class II</v>
      </c>
      <c r="K25" s="60" t="s">
        <v>581</v>
      </c>
      <c r="M25" s="69" t="s">
        <v>581</v>
      </c>
      <c r="N25" s="189">
        <v>2546775.0000000005</v>
      </c>
      <c r="P25" s="352"/>
    </row>
    <row r="26" spans="2:30" x14ac:dyDescent="0.35">
      <c r="B26" s="106" t="s">
        <v>582</v>
      </c>
      <c r="C26" s="188">
        <f>'Action 12 Calculation'!C14</f>
        <v>1.8191999999999999</v>
      </c>
      <c r="D26" s="188">
        <f>'Action 12 Calculation'!D14</f>
        <v>0.4108</v>
      </c>
      <c r="E26" s="188">
        <f>'Action 12 Calculation'!E14</f>
        <v>2.3504</v>
      </c>
      <c r="H26" s="106" t="s">
        <v>582</v>
      </c>
      <c r="I26" s="188">
        <f>'Action 12 Calculation'!C73</f>
        <v>0.50980000000000003</v>
      </c>
      <c r="J26" s="188">
        <f>'Action 12 Calculation'!D73</f>
        <v>3.1815000000000002</v>
      </c>
      <c r="K26" s="188">
        <f>'Action 12 Calculation'!E73</f>
        <v>3.5771000000000002</v>
      </c>
      <c r="M26" s="69" t="s">
        <v>583</v>
      </c>
      <c r="N26" s="189">
        <v>104186.25000000001</v>
      </c>
    </row>
    <row r="27" spans="2:30" x14ac:dyDescent="0.35">
      <c r="B27" s="106" t="s">
        <v>308</v>
      </c>
      <c r="C27" s="179">
        <f>_xlfn.XLOOKUP(C25,$M$25:$M$28,$N$25:$N$28)*C26</f>
        <v>189535.62600000002</v>
      </c>
      <c r="D27" s="179">
        <f t="shared" ref="D27:E27" si="0">_xlfn.XLOOKUP(D25,$M$25:$M$28,$N$25:$N$28)*D26</f>
        <v>1555056.1845000002</v>
      </c>
      <c r="E27" s="179">
        <f t="shared" si="0"/>
        <v>8897283.4860000014</v>
      </c>
      <c r="H27" s="106" t="s">
        <v>308</v>
      </c>
      <c r="I27" s="179">
        <f>_xlfn.XLOOKUP(I25,$M$25:$M$28,$N$25:$N$28)*I26</f>
        <v>1929814.1257500004</v>
      </c>
      <c r="J27" s="179">
        <f>_xlfn.XLOOKUP(J25,$M$25:$M$28,$N$25:$N$28)*J26</f>
        <v>331468.55437500007</v>
      </c>
      <c r="K27" s="179">
        <f>_xlfn.XLOOKUP(K25,$M$25:$M$28,$N$25:$N$28)*K26</f>
        <v>9110068.8525000028</v>
      </c>
      <c r="M27" s="69" t="s">
        <v>584</v>
      </c>
      <c r="N27" s="259">
        <v>3785433.7500000005</v>
      </c>
    </row>
    <row r="28" spans="2:30" ht="29" x14ac:dyDescent="0.35">
      <c r="B28" s="106" t="s">
        <v>585</v>
      </c>
      <c r="C28" s="179">
        <f>C27*C26</f>
        <v>344803.21081920003</v>
      </c>
      <c r="D28" s="179">
        <f>D27*D26</f>
        <v>638817.08059260005</v>
      </c>
      <c r="E28" s="179">
        <f>E27*E26</f>
        <v>20912175.105494402</v>
      </c>
      <c r="H28" s="106" t="s">
        <v>585</v>
      </c>
      <c r="I28" s="179">
        <f>I27*I26</f>
        <v>983819.24130735022</v>
      </c>
      <c r="J28" s="179">
        <f>J27*J26</f>
        <v>1054567.2057440628</v>
      </c>
      <c r="K28" s="179">
        <f>K27*K26</f>
        <v>32587627.292277761</v>
      </c>
      <c r="M28" s="69" t="s">
        <v>586</v>
      </c>
      <c r="N28" s="189">
        <v>3785433.7500000005</v>
      </c>
    </row>
    <row r="29" spans="2:30" ht="29" x14ac:dyDescent="0.35">
      <c r="B29" s="106" t="s">
        <v>286</v>
      </c>
      <c r="C29" s="144">
        <f t="shared" ref="C29:E29" si="1">IF($N$40="YES",C28*$O$40,0)+IF($N$41="YES",C28*$O$41,0)+C28</f>
        <v>431004.01352400007</v>
      </c>
      <c r="D29" s="144">
        <f t="shared" si="1"/>
        <v>798521.35074075009</v>
      </c>
      <c r="E29" s="144">
        <f t="shared" si="1"/>
        <v>26140218.881868005</v>
      </c>
      <c r="H29" s="106" t="s">
        <v>286</v>
      </c>
      <c r="I29" s="144">
        <f>IF($N$40="YES",I28*$O$40,0)+IF($N$41="YES",I28*$O$41,0)+I28</f>
        <v>1229774.0516341878</v>
      </c>
      <c r="J29" s="144">
        <f>IF($N$40="YES",J28*$O$40,0)+IF($N$41="YES",J28*$O$41,0)+J28</f>
        <v>1318209.0071800784</v>
      </c>
      <c r="K29" s="144">
        <f>IF($N$40="YES",K28*$O$40,0)+IF($N$41="YES",K28*$O$41,0)+K28</f>
        <v>40734534.115347199</v>
      </c>
    </row>
    <row r="30" spans="2:30" x14ac:dyDescent="0.35">
      <c r="B30" s="190" t="s">
        <v>245</v>
      </c>
      <c r="C30" s="270">
        <f>'Action 12 Calculation'!C22</f>
        <v>-1173.02325</v>
      </c>
      <c r="D30" s="270">
        <f>'Action 12 Calculation'!D22</f>
        <v>-3065.2983899999999</v>
      </c>
      <c r="E30" s="270">
        <f>'Action 12 Calculation'!E22</f>
        <v>-1782.4714200000001</v>
      </c>
      <c r="H30" s="190" t="s">
        <v>245</v>
      </c>
      <c r="I30" s="270">
        <f>'Action 12 Calculation'!C81</f>
        <v>-8383.5386249999992</v>
      </c>
      <c r="J30" s="270">
        <f>'Action 12 Calculation'!D81</f>
        <v>-26235.471000000005</v>
      </c>
      <c r="K30" s="270">
        <f>'Action 12 Calculation'!E81</f>
        <v>-15481.726259999999</v>
      </c>
    </row>
    <row r="31" spans="2:30" x14ac:dyDescent="0.35">
      <c r="B31" s="190" t="s">
        <v>587</v>
      </c>
      <c r="C31" s="141" t="s">
        <v>148</v>
      </c>
      <c r="D31" s="141" t="s">
        <v>148</v>
      </c>
      <c r="E31" s="141" t="s">
        <v>148</v>
      </c>
      <c r="H31" s="190" t="s">
        <v>587</v>
      </c>
      <c r="I31" s="141" t="s">
        <v>148</v>
      </c>
      <c r="J31" s="141" t="s">
        <v>148</v>
      </c>
      <c r="K31" s="141" t="s">
        <v>148</v>
      </c>
    </row>
    <row r="33" spans="2:15" x14ac:dyDescent="0.35">
      <c r="B33" s="2" t="s">
        <v>588</v>
      </c>
      <c r="H33" s="2" t="s">
        <v>589</v>
      </c>
      <c r="M33" s="2" t="s">
        <v>590</v>
      </c>
    </row>
    <row r="34" spans="2:15" x14ac:dyDescent="0.35">
      <c r="B34" s="106" t="s">
        <v>519</v>
      </c>
      <c r="C34" s="510" t="s">
        <v>591</v>
      </c>
      <c r="D34" s="511"/>
      <c r="E34" s="511"/>
      <c r="F34" s="512"/>
      <c r="H34" s="106" t="s">
        <v>519</v>
      </c>
      <c r="I34" s="513" t="s">
        <v>370</v>
      </c>
      <c r="J34" s="513"/>
      <c r="M34" s="109" t="s">
        <v>302</v>
      </c>
      <c r="N34" s="191"/>
    </row>
    <row r="35" spans="2:15" x14ac:dyDescent="0.35">
      <c r="B35" s="106" t="s">
        <v>196</v>
      </c>
      <c r="C35" s="60" t="str">
        <f>'Action 12 Calculation'!C95</f>
        <v>Class I (North)</v>
      </c>
      <c r="D35" s="188" t="str">
        <f>'Action 12 Calculation'!D95</f>
        <v>Class II (North)</v>
      </c>
      <c r="E35" s="60" t="str">
        <f>'Action 12 Calculation'!E95</f>
        <v>Class I (South)</v>
      </c>
      <c r="F35" s="6" t="str">
        <f>'Action 12 Calculation'!F95</f>
        <v>Class II (South)</v>
      </c>
      <c r="H35" s="106" t="s">
        <v>196</v>
      </c>
      <c r="I35" s="60" t="str">
        <f>'Action 12 Calculation'!C116</f>
        <v>Class II</v>
      </c>
      <c r="J35" s="60" t="str">
        <f>'Action 12 Calculation'!D116</f>
        <v>Class II to Class IV Conversion</v>
      </c>
      <c r="M35" s="139" t="s">
        <v>592</v>
      </c>
      <c r="N35" s="140">
        <v>30</v>
      </c>
    </row>
    <row r="36" spans="2:15" hidden="1" x14ac:dyDescent="0.35">
      <c r="B36" s="106" t="s">
        <v>593</v>
      </c>
      <c r="C36" s="60" t="s">
        <v>581</v>
      </c>
      <c r="D36" s="188" t="s">
        <v>583</v>
      </c>
      <c r="E36" s="60" t="s">
        <v>581</v>
      </c>
      <c r="F36" s="6" t="s">
        <v>583</v>
      </c>
      <c r="H36" s="106"/>
      <c r="I36" s="60"/>
      <c r="J36" s="60"/>
      <c r="M36" s="17"/>
      <c r="N36" s="261"/>
    </row>
    <row r="37" spans="2:15" x14ac:dyDescent="0.35">
      <c r="B37" s="106" t="s">
        <v>582</v>
      </c>
      <c r="C37" s="188">
        <f>'Action 12 Calculation'!C96</f>
        <v>2.4687000000000001</v>
      </c>
      <c r="D37" s="188">
        <f>'Action 12 Calculation'!D96</f>
        <v>0.79480000000000006</v>
      </c>
      <c r="E37" s="188">
        <f>'Action 12 Calculation'!E96</f>
        <v>37.613600000000005</v>
      </c>
      <c r="F37" s="27">
        <f>'Action 12 Calculation'!F96</f>
        <v>5.4212000000000007</v>
      </c>
      <c r="H37" s="106" t="s">
        <v>582</v>
      </c>
      <c r="I37" s="188">
        <f>'Action 12 Calculation'!C117</f>
        <v>1.2616000000000001</v>
      </c>
      <c r="J37" s="188">
        <f>'Action 12 Calculation'!D117</f>
        <v>1.2421</v>
      </c>
    </row>
    <row r="38" spans="2:15" x14ac:dyDescent="0.35">
      <c r="B38" s="106" t="s">
        <v>308</v>
      </c>
      <c r="C38" s="179">
        <f>_xlfn.XLOOKUP(C36,$M$25:$M$28,$N$25:$N$28)*C37</f>
        <v>6287223.4425000018</v>
      </c>
      <c r="D38" s="179">
        <f t="shared" ref="D38:F38" si="2">_xlfn.XLOOKUP(D36,$M$25:$M$28,$N$25:$N$28)*D37</f>
        <v>82807.231500000024</v>
      </c>
      <c r="E38" s="179">
        <f t="shared" si="2"/>
        <v>95793376.14000003</v>
      </c>
      <c r="F38" s="179">
        <f t="shared" si="2"/>
        <v>564814.4985000001</v>
      </c>
      <c r="H38" s="106" t="s">
        <v>308</v>
      </c>
      <c r="I38" s="179">
        <f>_xlfn.XLOOKUP(I35,$M$25:$M$28,$N$25:$N$28)*I37</f>
        <v>131441.37300000002</v>
      </c>
      <c r="J38" s="179">
        <f>_xlfn.XLOOKUP(J35,$M$25:$M$28,$N$25:$N$28)*J37</f>
        <v>4701887.2608750006</v>
      </c>
      <c r="M38" s="2" t="s">
        <v>285</v>
      </c>
    </row>
    <row r="39" spans="2:15" ht="29" x14ac:dyDescent="0.35">
      <c r="B39" s="106" t="s">
        <v>585</v>
      </c>
      <c r="C39" s="179">
        <f>C38*C37</f>
        <v>15521268.512499755</v>
      </c>
      <c r="D39" s="179">
        <f>D38*D37</f>
        <v>65815.187596200019</v>
      </c>
      <c r="E39" s="179">
        <f>E38*E37</f>
        <v>3603133732.7795057</v>
      </c>
      <c r="F39" s="179">
        <f>F38*F37</f>
        <v>3061972.359268201</v>
      </c>
      <c r="H39" s="106" t="s">
        <v>585</v>
      </c>
      <c r="I39" s="179">
        <f>I38*I37</f>
        <v>165826.43617680002</v>
      </c>
      <c r="J39" s="179">
        <f>J38*J37</f>
        <v>5840214.1667328384</v>
      </c>
      <c r="M39" s="106" t="s">
        <v>252</v>
      </c>
      <c r="N39" s="106" t="s">
        <v>253</v>
      </c>
      <c r="O39" s="106" t="s">
        <v>254</v>
      </c>
    </row>
    <row r="40" spans="2:15" ht="29" x14ac:dyDescent="0.35">
      <c r="B40" s="106" t="s">
        <v>286</v>
      </c>
      <c r="C40" s="144">
        <f>IF($N$40="YES",C39*$O$40,0)+IF($N$41="YES",C39*$O$41,0)+C39</f>
        <v>19401585.640624695</v>
      </c>
      <c r="D40" s="144">
        <f t="shared" ref="D40:F40" si="3">IF($N$40="YES",D39*$O$40,0)+IF($N$41="YES",D39*$O$41,0)+D39</f>
        <v>82268.984495250028</v>
      </c>
      <c r="E40" s="144">
        <f t="shared" si="3"/>
        <v>4503917165.9743824</v>
      </c>
      <c r="F40" s="144">
        <f t="shared" si="3"/>
        <v>3827465.4490852514</v>
      </c>
      <c r="H40" s="106" t="s">
        <v>286</v>
      </c>
      <c r="I40" s="144">
        <f>IF($N$40="YES",I39*$O$40,0)+IF($N$41="YES",I39*$O$41,0)+I39</f>
        <v>207283.04522100004</v>
      </c>
      <c r="J40" s="144">
        <f>IF($N$40="YES",J39*$O$40,0)+IF($N$41="YES",J39*$O$41,0)+J39</f>
        <v>7300267.7084160484</v>
      </c>
      <c r="M40" s="7" t="s">
        <v>311</v>
      </c>
      <c r="N40" s="141" t="s">
        <v>148</v>
      </c>
      <c r="O40" s="418">
        <v>0.05</v>
      </c>
    </row>
    <row r="41" spans="2:15" ht="45" customHeight="1" x14ac:dyDescent="0.35">
      <c r="B41" s="190" t="s">
        <v>245</v>
      </c>
      <c r="C41" s="270">
        <f>'Action 12 Calculation'!C104</f>
        <v>-47422.923240000004</v>
      </c>
      <c r="D41" s="270">
        <f>'Action 12 Calculation'!D104</f>
        <v>-6878.8395</v>
      </c>
      <c r="E41" s="270">
        <f>'Action 12 Calculation'!E104</f>
        <v>-4156.5724200000004</v>
      </c>
      <c r="F41" s="270">
        <f>'Action 12 Calculation'!F104</f>
        <v>-9934.9215000000004</v>
      </c>
      <c r="H41" s="190" t="s">
        <v>245</v>
      </c>
      <c r="I41" s="270">
        <f>'Action 12 Calculation'!C125</f>
        <v>-11378.975999999999</v>
      </c>
      <c r="J41" s="270">
        <f>'Action 12 Calculation'!D125</f>
        <v>-17854.344000000001</v>
      </c>
      <c r="M41" s="7" t="s">
        <v>313</v>
      </c>
      <c r="N41" s="141" t="s">
        <v>148</v>
      </c>
      <c r="O41" s="421">
        <v>0.2</v>
      </c>
    </row>
    <row r="42" spans="2:15" x14ac:dyDescent="0.35">
      <c r="B42" s="190" t="s">
        <v>587</v>
      </c>
      <c r="C42" s="141" t="s">
        <v>149</v>
      </c>
      <c r="D42" s="141" t="s">
        <v>149</v>
      </c>
      <c r="E42" s="141" t="s">
        <v>149</v>
      </c>
      <c r="F42" s="141" t="s">
        <v>149</v>
      </c>
      <c r="H42" s="190" t="s">
        <v>587</v>
      </c>
      <c r="I42" s="141" t="s">
        <v>148</v>
      </c>
      <c r="J42" s="141" t="s">
        <v>148</v>
      </c>
    </row>
    <row r="44" spans="2:15" x14ac:dyDescent="0.35">
      <c r="B44" s="2" t="s">
        <v>594</v>
      </c>
      <c r="H44" s="2" t="s">
        <v>595</v>
      </c>
    </row>
    <row r="45" spans="2:15" x14ac:dyDescent="0.35">
      <c r="B45" s="106" t="s">
        <v>519</v>
      </c>
      <c r="C45" s="510" t="s">
        <v>596</v>
      </c>
      <c r="D45" s="511"/>
      <c r="E45" s="512"/>
      <c r="H45" s="106" t="s">
        <v>519</v>
      </c>
      <c r="I45" s="260" t="s">
        <v>381</v>
      </c>
    </row>
    <row r="46" spans="2:15" x14ac:dyDescent="0.35">
      <c r="B46" s="106" t="s">
        <v>196</v>
      </c>
      <c r="C46" s="60" t="str">
        <f>'Action 12 Calculation'!C137</f>
        <v>Class II</v>
      </c>
      <c r="D46" s="188" t="str">
        <f>'Action 12 Calculation'!D137</f>
        <v>Class IV</v>
      </c>
      <c r="E46" s="60" t="str">
        <f>'Action 12 Calculation'!E137</f>
        <v>Class II to Class IV Conversion</v>
      </c>
      <c r="H46" s="106" t="s">
        <v>196</v>
      </c>
      <c r="I46" s="60" t="str">
        <f>'Action 12 Calculation'!C158</f>
        <v>Class II</v>
      </c>
    </row>
    <row r="47" spans="2:15" x14ac:dyDescent="0.35">
      <c r="B47" s="106" t="s">
        <v>582</v>
      </c>
      <c r="C47" s="188">
        <f>'Action 12 Calculation'!C138</f>
        <v>0.23019999999999999</v>
      </c>
      <c r="D47" s="188">
        <f>'Action 12 Calculation'!D138</f>
        <v>1.0141</v>
      </c>
      <c r="E47" s="188">
        <f>'Action 12 Calculation'!E138</f>
        <v>2.5270000000000001</v>
      </c>
      <c r="H47" s="106" t="s">
        <v>582</v>
      </c>
      <c r="I47" s="188">
        <f>'Action 12 Calculation'!C159</f>
        <v>5.1625999999999994</v>
      </c>
    </row>
    <row r="48" spans="2:15" x14ac:dyDescent="0.35">
      <c r="B48" s="106" t="s">
        <v>308</v>
      </c>
      <c r="C48" s="179">
        <f>_xlfn.XLOOKUP(C46,$M$25:$M$28,$N$25:$N$28)*C47</f>
        <v>23983.674750000002</v>
      </c>
      <c r="D48" s="179">
        <f>_xlfn.XLOOKUP(D46,$M$25:$M$28,$N$25:$N$28)*D47</f>
        <v>3838808.3658750006</v>
      </c>
      <c r="E48" s="179">
        <f t="shared" ref="E48" si="4">_xlfn.XLOOKUP(E46,$M$25:$M$28,$N$25:$N$28)*E47</f>
        <v>9565791.0862500016</v>
      </c>
      <c r="H48" s="106" t="s">
        <v>308</v>
      </c>
      <c r="I48" s="179">
        <f>_xlfn.XLOOKUP(I46,$M$25:$M$28,$N$25:$N$28)*I47</f>
        <v>537871.93425000005</v>
      </c>
    </row>
    <row r="49" spans="2:25" ht="29" x14ac:dyDescent="0.35">
      <c r="B49" s="106" t="s">
        <v>585</v>
      </c>
      <c r="C49" s="179">
        <f>C48*C47</f>
        <v>5521.04192745</v>
      </c>
      <c r="D49" s="179">
        <f>D48*D47</f>
        <v>3892935.5638338383</v>
      </c>
      <c r="E49" s="179">
        <f>E48*E47</f>
        <v>24172754.074953754</v>
      </c>
      <c r="H49" s="106" t="s">
        <v>585</v>
      </c>
      <c r="I49" s="179">
        <f>I48*I47</f>
        <v>2776817.6477590501</v>
      </c>
    </row>
    <row r="50" spans="2:25" ht="29" x14ac:dyDescent="0.35">
      <c r="B50" s="106" t="s">
        <v>286</v>
      </c>
      <c r="C50" s="144">
        <f t="shared" ref="C50:E50" si="5">IF($N$40="YES",C49*$O$40,0)+IF($N$41="YES",C49*$O$41,0)+C49</f>
        <v>6901.3024093125005</v>
      </c>
      <c r="D50" s="144">
        <f t="shared" si="5"/>
        <v>4866169.4547922984</v>
      </c>
      <c r="E50" s="144">
        <f t="shared" si="5"/>
        <v>30215942.593692191</v>
      </c>
      <c r="H50" s="106" t="s">
        <v>286</v>
      </c>
      <c r="I50" s="144">
        <f>IF($N$40="YES",I49*$O$40,0)+IF($N$41="YES",I49*$O$41,0)+I49</f>
        <v>3471022.0596988127</v>
      </c>
    </row>
    <row r="51" spans="2:25" ht="45" customHeight="1" x14ac:dyDescent="0.35">
      <c r="B51" s="190" t="s">
        <v>245</v>
      </c>
      <c r="C51" s="270">
        <f>'Action 12 Calculation'!C146</f>
        <v>-20.531999999999996</v>
      </c>
      <c r="D51" s="270">
        <f>'Action 12 Calculation'!D146</f>
        <v>-1732.859205</v>
      </c>
      <c r="E51" s="270">
        <f>'Action 12 Calculation'!E146</f>
        <v>-23.560470000000002</v>
      </c>
      <c r="H51" s="190" t="s">
        <v>245</v>
      </c>
      <c r="I51" s="143">
        <f>'Action 12 Calculation'!C167</f>
        <v>-6141.3690000000006</v>
      </c>
    </row>
    <row r="52" spans="2:25" x14ac:dyDescent="0.35">
      <c r="B52" s="190" t="s">
        <v>587</v>
      </c>
      <c r="C52" s="141" t="s">
        <v>148</v>
      </c>
      <c r="D52" s="141" t="s">
        <v>148</v>
      </c>
      <c r="E52" s="141" t="s">
        <v>148</v>
      </c>
      <c r="H52" s="190" t="s">
        <v>587</v>
      </c>
      <c r="I52" s="141" t="s">
        <v>148</v>
      </c>
    </row>
    <row r="54" spans="2:25" x14ac:dyDescent="0.35">
      <c r="B54" s="106" t="s">
        <v>597</v>
      </c>
      <c r="C54" s="106" t="s">
        <v>598</v>
      </c>
      <c r="D54" s="106" t="s">
        <v>275</v>
      </c>
    </row>
    <row r="55" spans="2:25" x14ac:dyDescent="0.35">
      <c r="B55" s="6" t="s">
        <v>578</v>
      </c>
      <c r="C55" s="56">
        <f>SUMIFS(C30:E30,C31:E31,"YES")</f>
        <v>-6020.79306</v>
      </c>
      <c r="D55" s="179">
        <f>SUMIFS(C29:E29,C31:E31,"YES")</f>
        <v>27369744.246132754</v>
      </c>
    </row>
    <row r="56" spans="2:25" x14ac:dyDescent="0.35">
      <c r="B56" s="6" t="s">
        <v>579</v>
      </c>
      <c r="C56" s="56">
        <f>SUMIFS(I30:K30, I31:K31, "YES")</f>
        <v>-50100.735885000002</v>
      </c>
      <c r="D56" s="179">
        <f>SUMIFS(I29:K29, I31:K31, "YES")</f>
        <v>43282517.174161464</v>
      </c>
    </row>
    <row r="57" spans="2:25" x14ac:dyDescent="0.35">
      <c r="B57" s="6" t="s">
        <v>599</v>
      </c>
      <c r="C57" s="56">
        <f>SUMIFS(C41:F41, C42:F42, "YES")</f>
        <v>0</v>
      </c>
      <c r="D57" s="179">
        <f>SUMIFS(C40:F40, C42:F42, "YES")</f>
        <v>0</v>
      </c>
    </row>
    <row r="58" spans="2:25" x14ac:dyDescent="0.35">
      <c r="B58" s="6" t="s">
        <v>370</v>
      </c>
      <c r="C58" s="56">
        <f>SUMIFS(I41:J41, I42:J42,"YES")</f>
        <v>-29233.32</v>
      </c>
      <c r="D58" s="179">
        <f>SUMIFS(I40:J40, I42:J42,"YES")</f>
        <v>7507550.7536370484</v>
      </c>
    </row>
    <row r="59" spans="2:25" x14ac:dyDescent="0.35">
      <c r="B59" s="6" t="s">
        <v>596</v>
      </c>
      <c r="C59" s="56">
        <f>SUMIFS(C51:E51, C52:E52, "YES")</f>
        <v>-1776.9516749999998</v>
      </c>
      <c r="D59" s="179">
        <f>SUMIFS(C50:E50, C52:E52, "YES")</f>
        <v>35089013.350893803</v>
      </c>
    </row>
    <row r="60" spans="2:25" x14ac:dyDescent="0.35">
      <c r="B60" s="6" t="s">
        <v>600</v>
      </c>
      <c r="C60" s="56">
        <f>SUMIFS(I51:J51, I52:J52, "YES")</f>
        <v>-6141.3690000000006</v>
      </c>
      <c r="D60" s="179">
        <f>SUMIFS(I50:J50, I52:J52, "YES")</f>
        <v>3471022.0596988127</v>
      </c>
    </row>
    <row r="61" spans="2:25" x14ac:dyDescent="0.35">
      <c r="B61" s="69" t="s">
        <v>601</v>
      </c>
      <c r="C61" s="180">
        <f>SUM(C55:C60)</f>
        <v>-93273.169620000015</v>
      </c>
      <c r="D61" s="186">
        <f>SUM(D55:D60)</f>
        <v>116719847.58452389</v>
      </c>
    </row>
    <row r="62" spans="2:25" x14ac:dyDescent="0.35">
      <c r="B62" s="2"/>
      <c r="C62" s="2"/>
      <c r="D62" s="2"/>
    </row>
    <row r="63" spans="2:25" x14ac:dyDescent="0.35">
      <c r="B63" s="18" t="s">
        <v>256</v>
      </c>
      <c r="C63" s="18"/>
      <c r="D63" s="18"/>
      <c r="E63" s="18"/>
      <c r="F63" s="18"/>
      <c r="G63" s="18"/>
      <c r="H63" s="18"/>
      <c r="I63" s="18"/>
      <c r="J63" s="18"/>
      <c r="K63" s="18"/>
      <c r="L63" s="18"/>
      <c r="M63" s="18"/>
      <c r="N63" s="18"/>
      <c r="O63" s="18"/>
      <c r="P63" s="18"/>
      <c r="Q63" s="18"/>
      <c r="R63" s="18"/>
      <c r="S63" s="18"/>
      <c r="T63" s="136"/>
      <c r="U63" s="136"/>
      <c r="V63" s="136"/>
      <c r="W63" s="136"/>
      <c r="X63" s="136"/>
      <c r="Y63" s="136"/>
    </row>
    <row r="64" spans="2:25" hidden="1" x14ac:dyDescent="0.35"/>
    <row r="66" spans="2:9" ht="60" customHeight="1" x14ac:dyDescent="0.35">
      <c r="B66" s="436" t="s">
        <v>602</v>
      </c>
      <c r="C66" s="434"/>
      <c r="D66" s="434"/>
      <c r="E66" s="435"/>
      <c r="F66" s="7" t="str">
        <f>'12a.) CustomBicycleProject'!F56</f>
        <v>Use the estimates in the 12.) Bicycle Infrastructure Tab</v>
      </c>
      <c r="G66" s="54" t="s">
        <v>603</v>
      </c>
    </row>
    <row r="68" spans="2:9" x14ac:dyDescent="0.35">
      <c r="B68" s="2" t="s">
        <v>287</v>
      </c>
      <c r="I68" s="32"/>
    </row>
    <row r="69" spans="2:9" ht="43.5" x14ac:dyDescent="0.35">
      <c r="B69" s="37" t="s">
        <v>604</v>
      </c>
      <c r="C69" s="37" t="s">
        <v>605</v>
      </c>
      <c r="D69" s="37" t="s">
        <v>606</v>
      </c>
      <c r="E69" s="37" t="s">
        <v>261</v>
      </c>
      <c r="F69" s="37" t="s">
        <v>607</v>
      </c>
      <c r="G69" s="37" t="s">
        <v>477</v>
      </c>
    </row>
    <row r="70" spans="2:9" x14ac:dyDescent="0.35">
      <c r="B70" s="180">
        <f>B75/'Action 12 Calculation'!C161</f>
        <v>-316.18023600000004</v>
      </c>
      <c r="C70" s="180">
        <f>C75/'Action 12 Calculation'!C161</f>
        <v>-9485.4070800000009</v>
      </c>
      <c r="D70" s="186">
        <f>D75</f>
        <v>116719847.58452389</v>
      </c>
      <c r="E70" s="186">
        <f>-(D70/B70)</f>
        <v>369156.05181762174</v>
      </c>
      <c r="F70" s="186">
        <f>F75</f>
        <v>116719847.58452389</v>
      </c>
      <c r="G70" s="186">
        <f>-(F70/C70)</f>
        <v>12305.201727254058</v>
      </c>
    </row>
    <row r="72" spans="2:9" x14ac:dyDescent="0.35">
      <c r="B72" s="54"/>
    </row>
    <row r="73" spans="2:9" x14ac:dyDescent="0.35">
      <c r="B73" s="2" t="s">
        <v>288</v>
      </c>
    </row>
    <row r="74" spans="2:9" ht="29" x14ac:dyDescent="0.35">
      <c r="B74" s="37" t="s">
        <v>608</v>
      </c>
      <c r="C74" s="37" t="s">
        <v>609</v>
      </c>
      <c r="D74" s="37" t="s">
        <v>610</v>
      </c>
      <c r="E74" s="37" t="s">
        <v>261</v>
      </c>
      <c r="F74" s="37" t="s">
        <v>607</v>
      </c>
      <c r="G74" s="37" t="s">
        <v>477</v>
      </c>
    </row>
    <row r="75" spans="2:9" x14ac:dyDescent="0.35">
      <c r="B75" s="180">
        <f>C61</f>
        <v>-93273.169620000015</v>
      </c>
      <c r="C75" s="180">
        <f>B75*N35</f>
        <v>-2798195.0886000004</v>
      </c>
      <c r="D75" s="186">
        <f>D61</f>
        <v>116719847.58452389</v>
      </c>
      <c r="E75" s="186">
        <f>-(D75/B75)</f>
        <v>1251.3764468393956</v>
      </c>
      <c r="F75" s="186">
        <f>D75</f>
        <v>116719847.58452389</v>
      </c>
      <c r="G75" s="187">
        <f>-(F75/C75)</f>
        <v>41.712548227979859</v>
      </c>
    </row>
  </sheetData>
  <sheetProtection sheet="1" objects="1" scenarios="1"/>
  <protectedRanges>
    <protectedRange sqref="I52" name="Range12"/>
    <protectedRange sqref="N40:O41" name="Range10"/>
    <protectedRange sqref="N28" name="Range8"/>
    <protectedRange sqref="I52" name="Range6"/>
    <protectedRange sqref="I31:K31" name="Range4"/>
    <protectedRange sqref="C42:F42" name="Range2"/>
    <protectedRange sqref="C31:E31" name="Range1"/>
    <protectedRange sqref="C52:E52" name="Range3"/>
    <protectedRange sqref="I42:J42" name="Range5"/>
    <protectedRange sqref="N25:N26" name="Range7"/>
    <protectedRange sqref="N35" name="Range9"/>
    <protectedRange sqref="C52:E52" name="Range11"/>
  </protectedRanges>
  <mergeCells count="6">
    <mergeCell ref="B14:B15"/>
    <mergeCell ref="C24:E24"/>
    <mergeCell ref="C45:E45"/>
    <mergeCell ref="C34:F34"/>
    <mergeCell ref="I24:K24"/>
    <mergeCell ref="I34:J34"/>
  </mergeCells>
  <dataValidations count="1">
    <dataValidation type="list" allowBlank="1" showInputMessage="1" showErrorMessage="1" sqref="C52:E52 N40:N41 C42:F42 I52:J52 I42:J42 I31:K31 C31:E31" xr:uid="{D34072A3-2F4F-4A80-8949-71C04F90A90D}">
      <formula1>$AD$23:$AD$24</formula1>
    </dataValidation>
  </dataValidation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2170B-761B-4651-A9F0-AAB996C480F0}">
  <sheetPr>
    <tabColor theme="9"/>
  </sheetPr>
  <dimension ref="B2:V48"/>
  <sheetViews>
    <sheetView zoomScale="110" zoomScaleNormal="110" workbookViewId="0">
      <selection activeCell="D32" sqref="D32"/>
    </sheetView>
  </sheetViews>
  <sheetFormatPr defaultRowHeight="14.5" x14ac:dyDescent="0.35"/>
  <cols>
    <col min="2" max="2" width="4.453125" customWidth="1"/>
    <col min="3" max="3" width="50.1796875" customWidth="1"/>
    <col min="4" max="4" width="28.7265625" customWidth="1"/>
    <col min="5" max="5" width="11.7265625" customWidth="1"/>
    <col min="6" max="6" width="9.26953125" customWidth="1"/>
    <col min="7" max="7" width="21" customWidth="1"/>
    <col min="8" max="8" width="21.81640625" hidden="1" customWidth="1"/>
    <col min="9" max="9" width="14.81640625" customWidth="1"/>
    <col min="10" max="10" width="20.26953125" customWidth="1"/>
    <col min="11" max="11" width="19" customWidth="1"/>
    <col min="12" max="12" width="13.1796875" hidden="1" customWidth="1"/>
    <col min="13" max="13" width="14.7265625" customWidth="1"/>
    <col min="14" max="14" width="13.7265625" customWidth="1"/>
    <col min="22" max="22" width="0" hidden="1" customWidth="1"/>
  </cols>
  <sheetData>
    <row r="2" spans="2:22" ht="26" x14ac:dyDescent="0.6">
      <c r="B2" s="19" t="s">
        <v>147</v>
      </c>
      <c r="V2" t="s">
        <v>148</v>
      </c>
    </row>
    <row r="3" spans="2:22" x14ac:dyDescent="0.35">
      <c r="V3" t="s">
        <v>149</v>
      </c>
    </row>
    <row r="4" spans="2:22" ht="78.75" customHeight="1" x14ac:dyDescent="0.35">
      <c r="B4" s="276" t="s">
        <v>150</v>
      </c>
      <c r="C4" s="277" t="s">
        <v>151</v>
      </c>
      <c r="D4" s="277" t="s">
        <v>152</v>
      </c>
      <c r="E4" s="277" t="s">
        <v>153</v>
      </c>
      <c r="F4" s="20" t="s">
        <v>154</v>
      </c>
      <c r="G4" s="20" t="s">
        <v>155</v>
      </c>
      <c r="H4" s="20" t="s">
        <v>156</v>
      </c>
      <c r="I4" s="106" t="s">
        <v>157</v>
      </c>
      <c r="J4" s="106" t="s">
        <v>158</v>
      </c>
      <c r="K4" s="106" t="s">
        <v>159</v>
      </c>
      <c r="L4" s="106" t="s">
        <v>160</v>
      </c>
      <c r="M4" s="106" t="s">
        <v>161</v>
      </c>
      <c r="N4" s="36" t="s">
        <v>162</v>
      </c>
    </row>
    <row r="5" spans="2:22" x14ac:dyDescent="0.35">
      <c r="B5" s="6">
        <v>1</v>
      </c>
      <c r="C5" s="7" t="s">
        <v>163</v>
      </c>
      <c r="D5" s="7" t="s">
        <v>164</v>
      </c>
      <c r="E5" s="413" t="s">
        <v>149</v>
      </c>
      <c r="F5" s="6">
        <f>'1.) Caltrain Service Expansion'!F24</f>
        <v>30</v>
      </c>
      <c r="G5" s="152">
        <f>'1.) Caltrain Service Expansion'!B48</f>
        <v>-40038711.776116014</v>
      </c>
      <c r="H5" s="56">
        <f>'1.) Caltrain Service Expansion'!C48</f>
        <v>-1201161353.2834804</v>
      </c>
      <c r="I5" s="24" t="s">
        <v>165</v>
      </c>
      <c r="J5" s="278">
        <f>'1.) Caltrain Service Expansion'!D48</f>
        <v>26250000</v>
      </c>
      <c r="K5" s="278">
        <f>'1.) Caltrain Service Expansion'!F48</f>
        <v>787500000</v>
      </c>
      <c r="L5" s="252">
        <f>'1.) Caltrain Service Expansion'!E48</f>
        <v>0.65561549898962312</v>
      </c>
      <c r="M5" s="252">
        <f>'1.) Caltrain Service Expansion'!G48</f>
        <v>0.65561549898962312</v>
      </c>
      <c r="N5" s="6" t="s">
        <v>166</v>
      </c>
    </row>
    <row r="6" spans="2:22" ht="36.4" customHeight="1" x14ac:dyDescent="0.35">
      <c r="B6" s="6">
        <v>2</v>
      </c>
      <c r="C6" s="7" t="s">
        <v>167</v>
      </c>
      <c r="D6" s="7" t="s">
        <v>164</v>
      </c>
      <c r="E6" s="413" t="s">
        <v>149</v>
      </c>
      <c r="F6" s="6">
        <f>'2.) Enhance Route ECR Frequency'!F25</f>
        <v>30</v>
      </c>
      <c r="G6" s="152">
        <f>'2.) Enhance Route ECR Frequency'!B43</f>
        <v>-19801196.31720655</v>
      </c>
      <c r="H6" s="56">
        <f>'2.) Enhance Route ECR Frequency'!C43</f>
        <v>-594035889.51619649</v>
      </c>
      <c r="I6" s="24" t="s">
        <v>165</v>
      </c>
      <c r="J6" s="278">
        <f>'2.) Enhance Route ECR Frequency'!D43</f>
        <v>12560039.173843026</v>
      </c>
      <c r="K6" s="278">
        <f>'2.) Enhance Route ECR Frequency'!F43</f>
        <v>376801175.21529078</v>
      </c>
      <c r="L6" s="252">
        <f>'2.) Enhance Route ECR Frequency'!E43</f>
        <v>0.63430708794744839</v>
      </c>
      <c r="M6" s="252">
        <f>'2.) Enhance Route ECR Frequency'!G43</f>
        <v>0.63430708794744839</v>
      </c>
      <c r="N6" s="6" t="s">
        <v>166</v>
      </c>
    </row>
    <row r="7" spans="2:22" x14ac:dyDescent="0.35">
      <c r="B7" s="6">
        <v>3</v>
      </c>
      <c r="C7" s="7" t="s">
        <v>168</v>
      </c>
      <c r="D7" s="7" t="s">
        <v>169</v>
      </c>
      <c r="E7" s="413" t="s">
        <v>148</v>
      </c>
      <c r="F7" s="6">
        <f>'3.) ECR Transit Priority'!I26</f>
        <v>30</v>
      </c>
      <c r="G7" s="152">
        <f>'3.) ECR Transit Priority'!B46</f>
        <v>-44540289.410932995</v>
      </c>
      <c r="H7" s="56">
        <f>'3.) ECR Transit Priority'!C46</f>
        <v>-1336208682.3279898</v>
      </c>
      <c r="I7" s="24" t="s">
        <v>170</v>
      </c>
      <c r="J7" s="278">
        <f>'3.) ECR Transit Priority'!D46</f>
        <v>70264189.075469539</v>
      </c>
      <c r="K7" s="278">
        <f>'3.) ECR Transit Priority'!F46</f>
        <v>70264189.075469539</v>
      </c>
      <c r="L7" s="252">
        <f>'3.) ECR Transit Priority'!E46</f>
        <v>1.5775422657721276</v>
      </c>
      <c r="M7" s="252">
        <f>'3.) ECR Transit Priority'!G46</f>
        <v>5.2584742192404256E-2</v>
      </c>
      <c r="N7" s="6" t="s">
        <v>166</v>
      </c>
    </row>
    <row r="8" spans="2:22" x14ac:dyDescent="0.35">
      <c r="B8" s="6">
        <v>4</v>
      </c>
      <c r="C8" s="7" t="s">
        <v>171</v>
      </c>
      <c r="D8" s="7" t="s">
        <v>169</v>
      </c>
      <c r="E8" s="413" t="s">
        <v>149</v>
      </c>
      <c r="F8" s="6">
        <f>'4.) Affordable Housing'!G21</f>
        <v>55</v>
      </c>
      <c r="G8" s="152">
        <f>'4.) Affordable Housing'!B44</f>
        <v>-7016800.3867403092</v>
      </c>
      <c r="H8" s="56">
        <f>'4.) Affordable Housing'!C44</f>
        <v>-385924021.27071702</v>
      </c>
      <c r="I8" s="24" t="s">
        <v>170</v>
      </c>
      <c r="J8" s="278">
        <f>'4.) Affordable Housing'!D44</f>
        <v>293750000</v>
      </c>
      <c r="K8" s="278">
        <f>'4.) Affordable Housing'!D44</f>
        <v>293750000</v>
      </c>
      <c r="L8" s="252">
        <f>'4.) Affordable Housing'!E44</f>
        <v>41.863810256751947</v>
      </c>
      <c r="M8" s="252">
        <f>'4.) Affordable Housing'!F44</f>
        <v>0.76116018648639905</v>
      </c>
      <c r="N8" s="6" t="s">
        <v>166</v>
      </c>
    </row>
    <row r="9" spans="2:22" x14ac:dyDescent="0.35">
      <c r="B9" s="6">
        <v>5</v>
      </c>
      <c r="C9" s="7" t="s">
        <v>172</v>
      </c>
      <c r="D9" s="7" t="s">
        <v>173</v>
      </c>
      <c r="E9" s="413" t="s">
        <v>149</v>
      </c>
      <c r="F9" s="6">
        <f>'5.) Clipper Start - Bay Pass'!M42</f>
        <v>30</v>
      </c>
      <c r="G9" s="152">
        <f>'5.) Clipper Start - Bay Pass'!B63</f>
        <v>-1663589.1914868478</v>
      </c>
      <c r="H9" s="56">
        <f>'5.) Clipper Start - Bay Pass'!C63</f>
        <v>-49907675.744605437</v>
      </c>
      <c r="I9" s="24" t="s">
        <v>165</v>
      </c>
      <c r="J9" s="278">
        <f>'5.) Clipper Start - Bay Pass'!D63</f>
        <v>59262273</v>
      </c>
      <c r="K9" s="278">
        <f>'5.) Clipper Start - Bay Pass'!F63</f>
        <v>1777868190</v>
      </c>
      <c r="L9" s="252">
        <f>'5.) Clipper Start - Bay Pass'!E63</f>
        <v>35.623141400091576</v>
      </c>
      <c r="M9" s="252">
        <f>'5.) Clipper Start - Bay Pass'!G63</f>
        <v>35.623141400091576</v>
      </c>
      <c r="N9" s="6" t="s">
        <v>174</v>
      </c>
      <c r="Q9" s="30"/>
    </row>
    <row r="10" spans="2:22" x14ac:dyDescent="0.35">
      <c r="B10" s="6">
        <v>6</v>
      </c>
      <c r="C10" s="7" t="s">
        <v>175</v>
      </c>
      <c r="D10" s="7" t="s">
        <v>173</v>
      </c>
      <c r="E10" s="413" t="s">
        <v>149</v>
      </c>
      <c r="F10" s="6">
        <f>'6.) E-Bike Rebate Program'!G22</f>
        <v>30</v>
      </c>
      <c r="G10" s="152">
        <f>'6.) E-Bike Rebate Program'!B39</f>
        <v>-1270164.443204294</v>
      </c>
      <c r="H10" s="56">
        <f>'6.) E-Bike Rebate Program'!C39</f>
        <v>-38104933.296128817</v>
      </c>
      <c r="I10" s="24" t="s">
        <v>170</v>
      </c>
      <c r="J10" s="278">
        <f>'6.) E-Bike Rebate Program'!D39</f>
        <v>666666.66666666663</v>
      </c>
      <c r="K10" s="278">
        <f>'6.) E-Bike Rebate Program'!F39</f>
        <v>20000000</v>
      </c>
      <c r="L10" s="252">
        <f>'6.) E-Bike Rebate Program'!E39</f>
        <v>0.52486642200819311</v>
      </c>
      <c r="M10" s="252">
        <f>'6.) E-Bike Rebate Program'!G39</f>
        <v>0.52486642200819322</v>
      </c>
      <c r="N10" s="6" t="s">
        <v>166</v>
      </c>
    </row>
    <row r="11" spans="2:22" x14ac:dyDescent="0.35">
      <c r="B11" s="6">
        <v>7</v>
      </c>
      <c r="C11" s="6" t="s">
        <v>176</v>
      </c>
      <c r="D11" s="7" t="s">
        <v>173</v>
      </c>
      <c r="E11" s="413" t="s">
        <v>149</v>
      </c>
      <c r="F11" s="6">
        <f>'7.) Community Travel Education'!F23</f>
        <v>30</v>
      </c>
      <c r="G11" s="152">
        <f>'7.) Community Travel Education'!B42</f>
        <v>-7195471.5732072024</v>
      </c>
      <c r="H11" s="56">
        <f>'7.) Community Travel Education'!C42</f>
        <v>-215864147.19621608</v>
      </c>
      <c r="I11" s="24" t="s">
        <v>165</v>
      </c>
      <c r="J11" s="278">
        <f>'7.) Community Travel Education'!D42</f>
        <v>2080141.875</v>
      </c>
      <c r="K11" s="278">
        <f>'7.) Community Travel Education'!F42</f>
        <v>62404256.25</v>
      </c>
      <c r="L11" s="252">
        <f>'7.) Community Travel Education'!E42</f>
        <v>0.28909041663725571</v>
      </c>
      <c r="M11" s="252">
        <f>'7.) Community Travel Education'!G42</f>
        <v>0.28909041663725571</v>
      </c>
      <c r="N11" s="6" t="s">
        <v>166</v>
      </c>
    </row>
    <row r="12" spans="2:22" x14ac:dyDescent="0.35">
      <c r="B12" s="6">
        <v>8</v>
      </c>
      <c r="C12" s="7" t="s">
        <v>177</v>
      </c>
      <c r="D12" s="7" t="s">
        <v>164</v>
      </c>
      <c r="E12" s="413" t="s">
        <v>149</v>
      </c>
      <c r="F12" s="6">
        <f>'8.) Mobility Hubs'!L29</f>
        <v>30</v>
      </c>
      <c r="G12" s="152">
        <f>'8.) Mobility Hubs'!B51</f>
        <v>-1136420.1493175644</v>
      </c>
      <c r="H12" s="56">
        <f>'8.) Mobility Hubs'!C51</f>
        <v>-34092604.479526937</v>
      </c>
      <c r="I12" s="24" t="s">
        <v>165</v>
      </c>
      <c r="J12" s="278">
        <f>'8.) Mobility Hubs'!D51</f>
        <v>1417500</v>
      </c>
      <c r="K12" s="278">
        <f>'8.) Mobility Hubs'!F51</f>
        <v>42525000</v>
      </c>
      <c r="L12" s="252">
        <f>'8.) Mobility Hubs'!E51</f>
        <v>1.247337968137249</v>
      </c>
      <c r="M12" s="252">
        <f>'8.) Mobility Hubs'!G51</f>
        <v>1.247337968137249</v>
      </c>
      <c r="N12" s="6" t="s">
        <v>174</v>
      </c>
    </row>
    <row r="13" spans="2:22" x14ac:dyDescent="0.35">
      <c r="B13" s="6">
        <v>9</v>
      </c>
      <c r="C13" s="7" t="s">
        <v>178</v>
      </c>
      <c r="D13" s="7" t="s">
        <v>164</v>
      </c>
      <c r="E13" s="413" t="s">
        <v>149</v>
      </c>
      <c r="F13" s="6">
        <f>'9.) Micromobility Services'!I39</f>
        <v>30</v>
      </c>
      <c r="G13" s="152">
        <f>'9.) Micromobility Services'!B54</f>
        <v>-3594878.0295489617</v>
      </c>
      <c r="H13" s="56">
        <f>'9.) Micromobility Services'!C54</f>
        <v>-107846340.88646886</v>
      </c>
      <c r="I13" s="24" t="s">
        <v>165</v>
      </c>
      <c r="J13" s="278">
        <f>'9.) Micromobility Services'!D54</f>
        <v>9528750</v>
      </c>
      <c r="K13" s="278">
        <f>'9.) Micromobility Services'!F54</f>
        <v>285862500</v>
      </c>
      <c r="L13" s="252">
        <f>'9.) Micromobility Services'!E54</f>
        <v>2.6506462588371997</v>
      </c>
      <c r="M13" s="252">
        <f>'9.) Micromobility Services'!G54</f>
        <v>2.6506462588371997</v>
      </c>
      <c r="N13" s="6" t="s">
        <v>174</v>
      </c>
    </row>
    <row r="14" spans="2:22" x14ac:dyDescent="0.35">
      <c r="B14" s="6">
        <v>10</v>
      </c>
      <c r="C14" s="6" t="s">
        <v>179</v>
      </c>
      <c r="D14" s="7" t="s">
        <v>164</v>
      </c>
      <c r="E14" s="413" t="s">
        <v>149</v>
      </c>
      <c r="F14" s="6">
        <f>'10.) Shuttles-Microtransit'!K31</f>
        <v>30</v>
      </c>
      <c r="G14" s="152">
        <f>'10.) Shuttles-Microtransit'!B45</f>
        <v>-1744405.96638783</v>
      </c>
      <c r="H14" s="56">
        <f>'10.) Shuttles-Microtransit'!C45</f>
        <v>-52332178.991634898</v>
      </c>
      <c r="I14" s="24" t="s">
        <v>165</v>
      </c>
      <c r="J14" s="278">
        <f>'10.) Shuttles-Microtransit'!D45</f>
        <v>461207.35523960041</v>
      </c>
      <c r="K14" s="278">
        <f>'10.) Shuttles-Microtransit'!F45</f>
        <v>13836220.657188013</v>
      </c>
      <c r="L14" s="252">
        <f>'10.) Shuttles-Microtransit'!E45</f>
        <v>0.26439221381169087</v>
      </c>
      <c r="M14" s="252">
        <f>'10.) Shuttles-Microtransit'!G45</f>
        <v>0.26439221381169092</v>
      </c>
      <c r="N14" s="6" t="s">
        <v>166</v>
      </c>
    </row>
    <row r="15" spans="2:22" ht="58" x14ac:dyDescent="0.35">
      <c r="B15" s="6">
        <v>11</v>
      </c>
      <c r="C15" s="6" t="s">
        <v>180</v>
      </c>
      <c r="D15" s="7" t="s">
        <v>169</v>
      </c>
      <c r="E15" s="7" t="s">
        <v>181</v>
      </c>
      <c r="F15" s="6">
        <f>'11.) EV Charging Facilities'!J29</f>
        <v>10</v>
      </c>
      <c r="G15" s="369" t="s">
        <v>182</v>
      </c>
      <c r="H15" s="369" t="s">
        <v>182</v>
      </c>
      <c r="I15" s="24" t="s">
        <v>170</v>
      </c>
      <c r="J15" s="278">
        <f>'11.) EV Charging Facilities'!D38</f>
        <v>33678.75</v>
      </c>
      <c r="K15" s="278">
        <f>J15</f>
        <v>33678.75</v>
      </c>
      <c r="L15" s="370" t="s">
        <v>181</v>
      </c>
      <c r="M15" s="370" t="s">
        <v>181</v>
      </c>
      <c r="N15" s="370" t="s">
        <v>181</v>
      </c>
    </row>
    <row r="16" spans="2:22" x14ac:dyDescent="0.35">
      <c r="B16" s="6">
        <v>12</v>
      </c>
      <c r="C16" s="6" t="s">
        <v>183</v>
      </c>
      <c r="D16" s="7" t="s">
        <v>169</v>
      </c>
      <c r="E16" s="413" t="s">
        <v>149</v>
      </c>
      <c r="F16" s="6">
        <f>'12.) Bicycle Infrastructure'!N35</f>
        <v>30</v>
      </c>
      <c r="G16" s="152">
        <f>IF('12a.) CustomBicycleProject'!$F$56='12a.) CustomBicycleProject'!$AG$37,'12a.) CustomBicycleProject'!B66,'12.) Bicycle Infrastructure'!B75)</f>
        <v>-93273.169620000015</v>
      </c>
      <c r="H16" s="56">
        <f>'12.) Bicycle Infrastructure'!C75</f>
        <v>-2798195.0886000004</v>
      </c>
      <c r="I16" s="24" t="s">
        <v>170</v>
      </c>
      <c r="J16" s="278">
        <f>IF('12a.) CustomBicycleProject'!F56='12a.) CustomBicycleProject'!AG37,'12a.) CustomBicycleProject'!D61,'12.) Bicycle Infrastructure'!D70)</f>
        <v>116719847.58452389</v>
      </c>
      <c r="K16" s="278">
        <f>IF('12a.) CustomBicycleProject'!F56='12a.) CustomBicycleProject'!AG37,'12a.) CustomBicycleProject'!F66,'12.) Bicycle Infrastructure'!F70)</f>
        <v>116719847.58452389</v>
      </c>
      <c r="L16" s="252">
        <f>'12.) Bicycle Infrastructure'!E75</f>
        <v>1251.3764468393956</v>
      </c>
      <c r="M16" s="252">
        <f>IF('12a.) CustomBicycleProject'!F56='12a.) CustomBicycleProject'!AG37,'12a.) CustomBicycleProject'!G66,'12.) Bicycle Infrastructure'!G75)</f>
        <v>41.712548227979859</v>
      </c>
      <c r="N16" s="6" t="s">
        <v>184</v>
      </c>
    </row>
    <row r="17" spans="2:14" x14ac:dyDescent="0.35">
      <c r="B17" s="6">
        <v>13</v>
      </c>
      <c r="C17" s="6" t="s">
        <v>185</v>
      </c>
      <c r="D17" s="7" t="s">
        <v>169</v>
      </c>
      <c r="E17" s="413" t="s">
        <v>149</v>
      </c>
      <c r="F17" s="6">
        <f>'13.) Pedestrian Infrastructure'!K21</f>
        <v>30</v>
      </c>
      <c r="G17" s="152">
        <f>'13.) Pedestrian Infrastructure'!B41</f>
        <v>-646.28086956521747</v>
      </c>
      <c r="H17" s="56">
        <f>'13.) Pedestrian Infrastructure'!C41</f>
        <v>-19388.426086956526</v>
      </c>
      <c r="I17" s="24" t="s">
        <v>170</v>
      </c>
      <c r="J17" s="278">
        <f>'13.) Pedestrian Infrastructure'!D41</f>
        <v>3038765.6250000005</v>
      </c>
      <c r="K17" s="278">
        <f>'13.) Pedestrian Infrastructure'!D41</f>
        <v>3038765.6250000005</v>
      </c>
      <c r="L17" s="252">
        <f>'13.) Pedestrian Infrastructure'!E41</f>
        <v>4701.9272395364515</v>
      </c>
      <c r="M17" s="252">
        <f>'13.) Pedestrian Infrastructure'!F41</f>
        <v>156.73090798454837</v>
      </c>
      <c r="N17" s="6" t="s">
        <v>184</v>
      </c>
    </row>
    <row r="18" spans="2:14" ht="62.25" customHeight="1" x14ac:dyDescent="0.35">
      <c r="B18" s="6">
        <v>14</v>
      </c>
      <c r="C18" s="7" t="s">
        <v>186</v>
      </c>
      <c r="D18" s="7" t="s">
        <v>169</v>
      </c>
      <c r="E18" s="413" t="s">
        <v>149</v>
      </c>
      <c r="F18" s="6">
        <f>'14.) Parking Benefit Districts'!K27</f>
        <v>30</v>
      </c>
      <c r="G18" s="152">
        <f>'14.) Parking Benefit Districts'!B41</f>
        <v>-108387950.48200002</v>
      </c>
      <c r="H18" s="56">
        <f>'14.) Parking Benefit Districts'!C41</f>
        <v>-3251638514.4600005</v>
      </c>
      <c r="I18" s="24" t="s">
        <v>170</v>
      </c>
      <c r="J18" s="278">
        <f>'14.) Parking Benefit Districts'!D41</f>
        <v>10797150</v>
      </c>
      <c r="K18" s="278">
        <f>'14.) Parking Benefit Districts'!F41</f>
        <v>10797150</v>
      </c>
      <c r="L18" s="252">
        <f>'14.) Parking Benefit Districts'!E41</f>
        <v>9.9615777879230968E-2</v>
      </c>
      <c r="M18" s="252">
        <f>'14.) Parking Benefit Districts'!G41</f>
        <v>3.3205259293076993E-3</v>
      </c>
      <c r="N18" s="6" t="s">
        <v>166</v>
      </c>
    </row>
    <row r="21" spans="2:14" ht="20.25" customHeight="1" x14ac:dyDescent="0.35">
      <c r="C21" s="106" t="s">
        <v>187</v>
      </c>
      <c r="D21" s="186">
        <f>SUMIFS(J5:J18,E5:E18,"YES")</f>
        <v>70264189.075469539</v>
      </c>
    </row>
    <row r="22" spans="2:14" ht="29" x14ac:dyDescent="0.35">
      <c r="C22" s="106" t="s">
        <v>188</v>
      </c>
      <c r="D22" s="186">
        <f>SUMIFS(K5:K18,E5:E18,"YES")</f>
        <v>70264189.075469539</v>
      </c>
    </row>
    <row r="23" spans="2:14" ht="29" x14ac:dyDescent="0.35">
      <c r="C23" s="20" t="s">
        <v>189</v>
      </c>
      <c r="D23" s="180">
        <f>SUMIFS(G5:G18,E5:E18,"YES")</f>
        <v>-44540289.410932995</v>
      </c>
    </row>
    <row r="24" spans="2:14" ht="29" hidden="1" x14ac:dyDescent="0.35">
      <c r="C24" s="20" t="s">
        <v>190</v>
      </c>
      <c r="D24" s="180">
        <f>SUMIFS(H5:H18,E5:E18,"YES")</f>
        <v>-1336208682.3279898</v>
      </c>
    </row>
    <row r="29" spans="2:14" ht="26" x14ac:dyDescent="0.6">
      <c r="B29" s="19" t="s">
        <v>191</v>
      </c>
      <c r="H29" s="54"/>
    </row>
    <row r="31" spans="2:14" x14ac:dyDescent="0.35">
      <c r="C31" s="54" t="s">
        <v>192</v>
      </c>
    </row>
    <row r="32" spans="2:14" x14ac:dyDescent="0.35">
      <c r="C32" s="153" t="s">
        <v>193</v>
      </c>
      <c r="D32" s="420">
        <v>77300000</v>
      </c>
    </row>
    <row r="34" spans="2:8" x14ac:dyDescent="0.35">
      <c r="C34" s="54" t="s">
        <v>194</v>
      </c>
    </row>
    <row r="35" spans="2:8" x14ac:dyDescent="0.35">
      <c r="C35" s="153" t="s">
        <v>195</v>
      </c>
      <c r="D35" s="6">
        <v>2016</v>
      </c>
    </row>
    <row r="36" spans="2:8" x14ac:dyDescent="0.35">
      <c r="C36" s="153" t="s">
        <v>196</v>
      </c>
      <c r="D36" s="279" t="s">
        <v>197</v>
      </c>
      <c r="H36" s="54"/>
    </row>
    <row r="37" spans="2:8" x14ac:dyDescent="0.35">
      <c r="C37" s="153" t="s">
        <v>198</v>
      </c>
      <c r="D37" s="279" t="s">
        <v>199</v>
      </c>
      <c r="H37" s="54"/>
    </row>
    <row r="38" spans="2:8" x14ac:dyDescent="0.35">
      <c r="C38" s="153" t="s">
        <v>200</v>
      </c>
      <c r="D38" s="6">
        <v>10</v>
      </c>
      <c r="H38" s="54"/>
    </row>
    <row r="39" spans="2:8" x14ac:dyDescent="0.35">
      <c r="C39" s="54" t="s">
        <v>201</v>
      </c>
      <c r="H39" s="54"/>
    </row>
    <row r="40" spans="2:8" x14ac:dyDescent="0.35">
      <c r="H40" s="54"/>
    </row>
    <row r="42" spans="2:8" ht="26" x14ac:dyDescent="0.6">
      <c r="B42" s="19" t="s">
        <v>202</v>
      </c>
    </row>
    <row r="44" spans="2:8" x14ac:dyDescent="0.35">
      <c r="C44" s="153" t="s">
        <v>203</v>
      </c>
      <c r="D44" s="180">
        <f>D32</f>
        <v>77300000</v>
      </c>
      <c r="G44" s="412"/>
    </row>
    <row r="45" spans="2:8" x14ac:dyDescent="0.35">
      <c r="C45" s="106" t="s">
        <v>204</v>
      </c>
      <c r="D45" s="180">
        <f>D23</f>
        <v>-44540289.410932995</v>
      </c>
    </row>
    <row r="46" spans="2:8" x14ac:dyDescent="0.35">
      <c r="C46" s="280" t="s">
        <v>205</v>
      </c>
      <c r="D46" s="180">
        <f>D44+D45</f>
        <v>32759710.589067005</v>
      </c>
    </row>
    <row r="48" spans="2:8" x14ac:dyDescent="0.35">
      <c r="C48" s="166" t="s">
        <v>206</v>
      </c>
      <c r="D48" s="186">
        <f>D22/D38</f>
        <v>7026418.9075469542</v>
      </c>
    </row>
  </sheetData>
  <sheetProtection sheet="1" objects="1" scenarios="1"/>
  <protectedRanges>
    <protectedRange sqref="D32" name="Range2"/>
    <protectedRange sqref="E5:E18" name="Range1"/>
  </protectedRanges>
  <autoFilter ref="B4:N4" xr:uid="{BD12170B-761B-4651-A9F0-AAB996C480F0}">
    <sortState xmlns:xlrd2="http://schemas.microsoft.com/office/spreadsheetml/2017/richdata2" ref="B5:N19">
      <sortCondition ref="B4"/>
    </sortState>
  </autoFilter>
  <dataValidations count="1">
    <dataValidation type="list" allowBlank="1" showInputMessage="1" showErrorMessage="1" sqref="E5:E17" xr:uid="{C3B87732-C750-447B-8740-B6DE3B1597E6}">
      <formula1>$V$2:$V$3</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E1DB-C86A-45EB-9465-9C5E2ED14AF3}">
  <sheetPr>
    <tabColor theme="8"/>
  </sheetPr>
  <dimension ref="B2:AG66"/>
  <sheetViews>
    <sheetView topLeftCell="A11" zoomScaleNormal="100" workbookViewId="0">
      <selection activeCell="AG11" sqref="AG1:AG1048576"/>
    </sheetView>
  </sheetViews>
  <sheetFormatPr defaultRowHeight="14.5" x14ac:dyDescent="0.35"/>
  <cols>
    <col min="2" max="2" width="31.1796875" customWidth="1"/>
    <col min="3" max="3" width="27.54296875" customWidth="1"/>
    <col min="4" max="4" width="25.54296875" customWidth="1"/>
    <col min="5" max="5" width="32.1796875" customWidth="1"/>
    <col min="6" max="6" width="27.453125" bestFit="1" customWidth="1"/>
    <col min="7" max="7" width="17.453125" customWidth="1"/>
    <col min="8" max="8" width="17.7265625" customWidth="1"/>
    <col min="9" max="9" width="36.1796875" customWidth="1"/>
    <col min="10" max="10" width="23.1796875" customWidth="1"/>
    <col min="11" max="11" width="31.1796875" bestFit="1" customWidth="1"/>
    <col min="12" max="12" width="19.81640625" customWidth="1"/>
    <col min="13" max="13" width="9.453125" customWidth="1"/>
    <col min="14" max="14" width="29.54296875" customWidth="1"/>
    <col min="15" max="15" width="16.7265625" customWidth="1"/>
    <col min="17" max="17" width="14.26953125" bestFit="1" customWidth="1"/>
    <col min="30" max="30" width="0" hidden="1" customWidth="1"/>
    <col min="31" max="31" width="9.1796875" hidden="1" customWidth="1"/>
    <col min="33" max="33" width="0" hidden="1" customWidth="1"/>
  </cols>
  <sheetData>
    <row r="2" spans="2:31" ht="31" x14ac:dyDescent="0.7">
      <c r="B2" s="8" t="s">
        <v>611</v>
      </c>
    </row>
    <row r="3" spans="2:31" x14ac:dyDescent="0.35">
      <c r="AD3" t="s">
        <v>148</v>
      </c>
    </row>
    <row r="4" spans="2:31" x14ac:dyDescent="0.35">
      <c r="B4" s="9" t="s">
        <v>29</v>
      </c>
      <c r="C4" s="10"/>
      <c r="D4" s="10"/>
      <c r="E4" s="10"/>
      <c r="F4" s="10"/>
      <c r="G4" s="10"/>
      <c r="H4" s="10"/>
      <c r="I4" s="10"/>
      <c r="J4" s="10"/>
      <c r="K4" s="10"/>
      <c r="L4" s="10"/>
      <c r="M4" s="10"/>
      <c r="N4" s="10"/>
      <c r="O4" s="10"/>
      <c r="P4" s="10"/>
      <c r="Q4" s="10"/>
      <c r="R4" s="10"/>
      <c r="S4" s="10"/>
      <c r="T4" s="10"/>
      <c r="U4" s="10"/>
      <c r="V4" s="10"/>
      <c r="W4" s="10"/>
      <c r="X4" s="10"/>
      <c r="Y4" s="10"/>
      <c r="Z4" s="11"/>
      <c r="AD4" t="s">
        <v>149</v>
      </c>
    </row>
    <row r="5" spans="2:31" x14ac:dyDescent="0.35">
      <c r="B5" s="49" t="s">
        <v>612</v>
      </c>
      <c r="Z5" s="13"/>
    </row>
    <row r="6" spans="2:31" x14ac:dyDescent="0.35">
      <c r="B6" s="14"/>
      <c r="C6" s="15"/>
      <c r="D6" s="15"/>
      <c r="E6" s="15"/>
      <c r="F6" s="15"/>
      <c r="G6" s="15"/>
      <c r="H6" s="15"/>
      <c r="I6" s="15"/>
      <c r="J6" s="15"/>
      <c r="K6" s="15"/>
      <c r="L6" s="15"/>
      <c r="M6" s="15"/>
      <c r="N6" s="15"/>
      <c r="O6" s="15"/>
      <c r="P6" s="15"/>
      <c r="Q6" s="15"/>
      <c r="R6" s="15"/>
      <c r="S6" s="15"/>
      <c r="T6" s="15"/>
      <c r="U6" s="15"/>
      <c r="V6" s="15"/>
      <c r="W6" s="15"/>
      <c r="X6" s="15"/>
      <c r="Y6" s="15"/>
      <c r="Z6" s="16"/>
    </row>
    <row r="8" spans="2:31" x14ac:dyDescent="0.35">
      <c r="B8" s="9" t="s">
        <v>221</v>
      </c>
      <c r="C8" s="10"/>
      <c r="D8" s="10"/>
      <c r="E8" s="10"/>
      <c r="F8" s="10"/>
      <c r="G8" s="10"/>
      <c r="H8" s="10"/>
      <c r="I8" s="10"/>
      <c r="J8" s="10"/>
      <c r="K8" s="10"/>
      <c r="L8" s="10"/>
      <c r="M8" s="10"/>
      <c r="N8" s="10"/>
      <c r="O8" s="10"/>
      <c r="P8" s="10"/>
      <c r="Q8" s="10"/>
      <c r="R8" s="10"/>
      <c r="S8" s="10"/>
      <c r="T8" s="10"/>
      <c r="U8" s="10"/>
      <c r="V8" s="10"/>
      <c r="W8" s="10"/>
      <c r="X8" s="10"/>
      <c r="Y8" s="10"/>
      <c r="Z8" s="11"/>
    </row>
    <row r="9" spans="2:31" x14ac:dyDescent="0.35">
      <c r="B9" s="12" t="s">
        <v>569</v>
      </c>
      <c r="Z9" s="13"/>
    </row>
    <row r="10" spans="2:31" x14ac:dyDescent="0.35">
      <c r="B10" s="12" t="s">
        <v>570</v>
      </c>
      <c r="Z10" s="13"/>
    </row>
    <row r="11" spans="2:31" x14ac:dyDescent="0.35">
      <c r="B11" s="14"/>
      <c r="C11" s="15"/>
      <c r="D11" s="15"/>
      <c r="E11" s="15"/>
      <c r="F11" s="15"/>
      <c r="G11" s="15"/>
      <c r="H11" s="15"/>
      <c r="I11" s="15"/>
      <c r="J11" s="15"/>
      <c r="K11" s="15"/>
      <c r="L11" s="15"/>
      <c r="M11" s="15"/>
      <c r="N11" s="15"/>
      <c r="O11" s="15"/>
      <c r="P11" s="15"/>
      <c r="Q11" s="15"/>
      <c r="R11" s="15"/>
      <c r="S11" s="15"/>
      <c r="T11" s="15"/>
      <c r="U11" s="15"/>
      <c r="V11" s="15"/>
      <c r="W11" s="15"/>
      <c r="X11" s="15"/>
      <c r="Y11" s="15"/>
      <c r="Z11" s="16"/>
    </row>
    <row r="13" spans="2:31" x14ac:dyDescent="0.35">
      <c r="B13" s="2"/>
    </row>
    <row r="14" spans="2:31" x14ac:dyDescent="0.35">
      <c r="B14" s="18" t="s">
        <v>613</v>
      </c>
      <c r="C14" s="18"/>
      <c r="D14" s="18"/>
      <c r="E14" s="18"/>
      <c r="F14" s="18"/>
      <c r="G14" s="18"/>
      <c r="H14" s="18"/>
      <c r="I14" s="18"/>
      <c r="J14" s="18"/>
      <c r="K14" s="18"/>
      <c r="L14" s="18"/>
      <c r="M14" s="18"/>
      <c r="N14" s="18"/>
      <c r="O14" s="18"/>
      <c r="P14" s="18"/>
      <c r="Q14" s="18"/>
      <c r="R14" s="18"/>
      <c r="S14" s="18"/>
      <c r="T14" s="18"/>
      <c r="U14" s="136"/>
      <c r="V14" s="136"/>
      <c r="W14" s="136"/>
      <c r="X14" s="136"/>
      <c r="Y14" s="136"/>
      <c r="Z14" s="136"/>
    </row>
    <row r="16" spans="2:31" x14ac:dyDescent="0.35">
      <c r="B16" s="54" t="s">
        <v>614</v>
      </c>
      <c r="H16" s="9" t="s">
        <v>615</v>
      </c>
      <c r="I16" s="10"/>
      <c r="J16" s="10"/>
      <c r="K16" s="10"/>
      <c r="L16" s="10"/>
      <c r="M16" s="10"/>
      <c r="N16" s="11"/>
      <c r="AE16" t="s">
        <v>148</v>
      </c>
    </row>
    <row r="17" spans="2:31" x14ac:dyDescent="0.35">
      <c r="H17" s="12" t="s">
        <v>616</v>
      </c>
      <c r="N17" s="13"/>
      <c r="AE17" t="s">
        <v>149</v>
      </c>
    </row>
    <row r="18" spans="2:31" x14ac:dyDescent="0.35">
      <c r="H18" s="12" t="s">
        <v>617</v>
      </c>
      <c r="N18" s="13"/>
      <c r="Q18" s="352"/>
    </row>
    <row r="19" spans="2:31" x14ac:dyDescent="0.35">
      <c r="H19" s="12" t="s">
        <v>618</v>
      </c>
      <c r="N19" s="13"/>
    </row>
    <row r="20" spans="2:31" x14ac:dyDescent="0.35">
      <c r="B20" s="2" t="s">
        <v>619</v>
      </c>
      <c r="D20" s="54" t="s">
        <v>620</v>
      </c>
      <c r="H20" s="12" t="s">
        <v>621</v>
      </c>
      <c r="N20" s="13"/>
    </row>
    <row r="21" spans="2:31" ht="43.5" x14ac:dyDescent="0.35">
      <c r="B21" s="106" t="s">
        <v>622</v>
      </c>
      <c r="C21" s="423" t="s">
        <v>623</v>
      </c>
      <c r="D21" s="425"/>
      <c r="E21" s="140"/>
      <c r="F21" s="140"/>
      <c r="H21" s="12"/>
      <c r="N21" s="13"/>
    </row>
    <row r="22" spans="2:31" x14ac:dyDescent="0.35">
      <c r="B22" s="106" t="s">
        <v>196</v>
      </c>
      <c r="C22" s="424" t="s">
        <v>584</v>
      </c>
      <c r="D22" s="426" t="s">
        <v>581</v>
      </c>
      <c r="E22" s="193" t="s">
        <v>583</v>
      </c>
      <c r="F22" s="193" t="s">
        <v>584</v>
      </c>
      <c r="H22" s="517" t="s">
        <v>624</v>
      </c>
      <c r="I22" s="518"/>
      <c r="J22" s="518"/>
      <c r="K22" s="518"/>
      <c r="L22" s="518"/>
      <c r="M22" s="518"/>
      <c r="N22" s="519"/>
    </row>
    <row r="23" spans="2:31" x14ac:dyDescent="0.35">
      <c r="B23" s="106" t="s">
        <v>582</v>
      </c>
      <c r="C23" s="437">
        <v>3</v>
      </c>
      <c r="D23" s="427">
        <v>0.5</v>
      </c>
      <c r="E23" s="375">
        <v>1</v>
      </c>
      <c r="F23" s="375">
        <v>1.75</v>
      </c>
      <c r="H23" s="520" t="s">
        <v>625</v>
      </c>
      <c r="I23" s="521"/>
      <c r="J23" s="521"/>
      <c r="K23" s="521"/>
      <c r="L23" s="521"/>
      <c r="M23" s="521"/>
      <c r="N23" s="522"/>
    </row>
    <row r="24" spans="2:31" x14ac:dyDescent="0.35">
      <c r="B24" s="106" t="s">
        <v>626</v>
      </c>
      <c r="C24" s="440">
        <v>13500</v>
      </c>
      <c r="D24" s="428">
        <v>918</v>
      </c>
      <c r="E24" s="376">
        <v>541</v>
      </c>
      <c r="F24" s="376">
        <v>12526</v>
      </c>
    </row>
    <row r="25" spans="2:31" x14ac:dyDescent="0.35">
      <c r="C25" s="422"/>
      <c r="H25" s="9" t="s">
        <v>627</v>
      </c>
      <c r="I25" s="10"/>
      <c r="J25" s="10"/>
      <c r="K25" s="10"/>
      <c r="L25" s="10"/>
      <c r="M25" s="10"/>
      <c r="N25" s="11"/>
    </row>
    <row r="26" spans="2:31" ht="16" x14ac:dyDescent="0.45">
      <c r="B26" s="106" t="s">
        <v>628</v>
      </c>
      <c r="C26" s="437" t="s">
        <v>629</v>
      </c>
      <c r="D26" s="431" t="s">
        <v>630</v>
      </c>
      <c r="E26" s="193" t="s">
        <v>629</v>
      </c>
      <c r="F26" s="377">
        <v>3</v>
      </c>
      <c r="H26" s="378" t="s">
        <v>631</v>
      </c>
      <c r="I26" s="379"/>
      <c r="J26" s="380"/>
      <c r="N26" s="13"/>
    </row>
    <row r="27" spans="2:31" ht="16" x14ac:dyDescent="0.45">
      <c r="B27" s="106" t="s">
        <v>632</v>
      </c>
      <c r="C27" s="438" t="s">
        <v>633</v>
      </c>
      <c r="D27" s="426" t="s">
        <v>633</v>
      </c>
      <c r="E27" s="193" t="s">
        <v>633</v>
      </c>
      <c r="F27" s="193" t="s">
        <v>634</v>
      </c>
      <c r="H27" s="194" t="s">
        <v>628</v>
      </c>
      <c r="I27" s="195" t="s">
        <v>634</v>
      </c>
      <c r="J27" s="196" t="s">
        <v>633</v>
      </c>
      <c r="N27" s="13"/>
    </row>
    <row r="28" spans="2:31" ht="29" x14ac:dyDescent="0.35">
      <c r="B28" s="190" t="s">
        <v>635</v>
      </c>
      <c r="C28" s="439" t="s">
        <v>149</v>
      </c>
      <c r="D28" s="432" t="s">
        <v>148</v>
      </c>
      <c r="E28" s="141" t="s">
        <v>148</v>
      </c>
      <c r="F28" s="141" t="s">
        <v>148</v>
      </c>
      <c r="H28" s="177" t="s">
        <v>636</v>
      </c>
      <c r="I28">
        <v>0</v>
      </c>
      <c r="J28" s="13">
        <v>0</v>
      </c>
      <c r="N28" s="13"/>
    </row>
    <row r="29" spans="2:31" ht="15" hidden="1" customHeight="1" x14ac:dyDescent="0.35">
      <c r="C29" s="422"/>
      <c r="D29" s="433"/>
      <c r="H29" s="177">
        <v>3</v>
      </c>
      <c r="I29">
        <v>5.0000000000000001E-4</v>
      </c>
      <c r="J29" s="13">
        <v>1E-3</v>
      </c>
      <c r="N29" s="13"/>
    </row>
    <row r="30" spans="2:31" x14ac:dyDescent="0.35">
      <c r="B30" s="106" t="s">
        <v>637</v>
      </c>
      <c r="C30" s="429">
        <f>_xlfn.XLOOKUP(C22,$B$37:$B$40,$C$37:$C$40,0)*C23</f>
        <v>11356301.250000002</v>
      </c>
      <c r="D30" s="442">
        <f t="shared" ref="D30:F30" si="0">_xlfn.XLOOKUP(D22,$B$37:$B$40,$C$37:$C$40,0)*D23</f>
        <v>1273387.5000000002</v>
      </c>
      <c r="E30" s="443">
        <f t="shared" si="0"/>
        <v>104186.25000000001</v>
      </c>
      <c r="F30" s="443">
        <f t="shared" si="0"/>
        <v>6624509.0625000009</v>
      </c>
      <c r="H30" s="177">
        <v>3</v>
      </c>
      <c r="I30">
        <v>5.0000000000000001E-4</v>
      </c>
      <c r="J30" s="13">
        <v>1E-3</v>
      </c>
      <c r="N30" s="13"/>
    </row>
    <row r="31" spans="2:31" ht="29" x14ac:dyDescent="0.35">
      <c r="B31" s="106" t="s">
        <v>638</v>
      </c>
      <c r="C31" s="429">
        <f>IF($C$50="YES",C30*D50,0)+IF($C$51="YES",C30*$D$51,0)+C30</f>
        <v>13627561.500000002</v>
      </c>
      <c r="D31" s="444">
        <f t="shared" ref="D31:F31" si="1">IF($C$50="YES",D30*E50,0)+IF($C$51="YES",D30*$D$51,0)+D30</f>
        <v>1528065.0000000002</v>
      </c>
      <c r="E31" s="275">
        <f t="shared" si="1"/>
        <v>125023.50000000001</v>
      </c>
      <c r="F31" s="275">
        <f t="shared" si="1"/>
        <v>7949410.8750000009</v>
      </c>
      <c r="H31" s="177" t="s">
        <v>629</v>
      </c>
      <c r="I31">
        <v>1E-3</v>
      </c>
      <c r="J31" s="13">
        <v>2E-3</v>
      </c>
      <c r="N31" s="13"/>
    </row>
    <row r="32" spans="2:31" ht="15" customHeight="1" x14ac:dyDescent="0.35">
      <c r="B32" s="106" t="s">
        <v>245</v>
      </c>
      <c r="C32" s="430">
        <f>'Action 12a Calculation'!C59</f>
        <v>-15161.377500000002</v>
      </c>
      <c r="D32" s="441">
        <f>'Action 12a Calculation'!D59</f>
        <v>-3065.2983899999999</v>
      </c>
      <c r="E32" s="270">
        <f>'Action 12a Calculation'!E59</f>
        <v>-933.63074999999992</v>
      </c>
      <c r="F32" s="270">
        <f>'Action 12a Calculation'!F59</f>
        <v>-7482.7192500000001</v>
      </c>
      <c r="H32" s="178" t="s">
        <v>630</v>
      </c>
      <c r="I32" s="15">
        <v>1.5E-3</v>
      </c>
      <c r="J32" s="16">
        <v>3.0000000000000001E-3</v>
      </c>
      <c r="N32" s="13"/>
    </row>
    <row r="33" spans="2:33" ht="30" customHeight="1" x14ac:dyDescent="0.35">
      <c r="C33" s="54"/>
      <c r="H33" s="516" t="s">
        <v>639</v>
      </c>
      <c r="I33" t="s">
        <v>640</v>
      </c>
      <c r="N33" s="13"/>
    </row>
    <row r="34" spans="2:33" ht="45" customHeight="1" x14ac:dyDescent="0.35">
      <c r="H34" s="514"/>
      <c r="I34" t="s">
        <v>641</v>
      </c>
      <c r="N34" s="13"/>
    </row>
    <row r="35" spans="2:33" ht="15" customHeight="1" x14ac:dyDescent="0.35">
      <c r="B35" s="2" t="s">
        <v>285</v>
      </c>
      <c r="H35" s="197"/>
      <c r="N35" s="13"/>
    </row>
    <row r="36" spans="2:33" ht="30" customHeight="1" x14ac:dyDescent="0.35">
      <c r="B36" s="106" t="s">
        <v>196</v>
      </c>
      <c r="C36" s="106" t="s">
        <v>580</v>
      </c>
      <c r="H36" s="514" t="s">
        <v>642</v>
      </c>
      <c r="I36" t="s">
        <v>643</v>
      </c>
      <c r="N36" s="13"/>
    </row>
    <row r="37" spans="2:33" x14ac:dyDescent="0.35">
      <c r="B37" s="69" t="s">
        <v>581</v>
      </c>
      <c r="C37" s="189">
        <v>2546775.0000000005</v>
      </c>
      <c r="H37" s="515"/>
      <c r="I37" s="15" t="s">
        <v>644</v>
      </c>
      <c r="J37" s="15"/>
      <c r="K37" s="15"/>
      <c r="L37" s="15"/>
      <c r="M37" s="15"/>
      <c r="N37" s="16"/>
      <c r="AG37" t="s">
        <v>645</v>
      </c>
    </row>
    <row r="38" spans="2:33" x14ac:dyDescent="0.35">
      <c r="B38" s="69" t="s">
        <v>583</v>
      </c>
      <c r="C38" s="189">
        <v>104186.25000000001</v>
      </c>
      <c r="AG38" t="s">
        <v>646</v>
      </c>
    </row>
    <row r="39" spans="2:33" x14ac:dyDescent="0.35">
      <c r="B39" s="69" t="s">
        <v>584</v>
      </c>
      <c r="C39" s="259">
        <v>3785433.7500000005</v>
      </c>
    </row>
    <row r="40" spans="2:33" x14ac:dyDescent="0.35">
      <c r="B40" s="69" t="s">
        <v>586</v>
      </c>
      <c r="C40" s="189">
        <v>3785433.7500000005</v>
      </c>
    </row>
    <row r="42" spans="2:33" ht="45" customHeight="1" x14ac:dyDescent="0.35"/>
    <row r="43" spans="2:33" x14ac:dyDescent="0.35">
      <c r="B43" s="2" t="s">
        <v>590</v>
      </c>
    </row>
    <row r="44" spans="2:33" x14ac:dyDescent="0.35">
      <c r="B44" s="109" t="s">
        <v>302</v>
      </c>
      <c r="C44" s="191"/>
    </row>
    <row r="45" spans="2:33" x14ac:dyDescent="0.35">
      <c r="B45" s="139" t="s">
        <v>592</v>
      </c>
      <c r="C45" s="140">
        <v>30</v>
      </c>
    </row>
    <row r="46" spans="2:33" x14ac:dyDescent="0.35">
      <c r="B46" s="17"/>
    </row>
    <row r="48" spans="2:33" x14ac:dyDescent="0.35">
      <c r="B48" s="2" t="s">
        <v>285</v>
      </c>
    </row>
    <row r="49" spans="2:26" x14ac:dyDescent="0.35">
      <c r="B49" s="106" t="s">
        <v>252</v>
      </c>
      <c r="C49" s="106" t="s">
        <v>253</v>
      </c>
      <c r="D49" s="106" t="s">
        <v>254</v>
      </c>
    </row>
    <row r="50" spans="2:26" x14ac:dyDescent="0.35">
      <c r="B50" s="7" t="s">
        <v>311</v>
      </c>
      <c r="C50" s="141" t="s">
        <v>149</v>
      </c>
      <c r="D50" s="142">
        <v>0.05</v>
      </c>
    </row>
    <row r="51" spans="2:26" x14ac:dyDescent="0.35">
      <c r="B51" s="7" t="s">
        <v>313</v>
      </c>
      <c r="C51" s="141" t="s">
        <v>148</v>
      </c>
      <c r="D51" s="258">
        <v>0.2</v>
      </c>
    </row>
    <row r="53" spans="2:26" x14ac:dyDescent="0.35">
      <c r="B53" s="2"/>
      <c r="C53" s="2"/>
      <c r="D53" s="2"/>
      <c r="E53" s="2"/>
    </row>
    <row r="54" spans="2:26" x14ac:dyDescent="0.35">
      <c r="B54" s="18" t="s">
        <v>256</v>
      </c>
      <c r="C54" s="18"/>
      <c r="D54" s="18"/>
      <c r="E54" s="18"/>
      <c r="F54" s="18"/>
      <c r="G54" s="18"/>
      <c r="H54" s="18"/>
      <c r="I54" s="18"/>
      <c r="J54" s="18"/>
      <c r="K54" s="18"/>
      <c r="L54" s="18"/>
      <c r="M54" s="18"/>
      <c r="N54" s="18"/>
      <c r="O54" s="18"/>
      <c r="P54" s="18"/>
      <c r="Q54" s="18"/>
      <c r="R54" s="18"/>
      <c r="S54" s="18"/>
      <c r="T54" s="18"/>
      <c r="U54" s="136"/>
      <c r="V54" s="136"/>
      <c r="W54" s="136"/>
      <c r="X54" s="136"/>
      <c r="Y54" s="136"/>
      <c r="Z54" s="136"/>
    </row>
    <row r="56" spans="2:26" ht="29" x14ac:dyDescent="0.35">
      <c r="B56" s="436" t="s">
        <v>647</v>
      </c>
      <c r="C56" s="434"/>
      <c r="D56" s="434"/>
      <c r="E56" s="435"/>
      <c r="F56" s="419" t="s">
        <v>646</v>
      </c>
    </row>
    <row r="59" spans="2:26" x14ac:dyDescent="0.35">
      <c r="B59" s="2" t="s">
        <v>287</v>
      </c>
      <c r="J59" s="32"/>
    </row>
    <row r="60" spans="2:26" ht="29" x14ac:dyDescent="0.35">
      <c r="B60" s="37" t="s">
        <v>648</v>
      </c>
      <c r="C60" s="37" t="s">
        <v>605</v>
      </c>
      <c r="D60" s="37" t="s">
        <v>610</v>
      </c>
      <c r="E60" s="37" t="s">
        <v>649</v>
      </c>
      <c r="F60" s="37" t="s">
        <v>607</v>
      </c>
      <c r="G60" s="37" t="s">
        <v>477</v>
      </c>
    </row>
    <row r="61" spans="2:26" x14ac:dyDescent="0.35">
      <c r="B61" s="180">
        <f>B66/'Action 12 Calculation'!C161</f>
        <v>-38.920842</v>
      </c>
      <c r="C61" s="180">
        <f>C66/'Action 12 Calculation'!C161</f>
        <v>-1167.62526</v>
      </c>
      <c r="D61" s="186">
        <f>D66</f>
        <v>9602499.3750000019</v>
      </c>
      <c r="E61" s="186">
        <f>-(D61/B61)</f>
        <v>246718.69573119722</v>
      </c>
      <c r="F61" s="186">
        <f>F66</f>
        <v>9602499.3750000019</v>
      </c>
      <c r="G61" s="186">
        <f>-(F61/C61)</f>
        <v>8223.9565243732413</v>
      </c>
    </row>
    <row r="64" spans="2:26" x14ac:dyDescent="0.35">
      <c r="B64" s="2" t="s">
        <v>288</v>
      </c>
    </row>
    <row r="65" spans="2:7" ht="29" x14ac:dyDescent="0.35">
      <c r="B65" s="37" t="s">
        <v>608</v>
      </c>
      <c r="C65" s="37" t="s">
        <v>609</v>
      </c>
      <c r="D65" s="37" t="s">
        <v>610</v>
      </c>
      <c r="E65" s="37" t="s">
        <v>649</v>
      </c>
      <c r="F65" s="37" t="s">
        <v>607</v>
      </c>
      <c r="G65" s="37" t="s">
        <v>477</v>
      </c>
    </row>
    <row r="66" spans="2:7" x14ac:dyDescent="0.35">
      <c r="B66" s="180">
        <f>SUMIFS($D$32:$F$32,$D$28:$F$28,"YES")</f>
        <v>-11481.64839</v>
      </c>
      <c r="C66" s="180">
        <f>B66*C45</f>
        <v>-344449.45170000003</v>
      </c>
      <c r="D66" s="186">
        <f>SUMIFS($D$31:$F$31,$D$28:$F$28,"YES")</f>
        <v>9602499.3750000019</v>
      </c>
      <c r="E66" s="186">
        <f>-(D66/B66)</f>
        <v>836.33456180066855</v>
      </c>
      <c r="F66" s="186">
        <f>D66</f>
        <v>9602499.3750000019</v>
      </c>
      <c r="G66" s="186">
        <f>-(F66/C66)</f>
        <v>27.87781872668895</v>
      </c>
    </row>
  </sheetData>
  <sheetProtection sheet="1" objects="1" scenarios="1"/>
  <protectedRanges>
    <protectedRange sqref="F56" name="Range6"/>
    <protectedRange sqref="C45" name="Range4"/>
    <protectedRange sqref="C37:C38" name="Range2"/>
    <protectedRange sqref="D21:F28" name="Range1"/>
    <protectedRange sqref="C40" name="Range3"/>
    <protectedRange sqref="C50:C51" name="Range5"/>
  </protectedRanges>
  <mergeCells count="4">
    <mergeCell ref="H36:H37"/>
    <mergeCell ref="H33:H34"/>
    <mergeCell ref="H22:N22"/>
    <mergeCell ref="H23:N23"/>
  </mergeCells>
  <dataValidations count="6">
    <dataValidation type="list" allowBlank="1" showInputMessage="1" showErrorMessage="1" sqref="C50:D51" xr:uid="{842C3F82-F113-4338-B81C-E8A960F3B454}">
      <formula1>$AE$16:$AE$17</formula1>
    </dataValidation>
    <dataValidation type="whole" allowBlank="1" showInputMessage="1" showErrorMessage="1" sqref="C24:F24" xr:uid="{A9DC5DD8-B28C-4613-B860-DD2814880C77}">
      <formula1>1</formula1>
      <formula2>40000</formula2>
    </dataValidation>
    <dataValidation type="list" allowBlank="1" showInputMessage="1" showErrorMessage="1" sqref="C26:F26" xr:uid="{D0DFA632-860C-4CB3-9AF1-FC06C2F44D19}">
      <formula1>$H$28:$H$32</formula1>
    </dataValidation>
    <dataValidation type="list" allowBlank="1" showInputMessage="1" showErrorMessage="1" sqref="C27:F27" xr:uid="{A13EEC18-1525-462B-BF0B-022791A0F201}">
      <formula1>$I$27:$J$27</formula1>
    </dataValidation>
    <dataValidation type="list" allowBlank="1" showInputMessage="1" showErrorMessage="1" sqref="C28:F28" xr:uid="{FCCC83B6-48D4-4AC5-97FF-A615226EE72F}">
      <formula1>$AD$3:$AD$4</formula1>
    </dataValidation>
    <dataValidation type="list" allowBlank="1" showInputMessage="1" showErrorMessage="1" sqref="F56" xr:uid="{920FCDA5-3603-4FB5-92DC-0ECFE606EC2C}">
      <formula1>$AG$37:$AG$38</formula1>
    </dataValidation>
  </dataValidations>
  <pageMargins left="0.7" right="0.7" top="0.75" bottom="0.75" header="0.3" footer="0.3"/>
  <pageSetup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A46C80A-C516-454A-BE41-0D1EE0FBA3DD}">
          <x14:formula1>
            <xm:f>'Action 12a Calculation'!$B$21:$B$24</xm:f>
          </x14:formula1>
          <xm:sqref>C22:F22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7AE9-800F-4A34-A8CF-266DD3BD36AC}">
  <sheetPr>
    <tabColor theme="8"/>
  </sheetPr>
  <dimension ref="B1:AB41"/>
  <sheetViews>
    <sheetView topLeftCell="A17" workbookViewId="0">
      <selection activeCell="K21" sqref="K21"/>
    </sheetView>
  </sheetViews>
  <sheetFormatPr defaultRowHeight="14.5" x14ac:dyDescent="0.35"/>
  <cols>
    <col min="2" max="2" width="34.1796875" customWidth="1"/>
    <col min="3" max="3" width="26.7265625" customWidth="1"/>
    <col min="4" max="4" width="14.7265625" customWidth="1"/>
    <col min="5" max="5" width="16.453125" customWidth="1"/>
    <col min="6" max="6" width="22.26953125" customWidth="1"/>
    <col min="7" max="7" width="15.54296875" customWidth="1"/>
    <col min="10" max="10" width="25" customWidth="1"/>
    <col min="11" max="11" width="22" customWidth="1"/>
    <col min="24" max="24" width="9.1796875" customWidth="1"/>
    <col min="28" max="28" width="0" hidden="1" customWidth="1"/>
  </cols>
  <sheetData>
    <row r="1" spans="2:28" ht="31" x14ac:dyDescent="0.7">
      <c r="B1" s="8" t="s">
        <v>185</v>
      </c>
    </row>
    <row r="3" spans="2:28" x14ac:dyDescent="0.35">
      <c r="B3" s="9" t="s">
        <v>29</v>
      </c>
      <c r="C3" s="10"/>
      <c r="D3" s="10"/>
      <c r="E3" s="10"/>
      <c r="F3" s="10"/>
      <c r="G3" s="10"/>
      <c r="H3" s="10"/>
      <c r="I3" s="10"/>
      <c r="J3" s="10"/>
      <c r="K3" s="10"/>
      <c r="L3" s="10"/>
      <c r="M3" s="10"/>
      <c r="N3" s="10"/>
      <c r="O3" s="10"/>
      <c r="P3" s="10"/>
      <c r="Q3" s="10"/>
      <c r="R3" s="10"/>
      <c r="S3" s="10"/>
      <c r="T3" s="10"/>
      <c r="U3" s="10"/>
      <c r="V3" s="10"/>
      <c r="W3" s="10"/>
      <c r="X3" s="11"/>
      <c r="AB3" t="s">
        <v>148</v>
      </c>
    </row>
    <row r="4" spans="2:28" x14ac:dyDescent="0.35">
      <c r="B4" s="12" t="s">
        <v>650</v>
      </c>
      <c r="X4" s="13"/>
      <c r="AB4" t="s">
        <v>149</v>
      </c>
    </row>
    <row r="5" spans="2:28" x14ac:dyDescent="0.35">
      <c r="B5" s="12" t="s">
        <v>651</v>
      </c>
      <c r="X5" s="13"/>
    </row>
    <row r="6" spans="2:28" x14ac:dyDescent="0.35">
      <c r="B6" s="14"/>
      <c r="C6" s="15"/>
      <c r="D6" s="15"/>
      <c r="E6" s="15"/>
      <c r="F6" s="15"/>
      <c r="G6" s="15"/>
      <c r="H6" s="15"/>
      <c r="I6" s="15"/>
      <c r="J6" s="15"/>
      <c r="K6" s="15"/>
      <c r="L6" s="15"/>
      <c r="M6" s="15"/>
      <c r="N6" s="15"/>
      <c r="O6" s="15"/>
      <c r="P6" s="15"/>
      <c r="Q6" s="15"/>
      <c r="R6" s="15"/>
      <c r="S6" s="15"/>
      <c r="T6" s="15"/>
      <c r="U6" s="15"/>
      <c r="V6" s="15"/>
      <c r="W6" s="15"/>
      <c r="X6" s="16"/>
    </row>
    <row r="8" spans="2:28" x14ac:dyDescent="0.35">
      <c r="B8" s="9" t="s">
        <v>221</v>
      </c>
      <c r="C8" s="10"/>
      <c r="D8" s="10"/>
      <c r="E8" s="10"/>
      <c r="F8" s="10"/>
      <c r="G8" s="10"/>
      <c r="H8" s="10"/>
      <c r="I8" s="10"/>
      <c r="J8" s="10"/>
      <c r="K8" s="10"/>
      <c r="L8" s="10"/>
      <c r="M8" s="10"/>
      <c r="N8" s="10"/>
      <c r="O8" s="10"/>
      <c r="P8" s="10"/>
      <c r="Q8" s="10"/>
      <c r="R8" s="10"/>
      <c r="S8" s="10"/>
      <c r="T8" s="10"/>
      <c r="U8" s="10"/>
      <c r="V8" s="10"/>
      <c r="W8" s="10"/>
      <c r="X8" s="11"/>
    </row>
    <row r="9" spans="2:28" x14ac:dyDescent="0.35">
      <c r="B9" s="12" t="s">
        <v>652</v>
      </c>
      <c r="X9" s="13"/>
    </row>
    <row r="10" spans="2:28" x14ac:dyDescent="0.35">
      <c r="B10" s="12" t="s">
        <v>653</v>
      </c>
      <c r="X10" s="13"/>
    </row>
    <row r="11" spans="2:28" x14ac:dyDescent="0.35">
      <c r="B11" s="14"/>
      <c r="C11" s="15"/>
      <c r="D11" s="15"/>
      <c r="E11" s="15"/>
      <c r="F11" s="15"/>
      <c r="G11" s="15"/>
      <c r="H11" s="15"/>
      <c r="I11" s="15"/>
      <c r="J11" s="15"/>
      <c r="K11" s="15"/>
      <c r="L11" s="15"/>
      <c r="M11" s="15"/>
      <c r="N11" s="15"/>
      <c r="O11" s="15"/>
      <c r="P11" s="15"/>
      <c r="Q11" s="15"/>
      <c r="R11" s="15"/>
      <c r="S11" s="15"/>
      <c r="T11" s="15"/>
      <c r="U11" s="15"/>
      <c r="V11" s="15"/>
      <c r="W11" s="15"/>
      <c r="X11" s="16"/>
    </row>
    <row r="13" spans="2:28" x14ac:dyDescent="0.35">
      <c r="B13" s="9" t="s">
        <v>224</v>
      </c>
      <c r="C13" s="10"/>
      <c r="D13" s="10"/>
      <c r="E13" s="10"/>
      <c r="F13" s="10"/>
      <c r="G13" s="10"/>
      <c r="H13" s="10"/>
      <c r="I13" s="10"/>
      <c r="J13" s="10"/>
      <c r="K13" s="10"/>
      <c r="L13" s="10"/>
      <c r="M13" s="10"/>
      <c r="N13" s="10"/>
      <c r="O13" s="10"/>
      <c r="P13" s="10"/>
      <c r="Q13" s="10"/>
      <c r="R13" s="10"/>
      <c r="S13" s="10"/>
      <c r="T13" s="10"/>
      <c r="U13" s="10"/>
      <c r="V13" s="10"/>
      <c r="W13" s="10"/>
      <c r="X13" s="11"/>
    </row>
    <row r="14" spans="2:28" x14ac:dyDescent="0.35">
      <c r="B14" s="499" t="s">
        <v>225</v>
      </c>
      <c r="C14" s="17" t="s">
        <v>654</v>
      </c>
      <c r="X14" s="13"/>
    </row>
    <row r="15" spans="2:28" x14ac:dyDescent="0.35">
      <c r="B15" s="499"/>
      <c r="C15" s="17" t="s">
        <v>655</v>
      </c>
      <c r="X15" s="13"/>
    </row>
    <row r="16" spans="2:28" x14ac:dyDescent="0.35">
      <c r="B16" s="14"/>
      <c r="C16" s="15"/>
      <c r="D16" s="15"/>
      <c r="E16" s="15"/>
      <c r="F16" s="15"/>
      <c r="G16" s="15"/>
      <c r="H16" s="15"/>
      <c r="I16" s="15"/>
      <c r="J16" s="15"/>
      <c r="K16" s="15"/>
      <c r="L16" s="15"/>
      <c r="M16" s="15"/>
      <c r="N16" s="15"/>
      <c r="O16" s="15"/>
      <c r="P16" s="15"/>
      <c r="Q16" s="15"/>
      <c r="R16" s="15"/>
      <c r="S16" s="15"/>
      <c r="T16" s="15"/>
      <c r="U16" s="15"/>
      <c r="V16" s="15"/>
      <c r="W16" s="15"/>
      <c r="X16" s="16"/>
    </row>
    <row r="19" spans="2:24" x14ac:dyDescent="0.35">
      <c r="B19" s="2" t="s">
        <v>656</v>
      </c>
      <c r="C19" s="2"/>
      <c r="F19" s="2" t="s">
        <v>350</v>
      </c>
      <c r="J19" s="2" t="s">
        <v>590</v>
      </c>
    </row>
    <row r="20" spans="2:24" ht="43.5" x14ac:dyDescent="0.35">
      <c r="B20" s="386" t="s">
        <v>657</v>
      </c>
      <c r="C20" s="162">
        <v>20</v>
      </c>
      <c r="F20" s="106" t="s">
        <v>658</v>
      </c>
      <c r="G20" s="189">
        <v>243101.25000000003</v>
      </c>
      <c r="J20" s="109" t="s">
        <v>302</v>
      </c>
      <c r="K20" s="191"/>
    </row>
    <row r="21" spans="2:24" x14ac:dyDescent="0.35">
      <c r="B21" s="106" t="s">
        <v>659</v>
      </c>
      <c r="C21" s="162">
        <v>10</v>
      </c>
      <c r="J21" s="139" t="s">
        <v>592</v>
      </c>
      <c r="K21" s="140">
        <v>30</v>
      </c>
    </row>
    <row r="23" spans="2:24" x14ac:dyDescent="0.35">
      <c r="B23" s="4"/>
    </row>
    <row r="24" spans="2:24" x14ac:dyDescent="0.35">
      <c r="B24" s="273" t="s">
        <v>660</v>
      </c>
      <c r="F24" s="2" t="s">
        <v>285</v>
      </c>
    </row>
    <row r="25" spans="2:24" ht="29" x14ac:dyDescent="0.35">
      <c r="B25" s="106" t="s">
        <v>661</v>
      </c>
      <c r="C25" s="40">
        <f>'Action 13 Calculation'!C16</f>
        <v>-64.628086956521742</v>
      </c>
      <c r="F25" s="106" t="s">
        <v>252</v>
      </c>
      <c r="G25" s="106" t="s">
        <v>253</v>
      </c>
      <c r="H25" s="106" t="s">
        <v>254</v>
      </c>
    </row>
    <row r="26" spans="2:24" x14ac:dyDescent="0.35">
      <c r="B26" s="106" t="s">
        <v>662</v>
      </c>
      <c r="C26" s="6">
        <f>C21</f>
        <v>10</v>
      </c>
      <c r="F26" s="7" t="s">
        <v>311</v>
      </c>
      <c r="G26" s="141" t="s">
        <v>148</v>
      </c>
      <c r="H26" s="142">
        <v>0.05</v>
      </c>
    </row>
    <row r="27" spans="2:24" x14ac:dyDescent="0.35">
      <c r="B27" s="106" t="s">
        <v>315</v>
      </c>
      <c r="C27" s="40">
        <f>C25*C26</f>
        <v>-646.28086956521747</v>
      </c>
      <c r="F27" s="7" t="s">
        <v>313</v>
      </c>
      <c r="G27" s="141" t="s">
        <v>148</v>
      </c>
      <c r="H27" s="258">
        <v>0.2</v>
      </c>
    </row>
    <row r="28" spans="2:24" x14ac:dyDescent="0.35">
      <c r="B28" s="106" t="s">
        <v>663</v>
      </c>
      <c r="C28" s="179">
        <f>G20*C21</f>
        <v>2431012.5000000005</v>
      </c>
    </row>
    <row r="29" spans="2:24" ht="29" x14ac:dyDescent="0.35">
      <c r="B29" s="106" t="s">
        <v>664</v>
      </c>
      <c r="C29" s="179">
        <f>IF(G26="YES",C28*H26,0)+IF(G27="YES",C28*H27,0)+C28</f>
        <v>3038765.6250000005</v>
      </c>
    </row>
    <row r="32" spans="2:24" x14ac:dyDescent="0.35">
      <c r="B32" s="18" t="s">
        <v>256</v>
      </c>
      <c r="C32" s="136"/>
      <c r="D32" s="136"/>
      <c r="E32" s="136"/>
      <c r="F32" s="136"/>
      <c r="G32" s="136"/>
      <c r="H32" s="136"/>
      <c r="I32" s="136"/>
      <c r="J32" s="136"/>
      <c r="K32" s="136"/>
      <c r="L32" s="136"/>
      <c r="M32" s="136"/>
      <c r="N32" s="136"/>
      <c r="O32" s="136"/>
      <c r="P32" s="136"/>
      <c r="Q32" s="136"/>
      <c r="R32" s="136"/>
      <c r="S32" s="136"/>
      <c r="T32" s="136"/>
      <c r="U32" s="136"/>
      <c r="V32" s="136"/>
      <c r="W32" s="136"/>
      <c r="X32" s="136"/>
    </row>
    <row r="34" spans="2:6" x14ac:dyDescent="0.35">
      <c r="B34" s="2" t="s">
        <v>287</v>
      </c>
    </row>
    <row r="35" spans="2:6" ht="43.5" x14ac:dyDescent="0.35">
      <c r="B35" s="108" t="s">
        <v>258</v>
      </c>
      <c r="C35" s="108" t="s">
        <v>665</v>
      </c>
      <c r="D35" s="108" t="s">
        <v>318</v>
      </c>
      <c r="E35" s="108" t="s">
        <v>649</v>
      </c>
      <c r="F35" s="108" t="s">
        <v>477</v>
      </c>
    </row>
    <row r="36" spans="2:6" x14ac:dyDescent="0.35">
      <c r="B36" s="180">
        <f>B41/'Action 13 Calculation'!C9</f>
        <v>-2.1907826086956526</v>
      </c>
      <c r="C36" s="180">
        <f>C41/'Action 13 Calculation'!C9</f>
        <v>-65.723478260869584</v>
      </c>
      <c r="D36" s="186">
        <f>D41</f>
        <v>3038765.6250000005</v>
      </c>
      <c r="E36" s="187">
        <f>-D36/B36</f>
        <v>1387068.5356632532</v>
      </c>
      <c r="F36" s="187">
        <f>-D36/C36</f>
        <v>46235.617855441764</v>
      </c>
    </row>
    <row r="37" spans="2:6" x14ac:dyDescent="0.35">
      <c r="B37" s="4"/>
    </row>
    <row r="38" spans="2:6" x14ac:dyDescent="0.35">
      <c r="B38" s="4"/>
    </row>
    <row r="39" spans="2:6" x14ac:dyDescent="0.35">
      <c r="B39" s="2" t="s">
        <v>288</v>
      </c>
    </row>
    <row r="40" spans="2:6" ht="43.5" x14ac:dyDescent="0.35">
      <c r="B40" s="108" t="s">
        <v>245</v>
      </c>
      <c r="C40" s="108" t="s">
        <v>666</v>
      </c>
      <c r="D40" s="108" t="s">
        <v>318</v>
      </c>
      <c r="E40" s="108" t="s">
        <v>649</v>
      </c>
      <c r="F40" s="108" t="s">
        <v>477</v>
      </c>
    </row>
    <row r="41" spans="2:6" x14ac:dyDescent="0.35">
      <c r="B41" s="180">
        <f>C27</f>
        <v>-646.28086956521747</v>
      </c>
      <c r="C41" s="180">
        <f>K21*B41</f>
        <v>-19388.426086956526</v>
      </c>
      <c r="D41" s="186">
        <f>C29</f>
        <v>3038765.6250000005</v>
      </c>
      <c r="E41" s="187">
        <f>-D41/B41</f>
        <v>4701.9272395364515</v>
      </c>
      <c r="F41" s="187">
        <f>-D41/C41</f>
        <v>156.73090798454837</v>
      </c>
    </row>
  </sheetData>
  <sheetProtection sheet="1" objects="1" scenarios="1"/>
  <protectedRanges>
    <protectedRange sqref="K21" name="Range4"/>
    <protectedRange sqref="G20" name="Range2"/>
    <protectedRange sqref="C20:C21" name="Range1"/>
    <protectedRange sqref="G26:G27" name="Range3"/>
  </protectedRanges>
  <mergeCells count="1">
    <mergeCell ref="B14:B15"/>
  </mergeCells>
  <dataValidations count="1">
    <dataValidation type="list" allowBlank="1" showInputMessage="1" showErrorMessage="1" sqref="G26:G27" xr:uid="{530D181D-7921-47F7-8C62-F970C7BAD9D3}">
      <formula1>$AB$3:$AB$4</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42D5-EEE1-4357-BF3D-729A57732AC5}">
  <sheetPr>
    <tabColor theme="8"/>
  </sheetPr>
  <dimension ref="B1:AC41"/>
  <sheetViews>
    <sheetView workbookViewId="0">
      <selection activeCell="R24" sqref="R24"/>
    </sheetView>
  </sheetViews>
  <sheetFormatPr defaultRowHeight="14.5" x14ac:dyDescent="0.35"/>
  <cols>
    <col min="2" max="2" width="18.54296875" customWidth="1"/>
    <col min="3" max="3" width="24.26953125" customWidth="1"/>
    <col min="4" max="4" width="24.453125" customWidth="1"/>
    <col min="5" max="5" width="21.54296875" customWidth="1"/>
    <col min="6" max="6" width="19.1796875" customWidth="1"/>
    <col min="7" max="7" width="12.7265625" customWidth="1"/>
    <col min="10" max="10" width="18.1796875" customWidth="1"/>
    <col min="11" max="11" width="10.7265625" customWidth="1"/>
    <col min="29" max="29" width="0" hidden="1" customWidth="1"/>
  </cols>
  <sheetData>
    <row r="1" spans="2:29" ht="31" x14ac:dyDescent="0.7">
      <c r="B1" s="8" t="s">
        <v>186</v>
      </c>
    </row>
    <row r="3" spans="2:29" x14ac:dyDescent="0.35">
      <c r="B3" s="9" t="s">
        <v>29</v>
      </c>
      <c r="C3" s="10"/>
      <c r="D3" s="10"/>
      <c r="E3" s="10"/>
      <c r="F3" s="10"/>
      <c r="G3" s="10"/>
      <c r="H3" s="10"/>
      <c r="I3" s="10"/>
      <c r="J3" s="10"/>
      <c r="K3" s="10"/>
      <c r="L3" s="10"/>
      <c r="M3" s="10"/>
      <c r="N3" s="10"/>
      <c r="O3" s="10"/>
      <c r="P3" s="10"/>
      <c r="Q3" s="10"/>
      <c r="R3" s="10"/>
      <c r="S3" s="10"/>
      <c r="T3" s="10"/>
      <c r="U3" s="10"/>
      <c r="V3" s="10"/>
      <c r="W3" s="10"/>
      <c r="X3" s="10"/>
      <c r="Y3" s="11"/>
    </row>
    <row r="4" spans="2:29" x14ac:dyDescent="0.35">
      <c r="B4" s="12" t="s">
        <v>667</v>
      </c>
      <c r="Y4" s="13"/>
      <c r="AC4" t="s">
        <v>148</v>
      </c>
    </row>
    <row r="5" spans="2:29" x14ac:dyDescent="0.35">
      <c r="B5" s="12" t="s">
        <v>668</v>
      </c>
      <c r="Y5" s="13"/>
      <c r="AC5" t="s">
        <v>149</v>
      </c>
    </row>
    <row r="6" spans="2:29" x14ac:dyDescent="0.35">
      <c r="B6" s="14"/>
      <c r="C6" s="15"/>
      <c r="D6" s="15"/>
      <c r="E6" s="15"/>
      <c r="F6" s="15"/>
      <c r="G6" s="15"/>
      <c r="H6" s="15"/>
      <c r="I6" s="15"/>
      <c r="J6" s="15"/>
      <c r="K6" s="15"/>
      <c r="L6" s="15"/>
      <c r="M6" s="15"/>
      <c r="N6" s="15"/>
      <c r="O6" s="15"/>
      <c r="P6" s="15"/>
      <c r="Q6" s="15"/>
      <c r="R6" s="15"/>
      <c r="S6" s="15"/>
      <c r="T6" s="15"/>
      <c r="U6" s="15"/>
      <c r="V6" s="15"/>
      <c r="W6" s="15"/>
      <c r="X6" s="15"/>
      <c r="Y6" s="16"/>
    </row>
    <row r="8" spans="2:29" x14ac:dyDescent="0.35">
      <c r="B8" s="9" t="s">
        <v>221</v>
      </c>
      <c r="C8" s="10"/>
      <c r="D8" s="10"/>
      <c r="E8" s="10"/>
      <c r="F8" s="10"/>
      <c r="G8" s="10"/>
      <c r="H8" s="10"/>
      <c r="I8" s="10"/>
      <c r="J8" s="10"/>
      <c r="K8" s="10"/>
      <c r="L8" s="10"/>
      <c r="M8" s="10"/>
      <c r="N8" s="10"/>
      <c r="O8" s="10"/>
      <c r="P8" s="10"/>
      <c r="Q8" s="10"/>
      <c r="R8" s="10"/>
      <c r="S8" s="10"/>
      <c r="T8" s="10"/>
      <c r="U8" s="10"/>
      <c r="V8" s="10"/>
      <c r="W8" s="10"/>
      <c r="X8" s="10"/>
      <c r="Y8" s="11"/>
    </row>
    <row r="9" spans="2:29" x14ac:dyDescent="0.35">
      <c r="B9" s="12" t="s">
        <v>669</v>
      </c>
      <c r="Y9" s="13"/>
    </row>
    <row r="10" spans="2:29" x14ac:dyDescent="0.35">
      <c r="B10" s="12" t="s">
        <v>670</v>
      </c>
      <c r="Y10" s="13"/>
      <c r="AC10" t="s">
        <v>148</v>
      </c>
    </row>
    <row r="11" spans="2:29" x14ac:dyDescent="0.35">
      <c r="B11" s="14"/>
      <c r="C11" s="15"/>
      <c r="D11" s="15"/>
      <c r="E11" s="15"/>
      <c r="F11" s="15"/>
      <c r="G11" s="15"/>
      <c r="H11" s="15"/>
      <c r="I11" s="15"/>
      <c r="J11" s="15"/>
      <c r="K11" s="15"/>
      <c r="L11" s="15"/>
      <c r="M11" s="15"/>
      <c r="N11" s="15"/>
      <c r="O11" s="15"/>
      <c r="P11" s="15"/>
      <c r="Q11" s="15"/>
      <c r="R11" s="15"/>
      <c r="S11" s="15"/>
      <c r="T11" s="15"/>
      <c r="U11" s="15"/>
      <c r="V11" s="15"/>
      <c r="W11" s="15"/>
      <c r="X11" s="15"/>
      <c r="Y11" s="16"/>
      <c r="AC11" t="s">
        <v>149</v>
      </c>
    </row>
    <row r="13" spans="2:29" x14ac:dyDescent="0.35">
      <c r="B13" s="9" t="s">
        <v>224</v>
      </c>
      <c r="C13" s="10"/>
      <c r="D13" s="10"/>
      <c r="E13" s="10"/>
      <c r="F13" s="10"/>
      <c r="G13" s="10"/>
      <c r="H13" s="10"/>
      <c r="I13" s="10"/>
      <c r="J13" s="10"/>
      <c r="K13" s="10"/>
      <c r="L13" s="10"/>
      <c r="M13" s="10"/>
      <c r="N13" s="10"/>
      <c r="O13" s="10"/>
      <c r="P13" s="10"/>
      <c r="Q13" s="10"/>
      <c r="R13" s="10"/>
      <c r="S13" s="10"/>
      <c r="T13" s="10"/>
      <c r="U13" s="10"/>
      <c r="V13" s="10"/>
      <c r="W13" s="10"/>
      <c r="X13" s="10"/>
      <c r="Y13" s="11"/>
    </row>
    <row r="14" spans="2:29" x14ac:dyDescent="0.35">
      <c r="B14" s="499" t="s">
        <v>225</v>
      </c>
      <c r="C14" s="17" t="s">
        <v>671</v>
      </c>
      <c r="Y14" s="13"/>
    </row>
    <row r="15" spans="2:29" x14ac:dyDescent="0.35">
      <c r="B15" s="499"/>
      <c r="C15" s="17" t="s">
        <v>672</v>
      </c>
      <c r="Y15" s="13"/>
    </row>
    <row r="16" spans="2:29" x14ac:dyDescent="0.35">
      <c r="B16" s="400"/>
      <c r="C16" s="17"/>
      <c r="Y16" s="13"/>
    </row>
    <row r="17" spans="2:25" x14ac:dyDescent="0.35">
      <c r="B17" s="401" t="s">
        <v>228</v>
      </c>
      <c r="C17" s="17" t="s">
        <v>229</v>
      </c>
      <c r="Y17" s="13"/>
    </row>
    <row r="18" spans="2:25" x14ac:dyDescent="0.35">
      <c r="B18" s="14"/>
      <c r="C18" s="15"/>
      <c r="D18" s="15"/>
      <c r="E18" s="15"/>
      <c r="F18" s="15"/>
      <c r="G18" s="15"/>
      <c r="H18" s="15"/>
      <c r="I18" s="15"/>
      <c r="J18" s="15"/>
      <c r="K18" s="15"/>
      <c r="L18" s="15"/>
      <c r="M18" s="15"/>
      <c r="N18" s="15"/>
      <c r="O18" s="15"/>
      <c r="P18" s="15"/>
      <c r="Q18" s="15"/>
      <c r="R18" s="15"/>
      <c r="S18" s="15"/>
      <c r="T18" s="15"/>
      <c r="U18" s="15"/>
      <c r="V18" s="15"/>
      <c r="W18" s="15"/>
      <c r="X18" s="15"/>
      <c r="Y18" s="16"/>
    </row>
    <row r="20" spans="2:25" x14ac:dyDescent="0.35">
      <c r="B20" s="2"/>
    </row>
    <row r="22" spans="2:25" x14ac:dyDescent="0.35">
      <c r="B22" s="166" t="s">
        <v>673</v>
      </c>
      <c r="C22" s="65" t="s">
        <v>674</v>
      </c>
      <c r="D22" s="65" t="s">
        <v>675</v>
      </c>
      <c r="E22" s="65" t="s">
        <v>676</v>
      </c>
      <c r="J22" s="106" t="s">
        <v>252</v>
      </c>
      <c r="K22" s="106" t="s">
        <v>253</v>
      </c>
      <c r="L22" s="106" t="s">
        <v>254</v>
      </c>
    </row>
    <row r="23" spans="2:25" ht="43.5" x14ac:dyDescent="0.35">
      <c r="B23" s="106" t="s">
        <v>677</v>
      </c>
      <c r="C23" s="212">
        <v>1</v>
      </c>
      <c r="D23" s="212">
        <v>1</v>
      </c>
      <c r="E23" s="212">
        <v>1</v>
      </c>
      <c r="J23" s="7" t="s">
        <v>311</v>
      </c>
      <c r="K23" s="141" t="s">
        <v>148</v>
      </c>
      <c r="L23" s="203">
        <v>0.05</v>
      </c>
    </row>
    <row r="24" spans="2:25" ht="43.5" x14ac:dyDescent="0.35">
      <c r="B24" s="386" t="s">
        <v>678</v>
      </c>
      <c r="C24" s="212">
        <v>2</v>
      </c>
      <c r="D24" s="212">
        <v>2</v>
      </c>
      <c r="E24" s="212">
        <v>2</v>
      </c>
    </row>
    <row r="25" spans="2:25" ht="43.5" x14ac:dyDescent="0.35">
      <c r="B25" s="386" t="s">
        <v>679</v>
      </c>
      <c r="C25" s="300">
        <v>0.5</v>
      </c>
      <c r="D25" s="300">
        <v>0.5</v>
      </c>
      <c r="E25" s="300">
        <v>0.5</v>
      </c>
      <c r="J25" s="2" t="s">
        <v>530</v>
      </c>
    </row>
    <row r="26" spans="2:25" ht="29" x14ac:dyDescent="0.35">
      <c r="B26" s="106" t="s">
        <v>350</v>
      </c>
      <c r="C26" s="272">
        <v>4746000</v>
      </c>
      <c r="D26" s="272">
        <v>3164000</v>
      </c>
      <c r="E26" s="272">
        <v>2373000</v>
      </c>
      <c r="J26" s="242" t="s">
        <v>305</v>
      </c>
      <c r="K26" s="243"/>
    </row>
    <row r="27" spans="2:25" ht="29" x14ac:dyDescent="0.35">
      <c r="B27" s="106" t="s">
        <v>680</v>
      </c>
      <c r="C27" s="301">
        <f>IF($K$23="YES",C26*$L$23+C26,C26)</f>
        <v>4983300</v>
      </c>
      <c r="D27" s="301">
        <f t="shared" ref="D27:E27" si="0">IF($K$23="YES",D26*$L$23+D26,D26)</f>
        <v>3322200</v>
      </c>
      <c r="E27" s="301">
        <f t="shared" si="0"/>
        <v>2491650</v>
      </c>
      <c r="J27" s="6" t="s">
        <v>531</v>
      </c>
      <c r="K27" s="140">
        <v>30</v>
      </c>
    </row>
    <row r="28" spans="2:25" ht="29" x14ac:dyDescent="0.35">
      <c r="B28" s="106" t="s">
        <v>245</v>
      </c>
      <c r="C28" s="56">
        <f>'Action 14 Calculation'!G65</f>
        <v>-41455158.65200001</v>
      </c>
      <c r="D28" s="56">
        <f>'Action 14 Calculation'!G66</f>
        <v>-34129048.282000005</v>
      </c>
      <c r="E28" s="56">
        <f>'Action 14 Calculation'!G67</f>
        <v>-32803743.548000004</v>
      </c>
    </row>
    <row r="29" spans="2:25" ht="29" x14ac:dyDescent="0.35">
      <c r="B29" s="106" t="s">
        <v>681</v>
      </c>
      <c r="C29" s="140" t="s">
        <v>148</v>
      </c>
      <c r="D29" s="140" t="s">
        <v>148</v>
      </c>
      <c r="E29" s="140" t="s">
        <v>148</v>
      </c>
    </row>
    <row r="32" spans="2:25" x14ac:dyDescent="0.35">
      <c r="B32" s="18" t="s">
        <v>256</v>
      </c>
      <c r="C32" s="18"/>
      <c r="D32" s="18"/>
      <c r="E32" s="18"/>
      <c r="F32" s="18"/>
      <c r="G32" s="18"/>
      <c r="H32" s="18"/>
      <c r="I32" s="18"/>
      <c r="J32" s="18"/>
      <c r="K32" s="18"/>
      <c r="L32" s="18"/>
      <c r="M32" s="18"/>
      <c r="N32" s="18"/>
      <c r="O32" s="18"/>
      <c r="P32" s="18"/>
      <c r="Q32" s="18"/>
      <c r="R32" s="18"/>
      <c r="S32" s="18"/>
      <c r="T32" s="136"/>
      <c r="U32" s="136"/>
      <c r="V32" s="136"/>
      <c r="W32" s="136"/>
      <c r="X32" s="136"/>
      <c r="Y32" s="136"/>
    </row>
    <row r="34" spans="2:7" x14ac:dyDescent="0.35">
      <c r="B34" s="2" t="s">
        <v>287</v>
      </c>
    </row>
    <row r="35" spans="2:7" ht="29" x14ac:dyDescent="0.35">
      <c r="B35" s="37" t="s">
        <v>682</v>
      </c>
      <c r="C35" s="37" t="s">
        <v>605</v>
      </c>
      <c r="D35" s="37" t="s">
        <v>610</v>
      </c>
      <c r="E35" s="37" t="s">
        <v>649</v>
      </c>
      <c r="F35" s="37" t="s">
        <v>607</v>
      </c>
      <c r="G35" s="37" t="s">
        <v>477</v>
      </c>
    </row>
    <row r="36" spans="2:7" x14ac:dyDescent="0.35">
      <c r="B36" s="180">
        <f>B41/'Action 14 Calculation'!F65</f>
        <v>-312357.20600000006</v>
      </c>
      <c r="C36" s="180">
        <f>C41/'Action 14 Calculation'!F65</f>
        <v>-9370716.1800000016</v>
      </c>
      <c r="D36" s="186">
        <f>D41</f>
        <v>10797150</v>
      </c>
      <c r="E36" s="187">
        <f>-(D36/B36)</f>
        <v>34.566674924093149</v>
      </c>
      <c r="F36" s="186">
        <f>D36</f>
        <v>10797150</v>
      </c>
      <c r="G36" s="187">
        <f>-(F36/C36)</f>
        <v>1.1522224974697717</v>
      </c>
    </row>
    <row r="39" spans="2:7" x14ac:dyDescent="0.35">
      <c r="B39" s="2" t="s">
        <v>288</v>
      </c>
    </row>
    <row r="40" spans="2:7" ht="43.5" x14ac:dyDescent="0.35">
      <c r="B40" s="37" t="s">
        <v>683</v>
      </c>
      <c r="C40" s="37" t="s">
        <v>609</v>
      </c>
      <c r="D40" s="37" t="s">
        <v>610</v>
      </c>
      <c r="E40" s="37" t="s">
        <v>649</v>
      </c>
      <c r="F40" s="37" t="s">
        <v>607</v>
      </c>
      <c r="G40" s="37" t="s">
        <v>477</v>
      </c>
    </row>
    <row r="41" spans="2:7" x14ac:dyDescent="0.35">
      <c r="B41" s="180">
        <f>SUMIFS(C28:E28,C29:E29,"YES")</f>
        <v>-108387950.48200002</v>
      </c>
      <c r="C41" s="180">
        <f>B41*K27</f>
        <v>-3251638514.4600005</v>
      </c>
      <c r="D41" s="186">
        <f>SUMIFS(C27:E27,C29:E29,"YES")</f>
        <v>10797150</v>
      </c>
      <c r="E41" s="187">
        <f>-(D41/B41)</f>
        <v>9.9615777879230968E-2</v>
      </c>
      <c r="F41" s="186">
        <f>D41</f>
        <v>10797150</v>
      </c>
      <c r="G41" s="399">
        <f>-(F41/C41)</f>
        <v>3.3205259293076993E-3</v>
      </c>
    </row>
  </sheetData>
  <protectedRanges>
    <protectedRange sqref="K27" name="Range4"/>
    <protectedRange sqref="C29:E29" name="Range2"/>
    <protectedRange sqref="C23:E26" name="Range1"/>
    <protectedRange sqref="K23:L23" name="Range3"/>
  </protectedRanges>
  <mergeCells count="1">
    <mergeCell ref="B14:B15"/>
  </mergeCells>
  <dataValidations count="3">
    <dataValidation type="list" allowBlank="1" showInputMessage="1" showErrorMessage="1" sqref="C29:E29" xr:uid="{0991B360-4F3F-4372-87F3-ED0CBD720D02}">
      <formula1>$AC$4:$AC$5</formula1>
    </dataValidation>
    <dataValidation type="decimal" allowBlank="1" showInputMessage="1" showErrorMessage="1" sqref="C24:E24" xr:uid="{5674044F-5387-4B53-ACEE-60B5B557CF19}">
      <formula1>1</formula1>
      <formula2>5</formula2>
    </dataValidation>
    <dataValidation type="list" allowBlank="1" showInputMessage="1" showErrorMessage="1" sqref="K23" xr:uid="{348C70AC-8D8F-41D0-8E8E-63BD10C8CD47}">
      <formula1>$AC$10:$AC$11</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FF41E-BA2D-49BB-A3AF-2295471E4D91}">
  <sheetPr>
    <tabColor theme="5"/>
  </sheetPr>
  <dimension ref="B2:P92"/>
  <sheetViews>
    <sheetView zoomScaleNormal="100" workbookViewId="0">
      <selection activeCell="B2" sqref="B2"/>
    </sheetView>
  </sheetViews>
  <sheetFormatPr defaultRowHeight="14.5" x14ac:dyDescent="0.35"/>
  <cols>
    <col min="2" max="2" width="62.7265625" customWidth="1"/>
    <col min="3" max="3" width="19.54296875" customWidth="1"/>
    <col min="4" max="4" width="33.7265625" customWidth="1"/>
    <col min="5" max="5" width="45" bestFit="1" customWidth="1"/>
    <col min="6" max="6" width="16.54296875" customWidth="1"/>
    <col min="8" max="8" width="46.453125" customWidth="1"/>
    <col min="9" max="9" width="12.7265625" bestFit="1" customWidth="1"/>
  </cols>
  <sheetData>
    <row r="2" spans="2:16" ht="31" x14ac:dyDescent="0.7">
      <c r="B2" s="8" t="s">
        <v>163</v>
      </c>
    </row>
    <row r="3" spans="2:16" x14ac:dyDescent="0.35">
      <c r="B3" s="2"/>
    </row>
    <row r="4" spans="2:16" x14ac:dyDescent="0.35">
      <c r="B4" s="2" t="s">
        <v>684</v>
      </c>
    </row>
    <row r="6" spans="2:16" x14ac:dyDescent="0.35">
      <c r="B6" s="54" t="s">
        <v>685</v>
      </c>
    </row>
    <row r="8" spans="2:16" x14ac:dyDescent="0.35">
      <c r="B8" s="18" t="s">
        <v>686</v>
      </c>
      <c r="C8" s="136"/>
      <c r="D8" s="136"/>
      <c r="E8" s="136"/>
      <c r="F8" s="136"/>
      <c r="G8" s="136"/>
      <c r="H8" s="136"/>
      <c r="I8" s="136"/>
      <c r="J8" s="136"/>
      <c r="K8" s="136"/>
      <c r="L8" s="136"/>
      <c r="M8" s="136"/>
      <c r="N8" s="136"/>
      <c r="O8" s="136"/>
      <c r="P8" s="136"/>
    </row>
    <row r="9" spans="2:16" x14ac:dyDescent="0.35">
      <c r="B9" s="2"/>
    </row>
    <row r="10" spans="2:16" x14ac:dyDescent="0.35">
      <c r="B10" s="26" t="s">
        <v>687</v>
      </c>
      <c r="C10" s="26" t="s">
        <v>688</v>
      </c>
      <c r="D10" s="26" t="s">
        <v>276</v>
      </c>
      <c r="E10" s="26" t="s">
        <v>689</v>
      </c>
    </row>
    <row r="11" spans="2:16" ht="29" x14ac:dyDescent="0.35">
      <c r="B11" s="7" t="s">
        <v>690</v>
      </c>
      <c r="C11" s="397">
        <f>'1.) Caltrain Service Expansion'!C27</f>
        <v>0.375</v>
      </c>
      <c r="D11" s="7" t="s">
        <v>691</v>
      </c>
      <c r="E11" s="7" t="s">
        <v>692</v>
      </c>
    </row>
    <row r="12" spans="2:16" ht="116" x14ac:dyDescent="0.35">
      <c r="B12" s="7" t="s">
        <v>693</v>
      </c>
      <c r="C12" s="47">
        <v>0.5</v>
      </c>
      <c r="D12" s="7" t="s">
        <v>691</v>
      </c>
      <c r="E12" s="7" t="s">
        <v>694</v>
      </c>
    </row>
    <row r="13" spans="2:16" x14ac:dyDescent="0.35">
      <c r="B13" s="7" t="s">
        <v>695</v>
      </c>
      <c r="C13" s="34">
        <v>0.5</v>
      </c>
      <c r="D13" s="7" t="s">
        <v>696</v>
      </c>
      <c r="E13" s="7" t="s">
        <v>697</v>
      </c>
    </row>
    <row r="14" spans="2:16" x14ac:dyDescent="0.35">
      <c r="B14" s="7" t="s">
        <v>698</v>
      </c>
      <c r="C14" s="47">
        <f>SUM('Action 1 Data'!F:F)/SUM('Action 1 Data'!G:G)</f>
        <v>6.9148993981040366E-2</v>
      </c>
      <c r="D14" s="7" t="s">
        <v>699</v>
      </c>
      <c r="E14" s="7" t="s">
        <v>700</v>
      </c>
    </row>
    <row r="15" spans="2:16" x14ac:dyDescent="0.35">
      <c r="B15" s="7" t="s">
        <v>701</v>
      </c>
      <c r="C15" s="47">
        <f>SUM('Action 1 Data'!E:E)/SUM('Action 1 Data'!G:G)</f>
        <v>0.74727425395326752</v>
      </c>
      <c r="D15" s="7" t="s">
        <v>699</v>
      </c>
      <c r="E15" s="7" t="s">
        <v>700</v>
      </c>
    </row>
    <row r="16" spans="2:16" x14ac:dyDescent="0.35">
      <c r="B16" s="7" t="s">
        <v>702</v>
      </c>
      <c r="C16" s="48">
        <v>0.57799999999999996</v>
      </c>
      <c r="D16" s="7" t="s">
        <v>696</v>
      </c>
      <c r="E16" s="7" t="s">
        <v>703</v>
      </c>
    </row>
    <row r="17" spans="2:16" ht="16" x14ac:dyDescent="0.45">
      <c r="B17" s="303" t="s">
        <v>704</v>
      </c>
      <c r="C17" s="124">
        <f>-1*(C11)*((C12*C13*C14*C16)/C15)</f>
        <v>-5.0142382017378494E-3</v>
      </c>
    </row>
    <row r="18" spans="2:16" x14ac:dyDescent="0.35">
      <c r="E18" s="30"/>
    </row>
    <row r="19" spans="2:16" ht="16" x14ac:dyDescent="0.45">
      <c r="B19" s="66" t="s">
        <v>705</v>
      </c>
      <c r="C19" s="33"/>
    </row>
    <row r="20" spans="2:16" ht="16" x14ac:dyDescent="0.45">
      <c r="B20" s="371" t="s">
        <v>706</v>
      </c>
      <c r="C20" s="31" t="s">
        <v>707</v>
      </c>
    </row>
    <row r="22" spans="2:16" x14ac:dyDescent="0.35">
      <c r="B22" s="18" t="s">
        <v>708</v>
      </c>
      <c r="C22" s="136"/>
      <c r="D22" s="136"/>
      <c r="E22" s="136"/>
      <c r="F22" s="136"/>
      <c r="G22" s="136"/>
      <c r="H22" s="136"/>
      <c r="I22" s="136"/>
      <c r="J22" s="136"/>
      <c r="K22" s="136"/>
      <c r="L22" s="136"/>
      <c r="M22" s="136"/>
      <c r="N22" s="136"/>
      <c r="O22" s="136"/>
      <c r="P22" s="136"/>
    </row>
    <row r="24" spans="2:16" x14ac:dyDescent="0.35">
      <c r="B24" s="54" t="s">
        <v>709</v>
      </c>
    </row>
    <row r="25" spans="2:16" x14ac:dyDescent="0.35">
      <c r="B25" s="54"/>
    </row>
    <row r="26" spans="2:16" x14ac:dyDescent="0.35">
      <c r="B26" s="116" t="s">
        <v>234</v>
      </c>
    </row>
    <row r="27" spans="2:16" x14ac:dyDescent="0.35">
      <c r="B27" s="123" t="s">
        <v>710</v>
      </c>
      <c r="C27" s="6">
        <f>COUNT('Action 1 Data'!B6:B280)</f>
        <v>275</v>
      </c>
    </row>
    <row r="28" spans="2:16" x14ac:dyDescent="0.35">
      <c r="B28" s="123" t="s">
        <v>711</v>
      </c>
      <c r="C28" s="56">
        <f>SUM('Action 1 Data'!D:D)</f>
        <v>376474</v>
      </c>
    </row>
    <row r="29" spans="2:16" x14ac:dyDescent="0.35">
      <c r="B29" s="123" t="s">
        <v>712</v>
      </c>
      <c r="C29" s="56">
        <f>SUM('Action 1 Data'!C:C)</f>
        <v>23011538.720000003</v>
      </c>
    </row>
    <row r="32" spans="2:16" x14ac:dyDescent="0.35">
      <c r="B32" s="18" t="s">
        <v>713</v>
      </c>
      <c r="C32" s="136"/>
      <c r="D32" s="136"/>
      <c r="E32" s="136"/>
      <c r="F32" s="136"/>
      <c r="G32" s="136"/>
      <c r="H32" s="136"/>
      <c r="I32" s="136"/>
      <c r="J32" s="136"/>
      <c r="K32" s="136"/>
      <c r="L32" s="136"/>
      <c r="M32" s="136"/>
      <c r="N32" s="136"/>
      <c r="O32" s="136"/>
      <c r="P32" s="136"/>
    </row>
    <row r="34" spans="2:16" x14ac:dyDescent="0.35">
      <c r="B34" s="116" t="s">
        <v>234</v>
      </c>
    </row>
    <row r="35" spans="2:16" x14ac:dyDescent="0.35">
      <c r="B35" s="123" t="s">
        <v>712</v>
      </c>
      <c r="C35" s="56">
        <f>C29</f>
        <v>23011538.720000003</v>
      </c>
    </row>
    <row r="36" spans="2:16" x14ac:dyDescent="0.35">
      <c r="B36" s="123" t="s">
        <v>714</v>
      </c>
      <c r="C36" s="55">
        <f>C17</f>
        <v>-5.0142382017378494E-3</v>
      </c>
    </row>
    <row r="37" spans="2:16" x14ac:dyDescent="0.35">
      <c r="B37" s="123" t="s">
        <v>258</v>
      </c>
      <c r="C37" s="56">
        <f>C35*C36</f>
        <v>-115385.3365305937</v>
      </c>
    </row>
    <row r="39" spans="2:16" x14ac:dyDescent="0.35">
      <c r="B39" s="2"/>
      <c r="C39" s="51"/>
    </row>
    <row r="40" spans="2:16" x14ac:dyDescent="0.35">
      <c r="B40" s="18" t="s">
        <v>715</v>
      </c>
      <c r="C40" s="136"/>
      <c r="D40" s="136"/>
      <c r="E40" s="136"/>
      <c r="F40" s="136"/>
      <c r="G40" s="136"/>
      <c r="H40" s="136"/>
      <c r="I40" s="136"/>
      <c r="J40" s="136"/>
      <c r="K40" s="136"/>
      <c r="L40" s="136"/>
      <c r="M40" s="136"/>
      <c r="N40" s="136"/>
      <c r="O40" s="136"/>
      <c r="P40" s="136"/>
    </row>
    <row r="42" spans="2:16" x14ac:dyDescent="0.35">
      <c r="B42" s="54" t="s">
        <v>716</v>
      </c>
    </row>
    <row r="44" spans="2:16" x14ac:dyDescent="0.35">
      <c r="B44" s="116" t="s">
        <v>234</v>
      </c>
    </row>
    <row r="45" spans="2:16" x14ac:dyDescent="0.35">
      <c r="B45" s="153" t="s">
        <v>258</v>
      </c>
      <c r="C45" s="153" t="s">
        <v>717</v>
      </c>
      <c r="D45" s="153" t="s">
        <v>245</v>
      </c>
    </row>
    <row r="46" spans="2:16" x14ac:dyDescent="0.35">
      <c r="B46" s="56">
        <f>C37</f>
        <v>-115385.3365305937</v>
      </c>
      <c r="C46" s="6">
        <v>347</v>
      </c>
      <c r="D46" s="56">
        <f>B46*C46</f>
        <v>-40038711.776116014</v>
      </c>
    </row>
    <row r="49" spans="2:16" x14ac:dyDescent="0.35">
      <c r="B49" s="18" t="s">
        <v>718</v>
      </c>
      <c r="C49" s="136"/>
      <c r="D49" s="136"/>
      <c r="E49" s="136"/>
      <c r="F49" s="136"/>
      <c r="G49" s="136"/>
      <c r="H49" s="136"/>
      <c r="I49" s="136"/>
      <c r="J49" s="136"/>
      <c r="K49" s="136"/>
      <c r="L49" s="136"/>
      <c r="M49" s="136"/>
      <c r="N49" s="136"/>
      <c r="O49" s="136"/>
      <c r="P49" s="136"/>
    </row>
    <row r="51" spans="2:16" x14ac:dyDescent="0.35">
      <c r="B51" s="54" t="s">
        <v>719</v>
      </c>
    </row>
    <row r="52" spans="2:16" x14ac:dyDescent="0.35">
      <c r="B52" s="54" t="s">
        <v>720</v>
      </c>
    </row>
    <row r="80" spans="4:4" x14ac:dyDescent="0.35">
      <c r="D80" s="54" t="s">
        <v>721</v>
      </c>
    </row>
    <row r="81" spans="2:4" x14ac:dyDescent="0.35">
      <c r="B81" s="166" t="s">
        <v>722</v>
      </c>
      <c r="C81" s="6">
        <v>22</v>
      </c>
      <c r="D81" s="47">
        <f>C81/C81</f>
        <v>1</v>
      </c>
    </row>
    <row r="82" spans="2:4" x14ac:dyDescent="0.35">
      <c r="B82" s="166" t="s">
        <v>723</v>
      </c>
      <c r="C82" s="6">
        <v>11</v>
      </c>
      <c r="D82" s="47">
        <f>C82/C81</f>
        <v>0.5</v>
      </c>
    </row>
    <row r="84" spans="2:4" x14ac:dyDescent="0.35">
      <c r="B84" s="54" t="s">
        <v>724</v>
      </c>
    </row>
    <row r="86" spans="2:4" x14ac:dyDescent="0.35">
      <c r="B86" s="396" t="s">
        <v>725</v>
      </c>
      <c r="C86" s="384">
        <f>'1.) Caltrain Service Expansion'!F28</f>
        <v>4</v>
      </c>
    </row>
    <row r="87" spans="2:4" x14ac:dyDescent="0.35">
      <c r="B87" s="396" t="s">
        <v>726</v>
      </c>
      <c r="C87" s="384">
        <f>'1.) Caltrain Service Expansion'!F29</f>
        <v>6</v>
      </c>
    </row>
    <row r="88" spans="2:4" x14ac:dyDescent="0.35">
      <c r="B88" s="396" t="s">
        <v>727</v>
      </c>
      <c r="C88" s="6">
        <f>C87-C86</f>
        <v>2</v>
      </c>
    </row>
    <row r="89" spans="2:4" x14ac:dyDescent="0.35">
      <c r="B89" s="396" t="s">
        <v>250</v>
      </c>
      <c r="C89" s="6">
        <f>'1.) Caltrain Service Expansion'!F33</f>
        <v>1</v>
      </c>
    </row>
    <row r="90" spans="2:4" x14ac:dyDescent="0.35">
      <c r="B90" s="396" t="s">
        <v>728</v>
      </c>
      <c r="C90" s="6">
        <f>C88-C89</f>
        <v>1</v>
      </c>
    </row>
    <row r="92" spans="2:4" x14ac:dyDescent="0.35">
      <c r="B92" s="396" t="s">
        <v>729</v>
      </c>
      <c r="C92" s="47">
        <f>((C89*D81)+(C90*D82))/C86</f>
        <v>0.375</v>
      </c>
    </row>
  </sheetData>
  <sheetProtection sheet="1" objects="1" scenarios="1"/>
  <pageMargins left="0.7" right="0.7" top="0.75" bottom="0.75" header="0.3" footer="0.3"/>
  <pageSetup orientation="portrait" horizontalDpi="1200" verticalDpi="0"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3ADA2-868C-43C4-B8A1-A1C953FA6B91}">
  <sheetPr>
    <tabColor theme="5"/>
  </sheetPr>
  <dimension ref="B2:N49"/>
  <sheetViews>
    <sheetView zoomScaleNormal="100" workbookViewId="0">
      <selection activeCell="C41" sqref="C41"/>
    </sheetView>
  </sheetViews>
  <sheetFormatPr defaultRowHeight="14.5" x14ac:dyDescent="0.35"/>
  <cols>
    <col min="2" max="2" width="70.54296875" customWidth="1"/>
    <col min="3" max="3" width="25.81640625" bestFit="1" customWidth="1"/>
    <col min="4" max="4" width="51.26953125" customWidth="1"/>
    <col min="5" max="5" width="70.1796875" customWidth="1"/>
    <col min="7" max="8" width="8.453125" customWidth="1"/>
  </cols>
  <sheetData>
    <row r="2" spans="2:14" ht="31" x14ac:dyDescent="0.7">
      <c r="B2" s="8" t="s">
        <v>167</v>
      </c>
    </row>
    <row r="3" spans="2:14" x14ac:dyDescent="0.35">
      <c r="B3" s="116"/>
    </row>
    <row r="4" spans="2:14" x14ac:dyDescent="0.35">
      <c r="B4" s="2" t="s">
        <v>684</v>
      </c>
    </row>
    <row r="5" spans="2:14" x14ac:dyDescent="0.35">
      <c r="B5" s="54"/>
    </row>
    <row r="6" spans="2:14" x14ac:dyDescent="0.35">
      <c r="B6" s="54" t="s">
        <v>730</v>
      </c>
    </row>
    <row r="8" spans="2:14" x14ac:dyDescent="0.35">
      <c r="B8" s="18" t="s">
        <v>686</v>
      </c>
      <c r="C8" s="136"/>
      <c r="D8" s="136"/>
      <c r="E8" s="136"/>
      <c r="F8" s="136"/>
      <c r="G8" s="136"/>
      <c r="H8" s="136"/>
      <c r="I8" s="136"/>
      <c r="J8" s="136"/>
      <c r="K8" s="136"/>
      <c r="L8" s="136"/>
      <c r="M8" s="136"/>
      <c r="N8" s="136"/>
    </row>
    <row r="9" spans="2:14" x14ac:dyDescent="0.35">
      <c r="B9" s="2"/>
    </row>
    <row r="10" spans="2:14" x14ac:dyDescent="0.35">
      <c r="B10" s="2"/>
    </row>
    <row r="11" spans="2:14" x14ac:dyDescent="0.35">
      <c r="B11" s="26" t="s">
        <v>687</v>
      </c>
      <c r="C11" s="26" t="s">
        <v>688</v>
      </c>
      <c r="D11" s="26" t="s">
        <v>276</v>
      </c>
      <c r="E11" s="26" t="s">
        <v>689</v>
      </c>
    </row>
    <row r="12" spans="2:14" x14ac:dyDescent="0.35">
      <c r="B12" s="7" t="s">
        <v>690</v>
      </c>
      <c r="C12" s="57">
        <f>'2.) Enhance Route ECR Frequency'!$C$28</f>
        <v>0.25</v>
      </c>
      <c r="D12" s="7" t="s">
        <v>691</v>
      </c>
      <c r="E12" s="7" t="s">
        <v>225</v>
      </c>
    </row>
    <row r="13" spans="2:14" ht="87" x14ac:dyDescent="0.35">
      <c r="B13" s="7" t="s">
        <v>693</v>
      </c>
      <c r="C13" s="47">
        <v>0.5</v>
      </c>
      <c r="D13" s="7" t="s">
        <v>691</v>
      </c>
      <c r="E13" s="7" t="s">
        <v>731</v>
      </c>
    </row>
    <row r="14" spans="2:14" x14ac:dyDescent="0.35">
      <c r="B14" s="7" t="s">
        <v>695</v>
      </c>
      <c r="C14" s="34">
        <v>0.5</v>
      </c>
      <c r="D14" s="7" t="s">
        <v>696</v>
      </c>
      <c r="E14" s="7" t="s">
        <v>732</v>
      </c>
    </row>
    <row r="15" spans="2:14" x14ac:dyDescent="0.35">
      <c r="B15" s="7" t="s">
        <v>698</v>
      </c>
      <c r="C15" s="47">
        <f>SUM('Action 1 Data'!F:F)/SUM('Action 1 Data'!G:G)</f>
        <v>6.9148993981040366E-2</v>
      </c>
      <c r="D15" s="7" t="s">
        <v>699</v>
      </c>
      <c r="E15" s="7" t="s">
        <v>700</v>
      </c>
    </row>
    <row r="16" spans="2:14" ht="29.25" customHeight="1" x14ac:dyDescent="0.35">
      <c r="B16" s="7" t="s">
        <v>701</v>
      </c>
      <c r="C16" s="47">
        <f>SUM('Action 1 Data'!E:E)/SUM('Action 1 Data'!G:G)</f>
        <v>0.74727425395326752</v>
      </c>
      <c r="D16" s="7" t="s">
        <v>699</v>
      </c>
      <c r="E16" s="7" t="s">
        <v>700</v>
      </c>
    </row>
    <row r="17" spans="2:14" x14ac:dyDescent="0.35">
      <c r="B17" s="7" t="s">
        <v>702</v>
      </c>
      <c r="C17" s="48">
        <v>0.57799999999999996</v>
      </c>
      <c r="D17" s="7" t="s">
        <v>696</v>
      </c>
      <c r="E17" s="7" t="s">
        <v>733</v>
      </c>
    </row>
    <row r="18" spans="2:14" ht="16" x14ac:dyDescent="0.45">
      <c r="B18" s="303" t="s">
        <v>704</v>
      </c>
      <c r="C18" s="124">
        <f>-C13 * (C12*C15*C14*C17)/C16</f>
        <v>-3.3428254678252328E-3</v>
      </c>
      <c r="D18" s="28"/>
      <c r="E18" s="28"/>
    </row>
    <row r="19" spans="2:14" x14ac:dyDescent="0.35">
      <c r="D19" s="28"/>
      <c r="E19" s="28"/>
    </row>
    <row r="20" spans="2:14" ht="16" x14ac:dyDescent="0.45">
      <c r="B20" s="66" t="s">
        <v>705</v>
      </c>
      <c r="C20" s="33"/>
    </row>
    <row r="21" spans="2:14" ht="16" x14ac:dyDescent="0.45">
      <c r="B21" s="371" t="s">
        <v>706</v>
      </c>
      <c r="C21" s="31" t="s">
        <v>734</v>
      </c>
    </row>
    <row r="22" spans="2:14" ht="16" x14ac:dyDescent="0.45">
      <c r="B22" s="371"/>
      <c r="C22" s="31"/>
    </row>
    <row r="23" spans="2:14" ht="16" x14ac:dyDescent="0.45">
      <c r="B23" s="151" t="s">
        <v>735</v>
      </c>
    </row>
    <row r="24" spans="2:14" x14ac:dyDescent="0.35">
      <c r="B24" s="20" t="s">
        <v>736</v>
      </c>
      <c r="C24" s="6">
        <f>COUNT('Action 2 Data'!E:E)</f>
        <v>184</v>
      </c>
    </row>
    <row r="25" spans="2:14" x14ac:dyDescent="0.35">
      <c r="B25" s="123" t="s">
        <v>711</v>
      </c>
      <c r="C25" s="152">
        <f>SUM('Action 2 Data'!F:F)</f>
        <v>192498</v>
      </c>
    </row>
    <row r="27" spans="2:14" x14ac:dyDescent="0.35">
      <c r="B27" s="18" t="s">
        <v>737</v>
      </c>
      <c r="C27" s="136"/>
      <c r="D27" s="136"/>
      <c r="E27" s="136"/>
      <c r="F27" s="136"/>
      <c r="G27" s="136"/>
      <c r="H27" s="136"/>
      <c r="I27" s="136"/>
      <c r="J27" s="136"/>
      <c r="K27" s="136"/>
      <c r="L27" s="136"/>
      <c r="M27" s="136"/>
      <c r="N27" s="136"/>
    </row>
    <row r="29" spans="2:14" x14ac:dyDescent="0.35">
      <c r="B29" s="54" t="s">
        <v>709</v>
      </c>
    </row>
    <row r="31" spans="2:14" x14ac:dyDescent="0.35">
      <c r="B31" s="123" t="s">
        <v>738</v>
      </c>
      <c r="C31" s="56">
        <f>SUM('Action 2 Data'!D:D)</f>
        <v>17070579.029999997</v>
      </c>
    </row>
    <row r="32" spans="2:14" x14ac:dyDescent="0.35">
      <c r="B32" s="123" t="s">
        <v>714</v>
      </c>
      <c r="C32" s="55">
        <f>C18</f>
        <v>-3.3428254678252328E-3</v>
      </c>
    </row>
    <row r="33" spans="2:14" x14ac:dyDescent="0.35">
      <c r="B33" s="123" t="s">
        <v>258</v>
      </c>
      <c r="C33" s="56">
        <f>C31*C32</f>
        <v>-57063.966332007352</v>
      </c>
    </row>
    <row r="36" spans="2:14" x14ac:dyDescent="0.35">
      <c r="B36" s="18" t="s">
        <v>739</v>
      </c>
      <c r="C36" s="136"/>
      <c r="D36" s="136"/>
      <c r="E36" s="136"/>
      <c r="F36" s="136"/>
      <c r="G36" s="136"/>
      <c r="H36" s="136"/>
      <c r="I36" s="136"/>
      <c r="J36" s="136"/>
      <c r="K36" s="136"/>
      <c r="L36" s="136"/>
      <c r="M36" s="136"/>
      <c r="N36" s="136"/>
    </row>
    <row r="38" spans="2:14" x14ac:dyDescent="0.35">
      <c r="B38" s="54" t="s">
        <v>740</v>
      </c>
    </row>
    <row r="40" spans="2:14" x14ac:dyDescent="0.35">
      <c r="B40" s="153" t="s">
        <v>258</v>
      </c>
      <c r="C40" s="153" t="s">
        <v>717</v>
      </c>
      <c r="D40" s="153" t="s">
        <v>245</v>
      </c>
    </row>
    <row r="41" spans="2:14" x14ac:dyDescent="0.35">
      <c r="B41" s="56">
        <f>C33</f>
        <v>-57063.966332007352</v>
      </c>
      <c r="C41" s="6">
        <v>347</v>
      </c>
      <c r="D41" s="56">
        <f>B41*C41</f>
        <v>-19801196.31720655</v>
      </c>
    </row>
    <row r="43" spans="2:14" x14ac:dyDescent="0.35">
      <c r="B43" s="18" t="s">
        <v>741</v>
      </c>
      <c r="C43" s="136"/>
      <c r="D43" s="136"/>
      <c r="E43" s="136"/>
      <c r="F43" s="136"/>
      <c r="G43" s="136"/>
      <c r="H43" s="136"/>
      <c r="I43" s="136"/>
      <c r="J43" s="136"/>
      <c r="K43" s="136"/>
      <c r="L43" s="136"/>
      <c r="M43" s="136"/>
      <c r="N43" s="136"/>
    </row>
    <row r="45" spans="2:14" x14ac:dyDescent="0.35">
      <c r="B45" s="153" t="s">
        <v>742</v>
      </c>
      <c r="C45" s="56">
        <v>30</v>
      </c>
    </row>
    <row r="46" spans="2:14" x14ac:dyDescent="0.35">
      <c r="B46" s="153" t="s">
        <v>743</v>
      </c>
      <c r="C46" s="6">
        <f>('2.) Enhance Route ECR Frequency'!C26-'2.) Enhance Route ECR Frequency'!C25)*2</f>
        <v>2</v>
      </c>
    </row>
    <row r="47" spans="2:14" x14ac:dyDescent="0.35">
      <c r="B47" s="153" t="s">
        <v>744</v>
      </c>
      <c r="C47" s="56">
        <f>C45*C46*(24*C41)</f>
        <v>499680</v>
      </c>
    </row>
    <row r="49" spans="3:3" x14ac:dyDescent="0.35">
      <c r="C49" s="32"/>
    </row>
  </sheetData>
  <sheetProtection sheet="1" objects="1" scenarios="1"/>
  <pageMargins left="0.7" right="0.7" top="0.75" bottom="0.75" header="0.3" footer="0.3"/>
  <pageSetup orientation="portrait" verticalDpi="0"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21A11-654B-4DBB-A542-A7B43451663B}">
  <sheetPr>
    <tabColor theme="5"/>
  </sheetPr>
  <dimension ref="B2:P148"/>
  <sheetViews>
    <sheetView topLeftCell="A11" workbookViewId="0">
      <selection activeCell="C22" sqref="C22"/>
    </sheetView>
  </sheetViews>
  <sheetFormatPr defaultRowHeight="14.5" x14ac:dyDescent="0.35"/>
  <cols>
    <col min="2" max="2" width="59.1796875" customWidth="1"/>
    <col min="3" max="3" width="22.81640625" customWidth="1"/>
    <col min="4" max="4" width="30.54296875" customWidth="1"/>
    <col min="5" max="5" width="20.1796875" customWidth="1"/>
    <col min="6" max="6" width="16.54296875" customWidth="1"/>
  </cols>
  <sheetData>
    <row r="2" spans="2:16" ht="31" x14ac:dyDescent="0.7">
      <c r="B2" s="8" t="s">
        <v>168</v>
      </c>
    </row>
    <row r="4" spans="2:16" x14ac:dyDescent="0.35">
      <c r="B4" s="2" t="s">
        <v>745</v>
      </c>
    </row>
    <row r="6" spans="2:16" x14ac:dyDescent="0.35">
      <c r="B6" s="54" t="s">
        <v>746</v>
      </c>
    </row>
    <row r="7" spans="2:16" x14ac:dyDescent="0.35">
      <c r="B7" s="54" t="s">
        <v>747</v>
      </c>
    </row>
    <row r="9" spans="2:16" x14ac:dyDescent="0.35">
      <c r="B9" s="18" t="s">
        <v>748</v>
      </c>
      <c r="C9" s="136"/>
      <c r="D9" s="136"/>
      <c r="E9" s="136"/>
      <c r="F9" s="136"/>
      <c r="G9" s="136"/>
      <c r="H9" s="136"/>
      <c r="I9" s="136"/>
      <c r="J9" s="136"/>
      <c r="K9" s="136"/>
      <c r="L9" s="136"/>
      <c r="M9" s="136"/>
      <c r="N9" s="136"/>
      <c r="O9" s="136"/>
      <c r="P9" s="136"/>
    </row>
    <row r="11" spans="2:16" ht="43.5" x14ac:dyDescent="0.35">
      <c r="B11" s="35" t="s">
        <v>749</v>
      </c>
      <c r="C11" s="67" t="s">
        <v>298</v>
      </c>
      <c r="D11" s="67" t="s">
        <v>299</v>
      </c>
      <c r="E11" s="67" t="s">
        <v>300</v>
      </c>
      <c r="F11" s="67" t="s">
        <v>301</v>
      </c>
    </row>
    <row r="12" spans="2:16" x14ac:dyDescent="0.35">
      <c r="B12" s="36" t="s">
        <v>750</v>
      </c>
      <c r="C12" s="27">
        <f>SUMIFS('Action 3 Road Data'!$P$3:$P$304,'Action 3 Road Data'!$K$3:$K$304,1)/5280</f>
        <v>13.320984354698938</v>
      </c>
      <c r="D12" s="27">
        <f>SUMIFS('Action 3 Road Data'!$P$3:$P$304,'Action 3 Road Data'!$K$3:$K$304,1,'Action 3 Road Data'!$G$3:$G$304,"South San Francisco")/5280</f>
        <v>2.6782729856574914</v>
      </c>
      <c r="E12" s="27">
        <f>(SUMIFS('Action 3 Road Data'!$P$3:$P$304,'Action 3 Road Data'!$K$3:$K$304,1,'Action 3 Road Data'!$G$3:$G$304,"San Bruno")+SUMIFS('Action 3 Road Data'!$P$3:$P$304,'Action 3 Road Data'!$K$3:$K$304,1,'Action 3 Road Data'!$G$3:$G$304,"Millbrae"))/5280</f>
        <v>3.5242054677596917</v>
      </c>
      <c r="F12" s="27">
        <f>(SUMIFS('Action 3 Road Data'!$P$3:$P$304,'Action 3 Road Data'!$K$3:$K$304,1,'Action 3 Road Data'!$G$3:$G$304,"San Mateo")+SUMIFS('Action 3 Road Data'!$P$3:$P$304,'Action 3 Road Data'!$K$3:$K$304,1,'Action 3 Road Data'!$G$3:$G$304,"Belmont")+SUMIFS('Action 3 Road Data'!$P$3:$P$304,'Action 3 Road Data'!$K$3:$K$304,1,'Action 3 Road Data'!$G$3:$G$304,"San Carlos"))/5280</f>
        <v>3.1499246664575606</v>
      </c>
    </row>
    <row r="13" spans="2:16" x14ac:dyDescent="0.35">
      <c r="B13" s="36" t="s">
        <v>751</v>
      </c>
      <c r="C13" s="27">
        <f>SUMIFS('Action 3 Road Data'!$P$3:$P$304,'Action 3 Road Data'!$L$3:$L$304,1)/5280</f>
        <v>15.207794770767231</v>
      </c>
      <c r="D13" s="27">
        <f>SUMIFS('Action 3 Road Data'!$P$3:$P$304,'Action 3 Road Data'!$L$3:$L$304,1,'Action 3 Road Data'!$G$3:$G$304,"South San Francisco")/5280</f>
        <v>2.8184230283279184</v>
      </c>
      <c r="E13" s="27">
        <f>(SUMIFS('Action 3 Road Data'!$P$3:$P$304,'Action 3 Road Data'!$L$3:$L$304,1,'Action 3 Road Data'!$G$3:$G$304,"San Bruno")+SUMIFS('Action 3 Road Data'!$P$3:$P$304,'Action 3 Road Data'!$L$3:$L$304,1,'Action 3 Road Data'!$G$3:$G$304,"Millbrae"))/5280</f>
        <v>3.5242054677596917</v>
      </c>
      <c r="F13" s="27">
        <f>(SUMIFS('Action 3 Road Data'!$P$3:$P$304,'Action 3 Road Data'!$L$3:$L$304,1,'Action 3 Road Data'!$G$3:$G$304,"San Mateo")+SUMIFS('Action 3 Road Data'!$P$3:$P$304,'Action 3 Road Data'!$L$3:$L$304,1,'Action 3 Road Data'!$G$3:$G$304,"Belmont")+SUMIFS('Action 3 Road Data'!$P$3:$P$304,'Action 3 Road Data'!$L$3:$L$304,1,'Action 3 Road Data'!$G$3:$G$304,"San Carlos"))/5280</f>
        <v>4.3804509770289437</v>
      </c>
    </row>
    <row r="16" spans="2:16" x14ac:dyDescent="0.35">
      <c r="B16" s="2"/>
    </row>
    <row r="17" spans="2:16" x14ac:dyDescent="0.35">
      <c r="B17" s="26" t="s">
        <v>687</v>
      </c>
      <c r="C17" s="26" t="s">
        <v>688</v>
      </c>
      <c r="D17" s="26" t="s">
        <v>276</v>
      </c>
      <c r="E17" s="26" t="s">
        <v>689</v>
      </c>
    </row>
    <row r="18" spans="2:16" ht="30" customHeight="1" x14ac:dyDescent="0.35">
      <c r="B18" s="7" t="s">
        <v>752</v>
      </c>
      <c r="C18" s="58">
        <v>1</v>
      </c>
      <c r="D18" s="7" t="s">
        <v>691</v>
      </c>
      <c r="E18" s="7"/>
    </row>
    <row r="19" spans="2:16" ht="29" x14ac:dyDescent="0.35">
      <c r="B19" s="7" t="s">
        <v>753</v>
      </c>
      <c r="C19" s="46">
        <f>'3.) ECR Transit Priority'!M26</f>
        <v>0.25</v>
      </c>
      <c r="D19" s="7" t="s">
        <v>754</v>
      </c>
      <c r="E19" s="7"/>
    </row>
    <row r="20" spans="2:16" x14ac:dyDescent="0.35">
      <c r="B20" s="7" t="s">
        <v>755</v>
      </c>
      <c r="C20" s="34">
        <v>-0.4</v>
      </c>
      <c r="D20" s="7" t="s">
        <v>696</v>
      </c>
      <c r="E20" s="7"/>
    </row>
    <row r="21" spans="2:16" x14ac:dyDescent="0.35">
      <c r="B21" s="7" t="s">
        <v>698</v>
      </c>
      <c r="C21" s="47">
        <f>SUM('Action 3 TAZ Data'!F:F)/SUM('Action 3 TAZ Data'!H:H)</f>
        <v>3.3209415378667485E-2</v>
      </c>
      <c r="D21" s="7" t="s">
        <v>699</v>
      </c>
      <c r="E21" s="7" t="s">
        <v>700</v>
      </c>
    </row>
    <row r="22" spans="2:16" x14ac:dyDescent="0.35">
      <c r="B22" s="7" t="s">
        <v>701</v>
      </c>
      <c r="C22" s="47">
        <f>SUM('Action 3 TAZ Data'!G:G)/SUM('Action 3 TAZ Data'!H:H)</f>
        <v>0.82477965912714057</v>
      </c>
      <c r="D22" s="7" t="s">
        <v>699</v>
      </c>
      <c r="E22" s="7" t="s">
        <v>700</v>
      </c>
    </row>
    <row r="23" spans="2:16" x14ac:dyDescent="0.35">
      <c r="B23" s="7" t="s">
        <v>702</v>
      </c>
      <c r="C23" s="48">
        <v>0.57799999999999996</v>
      </c>
      <c r="D23" s="7" t="s">
        <v>696</v>
      </c>
      <c r="E23" s="7" t="s">
        <v>733</v>
      </c>
    </row>
    <row r="24" spans="2:16" ht="16" x14ac:dyDescent="0.45">
      <c r="B24" s="303" t="s">
        <v>704</v>
      </c>
      <c r="C24" s="29">
        <f xml:space="preserve"> -1*C18*C19*C20*C21*C23/C22</f>
        <v>2.3272933414948431E-3</v>
      </c>
    </row>
    <row r="25" spans="2:16" x14ac:dyDescent="0.35">
      <c r="E25" s="30"/>
    </row>
    <row r="26" spans="2:16" ht="16" x14ac:dyDescent="0.45">
      <c r="B26" s="66" t="s">
        <v>705</v>
      </c>
      <c r="C26" s="33"/>
    </row>
    <row r="27" spans="2:16" ht="16" x14ac:dyDescent="0.45">
      <c r="B27" s="371" t="s">
        <v>706</v>
      </c>
      <c r="C27" s="31" t="s">
        <v>756</v>
      </c>
    </row>
    <row r="29" spans="2:16" x14ac:dyDescent="0.35">
      <c r="B29" s="18" t="s">
        <v>757</v>
      </c>
      <c r="C29" s="136"/>
      <c r="D29" s="136"/>
      <c r="E29" s="136"/>
      <c r="F29" s="136"/>
      <c r="G29" s="136"/>
      <c r="H29" s="136"/>
      <c r="I29" s="136"/>
      <c r="J29" s="136"/>
      <c r="K29" s="136"/>
      <c r="L29" s="136"/>
      <c r="M29" s="136"/>
      <c r="N29" s="136"/>
      <c r="O29" s="136"/>
      <c r="P29" s="136"/>
    </row>
    <row r="31" spans="2:16" x14ac:dyDescent="0.35">
      <c r="B31" s="54" t="s">
        <v>709</v>
      </c>
    </row>
    <row r="32" spans="2:16" x14ac:dyDescent="0.35">
      <c r="B32" s="54"/>
    </row>
    <row r="33" spans="2:3" x14ac:dyDescent="0.35">
      <c r="B33" s="116" t="s">
        <v>758</v>
      </c>
    </row>
    <row r="34" spans="2:3" x14ac:dyDescent="0.35">
      <c r="B34" s="123" t="s">
        <v>759</v>
      </c>
      <c r="C34" s="6">
        <f>COUNT('Action 3 TAZ Data'!D:D)</f>
        <v>132</v>
      </c>
    </row>
    <row r="35" spans="2:3" x14ac:dyDescent="0.35">
      <c r="B35" s="123" t="s">
        <v>711</v>
      </c>
      <c r="C35" s="56">
        <f>SUM('Action 3 TAZ Data'!O:O)</f>
        <v>261518</v>
      </c>
    </row>
    <row r="36" spans="2:3" x14ac:dyDescent="0.35">
      <c r="B36" s="123" t="s">
        <v>760</v>
      </c>
      <c r="C36" s="56">
        <f>SUM('Action 3 TAZ Data'!P:P)</f>
        <v>12039070.500000002</v>
      </c>
    </row>
    <row r="38" spans="2:3" x14ac:dyDescent="0.35">
      <c r="B38" s="116" t="s">
        <v>299</v>
      </c>
    </row>
    <row r="39" spans="2:3" x14ac:dyDescent="0.35">
      <c r="B39" s="123" t="s">
        <v>759</v>
      </c>
      <c r="C39" s="6">
        <f>COUNT('Action 3 TAZ Data'!AC4:AC21)</f>
        <v>18</v>
      </c>
    </row>
    <row r="40" spans="2:3" x14ac:dyDescent="0.35">
      <c r="B40" s="123" t="s">
        <v>711</v>
      </c>
      <c r="C40" s="56">
        <f>SUM('Action 3 TAZ Data'!AC4:AC21)</f>
        <v>43735</v>
      </c>
    </row>
    <row r="41" spans="2:3" x14ac:dyDescent="0.35">
      <c r="B41" s="123" t="s">
        <v>760</v>
      </c>
      <c r="C41" s="56">
        <f>SUM('Action 3 TAZ Data'!AD4:AD21)</f>
        <v>1354214.92</v>
      </c>
    </row>
    <row r="43" spans="2:3" x14ac:dyDescent="0.35">
      <c r="B43" s="116" t="s">
        <v>761</v>
      </c>
    </row>
    <row r="44" spans="2:3" x14ac:dyDescent="0.35">
      <c r="B44" s="123" t="s">
        <v>759</v>
      </c>
      <c r="C44" s="6">
        <f>COUNT('Action 3 TAZ Data'!U27:U48)</f>
        <v>22</v>
      </c>
    </row>
    <row r="45" spans="2:3" x14ac:dyDescent="0.35">
      <c r="B45" s="123" t="s">
        <v>711</v>
      </c>
      <c r="C45" s="56">
        <f>SUM('Action 3 TAZ Data'!AC27:AC48)</f>
        <v>39780</v>
      </c>
    </row>
    <row r="46" spans="2:3" x14ac:dyDescent="0.35">
      <c r="B46" s="123" t="s">
        <v>760</v>
      </c>
      <c r="C46" s="56">
        <f>SUM('Action 3 TAZ Data'!AD27:AD48)</f>
        <v>1751202.28</v>
      </c>
    </row>
    <row r="48" spans="2:3" x14ac:dyDescent="0.35">
      <c r="B48" s="116" t="s">
        <v>762</v>
      </c>
    </row>
    <row r="49" spans="2:16" x14ac:dyDescent="0.35">
      <c r="B49" s="123" t="s">
        <v>759</v>
      </c>
      <c r="C49" s="6">
        <f>COUNT('Action 3 TAZ Data'!U53:U83)</f>
        <v>31</v>
      </c>
    </row>
    <row r="50" spans="2:16" x14ac:dyDescent="0.35">
      <c r="B50" s="123" t="s">
        <v>711</v>
      </c>
      <c r="C50" s="56">
        <f>SUM('Action 3 TAZ Data'!AC53:AC83)</f>
        <v>70218</v>
      </c>
    </row>
    <row r="51" spans="2:16" x14ac:dyDescent="0.35">
      <c r="B51" s="123" t="s">
        <v>760</v>
      </c>
      <c r="C51" s="56">
        <f>SUM('Action 3 TAZ Data'!AD53:AD83)</f>
        <v>3507364.59</v>
      </c>
    </row>
    <row r="54" spans="2:16" x14ac:dyDescent="0.35">
      <c r="B54" s="18" t="s">
        <v>763</v>
      </c>
      <c r="C54" s="136"/>
      <c r="D54" s="136"/>
      <c r="E54" s="136"/>
      <c r="F54" s="136"/>
      <c r="G54" s="136"/>
      <c r="H54" s="136"/>
      <c r="I54" s="136"/>
      <c r="J54" s="136"/>
      <c r="K54" s="136"/>
      <c r="L54" s="136"/>
      <c r="M54" s="136"/>
      <c r="N54" s="136"/>
      <c r="O54" s="136"/>
      <c r="P54" s="136"/>
    </row>
    <row r="56" spans="2:16" x14ac:dyDescent="0.35">
      <c r="B56" s="116" t="s">
        <v>758</v>
      </c>
    </row>
    <row r="57" spans="2:16" x14ac:dyDescent="0.35">
      <c r="B57" s="123" t="s">
        <v>760</v>
      </c>
      <c r="C57" s="56">
        <f>C36</f>
        <v>12039070.500000002</v>
      </c>
    </row>
    <row r="58" spans="2:16" x14ac:dyDescent="0.35">
      <c r="B58" s="123" t="s">
        <v>714</v>
      </c>
      <c r="C58" s="55">
        <f>C24</f>
        <v>2.3272933414948431E-3</v>
      </c>
    </row>
    <row r="59" spans="2:16" x14ac:dyDescent="0.35">
      <c r="B59" s="123" t="s">
        <v>258</v>
      </c>
      <c r="C59" s="56">
        <f>C57*C58</f>
        <v>28018.448612436994</v>
      </c>
    </row>
    <row r="61" spans="2:16" x14ac:dyDescent="0.35">
      <c r="B61" s="116" t="s">
        <v>299</v>
      </c>
    </row>
    <row r="62" spans="2:16" x14ac:dyDescent="0.35">
      <c r="B62" s="123" t="s">
        <v>760</v>
      </c>
      <c r="C62" s="56">
        <f>C41</f>
        <v>1354214.92</v>
      </c>
    </row>
    <row r="63" spans="2:16" x14ac:dyDescent="0.35">
      <c r="B63" s="123" t="s">
        <v>714</v>
      </c>
      <c r="C63" s="55">
        <f>C24</f>
        <v>2.3272933414948431E-3</v>
      </c>
    </row>
    <row r="64" spans="2:16" x14ac:dyDescent="0.35">
      <c r="B64" s="123" t="s">
        <v>258</v>
      </c>
      <c r="C64" s="56">
        <f>C62*C63</f>
        <v>3151.6553662689712</v>
      </c>
    </row>
    <row r="66" spans="2:16" x14ac:dyDescent="0.35">
      <c r="B66" s="116" t="s">
        <v>761</v>
      </c>
    </row>
    <row r="67" spans="2:16" x14ac:dyDescent="0.35">
      <c r="B67" s="123" t="s">
        <v>760</v>
      </c>
      <c r="C67" s="56">
        <f>C46</f>
        <v>1751202.28</v>
      </c>
    </row>
    <row r="68" spans="2:16" x14ac:dyDescent="0.35">
      <c r="B68" s="123" t="s">
        <v>714</v>
      </c>
      <c r="C68" s="55">
        <f>C24</f>
        <v>2.3272933414948431E-3</v>
      </c>
    </row>
    <row r="69" spans="2:16" x14ac:dyDescent="0.35">
      <c r="B69" s="123" t="s">
        <v>258</v>
      </c>
      <c r="C69" s="56">
        <f>C67*C68</f>
        <v>4075.561405854588</v>
      </c>
    </row>
    <row r="70" spans="2:16" x14ac:dyDescent="0.35">
      <c r="B70" s="2"/>
      <c r="C70" s="51"/>
    </row>
    <row r="71" spans="2:16" x14ac:dyDescent="0.35">
      <c r="B71" s="116" t="s">
        <v>762</v>
      </c>
    </row>
    <row r="72" spans="2:16" x14ac:dyDescent="0.35">
      <c r="B72" s="123" t="s">
        <v>760</v>
      </c>
      <c r="C72" s="56">
        <f>C51</f>
        <v>3507364.59</v>
      </c>
    </row>
    <row r="73" spans="2:16" x14ac:dyDescent="0.35">
      <c r="B73" s="123" t="s">
        <v>714</v>
      </c>
      <c r="C73" s="55">
        <f>C24</f>
        <v>2.3272933414948431E-3</v>
      </c>
    </row>
    <row r="74" spans="2:16" x14ac:dyDescent="0.35">
      <c r="B74" s="123" t="s">
        <v>258</v>
      </c>
      <c r="C74" s="56">
        <f>C72*C73</f>
        <v>8162.6662565017896</v>
      </c>
    </row>
    <row r="77" spans="2:16" x14ac:dyDescent="0.35">
      <c r="B77" s="18" t="s">
        <v>764</v>
      </c>
      <c r="C77" s="136"/>
      <c r="D77" s="136"/>
      <c r="E77" s="136"/>
      <c r="F77" s="136"/>
      <c r="G77" s="136"/>
      <c r="H77" s="136"/>
      <c r="I77" s="136"/>
      <c r="J77" s="136"/>
      <c r="K77" s="136"/>
      <c r="L77" s="136"/>
      <c r="M77" s="136"/>
      <c r="N77" s="136"/>
      <c r="O77" s="136"/>
      <c r="P77" s="136"/>
    </row>
    <row r="79" spans="2:16" x14ac:dyDescent="0.35">
      <c r="B79" s="54" t="s">
        <v>740</v>
      </c>
    </row>
    <row r="81" spans="2:4" x14ac:dyDescent="0.35">
      <c r="B81" s="116" t="s">
        <v>758</v>
      </c>
    </row>
    <row r="82" spans="2:4" x14ac:dyDescent="0.35">
      <c r="B82" s="153" t="s">
        <v>258</v>
      </c>
      <c r="C82" s="153" t="s">
        <v>717</v>
      </c>
      <c r="D82" s="153" t="s">
        <v>245</v>
      </c>
    </row>
    <row r="83" spans="2:4" x14ac:dyDescent="0.35">
      <c r="B83" s="56">
        <f>-C59</f>
        <v>-28018.448612436994</v>
      </c>
      <c r="C83" s="6">
        <v>347</v>
      </c>
      <c r="D83" s="56">
        <f>B83*C83</f>
        <v>-9722401.6685156375</v>
      </c>
    </row>
    <row r="85" spans="2:4" x14ac:dyDescent="0.35">
      <c r="B85" s="116" t="s">
        <v>299</v>
      </c>
    </row>
    <row r="86" spans="2:4" x14ac:dyDescent="0.35">
      <c r="B86" s="153" t="s">
        <v>258</v>
      </c>
      <c r="C86" s="153" t="s">
        <v>717</v>
      </c>
      <c r="D86" s="153" t="s">
        <v>245</v>
      </c>
    </row>
    <row r="87" spans="2:4" x14ac:dyDescent="0.35">
      <c r="B87" s="56">
        <f>-C64</f>
        <v>-3151.6553662689712</v>
      </c>
      <c r="C87" s="6">
        <v>347</v>
      </c>
      <c r="D87" s="56">
        <f>B87*C87</f>
        <v>-1093624.412095333</v>
      </c>
    </row>
    <row r="89" spans="2:4" x14ac:dyDescent="0.35">
      <c r="B89" s="116" t="s">
        <v>761</v>
      </c>
    </row>
    <row r="90" spans="2:4" x14ac:dyDescent="0.35">
      <c r="B90" s="153" t="s">
        <v>258</v>
      </c>
      <c r="C90" s="153" t="s">
        <v>717</v>
      </c>
      <c r="D90" s="153" t="s">
        <v>245</v>
      </c>
    </row>
    <row r="91" spans="2:4" x14ac:dyDescent="0.35">
      <c r="B91" s="56">
        <f>-C69</f>
        <v>-4075.561405854588</v>
      </c>
      <c r="C91" s="6">
        <v>347</v>
      </c>
      <c r="D91" s="56">
        <f>B91*C91</f>
        <v>-1414219.8078315421</v>
      </c>
    </row>
    <row r="93" spans="2:4" x14ac:dyDescent="0.35">
      <c r="B93" s="116" t="s">
        <v>762</v>
      </c>
    </row>
    <row r="94" spans="2:4" x14ac:dyDescent="0.35">
      <c r="B94" s="153" t="s">
        <v>258</v>
      </c>
      <c r="C94" s="153" t="s">
        <v>717</v>
      </c>
      <c r="D94" s="153" t="s">
        <v>245</v>
      </c>
    </row>
    <row r="95" spans="2:4" x14ac:dyDescent="0.35">
      <c r="B95" s="56">
        <f>-C74</f>
        <v>-8162.6662565017896</v>
      </c>
      <c r="C95" s="6">
        <v>347</v>
      </c>
      <c r="D95" s="56">
        <f>B95*C95</f>
        <v>-2832445.1910061208</v>
      </c>
    </row>
    <row r="98" spans="2:16" x14ac:dyDescent="0.35">
      <c r="B98" s="18" t="s">
        <v>765</v>
      </c>
      <c r="C98" s="136"/>
      <c r="D98" s="136"/>
      <c r="E98" s="136"/>
      <c r="F98" s="136"/>
      <c r="G98" s="136"/>
      <c r="H98" s="136"/>
      <c r="I98" s="136"/>
      <c r="J98" s="136"/>
      <c r="K98" s="136"/>
      <c r="L98" s="136"/>
      <c r="M98" s="136"/>
      <c r="N98" s="136"/>
      <c r="O98" s="136"/>
      <c r="P98" s="136"/>
    </row>
    <row r="100" spans="2:16" x14ac:dyDescent="0.35">
      <c r="B100" s="54" t="s">
        <v>766</v>
      </c>
    </row>
    <row r="101" spans="2:16" x14ac:dyDescent="0.35">
      <c r="B101" s="54" t="s">
        <v>767</v>
      </c>
    </row>
    <row r="103" spans="2:16" x14ac:dyDescent="0.35">
      <c r="B103" s="54" t="s">
        <v>768</v>
      </c>
    </row>
    <row r="104" spans="2:16" x14ac:dyDescent="0.35">
      <c r="B104" s="54" t="s">
        <v>769</v>
      </c>
    </row>
    <row r="107" spans="2:16" x14ac:dyDescent="0.35">
      <c r="B107" s="116" t="s">
        <v>758</v>
      </c>
    </row>
    <row r="108" spans="2:16" x14ac:dyDescent="0.35">
      <c r="B108" s="153" t="s">
        <v>770</v>
      </c>
      <c r="C108" s="180">
        <v>-55900000</v>
      </c>
    </row>
    <row r="110" spans="2:16" x14ac:dyDescent="0.35">
      <c r="B110" s="54" t="s">
        <v>194</v>
      </c>
    </row>
    <row r="111" spans="2:16" x14ac:dyDescent="0.35">
      <c r="B111" s="153" t="s">
        <v>195</v>
      </c>
      <c r="C111" s="6">
        <v>2016</v>
      </c>
    </row>
    <row r="112" spans="2:16" x14ac:dyDescent="0.35">
      <c r="B112" s="153" t="s">
        <v>196</v>
      </c>
      <c r="C112" s="279" t="s">
        <v>771</v>
      </c>
    </row>
    <row r="113" spans="2:3" x14ac:dyDescent="0.35">
      <c r="B113" s="153" t="s">
        <v>772</v>
      </c>
      <c r="C113" s="279" t="s">
        <v>382</v>
      </c>
    </row>
    <row r="114" spans="2:3" x14ac:dyDescent="0.35">
      <c r="B114" s="153" t="s">
        <v>200</v>
      </c>
      <c r="C114" s="27">
        <f>C12</f>
        <v>13.320984354698938</v>
      </c>
    </row>
    <row r="115" spans="2:3" x14ac:dyDescent="0.35">
      <c r="B115" s="54" t="s">
        <v>201</v>
      </c>
    </row>
    <row r="118" spans="2:3" x14ac:dyDescent="0.35">
      <c r="B118" s="116" t="s">
        <v>299</v>
      </c>
    </row>
    <row r="119" spans="2:3" x14ac:dyDescent="0.35">
      <c r="B119" s="153" t="s">
        <v>770</v>
      </c>
      <c r="C119" s="180">
        <v>-11200000</v>
      </c>
    </row>
    <row r="121" spans="2:3" x14ac:dyDescent="0.35">
      <c r="B121" s="54" t="s">
        <v>194</v>
      </c>
    </row>
    <row r="122" spans="2:3" x14ac:dyDescent="0.35">
      <c r="B122" s="153" t="s">
        <v>195</v>
      </c>
      <c r="C122" s="6">
        <v>2016</v>
      </c>
    </row>
    <row r="123" spans="2:3" x14ac:dyDescent="0.35">
      <c r="B123" s="153" t="s">
        <v>196</v>
      </c>
      <c r="C123" s="279" t="s">
        <v>771</v>
      </c>
    </row>
    <row r="124" spans="2:3" x14ac:dyDescent="0.35">
      <c r="B124" s="153" t="s">
        <v>772</v>
      </c>
      <c r="C124" s="279" t="s">
        <v>382</v>
      </c>
    </row>
    <row r="125" spans="2:3" x14ac:dyDescent="0.35">
      <c r="B125" s="153" t="s">
        <v>200</v>
      </c>
      <c r="C125" s="27">
        <f>D12</f>
        <v>2.6782729856574914</v>
      </c>
    </row>
    <row r="126" spans="2:3" x14ac:dyDescent="0.35">
      <c r="B126" s="54" t="s">
        <v>201</v>
      </c>
    </row>
    <row r="129" spans="2:3" x14ac:dyDescent="0.35">
      <c r="B129" s="116" t="s">
        <v>761</v>
      </c>
    </row>
    <row r="130" spans="2:3" x14ac:dyDescent="0.35">
      <c r="B130" s="153" t="s">
        <v>770</v>
      </c>
      <c r="C130" s="180">
        <v>-14800000</v>
      </c>
    </row>
    <row r="132" spans="2:3" x14ac:dyDescent="0.35">
      <c r="B132" s="54" t="s">
        <v>194</v>
      </c>
    </row>
    <row r="133" spans="2:3" x14ac:dyDescent="0.35">
      <c r="B133" s="153" t="s">
        <v>195</v>
      </c>
      <c r="C133" s="6">
        <v>2016</v>
      </c>
    </row>
    <row r="134" spans="2:3" x14ac:dyDescent="0.35">
      <c r="B134" s="153" t="s">
        <v>196</v>
      </c>
      <c r="C134" s="279" t="s">
        <v>771</v>
      </c>
    </row>
    <row r="135" spans="2:3" x14ac:dyDescent="0.35">
      <c r="B135" s="153" t="s">
        <v>772</v>
      </c>
      <c r="C135" s="279" t="s">
        <v>382</v>
      </c>
    </row>
    <row r="136" spans="2:3" x14ac:dyDescent="0.35">
      <c r="B136" s="153" t="s">
        <v>200</v>
      </c>
      <c r="C136" s="27">
        <f>E12</f>
        <v>3.5242054677596917</v>
      </c>
    </row>
    <row r="137" spans="2:3" x14ac:dyDescent="0.35">
      <c r="B137" s="54" t="s">
        <v>201</v>
      </c>
    </row>
    <row r="140" spans="2:3" x14ac:dyDescent="0.35">
      <c r="B140" s="116" t="s">
        <v>762</v>
      </c>
    </row>
    <row r="141" spans="2:3" x14ac:dyDescent="0.35">
      <c r="B141" s="153" t="s">
        <v>770</v>
      </c>
      <c r="C141" s="180">
        <v>-13200000</v>
      </c>
    </row>
    <row r="143" spans="2:3" x14ac:dyDescent="0.35">
      <c r="B143" s="54" t="s">
        <v>194</v>
      </c>
    </row>
    <row r="144" spans="2:3" x14ac:dyDescent="0.35">
      <c r="B144" s="153" t="s">
        <v>195</v>
      </c>
      <c r="C144" s="6">
        <v>2016</v>
      </c>
    </row>
    <row r="145" spans="2:3" x14ac:dyDescent="0.35">
      <c r="B145" s="153" t="s">
        <v>196</v>
      </c>
      <c r="C145" s="279" t="s">
        <v>771</v>
      </c>
    </row>
    <row r="146" spans="2:3" x14ac:dyDescent="0.35">
      <c r="B146" s="153" t="s">
        <v>772</v>
      </c>
      <c r="C146" s="279" t="s">
        <v>382</v>
      </c>
    </row>
    <row r="147" spans="2:3" x14ac:dyDescent="0.35">
      <c r="B147" s="153" t="s">
        <v>200</v>
      </c>
      <c r="C147" s="27">
        <f>F12</f>
        <v>3.1499246664575606</v>
      </c>
    </row>
    <row r="148" spans="2:3" x14ac:dyDescent="0.35">
      <c r="B148" s="54" t="s">
        <v>201</v>
      </c>
    </row>
  </sheetData>
  <sheetProtection sheet="1" objects="1" scenarios="1"/>
  <pageMargins left="0.7" right="0.7" top="0.75" bottom="0.75" header="0.3" footer="0.3"/>
  <pageSetup orientation="portrait" horizontalDpi="1200"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0C0D-F1CE-4F3B-AA84-7FF848E3D747}">
  <sheetPr>
    <tabColor theme="5"/>
  </sheetPr>
  <dimension ref="B2:AV39"/>
  <sheetViews>
    <sheetView topLeftCell="M14" workbookViewId="0">
      <selection activeCell="P27" sqref="P27"/>
    </sheetView>
  </sheetViews>
  <sheetFormatPr defaultRowHeight="14.5" x14ac:dyDescent="0.35"/>
  <cols>
    <col min="2" max="2" width="44.1796875" customWidth="1"/>
    <col min="3" max="3" width="20.1796875" customWidth="1"/>
    <col min="4" max="4" width="21.1796875" customWidth="1"/>
    <col min="5" max="5" width="25" customWidth="1"/>
    <col min="6" max="6" width="14.81640625" customWidth="1"/>
    <col min="7" max="7" width="12.7265625" customWidth="1"/>
    <col min="8" max="9" width="12.1796875" customWidth="1"/>
    <col min="10" max="10" width="10.81640625" customWidth="1"/>
    <col min="11" max="11" width="12.453125" customWidth="1"/>
    <col min="14" max="14" width="21.7265625" customWidth="1"/>
    <col min="17" max="17" width="12.7265625" customWidth="1"/>
    <col min="22" max="22" width="14.26953125" customWidth="1"/>
    <col min="23" max="23" width="10.453125" customWidth="1"/>
    <col min="24" max="24" width="16.7265625" customWidth="1"/>
    <col min="25" max="25" width="11" customWidth="1"/>
    <col min="27" max="27" width="15" customWidth="1"/>
    <col min="29" max="29" width="10.26953125" customWidth="1"/>
    <col min="30" max="30" width="11.26953125" customWidth="1"/>
    <col min="31" max="31" width="12.1796875" customWidth="1"/>
    <col min="32" max="32" width="12.54296875" customWidth="1"/>
    <col min="34" max="34" width="11.1796875" customWidth="1"/>
    <col min="35" max="35" width="10.7265625" customWidth="1"/>
    <col min="36" max="36" width="11.1796875" customWidth="1"/>
    <col min="38" max="38" width="9.81640625" bestFit="1" customWidth="1"/>
    <col min="39" max="39" width="18.453125" customWidth="1"/>
    <col min="40" max="40" width="24" customWidth="1"/>
    <col min="41" max="41" width="12" customWidth="1"/>
    <col min="42" max="44" width="13.54296875" customWidth="1"/>
    <col min="45" max="45" width="10.7265625" customWidth="1"/>
    <col min="46" max="46" width="9.1796875" customWidth="1"/>
    <col min="47" max="47" width="12" customWidth="1"/>
  </cols>
  <sheetData>
    <row r="2" spans="2:46" ht="31" x14ac:dyDescent="0.7">
      <c r="B2" s="8" t="s">
        <v>171</v>
      </c>
    </row>
    <row r="3" spans="2:46" x14ac:dyDescent="0.35">
      <c r="AT3" t="s">
        <v>148</v>
      </c>
    </row>
    <row r="4" spans="2:46" x14ac:dyDescent="0.35">
      <c r="B4" s="54" t="s">
        <v>773</v>
      </c>
      <c r="AT4" t="s">
        <v>149</v>
      </c>
    </row>
    <row r="5" spans="2:46" x14ac:dyDescent="0.35">
      <c r="B5" s="54" t="s">
        <v>292</v>
      </c>
    </row>
    <row r="7" spans="2:46" x14ac:dyDescent="0.35">
      <c r="B7" s="54" t="s">
        <v>774</v>
      </c>
    </row>
    <row r="8" spans="2:46" x14ac:dyDescent="0.35">
      <c r="B8" s="2"/>
      <c r="C8" s="51"/>
    </row>
    <row r="9" spans="2:46" x14ac:dyDescent="0.35">
      <c r="B9" s="2"/>
      <c r="C9" s="51"/>
    </row>
    <row r="11" spans="2:46" ht="43.5" x14ac:dyDescent="0.35">
      <c r="Q11" s="324" t="s">
        <v>775</v>
      </c>
      <c r="R11" s="6">
        <v>2.5</v>
      </c>
      <c r="Z11" s="339" t="s">
        <v>776</v>
      </c>
      <c r="AA11" s="6">
        <v>347</v>
      </c>
      <c r="AD11" s="345" t="s">
        <v>777</v>
      </c>
      <c r="AE11" s="6">
        <v>-0.28599999999999998</v>
      </c>
      <c r="AI11" t="s">
        <v>778</v>
      </c>
      <c r="AJ11" s="30">
        <f>'VMT by City'!B3</f>
        <v>12.246712611175075</v>
      </c>
    </row>
    <row r="12" spans="2:46" x14ac:dyDescent="0.35">
      <c r="X12" s="466" t="s">
        <v>779</v>
      </c>
      <c r="Y12" s="334">
        <v>-0.22</v>
      </c>
    </row>
    <row r="14" spans="2:46" ht="45" customHeight="1" x14ac:dyDescent="0.35">
      <c r="B14" s="529" t="s">
        <v>780</v>
      </c>
      <c r="C14" s="531"/>
      <c r="D14" s="532" t="s">
        <v>781</v>
      </c>
      <c r="E14" s="533"/>
      <c r="F14" s="533"/>
      <c r="G14" s="533"/>
      <c r="H14" s="533"/>
      <c r="I14" s="534"/>
      <c r="J14" s="530" t="s">
        <v>782</v>
      </c>
      <c r="K14" s="530"/>
      <c r="L14" s="530"/>
      <c r="M14" s="531"/>
      <c r="N14" s="529" t="s">
        <v>783</v>
      </c>
      <c r="O14" s="530"/>
      <c r="P14" s="530"/>
      <c r="Q14" s="530"/>
      <c r="R14" s="530"/>
      <c r="S14" s="530"/>
      <c r="T14" s="530"/>
      <c r="U14" s="531"/>
      <c r="V14" s="526" t="s">
        <v>784</v>
      </c>
      <c r="W14" s="526"/>
      <c r="X14" s="526" t="s">
        <v>785</v>
      </c>
      <c r="Y14" s="526"/>
      <c r="Z14" s="526"/>
      <c r="AA14" s="526"/>
      <c r="AB14" s="526"/>
      <c r="AC14" s="526"/>
      <c r="AD14" s="526" t="s">
        <v>786</v>
      </c>
      <c r="AE14" s="527"/>
      <c r="AF14" s="527"/>
      <c r="AG14" s="527"/>
      <c r="AH14" s="528"/>
      <c r="AI14" s="526" t="s">
        <v>787</v>
      </c>
      <c r="AJ14" s="527"/>
      <c r="AK14" s="527"/>
      <c r="AL14" s="528"/>
      <c r="AM14" s="526" t="s">
        <v>788</v>
      </c>
      <c r="AN14" s="528"/>
    </row>
    <row r="15" spans="2:46" ht="105" customHeight="1" x14ac:dyDescent="0.35">
      <c r="B15" s="479" t="s">
        <v>789</v>
      </c>
      <c r="C15" s="480"/>
      <c r="D15" s="477" t="s">
        <v>790</v>
      </c>
      <c r="E15" s="478"/>
      <c r="F15" s="478"/>
      <c r="G15" s="478"/>
      <c r="H15" s="478"/>
      <c r="I15" s="478"/>
      <c r="J15" s="473" t="s">
        <v>791</v>
      </c>
      <c r="K15" s="474"/>
      <c r="L15" s="475" t="s">
        <v>792</v>
      </c>
      <c r="M15" s="476"/>
      <c r="N15" s="470" t="s">
        <v>793</v>
      </c>
      <c r="O15" s="148"/>
      <c r="P15" s="471"/>
      <c r="Q15" s="471"/>
      <c r="R15" s="471"/>
      <c r="S15" s="471"/>
      <c r="T15" s="471"/>
      <c r="U15" s="472"/>
      <c r="V15" s="326" t="s">
        <v>794</v>
      </c>
      <c r="W15" s="327"/>
      <c r="X15" s="331" t="s">
        <v>795</v>
      </c>
      <c r="Y15" s="330"/>
      <c r="Z15" s="330"/>
      <c r="AA15" s="330"/>
      <c r="AB15" s="330"/>
      <c r="AC15" s="330"/>
      <c r="AD15" s="343" t="s">
        <v>796</v>
      </c>
      <c r="AE15" s="341"/>
      <c r="AF15" s="341"/>
      <c r="AG15" s="341"/>
      <c r="AH15" s="342"/>
      <c r="AI15" s="523" t="s">
        <v>797</v>
      </c>
      <c r="AJ15" s="524"/>
      <c r="AK15" s="524"/>
      <c r="AL15" s="525"/>
      <c r="AM15" s="109" t="s">
        <v>798</v>
      </c>
      <c r="AN15" s="170"/>
    </row>
    <row r="16" spans="2:46" ht="72.5" x14ac:dyDescent="0.35">
      <c r="B16" s="105" t="s">
        <v>799</v>
      </c>
      <c r="C16" s="105" t="s">
        <v>409</v>
      </c>
      <c r="D16" s="106" t="s">
        <v>408</v>
      </c>
      <c r="E16" s="106" t="s">
        <v>800</v>
      </c>
      <c r="F16" s="106" t="s">
        <v>435</v>
      </c>
      <c r="G16" s="106" t="s">
        <v>801</v>
      </c>
      <c r="H16" s="106" t="s">
        <v>802</v>
      </c>
      <c r="I16" s="106" t="s">
        <v>803</v>
      </c>
      <c r="J16" s="108" t="s">
        <v>437</v>
      </c>
      <c r="K16" s="108" t="s">
        <v>804</v>
      </c>
      <c r="L16" s="319" t="s">
        <v>805</v>
      </c>
      <c r="M16" s="319" t="s">
        <v>806</v>
      </c>
      <c r="N16" s="321" t="s">
        <v>807</v>
      </c>
      <c r="O16" s="321" t="s">
        <v>808</v>
      </c>
      <c r="P16" s="321" t="s">
        <v>809</v>
      </c>
      <c r="Q16" s="321" t="s">
        <v>810</v>
      </c>
      <c r="R16" s="321" t="s">
        <v>811</v>
      </c>
      <c r="S16" s="321" t="s">
        <v>812</v>
      </c>
      <c r="T16" s="321"/>
      <c r="U16" s="321" t="s">
        <v>813</v>
      </c>
      <c r="V16" s="328" t="s">
        <v>814</v>
      </c>
      <c r="W16" s="328" t="s">
        <v>815</v>
      </c>
      <c r="X16" s="333" t="s">
        <v>816</v>
      </c>
      <c r="Y16" s="333" t="s">
        <v>817</v>
      </c>
      <c r="Z16" s="329" t="s">
        <v>818</v>
      </c>
      <c r="AA16" s="337" t="s">
        <v>819</v>
      </c>
      <c r="AB16" s="337" t="s">
        <v>820</v>
      </c>
      <c r="AC16" s="337" t="s">
        <v>821</v>
      </c>
      <c r="AD16" s="344" t="s">
        <v>822</v>
      </c>
      <c r="AE16" s="340" t="s">
        <v>823</v>
      </c>
      <c r="AF16" s="340" t="s">
        <v>824</v>
      </c>
      <c r="AG16" s="340" t="s">
        <v>820</v>
      </c>
      <c r="AH16" s="340" t="s">
        <v>821</v>
      </c>
      <c r="AI16" s="321" t="s">
        <v>825</v>
      </c>
      <c r="AJ16" s="321" t="s">
        <v>826</v>
      </c>
      <c r="AK16" s="321" t="s">
        <v>820</v>
      </c>
      <c r="AL16" s="321" t="s">
        <v>821</v>
      </c>
      <c r="AM16" s="346" t="s">
        <v>827</v>
      </c>
      <c r="AN16" s="346" t="s">
        <v>828</v>
      </c>
      <c r="AO16" s="451"/>
      <c r="AP16" s="451" t="s">
        <v>829</v>
      </c>
      <c r="AQ16" s="451" t="s">
        <v>830</v>
      </c>
      <c r="AR16" s="451" t="s">
        <v>831</v>
      </c>
      <c r="AS16" s="451" t="s">
        <v>832</v>
      </c>
    </row>
    <row r="17" spans="2:48" x14ac:dyDescent="0.35">
      <c r="B17" s="6" t="s">
        <v>833</v>
      </c>
      <c r="C17" s="6" t="s">
        <v>299</v>
      </c>
      <c r="D17" s="24">
        <v>1914</v>
      </c>
      <c r="E17" s="6" t="s">
        <v>299</v>
      </c>
      <c r="F17" s="40">
        <f>_xlfn.XLOOKUP(D17,'Model VMT by TAZ'!$A:$A,'Model VMT by TAZ'!$J:$J)</f>
        <v>3591</v>
      </c>
      <c r="G17" s="40">
        <f>_xlfn.XLOOKUP(D17,'Other Model Data by TAZ'!$A:$A,'Other Model Data by TAZ'!$E:$E)</f>
        <v>1225</v>
      </c>
      <c r="H17" s="40">
        <f>_xlfn.XLOOKUP(D17,'Other Model Data by TAZ'!$A:$A,'Other Model Data by TAZ'!$I:$I)</f>
        <v>1087</v>
      </c>
      <c r="I17" s="40">
        <f>_xlfn.XLOOKUP(D17,'Other Model Data by TAZ'!$A:$A,'Other Model Data by TAZ'!$J:$J)</f>
        <v>138</v>
      </c>
      <c r="J17" s="34">
        <f>_xlfn.XLOOKUP(D17,'Model VMT by TAZ'!$A:$A,'Model VMT by TAZ'!$G:$G)/'Action 4 Calculations'!F17</f>
        <v>8.320061264271791</v>
      </c>
      <c r="K17" s="34">
        <f>_xlfn.XLOOKUP(D17,'Model VMT by TAZ'!$A:$A,'Model VMT by TAZ'!$G:$G)/'Action 4 Calculations'!G17</f>
        <v>24.389665306122449</v>
      </c>
      <c r="L17" s="318">
        <v>1</v>
      </c>
      <c r="M17" s="318">
        <v>0</v>
      </c>
      <c r="N17" s="318">
        <v>1.87</v>
      </c>
      <c r="O17" s="318">
        <v>150</v>
      </c>
      <c r="P17" s="320">
        <v>1</v>
      </c>
      <c r="Q17" s="318">
        <v>2.5</v>
      </c>
      <c r="R17" s="322">
        <f>Q17*O17</f>
        <v>375</v>
      </c>
      <c r="S17" s="322">
        <f t="shared" ref="S17:S24" si="0">O17/N17</f>
        <v>80.213903743315498</v>
      </c>
      <c r="T17" s="322"/>
      <c r="U17" s="323">
        <v>255.2991701</v>
      </c>
      <c r="V17" s="325">
        <f>_xlfn.XLOOKUP(C17,'Action 4 Model Data'!$B$17:$B$22,'Action 4 Model Data'!$C$17:$C$22)</f>
        <v>10.148034885273136</v>
      </c>
      <c r="W17" s="332">
        <f>J17</f>
        <v>8.320061264271791</v>
      </c>
      <c r="X17" s="469">
        <v>9.1</v>
      </c>
      <c r="Y17" s="469">
        <f t="shared" ref="Y17:Y24" si="1">O17/N17</f>
        <v>80.213903743315498</v>
      </c>
      <c r="Z17" s="336">
        <f t="shared" ref="Z17:Z24" si="2">IF(Y17&lt;9.1,0,MAX((Y17/X17-1)*Y$12,-0.3))</f>
        <v>-0.3</v>
      </c>
      <c r="AA17" s="338">
        <f t="shared" ref="AA17:AA23" si="3">V17*R17</f>
        <v>3805.5130819774258</v>
      </c>
      <c r="AB17" s="338">
        <f>Z17*AA17</f>
        <v>-1141.6539245932277</v>
      </c>
      <c r="AC17" s="338">
        <f>AB17*$AA$11</f>
        <v>-396153.91183384997</v>
      </c>
      <c r="AD17" s="56">
        <f t="shared" ref="AD17:AD23" si="4">AA17+AB17</f>
        <v>2663.8591573841982</v>
      </c>
      <c r="AE17" s="320">
        <f t="shared" ref="AE17:AE23" si="5">P17</f>
        <v>1</v>
      </c>
      <c r="AF17" s="56">
        <f>AD17*(1+(AE17*$AE$11))</f>
        <v>1901.9954383723175</v>
      </c>
      <c r="AG17" s="335">
        <f>AF17-AD17</f>
        <v>-761.86371901188068</v>
      </c>
      <c r="AH17" s="338">
        <f t="shared" ref="AH17:AH23" si="6">AG17*$AA$11</f>
        <v>-264366.71049712261</v>
      </c>
      <c r="AI17" s="452">
        <f>VLOOKUP(E17,'Action 4_CHTSTripLengths'!$E$19:$U$26,13,FALSE)</f>
        <v>-0.20816326530612239</v>
      </c>
      <c r="AJ17" s="338">
        <f t="shared" ref="AJ17:AJ23" si="7">AF17*(1+AI17)</f>
        <v>1506.0698573233863</v>
      </c>
      <c r="AK17" s="338">
        <f t="shared" ref="AK17:AK23" si="8">AJ17-AF17</f>
        <v>-395.92558104893124</v>
      </c>
      <c r="AL17" s="338">
        <f t="shared" ref="AL17:AL23" si="9">AK17*$AA$11</f>
        <v>-137386.17662397915</v>
      </c>
      <c r="AM17" s="56">
        <f t="shared" ref="AM17:AM23" si="10">AC17+AH17+AL17</f>
        <v>-797906.79895495169</v>
      </c>
      <c r="AN17" s="56">
        <f t="shared" ref="AN17:AN24" si="11">AM17/O17</f>
        <v>-5319.3786596996779</v>
      </c>
      <c r="AO17" s="51"/>
      <c r="AP17" s="468">
        <f t="shared" ref="AP17:AP24" si="12">Z17</f>
        <v>-0.3</v>
      </c>
      <c r="AQ17" s="468">
        <f t="shared" ref="AQ17:AQ24" si="13">AE$11</f>
        <v>-0.28599999999999998</v>
      </c>
      <c r="AR17" s="468">
        <f t="shared" ref="AR17:AR24" si="14">AI17</f>
        <v>-0.20816326530612239</v>
      </c>
      <c r="AS17" s="294">
        <f t="shared" ref="AS17:AS24" si="15">(1+AP17)*(1+AQ17)*(1+AR17)-1</f>
        <v>-0.60424</v>
      </c>
      <c r="AU17" s="467"/>
      <c r="AV17" s="294"/>
    </row>
    <row r="18" spans="2:48" x14ac:dyDescent="0.35">
      <c r="B18" s="6" t="s">
        <v>834</v>
      </c>
      <c r="C18" s="6" t="s">
        <v>299</v>
      </c>
      <c r="D18" s="24">
        <v>1914</v>
      </c>
      <c r="E18" s="6" t="s">
        <v>299</v>
      </c>
      <c r="F18" s="40">
        <f>_xlfn.XLOOKUP(D18,'Model VMT by TAZ'!$A:$A,'Model VMT by TAZ'!$J:$J)</f>
        <v>3591</v>
      </c>
      <c r="G18" s="40">
        <f>_xlfn.XLOOKUP(D18,'Other Model Data by TAZ'!$A:$A,'Other Model Data by TAZ'!$E:$E)</f>
        <v>1225</v>
      </c>
      <c r="H18" s="40">
        <f>_xlfn.XLOOKUP(D18,'Other Model Data by TAZ'!$A:$A,'Other Model Data by TAZ'!$I:$I)</f>
        <v>1087</v>
      </c>
      <c r="I18" s="40">
        <f>_xlfn.XLOOKUP(D18,'Other Model Data by TAZ'!$A:$A,'Other Model Data by TAZ'!$J:$J)</f>
        <v>138</v>
      </c>
      <c r="J18" s="34">
        <f>_xlfn.XLOOKUP(D18,'Model VMT by TAZ'!$A:$A,'Model VMT by TAZ'!$G:$G)/'Action 4 Calculations'!F18</f>
        <v>8.320061264271791</v>
      </c>
      <c r="K18" s="34">
        <f>_xlfn.XLOOKUP(D18,'Model VMT by TAZ'!$A:$A,'Model VMT by TAZ'!$G:$G)/'Action 4 Calculations'!G18</f>
        <v>24.389665306122449</v>
      </c>
      <c r="L18" s="318">
        <v>1</v>
      </c>
      <c r="M18" s="318"/>
      <c r="N18" s="318">
        <v>2.75</v>
      </c>
      <c r="O18" s="318">
        <v>220</v>
      </c>
      <c r="P18" s="320">
        <v>1</v>
      </c>
      <c r="Q18" s="318">
        <v>2.5</v>
      </c>
      <c r="R18" s="322">
        <f>Q18*O18</f>
        <v>550</v>
      </c>
      <c r="S18" s="322">
        <f t="shared" si="0"/>
        <v>80</v>
      </c>
      <c r="T18" s="322"/>
      <c r="U18" s="323">
        <v>255.2991701</v>
      </c>
      <c r="V18" s="325">
        <f>_xlfn.XLOOKUP(C18,'Action 4 Model Data'!$B$17:$B$22,'Action 4 Model Data'!$C$17:$C$22)</f>
        <v>10.148034885273136</v>
      </c>
      <c r="W18" s="332">
        <f t="shared" ref="W18:W23" si="16">J18</f>
        <v>8.320061264271791</v>
      </c>
      <c r="X18" s="469">
        <v>9.1</v>
      </c>
      <c r="Y18" s="469">
        <f>O18/N18</f>
        <v>80</v>
      </c>
      <c r="Z18" s="336">
        <f t="shared" si="2"/>
        <v>-0.3</v>
      </c>
      <c r="AA18" s="338">
        <f t="shared" si="3"/>
        <v>5581.4191869002243</v>
      </c>
      <c r="AB18" s="338">
        <f t="shared" ref="AB18:AB23" si="17">Z18*AA18</f>
        <v>-1674.4257560700673</v>
      </c>
      <c r="AC18" s="338">
        <f t="shared" ref="AC18:AC23" si="18">AB18*$AA$11</f>
        <v>-581025.73735631339</v>
      </c>
      <c r="AD18" s="56">
        <f t="shared" si="4"/>
        <v>3906.9934308301572</v>
      </c>
      <c r="AE18" s="320">
        <f t="shared" si="5"/>
        <v>1</v>
      </c>
      <c r="AF18" s="56">
        <f>AD18*(1+(AE18*$AE$11))</f>
        <v>2789.5933096127319</v>
      </c>
      <c r="AG18" s="335">
        <f t="shared" ref="AG18:AG23" si="19">AF18-AD18</f>
        <v>-1117.4001212174253</v>
      </c>
      <c r="AH18" s="338">
        <f t="shared" si="6"/>
        <v>-387737.84206244658</v>
      </c>
      <c r="AI18" s="452">
        <f>VLOOKUP(E18,'Action 4_CHTSTripLengths'!$E$19:$U$26,13,FALSE)</f>
        <v>-0.20816326530612239</v>
      </c>
      <c r="AJ18" s="338">
        <f t="shared" si="7"/>
        <v>2208.9024574076329</v>
      </c>
      <c r="AK18" s="338">
        <f t="shared" si="8"/>
        <v>-580.69085220509896</v>
      </c>
      <c r="AL18" s="338">
        <f t="shared" si="9"/>
        <v>-201499.72571516933</v>
      </c>
      <c r="AM18" s="56">
        <f>AC18+AH18+AL18</f>
        <v>-1170263.3051339295</v>
      </c>
      <c r="AN18" s="56">
        <f t="shared" si="11"/>
        <v>-5319.3786596996797</v>
      </c>
      <c r="AO18" s="51"/>
      <c r="AP18" s="468">
        <f t="shared" si="12"/>
        <v>-0.3</v>
      </c>
      <c r="AQ18" s="468">
        <f t="shared" si="13"/>
        <v>-0.28599999999999998</v>
      </c>
      <c r="AR18" s="468">
        <f t="shared" si="14"/>
        <v>-0.20816326530612239</v>
      </c>
      <c r="AS18" s="294">
        <f t="shared" si="15"/>
        <v>-0.60424</v>
      </c>
      <c r="AU18" s="467"/>
      <c r="AV18" s="294"/>
    </row>
    <row r="19" spans="2:48" x14ac:dyDescent="0.35">
      <c r="B19" s="6" t="s">
        <v>835</v>
      </c>
      <c r="C19" s="6" t="s">
        <v>380</v>
      </c>
      <c r="D19" s="24">
        <v>1600</v>
      </c>
      <c r="E19" s="481" t="s">
        <v>836</v>
      </c>
      <c r="F19" s="40">
        <f>_xlfn.XLOOKUP(D19,'Model VMT by TAZ'!$A:$A,'Model VMT by TAZ'!$J:$J)</f>
        <v>1771</v>
      </c>
      <c r="G19" s="40">
        <f>_xlfn.XLOOKUP(D19,'Other Model Data by TAZ'!$A:$A,'Other Model Data by TAZ'!$E:$E)</f>
        <v>532</v>
      </c>
      <c r="H19" s="40">
        <f>_xlfn.XLOOKUP(D19,'Other Model Data by TAZ'!$A:$A,'Other Model Data by TAZ'!$I:$I)</f>
        <v>235</v>
      </c>
      <c r="I19" s="40">
        <f>_xlfn.XLOOKUP(D19,'Other Model Data by TAZ'!$A:$A,'Other Model Data by TAZ'!$J:$J)</f>
        <v>298</v>
      </c>
      <c r="J19" s="34">
        <f>_xlfn.XLOOKUP(D19,'Model VMT by TAZ'!$A:$A,'Model VMT by TAZ'!$G:$G)/'Action 4 Calculations'!F19</f>
        <v>9.3786561264822126</v>
      </c>
      <c r="K19" s="34">
        <f>_xlfn.XLOOKUP(D19,'Model VMT by TAZ'!$A:$A,'Model VMT by TAZ'!$G:$G)/'Action 4 Calculations'!G19</f>
        <v>31.221052631578946</v>
      </c>
      <c r="L19" s="318">
        <v>1</v>
      </c>
      <c r="M19" s="318">
        <v>0</v>
      </c>
      <c r="N19" s="318">
        <v>0.61199999999999999</v>
      </c>
      <c r="O19" s="318">
        <v>134</v>
      </c>
      <c r="P19" s="320">
        <v>1</v>
      </c>
      <c r="Q19" s="318">
        <v>2.5</v>
      </c>
      <c r="R19" s="322">
        <f>Q19*O19</f>
        <v>335</v>
      </c>
      <c r="S19" s="322">
        <f t="shared" si="0"/>
        <v>218.95424836601308</v>
      </c>
      <c r="T19" s="322"/>
      <c r="U19" s="323">
        <v>270.82185070000003</v>
      </c>
      <c r="V19" s="325">
        <f>_xlfn.XLOOKUP(C19,'Action 4 Model Data'!$B$17:$B$22,'Action 4 Model Data'!$C$17:$C$22)</f>
        <v>11.005564008575973</v>
      </c>
      <c r="W19" s="332">
        <f t="shared" si="16"/>
        <v>9.3786561264822126</v>
      </c>
      <c r="X19" s="469">
        <v>9.1</v>
      </c>
      <c r="Y19" s="469">
        <f t="shared" si="1"/>
        <v>218.95424836601308</v>
      </c>
      <c r="Z19" s="336">
        <f t="shared" si="2"/>
        <v>-0.3</v>
      </c>
      <c r="AA19" s="338">
        <f t="shared" si="3"/>
        <v>3686.8639428729512</v>
      </c>
      <c r="AB19" s="338">
        <f t="shared" si="17"/>
        <v>-1106.0591828618853</v>
      </c>
      <c r="AC19" s="338">
        <f t="shared" si="18"/>
        <v>-383802.53645307419</v>
      </c>
      <c r="AD19" s="56">
        <f t="shared" si="4"/>
        <v>2580.8047600110658</v>
      </c>
      <c r="AE19" s="320">
        <f t="shared" si="5"/>
        <v>1</v>
      </c>
      <c r="AF19" s="56">
        <f>AD19*(1+(AE19*$AE$11))</f>
        <v>1842.6945986479009</v>
      </c>
      <c r="AG19" s="335">
        <f t="shared" si="19"/>
        <v>-738.11016136316493</v>
      </c>
      <c r="AH19" s="338">
        <f t="shared" si="6"/>
        <v>-256124.22599301822</v>
      </c>
      <c r="AI19" s="452">
        <f>VLOOKUP(E19,'Action 4_CHTSTripLengths'!$E$19:$U$26,13,FALSE)</f>
        <v>-0.25408163265306116</v>
      </c>
      <c r="AJ19" s="338">
        <f t="shared" si="7"/>
        <v>1374.4997465424649</v>
      </c>
      <c r="AK19" s="338">
        <f t="shared" si="8"/>
        <v>-468.19485210543598</v>
      </c>
      <c r="AL19" s="338">
        <f t="shared" si="9"/>
        <v>-162463.61368058628</v>
      </c>
      <c r="AM19" s="56">
        <f t="shared" si="10"/>
        <v>-802390.37612667866</v>
      </c>
      <c r="AN19" s="56">
        <f t="shared" si="11"/>
        <v>-5987.9878815423781</v>
      </c>
      <c r="AO19" s="51"/>
      <c r="AP19" s="468">
        <f t="shared" si="12"/>
        <v>-0.3</v>
      </c>
      <c r="AQ19" s="468">
        <f t="shared" si="13"/>
        <v>-0.28599999999999998</v>
      </c>
      <c r="AR19" s="468">
        <f t="shared" si="14"/>
        <v>-0.25408163265306116</v>
      </c>
      <c r="AS19" s="294">
        <f t="shared" si="15"/>
        <v>-0.62718999999999991</v>
      </c>
      <c r="AU19" s="467"/>
      <c r="AV19" s="294"/>
    </row>
    <row r="20" spans="2:48" x14ac:dyDescent="0.35">
      <c r="B20" s="6" t="s">
        <v>837</v>
      </c>
      <c r="C20" s="6" t="s">
        <v>380</v>
      </c>
      <c r="D20" s="24">
        <v>1646</v>
      </c>
      <c r="E20" s="481" t="s">
        <v>836</v>
      </c>
      <c r="F20" s="40">
        <f>_xlfn.XLOOKUP(D20,'Model VMT by TAZ'!$A:$A,'Model VMT by TAZ'!$J:$J)</f>
        <v>62</v>
      </c>
      <c r="G20" s="40">
        <f>_xlfn.XLOOKUP(D20,'Other Model Data by TAZ'!$A:$A,'Other Model Data by TAZ'!$E:$E)</f>
        <v>33</v>
      </c>
      <c r="H20" s="40">
        <f>_xlfn.XLOOKUP(D20,'Other Model Data by TAZ'!$A:$A,'Other Model Data by TAZ'!$I:$I)</f>
        <v>8</v>
      </c>
      <c r="I20" s="40">
        <f>_xlfn.XLOOKUP(D20,'Other Model Data by TAZ'!$A:$A,'Other Model Data by TAZ'!$J:$J)</f>
        <v>25</v>
      </c>
      <c r="J20" s="34">
        <f>_xlfn.XLOOKUP(D20,'Model VMT by TAZ'!$A:$A,'Model VMT by TAZ'!$G:$G)/'Action 4 Calculations'!F20</f>
        <v>13.100967741935484</v>
      </c>
      <c r="K20" s="34">
        <f>_xlfn.XLOOKUP(D20,'Model VMT by TAZ'!$A:$A,'Model VMT by TAZ'!$G:$G)/'Action 4 Calculations'!G20</f>
        <v>24.613939393939393</v>
      </c>
      <c r="L20" s="318">
        <v>1</v>
      </c>
      <c r="M20" s="318"/>
      <c r="N20" s="318">
        <v>1.6</v>
      </c>
      <c r="O20" s="318">
        <v>341</v>
      </c>
      <c r="P20" s="320">
        <v>1</v>
      </c>
      <c r="Q20" s="318">
        <v>2.5</v>
      </c>
      <c r="R20" s="322">
        <f t="shared" ref="R20:R23" si="20">Q20*O20</f>
        <v>852.5</v>
      </c>
      <c r="S20" s="322">
        <f t="shared" si="0"/>
        <v>213.125</v>
      </c>
      <c r="T20" s="322"/>
      <c r="U20" s="323">
        <v>63.112790699999998</v>
      </c>
      <c r="V20" s="325">
        <f>_xlfn.XLOOKUP(C20,'Action 4 Model Data'!$B$17:$B$22,'Action 4 Model Data'!$C$17:$C$22)</f>
        <v>11.005564008575973</v>
      </c>
      <c r="W20" s="332">
        <f t="shared" si="16"/>
        <v>13.100967741935484</v>
      </c>
      <c r="X20" s="469">
        <v>9.1</v>
      </c>
      <c r="Y20" s="469">
        <f t="shared" si="1"/>
        <v>213.125</v>
      </c>
      <c r="Z20" s="336">
        <f t="shared" si="2"/>
        <v>-0.3</v>
      </c>
      <c r="AA20" s="338">
        <f t="shared" si="3"/>
        <v>9382.2433173110167</v>
      </c>
      <c r="AB20" s="338">
        <f t="shared" si="17"/>
        <v>-2814.6729951933048</v>
      </c>
      <c r="AC20" s="338">
        <f t="shared" si="18"/>
        <v>-976691.52933207678</v>
      </c>
      <c r="AD20" s="56">
        <f t="shared" si="4"/>
        <v>6567.5703221177118</v>
      </c>
      <c r="AE20" s="320">
        <f t="shared" si="5"/>
        <v>1</v>
      </c>
      <c r="AF20" s="56">
        <f>AD20*(1+(AE20*$AE$11))</f>
        <v>4689.2452099920456</v>
      </c>
      <c r="AG20" s="335">
        <f>AF20-AD20</f>
        <v>-1878.3251121256662</v>
      </c>
      <c r="AH20" s="338">
        <f t="shared" si="6"/>
        <v>-651778.81390760618</v>
      </c>
      <c r="AI20" s="452">
        <f>VLOOKUP(E20,'Action 4_CHTSTripLengths'!$E$19:$U$26,13,FALSE)</f>
        <v>-0.25408163265306116</v>
      </c>
      <c r="AJ20" s="338">
        <f t="shared" si="7"/>
        <v>3497.79413112672</v>
      </c>
      <c r="AK20" s="338">
        <f t="shared" si="8"/>
        <v>-1191.4510788653256</v>
      </c>
      <c r="AL20" s="338">
        <f t="shared" si="9"/>
        <v>-413433.52436626796</v>
      </c>
      <c r="AM20" s="56">
        <f t="shared" si="10"/>
        <v>-2041903.8676059509</v>
      </c>
      <c r="AN20" s="56">
        <f t="shared" si="11"/>
        <v>-5987.9878815423781</v>
      </c>
      <c r="AO20" s="51"/>
      <c r="AP20" s="468">
        <f t="shared" si="12"/>
        <v>-0.3</v>
      </c>
      <c r="AQ20" s="468">
        <f t="shared" si="13"/>
        <v>-0.28599999999999998</v>
      </c>
      <c r="AR20" s="468">
        <f t="shared" si="14"/>
        <v>-0.25408163265306116</v>
      </c>
      <c r="AS20" s="294">
        <f t="shared" si="15"/>
        <v>-0.62718999999999991</v>
      </c>
      <c r="AU20" s="467"/>
      <c r="AV20" s="294"/>
    </row>
    <row r="21" spans="2:48" x14ac:dyDescent="0.35">
      <c r="B21" s="6" t="s">
        <v>838</v>
      </c>
      <c r="C21" s="6" t="s">
        <v>364</v>
      </c>
      <c r="D21" s="24">
        <v>1529</v>
      </c>
      <c r="E21" s="6" t="s">
        <v>364</v>
      </c>
      <c r="F21" s="40">
        <f>_xlfn.XLOOKUP(D21,'Model VMT by TAZ'!$A:$A,'Model VMT by TAZ'!$J:$J)</f>
        <v>1430</v>
      </c>
      <c r="G21" s="40">
        <f>_xlfn.XLOOKUP(D21,'Other Model Data by TAZ'!$A:$A,'Other Model Data by TAZ'!$E:$E)</f>
        <v>559</v>
      </c>
      <c r="H21" s="40">
        <f>_xlfn.XLOOKUP(D21,'Other Model Data by TAZ'!$A:$A,'Other Model Data by TAZ'!$I:$I)</f>
        <v>391</v>
      </c>
      <c r="I21" s="40">
        <f>_xlfn.XLOOKUP(D21,'Other Model Data by TAZ'!$A:$A,'Other Model Data by TAZ'!$J:$J)</f>
        <v>168</v>
      </c>
      <c r="J21" s="34">
        <f>_xlfn.XLOOKUP(D21,'Model VMT by TAZ'!$A:$A,'Model VMT by TAZ'!$G:$G)/'Action 4 Calculations'!F21</f>
        <v>7.9743146853146856</v>
      </c>
      <c r="K21" s="34">
        <f>_xlfn.XLOOKUP(D21,'Model VMT by TAZ'!$A:$A,'Model VMT by TAZ'!$G:$G)/'Action 4 Calculations'!G21</f>
        <v>20.399409660107334</v>
      </c>
      <c r="L21" s="318">
        <v>1</v>
      </c>
      <c r="M21" s="318"/>
      <c r="N21" s="318">
        <v>0.35399999999999998</v>
      </c>
      <c r="O21" s="318">
        <v>169</v>
      </c>
      <c r="P21" s="320">
        <v>1</v>
      </c>
      <c r="Q21" s="318">
        <v>2.5</v>
      </c>
      <c r="R21" s="322">
        <f t="shared" si="20"/>
        <v>422.5</v>
      </c>
      <c r="S21" s="322">
        <f t="shared" si="0"/>
        <v>477.40112994350284</v>
      </c>
      <c r="T21" s="322"/>
      <c r="U21" s="323">
        <v>137.58533550000001</v>
      </c>
      <c r="V21" s="325">
        <f>_xlfn.XLOOKUP(C21,'Action 4 Model Data'!$B$17:$B$22,'Action 4 Model Data'!$C$17:$C$22)</f>
        <v>13.047674919993264</v>
      </c>
      <c r="W21" s="332">
        <f t="shared" si="16"/>
        <v>7.9743146853146856</v>
      </c>
      <c r="X21" s="469">
        <v>9.1</v>
      </c>
      <c r="Y21" s="469">
        <f t="shared" si="1"/>
        <v>477.40112994350284</v>
      </c>
      <c r="Z21" s="336">
        <f t="shared" si="2"/>
        <v>-0.3</v>
      </c>
      <c r="AA21" s="338">
        <f t="shared" si="3"/>
        <v>5512.6426536971539</v>
      </c>
      <c r="AB21" s="338">
        <f t="shared" si="17"/>
        <v>-1653.7927961091461</v>
      </c>
      <c r="AC21" s="338">
        <f t="shared" si="18"/>
        <v>-573866.10024987371</v>
      </c>
      <c r="AD21" s="56">
        <f t="shared" si="4"/>
        <v>3858.8498575880076</v>
      </c>
      <c r="AE21" s="320">
        <f t="shared" si="5"/>
        <v>1</v>
      </c>
      <c r="AF21" s="56">
        <f t="shared" ref="AF21:AF23" si="21">AD21*(1+(AE21*$AE$11))</f>
        <v>2755.2187983178374</v>
      </c>
      <c r="AG21" s="335">
        <f t="shared" si="19"/>
        <v>-1103.6310592701702</v>
      </c>
      <c r="AH21" s="338">
        <f t="shared" si="6"/>
        <v>-382959.97756674909</v>
      </c>
      <c r="AI21" s="452">
        <f>VLOOKUP(E21,'Action 4_CHTSTripLengths'!$E$19:$U$26,13,FALSE)</f>
        <v>-0.11700680272108832</v>
      </c>
      <c r="AJ21" s="338">
        <f t="shared" si="7"/>
        <v>2432.839455929628</v>
      </c>
      <c r="AK21" s="338">
        <f t="shared" si="8"/>
        <v>-322.37934238820935</v>
      </c>
      <c r="AL21" s="338">
        <f t="shared" si="9"/>
        <v>-111865.63180870864</v>
      </c>
      <c r="AM21" s="56">
        <f t="shared" si="10"/>
        <v>-1068691.7096253315</v>
      </c>
      <c r="AN21" s="56">
        <f t="shared" si="11"/>
        <v>-6323.6195835818426</v>
      </c>
      <c r="AO21" s="51"/>
      <c r="AP21" s="468">
        <f t="shared" si="12"/>
        <v>-0.3</v>
      </c>
      <c r="AQ21" s="468">
        <f t="shared" si="13"/>
        <v>-0.28599999999999998</v>
      </c>
      <c r="AR21" s="468">
        <f t="shared" si="14"/>
        <v>-0.11700680272108832</v>
      </c>
      <c r="AS21" s="294">
        <f t="shared" si="15"/>
        <v>-0.55867999999999995</v>
      </c>
      <c r="AU21" s="467"/>
      <c r="AV21" s="294"/>
    </row>
    <row r="22" spans="2:48" x14ac:dyDescent="0.35">
      <c r="B22" s="6" t="s">
        <v>839</v>
      </c>
      <c r="C22" s="6" t="s">
        <v>370</v>
      </c>
      <c r="D22" s="24">
        <v>1682</v>
      </c>
      <c r="E22" s="481" t="s">
        <v>836</v>
      </c>
      <c r="F22" s="40">
        <f>_xlfn.XLOOKUP(D22,'Model VMT by TAZ'!$A:$A,'Model VMT by TAZ'!$J:$J)</f>
        <v>3702</v>
      </c>
      <c r="G22" s="40">
        <f>_xlfn.XLOOKUP(D22,'Other Model Data by TAZ'!$A:$A,'Other Model Data by TAZ'!$E:$E)</f>
        <v>886</v>
      </c>
      <c r="H22" s="40">
        <f>_xlfn.XLOOKUP(D22,'Other Model Data by TAZ'!$A:$A,'Other Model Data by TAZ'!$I:$I)</f>
        <v>696</v>
      </c>
      <c r="I22" s="40">
        <f>_xlfn.XLOOKUP(D22,'Other Model Data by TAZ'!$A:$A,'Other Model Data by TAZ'!$J:$J)</f>
        <v>190</v>
      </c>
      <c r="J22" s="34">
        <f>_xlfn.XLOOKUP(D22,'Model VMT by TAZ'!$A:$A,'Model VMT by TAZ'!$G:$G)/'Action 4 Calculations'!F22</f>
        <v>9.7088195569962199</v>
      </c>
      <c r="K22" s="34">
        <f>_xlfn.XLOOKUP(D22,'Model VMT by TAZ'!$A:$A,'Model VMT by TAZ'!$G:$G)/'Action 4 Calculations'!G22</f>
        <v>40.566647855530476</v>
      </c>
      <c r="L22" s="318"/>
      <c r="M22" s="318"/>
      <c r="N22" s="318">
        <v>0.99</v>
      </c>
      <c r="O22" s="318">
        <v>50</v>
      </c>
      <c r="P22" s="320">
        <v>1</v>
      </c>
      <c r="Q22" s="318">
        <v>2.5</v>
      </c>
      <c r="R22" s="322">
        <f t="shared" si="20"/>
        <v>125</v>
      </c>
      <c r="S22" s="322">
        <f t="shared" si="0"/>
        <v>50.505050505050505</v>
      </c>
      <c r="T22" s="322"/>
      <c r="U22" s="323">
        <v>112.46256630000001</v>
      </c>
      <c r="V22" s="325">
        <f>_xlfn.XLOOKUP(C22,'Action 4 Model Data'!$B$17:$B$22,'Action 4 Model Data'!$C$17:$C$22)</f>
        <v>10.053226034388002</v>
      </c>
      <c r="W22" s="332">
        <f t="shared" si="16"/>
        <v>9.7088195569962199</v>
      </c>
      <c r="X22" s="469">
        <v>9.1</v>
      </c>
      <c r="Y22" s="469">
        <f t="shared" si="1"/>
        <v>50.505050505050505</v>
      </c>
      <c r="Z22" s="336">
        <f t="shared" si="2"/>
        <v>-0.3</v>
      </c>
      <c r="AA22" s="338">
        <f t="shared" si="3"/>
        <v>1256.6532542985003</v>
      </c>
      <c r="AB22" s="338">
        <f t="shared" si="17"/>
        <v>-376.99597628955007</v>
      </c>
      <c r="AC22" s="338">
        <f t="shared" si="18"/>
        <v>-130817.60377247387</v>
      </c>
      <c r="AD22" s="56">
        <f t="shared" si="4"/>
        <v>879.65727800895024</v>
      </c>
      <c r="AE22" s="320">
        <f t="shared" si="5"/>
        <v>1</v>
      </c>
      <c r="AF22" s="56">
        <f t="shared" si="21"/>
        <v>628.07529649839046</v>
      </c>
      <c r="AG22" s="335">
        <f t="shared" si="19"/>
        <v>-251.58198151055979</v>
      </c>
      <c r="AH22" s="338">
        <f t="shared" si="6"/>
        <v>-87298.947584164242</v>
      </c>
      <c r="AI22" s="452">
        <f>VLOOKUP(E22,'Action 4_CHTSTripLengths'!$E$19:$U$26,13,FALSE)</f>
        <v>-0.25408163265306116</v>
      </c>
      <c r="AJ22" s="338">
        <f t="shared" si="7"/>
        <v>468.49289973502397</v>
      </c>
      <c r="AK22" s="338">
        <f t="shared" si="8"/>
        <v>-159.58239676336649</v>
      </c>
      <c r="AL22" s="338">
        <f t="shared" si="9"/>
        <v>-55375.091676888173</v>
      </c>
      <c r="AM22" s="56">
        <f t="shared" si="10"/>
        <v>-273491.64303352626</v>
      </c>
      <c r="AN22" s="56">
        <f t="shared" si="11"/>
        <v>-5469.8328606705254</v>
      </c>
      <c r="AO22" s="51"/>
      <c r="AP22" s="468">
        <f t="shared" si="12"/>
        <v>-0.3</v>
      </c>
      <c r="AQ22" s="468">
        <f t="shared" si="13"/>
        <v>-0.28599999999999998</v>
      </c>
      <c r="AR22" s="468">
        <f t="shared" si="14"/>
        <v>-0.25408163265306116</v>
      </c>
      <c r="AS22" s="294">
        <f t="shared" si="15"/>
        <v>-0.62718999999999991</v>
      </c>
      <c r="AU22" s="467"/>
      <c r="AV22" s="294"/>
    </row>
    <row r="23" spans="2:48" x14ac:dyDescent="0.35">
      <c r="B23" s="6" t="s">
        <v>840</v>
      </c>
      <c r="C23" s="6" t="s">
        <v>372</v>
      </c>
      <c r="D23" s="24">
        <v>1655</v>
      </c>
      <c r="E23" s="481" t="s">
        <v>836</v>
      </c>
      <c r="F23" s="40">
        <f>_xlfn.XLOOKUP(D23,'Model VMT by TAZ'!$A:$A,'Model VMT by TAZ'!$J:$J)</f>
        <v>2336</v>
      </c>
      <c r="G23" s="40">
        <f>_xlfn.XLOOKUP(D23,'Other Model Data by TAZ'!$A:$A,'Other Model Data by TAZ'!$E:$E)</f>
        <v>868</v>
      </c>
      <c r="H23" s="40">
        <f>_xlfn.XLOOKUP(D23,'Other Model Data by TAZ'!$A:$A,'Other Model Data by TAZ'!$I:$I)</f>
        <v>348</v>
      </c>
      <c r="I23" s="40">
        <f>_xlfn.XLOOKUP(D23,'Other Model Data by TAZ'!$A:$A,'Other Model Data by TAZ'!$J:$J)</f>
        <v>520</v>
      </c>
      <c r="J23" s="34">
        <f>_xlfn.XLOOKUP(D23,'Model VMT by TAZ'!$A:$A,'Model VMT by TAZ'!$G:$G)/'Action 4 Calculations'!F23</f>
        <v>15.03125</v>
      </c>
      <c r="K23" s="34">
        <f>_xlfn.XLOOKUP(D23,'Model VMT by TAZ'!$A:$A,'Model VMT by TAZ'!$G:$G)/'Action 4 Calculations'!G23</f>
        <v>40.452764976958527</v>
      </c>
      <c r="L23" s="490"/>
      <c r="M23" s="490"/>
      <c r="N23" s="490">
        <v>5.73</v>
      </c>
      <c r="O23" s="490">
        <v>111</v>
      </c>
      <c r="P23" s="491">
        <v>1</v>
      </c>
      <c r="Q23" s="490">
        <v>2.5</v>
      </c>
      <c r="R23" s="492">
        <f t="shared" si="20"/>
        <v>277.5</v>
      </c>
      <c r="S23" s="492">
        <f t="shared" si="0"/>
        <v>19.371727748691097</v>
      </c>
      <c r="T23" s="492"/>
      <c r="U23" s="493">
        <v>240.46242549999999</v>
      </c>
      <c r="V23" s="494">
        <f>_xlfn.XLOOKUP(C23,'Action 4 Model Data'!$B$17:$B$22,'Action 4 Model Data'!$C$17:$C$22)</f>
        <v>14.930674667009846</v>
      </c>
      <c r="W23" s="495">
        <f t="shared" si="16"/>
        <v>15.03125</v>
      </c>
      <c r="X23" s="469">
        <v>9.1</v>
      </c>
      <c r="Y23" s="469">
        <f t="shared" si="1"/>
        <v>19.371727748691097</v>
      </c>
      <c r="Z23" s="496">
        <f t="shared" si="2"/>
        <v>-0.24832748403429022</v>
      </c>
      <c r="AA23" s="338">
        <f t="shared" si="3"/>
        <v>4143.2622200952319</v>
      </c>
      <c r="AB23" s="338">
        <f t="shared" si="17"/>
        <v>-1028.8858828105765</v>
      </c>
      <c r="AC23" s="338">
        <f t="shared" si="18"/>
        <v>-357023.40133527003</v>
      </c>
      <c r="AD23" s="56">
        <f t="shared" si="4"/>
        <v>3114.3763372846552</v>
      </c>
      <c r="AE23" s="491">
        <f t="shared" si="5"/>
        <v>1</v>
      </c>
      <c r="AF23" s="56">
        <f t="shared" si="21"/>
        <v>2223.6647048212435</v>
      </c>
      <c r="AG23" s="497">
        <f t="shared" si="19"/>
        <v>-890.71163246341166</v>
      </c>
      <c r="AH23" s="338">
        <f t="shared" si="6"/>
        <v>-309076.93646480388</v>
      </c>
      <c r="AI23" s="452">
        <f>VLOOKUP(E23,'Action 4_CHTSTripLengths'!$E$19:$U$26,13,FALSE)</f>
        <v>-0.25408163265306116</v>
      </c>
      <c r="AJ23" s="338">
        <f t="shared" si="7"/>
        <v>1658.6723461472745</v>
      </c>
      <c r="AK23" s="338">
        <f t="shared" si="8"/>
        <v>-564.99235867396897</v>
      </c>
      <c r="AL23" s="338">
        <f t="shared" si="9"/>
        <v>-196052.34845986724</v>
      </c>
      <c r="AM23" s="56">
        <f t="shared" si="10"/>
        <v>-862152.6862599412</v>
      </c>
      <c r="AN23" s="56">
        <f t="shared" si="11"/>
        <v>-7767.1413176571277</v>
      </c>
      <c r="AO23" s="51"/>
      <c r="AP23" s="468">
        <f t="shared" si="12"/>
        <v>-0.24832748403429022</v>
      </c>
      <c r="AQ23" s="468">
        <f t="shared" si="13"/>
        <v>-0.28599999999999998</v>
      </c>
      <c r="AR23" s="468">
        <f t="shared" si="14"/>
        <v>-0.25408163265306116</v>
      </c>
      <c r="AS23" s="294">
        <f t="shared" si="15"/>
        <v>-0.59966995617546237</v>
      </c>
      <c r="AU23" s="467"/>
      <c r="AV23" s="294"/>
    </row>
    <row r="24" spans="2:48" x14ac:dyDescent="0.35">
      <c r="F24" s="50">
        <f>SUM(F17:F23)</f>
        <v>16483</v>
      </c>
      <c r="G24" s="50">
        <f>SUM(G17:G23)</f>
        <v>5328</v>
      </c>
      <c r="H24" s="50">
        <f>SUM(H17:H23)</f>
        <v>3852</v>
      </c>
      <c r="I24" s="50">
        <f>SUM(I17:I23)</f>
        <v>1477</v>
      </c>
      <c r="J24" s="485">
        <f>SUMPRODUCT(J17:J23,F17:F23)/F24</f>
        <v>9.6848182976399926</v>
      </c>
      <c r="K24" s="485">
        <f>SUMPRODUCT(K17:K23,G17:G23)/G24</f>
        <v>29.961497747747746</v>
      </c>
      <c r="N24" s="486">
        <f>SUMPRODUCT(N17:N23,J17:J23)/J24</f>
        <v>16.903122516749615</v>
      </c>
      <c r="O24" s="487">
        <f>SUM(O17:O23)</f>
        <v>1175</v>
      </c>
      <c r="Q24" s="232">
        <v>2.5</v>
      </c>
      <c r="R24" s="487">
        <f>SUM(R17:R23)</f>
        <v>2937.5</v>
      </c>
      <c r="S24" s="487">
        <f t="shared" si="0"/>
        <v>69.51378355304891</v>
      </c>
      <c r="U24" s="487">
        <f>SUM(U17:U23)</f>
        <v>1335.0433089000003</v>
      </c>
      <c r="V24" s="30">
        <f>AVERAGE(V17:V23)</f>
        <v>11.476967629869904</v>
      </c>
      <c r="W24" s="486">
        <f>J24</f>
        <v>9.6848182976399926</v>
      </c>
      <c r="X24" s="486">
        <v>9.1</v>
      </c>
      <c r="Y24" s="486">
        <f t="shared" si="1"/>
        <v>69.51378355304891</v>
      </c>
      <c r="Z24" s="488">
        <f t="shared" si="2"/>
        <v>-0.3</v>
      </c>
      <c r="AA24" s="467">
        <f>SUM(AA17:AA23)</f>
        <v>33368.597657152503</v>
      </c>
      <c r="AB24" s="467">
        <f>SUM(AB17:AB23)</f>
        <v>-9796.486513927759</v>
      </c>
      <c r="AC24" s="467">
        <f>SUM(AC17:AC23)</f>
        <v>-3399380.8203329318</v>
      </c>
      <c r="AD24" s="51">
        <f>SUM(AD17:AD23)</f>
        <v>23572.111143224749</v>
      </c>
      <c r="AF24" s="51">
        <f>SUM(AF17:AF23)</f>
        <v>16830.487356262467</v>
      </c>
      <c r="AG24" s="51">
        <f>SUM(AG17:AG23)</f>
        <v>-6741.6237869622792</v>
      </c>
      <c r="AH24" s="51">
        <f>SUM(AH17:AH23)</f>
        <v>-2339343.4540759111</v>
      </c>
      <c r="AI24" s="489">
        <f>SUMPRODUCT(AI17:AI23,R17:R23)/R24</f>
        <v>-0.21990678824721371</v>
      </c>
      <c r="AJ24" s="467">
        <f>SUM(AJ17:AJ23)</f>
        <v>13147.27089421213</v>
      </c>
      <c r="AK24" s="467">
        <f>SUM(AK17:AK23)</f>
        <v>-3683.2164620503363</v>
      </c>
      <c r="AL24" s="467">
        <f>SUM(AL17:AL23)</f>
        <v>-1278076.1123314667</v>
      </c>
      <c r="AM24" s="51">
        <f>SUM(AM17:AM23)</f>
        <v>-7016800.3867403092</v>
      </c>
      <c r="AN24" s="51">
        <f t="shared" si="11"/>
        <v>-5971.7450099917523</v>
      </c>
      <c r="AP24" s="468">
        <f t="shared" si="12"/>
        <v>-0.3</v>
      </c>
      <c r="AQ24" s="468">
        <f t="shared" si="13"/>
        <v>-0.28599999999999998</v>
      </c>
      <c r="AR24" s="468">
        <f t="shared" si="14"/>
        <v>-0.21990678824721371</v>
      </c>
      <c r="AS24" s="294">
        <f t="shared" si="15"/>
        <v>-0.61010941276595743</v>
      </c>
      <c r="AU24" s="467"/>
      <c r="AV24" s="294"/>
    </row>
    <row r="25" spans="2:48" x14ac:dyDescent="0.35">
      <c r="AA25" s="54" t="s">
        <v>841</v>
      </c>
      <c r="AB25" s="467">
        <f>AB24/$O$24</f>
        <v>-8.3374353310023483</v>
      </c>
      <c r="AC25" s="467">
        <f>AC24/$O$24</f>
        <v>-2893.0900598578141</v>
      </c>
      <c r="AF25" s="54" t="s">
        <v>841</v>
      </c>
      <c r="AG25" s="467">
        <f>AG24/$O$24</f>
        <v>-5.7375521591168335</v>
      </c>
      <c r="AH25" s="467">
        <f>AH24/$O$24</f>
        <v>-1990.9305992135414</v>
      </c>
      <c r="AJ25" s="54" t="s">
        <v>841</v>
      </c>
      <c r="AK25" s="467">
        <f>AK24/$O$24</f>
        <v>-3.1346523081279458</v>
      </c>
      <c r="AL25" s="467">
        <f>AL24/$O$24</f>
        <v>-1087.7243509203972</v>
      </c>
      <c r="AP25" s="51"/>
      <c r="AQ25" s="51"/>
    </row>
    <row r="26" spans="2:48" x14ac:dyDescent="0.35">
      <c r="B26" s="349" t="s">
        <v>842</v>
      </c>
      <c r="C26" s="350"/>
      <c r="D26" s="350"/>
      <c r="E26" s="350"/>
      <c r="F26" s="350"/>
      <c r="G26" s="350"/>
      <c r="H26" s="350"/>
      <c r="I26" s="351"/>
    </row>
    <row r="27" spans="2:48" ht="72.5" x14ac:dyDescent="0.35">
      <c r="B27" s="347" t="s">
        <v>799</v>
      </c>
      <c r="C27" s="348" t="s">
        <v>843</v>
      </c>
      <c r="D27" s="347" t="s">
        <v>844</v>
      </c>
      <c r="E27" s="347" t="s">
        <v>845</v>
      </c>
      <c r="F27" s="348" t="s">
        <v>846</v>
      </c>
      <c r="G27" s="348" t="s">
        <v>847</v>
      </c>
      <c r="H27" s="348" t="s">
        <v>848</v>
      </c>
      <c r="I27" s="348" t="s">
        <v>315</v>
      </c>
    </row>
    <row r="28" spans="2:48" x14ac:dyDescent="0.35">
      <c r="B28" s="6" t="s">
        <v>833</v>
      </c>
      <c r="C28" s="407" t="s">
        <v>148</v>
      </c>
      <c r="D28" s="6">
        <f t="shared" ref="D28:D34" si="22">O17</f>
        <v>150</v>
      </c>
      <c r="E28" s="402">
        <f>IF('4.) Affordable Housing'!J26="YES",'4.) Affordable Housing'!$J$28*'Action 4 Calculations'!D28,'4.) Affordable Housing'!$J$25*'Action 4 Calculations'!D28)</f>
        <v>37500000</v>
      </c>
      <c r="F28" s="56">
        <f>AC17</f>
        <v>-396153.91183384997</v>
      </c>
      <c r="G28" s="56">
        <f t="shared" ref="G28:G34" si="23">AH17</f>
        <v>-264366.71049712261</v>
      </c>
      <c r="H28" s="56">
        <f>AL17</f>
        <v>-137386.17662397915</v>
      </c>
      <c r="I28" s="56">
        <f>AM17</f>
        <v>-797906.79895495169</v>
      </c>
    </row>
    <row r="29" spans="2:48" x14ac:dyDescent="0.35">
      <c r="B29" s="6" t="s">
        <v>834</v>
      </c>
      <c r="C29" s="407" t="s">
        <v>148</v>
      </c>
      <c r="D29" s="6">
        <f t="shared" si="22"/>
        <v>220</v>
      </c>
      <c r="E29" s="402">
        <f>IF('4.) Affordable Housing'!J27="YES",'4.) Affordable Housing'!$J$28*'Action 4 Calculations'!D29,'4.) Affordable Housing'!$J$25*'Action 4 Calculations'!D29)</f>
        <v>220000000</v>
      </c>
      <c r="F29" s="56">
        <f t="shared" ref="F29:F34" si="24">AC18</f>
        <v>-581025.73735631339</v>
      </c>
      <c r="G29" s="56">
        <f t="shared" si="23"/>
        <v>-387737.84206244658</v>
      </c>
      <c r="H29" s="56">
        <f t="shared" ref="H29:H34" si="25">AL18</f>
        <v>-201499.72571516933</v>
      </c>
      <c r="I29" s="56">
        <f t="shared" ref="I29:I34" si="26">AM18</f>
        <v>-1170263.3051339295</v>
      </c>
    </row>
    <row r="30" spans="2:48" x14ac:dyDescent="0.35">
      <c r="B30" s="6" t="s">
        <v>835</v>
      </c>
      <c r="C30" s="407" t="s">
        <v>148</v>
      </c>
      <c r="D30" s="6">
        <f t="shared" si="22"/>
        <v>134</v>
      </c>
      <c r="E30" s="402">
        <f>IF('4.) Affordable Housing'!J28="YES",'4.) Affordable Housing'!$J$28*'Action 4 Calculations'!D30,'4.) Affordable Housing'!$J$25*'Action 4 Calculations'!D30)</f>
        <v>134000000</v>
      </c>
      <c r="F30" s="56">
        <f>AC19</f>
        <v>-383802.53645307419</v>
      </c>
      <c r="G30" s="56">
        <f>AH19</f>
        <v>-256124.22599301822</v>
      </c>
      <c r="H30" s="56">
        <f t="shared" si="25"/>
        <v>-162463.61368058628</v>
      </c>
      <c r="I30" s="56">
        <f t="shared" si="26"/>
        <v>-802390.37612667866</v>
      </c>
    </row>
    <row r="31" spans="2:48" x14ac:dyDescent="0.35">
      <c r="B31" s="6" t="s">
        <v>837</v>
      </c>
      <c r="C31" s="407" t="s">
        <v>148</v>
      </c>
      <c r="D31" s="6">
        <f t="shared" si="22"/>
        <v>341</v>
      </c>
      <c r="E31" s="402">
        <f>IF('4.) Affordable Housing'!J29="YES",'4.) Affordable Housing'!$J$28*'Action 4 Calculations'!D31,'4.) Affordable Housing'!$J$25*'Action 4 Calculations'!D31)</f>
        <v>341000000</v>
      </c>
      <c r="F31" s="56">
        <f t="shared" si="24"/>
        <v>-976691.52933207678</v>
      </c>
      <c r="G31" s="56">
        <f t="shared" si="23"/>
        <v>-651778.81390760618</v>
      </c>
      <c r="H31" s="56">
        <f t="shared" si="25"/>
        <v>-413433.52436626796</v>
      </c>
      <c r="I31" s="56">
        <f t="shared" si="26"/>
        <v>-2041903.8676059509</v>
      </c>
    </row>
    <row r="32" spans="2:48" x14ac:dyDescent="0.35">
      <c r="B32" s="6" t="s">
        <v>838</v>
      </c>
      <c r="C32" s="407" t="s">
        <v>148</v>
      </c>
      <c r="D32" s="6">
        <f t="shared" si="22"/>
        <v>169</v>
      </c>
      <c r="E32" s="402">
        <f>IF('4.) Affordable Housing'!J30="YES",'4.) Affordable Housing'!$J$28*'Action 4 Calculations'!D32,'4.) Affordable Housing'!$J$25*'Action 4 Calculations'!D32)</f>
        <v>169000000</v>
      </c>
      <c r="F32" s="56">
        <f t="shared" si="24"/>
        <v>-573866.10024987371</v>
      </c>
      <c r="G32" s="56">
        <f t="shared" si="23"/>
        <v>-382959.97756674909</v>
      </c>
      <c r="H32" s="56">
        <f t="shared" si="25"/>
        <v>-111865.63180870864</v>
      </c>
      <c r="I32" s="56">
        <f t="shared" si="26"/>
        <v>-1068691.7096253315</v>
      </c>
    </row>
    <row r="33" spans="2:9" x14ac:dyDescent="0.35">
      <c r="B33" s="6" t="s">
        <v>839</v>
      </c>
      <c r="C33" s="407" t="s">
        <v>148</v>
      </c>
      <c r="D33" s="6">
        <f t="shared" si="22"/>
        <v>50</v>
      </c>
      <c r="E33" s="402">
        <f>IF('4.) Affordable Housing'!J31="YES",'4.) Affordable Housing'!$J$28*'Action 4 Calculations'!D33,'4.) Affordable Housing'!$J$25*'Action 4 Calculations'!D33)</f>
        <v>50000000</v>
      </c>
      <c r="F33" s="56">
        <f t="shared" si="24"/>
        <v>-130817.60377247387</v>
      </c>
      <c r="G33" s="56">
        <f t="shared" si="23"/>
        <v>-87298.947584164242</v>
      </c>
      <c r="H33" s="56">
        <f t="shared" si="25"/>
        <v>-55375.091676888173</v>
      </c>
      <c r="I33" s="56">
        <f t="shared" si="26"/>
        <v>-273491.64303352626</v>
      </c>
    </row>
    <row r="34" spans="2:9" x14ac:dyDescent="0.35">
      <c r="B34" s="6" t="s">
        <v>840</v>
      </c>
      <c r="C34" s="407" t="s">
        <v>148</v>
      </c>
      <c r="D34" s="6">
        <f t="shared" si="22"/>
        <v>111</v>
      </c>
      <c r="E34" s="402">
        <f>IF('4.) Affordable Housing'!J32="YES",'4.) Affordable Housing'!$J$28*'Action 4 Calculations'!D34,'4.) Affordable Housing'!$J$25*'Action 4 Calculations'!D34)</f>
        <v>111000000</v>
      </c>
      <c r="F34" s="56">
        <f t="shared" si="24"/>
        <v>-357023.40133527003</v>
      </c>
      <c r="G34" s="56">
        <f t="shared" si="23"/>
        <v>-309076.93646480388</v>
      </c>
      <c r="H34" s="56">
        <f t="shared" si="25"/>
        <v>-196052.34845986724</v>
      </c>
      <c r="I34" s="56">
        <f t="shared" si="26"/>
        <v>-862152.6862599412</v>
      </c>
    </row>
    <row r="35" spans="2:9" x14ac:dyDescent="0.35">
      <c r="F35" s="51">
        <f>SUM(F28:F34)</f>
        <v>-3399380.8203329318</v>
      </c>
      <c r="G35" s="51">
        <f t="shared" ref="G35:I35" si="27">SUM(G28:G34)</f>
        <v>-2339343.4540759111</v>
      </c>
      <c r="H35" s="51">
        <f t="shared" si="27"/>
        <v>-1278076.1123314667</v>
      </c>
      <c r="I35" s="51">
        <f t="shared" si="27"/>
        <v>-7016800.3867403092</v>
      </c>
    </row>
    <row r="36" spans="2:9" x14ac:dyDescent="0.35">
      <c r="H36" s="51"/>
    </row>
    <row r="37" spans="2:9" x14ac:dyDescent="0.35">
      <c r="H37" s="51"/>
    </row>
    <row r="38" spans="2:9" x14ac:dyDescent="0.35">
      <c r="B38" s="347" t="s">
        <v>849</v>
      </c>
      <c r="C38" s="40">
        <f>SUMIFS(I28:I34,C28:C34,"YES")/SUMIFS(D28:D34,C28:C34,"YES")</f>
        <v>-5971.7450099917523</v>
      </c>
      <c r="H38" s="51"/>
    </row>
    <row r="39" spans="2:9" x14ac:dyDescent="0.35">
      <c r="B39" s="347" t="s">
        <v>850</v>
      </c>
      <c r="C39" s="40">
        <f>C38/AA11</f>
        <v>-17.209639798247125</v>
      </c>
    </row>
  </sheetData>
  <sheetProtection sheet="1" objects="1" scenarios="1"/>
  <protectedRanges>
    <protectedRange sqref="C28:C34" name="Range1"/>
  </protectedRanges>
  <mergeCells count="10">
    <mergeCell ref="AM14:AN14"/>
    <mergeCell ref="N14:U14"/>
    <mergeCell ref="J14:M14"/>
    <mergeCell ref="D14:I14"/>
    <mergeCell ref="B14:C14"/>
    <mergeCell ref="AI15:AL15"/>
    <mergeCell ref="AD14:AH14"/>
    <mergeCell ref="X14:AC14"/>
    <mergeCell ref="V14:W14"/>
    <mergeCell ref="AI14:AL14"/>
  </mergeCells>
  <dataValidations count="1">
    <dataValidation type="list" allowBlank="1" showInputMessage="1" showErrorMessage="1" sqref="C28:C34" xr:uid="{3F6585D6-136A-479B-87EC-2FFF23611BE3}">
      <formula1>$AT$3:$AT$4</formula1>
    </dataValidation>
  </dataValidations>
  <pageMargins left="0.7" right="0.7" top="0.75" bottom="0.75" header="0.3" footer="0.3"/>
  <pageSetup orientation="portrait" horizontalDpi="1200" verticalDpi="1200"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DAC7F-6369-43AF-8878-BC4AFDB187EC}">
  <sheetPr>
    <tabColor theme="5"/>
  </sheetPr>
  <dimension ref="B2:R292"/>
  <sheetViews>
    <sheetView topLeftCell="A202" zoomScale="90" zoomScaleNormal="90" workbookViewId="0">
      <selection activeCell="C37" sqref="C37"/>
    </sheetView>
  </sheetViews>
  <sheetFormatPr defaultRowHeight="14.5" x14ac:dyDescent="0.35"/>
  <cols>
    <col min="2" max="2" width="77.453125" customWidth="1"/>
    <col min="3" max="3" width="26.453125" customWidth="1"/>
    <col min="4" max="4" width="32.26953125" bestFit="1" customWidth="1"/>
    <col min="5" max="5" width="54.81640625" bestFit="1" customWidth="1"/>
    <col min="8" max="8" width="49.453125" customWidth="1"/>
    <col min="9" max="9" width="18.26953125" customWidth="1"/>
    <col min="10" max="10" width="35" customWidth="1"/>
    <col min="11" max="11" width="56.26953125" customWidth="1"/>
  </cols>
  <sheetData>
    <row r="2" spans="2:14" ht="31" x14ac:dyDescent="0.7">
      <c r="B2" s="8" t="s">
        <v>172</v>
      </c>
    </row>
    <row r="4" spans="2:14" ht="21" x14ac:dyDescent="0.5">
      <c r="B4" s="216" t="s">
        <v>851</v>
      </c>
    </row>
    <row r="5" spans="2:14" x14ac:dyDescent="0.35">
      <c r="B5" s="2"/>
    </row>
    <row r="6" spans="2:14" x14ac:dyDescent="0.35">
      <c r="B6" s="54" t="s">
        <v>852</v>
      </c>
    </row>
    <row r="7" spans="2:14" x14ac:dyDescent="0.35">
      <c r="B7" s="54" t="s">
        <v>853</v>
      </c>
    </row>
    <row r="8" spans="2:14" x14ac:dyDescent="0.35">
      <c r="B8" s="54"/>
    </row>
    <row r="9" spans="2:14" x14ac:dyDescent="0.35">
      <c r="B9" s="18" t="s">
        <v>854</v>
      </c>
      <c r="C9" s="136"/>
      <c r="D9" s="136"/>
      <c r="E9" s="136"/>
      <c r="F9" s="136"/>
      <c r="G9" s="136"/>
      <c r="H9" s="136"/>
      <c r="I9" s="136"/>
      <c r="J9" s="136"/>
      <c r="K9" s="136"/>
      <c r="L9" s="136"/>
      <c r="M9" s="136"/>
      <c r="N9" s="136"/>
    </row>
    <row r="10" spans="2:14" x14ac:dyDescent="0.35">
      <c r="B10" s="54"/>
    </row>
    <row r="11" spans="2:14" x14ac:dyDescent="0.35">
      <c r="B11" s="54" t="s">
        <v>709</v>
      </c>
    </row>
    <row r="12" spans="2:14" x14ac:dyDescent="0.35">
      <c r="B12" s="54" t="s">
        <v>855</v>
      </c>
    </row>
    <row r="14" spans="2:14" x14ac:dyDescent="0.35">
      <c r="B14" s="26" t="s">
        <v>687</v>
      </c>
      <c r="C14" s="26" t="s">
        <v>688</v>
      </c>
      <c r="D14" s="26" t="s">
        <v>276</v>
      </c>
      <c r="E14" s="26" t="s">
        <v>689</v>
      </c>
    </row>
    <row r="15" spans="2:14" x14ac:dyDescent="0.35">
      <c r="B15" s="7" t="s">
        <v>856</v>
      </c>
      <c r="C15" s="169">
        <f>'5.) Clipper Start - Bay Pass'!$M$32</f>
        <v>800</v>
      </c>
      <c r="D15" s="7" t="s">
        <v>691</v>
      </c>
      <c r="E15" s="7"/>
    </row>
    <row r="16" spans="2:14" x14ac:dyDescent="0.35">
      <c r="B16" s="7" t="s">
        <v>857</v>
      </c>
      <c r="C16" s="169">
        <f>C15*'5.) Clipper Start - Bay Pass'!$M$34</f>
        <v>400</v>
      </c>
      <c r="D16" s="6" t="s">
        <v>691</v>
      </c>
      <c r="E16" s="7" t="s">
        <v>858</v>
      </c>
    </row>
    <row r="17" spans="2:14" ht="29" x14ac:dyDescent="0.35">
      <c r="B17" s="7" t="s">
        <v>859</v>
      </c>
      <c r="C17" s="46">
        <f>'5.) Clipper Start - Bay Pass'!$M$35</f>
        <v>0.19</v>
      </c>
      <c r="D17" s="7" t="s">
        <v>691</v>
      </c>
      <c r="E17" s="7" t="s">
        <v>860</v>
      </c>
    </row>
    <row r="18" spans="2:14" ht="29" x14ac:dyDescent="0.35">
      <c r="B18" s="7" t="s">
        <v>861</v>
      </c>
      <c r="C18" s="58">
        <v>1</v>
      </c>
      <c r="D18" s="6" t="s">
        <v>691</v>
      </c>
      <c r="E18" s="7" t="s">
        <v>862</v>
      </c>
    </row>
    <row r="19" spans="2:14" x14ac:dyDescent="0.35">
      <c r="B19" s="7" t="s">
        <v>863</v>
      </c>
      <c r="C19" s="48">
        <f>IF('5.) Clipper Start - Bay Pass'!Q32="NO",SUMIFS('Model Modeshare by TAZ'!G4:G2983,'Model Modeshare by TAZ'!D4:D2983,"YES")/SUMIFS('Model Modeshare by TAZ'!J4:J2983,'Model Modeshare by TAZ'!D4:D2983,"YES"),'5.) Clipper Start - Bay Pass'!Q33)</f>
        <v>2.5808312579023707E-2</v>
      </c>
      <c r="D19" s="7" t="s">
        <v>699</v>
      </c>
      <c r="E19" s="7" t="s">
        <v>700</v>
      </c>
    </row>
    <row r="20" spans="2:14" x14ac:dyDescent="0.35">
      <c r="B20" s="7" t="s">
        <v>864</v>
      </c>
      <c r="C20" s="27">
        <v>-0.43</v>
      </c>
      <c r="D20" s="7" t="s">
        <v>696</v>
      </c>
      <c r="E20" s="7"/>
    </row>
    <row r="21" spans="2:14" x14ac:dyDescent="0.35">
      <c r="B21" s="7" t="s">
        <v>865</v>
      </c>
      <c r="C21" s="47">
        <v>0.5</v>
      </c>
      <c r="D21" s="7" t="s">
        <v>696</v>
      </c>
      <c r="E21" s="7"/>
    </row>
    <row r="22" spans="2:14" x14ac:dyDescent="0.35">
      <c r="B22" s="7" t="s">
        <v>866</v>
      </c>
      <c r="C22" s="34">
        <v>1</v>
      </c>
      <c r="D22" s="7" t="s">
        <v>696</v>
      </c>
      <c r="E22" s="28"/>
    </row>
    <row r="23" spans="2:14" ht="16" x14ac:dyDescent="0.45">
      <c r="B23" s="303" t="s">
        <v>704</v>
      </c>
      <c r="C23" s="29">
        <f>(C16/C15)*C20*C17*C18*C19*C21*C22</f>
        <v>-5.2713478442655915E-4</v>
      </c>
    </row>
    <row r="24" spans="2:14" x14ac:dyDescent="0.35">
      <c r="E24" s="30"/>
    </row>
    <row r="25" spans="2:14" ht="16" x14ac:dyDescent="0.45">
      <c r="B25" s="66" t="s">
        <v>705</v>
      </c>
      <c r="C25" s="33"/>
    </row>
    <row r="26" spans="2:14" ht="16" x14ac:dyDescent="0.45">
      <c r="B26" s="371" t="s">
        <v>706</v>
      </c>
      <c r="C26" s="31" t="s">
        <v>867</v>
      </c>
    </row>
    <row r="27" spans="2:14" x14ac:dyDescent="0.35">
      <c r="E27" s="32"/>
    </row>
    <row r="28" spans="2:14" x14ac:dyDescent="0.35">
      <c r="B28" s="153" t="s">
        <v>868</v>
      </c>
      <c r="C28" s="56">
        <f>SUMIFS('Model VMT by TAZ'!G4:G2983,'Model VMT by TAZ'!C4:C2983,"YES")</f>
        <v>9094837.4200000018</v>
      </c>
    </row>
    <row r="29" spans="2:14" x14ac:dyDescent="0.35">
      <c r="B29" s="153" t="s">
        <v>869</v>
      </c>
      <c r="C29" s="56">
        <f>C28*C23</f>
        <v>-4794.2051627863048</v>
      </c>
    </row>
    <row r="30" spans="2:14" x14ac:dyDescent="0.35">
      <c r="B30" s="54"/>
    </row>
    <row r="32" spans="2:14" x14ac:dyDescent="0.35">
      <c r="B32" s="18" t="s">
        <v>870</v>
      </c>
      <c r="C32" s="136"/>
      <c r="D32" s="136"/>
      <c r="E32" s="136"/>
      <c r="F32" s="136"/>
      <c r="G32" s="136"/>
      <c r="H32" s="136"/>
      <c r="I32" s="136"/>
      <c r="J32" s="136"/>
      <c r="K32" s="136"/>
      <c r="L32" s="136"/>
      <c r="M32" s="136"/>
      <c r="N32" s="136"/>
    </row>
    <row r="33" spans="2:18" x14ac:dyDescent="0.35">
      <c r="B33" s="2"/>
    </row>
    <row r="34" spans="2:18" x14ac:dyDescent="0.35">
      <c r="B34" s="54" t="s">
        <v>709</v>
      </c>
    </row>
    <row r="35" spans="2:18" x14ac:dyDescent="0.35">
      <c r="B35" s="54" t="s">
        <v>855</v>
      </c>
    </row>
    <row r="36" spans="2:18" x14ac:dyDescent="0.35">
      <c r="B36" s="54"/>
    </row>
    <row r="37" spans="2:18" x14ac:dyDescent="0.35">
      <c r="B37" s="153" t="s">
        <v>871</v>
      </c>
      <c r="C37" s="6" t="s">
        <v>355</v>
      </c>
      <c r="H37" s="153" t="s">
        <v>871</v>
      </c>
      <c r="I37" s="6" t="s">
        <v>375</v>
      </c>
    </row>
    <row r="39" spans="2:18" x14ac:dyDescent="0.35">
      <c r="B39" s="26" t="s">
        <v>687</v>
      </c>
      <c r="C39" s="26" t="s">
        <v>688</v>
      </c>
      <c r="D39" s="26" t="s">
        <v>276</v>
      </c>
      <c r="E39" s="26" t="s">
        <v>689</v>
      </c>
      <c r="H39" s="26" t="s">
        <v>687</v>
      </c>
      <c r="I39" s="26" t="s">
        <v>688</v>
      </c>
      <c r="J39" s="26" t="s">
        <v>276</v>
      </c>
      <c r="K39" s="26" t="s">
        <v>689</v>
      </c>
    </row>
    <row r="40" spans="2:18" x14ac:dyDescent="0.35">
      <c r="B40" s="7" t="s">
        <v>856</v>
      </c>
      <c r="C40" s="169">
        <f>'5.) Clipper Start - Bay Pass'!$M$32</f>
        <v>800</v>
      </c>
      <c r="D40" s="7" t="s">
        <v>691</v>
      </c>
      <c r="E40" s="7"/>
      <c r="H40" s="7" t="s">
        <v>856</v>
      </c>
      <c r="I40" s="169">
        <f>'5.) Clipper Start - Bay Pass'!$M$32</f>
        <v>800</v>
      </c>
      <c r="J40" s="7" t="s">
        <v>691</v>
      </c>
      <c r="K40" s="7"/>
      <c r="R40" s="2"/>
    </row>
    <row r="41" spans="2:18" x14ac:dyDescent="0.35">
      <c r="B41" s="7" t="s">
        <v>857</v>
      </c>
      <c r="C41" s="169">
        <f>C40*'5.) Clipper Start - Bay Pass'!$M$34</f>
        <v>400</v>
      </c>
      <c r="D41" s="6" t="s">
        <v>691</v>
      </c>
      <c r="E41" s="7" t="s">
        <v>858</v>
      </c>
      <c r="H41" s="7" t="s">
        <v>857</v>
      </c>
      <c r="I41" s="169">
        <f>I40*'5.) Clipper Start - Bay Pass'!$M$34</f>
        <v>400</v>
      </c>
      <c r="J41" s="6" t="s">
        <v>691</v>
      </c>
      <c r="K41" s="7" t="s">
        <v>858</v>
      </c>
    </row>
    <row r="42" spans="2:18" ht="29" x14ac:dyDescent="0.35">
      <c r="B42" s="7" t="s">
        <v>859</v>
      </c>
      <c r="C42" s="46">
        <f>'5.) Clipper Start - Bay Pass'!$M$35</f>
        <v>0.19</v>
      </c>
      <c r="D42" s="7" t="s">
        <v>691</v>
      </c>
      <c r="E42" s="7" t="s">
        <v>860</v>
      </c>
      <c r="F42" s="116"/>
      <c r="H42" s="7" t="s">
        <v>859</v>
      </c>
      <c r="I42" s="46">
        <f>'5.) Clipper Start - Bay Pass'!$M$35</f>
        <v>0.19</v>
      </c>
      <c r="J42" s="7" t="s">
        <v>691</v>
      </c>
      <c r="K42" s="7" t="s">
        <v>860</v>
      </c>
    </row>
    <row r="43" spans="2:18" ht="29" x14ac:dyDescent="0.35">
      <c r="B43" s="7" t="s">
        <v>861</v>
      </c>
      <c r="C43" s="58">
        <v>1</v>
      </c>
      <c r="D43" s="6" t="s">
        <v>691</v>
      </c>
      <c r="E43" s="7" t="s">
        <v>862</v>
      </c>
      <c r="H43" s="7" t="s">
        <v>861</v>
      </c>
      <c r="I43" s="58">
        <v>1</v>
      </c>
      <c r="J43" s="6" t="s">
        <v>691</v>
      </c>
      <c r="K43" s="7" t="s">
        <v>862</v>
      </c>
    </row>
    <row r="44" spans="2:18" x14ac:dyDescent="0.35">
      <c r="B44" s="7" t="s">
        <v>863</v>
      </c>
      <c r="C44" s="48">
        <f>IF('5.) Clipper Start - Bay Pass'!$Q$32="NO",SUMIFS('Model Modeshare by TAZ'!$G$4:$G$2983,'Model Modeshare by TAZ'!$B$4:$B$2983,'Action 5 Calculations'!C37)/SUMIFS('Model Modeshare by TAZ'!$J$4:$J$2983,'Model Modeshare by TAZ'!$B$4:$B$2983,'Action 5 Calculations'!C37),'5.) Clipper Start - Bay Pass'!$Q$33)</f>
        <v>1.4344247125968806E-2</v>
      </c>
      <c r="D44" s="7" t="s">
        <v>699</v>
      </c>
      <c r="E44" s="7" t="s">
        <v>700</v>
      </c>
      <c r="H44" s="7" t="s">
        <v>863</v>
      </c>
      <c r="I44" s="48">
        <f>IF('5.) Clipper Start - Bay Pass'!$Q$32="NO",SUMIFS('Model Modeshare by TAZ'!$G$4:$G$2983,'Model Modeshare by TAZ'!$B$4:$B$2983,'Action 5 Calculations'!I37)/SUMIFS('Model Modeshare by TAZ'!$J$4:$J$2983,'Model Modeshare by TAZ'!$B$4:$B$2983,'Action 5 Calculations'!I37),'5.) Clipper Start - Bay Pass'!$Q$33)</f>
        <v>2.628937221871246E-2</v>
      </c>
      <c r="J44" s="7" t="s">
        <v>699</v>
      </c>
      <c r="K44" s="7" t="s">
        <v>700</v>
      </c>
    </row>
    <row r="45" spans="2:18" x14ac:dyDescent="0.35">
      <c r="B45" s="7" t="s">
        <v>864</v>
      </c>
      <c r="C45" s="27">
        <v>-0.43</v>
      </c>
      <c r="D45" s="7" t="s">
        <v>696</v>
      </c>
      <c r="E45" s="7"/>
      <c r="H45" s="7" t="s">
        <v>864</v>
      </c>
      <c r="I45" s="27">
        <v>-0.43</v>
      </c>
      <c r="J45" s="7" t="s">
        <v>696</v>
      </c>
      <c r="K45" s="7"/>
    </row>
    <row r="46" spans="2:18" ht="29" x14ac:dyDescent="0.35">
      <c r="B46" s="7" t="s">
        <v>865</v>
      </c>
      <c r="C46" s="47">
        <v>0.5</v>
      </c>
      <c r="D46" s="7" t="s">
        <v>696</v>
      </c>
      <c r="E46" s="7"/>
      <c r="H46" s="7" t="s">
        <v>865</v>
      </c>
      <c r="I46" s="47">
        <v>0.5</v>
      </c>
      <c r="J46" s="7" t="s">
        <v>696</v>
      </c>
      <c r="K46" s="7"/>
    </row>
    <row r="47" spans="2:18" x14ac:dyDescent="0.35">
      <c r="B47" s="7" t="s">
        <v>866</v>
      </c>
      <c r="C47" s="34">
        <v>1</v>
      </c>
      <c r="D47" s="7" t="s">
        <v>696</v>
      </c>
      <c r="E47" s="28"/>
      <c r="H47" s="7" t="s">
        <v>866</v>
      </c>
      <c r="I47" s="34">
        <v>1</v>
      </c>
      <c r="J47" s="7" t="s">
        <v>696</v>
      </c>
      <c r="K47" s="28"/>
    </row>
    <row r="48" spans="2:18" ht="16" x14ac:dyDescent="0.45">
      <c r="B48" s="303" t="s">
        <v>704</v>
      </c>
      <c r="C48" s="29">
        <f>(C41/C40)*C45*C42*C43*C44*C46*C47</f>
        <v>-2.9298124754791282E-4</v>
      </c>
      <c r="H48" s="303" t="s">
        <v>704</v>
      </c>
      <c r="I48" s="29">
        <f>(I41/I40)*I45*I42*I43*I44*I46*I47</f>
        <v>-5.3696042756720198E-4</v>
      </c>
    </row>
    <row r="49" spans="2:11" x14ac:dyDescent="0.35">
      <c r="E49" s="30"/>
      <c r="K49" s="30"/>
    </row>
    <row r="50" spans="2:11" ht="16" x14ac:dyDescent="0.45">
      <c r="B50" s="66" t="s">
        <v>705</v>
      </c>
      <c r="C50" s="33"/>
      <c r="H50" s="66" t="s">
        <v>705</v>
      </c>
      <c r="I50" s="33"/>
    </row>
    <row r="51" spans="2:11" ht="16" x14ac:dyDescent="0.45">
      <c r="B51" s="371" t="s">
        <v>706</v>
      </c>
      <c r="C51" s="31" t="s">
        <v>867</v>
      </c>
      <c r="H51" s="371" t="s">
        <v>706</v>
      </c>
      <c r="I51" s="31" t="s">
        <v>867</v>
      </c>
    </row>
    <row r="52" spans="2:11" x14ac:dyDescent="0.35">
      <c r="E52" s="32"/>
      <c r="K52" s="32"/>
    </row>
    <row r="53" spans="2:11" x14ac:dyDescent="0.35">
      <c r="B53" s="153" t="s">
        <v>868</v>
      </c>
      <c r="C53" s="56">
        <f>SUMIFS('Model VMT by TAZ'!$G$4:$G$2983,'Model VMT by TAZ'!$B$4:$B$2983,'Action 5 Calculations'!C37)</f>
        <v>79076.259999999995</v>
      </c>
      <c r="H53" s="153" t="s">
        <v>868</v>
      </c>
      <c r="I53" s="56">
        <f>SUMIFS('Model VMT by TAZ'!$G$4:$G$2983,'Model VMT by TAZ'!$B$4:$B$2983,'Action 5 Calculations'!I37)</f>
        <v>377266.17</v>
      </c>
    </row>
    <row r="54" spans="2:11" x14ac:dyDescent="0.35">
      <c r="B54" s="153" t="s">
        <v>869</v>
      </c>
      <c r="C54" s="56">
        <f>C53*C48</f>
        <v>-23.167861306223116</v>
      </c>
      <c r="H54" s="153" t="s">
        <v>869</v>
      </c>
      <c r="I54" s="56">
        <f>I53*I48</f>
        <v>-202.5770039498407</v>
      </c>
    </row>
    <row r="55" spans="2:11" x14ac:dyDescent="0.35">
      <c r="B55" s="32"/>
    </row>
    <row r="57" spans="2:11" x14ac:dyDescent="0.35">
      <c r="B57" s="153" t="s">
        <v>871</v>
      </c>
      <c r="C57" s="6" t="s">
        <v>359</v>
      </c>
      <c r="H57" s="153" t="s">
        <v>871</v>
      </c>
      <c r="I57" s="6" t="s">
        <v>376</v>
      </c>
    </row>
    <row r="59" spans="2:11" x14ac:dyDescent="0.35">
      <c r="B59" s="26" t="s">
        <v>687</v>
      </c>
      <c r="C59" s="26" t="s">
        <v>688</v>
      </c>
      <c r="D59" s="26" t="s">
        <v>276</v>
      </c>
      <c r="E59" s="26" t="s">
        <v>689</v>
      </c>
      <c r="H59" s="26" t="s">
        <v>687</v>
      </c>
      <c r="I59" s="26" t="s">
        <v>688</v>
      </c>
      <c r="J59" s="26" t="s">
        <v>276</v>
      </c>
      <c r="K59" s="26" t="s">
        <v>689</v>
      </c>
    </row>
    <row r="60" spans="2:11" x14ac:dyDescent="0.35">
      <c r="B60" s="7" t="s">
        <v>856</v>
      </c>
      <c r="C60" s="169">
        <f>'5.) Clipper Start - Bay Pass'!$M$32</f>
        <v>800</v>
      </c>
      <c r="D60" s="7" t="s">
        <v>691</v>
      </c>
      <c r="E60" s="7"/>
      <c r="H60" s="7" t="s">
        <v>856</v>
      </c>
      <c r="I60" s="169">
        <f>'5.) Clipper Start - Bay Pass'!$M$32</f>
        <v>800</v>
      </c>
      <c r="J60" s="7" t="s">
        <v>691</v>
      </c>
      <c r="K60" s="7"/>
    </row>
    <row r="61" spans="2:11" x14ac:dyDescent="0.35">
      <c r="B61" s="7" t="s">
        <v>857</v>
      </c>
      <c r="C61" s="169">
        <f>C60*'5.) Clipper Start - Bay Pass'!$M$34</f>
        <v>400</v>
      </c>
      <c r="D61" s="6" t="s">
        <v>691</v>
      </c>
      <c r="E61" s="7" t="s">
        <v>858</v>
      </c>
      <c r="H61" s="7" t="s">
        <v>857</v>
      </c>
      <c r="I61" s="169">
        <f>I60*'5.) Clipper Start - Bay Pass'!$M$34</f>
        <v>400</v>
      </c>
      <c r="J61" s="6" t="s">
        <v>691</v>
      </c>
      <c r="K61" s="7" t="s">
        <v>858</v>
      </c>
    </row>
    <row r="62" spans="2:11" ht="29" x14ac:dyDescent="0.35">
      <c r="B62" s="7" t="s">
        <v>859</v>
      </c>
      <c r="C62" s="46">
        <f>'5.) Clipper Start - Bay Pass'!$M$35</f>
        <v>0.19</v>
      </c>
      <c r="D62" s="7" t="s">
        <v>691</v>
      </c>
      <c r="E62" s="7" t="s">
        <v>860</v>
      </c>
      <c r="H62" s="7" t="s">
        <v>859</v>
      </c>
      <c r="I62" s="46">
        <f>'5.) Clipper Start - Bay Pass'!$M$35</f>
        <v>0.19</v>
      </c>
      <c r="J62" s="7" t="s">
        <v>691</v>
      </c>
      <c r="K62" s="7" t="s">
        <v>860</v>
      </c>
    </row>
    <row r="63" spans="2:11" ht="29" x14ac:dyDescent="0.35">
      <c r="B63" s="7" t="s">
        <v>861</v>
      </c>
      <c r="C63" s="58">
        <v>1</v>
      </c>
      <c r="D63" s="6" t="s">
        <v>691</v>
      </c>
      <c r="E63" s="7" t="s">
        <v>862</v>
      </c>
      <c r="H63" s="7" t="s">
        <v>861</v>
      </c>
      <c r="I63" s="58">
        <v>1</v>
      </c>
      <c r="J63" s="6" t="s">
        <v>691</v>
      </c>
      <c r="K63" s="7" t="s">
        <v>862</v>
      </c>
    </row>
    <row r="64" spans="2:11" x14ac:dyDescent="0.35">
      <c r="B64" s="7" t="s">
        <v>863</v>
      </c>
      <c r="C64" s="48">
        <f>IF('5.) Clipper Start - Bay Pass'!$Q$32="NO",SUMIFS('Model Modeshare by TAZ'!$G$4:$G$2983,'Model Modeshare by TAZ'!$B$4:$B$2983,'Action 5 Calculations'!C57)/SUMIFS('Model Modeshare by TAZ'!$J$4:$J$2983,'Model Modeshare by TAZ'!$B$4:$B$2983,'Action 5 Calculations'!C57),'5.) Clipper Start - Bay Pass'!$Q$33)</f>
        <v>1.74212951769257E-2</v>
      </c>
      <c r="D64" s="7" t="s">
        <v>699</v>
      </c>
      <c r="E64" s="7" t="s">
        <v>700</v>
      </c>
      <c r="H64" s="7" t="s">
        <v>863</v>
      </c>
      <c r="I64" s="48">
        <f>IF('5.) Clipper Start - Bay Pass'!$Q$32="NO",SUMIFS('Model Modeshare by TAZ'!$G$4:$G$2983,'Model Modeshare by TAZ'!$B$4:$B$2983,'Action 5 Calculations'!I57)/SUMIFS('Model Modeshare by TAZ'!$J$4:$J$2983,'Model Modeshare by TAZ'!$B$4:$B$2983,'Action 5 Calculations'!I57),'5.) Clipper Start - Bay Pass'!$Q$33)</f>
        <v>2.8617089287417703E-2</v>
      </c>
      <c r="J64" s="7" t="s">
        <v>699</v>
      </c>
      <c r="K64" s="7" t="s">
        <v>700</v>
      </c>
    </row>
    <row r="65" spans="2:11" x14ac:dyDescent="0.35">
      <c r="B65" s="7" t="s">
        <v>864</v>
      </c>
      <c r="C65" s="27">
        <v>-0.43</v>
      </c>
      <c r="D65" s="7" t="s">
        <v>696</v>
      </c>
      <c r="E65" s="7"/>
      <c r="H65" s="7" t="s">
        <v>864</v>
      </c>
      <c r="I65" s="27">
        <v>-0.43</v>
      </c>
      <c r="J65" s="7" t="s">
        <v>696</v>
      </c>
      <c r="K65" s="7"/>
    </row>
    <row r="66" spans="2:11" ht="29" x14ac:dyDescent="0.35">
      <c r="B66" s="7" t="s">
        <v>865</v>
      </c>
      <c r="C66" s="47">
        <v>0.5</v>
      </c>
      <c r="D66" s="7" t="s">
        <v>696</v>
      </c>
      <c r="E66" s="7"/>
      <c r="H66" s="7" t="s">
        <v>865</v>
      </c>
      <c r="I66" s="47">
        <v>0.5</v>
      </c>
      <c r="J66" s="7" t="s">
        <v>696</v>
      </c>
      <c r="K66" s="7"/>
    </row>
    <row r="67" spans="2:11" x14ac:dyDescent="0.35">
      <c r="B67" s="7" t="s">
        <v>866</v>
      </c>
      <c r="C67" s="34">
        <v>1</v>
      </c>
      <c r="D67" s="7" t="s">
        <v>696</v>
      </c>
      <c r="E67" s="28"/>
      <c r="H67" s="7" t="s">
        <v>866</v>
      </c>
      <c r="I67" s="34">
        <v>1</v>
      </c>
      <c r="J67" s="7" t="s">
        <v>696</v>
      </c>
      <c r="K67" s="28"/>
    </row>
    <row r="68" spans="2:11" ht="16" x14ac:dyDescent="0.45">
      <c r="B68" s="303" t="s">
        <v>704</v>
      </c>
      <c r="C68" s="29">
        <f>(C61/C60)*C65*C62*C63*C64*C66*C67</f>
        <v>-3.5582995398870742E-4</v>
      </c>
      <c r="H68" s="303" t="s">
        <v>704</v>
      </c>
      <c r="I68" s="29">
        <f>(I61/I60)*I65*I62*I63*I64*I66*I67</f>
        <v>-5.8450404869550652E-4</v>
      </c>
    </row>
    <row r="69" spans="2:11" x14ac:dyDescent="0.35">
      <c r="E69" s="30"/>
      <c r="K69" s="30"/>
    </row>
    <row r="70" spans="2:11" ht="16" x14ac:dyDescent="0.45">
      <c r="B70" s="66" t="s">
        <v>705</v>
      </c>
      <c r="C70" s="33"/>
      <c r="H70" s="66" t="s">
        <v>705</v>
      </c>
      <c r="I70" s="33"/>
    </row>
    <row r="71" spans="2:11" ht="16" x14ac:dyDescent="0.45">
      <c r="B71" s="371" t="s">
        <v>706</v>
      </c>
      <c r="C71" s="31" t="s">
        <v>867</v>
      </c>
      <c r="H71" s="371" t="s">
        <v>706</v>
      </c>
      <c r="I71" s="31" t="s">
        <v>867</v>
      </c>
    </row>
    <row r="72" spans="2:11" x14ac:dyDescent="0.35">
      <c r="E72" s="32"/>
      <c r="K72" s="32"/>
    </row>
    <row r="73" spans="2:11" x14ac:dyDescent="0.35">
      <c r="B73" s="153" t="s">
        <v>868</v>
      </c>
      <c r="C73" s="56">
        <f>SUMIFS('Model VMT by TAZ'!$G$4:$G$2983,'Model VMT by TAZ'!$B$4:$B$2983,'Action 5 Calculations'!C57)</f>
        <v>321745.66000000003</v>
      </c>
      <c r="H73" s="153" t="s">
        <v>868</v>
      </c>
      <c r="I73" s="56">
        <f>SUMIFS('Model VMT by TAZ'!$G$4:$G$2983,'Model VMT by TAZ'!$B$4:$B$2983,'Action 5 Calculations'!I57)</f>
        <v>255352.77000000002</v>
      </c>
    </row>
    <row r="74" spans="2:11" x14ac:dyDescent="0.35">
      <c r="B74" s="153" t="s">
        <v>869</v>
      </c>
      <c r="C74" s="56">
        <f>C73*C68</f>
        <v>-114.48674339386631</v>
      </c>
      <c r="H74" s="153" t="s">
        <v>869</v>
      </c>
      <c r="I74" s="56">
        <f>I73*I68</f>
        <v>-149.25472791061247</v>
      </c>
    </row>
    <row r="77" spans="2:11" x14ac:dyDescent="0.35">
      <c r="B77" s="153" t="s">
        <v>871</v>
      </c>
      <c r="C77" s="6" t="s">
        <v>362</v>
      </c>
      <c r="H77" s="153" t="s">
        <v>871</v>
      </c>
      <c r="I77" s="6" t="s">
        <v>377</v>
      </c>
    </row>
    <row r="79" spans="2:11" x14ac:dyDescent="0.35">
      <c r="B79" s="26" t="s">
        <v>687</v>
      </c>
      <c r="C79" s="26" t="s">
        <v>688</v>
      </c>
      <c r="D79" s="26" t="s">
        <v>276</v>
      </c>
      <c r="E79" s="26" t="s">
        <v>689</v>
      </c>
      <c r="H79" s="26" t="s">
        <v>687</v>
      </c>
      <c r="I79" s="26" t="s">
        <v>688</v>
      </c>
      <c r="J79" s="26" t="s">
        <v>276</v>
      </c>
      <c r="K79" s="26" t="s">
        <v>689</v>
      </c>
    </row>
    <row r="80" spans="2:11" x14ac:dyDescent="0.35">
      <c r="B80" s="7" t="s">
        <v>856</v>
      </c>
      <c r="C80" s="169">
        <f>'5.) Clipper Start - Bay Pass'!$M$32</f>
        <v>800</v>
      </c>
      <c r="D80" s="7" t="s">
        <v>691</v>
      </c>
      <c r="E80" s="7"/>
      <c r="H80" s="7" t="s">
        <v>856</v>
      </c>
      <c r="I80" s="169">
        <f>'5.) Clipper Start - Bay Pass'!$M$32</f>
        <v>800</v>
      </c>
      <c r="J80" s="7" t="s">
        <v>691</v>
      </c>
      <c r="K80" s="7"/>
    </row>
    <row r="81" spans="2:11" x14ac:dyDescent="0.35">
      <c r="B81" s="7" t="s">
        <v>857</v>
      </c>
      <c r="C81" s="169">
        <f>C80*'5.) Clipper Start - Bay Pass'!$M$34</f>
        <v>400</v>
      </c>
      <c r="D81" s="6" t="s">
        <v>691</v>
      </c>
      <c r="E81" s="7" t="s">
        <v>858</v>
      </c>
      <c r="H81" s="7" t="s">
        <v>857</v>
      </c>
      <c r="I81" s="169">
        <f>I80*'5.) Clipper Start - Bay Pass'!$M$34</f>
        <v>400</v>
      </c>
      <c r="J81" s="6" t="s">
        <v>691</v>
      </c>
      <c r="K81" s="7" t="s">
        <v>858</v>
      </c>
    </row>
    <row r="82" spans="2:11" ht="29" x14ac:dyDescent="0.35">
      <c r="B82" s="7" t="s">
        <v>859</v>
      </c>
      <c r="C82" s="46">
        <f>'5.) Clipper Start - Bay Pass'!$M$35</f>
        <v>0.19</v>
      </c>
      <c r="D82" s="7" t="s">
        <v>691</v>
      </c>
      <c r="E82" s="7" t="s">
        <v>860</v>
      </c>
      <c r="H82" s="7" t="s">
        <v>859</v>
      </c>
      <c r="I82" s="46">
        <f>'5.) Clipper Start - Bay Pass'!$M$35</f>
        <v>0.19</v>
      </c>
      <c r="J82" s="7" t="s">
        <v>691</v>
      </c>
      <c r="K82" s="7" t="s">
        <v>860</v>
      </c>
    </row>
    <row r="83" spans="2:11" ht="29" x14ac:dyDescent="0.35">
      <c r="B83" s="7" t="s">
        <v>861</v>
      </c>
      <c r="C83" s="58">
        <v>1</v>
      </c>
      <c r="D83" s="6" t="s">
        <v>691</v>
      </c>
      <c r="E83" s="7" t="s">
        <v>862</v>
      </c>
      <c r="H83" s="7" t="s">
        <v>861</v>
      </c>
      <c r="I83" s="58">
        <v>1</v>
      </c>
      <c r="J83" s="6" t="s">
        <v>691</v>
      </c>
      <c r="K83" s="7" t="s">
        <v>862</v>
      </c>
    </row>
    <row r="84" spans="2:11" x14ac:dyDescent="0.35">
      <c r="B84" s="7" t="s">
        <v>863</v>
      </c>
      <c r="C84" s="48">
        <f>IF('5.) Clipper Start - Bay Pass'!$Q$32="NO",SUMIFS('Model Modeshare by TAZ'!$G$4:$G$2983,'Model Modeshare by TAZ'!$B$4:$B$2983,'Action 5 Calculations'!C77)/SUMIFS('Model Modeshare by TAZ'!$J$4:$J$2983,'Model Modeshare by TAZ'!$B$4:$B$2983,'Action 5 Calculations'!C77),'5.) Clipper Start - Bay Pass'!$Q$33)</f>
        <v>1.3087086026623266E-2</v>
      </c>
      <c r="D84" s="7" t="s">
        <v>699</v>
      </c>
      <c r="E84" s="7" t="s">
        <v>700</v>
      </c>
      <c r="H84" s="7" t="s">
        <v>863</v>
      </c>
      <c r="I84" s="48">
        <f>IF('5.) Clipper Start - Bay Pass'!$Q$32="NO",SUMIFS('Model Modeshare by TAZ'!$G$4:$G$2983,'Model Modeshare by TAZ'!$B$4:$B$2983,'Action 5 Calculations'!I77)/SUMIFS('Model Modeshare by TAZ'!$J$4:$J$2983,'Model Modeshare by TAZ'!$B$4:$B$2983,'Action 5 Calculations'!I77),'5.) Clipper Start - Bay Pass'!$Q$33)</f>
        <v>2.9913323350624379E-2</v>
      </c>
      <c r="J84" s="7" t="s">
        <v>699</v>
      </c>
      <c r="K84" s="7" t="s">
        <v>700</v>
      </c>
    </row>
    <row r="85" spans="2:11" x14ac:dyDescent="0.35">
      <c r="B85" s="7" t="s">
        <v>864</v>
      </c>
      <c r="C85" s="27">
        <v>-0.43</v>
      </c>
      <c r="D85" s="7" t="s">
        <v>696</v>
      </c>
      <c r="E85" s="7"/>
      <c r="H85" s="7" t="s">
        <v>864</v>
      </c>
      <c r="I85" s="27">
        <v>-0.43</v>
      </c>
      <c r="J85" s="7" t="s">
        <v>696</v>
      </c>
      <c r="K85" s="7"/>
    </row>
    <row r="86" spans="2:11" ht="29" x14ac:dyDescent="0.35">
      <c r="B86" s="7" t="s">
        <v>865</v>
      </c>
      <c r="C86" s="47">
        <v>0.5</v>
      </c>
      <c r="D86" s="7" t="s">
        <v>696</v>
      </c>
      <c r="E86" s="7"/>
      <c r="H86" s="7" t="s">
        <v>865</v>
      </c>
      <c r="I86" s="47">
        <v>0.5</v>
      </c>
      <c r="J86" s="7" t="s">
        <v>696</v>
      </c>
      <c r="K86" s="7"/>
    </row>
    <row r="87" spans="2:11" x14ac:dyDescent="0.35">
      <c r="B87" s="7" t="s">
        <v>866</v>
      </c>
      <c r="C87" s="34">
        <v>1</v>
      </c>
      <c r="D87" s="7" t="s">
        <v>696</v>
      </c>
      <c r="E87" s="28"/>
      <c r="H87" s="7" t="s">
        <v>866</v>
      </c>
      <c r="I87" s="34">
        <v>1</v>
      </c>
      <c r="J87" s="7" t="s">
        <v>696</v>
      </c>
      <c r="K87" s="28"/>
    </row>
    <row r="88" spans="2:11" ht="16" x14ac:dyDescent="0.45">
      <c r="B88" s="303" t="s">
        <v>704</v>
      </c>
      <c r="C88" s="29">
        <f>(C81/C80)*C85*C82*C83*C84*C86*C87</f>
        <v>-2.6730373209378017E-4</v>
      </c>
      <c r="H88" s="303" t="s">
        <v>704</v>
      </c>
      <c r="I88" s="29">
        <f>(I81/I80)*I85*I82*I83*I84*I86*I87</f>
        <v>-6.1097962943650291E-4</v>
      </c>
    </row>
    <row r="89" spans="2:11" x14ac:dyDescent="0.35">
      <c r="E89" s="30"/>
      <c r="K89" s="30"/>
    </row>
    <row r="90" spans="2:11" ht="16" x14ac:dyDescent="0.45">
      <c r="B90" s="66" t="s">
        <v>705</v>
      </c>
      <c r="C90" s="33"/>
      <c r="H90" s="66" t="s">
        <v>705</v>
      </c>
      <c r="I90" s="33"/>
    </row>
    <row r="91" spans="2:11" ht="16" x14ac:dyDescent="0.45">
      <c r="B91" s="371" t="s">
        <v>706</v>
      </c>
      <c r="C91" s="31" t="s">
        <v>867</v>
      </c>
      <c r="H91" s="371" t="s">
        <v>706</v>
      </c>
      <c r="I91" s="31" t="s">
        <v>867</v>
      </c>
    </row>
    <row r="92" spans="2:11" x14ac:dyDescent="0.35">
      <c r="E92" s="32"/>
      <c r="K92" s="32"/>
    </row>
    <row r="93" spans="2:11" x14ac:dyDescent="0.35">
      <c r="B93" s="153" t="s">
        <v>868</v>
      </c>
      <c r="C93" s="56">
        <f>SUMIFS('Model VMT by TAZ'!$G$4:$G$2983,'Model VMT by TAZ'!$B$4:$B$2983,'Action 5 Calculations'!C77)</f>
        <v>61246.48</v>
      </c>
      <c r="H93" s="153" t="s">
        <v>868</v>
      </c>
      <c r="I93" s="56">
        <f>SUMIFS('Model VMT by TAZ'!$G$4:$G$2983,'Model VMT by TAZ'!$B$4:$B$2983,'Action 5 Calculations'!I77)</f>
        <v>417068.16999999993</v>
      </c>
    </row>
    <row r="94" spans="2:11" x14ac:dyDescent="0.35">
      <c r="B94" s="153" t="s">
        <v>869</v>
      </c>
      <c r="C94" s="56">
        <f>C93*C88</f>
        <v>-16.371412681607065</v>
      </c>
      <c r="H94" s="153" t="s">
        <v>869</v>
      </c>
      <c r="I94" s="56">
        <f>I93*I88</f>
        <v>-254.82015595636037</v>
      </c>
    </row>
    <row r="97" spans="2:11" x14ac:dyDescent="0.35">
      <c r="B97" s="153" t="s">
        <v>871</v>
      </c>
      <c r="C97" s="6" t="s">
        <v>364</v>
      </c>
      <c r="H97" s="153" t="s">
        <v>871</v>
      </c>
      <c r="I97" s="6" t="s">
        <v>378</v>
      </c>
    </row>
    <row r="99" spans="2:11" x14ac:dyDescent="0.35">
      <c r="B99" s="26" t="s">
        <v>687</v>
      </c>
      <c r="C99" s="26" t="s">
        <v>688</v>
      </c>
      <c r="D99" s="26" t="s">
        <v>276</v>
      </c>
      <c r="E99" s="26" t="s">
        <v>689</v>
      </c>
      <c r="H99" s="26" t="s">
        <v>687</v>
      </c>
      <c r="I99" s="26" t="s">
        <v>688</v>
      </c>
      <c r="J99" s="26" t="s">
        <v>276</v>
      </c>
      <c r="K99" s="26" t="s">
        <v>689</v>
      </c>
    </row>
    <row r="100" spans="2:11" x14ac:dyDescent="0.35">
      <c r="B100" s="7" t="s">
        <v>856</v>
      </c>
      <c r="C100" s="169">
        <f>'5.) Clipper Start - Bay Pass'!$M$32</f>
        <v>800</v>
      </c>
      <c r="D100" s="7" t="s">
        <v>691</v>
      </c>
      <c r="E100" s="7"/>
      <c r="H100" s="7" t="s">
        <v>856</v>
      </c>
      <c r="I100" s="169">
        <f>'5.) Clipper Start - Bay Pass'!$M$32</f>
        <v>800</v>
      </c>
      <c r="J100" s="7" t="s">
        <v>691</v>
      </c>
      <c r="K100" s="7"/>
    </row>
    <row r="101" spans="2:11" x14ac:dyDescent="0.35">
      <c r="B101" s="7" t="s">
        <v>857</v>
      </c>
      <c r="C101" s="169">
        <f>C100*'5.) Clipper Start - Bay Pass'!$M$34</f>
        <v>400</v>
      </c>
      <c r="D101" s="6" t="s">
        <v>691</v>
      </c>
      <c r="E101" s="7" t="s">
        <v>858</v>
      </c>
      <c r="H101" s="7" t="s">
        <v>857</v>
      </c>
      <c r="I101" s="169">
        <f>I100*'5.) Clipper Start - Bay Pass'!$M$34</f>
        <v>400</v>
      </c>
      <c r="J101" s="6" t="s">
        <v>691</v>
      </c>
      <c r="K101" s="7" t="s">
        <v>858</v>
      </c>
    </row>
    <row r="102" spans="2:11" ht="29" x14ac:dyDescent="0.35">
      <c r="B102" s="7" t="s">
        <v>859</v>
      </c>
      <c r="C102" s="46">
        <f>'5.) Clipper Start - Bay Pass'!$M$35</f>
        <v>0.19</v>
      </c>
      <c r="D102" s="7" t="s">
        <v>691</v>
      </c>
      <c r="E102" s="7" t="s">
        <v>860</v>
      </c>
      <c r="H102" s="7" t="s">
        <v>859</v>
      </c>
      <c r="I102" s="46">
        <f>'5.) Clipper Start - Bay Pass'!$M$35</f>
        <v>0.19</v>
      </c>
      <c r="J102" s="7" t="s">
        <v>691</v>
      </c>
      <c r="K102" s="7" t="s">
        <v>860</v>
      </c>
    </row>
    <row r="103" spans="2:11" ht="29" x14ac:dyDescent="0.35">
      <c r="B103" s="7" t="s">
        <v>861</v>
      </c>
      <c r="C103" s="58">
        <v>1</v>
      </c>
      <c r="D103" s="6" t="s">
        <v>691</v>
      </c>
      <c r="E103" s="7" t="s">
        <v>862</v>
      </c>
      <c r="H103" s="7" t="s">
        <v>861</v>
      </c>
      <c r="I103" s="58">
        <v>1</v>
      </c>
      <c r="J103" s="6" t="s">
        <v>691</v>
      </c>
      <c r="K103" s="7" t="s">
        <v>862</v>
      </c>
    </row>
    <row r="104" spans="2:11" x14ac:dyDescent="0.35">
      <c r="B104" s="7" t="s">
        <v>863</v>
      </c>
      <c r="C104" s="48">
        <f>IF('5.) Clipper Start - Bay Pass'!$Q$32="NO",SUMIFS('Model Modeshare by TAZ'!$G$4:$G$2983,'Model Modeshare by TAZ'!$B$4:$B$2983,'Action 5 Calculations'!C97)/SUMIFS('Model Modeshare by TAZ'!$J$4:$J$2983,'Model Modeshare by TAZ'!$B$4:$B$2983,'Action 5 Calculations'!C97),'5.) Clipper Start - Bay Pass'!$Q$33)</f>
        <v>2.6242116771265193E-2</v>
      </c>
      <c r="D104" s="7" t="s">
        <v>699</v>
      </c>
      <c r="E104" s="7" t="s">
        <v>700</v>
      </c>
      <c r="H104" s="7" t="s">
        <v>863</v>
      </c>
      <c r="I104" s="48">
        <f>IF('5.) Clipper Start - Bay Pass'!$Q$32="NO",SUMIFS('Model Modeshare by TAZ'!$G$4:$G$2983,'Model Modeshare by TAZ'!$B$4:$B$2983,'Action 5 Calculations'!I97)/SUMIFS('Model Modeshare by TAZ'!$J$4:$J$2983,'Model Modeshare by TAZ'!$B$4:$B$2983,'Action 5 Calculations'!I97),'5.) Clipper Start - Bay Pass'!$Q$33)</f>
        <v>0</v>
      </c>
      <c r="J104" s="7" t="s">
        <v>699</v>
      </c>
      <c r="K104" s="7" t="s">
        <v>700</v>
      </c>
    </row>
    <row r="105" spans="2:11" x14ac:dyDescent="0.35">
      <c r="B105" s="7" t="s">
        <v>864</v>
      </c>
      <c r="C105" s="27">
        <v>-0.43</v>
      </c>
      <c r="D105" s="7" t="s">
        <v>696</v>
      </c>
      <c r="E105" s="7"/>
      <c r="H105" s="7" t="s">
        <v>864</v>
      </c>
      <c r="I105" s="27">
        <v>-0.43</v>
      </c>
      <c r="J105" s="7" t="s">
        <v>696</v>
      </c>
      <c r="K105" s="7"/>
    </row>
    <row r="106" spans="2:11" ht="29" x14ac:dyDescent="0.35">
      <c r="B106" s="7" t="s">
        <v>865</v>
      </c>
      <c r="C106" s="47">
        <v>0.5</v>
      </c>
      <c r="D106" s="7" t="s">
        <v>696</v>
      </c>
      <c r="E106" s="7"/>
      <c r="H106" s="7" t="s">
        <v>865</v>
      </c>
      <c r="I106" s="47">
        <v>0.5</v>
      </c>
      <c r="J106" s="7" t="s">
        <v>696</v>
      </c>
      <c r="K106" s="7"/>
    </row>
    <row r="107" spans="2:11" x14ac:dyDescent="0.35">
      <c r="B107" s="7" t="s">
        <v>866</v>
      </c>
      <c r="C107" s="34">
        <v>1</v>
      </c>
      <c r="D107" s="7" t="s">
        <v>696</v>
      </c>
      <c r="E107" s="28"/>
      <c r="H107" s="7" t="s">
        <v>866</v>
      </c>
      <c r="I107" s="34">
        <v>1</v>
      </c>
      <c r="J107" s="7" t="s">
        <v>696</v>
      </c>
      <c r="K107" s="28"/>
    </row>
    <row r="108" spans="2:11" ht="16" x14ac:dyDescent="0.45">
      <c r="B108" s="303" t="s">
        <v>704</v>
      </c>
      <c r="C108" s="29">
        <f>(C101/C100)*C105*C102*C103*C104*C106*C107</f>
        <v>-5.3599523505309151E-4</v>
      </c>
      <c r="H108" s="303" t="s">
        <v>704</v>
      </c>
      <c r="I108" s="47">
        <f>(I101/I100)*I105*I102*I103*I104*I106*I107</f>
        <v>0</v>
      </c>
    </row>
    <row r="109" spans="2:11" x14ac:dyDescent="0.35">
      <c r="E109" s="30"/>
      <c r="K109" s="30"/>
    </row>
    <row r="110" spans="2:11" ht="16" x14ac:dyDescent="0.45">
      <c r="B110" s="66" t="s">
        <v>705</v>
      </c>
      <c r="C110" s="33"/>
      <c r="H110" s="66" t="s">
        <v>705</v>
      </c>
      <c r="I110" s="33"/>
    </row>
    <row r="111" spans="2:11" ht="16" x14ac:dyDescent="0.45">
      <c r="B111" s="371" t="s">
        <v>706</v>
      </c>
      <c r="C111" s="31" t="s">
        <v>867</v>
      </c>
      <c r="H111" s="371" t="s">
        <v>706</v>
      </c>
      <c r="I111" s="31" t="s">
        <v>867</v>
      </c>
    </row>
    <row r="112" spans="2:11" x14ac:dyDescent="0.35">
      <c r="E112" s="32"/>
      <c r="K112" s="32"/>
    </row>
    <row r="113" spans="2:11" x14ac:dyDescent="0.35">
      <c r="B113" s="153" t="s">
        <v>868</v>
      </c>
      <c r="C113" s="56">
        <f>SUMIFS('Model VMT by TAZ'!$G$4:$G$2983,'Model VMT by TAZ'!$B$4:$B$2983,'Action 5 Calculations'!C97)</f>
        <v>387320.23000000004</v>
      </c>
      <c r="H113" s="153" t="s">
        <v>868</v>
      </c>
      <c r="I113" s="56">
        <f>SUMIFS('Model VMT by TAZ'!$G$4:$G$2983,'Model VMT by TAZ'!$B$4:$B$2983,'Action 5 Calculations'!I97)</f>
        <v>101071.94</v>
      </c>
    </row>
    <row r="114" spans="2:11" x14ac:dyDescent="0.35">
      <c r="B114" s="153" t="s">
        <v>869</v>
      </c>
      <c r="C114" s="56">
        <f>C113*C108</f>
        <v>-207.6017977196675</v>
      </c>
      <c r="H114" s="153" t="s">
        <v>869</v>
      </c>
      <c r="I114" s="56">
        <f>I113*I108</f>
        <v>0</v>
      </c>
    </row>
    <row r="117" spans="2:11" x14ac:dyDescent="0.35">
      <c r="B117" s="153" t="s">
        <v>871</v>
      </c>
      <c r="C117" s="6" t="s">
        <v>366</v>
      </c>
      <c r="H117" s="153" t="s">
        <v>871</v>
      </c>
      <c r="I117" s="6" t="s">
        <v>379</v>
      </c>
    </row>
    <row r="119" spans="2:11" x14ac:dyDescent="0.35">
      <c r="B119" s="26" t="s">
        <v>687</v>
      </c>
      <c r="C119" s="26" t="s">
        <v>688</v>
      </c>
      <c r="D119" s="26" t="s">
        <v>276</v>
      </c>
      <c r="E119" s="26" t="s">
        <v>689</v>
      </c>
      <c r="H119" s="26" t="s">
        <v>687</v>
      </c>
      <c r="I119" s="26" t="s">
        <v>688</v>
      </c>
      <c r="J119" s="26" t="s">
        <v>276</v>
      </c>
      <c r="K119" s="26" t="s">
        <v>689</v>
      </c>
    </row>
    <row r="120" spans="2:11" x14ac:dyDescent="0.35">
      <c r="B120" s="7" t="s">
        <v>856</v>
      </c>
      <c r="C120" s="169">
        <f>'5.) Clipper Start - Bay Pass'!$M$32</f>
        <v>800</v>
      </c>
      <c r="D120" s="7" t="s">
        <v>691</v>
      </c>
      <c r="E120" s="7"/>
      <c r="H120" s="7" t="s">
        <v>856</v>
      </c>
      <c r="I120" s="169">
        <f>'5.) Clipper Start - Bay Pass'!$M$32</f>
        <v>800</v>
      </c>
      <c r="J120" s="7" t="s">
        <v>691</v>
      </c>
      <c r="K120" s="7"/>
    </row>
    <row r="121" spans="2:11" x14ac:dyDescent="0.35">
      <c r="B121" s="7" t="s">
        <v>857</v>
      </c>
      <c r="C121" s="169">
        <f>C120*'5.) Clipper Start - Bay Pass'!$M$34</f>
        <v>400</v>
      </c>
      <c r="D121" s="6" t="s">
        <v>691</v>
      </c>
      <c r="E121" s="7" t="s">
        <v>858</v>
      </c>
      <c r="H121" s="7" t="s">
        <v>857</v>
      </c>
      <c r="I121" s="169">
        <f>I120*'5.) Clipper Start - Bay Pass'!$M$34</f>
        <v>400</v>
      </c>
      <c r="J121" s="6" t="s">
        <v>691</v>
      </c>
      <c r="K121" s="7" t="s">
        <v>858</v>
      </c>
    </row>
    <row r="122" spans="2:11" ht="29" x14ac:dyDescent="0.35">
      <c r="B122" s="7" t="s">
        <v>859</v>
      </c>
      <c r="C122" s="46">
        <f>'5.) Clipper Start - Bay Pass'!$M$35</f>
        <v>0.19</v>
      </c>
      <c r="D122" s="7" t="s">
        <v>691</v>
      </c>
      <c r="E122" s="7" t="s">
        <v>860</v>
      </c>
      <c r="H122" s="7" t="s">
        <v>859</v>
      </c>
      <c r="I122" s="46">
        <f>'5.) Clipper Start - Bay Pass'!$M$35</f>
        <v>0.19</v>
      </c>
      <c r="J122" s="7" t="s">
        <v>691</v>
      </c>
      <c r="K122" s="7" t="s">
        <v>860</v>
      </c>
    </row>
    <row r="123" spans="2:11" ht="29" x14ac:dyDescent="0.35">
      <c r="B123" s="7" t="s">
        <v>861</v>
      </c>
      <c r="C123" s="58">
        <v>1</v>
      </c>
      <c r="D123" s="6" t="s">
        <v>691</v>
      </c>
      <c r="E123" s="7" t="s">
        <v>862</v>
      </c>
      <c r="H123" s="7" t="s">
        <v>861</v>
      </c>
      <c r="I123" s="58">
        <v>1</v>
      </c>
      <c r="J123" s="6" t="s">
        <v>691</v>
      </c>
      <c r="K123" s="7" t="s">
        <v>862</v>
      </c>
    </row>
    <row r="124" spans="2:11" x14ac:dyDescent="0.35">
      <c r="B124" s="7" t="s">
        <v>863</v>
      </c>
      <c r="C124" s="48">
        <f>IF('5.) Clipper Start - Bay Pass'!$Q$32="NO",SUMIFS('Model Modeshare by TAZ'!$G$4:$G$2983,'Model Modeshare by TAZ'!$B$4:$B$2983,'Action 5 Calculations'!C117)/SUMIFS('Model Modeshare by TAZ'!$J$4:$J$2983,'Model Modeshare by TAZ'!$B$4:$B$2983,'Action 5 Calculations'!C117),'5.) Clipper Start - Bay Pass'!$Q$33)</f>
        <v>3.9014538604900638E-2</v>
      </c>
      <c r="D124" s="7" t="s">
        <v>699</v>
      </c>
      <c r="E124" s="7" t="s">
        <v>700</v>
      </c>
      <c r="H124" s="7" t="s">
        <v>863</v>
      </c>
      <c r="I124" s="48">
        <f>IF('5.) Clipper Start - Bay Pass'!$Q$32="NO",SUMIFS('Model Modeshare by TAZ'!$G$4:$G$2983,'Model Modeshare by TAZ'!$B$4:$B$2983,'Action 5 Calculations'!I117)/SUMIFS('Model Modeshare by TAZ'!$J$4:$J$2983,'Model Modeshare by TAZ'!$B$4:$B$2983,'Action 5 Calculations'!I117),'5.) Clipper Start - Bay Pass'!$Q$33)</f>
        <v>1.7307366422442867E-2</v>
      </c>
      <c r="J124" s="7" t="s">
        <v>699</v>
      </c>
      <c r="K124" s="7" t="s">
        <v>700</v>
      </c>
    </row>
    <row r="125" spans="2:11" x14ac:dyDescent="0.35">
      <c r="B125" s="7" t="s">
        <v>864</v>
      </c>
      <c r="C125" s="27">
        <v>-0.43</v>
      </c>
      <c r="D125" s="7" t="s">
        <v>696</v>
      </c>
      <c r="E125" s="7"/>
      <c r="H125" s="7" t="s">
        <v>864</v>
      </c>
      <c r="I125" s="27">
        <v>-0.43</v>
      </c>
      <c r="J125" s="7" t="s">
        <v>696</v>
      </c>
      <c r="K125" s="7"/>
    </row>
    <row r="126" spans="2:11" ht="29" x14ac:dyDescent="0.35">
      <c r="B126" s="7" t="s">
        <v>865</v>
      </c>
      <c r="C126" s="47">
        <v>0.5</v>
      </c>
      <c r="D126" s="7" t="s">
        <v>696</v>
      </c>
      <c r="E126" s="7"/>
      <c r="H126" s="7" t="s">
        <v>865</v>
      </c>
      <c r="I126" s="47">
        <v>0.5</v>
      </c>
      <c r="J126" s="7" t="s">
        <v>696</v>
      </c>
      <c r="K126" s="7"/>
    </row>
    <row r="127" spans="2:11" x14ac:dyDescent="0.35">
      <c r="B127" s="7" t="s">
        <v>866</v>
      </c>
      <c r="C127" s="34">
        <v>1</v>
      </c>
      <c r="D127" s="7" t="s">
        <v>696</v>
      </c>
      <c r="E127" s="28"/>
      <c r="H127" s="7" t="s">
        <v>866</v>
      </c>
      <c r="I127" s="34">
        <v>1</v>
      </c>
      <c r="J127" s="7" t="s">
        <v>696</v>
      </c>
      <c r="K127" s="28"/>
    </row>
    <row r="128" spans="2:11" ht="16" x14ac:dyDescent="0.45">
      <c r="B128" s="303" t="s">
        <v>704</v>
      </c>
      <c r="C128" s="29">
        <f>(C121/C120)*C125*C122*C123*C124*C126*C127</f>
        <v>-7.9687195100509552E-4</v>
      </c>
      <c r="H128" s="303" t="s">
        <v>704</v>
      </c>
      <c r="I128" s="29">
        <f>(I121/I120)*I125*I122*I123*I124*I126*I127</f>
        <v>-3.5350295917839551E-4</v>
      </c>
    </row>
    <row r="129" spans="2:11" x14ac:dyDescent="0.35">
      <c r="E129" s="30"/>
      <c r="K129" s="30"/>
    </row>
    <row r="130" spans="2:11" ht="16" x14ac:dyDescent="0.45">
      <c r="B130" s="66" t="s">
        <v>705</v>
      </c>
      <c r="C130" s="33"/>
      <c r="H130" s="66" t="s">
        <v>705</v>
      </c>
      <c r="I130" s="33"/>
    </row>
    <row r="131" spans="2:11" ht="16" x14ac:dyDescent="0.45">
      <c r="B131" s="371" t="s">
        <v>706</v>
      </c>
      <c r="C131" s="31" t="s">
        <v>867</v>
      </c>
      <c r="H131" s="371" t="s">
        <v>706</v>
      </c>
      <c r="I131" s="31" t="s">
        <v>867</v>
      </c>
    </row>
    <row r="132" spans="2:11" x14ac:dyDescent="0.35">
      <c r="E132" s="32"/>
      <c r="K132" s="32"/>
    </row>
    <row r="133" spans="2:11" x14ac:dyDescent="0.35">
      <c r="B133" s="153" t="s">
        <v>868</v>
      </c>
      <c r="C133" s="56">
        <f>SUMIFS('Model VMT by TAZ'!$G$4:$G$2983,'Model VMT by TAZ'!$B$4:$B$2983,'Action 5 Calculations'!C117)</f>
        <v>23624.52</v>
      </c>
      <c r="H133" s="153" t="s">
        <v>868</v>
      </c>
      <c r="I133" s="56">
        <f>SUMIFS('Model VMT by TAZ'!$G$4:$G$2983,'Model VMT by TAZ'!$B$4:$B$2983,'Action 5 Calculations'!I117)</f>
        <v>943813.15</v>
      </c>
    </row>
    <row r="134" spans="2:11" x14ac:dyDescent="0.35">
      <c r="B134" s="153" t="s">
        <v>869</v>
      </c>
      <c r="C134" s="56">
        <f>C133*C128</f>
        <v>-18.8257173439589</v>
      </c>
      <c r="H134" s="153" t="s">
        <v>869</v>
      </c>
      <c r="I134" s="56">
        <f>I133*I128</f>
        <v>-333.64074143648287</v>
      </c>
    </row>
    <row r="137" spans="2:11" x14ac:dyDescent="0.35">
      <c r="B137" s="153" t="s">
        <v>871</v>
      </c>
      <c r="C137" s="6" t="s">
        <v>368</v>
      </c>
      <c r="H137" s="153" t="s">
        <v>871</v>
      </c>
      <c r="I137" s="6" t="s">
        <v>380</v>
      </c>
    </row>
    <row r="139" spans="2:11" x14ac:dyDescent="0.35">
      <c r="B139" s="26" t="s">
        <v>687</v>
      </c>
      <c r="C139" s="26" t="s">
        <v>688</v>
      </c>
      <c r="D139" s="26" t="s">
        <v>276</v>
      </c>
      <c r="E139" s="26" t="s">
        <v>689</v>
      </c>
      <c r="H139" s="26" t="s">
        <v>687</v>
      </c>
      <c r="I139" s="26" t="s">
        <v>688</v>
      </c>
      <c r="J139" s="26" t="s">
        <v>276</v>
      </c>
      <c r="K139" s="26" t="s">
        <v>689</v>
      </c>
    </row>
    <row r="140" spans="2:11" x14ac:dyDescent="0.35">
      <c r="B140" s="7" t="s">
        <v>856</v>
      </c>
      <c r="C140" s="169">
        <f>'5.) Clipper Start - Bay Pass'!$M$32</f>
        <v>800</v>
      </c>
      <c r="D140" s="7" t="s">
        <v>691</v>
      </c>
      <c r="E140" s="7"/>
      <c r="H140" s="7" t="s">
        <v>856</v>
      </c>
      <c r="I140" s="169">
        <f>'5.) Clipper Start - Bay Pass'!$M$32</f>
        <v>800</v>
      </c>
      <c r="J140" s="7" t="s">
        <v>691</v>
      </c>
      <c r="K140" s="7"/>
    </row>
    <row r="141" spans="2:11" x14ac:dyDescent="0.35">
      <c r="B141" s="7" t="s">
        <v>857</v>
      </c>
      <c r="C141" s="169">
        <f>C140*'5.) Clipper Start - Bay Pass'!$M$34</f>
        <v>400</v>
      </c>
      <c r="D141" s="6" t="s">
        <v>691</v>
      </c>
      <c r="E141" s="7" t="s">
        <v>858</v>
      </c>
      <c r="H141" s="7" t="s">
        <v>857</v>
      </c>
      <c r="I141" s="169">
        <f>I140*'5.) Clipper Start - Bay Pass'!$M$34</f>
        <v>400</v>
      </c>
      <c r="J141" s="6" t="s">
        <v>691</v>
      </c>
      <c r="K141" s="7" t="s">
        <v>858</v>
      </c>
    </row>
    <row r="142" spans="2:11" ht="29" x14ac:dyDescent="0.35">
      <c r="B142" s="7" t="s">
        <v>859</v>
      </c>
      <c r="C142" s="46">
        <f>'5.) Clipper Start - Bay Pass'!$M$35</f>
        <v>0.19</v>
      </c>
      <c r="D142" s="7" t="s">
        <v>691</v>
      </c>
      <c r="E142" s="7" t="s">
        <v>860</v>
      </c>
      <c r="H142" s="7" t="s">
        <v>859</v>
      </c>
      <c r="I142" s="46">
        <f>'5.) Clipper Start - Bay Pass'!$M$35</f>
        <v>0.19</v>
      </c>
      <c r="J142" s="7" t="s">
        <v>691</v>
      </c>
      <c r="K142" s="7" t="s">
        <v>860</v>
      </c>
    </row>
    <row r="143" spans="2:11" ht="29" x14ac:dyDescent="0.35">
      <c r="B143" s="7" t="s">
        <v>861</v>
      </c>
      <c r="C143" s="58">
        <v>1</v>
      </c>
      <c r="D143" s="6" t="s">
        <v>691</v>
      </c>
      <c r="E143" s="7" t="s">
        <v>862</v>
      </c>
      <c r="H143" s="7" t="s">
        <v>861</v>
      </c>
      <c r="I143" s="58">
        <v>1</v>
      </c>
      <c r="J143" s="6" t="s">
        <v>691</v>
      </c>
      <c r="K143" s="7" t="s">
        <v>862</v>
      </c>
    </row>
    <row r="144" spans="2:11" x14ac:dyDescent="0.35">
      <c r="B144" s="7" t="s">
        <v>863</v>
      </c>
      <c r="C144" s="48">
        <f>IF('5.) Clipper Start - Bay Pass'!$Q$32="NO",SUMIFS('Model Modeshare by TAZ'!$G$4:$G$2983,'Model Modeshare by TAZ'!$B$4:$B$2983,'Action 5 Calculations'!C137)/SUMIFS('Model Modeshare by TAZ'!$J$4:$J$2983,'Model Modeshare by TAZ'!$B$4:$B$2983,'Action 5 Calculations'!C137),'5.) Clipper Start - Bay Pass'!$Q$33)</f>
        <v>5.4819689515614826E-2</v>
      </c>
      <c r="D144" s="7" t="s">
        <v>699</v>
      </c>
      <c r="E144" s="7" t="s">
        <v>700</v>
      </c>
      <c r="H144" s="7" t="s">
        <v>863</v>
      </c>
      <c r="I144" s="48">
        <f>IF('5.) Clipper Start - Bay Pass'!$Q$32="NO",SUMIFS('Model Modeshare by TAZ'!$G$4:$G$2983,'Model Modeshare by TAZ'!$B$4:$B$2983,'Action 5 Calculations'!I137)/SUMIFS('Model Modeshare by TAZ'!$J$4:$J$2983,'Model Modeshare by TAZ'!$B$4:$B$2983,'Action 5 Calculations'!I137),'5.) Clipper Start - Bay Pass'!$Q$33)</f>
        <v>3.2870308740977051E-2</v>
      </c>
      <c r="J144" s="7" t="s">
        <v>699</v>
      </c>
      <c r="K144" s="7" t="s">
        <v>700</v>
      </c>
    </row>
    <row r="145" spans="2:11" x14ac:dyDescent="0.35">
      <c r="B145" s="7" t="s">
        <v>864</v>
      </c>
      <c r="C145" s="27">
        <v>-0.43</v>
      </c>
      <c r="D145" s="7" t="s">
        <v>696</v>
      </c>
      <c r="E145" s="7"/>
      <c r="H145" s="7" t="s">
        <v>864</v>
      </c>
      <c r="I145" s="27">
        <v>-0.43</v>
      </c>
      <c r="J145" s="7" t="s">
        <v>696</v>
      </c>
      <c r="K145" s="7"/>
    </row>
    <row r="146" spans="2:11" ht="29" x14ac:dyDescent="0.35">
      <c r="B146" s="7" t="s">
        <v>865</v>
      </c>
      <c r="C146" s="47">
        <v>0.5</v>
      </c>
      <c r="D146" s="7" t="s">
        <v>696</v>
      </c>
      <c r="E146" s="7"/>
      <c r="H146" s="7" t="s">
        <v>865</v>
      </c>
      <c r="I146" s="47">
        <v>0.5</v>
      </c>
      <c r="J146" s="7" t="s">
        <v>696</v>
      </c>
      <c r="K146" s="7"/>
    </row>
    <row r="147" spans="2:11" x14ac:dyDescent="0.35">
      <c r="B147" s="7" t="s">
        <v>866</v>
      </c>
      <c r="C147" s="34">
        <v>1</v>
      </c>
      <c r="D147" s="7" t="s">
        <v>696</v>
      </c>
      <c r="E147" s="28"/>
      <c r="H147" s="7" t="s">
        <v>866</v>
      </c>
      <c r="I147" s="34">
        <v>1</v>
      </c>
      <c r="J147" s="7" t="s">
        <v>696</v>
      </c>
      <c r="K147" s="28"/>
    </row>
    <row r="148" spans="2:11" ht="16" x14ac:dyDescent="0.45">
      <c r="B148" s="303" t="s">
        <v>704</v>
      </c>
      <c r="C148" s="29">
        <f>(C141/C140)*C145*C142*C143*C144*C146*C147</f>
        <v>-1.1196921583564328E-3</v>
      </c>
      <c r="H148" s="303" t="s">
        <v>704</v>
      </c>
      <c r="I148" s="29">
        <f>(I141/I140)*I145*I142*I143*I144*I146*I147</f>
        <v>-6.7137605603445627E-4</v>
      </c>
    </row>
    <row r="149" spans="2:11" x14ac:dyDescent="0.35">
      <c r="E149" s="30"/>
      <c r="K149" s="30"/>
    </row>
    <row r="150" spans="2:11" ht="16" x14ac:dyDescent="0.45">
      <c r="B150" s="66" t="s">
        <v>705</v>
      </c>
      <c r="C150" s="33"/>
      <c r="H150" s="66" t="s">
        <v>705</v>
      </c>
      <c r="I150" s="33"/>
    </row>
    <row r="151" spans="2:11" ht="16" x14ac:dyDescent="0.45">
      <c r="B151" s="371" t="s">
        <v>706</v>
      </c>
      <c r="C151" s="31" t="s">
        <v>867</v>
      </c>
      <c r="H151" s="371" t="s">
        <v>706</v>
      </c>
      <c r="I151" s="31" t="s">
        <v>867</v>
      </c>
    </row>
    <row r="152" spans="2:11" x14ac:dyDescent="0.35">
      <c r="E152" s="32"/>
      <c r="K152" s="32"/>
    </row>
    <row r="153" spans="2:11" x14ac:dyDescent="0.35">
      <c r="B153" s="153" t="s">
        <v>868</v>
      </c>
      <c r="C153" s="56">
        <f>SUMIFS('Model VMT by TAZ'!$G$4:$G$2983,'Model VMT by TAZ'!$B$4:$B$2983,'Action 5 Calculations'!C137)</f>
        <v>1047654.75</v>
      </c>
      <c r="H153" s="153" t="s">
        <v>868</v>
      </c>
      <c r="I153" s="56">
        <f>SUMIFS('Model VMT by TAZ'!$G$4:$G$2983,'Model VMT by TAZ'!$B$4:$B$2983,'Action 5 Calculations'!I137)</f>
        <v>477388.35</v>
      </c>
    </row>
    <row r="154" spans="2:11" x14ac:dyDescent="0.35">
      <c r="B154" s="153" t="s">
        <v>869</v>
      </c>
      <c r="C154" s="56">
        <f>C153*C148</f>
        <v>-1173.050808239869</v>
      </c>
      <c r="H154" s="153" t="s">
        <v>869</v>
      </c>
      <c r="I154" s="56">
        <f>I153*I148</f>
        <v>-320.50710761979661</v>
      </c>
    </row>
    <row r="157" spans="2:11" x14ac:dyDescent="0.35">
      <c r="B157" s="153" t="s">
        <v>871</v>
      </c>
      <c r="C157" s="6" t="s">
        <v>370</v>
      </c>
      <c r="H157" s="153" t="s">
        <v>871</v>
      </c>
      <c r="I157" s="6" t="s">
        <v>381</v>
      </c>
    </row>
    <row r="159" spans="2:11" x14ac:dyDescent="0.35">
      <c r="B159" s="26" t="s">
        <v>687</v>
      </c>
      <c r="C159" s="26" t="s">
        <v>688</v>
      </c>
      <c r="D159" s="26" t="s">
        <v>276</v>
      </c>
      <c r="E159" s="26" t="s">
        <v>689</v>
      </c>
      <c r="H159" s="26" t="s">
        <v>687</v>
      </c>
      <c r="I159" s="26" t="s">
        <v>688</v>
      </c>
      <c r="J159" s="26" t="s">
        <v>276</v>
      </c>
      <c r="K159" s="26" t="s">
        <v>689</v>
      </c>
    </row>
    <row r="160" spans="2:11" x14ac:dyDescent="0.35">
      <c r="B160" s="7" t="s">
        <v>856</v>
      </c>
      <c r="C160" s="169">
        <f>'5.) Clipper Start - Bay Pass'!$M$32</f>
        <v>800</v>
      </c>
      <c r="D160" s="7" t="s">
        <v>691</v>
      </c>
      <c r="E160" s="7"/>
      <c r="H160" s="7" t="s">
        <v>856</v>
      </c>
      <c r="I160" s="169">
        <f>'5.) Clipper Start - Bay Pass'!$M$32</f>
        <v>800</v>
      </c>
      <c r="J160" s="7" t="s">
        <v>691</v>
      </c>
      <c r="K160" s="7"/>
    </row>
    <row r="161" spans="2:11" x14ac:dyDescent="0.35">
      <c r="B161" s="7" t="s">
        <v>857</v>
      </c>
      <c r="C161" s="169">
        <f>C160*'5.) Clipper Start - Bay Pass'!$M$34</f>
        <v>400</v>
      </c>
      <c r="D161" s="6" t="s">
        <v>691</v>
      </c>
      <c r="E161" s="7" t="s">
        <v>858</v>
      </c>
      <c r="H161" s="7" t="s">
        <v>857</v>
      </c>
      <c r="I161" s="169">
        <f>I160*'5.) Clipper Start - Bay Pass'!$M$34</f>
        <v>400</v>
      </c>
      <c r="J161" s="6" t="s">
        <v>691</v>
      </c>
      <c r="K161" s="7" t="s">
        <v>858</v>
      </c>
    </row>
    <row r="162" spans="2:11" ht="29" x14ac:dyDescent="0.35">
      <c r="B162" s="7" t="s">
        <v>859</v>
      </c>
      <c r="C162" s="46">
        <f>'5.) Clipper Start - Bay Pass'!$M$35</f>
        <v>0.19</v>
      </c>
      <c r="D162" s="7" t="s">
        <v>691</v>
      </c>
      <c r="E162" s="7" t="s">
        <v>860</v>
      </c>
      <c r="H162" s="7" t="s">
        <v>859</v>
      </c>
      <c r="I162" s="46">
        <f>'5.) Clipper Start - Bay Pass'!$M$35</f>
        <v>0.19</v>
      </c>
      <c r="J162" s="7" t="s">
        <v>691</v>
      </c>
      <c r="K162" s="7" t="s">
        <v>860</v>
      </c>
    </row>
    <row r="163" spans="2:11" ht="29" x14ac:dyDescent="0.35">
      <c r="B163" s="7" t="s">
        <v>861</v>
      </c>
      <c r="C163" s="58">
        <v>1</v>
      </c>
      <c r="D163" s="6" t="s">
        <v>691</v>
      </c>
      <c r="E163" s="7" t="s">
        <v>862</v>
      </c>
      <c r="H163" s="7" t="s">
        <v>861</v>
      </c>
      <c r="I163" s="58">
        <v>1</v>
      </c>
      <c r="J163" s="6" t="s">
        <v>691</v>
      </c>
      <c r="K163" s="7" t="s">
        <v>862</v>
      </c>
    </row>
    <row r="164" spans="2:11" x14ac:dyDescent="0.35">
      <c r="B164" s="7" t="s">
        <v>863</v>
      </c>
      <c r="C164" s="48">
        <f>IF('5.) Clipper Start - Bay Pass'!$Q$32="NO",SUMIFS('Model Modeshare by TAZ'!$G$4:$G$2983,'Model Modeshare by TAZ'!$B$4:$B$2983,'Action 5 Calculations'!C157)/SUMIFS('Model Modeshare by TAZ'!$J$4:$J$2983,'Model Modeshare by TAZ'!$B$4:$B$2983,'Action 5 Calculations'!C157),'5.) Clipper Start - Bay Pass'!$Q$33)</f>
        <v>2.2474554187381261E-2</v>
      </c>
      <c r="D164" s="7" t="s">
        <v>699</v>
      </c>
      <c r="E164" s="7" t="s">
        <v>700</v>
      </c>
      <c r="H164" s="7" t="s">
        <v>863</v>
      </c>
      <c r="I164" s="48">
        <f>IF('5.) Clipper Start - Bay Pass'!$Q$32="NO",SUMIFS('Model Modeshare by TAZ'!$G$4:$G$2983,'Model Modeshare by TAZ'!$B$4:$B$2983,'Action 5 Calculations'!I157)/SUMIFS('Model Modeshare by TAZ'!$J$4:$J$2983,'Model Modeshare by TAZ'!$B$4:$B$2983,'Action 5 Calculations'!I157),'5.) Clipper Start - Bay Pass'!$Q$33)</f>
        <v>1.6811019050569434E-2</v>
      </c>
      <c r="J164" s="7" t="s">
        <v>699</v>
      </c>
      <c r="K164" s="7" t="s">
        <v>700</v>
      </c>
    </row>
    <row r="165" spans="2:11" x14ac:dyDescent="0.35">
      <c r="B165" s="7" t="s">
        <v>864</v>
      </c>
      <c r="C165" s="27">
        <v>-0.43</v>
      </c>
      <c r="D165" s="7" t="s">
        <v>696</v>
      </c>
      <c r="E165" s="7"/>
      <c r="H165" s="7" t="s">
        <v>864</v>
      </c>
      <c r="I165" s="27">
        <v>-0.43</v>
      </c>
      <c r="J165" s="7" t="s">
        <v>696</v>
      </c>
      <c r="K165" s="7"/>
    </row>
    <row r="166" spans="2:11" ht="29" x14ac:dyDescent="0.35">
      <c r="B166" s="7" t="s">
        <v>865</v>
      </c>
      <c r="C166" s="47">
        <v>0.5</v>
      </c>
      <c r="D166" s="7" t="s">
        <v>696</v>
      </c>
      <c r="E166" s="7"/>
      <c r="H166" s="7" t="s">
        <v>865</v>
      </c>
      <c r="I166" s="47">
        <v>0.5</v>
      </c>
      <c r="J166" s="7" t="s">
        <v>696</v>
      </c>
      <c r="K166" s="7"/>
    </row>
    <row r="167" spans="2:11" x14ac:dyDescent="0.35">
      <c r="B167" s="7" t="s">
        <v>866</v>
      </c>
      <c r="C167" s="34">
        <v>1</v>
      </c>
      <c r="D167" s="7" t="s">
        <v>696</v>
      </c>
      <c r="E167" s="28"/>
      <c r="H167" s="7" t="s">
        <v>866</v>
      </c>
      <c r="I167" s="34">
        <v>1</v>
      </c>
      <c r="J167" s="7" t="s">
        <v>696</v>
      </c>
      <c r="K167" s="28"/>
    </row>
    <row r="168" spans="2:11" ht="16" x14ac:dyDescent="0.45">
      <c r="B168" s="303" t="s">
        <v>704</v>
      </c>
      <c r="C168" s="29">
        <f>(C161/C160)*C165*C162*C163*C164*C166*C167</f>
        <v>-4.5904276927726223E-4</v>
      </c>
      <c r="H168" s="303" t="s">
        <v>704</v>
      </c>
      <c r="I168" s="29">
        <f>(I161/I160)*I165*I162*I163*I164*I166*I167</f>
        <v>-3.4336506410788067E-4</v>
      </c>
    </row>
    <row r="169" spans="2:11" x14ac:dyDescent="0.35">
      <c r="E169" s="30"/>
      <c r="K169" s="30"/>
    </row>
    <row r="170" spans="2:11" ht="16" x14ac:dyDescent="0.45">
      <c r="B170" s="66" t="s">
        <v>705</v>
      </c>
      <c r="C170" s="33"/>
      <c r="H170" s="66" t="s">
        <v>705</v>
      </c>
      <c r="I170" s="33"/>
    </row>
    <row r="171" spans="2:11" ht="16" x14ac:dyDescent="0.45">
      <c r="B171" s="371" t="s">
        <v>706</v>
      </c>
      <c r="C171" s="31" t="s">
        <v>867</v>
      </c>
      <c r="H171" s="371" t="s">
        <v>706</v>
      </c>
      <c r="I171" s="31" t="s">
        <v>867</v>
      </c>
    </row>
    <row r="172" spans="2:11" x14ac:dyDescent="0.35">
      <c r="E172" s="32"/>
      <c r="K172" s="32"/>
    </row>
    <row r="173" spans="2:11" x14ac:dyDescent="0.35">
      <c r="B173" s="153" t="s">
        <v>868</v>
      </c>
      <c r="C173" s="56">
        <f>SUMIFS('Model VMT by TAZ'!$G$4:$G$2983,'Model VMT by TAZ'!$B$4:$B$2983,'Action 5 Calculations'!C157)</f>
        <v>256095.87999999998</v>
      </c>
      <c r="H173" s="153" t="s">
        <v>868</v>
      </c>
      <c r="I173" s="56">
        <f>SUMIFS('Model VMT by TAZ'!$G$4:$G$2983,'Model VMT by TAZ'!$B$4:$B$2983,'Action 5 Calculations'!I157)</f>
        <v>351635.59999999992</v>
      </c>
    </row>
    <row r="174" spans="2:11" x14ac:dyDescent="0.35">
      <c r="B174" s="153" t="s">
        <v>869</v>
      </c>
      <c r="C174" s="56">
        <f>C173*C168</f>
        <v>-117.55896195569743</v>
      </c>
      <c r="H174" s="153" t="s">
        <v>869</v>
      </c>
      <c r="I174" s="56">
        <f>I173*I168</f>
        <v>-120.73938033661305</v>
      </c>
    </row>
    <row r="177" spans="2:11" x14ac:dyDescent="0.35">
      <c r="B177" s="153" t="s">
        <v>871</v>
      </c>
      <c r="C177" s="6" t="s">
        <v>372</v>
      </c>
      <c r="H177" s="153" t="s">
        <v>871</v>
      </c>
      <c r="I177" s="6" t="s">
        <v>382</v>
      </c>
    </row>
    <row r="179" spans="2:11" x14ac:dyDescent="0.35">
      <c r="B179" s="26" t="s">
        <v>687</v>
      </c>
      <c r="C179" s="26" t="s">
        <v>688</v>
      </c>
      <c r="D179" s="26" t="s">
        <v>276</v>
      </c>
      <c r="E179" s="26" t="s">
        <v>689</v>
      </c>
      <c r="H179" s="26" t="s">
        <v>687</v>
      </c>
      <c r="I179" s="26" t="s">
        <v>688</v>
      </c>
      <c r="J179" s="26" t="s">
        <v>276</v>
      </c>
      <c r="K179" s="26" t="s">
        <v>689</v>
      </c>
    </row>
    <row r="180" spans="2:11" x14ac:dyDescent="0.35">
      <c r="B180" s="7" t="s">
        <v>856</v>
      </c>
      <c r="C180" s="169">
        <f>'5.) Clipper Start - Bay Pass'!$M$32</f>
        <v>800</v>
      </c>
      <c r="D180" s="7" t="s">
        <v>691</v>
      </c>
      <c r="E180" s="7"/>
      <c r="H180" s="7" t="s">
        <v>856</v>
      </c>
      <c r="I180" s="169">
        <f>'5.) Clipper Start - Bay Pass'!$M$32</f>
        <v>800</v>
      </c>
      <c r="J180" s="7" t="s">
        <v>691</v>
      </c>
      <c r="K180" s="7"/>
    </row>
    <row r="181" spans="2:11" x14ac:dyDescent="0.35">
      <c r="B181" s="7" t="s">
        <v>857</v>
      </c>
      <c r="C181" s="169">
        <f>C180*'5.) Clipper Start - Bay Pass'!$M$34</f>
        <v>400</v>
      </c>
      <c r="D181" s="6" t="s">
        <v>691</v>
      </c>
      <c r="E181" s="7" t="s">
        <v>858</v>
      </c>
      <c r="H181" s="7" t="s">
        <v>857</v>
      </c>
      <c r="I181" s="169">
        <f>I180*'5.) Clipper Start - Bay Pass'!$M$34</f>
        <v>400</v>
      </c>
      <c r="J181" s="6" t="s">
        <v>691</v>
      </c>
      <c r="K181" s="7" t="s">
        <v>858</v>
      </c>
    </row>
    <row r="182" spans="2:11" ht="29" x14ac:dyDescent="0.35">
      <c r="B182" s="7" t="s">
        <v>859</v>
      </c>
      <c r="C182" s="46">
        <f>'5.) Clipper Start - Bay Pass'!$M$35</f>
        <v>0.19</v>
      </c>
      <c r="D182" s="7" t="s">
        <v>691</v>
      </c>
      <c r="E182" s="7" t="s">
        <v>860</v>
      </c>
      <c r="H182" s="7" t="s">
        <v>859</v>
      </c>
      <c r="I182" s="46">
        <f>'5.) Clipper Start - Bay Pass'!$M$35</f>
        <v>0.19</v>
      </c>
      <c r="J182" s="7" t="s">
        <v>691</v>
      </c>
      <c r="K182" s="7" t="s">
        <v>860</v>
      </c>
    </row>
    <row r="183" spans="2:11" ht="29" x14ac:dyDescent="0.35">
      <c r="B183" s="7" t="s">
        <v>861</v>
      </c>
      <c r="C183" s="58">
        <v>1</v>
      </c>
      <c r="D183" s="6" t="s">
        <v>691</v>
      </c>
      <c r="E183" s="7" t="s">
        <v>862</v>
      </c>
      <c r="H183" s="7" t="s">
        <v>861</v>
      </c>
      <c r="I183" s="58">
        <v>1</v>
      </c>
      <c r="J183" s="6" t="s">
        <v>691</v>
      </c>
      <c r="K183" s="7" t="s">
        <v>862</v>
      </c>
    </row>
    <row r="184" spans="2:11" x14ac:dyDescent="0.35">
      <c r="B184" s="7" t="s">
        <v>863</v>
      </c>
      <c r="C184" s="48">
        <f>IF('5.) Clipper Start - Bay Pass'!$Q$32="NO",SUMIFS('Model Modeshare by TAZ'!$G$4:$G$2983,'Model Modeshare by TAZ'!$B$4:$B$2983,'Action 5 Calculations'!C177)/SUMIFS('Model Modeshare by TAZ'!$J$4:$J$2983,'Model Modeshare by TAZ'!$B$4:$B$2983,'Action 5 Calculations'!C177),'5.) Clipper Start - Bay Pass'!$Q$33)</f>
        <v>1.7107066833505644E-2</v>
      </c>
      <c r="D184" s="7" t="s">
        <v>699</v>
      </c>
      <c r="E184" s="7" t="s">
        <v>700</v>
      </c>
      <c r="H184" s="7" t="s">
        <v>863</v>
      </c>
      <c r="I184" s="48">
        <f>IF('5.) Clipper Start - Bay Pass'!$Q$32="NO",SUMIFS('Model Modeshare by TAZ'!$G$4:$G$2983,'Model Modeshare by TAZ'!$B$4:$B$2983,'Action 5 Calculations'!I177)/SUMIFS('Model Modeshare by TAZ'!$J$4:$J$2983,'Model Modeshare by TAZ'!$B$4:$B$2983,'Action 5 Calculations'!I177),'5.) Clipper Start - Bay Pass'!$Q$33)</f>
        <v>2.4427430203110591E-2</v>
      </c>
      <c r="J184" s="7" t="s">
        <v>699</v>
      </c>
      <c r="K184" s="7" t="s">
        <v>700</v>
      </c>
    </row>
    <row r="185" spans="2:11" x14ac:dyDescent="0.35">
      <c r="B185" s="7" t="s">
        <v>864</v>
      </c>
      <c r="C185" s="27">
        <v>-0.43</v>
      </c>
      <c r="D185" s="7" t="s">
        <v>696</v>
      </c>
      <c r="E185" s="7"/>
      <c r="H185" s="7" t="s">
        <v>864</v>
      </c>
      <c r="I185" s="27">
        <v>-0.43</v>
      </c>
      <c r="J185" s="7" t="s">
        <v>696</v>
      </c>
      <c r="K185" s="7"/>
    </row>
    <row r="186" spans="2:11" ht="29" x14ac:dyDescent="0.35">
      <c r="B186" s="7" t="s">
        <v>865</v>
      </c>
      <c r="C186" s="47">
        <v>0.5</v>
      </c>
      <c r="D186" s="7" t="s">
        <v>696</v>
      </c>
      <c r="E186" s="7"/>
      <c r="H186" s="7" t="s">
        <v>865</v>
      </c>
      <c r="I186" s="47">
        <v>0.5</v>
      </c>
      <c r="J186" s="7" t="s">
        <v>696</v>
      </c>
      <c r="K186" s="7"/>
    </row>
    <row r="187" spans="2:11" x14ac:dyDescent="0.35">
      <c r="B187" s="7" t="s">
        <v>866</v>
      </c>
      <c r="C187" s="34">
        <v>1</v>
      </c>
      <c r="D187" s="7" t="s">
        <v>696</v>
      </c>
      <c r="E187" s="28"/>
      <c r="H187" s="7" t="s">
        <v>866</v>
      </c>
      <c r="I187" s="34">
        <v>1</v>
      </c>
      <c r="J187" s="7" t="s">
        <v>696</v>
      </c>
      <c r="K187" s="28"/>
    </row>
    <row r="188" spans="2:11" ht="16" x14ac:dyDescent="0.45">
      <c r="B188" s="303" t="s">
        <v>704</v>
      </c>
      <c r="C188" s="29">
        <f>(C181/C180)*C185*C182*C183*C184*C186*C187</f>
        <v>-3.4941184007435274E-4</v>
      </c>
      <c r="H188" s="303" t="s">
        <v>704</v>
      </c>
      <c r="I188" s="29">
        <f>(I181/I180)*I185*I182*I183*I184*I186*I187</f>
        <v>-4.9893026189853375E-4</v>
      </c>
    </row>
    <row r="189" spans="2:11" x14ac:dyDescent="0.35">
      <c r="E189" s="30"/>
      <c r="K189" s="30"/>
    </row>
    <row r="190" spans="2:11" ht="16" x14ac:dyDescent="0.45">
      <c r="B190" s="66" t="s">
        <v>705</v>
      </c>
      <c r="C190" s="33"/>
      <c r="H190" s="66" t="s">
        <v>705</v>
      </c>
      <c r="I190" s="33"/>
    </row>
    <row r="191" spans="2:11" ht="16" x14ac:dyDescent="0.45">
      <c r="B191" s="371" t="s">
        <v>706</v>
      </c>
      <c r="C191" s="31" t="s">
        <v>867</v>
      </c>
      <c r="H191" s="371" t="s">
        <v>706</v>
      </c>
      <c r="I191" s="31" t="s">
        <v>867</v>
      </c>
    </row>
    <row r="192" spans="2:11" x14ac:dyDescent="0.35">
      <c r="E192" s="32"/>
      <c r="K192" s="32"/>
    </row>
    <row r="193" spans="2:11" x14ac:dyDescent="0.35">
      <c r="B193" s="153" t="s">
        <v>868</v>
      </c>
      <c r="C193" s="56">
        <f>SUMIFS('Model VMT by TAZ'!$G$4:$G$2983,'Model VMT by TAZ'!$B$4:$B$2983,'Action 5 Calculations'!C177)</f>
        <v>464075.23000000004</v>
      </c>
      <c r="H193" s="153" t="s">
        <v>868</v>
      </c>
      <c r="I193" s="56">
        <f>SUMIFS('Model VMT by TAZ'!$G$4:$G$2983,'Model VMT by TAZ'!$B$4:$B$2983,'Action 5 Calculations'!I177)</f>
        <v>1180357.73</v>
      </c>
    </row>
    <row r="194" spans="2:11" x14ac:dyDescent="0.35">
      <c r="B194" s="153" t="s">
        <v>869</v>
      </c>
      <c r="C194" s="56">
        <f>C193*C188</f>
        <v>-162.15338004722847</v>
      </c>
      <c r="H194" s="153" t="s">
        <v>869</v>
      </c>
      <c r="I194" s="56">
        <f>I193*I188</f>
        <v>-588.91619136285874</v>
      </c>
    </row>
    <row r="197" spans="2:11" x14ac:dyDescent="0.35">
      <c r="B197" s="153" t="s">
        <v>871</v>
      </c>
      <c r="C197" s="6" t="s">
        <v>373</v>
      </c>
      <c r="H197" s="153" t="s">
        <v>871</v>
      </c>
      <c r="I197" s="6" t="s">
        <v>299</v>
      </c>
    </row>
    <row r="199" spans="2:11" x14ac:dyDescent="0.35">
      <c r="B199" s="26" t="s">
        <v>687</v>
      </c>
      <c r="C199" s="26" t="s">
        <v>688</v>
      </c>
      <c r="D199" s="26" t="s">
        <v>276</v>
      </c>
      <c r="E199" s="26" t="s">
        <v>689</v>
      </c>
      <c r="H199" s="26" t="s">
        <v>687</v>
      </c>
      <c r="I199" s="26" t="s">
        <v>688</v>
      </c>
      <c r="J199" s="26" t="s">
        <v>276</v>
      </c>
      <c r="K199" s="26" t="s">
        <v>689</v>
      </c>
    </row>
    <row r="200" spans="2:11" x14ac:dyDescent="0.35">
      <c r="B200" s="7" t="s">
        <v>856</v>
      </c>
      <c r="C200" s="169">
        <f>'5.) Clipper Start - Bay Pass'!$M$32</f>
        <v>800</v>
      </c>
      <c r="D200" s="7" t="s">
        <v>691</v>
      </c>
      <c r="E200" s="7"/>
      <c r="H200" s="7" t="s">
        <v>856</v>
      </c>
      <c r="I200" s="169">
        <f>'5.) Clipper Start - Bay Pass'!$M$32</f>
        <v>800</v>
      </c>
      <c r="J200" s="7" t="s">
        <v>691</v>
      </c>
      <c r="K200" s="7"/>
    </row>
    <row r="201" spans="2:11" x14ac:dyDescent="0.35">
      <c r="B201" s="7" t="s">
        <v>857</v>
      </c>
      <c r="C201" s="169">
        <f>C200*'5.) Clipper Start - Bay Pass'!$M$34</f>
        <v>400</v>
      </c>
      <c r="D201" s="6" t="s">
        <v>691</v>
      </c>
      <c r="E201" s="7" t="s">
        <v>858</v>
      </c>
      <c r="H201" s="7" t="s">
        <v>857</v>
      </c>
      <c r="I201" s="169">
        <f>I200*'5.) Clipper Start - Bay Pass'!$M$34</f>
        <v>400</v>
      </c>
      <c r="J201" s="6" t="s">
        <v>691</v>
      </c>
      <c r="K201" s="7" t="s">
        <v>858</v>
      </c>
    </row>
    <row r="202" spans="2:11" ht="29" x14ac:dyDescent="0.35">
      <c r="B202" s="7" t="s">
        <v>859</v>
      </c>
      <c r="C202" s="46">
        <f>'5.) Clipper Start - Bay Pass'!$M$35</f>
        <v>0.19</v>
      </c>
      <c r="D202" s="7" t="s">
        <v>691</v>
      </c>
      <c r="E202" s="7" t="s">
        <v>860</v>
      </c>
      <c r="H202" s="7" t="s">
        <v>859</v>
      </c>
      <c r="I202" s="46">
        <f>'5.) Clipper Start - Bay Pass'!$M$35</f>
        <v>0.19</v>
      </c>
      <c r="J202" s="7" t="s">
        <v>691</v>
      </c>
      <c r="K202" s="7" t="s">
        <v>860</v>
      </c>
    </row>
    <row r="203" spans="2:11" ht="29" x14ac:dyDescent="0.35">
      <c r="B203" s="7" t="s">
        <v>861</v>
      </c>
      <c r="C203" s="58">
        <v>1</v>
      </c>
      <c r="D203" s="6" t="s">
        <v>691</v>
      </c>
      <c r="E203" s="7" t="s">
        <v>862</v>
      </c>
      <c r="H203" s="7" t="s">
        <v>861</v>
      </c>
      <c r="I203" s="58">
        <v>1</v>
      </c>
      <c r="J203" s="6" t="s">
        <v>691</v>
      </c>
      <c r="K203" s="7" t="s">
        <v>862</v>
      </c>
    </row>
    <row r="204" spans="2:11" x14ac:dyDescent="0.35">
      <c r="B204" s="7" t="s">
        <v>863</v>
      </c>
      <c r="C204" s="48">
        <f>IF('5.) Clipper Start - Bay Pass'!$Q$32="NO",SUMIFS('Model Modeshare by TAZ'!$G$4:$G$2983,'Model Modeshare by TAZ'!$B$4:$B$2983,'Action 5 Calculations'!C197)/SUMIFS('Model Modeshare by TAZ'!$J$4:$J$2983,'Model Modeshare by TAZ'!$B$4:$B$2983,'Action 5 Calculations'!C197),'5.) Clipper Start - Bay Pass'!$Q$33)</f>
        <v>8.5696804192677764E-3</v>
      </c>
      <c r="D204" s="7" t="s">
        <v>699</v>
      </c>
      <c r="E204" s="7" t="s">
        <v>700</v>
      </c>
      <c r="H204" s="7" t="s">
        <v>863</v>
      </c>
      <c r="I204" s="48">
        <f>IF('5.) Clipper Start - Bay Pass'!$Q$32="NO",SUMIFS('Model Modeshare by TAZ'!$G$4:$G$2983,'Model Modeshare by TAZ'!$B$4:$B$2983,'Action 5 Calculations'!I197)/SUMIFS('Model Modeshare by TAZ'!$J$4:$J$2983,'Model Modeshare by TAZ'!$B$4:$B$2983,'Action 5 Calculations'!I197),'5.) Clipper Start - Bay Pass'!$Q$33)</f>
        <v>3.2206302351430106E-2</v>
      </c>
      <c r="J204" s="7" t="s">
        <v>699</v>
      </c>
      <c r="K204" s="7" t="s">
        <v>700</v>
      </c>
    </row>
    <row r="205" spans="2:11" x14ac:dyDescent="0.35">
      <c r="B205" s="7" t="s">
        <v>864</v>
      </c>
      <c r="C205" s="27">
        <v>-0.43</v>
      </c>
      <c r="D205" s="7" t="s">
        <v>696</v>
      </c>
      <c r="E205" s="7"/>
      <c r="H205" s="7" t="s">
        <v>864</v>
      </c>
      <c r="I205" s="27">
        <v>-0.43</v>
      </c>
      <c r="J205" s="7" t="s">
        <v>696</v>
      </c>
      <c r="K205" s="7"/>
    </row>
    <row r="206" spans="2:11" ht="29" x14ac:dyDescent="0.35">
      <c r="B206" s="7" t="s">
        <v>865</v>
      </c>
      <c r="C206" s="47">
        <v>0.5</v>
      </c>
      <c r="D206" s="7" t="s">
        <v>696</v>
      </c>
      <c r="E206" s="7"/>
      <c r="H206" s="7" t="s">
        <v>865</v>
      </c>
      <c r="I206" s="47">
        <v>0.5</v>
      </c>
      <c r="J206" s="7" t="s">
        <v>696</v>
      </c>
      <c r="K206" s="7"/>
    </row>
    <row r="207" spans="2:11" x14ac:dyDescent="0.35">
      <c r="B207" s="7" t="s">
        <v>866</v>
      </c>
      <c r="C207" s="34">
        <v>1</v>
      </c>
      <c r="D207" s="7" t="s">
        <v>696</v>
      </c>
      <c r="E207" s="28"/>
      <c r="H207" s="7" t="s">
        <v>866</v>
      </c>
      <c r="I207" s="34">
        <v>1</v>
      </c>
      <c r="J207" s="7" t="s">
        <v>696</v>
      </c>
      <c r="K207" s="28"/>
    </row>
    <row r="208" spans="2:11" ht="16" x14ac:dyDescent="0.45">
      <c r="B208" s="303" t="s">
        <v>704</v>
      </c>
      <c r="C208" s="29">
        <f>(C201/C200)*C205*C202*C203*C204*C206*C207</f>
        <v>-1.7503572256354432E-4</v>
      </c>
      <c r="H208" s="303" t="s">
        <v>704</v>
      </c>
      <c r="I208" s="29">
        <f>(I201/I200)*I205*I202*I203*I204*I206*I207</f>
        <v>-6.5781372552795991E-4</v>
      </c>
    </row>
    <row r="209" spans="2:11" x14ac:dyDescent="0.35">
      <c r="E209" s="30"/>
      <c r="K209" s="30"/>
    </row>
    <row r="210" spans="2:11" ht="16" x14ac:dyDescent="0.45">
      <c r="B210" s="66" t="s">
        <v>705</v>
      </c>
      <c r="C210" s="33"/>
      <c r="H210" s="66" t="s">
        <v>705</v>
      </c>
      <c r="I210" s="33"/>
    </row>
    <row r="211" spans="2:11" ht="16" x14ac:dyDescent="0.45">
      <c r="B211" s="371" t="s">
        <v>706</v>
      </c>
      <c r="C211" s="31" t="s">
        <v>867</v>
      </c>
      <c r="H211" s="371" t="s">
        <v>706</v>
      </c>
      <c r="I211" s="31" t="s">
        <v>867</v>
      </c>
    </row>
    <row r="212" spans="2:11" x14ac:dyDescent="0.35">
      <c r="E212" s="32"/>
      <c r="K212" s="32"/>
    </row>
    <row r="213" spans="2:11" x14ac:dyDescent="0.35">
      <c r="B213" s="153" t="s">
        <v>868</v>
      </c>
      <c r="C213" s="56">
        <f>SUMIFS('Model VMT by TAZ'!$G$4:$G$2983,'Model VMT by TAZ'!$B$4:$B$2983,'Action 5 Calculations'!C197)</f>
        <v>167667.71</v>
      </c>
      <c r="H213" s="153" t="s">
        <v>868</v>
      </c>
      <c r="I213" s="56">
        <f>SUMIFS('Model VMT by TAZ'!$G$4:$G$2983,'Model VMT by TAZ'!$B$4:$B$2983,'Action 5 Calculations'!I197)</f>
        <v>684190.66</v>
      </c>
    </row>
    <row r="214" spans="2:11" x14ac:dyDescent="0.35">
      <c r="B214" s="153" t="s">
        <v>869</v>
      </c>
      <c r="C214" s="56">
        <f>C213*C208</f>
        <v>-29.347838770424804</v>
      </c>
      <c r="H214" s="153" t="s">
        <v>869</v>
      </c>
      <c r="I214" s="56">
        <f>I213*I208</f>
        <v>-450.07000702603375</v>
      </c>
    </row>
    <row r="217" spans="2:11" x14ac:dyDescent="0.35">
      <c r="B217" s="153" t="s">
        <v>871</v>
      </c>
      <c r="C217" s="6" t="s">
        <v>374</v>
      </c>
      <c r="H217" s="153" t="s">
        <v>871</v>
      </c>
      <c r="I217" s="6" t="s">
        <v>383</v>
      </c>
    </row>
    <row r="219" spans="2:11" x14ac:dyDescent="0.35">
      <c r="B219" s="26" t="s">
        <v>687</v>
      </c>
      <c r="C219" s="26" t="s">
        <v>688</v>
      </c>
      <c r="D219" s="26" t="s">
        <v>276</v>
      </c>
      <c r="E219" s="26" t="s">
        <v>689</v>
      </c>
      <c r="H219" s="26" t="s">
        <v>687</v>
      </c>
      <c r="I219" s="26" t="s">
        <v>688</v>
      </c>
      <c r="J219" s="26" t="s">
        <v>276</v>
      </c>
      <c r="K219" s="26" t="s">
        <v>689</v>
      </c>
    </row>
    <row r="220" spans="2:11" x14ac:dyDescent="0.35">
      <c r="B220" s="7" t="s">
        <v>856</v>
      </c>
      <c r="C220" s="169">
        <f>'5.) Clipper Start - Bay Pass'!$M$32</f>
        <v>800</v>
      </c>
      <c r="D220" s="7" t="s">
        <v>691</v>
      </c>
      <c r="E220" s="7"/>
      <c r="H220" s="7" t="s">
        <v>856</v>
      </c>
      <c r="I220" s="169">
        <f>'5.) Clipper Start - Bay Pass'!$M$32</f>
        <v>800</v>
      </c>
      <c r="J220" s="7" t="s">
        <v>691</v>
      </c>
      <c r="K220" s="7"/>
    </row>
    <row r="221" spans="2:11" x14ac:dyDescent="0.35">
      <c r="B221" s="7" t="s">
        <v>857</v>
      </c>
      <c r="C221" s="169">
        <f>C220*'5.) Clipper Start - Bay Pass'!$M$34</f>
        <v>400</v>
      </c>
      <c r="D221" s="6" t="s">
        <v>691</v>
      </c>
      <c r="E221" s="7" t="s">
        <v>858</v>
      </c>
      <c r="H221" s="7" t="s">
        <v>857</v>
      </c>
      <c r="I221" s="169">
        <f>I220*'5.) Clipper Start - Bay Pass'!$M$34</f>
        <v>400</v>
      </c>
      <c r="J221" s="6" t="s">
        <v>691</v>
      </c>
      <c r="K221" s="7" t="s">
        <v>858</v>
      </c>
    </row>
    <row r="222" spans="2:11" ht="29" x14ac:dyDescent="0.35">
      <c r="B222" s="7" t="s">
        <v>859</v>
      </c>
      <c r="C222" s="46">
        <f>'5.) Clipper Start - Bay Pass'!$M$35</f>
        <v>0.19</v>
      </c>
      <c r="D222" s="7" t="s">
        <v>691</v>
      </c>
      <c r="E222" s="7" t="s">
        <v>860</v>
      </c>
      <c r="H222" s="7" t="s">
        <v>859</v>
      </c>
      <c r="I222" s="46">
        <f>'5.) Clipper Start - Bay Pass'!$M$35</f>
        <v>0.19</v>
      </c>
      <c r="J222" s="7" t="s">
        <v>691</v>
      </c>
      <c r="K222" s="7" t="s">
        <v>860</v>
      </c>
    </row>
    <row r="223" spans="2:11" ht="29" x14ac:dyDescent="0.35">
      <c r="B223" s="7" t="s">
        <v>861</v>
      </c>
      <c r="C223" s="58">
        <v>1</v>
      </c>
      <c r="D223" s="6" t="s">
        <v>691</v>
      </c>
      <c r="E223" s="7" t="s">
        <v>862</v>
      </c>
      <c r="H223" s="7" t="s">
        <v>861</v>
      </c>
      <c r="I223" s="58">
        <v>1</v>
      </c>
      <c r="J223" s="6" t="s">
        <v>691</v>
      </c>
      <c r="K223" s="7" t="s">
        <v>862</v>
      </c>
    </row>
    <row r="224" spans="2:11" x14ac:dyDescent="0.35">
      <c r="B224" s="7" t="s">
        <v>863</v>
      </c>
      <c r="C224" s="48">
        <f>IF('5.) Clipper Start - Bay Pass'!$Q$32="NO",SUMIFS('Model Modeshare by TAZ'!$G$4:$G$2983,'Model Modeshare by TAZ'!$B$4:$B$2983,'Action 5 Calculations'!C217)/SUMIFS('Model Modeshare by TAZ'!$J$4:$J$2983,'Model Modeshare by TAZ'!$B$4:$B$2983,'Action 5 Calculations'!C217),'5.) Clipper Start - Bay Pass'!$Q$33)</f>
        <v>1.2239290978038159E-2</v>
      </c>
      <c r="D224" s="7" t="s">
        <v>699</v>
      </c>
      <c r="E224" s="7" t="s">
        <v>700</v>
      </c>
      <c r="H224" s="7" t="s">
        <v>863</v>
      </c>
      <c r="I224" s="48">
        <f>IF('5.) Clipper Start - Bay Pass'!$Q$32="NO",SUMIFS('Model Modeshare by TAZ'!$G$4:$G$2983,'Model Modeshare by TAZ'!$B$4:$B$2983,'Action 5 Calculations'!I217)/SUMIFS('Model Modeshare by TAZ'!$J$4:$J$2983,'Model Modeshare by TAZ'!$B$4:$B$2983,'Action 5 Calculations'!I217),'5.) Clipper Start - Bay Pass'!$Q$33)</f>
        <v>1.6644625607225285E-3</v>
      </c>
      <c r="J224" s="7" t="s">
        <v>699</v>
      </c>
      <c r="K224" s="7" t="s">
        <v>700</v>
      </c>
    </row>
    <row r="225" spans="2:11" x14ac:dyDescent="0.35">
      <c r="B225" s="7" t="s">
        <v>864</v>
      </c>
      <c r="C225" s="27">
        <v>-0.43</v>
      </c>
      <c r="D225" s="7" t="s">
        <v>696</v>
      </c>
      <c r="E225" s="7"/>
      <c r="H225" s="7" t="s">
        <v>864</v>
      </c>
      <c r="I225" s="27">
        <v>-0.43</v>
      </c>
      <c r="J225" s="7" t="s">
        <v>696</v>
      </c>
      <c r="K225" s="7"/>
    </row>
    <row r="226" spans="2:11" ht="29" x14ac:dyDescent="0.35">
      <c r="B226" s="7" t="s">
        <v>865</v>
      </c>
      <c r="C226" s="47">
        <v>0.5</v>
      </c>
      <c r="D226" s="7" t="s">
        <v>696</v>
      </c>
      <c r="E226" s="7"/>
      <c r="H226" s="7" t="s">
        <v>865</v>
      </c>
      <c r="I226" s="47">
        <v>0.5</v>
      </c>
      <c r="J226" s="7" t="s">
        <v>696</v>
      </c>
      <c r="K226" s="7"/>
    </row>
    <row r="227" spans="2:11" x14ac:dyDescent="0.35">
      <c r="B227" s="7" t="s">
        <v>866</v>
      </c>
      <c r="C227" s="34">
        <v>1</v>
      </c>
      <c r="D227" s="7" t="s">
        <v>696</v>
      </c>
      <c r="E227" s="28"/>
      <c r="H227" s="7" t="s">
        <v>866</v>
      </c>
      <c r="I227" s="34">
        <v>1</v>
      </c>
      <c r="J227" s="7" t="s">
        <v>696</v>
      </c>
      <c r="K227" s="28"/>
    </row>
    <row r="228" spans="2:11" ht="16" x14ac:dyDescent="0.45">
      <c r="B228" s="303" t="s">
        <v>704</v>
      </c>
      <c r="C228" s="29">
        <f>(C221/C220)*C225*C222*C223*C224*C226*C227</f>
        <v>-2.499875182264294E-4</v>
      </c>
      <c r="H228" s="303" t="s">
        <v>704</v>
      </c>
      <c r="I228" s="29">
        <f>(I221/I220)*I225*I222*I223*I224*I226*I227</f>
        <v>-3.3996647802757642E-5</v>
      </c>
    </row>
    <row r="229" spans="2:11" x14ac:dyDescent="0.35">
      <c r="E229" s="30"/>
      <c r="K229" s="30"/>
    </row>
    <row r="230" spans="2:11" ht="16" x14ac:dyDescent="0.45">
      <c r="B230" s="66" t="s">
        <v>705</v>
      </c>
      <c r="C230" s="33"/>
      <c r="H230" s="66" t="s">
        <v>705</v>
      </c>
      <c r="I230" s="33"/>
    </row>
    <row r="231" spans="2:11" ht="16" x14ac:dyDescent="0.45">
      <c r="B231" s="371" t="s">
        <v>706</v>
      </c>
      <c r="C231" s="31" t="s">
        <v>867</v>
      </c>
      <c r="H231" s="371" t="s">
        <v>706</v>
      </c>
      <c r="I231" s="31" t="s">
        <v>867</v>
      </c>
    </row>
    <row r="232" spans="2:11" x14ac:dyDescent="0.35">
      <c r="E232" s="32"/>
      <c r="K232" s="32"/>
    </row>
    <row r="233" spans="2:11" x14ac:dyDescent="0.35">
      <c r="B233" s="153" t="s">
        <v>868</v>
      </c>
      <c r="C233" s="56">
        <f>SUMIFS('Model VMT by TAZ'!$G$4:$G$2983,'Model VMT by TAZ'!$B$4:$B$2983,'Action 5 Calculations'!C217)</f>
        <v>172105.72</v>
      </c>
      <c r="H233" s="153" t="s">
        <v>868</v>
      </c>
      <c r="I233" s="56">
        <f>SUMIFS('Model VMT by TAZ'!$G$4:$G$2983,'Model VMT by TAZ'!$B$4:$B$2983,'Action 5 Calculations'!I217)</f>
        <v>55130.990000000005</v>
      </c>
    </row>
    <row r="234" spans="2:11" x14ac:dyDescent="0.35">
      <c r="B234" s="153" t="s">
        <v>869</v>
      </c>
      <c r="C234" s="56">
        <f>C233*C228</f>
        <v>-43.024281815372753</v>
      </c>
      <c r="H234" s="153" t="s">
        <v>869</v>
      </c>
      <c r="I234" s="56">
        <f>I233*I228</f>
        <v>-1.8742688500473537</v>
      </c>
    </row>
    <row r="237" spans="2:11" x14ac:dyDescent="0.35">
      <c r="B237" s="18" t="s">
        <v>872</v>
      </c>
      <c r="C237" s="136"/>
      <c r="D237" s="136"/>
      <c r="E237" s="136"/>
      <c r="F237" s="136"/>
      <c r="G237" s="136"/>
      <c r="H237" s="136"/>
      <c r="I237" s="136"/>
      <c r="J237" s="136"/>
      <c r="K237" s="136"/>
    </row>
    <row r="239" spans="2:11" x14ac:dyDescent="0.35">
      <c r="B239" s="54" t="s">
        <v>740</v>
      </c>
    </row>
    <row r="241" spans="2:5" x14ac:dyDescent="0.35">
      <c r="B241" s="2" t="s">
        <v>873</v>
      </c>
    </row>
    <row r="242" spans="2:5" ht="43.5" x14ac:dyDescent="0.35">
      <c r="B242" s="153" t="s">
        <v>874</v>
      </c>
      <c r="C242" s="108" t="s">
        <v>875</v>
      </c>
      <c r="D242" s="108" t="s">
        <v>876</v>
      </c>
      <c r="E242" s="108" t="s">
        <v>877</v>
      </c>
    </row>
    <row r="243" spans="2:5" x14ac:dyDescent="0.35">
      <c r="B243" s="198" t="s">
        <v>340</v>
      </c>
      <c r="C243" s="40">
        <f>C29</f>
        <v>-4794.2051627863048</v>
      </c>
      <c r="D243" s="6">
        <v>347</v>
      </c>
      <c r="E243" s="56">
        <f>C243*D243</f>
        <v>-1663589.1914868478</v>
      </c>
    </row>
    <row r="244" spans="2:5" x14ac:dyDescent="0.35">
      <c r="B244" s="198" t="s">
        <v>355</v>
      </c>
      <c r="C244" s="40">
        <f>C54</f>
        <v>-23.167861306223116</v>
      </c>
      <c r="D244" s="6">
        <v>347</v>
      </c>
      <c r="E244" s="56">
        <f>C244*D244</f>
        <v>-8039.2478732594218</v>
      </c>
    </row>
    <row r="245" spans="2:5" x14ac:dyDescent="0.35">
      <c r="B245" s="198" t="s">
        <v>359</v>
      </c>
      <c r="C245" s="40">
        <f>C74</f>
        <v>-114.48674339386631</v>
      </c>
      <c r="D245" s="6">
        <v>347</v>
      </c>
      <c r="E245" s="56">
        <f t="shared" ref="E245:E263" si="0">C245*D245</f>
        <v>-39726.899957671609</v>
      </c>
    </row>
    <row r="246" spans="2:5" x14ac:dyDescent="0.35">
      <c r="B246" s="198" t="s">
        <v>362</v>
      </c>
      <c r="C246" s="40">
        <f>C94</f>
        <v>-16.371412681607065</v>
      </c>
      <c r="D246" s="6">
        <v>347</v>
      </c>
      <c r="E246" s="56">
        <f t="shared" si="0"/>
        <v>-5680.8802005176512</v>
      </c>
    </row>
    <row r="247" spans="2:5" x14ac:dyDescent="0.35">
      <c r="B247" s="198" t="s">
        <v>364</v>
      </c>
      <c r="C247" s="40">
        <f>C114</f>
        <v>-207.6017977196675</v>
      </c>
      <c r="D247" s="6">
        <v>347</v>
      </c>
      <c r="E247" s="56">
        <f t="shared" si="0"/>
        <v>-72037.823808724628</v>
      </c>
    </row>
    <row r="248" spans="2:5" x14ac:dyDescent="0.35">
      <c r="B248" s="198" t="s">
        <v>366</v>
      </c>
      <c r="C248" s="40">
        <f>C134</f>
        <v>-18.8257173439589</v>
      </c>
      <c r="D248" s="6">
        <v>347</v>
      </c>
      <c r="E248" s="56">
        <f t="shared" si="0"/>
        <v>-6532.5239183537378</v>
      </c>
    </row>
    <row r="249" spans="2:5" x14ac:dyDescent="0.35">
      <c r="B249" s="198" t="s">
        <v>368</v>
      </c>
      <c r="C249" s="40">
        <f>C154</f>
        <v>-1173.050808239869</v>
      </c>
      <c r="D249" s="6">
        <v>347</v>
      </c>
      <c r="E249" s="56">
        <f t="shared" si="0"/>
        <v>-407048.63045923453</v>
      </c>
    </row>
    <row r="250" spans="2:5" x14ac:dyDescent="0.35">
      <c r="B250" s="198" t="s">
        <v>370</v>
      </c>
      <c r="C250" s="40">
        <f>C174</f>
        <v>-117.55896195569743</v>
      </c>
      <c r="D250" s="6">
        <v>347</v>
      </c>
      <c r="E250" s="56">
        <f t="shared" si="0"/>
        <v>-40792.959798627009</v>
      </c>
    </row>
    <row r="251" spans="2:5" x14ac:dyDescent="0.35">
      <c r="B251" s="198" t="s">
        <v>372</v>
      </c>
      <c r="C251" s="40">
        <f>C194</f>
        <v>-162.15338004722847</v>
      </c>
      <c r="D251" s="6">
        <v>347</v>
      </c>
      <c r="E251" s="56">
        <f t="shared" si="0"/>
        <v>-56267.222876388281</v>
      </c>
    </row>
    <row r="252" spans="2:5" x14ac:dyDescent="0.35">
      <c r="B252" s="198" t="s">
        <v>373</v>
      </c>
      <c r="C252" s="40">
        <f>C214</f>
        <v>-29.347838770424804</v>
      </c>
      <c r="D252" s="6">
        <v>347</v>
      </c>
      <c r="E252" s="56">
        <f t="shared" si="0"/>
        <v>-10183.700053337407</v>
      </c>
    </row>
    <row r="253" spans="2:5" x14ac:dyDescent="0.35">
      <c r="B253" s="198" t="s">
        <v>374</v>
      </c>
      <c r="C253" s="40">
        <f>C234</f>
        <v>-43.024281815372753</v>
      </c>
      <c r="D253" s="6">
        <v>347</v>
      </c>
      <c r="E253" s="56">
        <f t="shared" si="0"/>
        <v>-14929.425789934345</v>
      </c>
    </row>
    <row r="254" spans="2:5" x14ac:dyDescent="0.35">
      <c r="B254" s="198" t="s">
        <v>375</v>
      </c>
      <c r="C254" s="40">
        <f>I54</f>
        <v>-202.5770039498407</v>
      </c>
      <c r="D254" s="6">
        <v>347</v>
      </c>
      <c r="E254" s="56">
        <f t="shared" si="0"/>
        <v>-70294.220370594718</v>
      </c>
    </row>
    <row r="255" spans="2:5" x14ac:dyDescent="0.35">
      <c r="B255" s="198" t="s">
        <v>376</v>
      </c>
      <c r="C255" s="40">
        <f>I74</f>
        <v>-149.25472791061247</v>
      </c>
      <c r="D255" s="6">
        <v>347</v>
      </c>
      <c r="E255" s="56">
        <f t="shared" si="0"/>
        <v>-51791.390584982531</v>
      </c>
    </row>
    <row r="256" spans="2:5" x14ac:dyDescent="0.35">
      <c r="B256" s="198" t="s">
        <v>377</v>
      </c>
      <c r="C256" s="40">
        <f>I94</f>
        <v>-254.82015595636037</v>
      </c>
      <c r="D256" s="6">
        <v>347</v>
      </c>
      <c r="E256" s="56">
        <f t="shared" si="0"/>
        <v>-88422.594116857043</v>
      </c>
    </row>
    <row r="257" spans="2:11" x14ac:dyDescent="0.35">
      <c r="B257" s="198" t="s">
        <v>378</v>
      </c>
      <c r="C257" s="40">
        <f>I114</f>
        <v>0</v>
      </c>
      <c r="D257" s="6">
        <v>347</v>
      </c>
      <c r="E257" s="56">
        <f t="shared" si="0"/>
        <v>0</v>
      </c>
    </row>
    <row r="258" spans="2:11" x14ac:dyDescent="0.35">
      <c r="B258" s="198" t="s">
        <v>379</v>
      </c>
      <c r="C258" s="40">
        <f>I134</f>
        <v>-333.64074143648287</v>
      </c>
      <c r="D258" s="6">
        <v>347</v>
      </c>
      <c r="E258" s="56">
        <f t="shared" si="0"/>
        <v>-115773.33727845956</v>
      </c>
    </row>
    <row r="259" spans="2:11" x14ac:dyDescent="0.35">
      <c r="B259" s="198" t="s">
        <v>380</v>
      </c>
      <c r="C259" s="40">
        <f>I154</f>
        <v>-320.50710761979661</v>
      </c>
      <c r="D259" s="6">
        <v>347</v>
      </c>
      <c r="E259" s="56">
        <f t="shared" si="0"/>
        <v>-111215.96634406943</v>
      </c>
    </row>
    <row r="260" spans="2:11" x14ac:dyDescent="0.35">
      <c r="B260" s="198" t="s">
        <v>381</v>
      </c>
      <c r="C260" s="40">
        <f>I174</f>
        <v>-120.73938033661305</v>
      </c>
      <c r="D260" s="6">
        <v>347</v>
      </c>
      <c r="E260" s="56">
        <f t="shared" si="0"/>
        <v>-41896.56497680473</v>
      </c>
    </row>
    <row r="261" spans="2:11" x14ac:dyDescent="0.35">
      <c r="B261" s="198" t="s">
        <v>382</v>
      </c>
      <c r="C261" s="40">
        <f>I194</f>
        <v>-588.91619136285874</v>
      </c>
      <c r="D261" s="6">
        <v>347</v>
      </c>
      <c r="E261" s="56">
        <f t="shared" si="0"/>
        <v>-204353.91840291198</v>
      </c>
    </row>
    <row r="262" spans="2:11" x14ac:dyDescent="0.35">
      <c r="B262" s="198" t="s">
        <v>299</v>
      </c>
      <c r="C262" s="40">
        <f>I214</f>
        <v>-450.07000702603375</v>
      </c>
      <c r="D262" s="6">
        <v>347</v>
      </c>
      <c r="E262" s="56">
        <f t="shared" si="0"/>
        <v>-156174.29243803371</v>
      </c>
    </row>
    <row r="263" spans="2:11" x14ac:dyDescent="0.35">
      <c r="B263" s="198" t="s">
        <v>383</v>
      </c>
      <c r="C263" s="40">
        <f>I234</f>
        <v>-1.8742688500473537</v>
      </c>
      <c r="D263" s="6">
        <v>347</v>
      </c>
      <c r="E263" s="56">
        <f t="shared" si="0"/>
        <v>-650.37129096643173</v>
      </c>
    </row>
    <row r="266" spans="2:11" x14ac:dyDescent="0.35">
      <c r="B266" s="18" t="s">
        <v>878</v>
      </c>
      <c r="C266" s="136"/>
      <c r="D266" s="136"/>
      <c r="E266" s="136"/>
      <c r="F266" s="136"/>
      <c r="G266" s="136"/>
      <c r="H266" s="136"/>
      <c r="I266" s="136"/>
      <c r="J266" s="136"/>
      <c r="K266" s="136"/>
    </row>
    <row r="268" spans="2:11" x14ac:dyDescent="0.35">
      <c r="B268" s="54" t="s">
        <v>879</v>
      </c>
    </row>
    <row r="270" spans="2:11" x14ac:dyDescent="0.35">
      <c r="B270" s="2" t="s">
        <v>880</v>
      </c>
    </row>
    <row r="271" spans="2:11" x14ac:dyDescent="0.35">
      <c r="B271" s="153" t="s">
        <v>874</v>
      </c>
      <c r="C271" s="153" t="s">
        <v>348</v>
      </c>
      <c r="D271" s="153" t="s">
        <v>881</v>
      </c>
      <c r="E271" s="153" t="s">
        <v>882</v>
      </c>
    </row>
    <row r="272" spans="2:11" x14ac:dyDescent="0.35">
      <c r="B272" s="198" t="s">
        <v>340</v>
      </c>
      <c r="C272" s="56">
        <f>'5.) Clipper Start - Bay Pass'!E27</f>
        <v>141101</v>
      </c>
      <c r="D272" s="200">
        <f>$C$41</f>
        <v>400</v>
      </c>
      <c r="E272" s="201">
        <f>C272*D272</f>
        <v>56440400</v>
      </c>
    </row>
    <row r="273" spans="2:5" x14ac:dyDescent="0.35">
      <c r="B273" s="198" t="s">
        <v>355</v>
      </c>
      <c r="C273" s="56">
        <f>'5.) Clipper Start - Bay Pass'!D32</f>
        <v>7022</v>
      </c>
      <c r="D273" s="200">
        <f>$C$41</f>
        <v>400</v>
      </c>
      <c r="E273" s="201">
        <f>C273*D273</f>
        <v>2808800</v>
      </c>
    </row>
    <row r="274" spans="2:5" x14ac:dyDescent="0.35">
      <c r="B274" s="198" t="s">
        <v>359</v>
      </c>
      <c r="C274" s="56">
        <f>'5.) Clipper Start - Bay Pass'!D33</f>
        <v>25251</v>
      </c>
      <c r="D274" s="200">
        <f t="shared" ref="D274:D292" si="1">$C$41</f>
        <v>400</v>
      </c>
      <c r="E274" s="201">
        <f>C274*D274</f>
        <v>10100400</v>
      </c>
    </row>
    <row r="275" spans="2:5" x14ac:dyDescent="0.35">
      <c r="B275" s="198" t="s">
        <v>362</v>
      </c>
      <c r="C275" s="56">
        <f>'5.) Clipper Start - Bay Pass'!D34</f>
        <v>4388</v>
      </c>
      <c r="D275" s="200">
        <f t="shared" si="1"/>
        <v>400</v>
      </c>
      <c r="E275" s="201">
        <f>C275*D275</f>
        <v>1755200</v>
      </c>
    </row>
    <row r="276" spans="2:5" x14ac:dyDescent="0.35">
      <c r="B276" s="198" t="s">
        <v>364</v>
      </c>
      <c r="C276" s="56">
        <f>'5.) Clipper Start - Bay Pass'!D35</f>
        <v>29685</v>
      </c>
      <c r="D276" s="200">
        <f t="shared" si="1"/>
        <v>400</v>
      </c>
      <c r="E276" s="201">
        <f t="shared" ref="E276:E291" si="2">C276*D276</f>
        <v>11874000</v>
      </c>
    </row>
    <row r="277" spans="2:5" x14ac:dyDescent="0.35">
      <c r="B277" s="198" t="s">
        <v>366</v>
      </c>
      <c r="C277" s="56">
        <f>'5.) Clipper Start - Bay Pass'!D36</f>
        <v>3155</v>
      </c>
      <c r="D277" s="200">
        <f t="shared" si="1"/>
        <v>400</v>
      </c>
      <c r="E277" s="201">
        <f t="shared" si="2"/>
        <v>1262000</v>
      </c>
    </row>
    <row r="278" spans="2:5" x14ac:dyDescent="0.35">
      <c r="B278" s="198" t="s">
        <v>368</v>
      </c>
      <c r="C278" s="56">
        <f>'5.) Clipper Start - Bay Pass'!D37</f>
        <v>101437</v>
      </c>
      <c r="D278" s="200">
        <f t="shared" si="1"/>
        <v>400</v>
      </c>
      <c r="E278" s="201">
        <f t="shared" si="2"/>
        <v>40574800</v>
      </c>
    </row>
    <row r="279" spans="2:5" x14ac:dyDescent="0.35">
      <c r="B279" s="198" t="s">
        <v>370</v>
      </c>
      <c r="C279" s="56">
        <f>'5.) Clipper Start - Bay Pass'!D38</f>
        <v>25474</v>
      </c>
      <c r="D279" s="200">
        <f t="shared" si="1"/>
        <v>400</v>
      </c>
      <c r="E279" s="201">
        <f t="shared" si="2"/>
        <v>10189600</v>
      </c>
    </row>
    <row r="280" spans="2:5" x14ac:dyDescent="0.35">
      <c r="B280" s="198" t="s">
        <v>372</v>
      </c>
      <c r="C280" s="56">
        <f>'5.) Clipper Start - Bay Pass'!D39</f>
        <v>31082</v>
      </c>
      <c r="D280" s="200">
        <f t="shared" si="1"/>
        <v>400</v>
      </c>
      <c r="E280" s="201">
        <f t="shared" si="2"/>
        <v>12432800</v>
      </c>
    </row>
    <row r="281" spans="2:5" x14ac:dyDescent="0.35">
      <c r="B281" s="198" t="s">
        <v>373</v>
      </c>
      <c r="C281" s="56">
        <f>'5.) Clipper Start - Bay Pass'!D40</f>
        <v>10584</v>
      </c>
      <c r="D281" s="200">
        <f t="shared" si="1"/>
        <v>400</v>
      </c>
      <c r="E281" s="201">
        <f t="shared" si="2"/>
        <v>4233600</v>
      </c>
    </row>
    <row r="282" spans="2:5" x14ac:dyDescent="0.35">
      <c r="B282" s="198" t="s">
        <v>374</v>
      </c>
      <c r="C282" s="56">
        <f>'5.) Clipper Start - Bay Pass'!D41</f>
        <v>11102</v>
      </c>
      <c r="D282" s="200">
        <f t="shared" si="1"/>
        <v>400</v>
      </c>
      <c r="E282" s="201">
        <f t="shared" si="2"/>
        <v>4440800</v>
      </c>
    </row>
    <row r="283" spans="2:5" x14ac:dyDescent="0.35">
      <c r="B283" s="198" t="s">
        <v>375</v>
      </c>
      <c r="C283" s="56">
        <f>'5.) Clipper Start - Bay Pass'!D42</f>
        <v>35567</v>
      </c>
      <c r="D283" s="200">
        <f t="shared" si="1"/>
        <v>400</v>
      </c>
      <c r="E283" s="201">
        <f t="shared" si="2"/>
        <v>14226800</v>
      </c>
    </row>
    <row r="284" spans="2:5" x14ac:dyDescent="0.35">
      <c r="B284" s="198" t="s">
        <v>376</v>
      </c>
      <c r="C284" s="56">
        <f>'5.) Clipper Start - Bay Pass'!D43</f>
        <v>22658</v>
      </c>
      <c r="D284" s="200">
        <f t="shared" si="1"/>
        <v>400</v>
      </c>
      <c r="E284" s="201">
        <f t="shared" si="2"/>
        <v>9063200</v>
      </c>
    </row>
    <row r="285" spans="2:5" x14ac:dyDescent="0.35">
      <c r="B285" s="198" t="s">
        <v>377</v>
      </c>
      <c r="C285" s="56">
        <f>'5.) Clipper Start - Bay Pass'!D44</f>
        <v>29802</v>
      </c>
      <c r="D285" s="200">
        <f t="shared" si="1"/>
        <v>400</v>
      </c>
      <c r="E285" s="201">
        <f t="shared" si="2"/>
        <v>11920800</v>
      </c>
    </row>
    <row r="286" spans="2:5" x14ac:dyDescent="0.35">
      <c r="B286" s="198" t="s">
        <v>378</v>
      </c>
      <c r="C286" s="56">
        <f>'5.) Clipper Start - Bay Pass'!D45</f>
        <v>4563</v>
      </c>
      <c r="D286" s="200">
        <f t="shared" si="1"/>
        <v>400</v>
      </c>
      <c r="E286" s="201">
        <f t="shared" si="2"/>
        <v>1825200</v>
      </c>
    </row>
    <row r="287" spans="2:5" x14ac:dyDescent="0.35">
      <c r="B287" s="198" t="s">
        <v>379</v>
      </c>
      <c r="C287" s="56">
        <f>'5.) Clipper Start - Bay Pass'!D46</f>
        <v>79464</v>
      </c>
      <c r="D287" s="200">
        <f t="shared" si="1"/>
        <v>400</v>
      </c>
      <c r="E287" s="201">
        <f>C287*D287</f>
        <v>31785600</v>
      </c>
    </row>
    <row r="288" spans="2:5" x14ac:dyDescent="0.35">
      <c r="B288" s="198" t="s">
        <v>380</v>
      </c>
      <c r="C288" s="56">
        <f>'5.) Clipper Start - Bay Pass'!D47</f>
        <v>43377</v>
      </c>
      <c r="D288" s="200">
        <f t="shared" si="1"/>
        <v>400</v>
      </c>
      <c r="E288" s="201">
        <f t="shared" si="2"/>
        <v>17350800</v>
      </c>
    </row>
    <row r="289" spans="2:5" x14ac:dyDescent="0.35">
      <c r="B289" s="198" t="s">
        <v>381</v>
      </c>
      <c r="C289" s="56">
        <f>'5.) Clipper Start - Bay Pass'!D48</f>
        <v>29258</v>
      </c>
      <c r="D289" s="200">
        <f t="shared" si="1"/>
        <v>400</v>
      </c>
      <c r="E289" s="201">
        <f t="shared" si="2"/>
        <v>11703200</v>
      </c>
    </row>
    <row r="290" spans="2:5" x14ac:dyDescent="0.35">
      <c r="B290" s="198" t="s">
        <v>382</v>
      </c>
      <c r="C290" s="56">
        <f>'5.) Clipper Start - Bay Pass'!D49</f>
        <v>99489</v>
      </c>
      <c r="D290" s="200">
        <f t="shared" si="1"/>
        <v>400</v>
      </c>
      <c r="E290" s="201">
        <f t="shared" si="2"/>
        <v>39795600</v>
      </c>
    </row>
    <row r="291" spans="2:5" x14ac:dyDescent="0.35">
      <c r="B291" s="198" t="s">
        <v>299</v>
      </c>
      <c r="C291" s="56">
        <f>'5.) Clipper Start - Bay Pass'!D50</f>
        <v>67421</v>
      </c>
      <c r="D291" s="200">
        <f t="shared" si="1"/>
        <v>400</v>
      </c>
      <c r="E291" s="201">
        <f t="shared" si="2"/>
        <v>26968400</v>
      </c>
    </row>
    <row r="292" spans="2:5" x14ac:dyDescent="0.35">
      <c r="B292" s="198" t="s">
        <v>383</v>
      </c>
      <c r="C292" s="56">
        <f>'5.) Clipper Start - Bay Pass'!D51</f>
        <v>2747</v>
      </c>
      <c r="D292" s="200">
        <f t="shared" si="1"/>
        <v>400</v>
      </c>
      <c r="E292" s="201">
        <f>C292*D292</f>
        <v>1098800</v>
      </c>
    </row>
  </sheetData>
  <sheetProtection sheet="1" objects="1" scenarios="1"/>
  <pageMargins left="0.7" right="0.7" top="0.75" bottom="0.75" header="0.3" footer="0.3"/>
  <pageSetup orientation="portrait" horizontalDpi="120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30D5B-FCC7-48FA-BF82-47A9BEAD79EC}">
  <sheetPr>
    <tabColor theme="5"/>
  </sheetPr>
  <dimension ref="B2:R45"/>
  <sheetViews>
    <sheetView zoomScale="90" zoomScaleNormal="90" workbookViewId="0">
      <selection activeCell="E44" sqref="E44"/>
    </sheetView>
  </sheetViews>
  <sheetFormatPr defaultRowHeight="14.5" x14ac:dyDescent="0.35"/>
  <cols>
    <col min="2" max="2" width="77.453125" customWidth="1"/>
    <col min="3" max="3" width="29.7265625" customWidth="1"/>
    <col min="4" max="4" width="32.26953125" bestFit="1" customWidth="1"/>
    <col min="5" max="5" width="54.81640625" bestFit="1" customWidth="1"/>
    <col min="8" max="8" width="49.453125" customWidth="1"/>
    <col min="9" max="9" width="18.26953125" customWidth="1"/>
    <col min="10" max="10" width="35" customWidth="1"/>
    <col min="11" max="11" width="56.26953125" customWidth="1"/>
  </cols>
  <sheetData>
    <row r="2" spans="2:18" ht="31" x14ac:dyDescent="0.7">
      <c r="B2" s="8" t="s">
        <v>172</v>
      </c>
      <c r="R2" s="6" t="s">
        <v>487</v>
      </c>
    </row>
    <row r="3" spans="2:18" x14ac:dyDescent="0.35">
      <c r="R3" s="198" t="s">
        <v>355</v>
      </c>
    </row>
    <row r="4" spans="2:18" ht="21" x14ac:dyDescent="0.5">
      <c r="B4" s="216" t="s">
        <v>851</v>
      </c>
      <c r="R4" s="198" t="s">
        <v>359</v>
      </c>
    </row>
    <row r="5" spans="2:18" x14ac:dyDescent="0.35">
      <c r="B5" s="2"/>
      <c r="R5" s="198" t="s">
        <v>362</v>
      </c>
    </row>
    <row r="6" spans="2:18" x14ac:dyDescent="0.35">
      <c r="B6" s="54" t="s">
        <v>852</v>
      </c>
      <c r="R6" s="198" t="s">
        <v>364</v>
      </c>
    </row>
    <row r="7" spans="2:18" x14ac:dyDescent="0.35">
      <c r="B7" s="54" t="s">
        <v>853</v>
      </c>
      <c r="R7" s="198" t="s">
        <v>366</v>
      </c>
    </row>
    <row r="8" spans="2:18" x14ac:dyDescent="0.35">
      <c r="B8" s="54"/>
      <c r="R8" s="198" t="s">
        <v>368</v>
      </c>
    </row>
    <row r="9" spans="2:18" x14ac:dyDescent="0.35">
      <c r="B9" s="18" t="s">
        <v>883</v>
      </c>
      <c r="C9" s="136"/>
      <c r="D9" s="136"/>
      <c r="E9" s="136"/>
      <c r="F9" s="136"/>
      <c r="G9" s="136"/>
      <c r="H9" s="136"/>
      <c r="I9" s="136"/>
      <c r="J9" s="136"/>
      <c r="K9" s="136"/>
      <c r="L9" s="136"/>
      <c r="M9" s="136"/>
      <c r="N9" s="136"/>
      <c r="R9" s="198" t="s">
        <v>370</v>
      </c>
    </row>
    <row r="10" spans="2:18" x14ac:dyDescent="0.35">
      <c r="B10" s="54"/>
      <c r="R10" s="198" t="s">
        <v>372</v>
      </c>
    </row>
    <row r="11" spans="2:18" x14ac:dyDescent="0.35">
      <c r="B11" s="54" t="s">
        <v>709</v>
      </c>
      <c r="R11" s="198" t="s">
        <v>373</v>
      </c>
    </row>
    <row r="12" spans="2:18" x14ac:dyDescent="0.35">
      <c r="B12" s="54" t="s">
        <v>855</v>
      </c>
      <c r="R12" s="198" t="s">
        <v>374</v>
      </c>
    </row>
    <row r="13" spans="2:18" x14ac:dyDescent="0.35">
      <c r="B13" s="54"/>
      <c r="R13" s="198" t="s">
        <v>375</v>
      </c>
    </row>
    <row r="14" spans="2:18" x14ac:dyDescent="0.35">
      <c r="B14" s="54" t="s">
        <v>340</v>
      </c>
      <c r="R14" s="198" t="s">
        <v>376</v>
      </c>
    </row>
    <row r="15" spans="2:18" x14ac:dyDescent="0.35">
      <c r="B15" s="26" t="s">
        <v>687</v>
      </c>
      <c r="C15" s="26" t="s">
        <v>688</v>
      </c>
      <c r="D15" s="26" t="s">
        <v>276</v>
      </c>
      <c r="E15" s="26" t="s">
        <v>689</v>
      </c>
      <c r="R15" s="198" t="s">
        <v>377</v>
      </c>
    </row>
    <row r="16" spans="2:18" x14ac:dyDescent="0.35">
      <c r="B16" s="7" t="s">
        <v>856</v>
      </c>
      <c r="C16" s="169">
        <f>'5a.) Clipper Start (cont.)'!C28</f>
        <v>800</v>
      </c>
      <c r="D16" s="7" t="s">
        <v>691</v>
      </c>
      <c r="E16" s="7"/>
      <c r="R16" s="198" t="s">
        <v>378</v>
      </c>
    </row>
    <row r="17" spans="2:18" x14ac:dyDescent="0.35">
      <c r="B17" s="7" t="s">
        <v>857</v>
      </c>
      <c r="C17" s="169">
        <f>C16*'5a.) Clipper Start (cont.)'!C29</f>
        <v>400</v>
      </c>
      <c r="D17" s="6" t="s">
        <v>691</v>
      </c>
      <c r="E17" s="7" t="s">
        <v>858</v>
      </c>
      <c r="R17" s="198" t="s">
        <v>381</v>
      </c>
    </row>
    <row r="18" spans="2:18" x14ac:dyDescent="0.35">
      <c r="B18" s="7" t="s">
        <v>863</v>
      </c>
      <c r="C18" s="447">
        <f>IF('5a.) Clipper Start (cont.)'!J26='5a.) Clipper Start (cont.)'!AF15,SUMIFS('Model Modeshare by TAZ'!G4:G2983,'Model Modeshare by TAZ'!D4:D2983,"YES")/SUMIFS('Model Modeshare by TAZ'!J4:J2983,'Model Modeshare by TAZ'!D4:D2983,"YES"),'5a.) Clipper Start (cont.)'!J27)</f>
        <v>2.5808312579023707E-2</v>
      </c>
      <c r="D18" s="7" t="s">
        <v>699</v>
      </c>
      <c r="E18" s="7" t="s">
        <v>700</v>
      </c>
      <c r="R18" s="198" t="s">
        <v>382</v>
      </c>
    </row>
    <row r="19" spans="2:18" x14ac:dyDescent="0.35">
      <c r="B19" s="7" t="s">
        <v>864</v>
      </c>
      <c r="C19" s="27">
        <v>-0.43</v>
      </c>
      <c r="D19" s="7" t="s">
        <v>696</v>
      </c>
      <c r="E19" s="7"/>
      <c r="R19" s="198" t="s">
        <v>299</v>
      </c>
    </row>
    <row r="20" spans="2:18" x14ac:dyDescent="0.35">
      <c r="B20" s="7" t="s">
        <v>865</v>
      </c>
      <c r="C20" s="47">
        <v>0.5</v>
      </c>
      <c r="D20" s="7" t="s">
        <v>696</v>
      </c>
      <c r="E20" s="7"/>
      <c r="R20" s="198" t="s">
        <v>383</v>
      </c>
    </row>
    <row r="21" spans="2:18" x14ac:dyDescent="0.35">
      <c r="B21" s="7" t="s">
        <v>866</v>
      </c>
      <c r="C21" s="34">
        <v>1</v>
      </c>
      <c r="D21" s="7" t="s">
        <v>696</v>
      </c>
      <c r="E21" s="28"/>
    </row>
    <row r="22" spans="2:18" x14ac:dyDescent="0.35">
      <c r="B22" s="7" t="s">
        <v>884</v>
      </c>
      <c r="C22" s="34">
        <f>IFERROR(SUMIFS('Model VMT by TAZ'!$G$4:$G$2983,'Model VMT by TAZ'!$C$4:$C$2983,"YES")/SUMIFS('Model VMT by TAZ'!$J$4:$J$2983,'Model VMT by TAZ'!$C$4:$C$2983,"YES"),0)</f>
        <v>12.246712611175075</v>
      </c>
      <c r="D22" s="7" t="s">
        <v>699</v>
      </c>
      <c r="E22" s="7" t="s">
        <v>700</v>
      </c>
    </row>
    <row r="23" spans="2:18" x14ac:dyDescent="0.35">
      <c r="E23" s="30"/>
    </row>
    <row r="24" spans="2:18" x14ac:dyDescent="0.35">
      <c r="B24" s="54"/>
    </row>
    <row r="25" spans="2:18" x14ac:dyDescent="0.35">
      <c r="B25" s="54" t="s">
        <v>341</v>
      </c>
    </row>
    <row r="26" spans="2:18" x14ac:dyDescent="0.35">
      <c r="B26" s="153" t="s">
        <v>871</v>
      </c>
      <c r="C26" s="384" t="str">
        <f>'5a.) Clipper Start (cont.)'!C24</f>
        <v>Daly City</v>
      </c>
    </row>
    <row r="28" spans="2:18" x14ac:dyDescent="0.35">
      <c r="B28" s="26" t="s">
        <v>687</v>
      </c>
      <c r="C28" s="26" t="s">
        <v>688</v>
      </c>
      <c r="D28" s="26" t="s">
        <v>276</v>
      </c>
      <c r="E28" s="26" t="s">
        <v>689</v>
      </c>
    </row>
    <row r="29" spans="2:18" x14ac:dyDescent="0.35">
      <c r="B29" s="7" t="s">
        <v>856</v>
      </c>
      <c r="C29" s="169">
        <f>'5a.) Clipper Start (cont.)'!C28</f>
        <v>800</v>
      </c>
      <c r="D29" s="7" t="s">
        <v>691</v>
      </c>
      <c r="E29" s="7"/>
      <c r="R29" s="2"/>
    </row>
    <row r="30" spans="2:18" x14ac:dyDescent="0.35">
      <c r="B30" s="7" t="s">
        <v>857</v>
      </c>
      <c r="C30" s="169">
        <f>C29*'5a.) Clipper Start (cont.)'!C29</f>
        <v>400</v>
      </c>
      <c r="D30" s="6" t="s">
        <v>691</v>
      </c>
      <c r="E30" s="7" t="s">
        <v>858</v>
      </c>
    </row>
    <row r="31" spans="2:18" x14ac:dyDescent="0.35">
      <c r="B31" s="7" t="s">
        <v>863</v>
      </c>
      <c r="C31" s="447">
        <f>IF('5a.) Clipper Start (cont.)'!J26='5a.) Clipper Start (cont.)'!AF15,SUMIFS('Model Modeshare by TAZ'!$G$4:$G$2983,'Model Modeshare by TAZ'!$B$4:$B$2983,'Action 5a Calculations'!C26)/SUMIFS('Model Modeshare by TAZ'!$J$4:$J$2983,'Model Modeshare by TAZ'!$B$4:$B$2983,'Action 5a Calculations'!C26),'5a.) Clipper Start (cont.)'!J27)</f>
        <v>5.4819689515614826E-2</v>
      </c>
      <c r="D31" s="7" t="s">
        <v>699</v>
      </c>
      <c r="E31" s="7" t="s">
        <v>700</v>
      </c>
    </row>
    <row r="32" spans="2:18" x14ac:dyDescent="0.35">
      <c r="B32" s="7" t="s">
        <v>864</v>
      </c>
      <c r="C32" s="27">
        <v>-0.43</v>
      </c>
      <c r="D32" s="7" t="s">
        <v>696</v>
      </c>
      <c r="E32" s="7"/>
    </row>
    <row r="33" spans="2:5" x14ac:dyDescent="0.35">
      <c r="B33" s="7" t="s">
        <v>865</v>
      </c>
      <c r="C33" s="47">
        <v>0.5</v>
      </c>
      <c r="D33" s="7" t="s">
        <v>696</v>
      </c>
      <c r="E33" s="7"/>
    </row>
    <row r="34" spans="2:5" x14ac:dyDescent="0.35">
      <c r="B34" s="7" t="s">
        <v>866</v>
      </c>
      <c r="C34" s="34">
        <v>1</v>
      </c>
      <c r="D34" s="7" t="s">
        <v>696</v>
      </c>
      <c r="E34" s="7"/>
    </row>
    <row r="35" spans="2:5" x14ac:dyDescent="0.35">
      <c r="B35" s="7" t="s">
        <v>884</v>
      </c>
      <c r="C35" s="34">
        <f>IFERROR(SUMIFS('Model VMT by TAZ'!$G$4:$G$2983,'Model VMT by TAZ'!$B$4:$B$2983,'Action 5a Calculations'!$C$26)/SUMIFS('Model VMT by TAZ'!$J$4:$J$2983,'Model VMT by TAZ'!$B$4:$B$2983,'Action 5a Calculations'!$C$26),0)</f>
        <v>10.328132239715291</v>
      </c>
      <c r="D35" s="7" t="s">
        <v>699</v>
      </c>
      <c r="E35" s="7" t="s">
        <v>700</v>
      </c>
    </row>
    <row r="39" spans="2:5" x14ac:dyDescent="0.35">
      <c r="B39" s="153" t="s">
        <v>885</v>
      </c>
      <c r="C39" s="153" t="s">
        <v>886</v>
      </c>
      <c r="D39" s="153" t="s">
        <v>887</v>
      </c>
    </row>
    <row r="40" spans="2:5" x14ac:dyDescent="0.35">
      <c r="B40" s="6" t="s">
        <v>340</v>
      </c>
      <c r="C40" s="27">
        <f>(C17/C16)*C19*C18*C20*C21*C22</f>
        <v>-3.3977201116977884E-2</v>
      </c>
      <c r="D40" s="27">
        <f>-1/C40</f>
        <v>29.431500156742324</v>
      </c>
    </row>
    <row r="41" spans="2:5" x14ac:dyDescent="0.35">
      <c r="B41" s="6" t="s">
        <v>341</v>
      </c>
      <c r="C41" s="27">
        <f>(C30/C29)*C32*C31*C33*C34*C35</f>
        <v>-6.086488778567091E-2</v>
      </c>
      <c r="D41" s="27">
        <f>-1/C41</f>
        <v>16.429833954863948</v>
      </c>
    </row>
    <row r="43" spans="2:5" x14ac:dyDescent="0.35">
      <c r="B43" s="153" t="s">
        <v>885</v>
      </c>
      <c r="C43" s="153" t="s">
        <v>888</v>
      </c>
      <c r="D43" s="153" t="s">
        <v>889</v>
      </c>
      <c r="E43" s="153" t="s">
        <v>890</v>
      </c>
    </row>
    <row r="44" spans="2:5" x14ac:dyDescent="0.35">
      <c r="B44" s="6" t="s">
        <v>340</v>
      </c>
      <c r="C44" s="6">
        <v>347</v>
      </c>
      <c r="D44" s="27">
        <f>C40*C44</f>
        <v>-11.790088787591326</v>
      </c>
      <c r="E44" s="27">
        <f>-1/D44</f>
        <v>8.4817003333551355E-2</v>
      </c>
    </row>
    <row r="45" spans="2:5" x14ac:dyDescent="0.35">
      <c r="B45" s="6" t="s">
        <v>341</v>
      </c>
      <c r="C45" s="6">
        <v>347</v>
      </c>
      <c r="D45" s="27">
        <f>C41*C45</f>
        <v>-21.120116061627805</v>
      </c>
      <c r="E45" s="27">
        <f>-1/D45</f>
        <v>4.7348224653786603E-2</v>
      </c>
    </row>
  </sheetData>
  <sheetProtection sheet="1" objects="1" scenarios="1"/>
  <pageMargins left="0.7" right="0.7" top="0.75" bottom="0.75" header="0.3" footer="0.3"/>
  <pageSetup orientation="portrait" horizontalDpi="120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CBB6B-F50F-49AD-8A00-1EF6131074AB}">
  <sheetPr>
    <tabColor theme="5"/>
  </sheetPr>
  <dimension ref="B2:L28"/>
  <sheetViews>
    <sheetView topLeftCell="A13" workbookViewId="0">
      <selection activeCell="C23" sqref="C23"/>
    </sheetView>
  </sheetViews>
  <sheetFormatPr defaultRowHeight="14.5" x14ac:dyDescent="0.35"/>
  <cols>
    <col min="2" max="2" width="32" customWidth="1"/>
    <col min="3" max="3" width="20.54296875" customWidth="1"/>
    <col min="4" max="4" width="30.26953125" customWidth="1"/>
    <col min="5" max="5" width="33.26953125" customWidth="1"/>
    <col min="6" max="6" width="19.81640625" customWidth="1"/>
    <col min="7" max="7" width="13.81640625" customWidth="1"/>
    <col min="8" max="8" width="23" customWidth="1"/>
    <col min="9" max="9" width="15" customWidth="1"/>
    <col min="10" max="10" width="19.81640625" customWidth="1"/>
    <col min="11" max="11" width="32.81640625" customWidth="1"/>
  </cols>
  <sheetData>
    <row r="2" spans="2:12" ht="31" x14ac:dyDescent="0.7">
      <c r="B2" s="8" t="s">
        <v>175</v>
      </c>
    </row>
    <row r="4" spans="2:12" x14ac:dyDescent="0.35">
      <c r="B4" s="54" t="s">
        <v>891</v>
      </c>
    </row>
    <row r="5" spans="2:12" x14ac:dyDescent="0.35">
      <c r="B5" s="54" t="s">
        <v>892</v>
      </c>
    </row>
    <row r="6" spans="2:12" x14ac:dyDescent="0.35">
      <c r="B6" s="281" t="s">
        <v>893</v>
      </c>
    </row>
    <row r="8" spans="2:12" x14ac:dyDescent="0.35">
      <c r="B8" s="18" t="s">
        <v>894</v>
      </c>
      <c r="C8" s="136"/>
      <c r="D8" s="136"/>
      <c r="E8" s="136"/>
      <c r="F8" s="136"/>
      <c r="G8" s="136"/>
      <c r="H8" s="136"/>
      <c r="I8" s="136"/>
      <c r="J8" s="136"/>
      <c r="K8" s="136"/>
      <c r="L8" s="136"/>
    </row>
    <row r="10" spans="2:12" x14ac:dyDescent="0.35">
      <c r="C10" s="108" t="s">
        <v>688</v>
      </c>
      <c r="D10" s="108" t="s">
        <v>276</v>
      </c>
    </row>
    <row r="11" spans="2:12" ht="29" x14ac:dyDescent="0.35">
      <c r="B11" s="108" t="s">
        <v>895</v>
      </c>
      <c r="C11" s="27">
        <f>SUMIFS('Model VMT by TAZ'!G4:G2983,'Model VMT by TAZ'!C4:C2983,"YES")/SUMIFS('Model VMT by TAZ'!J4:J2983,'Model VMT by TAZ'!C4:C2983,"YES")</f>
        <v>12.246712611175075</v>
      </c>
      <c r="D11" s="7" t="s">
        <v>896</v>
      </c>
    </row>
    <row r="12" spans="2:12" ht="58" x14ac:dyDescent="0.35">
      <c r="B12" s="108" t="s">
        <v>897</v>
      </c>
      <c r="C12" s="253">
        <v>0.14499999999999999</v>
      </c>
      <c r="D12" s="282" t="s">
        <v>893</v>
      </c>
    </row>
    <row r="13" spans="2:12" ht="126" customHeight="1" x14ac:dyDescent="0.35">
      <c r="B13" s="108" t="s">
        <v>898</v>
      </c>
      <c r="C13" s="283">
        <v>0.6</v>
      </c>
      <c r="D13" s="7" t="s">
        <v>899</v>
      </c>
    </row>
    <row r="14" spans="2:12" x14ac:dyDescent="0.35">
      <c r="B14" s="108" t="s">
        <v>900</v>
      </c>
      <c r="C14" s="284">
        <f>-C11*C12*C13</f>
        <v>-1.0654639971722315</v>
      </c>
    </row>
    <row r="17" spans="2:12" x14ac:dyDescent="0.35">
      <c r="B17" s="54" t="s">
        <v>901</v>
      </c>
      <c r="C17" s="54" t="s">
        <v>902</v>
      </c>
    </row>
    <row r="19" spans="2:12" x14ac:dyDescent="0.35">
      <c r="B19" s="18" t="s">
        <v>903</v>
      </c>
      <c r="C19" s="136"/>
      <c r="D19" s="136"/>
      <c r="E19" s="136"/>
      <c r="F19" s="136"/>
      <c r="G19" s="136"/>
      <c r="H19" s="136"/>
      <c r="I19" s="136"/>
      <c r="J19" s="136"/>
      <c r="K19" s="136"/>
      <c r="L19" s="136"/>
    </row>
    <row r="22" spans="2:12" x14ac:dyDescent="0.35">
      <c r="B22" s="153" t="s">
        <v>687</v>
      </c>
      <c r="C22" s="153" t="s">
        <v>688</v>
      </c>
      <c r="D22" s="153" t="s">
        <v>276</v>
      </c>
    </row>
    <row r="23" spans="2:12" x14ac:dyDescent="0.35">
      <c r="B23" s="7" t="s">
        <v>904</v>
      </c>
      <c r="C23" s="288">
        <f>'6.) E-Bike Rebate Program'!C23</f>
        <v>5000</v>
      </c>
      <c r="D23" s="7" t="s">
        <v>691</v>
      </c>
    </row>
    <row r="24" spans="2:12" x14ac:dyDescent="0.35">
      <c r="B24" s="7" t="s">
        <v>905</v>
      </c>
      <c r="C24" s="27">
        <f>C14</f>
        <v>-1.0654639971722315</v>
      </c>
      <c r="D24" s="7" t="s">
        <v>906</v>
      </c>
    </row>
    <row r="25" spans="2:12" ht="43.5" x14ac:dyDescent="0.35">
      <c r="B25" s="7" t="s">
        <v>907</v>
      </c>
      <c r="C25" s="6">
        <v>295</v>
      </c>
      <c r="D25" s="7" t="s">
        <v>908</v>
      </c>
    </row>
    <row r="26" spans="2:12" x14ac:dyDescent="0.35">
      <c r="B26" s="7" t="s">
        <v>909</v>
      </c>
      <c r="C26" s="27">
        <f>C24*C25/365</f>
        <v>-0.86112843607070766</v>
      </c>
      <c r="D26" s="7"/>
    </row>
    <row r="27" spans="2:12" x14ac:dyDescent="0.35">
      <c r="B27" s="67" t="s">
        <v>910</v>
      </c>
      <c r="C27" s="59">
        <f>C23*C26</f>
        <v>-4305.6421803535386</v>
      </c>
      <c r="D27" s="28"/>
    </row>
    <row r="28" spans="2:12" x14ac:dyDescent="0.35">
      <c r="B28" s="7" t="s">
        <v>245</v>
      </c>
      <c r="C28" s="59">
        <f>C27*C25</f>
        <v>-1270164.443204294</v>
      </c>
    </row>
  </sheetData>
  <sheetProtection sheet="1" objects="1" scenarios="1"/>
  <hyperlinks>
    <hyperlink ref="B6" r:id="rId1" display="https://escholarship.org/uc/item/5kb4b8jx" xr:uid="{4EDE089A-FB75-4EE0-B3DA-886212A99D61}"/>
    <hyperlink ref="D12" r:id="rId2" display="https://escholarship.org/uc/item/5kb4b8jx" xr:uid="{7C377123-CFAA-483F-829D-24AF321BDA9D}"/>
  </hyperlinks>
  <pageMargins left="0.7" right="0.7" top="0.75" bottom="0.75" header="0.3" footer="0.3"/>
  <pageSetup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F419-38B3-4FB6-9374-570E62D489E2}">
  <sheetPr>
    <tabColor theme="9"/>
  </sheetPr>
  <dimension ref="B2:Y42"/>
  <sheetViews>
    <sheetView zoomScale="110" zoomScaleNormal="110" workbookViewId="0">
      <selection activeCell="F6" sqref="F6:F19"/>
    </sheetView>
  </sheetViews>
  <sheetFormatPr defaultRowHeight="14.5" x14ac:dyDescent="0.35"/>
  <cols>
    <col min="2" max="2" width="4.453125" customWidth="1"/>
    <col min="3" max="3" width="50.1796875" customWidth="1"/>
    <col min="4" max="4" width="28.7265625" customWidth="1"/>
    <col min="5" max="5" width="18.1796875" customWidth="1"/>
    <col min="6" max="6" width="23.26953125" customWidth="1"/>
    <col min="7" max="7" width="23.26953125" hidden="1" customWidth="1"/>
    <col min="8" max="8" width="16.26953125" hidden="1" customWidth="1"/>
    <col min="9" max="9" width="9.26953125" customWidth="1"/>
    <col min="10" max="10" width="12.7265625" customWidth="1"/>
    <col min="11" max="11" width="16.26953125" hidden="1" customWidth="1"/>
    <col min="12" max="12" width="14.81640625" customWidth="1"/>
    <col min="13" max="13" width="20.26953125" customWidth="1"/>
    <col min="14" max="14" width="19" customWidth="1"/>
    <col min="15" max="15" width="16.1796875" hidden="1" customWidth="1"/>
    <col min="16" max="16" width="14.7265625" customWidth="1"/>
    <col min="19" max="19" width="0" hidden="1" customWidth="1"/>
    <col min="24" max="25" width="0" hidden="1" customWidth="1"/>
  </cols>
  <sheetData>
    <row r="2" spans="2:25" ht="26" x14ac:dyDescent="0.6">
      <c r="B2" s="19" t="s">
        <v>32</v>
      </c>
      <c r="S2" t="s">
        <v>148</v>
      </c>
      <c r="Y2" t="s">
        <v>148</v>
      </c>
    </row>
    <row r="3" spans="2:25" ht="26" x14ac:dyDescent="0.6">
      <c r="B3" s="19"/>
      <c r="S3" t="s">
        <v>149</v>
      </c>
    </row>
    <row r="4" spans="2:25" ht="15" customHeight="1" x14ac:dyDescent="0.35">
      <c r="B4" s="54" t="s">
        <v>207</v>
      </c>
    </row>
    <row r="5" spans="2:25" ht="87" x14ac:dyDescent="0.35">
      <c r="B5" s="276" t="s">
        <v>150</v>
      </c>
      <c r="C5" s="277" t="s">
        <v>151</v>
      </c>
      <c r="D5" s="277" t="s">
        <v>152</v>
      </c>
      <c r="E5" s="277" t="s">
        <v>208</v>
      </c>
      <c r="F5" s="417" t="s">
        <v>209</v>
      </c>
      <c r="G5" s="277" t="s">
        <v>210</v>
      </c>
      <c r="H5" s="277" t="s">
        <v>211</v>
      </c>
      <c r="I5" s="20" t="s">
        <v>154</v>
      </c>
      <c r="J5" s="20" t="s">
        <v>212</v>
      </c>
      <c r="K5" s="20" t="s">
        <v>213</v>
      </c>
      <c r="L5" s="106" t="s">
        <v>157</v>
      </c>
      <c r="M5" s="106" t="s">
        <v>214</v>
      </c>
      <c r="N5" s="106" t="s">
        <v>159</v>
      </c>
      <c r="O5" s="106" t="s">
        <v>215</v>
      </c>
      <c r="P5" s="106" t="s">
        <v>161</v>
      </c>
    </row>
    <row r="6" spans="2:25" x14ac:dyDescent="0.35">
      <c r="B6" s="6">
        <v>1</v>
      </c>
      <c r="C6" s="7" t="s">
        <v>163</v>
      </c>
      <c r="D6" s="7" t="s">
        <v>164</v>
      </c>
      <c r="E6" s="67" t="str">
        <f>_xlfn.XLOOKUP(B6,'Mitigation Summary - Annual VMT'!$B$5:$B$18,'Mitigation Summary - Annual VMT'!$E$5:$E$18)</f>
        <v>NO</v>
      </c>
      <c r="F6" s="416" t="s">
        <v>181</v>
      </c>
      <c r="G6" s="7" t="str">
        <f t="shared" ref="G6:G15" si="0">IF(F6=$X$7,"NO",IF(F6=$X$8,"YES","-"))</f>
        <v>-</v>
      </c>
      <c r="H6" s="7" t="str">
        <f t="shared" ref="H6:H15" si="1">IF(F6&lt;&gt;$X$6,G6,E6)</f>
        <v>NO</v>
      </c>
      <c r="I6" s="6">
        <f>'1.) Caltrain Service Expansion'!F24</f>
        <v>30</v>
      </c>
      <c r="J6" s="152">
        <f>'1.) Caltrain Service Expansion'!B43</f>
        <v>-115385.3365305937</v>
      </c>
      <c r="K6" s="152">
        <f>'1.) Caltrain Service Expansion'!C43</f>
        <v>-3461560.0959178112</v>
      </c>
      <c r="L6" s="24" t="s">
        <v>165</v>
      </c>
      <c r="M6" s="278">
        <f>'1.) Caltrain Service Expansion'!D43</f>
        <v>26250000</v>
      </c>
      <c r="N6" s="278">
        <f>'1.) Caltrain Service Expansion'!F43</f>
        <v>787500000</v>
      </c>
      <c r="O6" s="363">
        <f>'1.) Caltrain Service Expansion'!E43</f>
        <v>227.49857814939921</v>
      </c>
      <c r="P6" s="363">
        <f>'1.) Caltrain Service Expansion'!G43</f>
        <v>227.49857814939921</v>
      </c>
      <c r="X6" s="415" t="s">
        <v>181</v>
      </c>
    </row>
    <row r="7" spans="2:25" ht="45.65" customHeight="1" x14ac:dyDescent="0.35">
      <c r="B7" s="6">
        <v>2</v>
      </c>
      <c r="C7" s="7" t="s">
        <v>167</v>
      </c>
      <c r="D7" s="7" t="s">
        <v>164</v>
      </c>
      <c r="E7" s="67" t="str">
        <f>_xlfn.XLOOKUP(B7,'Mitigation Summary - Annual VMT'!$B$5:$B$18,'Mitigation Summary - Annual VMT'!$E$5:$E$18)</f>
        <v>NO</v>
      </c>
      <c r="F7" s="416" t="s">
        <v>181</v>
      </c>
      <c r="G7" s="7" t="str">
        <f t="shared" si="0"/>
        <v>-</v>
      </c>
      <c r="H7" s="7" t="str">
        <f t="shared" si="1"/>
        <v>NO</v>
      </c>
      <c r="I7" s="6">
        <f>'2.) Enhance Route ECR Frequency'!F25</f>
        <v>30</v>
      </c>
      <c r="J7" s="152">
        <f>'2.) Enhance Route ECR Frequency'!B38</f>
        <v>-57063.966332007352</v>
      </c>
      <c r="K7" s="152">
        <f>'2.) Enhance Route ECR Frequency'!C38</f>
        <v>-1711918.9899602204</v>
      </c>
      <c r="L7" s="24" t="s">
        <v>165</v>
      </c>
      <c r="M7" s="278">
        <f>'2.) Enhance Route ECR Frequency'!D38</f>
        <v>12560039.173843026</v>
      </c>
      <c r="N7" s="278">
        <f>'2.) Enhance Route ECR Frequency'!F38</f>
        <v>376801175.21529078</v>
      </c>
      <c r="O7" s="363">
        <f>'2.) Enhance Route ECR Frequency'!E38</f>
        <v>220.10455951776459</v>
      </c>
      <c r="P7" s="363">
        <f>'2.) Enhance Route ECR Frequency'!G38</f>
        <v>220.10455951776459</v>
      </c>
      <c r="X7" t="s">
        <v>216</v>
      </c>
    </row>
    <row r="8" spans="2:25" x14ac:dyDescent="0.35">
      <c r="B8" s="6">
        <v>3</v>
      </c>
      <c r="C8" s="7" t="s">
        <v>168</v>
      </c>
      <c r="D8" s="7" t="s">
        <v>169</v>
      </c>
      <c r="E8" s="67" t="str">
        <f>_xlfn.XLOOKUP(B8,'Mitigation Summary - Annual VMT'!$B$5:$B$18,'Mitigation Summary - Annual VMT'!$E$5:$E$18)</f>
        <v>YES</v>
      </c>
      <c r="F8" s="416" t="s">
        <v>181</v>
      </c>
      <c r="G8" s="7" t="str">
        <f t="shared" si="0"/>
        <v>-</v>
      </c>
      <c r="H8" s="7" t="str">
        <f t="shared" si="1"/>
        <v>YES</v>
      </c>
      <c r="I8" s="6">
        <f>'3.) ECR Transit Priority'!I26</f>
        <v>30</v>
      </c>
      <c r="J8" s="152">
        <f>'3.) ECR Transit Priority'!B41</f>
        <v>-128358.18274044091</v>
      </c>
      <c r="K8" s="152">
        <f>'3.) ECR Transit Priority'!C41</f>
        <v>-3850745.4822132271</v>
      </c>
      <c r="L8" s="24" t="s">
        <v>170</v>
      </c>
      <c r="M8" s="278">
        <f>'3.) ECR Transit Priority'!D46</f>
        <v>70264189.075469539</v>
      </c>
      <c r="N8" s="278">
        <f>'3.) ECR Transit Priority'!F46</f>
        <v>70264189.075469539</v>
      </c>
      <c r="O8" s="363">
        <f>'3.) ECR Transit Priority'!E41</f>
        <v>547.40716622292825</v>
      </c>
      <c r="P8" s="408">
        <f>'3.) ECR Transit Priority'!G41</f>
        <v>18.246905540764278</v>
      </c>
      <c r="X8" t="s">
        <v>217</v>
      </c>
    </row>
    <row r="9" spans="2:25" x14ac:dyDescent="0.35">
      <c r="B9" s="6">
        <v>4</v>
      </c>
      <c r="C9" s="7" t="s">
        <v>171</v>
      </c>
      <c r="D9" s="7" t="s">
        <v>169</v>
      </c>
      <c r="E9" s="67" t="str">
        <f>_xlfn.XLOOKUP(B9,'Mitigation Summary - Annual VMT'!$B$5:$B$18,'Mitigation Summary - Annual VMT'!$E$5:$E$18)</f>
        <v>NO</v>
      </c>
      <c r="F9" s="416" t="s">
        <v>181</v>
      </c>
      <c r="G9" s="7" t="str">
        <f t="shared" si="0"/>
        <v>-</v>
      </c>
      <c r="H9" s="7" t="str">
        <f t="shared" si="1"/>
        <v>NO</v>
      </c>
      <c r="I9" s="6">
        <f>'4.) Affordable Housing'!G21</f>
        <v>55</v>
      </c>
      <c r="J9" s="152">
        <f>'4.) Affordable Housing'!B39</f>
        <v>-20221.326762940371</v>
      </c>
      <c r="K9" s="152">
        <f>'4.) Affordable Housing'!C39</f>
        <v>-1057326.0856731974</v>
      </c>
      <c r="L9" s="24" t="s">
        <v>170</v>
      </c>
      <c r="M9" s="278">
        <f>'4.) Affordable Housing'!D39</f>
        <v>293750000</v>
      </c>
      <c r="N9" s="278">
        <f>'4.) Affordable Housing'!D39</f>
        <v>293750000</v>
      </c>
      <c r="O9" s="363">
        <f>'4.) Affordable Housing'!E39</f>
        <v>14526.742159092928</v>
      </c>
      <c r="P9" s="363">
        <f>'4.) Affordable Housing'!F39</f>
        <v>277.82346806753566</v>
      </c>
    </row>
    <row r="10" spans="2:25" x14ac:dyDescent="0.35">
      <c r="B10" s="6">
        <v>5</v>
      </c>
      <c r="C10" s="7" t="s">
        <v>172</v>
      </c>
      <c r="D10" s="7" t="s">
        <v>173</v>
      </c>
      <c r="E10" s="67" t="str">
        <f>_xlfn.XLOOKUP(B10,'Mitigation Summary - Annual VMT'!$B$5:$B$18,'Mitigation Summary - Annual VMT'!$E$5:$E$18)</f>
        <v>NO</v>
      </c>
      <c r="F10" s="416" t="s">
        <v>181</v>
      </c>
      <c r="G10" s="7" t="str">
        <f t="shared" si="0"/>
        <v>-</v>
      </c>
      <c r="H10" s="7" t="str">
        <f t="shared" si="1"/>
        <v>NO</v>
      </c>
      <c r="I10" s="6">
        <f>'5.) Clipper Start - Bay Pass'!M42</f>
        <v>30</v>
      </c>
      <c r="J10" s="152">
        <f>'5.) Clipper Start - Bay Pass'!B58</f>
        <v>-4794.2051627863048</v>
      </c>
      <c r="K10" s="152">
        <f>'5.) Clipper Start - Bay Pass'!C58</f>
        <v>-143826.15488358916</v>
      </c>
      <c r="L10" s="24" t="s">
        <v>165</v>
      </c>
      <c r="M10" s="278">
        <f>'5.) Clipper Start - Bay Pass'!D63</f>
        <v>59262273</v>
      </c>
      <c r="N10" s="278">
        <f>'5.) Clipper Start - Bay Pass'!F63</f>
        <v>1777868190</v>
      </c>
      <c r="O10" s="363">
        <f>'5.) Clipper Start - Bay Pass'!E58</f>
        <v>12361.230065831776</v>
      </c>
      <c r="P10" s="363">
        <f>'5.) Clipper Start - Bay Pass'!G58</f>
        <v>12361.230065831776</v>
      </c>
    </row>
    <row r="11" spans="2:25" x14ac:dyDescent="0.35">
      <c r="B11" s="6">
        <v>6</v>
      </c>
      <c r="C11" s="7" t="s">
        <v>175</v>
      </c>
      <c r="D11" s="7" t="s">
        <v>173</v>
      </c>
      <c r="E11" s="67" t="str">
        <f>_xlfn.XLOOKUP(B11,'Mitigation Summary - Annual VMT'!$B$5:$B$18,'Mitigation Summary - Annual VMT'!$E$5:$E$18)</f>
        <v>NO</v>
      </c>
      <c r="F11" s="416" t="s">
        <v>181</v>
      </c>
      <c r="G11" s="7" t="str">
        <f t="shared" si="0"/>
        <v>-</v>
      </c>
      <c r="H11" s="7" t="str">
        <f t="shared" si="1"/>
        <v>NO</v>
      </c>
      <c r="I11" s="6">
        <f>'6.) E-Bike Rebate Program'!G22</f>
        <v>30</v>
      </c>
      <c r="J11" s="152">
        <f>'6.) E-Bike Rebate Program'!B34</f>
        <v>-4305.6421803535386</v>
      </c>
      <c r="K11" s="152">
        <f>'6.) E-Bike Rebate Program'!C34</f>
        <v>-129169.26541060615</v>
      </c>
      <c r="L11" s="24" t="s">
        <v>170</v>
      </c>
      <c r="M11" s="278">
        <f>'6.) E-Bike Rebate Program'!D39</f>
        <v>666666.66666666663</v>
      </c>
      <c r="N11" s="278">
        <f>'6.) E-Bike Rebate Program'!F39</f>
        <v>20000000</v>
      </c>
      <c r="O11" s="363">
        <f>'6.) E-Bike Rebate Program'!E34</f>
        <v>154.83559449241699</v>
      </c>
      <c r="P11" s="363">
        <f>'6.) E-Bike Rebate Program'!G34</f>
        <v>154.83559449241702</v>
      </c>
    </row>
    <row r="12" spans="2:25" x14ac:dyDescent="0.35">
      <c r="B12" s="6">
        <v>7</v>
      </c>
      <c r="C12" s="6" t="s">
        <v>176</v>
      </c>
      <c r="D12" s="7" t="s">
        <v>173</v>
      </c>
      <c r="E12" s="67" t="str">
        <f>_xlfn.XLOOKUP(B12,'Mitigation Summary - Annual VMT'!$B$5:$B$18,'Mitigation Summary - Annual VMT'!$E$5:$E$18)</f>
        <v>NO</v>
      </c>
      <c r="F12" s="416" t="s">
        <v>181</v>
      </c>
      <c r="G12" s="7" t="str">
        <f t="shared" si="0"/>
        <v>-</v>
      </c>
      <c r="H12" s="7" t="str">
        <f t="shared" si="1"/>
        <v>NO</v>
      </c>
      <c r="I12" s="6">
        <f>'7.) Community Travel Education'!F23</f>
        <v>30</v>
      </c>
      <c r="J12" s="56">
        <f>'7.) Community Travel Education'!B37</f>
        <v>-20736.229317600006</v>
      </c>
      <c r="K12" s="56">
        <f>'7.) Community Travel Education'!C37</f>
        <v>-622086.87952800025</v>
      </c>
      <c r="L12" s="24" t="s">
        <v>165</v>
      </c>
      <c r="M12" s="278">
        <f>'7.) Community Travel Education'!D42</f>
        <v>2080141.875</v>
      </c>
      <c r="N12" s="278">
        <f>'7.) Community Travel Education'!F42</f>
        <v>62404256.25</v>
      </c>
      <c r="O12" s="363">
        <f>'7.) Community Travel Education'!E37</f>
        <v>100.31437457312774</v>
      </c>
      <c r="P12" s="363">
        <f>'7.) Community Travel Education'!G37</f>
        <v>100.31437457312772</v>
      </c>
    </row>
    <row r="13" spans="2:25" x14ac:dyDescent="0.35">
      <c r="B13" s="6">
        <v>8</v>
      </c>
      <c r="C13" s="7" t="s">
        <v>177</v>
      </c>
      <c r="D13" s="7" t="s">
        <v>164</v>
      </c>
      <c r="E13" s="67" t="str">
        <f>_xlfn.XLOOKUP(B13,'Mitigation Summary - Annual VMT'!$B$5:$B$18,'Mitigation Summary - Annual VMT'!$E$5:$E$18)</f>
        <v>NO</v>
      </c>
      <c r="F13" s="416" t="s">
        <v>181</v>
      </c>
      <c r="G13" s="7" t="str">
        <f t="shared" si="0"/>
        <v>-</v>
      </c>
      <c r="H13" s="7" t="str">
        <f t="shared" si="1"/>
        <v>NO</v>
      </c>
      <c r="I13" s="6">
        <f>'8.) Mobility Hubs'!L29</f>
        <v>30</v>
      </c>
      <c r="J13" s="152">
        <f>'8.) Mobility Hubs'!B46</f>
        <v>-3274.986021088082</v>
      </c>
      <c r="K13" s="152">
        <f>'8.) Mobility Hubs'!C46</f>
        <v>-98249.580632642464</v>
      </c>
      <c r="L13" s="24" t="s">
        <v>165</v>
      </c>
      <c r="M13" s="278">
        <f>'8.) Mobility Hubs'!D51</f>
        <v>1417500</v>
      </c>
      <c r="N13" s="278">
        <f>'8.) Mobility Hubs'!F46</f>
        <v>42525000</v>
      </c>
      <c r="O13" s="363">
        <f>'8.) Mobility Hubs'!E46</f>
        <v>432.82627494362544</v>
      </c>
      <c r="P13" s="363">
        <f>'8.) Mobility Hubs'!G46</f>
        <v>432.82627494362538</v>
      </c>
    </row>
    <row r="14" spans="2:25" x14ac:dyDescent="0.35">
      <c r="B14" s="6">
        <v>9</v>
      </c>
      <c r="C14" s="7" t="s">
        <v>178</v>
      </c>
      <c r="D14" s="7" t="s">
        <v>164</v>
      </c>
      <c r="E14" s="67" t="str">
        <f>_xlfn.XLOOKUP(B14,'Mitigation Summary - Annual VMT'!$B$5:$B$18,'Mitigation Summary - Annual VMT'!$E$5:$E$18)</f>
        <v>NO</v>
      </c>
      <c r="F14" s="416" t="s">
        <v>181</v>
      </c>
      <c r="G14" s="7" t="str">
        <f t="shared" si="0"/>
        <v>-</v>
      </c>
      <c r="H14" s="7" t="str">
        <f t="shared" si="1"/>
        <v>NO</v>
      </c>
      <c r="I14" s="6">
        <f>'9.) Micromobility Services'!I39</f>
        <v>30</v>
      </c>
      <c r="J14" s="152">
        <f>'9.) Micromobility Services'!B49</f>
        <v>-10359.879047691533</v>
      </c>
      <c r="K14" s="152">
        <f>'9.) Micromobility Services'!C49</f>
        <v>-310796.37143074599</v>
      </c>
      <c r="L14" s="24" t="s">
        <v>165</v>
      </c>
      <c r="M14" s="278">
        <f>'9.) Micromobility Services'!D49</f>
        <v>9528750</v>
      </c>
      <c r="N14" s="278">
        <f>'9.) Micromobility Services'!F49</f>
        <v>285862500</v>
      </c>
      <c r="O14" s="363">
        <f>'9.) Micromobility Services'!E49</f>
        <v>919.77425181650824</v>
      </c>
      <c r="P14" s="363">
        <f>'9.) Micromobility Services'!G49</f>
        <v>919.77425181650824</v>
      </c>
    </row>
    <row r="15" spans="2:25" x14ac:dyDescent="0.35">
      <c r="B15" s="6">
        <v>10</v>
      </c>
      <c r="C15" s="6" t="s">
        <v>179</v>
      </c>
      <c r="D15" s="7" t="s">
        <v>164</v>
      </c>
      <c r="E15" s="67" t="str">
        <f>_xlfn.XLOOKUP(B15,'Mitigation Summary - Annual VMT'!$B$5:$B$18,'Mitigation Summary - Annual VMT'!$E$5:$E$18)</f>
        <v>NO</v>
      </c>
      <c r="F15" s="416" t="s">
        <v>181</v>
      </c>
      <c r="G15" s="7" t="str">
        <f t="shared" si="0"/>
        <v>-</v>
      </c>
      <c r="H15" s="7" t="str">
        <f t="shared" si="1"/>
        <v>NO</v>
      </c>
      <c r="I15" s="6">
        <f>'10.) Shuttles-Microtransit'!K31</f>
        <v>30</v>
      </c>
      <c r="J15" s="56">
        <f>'10.) Shuttles-Microtransit'!B40</f>
        <v>-5027.1065313770314</v>
      </c>
      <c r="K15" s="56">
        <f>-'10.) Shuttles-Microtransit'!C40</f>
        <v>150813.19594131096</v>
      </c>
      <c r="L15" s="24" t="s">
        <v>165</v>
      </c>
      <c r="M15" s="278">
        <f>'10.) Shuttles-Microtransit'!D40</f>
        <v>461207.35523960041</v>
      </c>
      <c r="N15" s="278">
        <f>'10.) Shuttles-Microtransit'!F40</f>
        <v>13836220.657188013</v>
      </c>
      <c r="O15" s="363">
        <f>'10.) Shuttles-Microtransit'!E40</f>
        <v>91.744098192656736</v>
      </c>
      <c r="P15" s="363">
        <f>'10.) Shuttles-Microtransit'!G40</f>
        <v>91.744098192656736</v>
      </c>
    </row>
    <row r="16" spans="2:25" ht="101.5" x14ac:dyDescent="0.35">
      <c r="B16" s="6">
        <v>11</v>
      </c>
      <c r="C16" s="6" t="s">
        <v>180</v>
      </c>
      <c r="D16" s="7" t="s">
        <v>169</v>
      </c>
      <c r="E16" s="67" t="str">
        <f>_xlfn.XLOOKUP(B16,'Mitigation Summary - Annual VMT'!$B$5:$B$18,'Mitigation Summary - Annual VMT'!$E$5:$E$18)</f>
        <v>N/A</v>
      </c>
      <c r="F16" s="7"/>
      <c r="G16" s="7"/>
      <c r="H16" s="7"/>
      <c r="I16" s="6">
        <f>'11.) EV Charging Facilities'!J29</f>
        <v>10</v>
      </c>
      <c r="J16" s="369" t="s">
        <v>182</v>
      </c>
      <c r="K16" s="369"/>
      <c r="L16" s="24" t="s">
        <v>170</v>
      </c>
      <c r="M16" s="278">
        <f>'Mitigation Summary - Annual VMT'!J18</f>
        <v>10797150</v>
      </c>
      <c r="N16" s="278">
        <f>'Mitigation Summary - Annual VMT'!K18</f>
        <v>10797150</v>
      </c>
      <c r="O16" s="370" t="s">
        <v>181</v>
      </c>
      <c r="P16" s="370" t="s">
        <v>181</v>
      </c>
    </row>
    <row r="17" spans="2:16" x14ac:dyDescent="0.35">
      <c r="B17" s="6">
        <v>12</v>
      </c>
      <c r="C17" s="6" t="s">
        <v>183</v>
      </c>
      <c r="D17" s="7" t="s">
        <v>169</v>
      </c>
      <c r="E17" s="67" t="str">
        <f>_xlfn.XLOOKUP(B17,'Mitigation Summary - Annual VMT'!$B$5:$B$18,'Mitigation Summary - Annual VMT'!$E$5:$E$18)</f>
        <v>NO</v>
      </c>
      <c r="F17" s="416" t="s">
        <v>181</v>
      </c>
      <c r="G17" s="7" t="str">
        <f>IF(F17=$X$7,"NO",IF(F17=$X$8,"YES","-"))</f>
        <v>-</v>
      </c>
      <c r="H17" s="7" t="str">
        <f>IF(F17&lt;&gt;$X$6,G17,E17)</f>
        <v>NO</v>
      </c>
      <c r="I17" s="6">
        <f>'12.) Bicycle Infrastructure'!N35</f>
        <v>30</v>
      </c>
      <c r="J17" s="56">
        <f>IF('12a.) CustomBicycleProject'!F56='12a.) CustomBicycleProject'!AG37,'12a.) CustomBicycleProject'!B61,'12.) Bicycle Infrastructure'!B70)</f>
        <v>-316.18023600000004</v>
      </c>
      <c r="K17" s="56">
        <f>'12.) Bicycle Infrastructure'!C70</f>
        <v>-9485.4070800000009</v>
      </c>
      <c r="L17" s="24" t="s">
        <v>170</v>
      </c>
      <c r="M17" s="278">
        <f>IF('12a.) CustomBicycleProject'!F56='12a.) CustomBicycleProject'!AG37,'12a.) CustomBicycleProject'!D61,'12.) Bicycle Infrastructure'!D70)</f>
        <v>116719847.58452389</v>
      </c>
      <c r="N17" s="278">
        <f>IF('12a.) CustomBicycleProject'!F56='12a.) CustomBicycleProject'!AG37,'12a.) CustomBicycleProject'!F61,'12.) Bicycle Infrastructure'!F70)</f>
        <v>116719847.58452389</v>
      </c>
      <c r="O17" s="363">
        <f>'12.) Bicycle Infrastructure'!E70</f>
        <v>369156.05181762174</v>
      </c>
      <c r="P17" s="363">
        <f>IF('12a.) CustomBicycleProject'!F56='12a.) CustomBicycleProject'!AG37,'12a.) CustomBicycleProject'!G61,'12.) Bicycle Infrastructure'!G70)</f>
        <v>12305.201727254058</v>
      </c>
    </row>
    <row r="18" spans="2:16" x14ac:dyDescent="0.35">
      <c r="B18" s="6">
        <v>13</v>
      </c>
      <c r="C18" s="6" t="s">
        <v>185</v>
      </c>
      <c r="D18" s="7" t="s">
        <v>169</v>
      </c>
      <c r="E18" s="67" t="str">
        <f>_xlfn.XLOOKUP(B18,'Mitigation Summary - Annual VMT'!$B$5:$B$18,'Mitigation Summary - Annual VMT'!$E$5:$E$18)</f>
        <v>NO</v>
      </c>
      <c r="F18" s="416" t="s">
        <v>181</v>
      </c>
      <c r="G18" s="7" t="str">
        <f>IF(F18=$X$7,"NO",IF(F18=$X$8,"YES","-"))</f>
        <v>-</v>
      </c>
      <c r="H18" s="7" t="str">
        <f>IF(F18&lt;&gt;$X$6,G18,E18)</f>
        <v>NO</v>
      </c>
      <c r="I18" s="6">
        <f>'13.) Pedestrian Infrastructure'!K21</f>
        <v>30</v>
      </c>
      <c r="J18" s="56">
        <f>'13.) Pedestrian Infrastructure'!B41/'Action 13 Calculation'!C9</f>
        <v>-2.1907826086956526</v>
      </c>
      <c r="K18" s="56">
        <f>'13.) Pedestrian Infrastructure'!C36</f>
        <v>-65.723478260869584</v>
      </c>
      <c r="L18" s="24" t="s">
        <v>170</v>
      </c>
      <c r="M18" s="278">
        <f>'13.) Pedestrian Infrastructure'!D41</f>
        <v>3038765.6250000005</v>
      </c>
      <c r="N18" s="278">
        <f>'13.) Pedestrian Infrastructure'!D41</f>
        <v>3038765.6250000005</v>
      </c>
      <c r="O18" s="363">
        <f>'13.) Pedestrian Infrastructure'!E36</f>
        <v>1387068.5356632532</v>
      </c>
      <c r="P18" s="363">
        <f>'13.) Pedestrian Infrastructure'!F36</f>
        <v>46235.617855441764</v>
      </c>
    </row>
    <row r="19" spans="2:16" x14ac:dyDescent="0.35">
      <c r="B19" s="6">
        <v>14</v>
      </c>
      <c r="C19" s="7" t="s">
        <v>186</v>
      </c>
      <c r="D19" s="7" t="s">
        <v>169</v>
      </c>
      <c r="E19" s="67" t="str">
        <f>_xlfn.XLOOKUP(B19,'Mitigation Summary - Annual VMT'!$B$5:$B$18,'Mitigation Summary - Annual VMT'!$E$5:$E$18)</f>
        <v>NO</v>
      </c>
      <c r="F19" s="416" t="s">
        <v>181</v>
      </c>
      <c r="G19" s="7" t="str">
        <f>IF(F19=$X$7,"NO",IF(F19=$X$8,"YES","N/A"))</f>
        <v>N/A</v>
      </c>
      <c r="H19" s="7" t="str">
        <f>IF(F19&lt;&gt;$X$6,G19,E19)</f>
        <v>NO</v>
      </c>
      <c r="I19" s="6">
        <f>'14.) Parking Benefit Districts'!K27</f>
        <v>30</v>
      </c>
      <c r="J19" s="152">
        <f>'14.) Parking Benefit Districts'!B36</f>
        <v>-312357.20600000006</v>
      </c>
      <c r="K19" s="152">
        <f>'14.) Parking Benefit Districts'!C36</f>
        <v>-9370716.1800000016</v>
      </c>
      <c r="L19" s="24" t="s">
        <v>170</v>
      </c>
      <c r="M19" s="278">
        <f>'14.) Parking Benefit Districts'!D36</f>
        <v>10797150</v>
      </c>
      <c r="N19" s="278">
        <f>'14.) Parking Benefit Districts'!F36</f>
        <v>10797150</v>
      </c>
      <c r="O19" s="363">
        <f>'14.) Parking Benefit Districts'!E36</f>
        <v>34.566674924093149</v>
      </c>
      <c r="P19" s="408">
        <f>'14.) Parking Benefit Districts'!G36</f>
        <v>1.1522224974697717</v>
      </c>
    </row>
    <row r="22" spans="2:16" ht="20.25" customHeight="1" x14ac:dyDescent="0.35">
      <c r="C22" s="106" t="s">
        <v>187</v>
      </c>
      <c r="D22" s="186">
        <f>SUMIFS(M6:M19,H6:H19,"YES")</f>
        <v>70264189.075469539</v>
      </c>
    </row>
    <row r="23" spans="2:16" ht="29" x14ac:dyDescent="0.35">
      <c r="C23" s="106" t="s">
        <v>188</v>
      </c>
      <c r="D23" s="186">
        <f>SUMIFS(N6:N19,H6:H19,"YES")</f>
        <v>70264189.075469539</v>
      </c>
    </row>
    <row r="24" spans="2:16" x14ac:dyDescent="0.35">
      <c r="C24" s="20" t="s">
        <v>218</v>
      </c>
      <c r="D24" s="180">
        <f>SUMIFS(J6:J19,H6:H19,"YES")</f>
        <v>-128358.18274044091</v>
      </c>
    </row>
    <row r="29" spans="2:16" ht="26" x14ac:dyDescent="0.6">
      <c r="B29" s="19"/>
    </row>
    <row r="42" spans="2:2" ht="26" x14ac:dyDescent="0.6">
      <c r="B42" s="19"/>
    </row>
  </sheetData>
  <sheetProtection sheet="1" objects="1" scenarios="1"/>
  <protectedRanges>
    <protectedRange sqref="F6:F19" name="Range1"/>
  </protectedRanges>
  <autoFilter ref="B5:P5" xr:uid="{BD12170B-761B-4651-A9F0-AAB996C480F0}">
    <sortState xmlns:xlrd2="http://schemas.microsoft.com/office/spreadsheetml/2017/richdata2" ref="B6:P20">
      <sortCondition ref="B5"/>
    </sortState>
  </autoFilter>
  <dataValidations count="1">
    <dataValidation type="list" allowBlank="1" showInputMessage="1" showErrorMessage="1" sqref="F6:F18" xr:uid="{B7803B23-1BD7-400D-9452-932C0A46F6B8}">
      <formula1>$X$6:$X$8</formula1>
    </dataValidation>
  </dataValidations>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9D0C-901A-4F8E-9A39-4B1170718EF5}">
  <sheetPr>
    <tabColor theme="5"/>
  </sheetPr>
  <dimension ref="B2:X87"/>
  <sheetViews>
    <sheetView workbookViewId="0">
      <selection activeCell="X1" sqref="X1:X1048576"/>
    </sheetView>
  </sheetViews>
  <sheetFormatPr defaultRowHeight="14.5" x14ac:dyDescent="0.35"/>
  <cols>
    <col min="2" max="2" width="52.81640625" customWidth="1"/>
    <col min="3" max="3" width="25.453125" customWidth="1"/>
    <col min="4" max="4" width="31.7265625" customWidth="1"/>
    <col min="5" max="5" width="32.453125" customWidth="1"/>
    <col min="24" max="24" width="9.1796875" hidden="1" customWidth="1"/>
  </cols>
  <sheetData>
    <row r="2" spans="2:24" ht="31" x14ac:dyDescent="0.7">
      <c r="B2" s="8" t="s">
        <v>911</v>
      </c>
      <c r="X2" s="6" t="s">
        <v>487</v>
      </c>
    </row>
    <row r="3" spans="2:24" x14ac:dyDescent="0.35">
      <c r="X3" s="198" t="s">
        <v>355</v>
      </c>
    </row>
    <row r="4" spans="2:24" ht="21" x14ac:dyDescent="0.5">
      <c r="B4" s="216" t="s">
        <v>912</v>
      </c>
      <c r="X4" s="198" t="s">
        <v>359</v>
      </c>
    </row>
    <row r="5" spans="2:24" x14ac:dyDescent="0.35">
      <c r="B5" s="2"/>
      <c r="X5" s="198" t="s">
        <v>362</v>
      </c>
    </row>
    <row r="6" spans="2:24" x14ac:dyDescent="0.35">
      <c r="B6" s="54" t="s">
        <v>913</v>
      </c>
      <c r="X6" s="198" t="s">
        <v>364</v>
      </c>
    </row>
    <row r="7" spans="2:24" x14ac:dyDescent="0.35">
      <c r="B7" s="54"/>
      <c r="X7" s="198" t="s">
        <v>366</v>
      </c>
    </row>
    <row r="8" spans="2:24" x14ac:dyDescent="0.35">
      <c r="B8" s="18" t="s">
        <v>883</v>
      </c>
      <c r="C8" s="136"/>
      <c r="D8" s="136"/>
      <c r="E8" s="136"/>
      <c r="F8" s="136"/>
      <c r="G8" s="136"/>
      <c r="H8" s="136"/>
      <c r="I8" s="136"/>
      <c r="J8" s="136"/>
      <c r="K8" s="136"/>
      <c r="L8" s="136"/>
      <c r="M8" s="136"/>
      <c r="N8" s="136"/>
      <c r="O8" s="136"/>
      <c r="P8" s="136"/>
      <c r="Q8" s="136"/>
      <c r="R8" s="136"/>
      <c r="S8" s="136"/>
      <c r="X8" s="198" t="s">
        <v>368</v>
      </c>
    </row>
    <row r="9" spans="2:24" x14ac:dyDescent="0.35">
      <c r="B9" s="2"/>
      <c r="X9" s="198" t="s">
        <v>370</v>
      </c>
    </row>
    <row r="10" spans="2:24" x14ac:dyDescent="0.35">
      <c r="B10" s="54" t="s">
        <v>709</v>
      </c>
      <c r="X10" s="198" t="s">
        <v>372</v>
      </c>
    </row>
    <row r="11" spans="2:24" x14ac:dyDescent="0.35">
      <c r="B11" s="54" t="s">
        <v>855</v>
      </c>
      <c r="X11" s="198" t="s">
        <v>373</v>
      </c>
    </row>
    <row r="12" spans="2:24" x14ac:dyDescent="0.35">
      <c r="B12" s="54"/>
      <c r="X12" s="198" t="s">
        <v>374</v>
      </c>
    </row>
    <row r="13" spans="2:24" x14ac:dyDescent="0.35">
      <c r="B13" s="54" t="s">
        <v>914</v>
      </c>
      <c r="X13" s="198" t="s">
        <v>375</v>
      </c>
    </row>
    <row r="14" spans="2:24" x14ac:dyDescent="0.35">
      <c r="B14" s="54"/>
      <c r="X14" s="198" t="s">
        <v>376</v>
      </c>
    </row>
    <row r="15" spans="2:24" x14ac:dyDescent="0.35">
      <c r="B15" s="153" t="s">
        <v>915</v>
      </c>
      <c r="C15" s="288" t="str">
        <f>'7.) Community Travel Education'!C23</f>
        <v>Countywide</v>
      </c>
      <c r="X15" s="198" t="s">
        <v>377</v>
      </c>
    </row>
    <row r="16" spans="2:24" x14ac:dyDescent="0.35">
      <c r="B16" s="153" t="s">
        <v>916</v>
      </c>
      <c r="C16" s="46">
        <f>'7.) Community Travel Education'!C22</f>
        <v>0.1</v>
      </c>
      <c r="X16" s="198" t="s">
        <v>378</v>
      </c>
    </row>
    <row r="17" spans="2:24" x14ac:dyDescent="0.35">
      <c r="B17" s="2"/>
      <c r="X17" s="198" t="s">
        <v>379</v>
      </c>
    </row>
    <row r="18" spans="2:24" x14ac:dyDescent="0.35">
      <c r="B18" s="26" t="s">
        <v>687</v>
      </c>
      <c r="C18" s="26" t="s">
        <v>688</v>
      </c>
      <c r="D18" s="26" t="s">
        <v>276</v>
      </c>
      <c r="E18" s="26" t="s">
        <v>689</v>
      </c>
      <c r="X18" s="198" t="s">
        <v>380</v>
      </c>
    </row>
    <row r="19" spans="2:24" x14ac:dyDescent="0.35">
      <c r="B19" s="7" t="s">
        <v>917</v>
      </c>
      <c r="C19" s="174">
        <f>SUMIFS('Other Model Data by TAZ'!$E$4:$E$2834,'Other Model Data by TAZ'!$B$4:$B$2834,'Action 7 Calculations'!$C$15)</f>
        <v>0</v>
      </c>
      <c r="D19" s="7" t="s">
        <v>918</v>
      </c>
      <c r="E19" s="25" t="s">
        <v>919</v>
      </c>
      <c r="F19" s="54"/>
      <c r="X19" s="198" t="s">
        <v>381</v>
      </c>
    </row>
    <row r="20" spans="2:24" ht="19.5" customHeight="1" x14ac:dyDescent="0.35">
      <c r="B20" s="7" t="s">
        <v>920</v>
      </c>
      <c r="C20" s="173">
        <f>C19*$C$16</f>
        <v>0</v>
      </c>
      <c r="D20" s="7" t="s">
        <v>921</v>
      </c>
      <c r="E20" s="25" t="s">
        <v>919</v>
      </c>
      <c r="X20" s="198" t="s">
        <v>382</v>
      </c>
    </row>
    <row r="21" spans="2:24" ht="29" x14ac:dyDescent="0.35">
      <c r="B21" s="7" t="s">
        <v>922</v>
      </c>
      <c r="C21" s="43">
        <v>0.19</v>
      </c>
      <c r="D21" s="7" t="s">
        <v>696</v>
      </c>
      <c r="E21" s="7" t="s">
        <v>923</v>
      </c>
      <c r="X21" s="198" t="s">
        <v>299</v>
      </c>
    </row>
    <row r="22" spans="2:24" x14ac:dyDescent="0.35">
      <c r="B22" s="7" t="s">
        <v>924</v>
      </c>
      <c r="C22" s="41">
        <v>0.12</v>
      </c>
      <c r="D22" s="7" t="s">
        <v>696</v>
      </c>
      <c r="E22" s="7" t="s">
        <v>923</v>
      </c>
      <c r="X22" s="198" t="s">
        <v>383</v>
      </c>
    </row>
    <row r="23" spans="2:24" x14ac:dyDescent="0.35">
      <c r="B23" s="7" t="s">
        <v>925</v>
      </c>
      <c r="C23" s="42">
        <v>1</v>
      </c>
      <c r="D23" s="7" t="s">
        <v>696</v>
      </c>
      <c r="E23" s="7"/>
    </row>
    <row r="24" spans="2:24" ht="16" x14ac:dyDescent="0.45">
      <c r="B24" s="303" t="s">
        <v>704</v>
      </c>
      <c r="C24" s="48">
        <f xml:space="preserve"> IFERROR((C20/C19) * C21* -C22 *C23,0)</f>
        <v>0</v>
      </c>
    </row>
    <row r="25" spans="2:24" x14ac:dyDescent="0.35">
      <c r="E25" s="30"/>
    </row>
    <row r="26" spans="2:24" ht="16" x14ac:dyDescent="0.45">
      <c r="B26" s="66" t="s">
        <v>705</v>
      </c>
      <c r="C26" s="33"/>
    </row>
    <row r="27" spans="2:24" ht="16" x14ac:dyDescent="0.45">
      <c r="B27" s="371" t="s">
        <v>706</v>
      </c>
      <c r="C27" s="31" t="s">
        <v>926</v>
      </c>
    </row>
    <row r="29" spans="2:24" x14ac:dyDescent="0.35">
      <c r="B29" s="153" t="s">
        <v>868</v>
      </c>
      <c r="C29" s="56">
        <f>SUMIFS('Model VMT by TAZ'!G:G, 'Model VMT by TAZ'!B:B, '7.) Community Travel Education'!$C$23)</f>
        <v>0</v>
      </c>
    </row>
    <row r="30" spans="2:24" x14ac:dyDescent="0.35">
      <c r="B30" s="153" t="s">
        <v>927</v>
      </c>
      <c r="C30" s="56">
        <f>C24*C29</f>
        <v>0</v>
      </c>
    </row>
    <row r="31" spans="2:24" x14ac:dyDescent="0.35">
      <c r="B31" s="153" t="s">
        <v>928</v>
      </c>
      <c r="C31" s="56">
        <v>347</v>
      </c>
    </row>
    <row r="32" spans="2:24" x14ac:dyDescent="0.35">
      <c r="B32" s="153" t="s">
        <v>929</v>
      </c>
      <c r="C32" s="56">
        <f>C30*C31</f>
        <v>0</v>
      </c>
    </row>
    <row r="34" spans="2:5" x14ac:dyDescent="0.35">
      <c r="B34" s="54" t="s">
        <v>930</v>
      </c>
    </row>
    <row r="37" spans="2:5" x14ac:dyDescent="0.35">
      <c r="B37" s="26" t="s">
        <v>687</v>
      </c>
      <c r="C37" s="26" t="s">
        <v>688</v>
      </c>
      <c r="D37" s="26" t="s">
        <v>276</v>
      </c>
      <c r="E37" s="26" t="s">
        <v>689</v>
      </c>
    </row>
    <row r="38" spans="2:5" x14ac:dyDescent="0.35">
      <c r="B38" s="7" t="s">
        <v>917</v>
      </c>
      <c r="C38" s="174">
        <f>SUMIFS('Other Model Data by TAZ'!$E$4:$E$2834,'Other Model Data by TAZ'!$C$4:$C$2834,"YES")</f>
        <v>264145</v>
      </c>
      <c r="D38" s="7" t="s">
        <v>918</v>
      </c>
      <c r="E38" s="25" t="s">
        <v>931</v>
      </c>
    </row>
    <row r="39" spans="2:5" x14ac:dyDescent="0.35">
      <c r="B39" s="7" t="s">
        <v>920</v>
      </c>
      <c r="C39" s="173">
        <f>C38*$C$16</f>
        <v>26414.5</v>
      </c>
      <c r="D39" s="7" t="s">
        <v>921</v>
      </c>
      <c r="E39" s="25" t="s">
        <v>931</v>
      </c>
    </row>
    <row r="40" spans="2:5" ht="29" x14ac:dyDescent="0.35">
      <c r="B40" s="7" t="s">
        <v>922</v>
      </c>
      <c r="C40" s="43">
        <v>0.19</v>
      </c>
      <c r="D40" s="7" t="s">
        <v>696</v>
      </c>
      <c r="E40" s="7" t="s">
        <v>923</v>
      </c>
    </row>
    <row r="41" spans="2:5" x14ac:dyDescent="0.35">
      <c r="B41" s="7" t="s">
        <v>924</v>
      </c>
      <c r="C41" s="41">
        <v>0.12</v>
      </c>
      <c r="D41" s="7" t="s">
        <v>696</v>
      </c>
      <c r="E41" s="7" t="s">
        <v>923</v>
      </c>
    </row>
    <row r="42" spans="2:5" x14ac:dyDescent="0.35">
      <c r="B42" s="7" t="s">
        <v>925</v>
      </c>
      <c r="C42" s="42">
        <v>1</v>
      </c>
      <c r="D42" s="7" t="s">
        <v>696</v>
      </c>
      <c r="E42" s="7"/>
    </row>
    <row r="43" spans="2:5" ht="16" x14ac:dyDescent="0.45">
      <c r="B43" s="303" t="s">
        <v>704</v>
      </c>
      <c r="C43" s="48">
        <f xml:space="preserve"> (C39/C38) * C40* -C41 *C42</f>
        <v>-2.2800000000000003E-3</v>
      </c>
    </row>
    <row r="44" spans="2:5" x14ac:dyDescent="0.35">
      <c r="E44" s="30"/>
    </row>
    <row r="45" spans="2:5" ht="16" x14ac:dyDescent="0.45">
      <c r="B45" s="66" t="s">
        <v>705</v>
      </c>
      <c r="C45" s="33"/>
    </row>
    <row r="46" spans="2:5" ht="16" x14ac:dyDescent="0.45">
      <c r="B46" s="371" t="s">
        <v>706</v>
      </c>
      <c r="C46" s="31" t="s">
        <v>926</v>
      </c>
    </row>
    <row r="48" spans="2:5" x14ac:dyDescent="0.35">
      <c r="B48" s="153" t="s">
        <v>868</v>
      </c>
      <c r="C48" s="56">
        <f>SUMIFS('Model VMT by TAZ'!G:G, 'Model VMT by TAZ'!C:C,"YES")</f>
        <v>9094837.4200000018</v>
      </c>
    </row>
    <row r="49" spans="2:3" x14ac:dyDescent="0.35">
      <c r="B49" s="153" t="s">
        <v>927</v>
      </c>
      <c r="C49" s="56">
        <f>C43*C48</f>
        <v>-20736.229317600006</v>
      </c>
    </row>
    <row r="50" spans="2:3" x14ac:dyDescent="0.35">
      <c r="B50" s="153" t="s">
        <v>928</v>
      </c>
      <c r="C50" s="56">
        <v>347</v>
      </c>
    </row>
    <row r="51" spans="2:3" x14ac:dyDescent="0.35">
      <c r="B51" s="153" t="s">
        <v>929</v>
      </c>
      <c r="C51" s="56">
        <f>C49*C50</f>
        <v>-7195471.5732072024</v>
      </c>
    </row>
    <row r="82" spans="2:19" x14ac:dyDescent="0.35">
      <c r="B82" s="18" t="s">
        <v>872</v>
      </c>
      <c r="C82" s="136"/>
      <c r="D82" s="136"/>
      <c r="E82" s="136"/>
      <c r="F82" s="136"/>
      <c r="G82" s="136"/>
      <c r="H82" s="136"/>
      <c r="I82" s="136"/>
      <c r="J82" s="136"/>
      <c r="K82" s="136"/>
      <c r="L82" s="136"/>
      <c r="M82" s="136"/>
      <c r="N82" s="136"/>
      <c r="O82" s="136"/>
      <c r="P82" s="136"/>
      <c r="Q82" s="136"/>
      <c r="R82" s="136"/>
      <c r="S82" s="136"/>
    </row>
    <row r="84" spans="2:19" x14ac:dyDescent="0.35">
      <c r="B84" s="54" t="s">
        <v>740</v>
      </c>
    </row>
    <row r="86" spans="2:19" ht="29" x14ac:dyDescent="0.35">
      <c r="B86" s="153" t="s">
        <v>409</v>
      </c>
      <c r="C86" s="108" t="s">
        <v>932</v>
      </c>
      <c r="D86" s="108" t="s">
        <v>876</v>
      </c>
      <c r="E86" s="108" t="s">
        <v>933</v>
      </c>
    </row>
    <row r="87" spans="2:19" x14ac:dyDescent="0.35">
      <c r="B87" s="6" t="str">
        <f>'7.) Community Travel Education'!C23</f>
        <v>Countywide</v>
      </c>
      <c r="C87" s="56">
        <f>C30</f>
        <v>0</v>
      </c>
      <c r="D87" s="6">
        <v>347</v>
      </c>
      <c r="E87" s="56">
        <f>C87*D87</f>
        <v>0</v>
      </c>
    </row>
  </sheetData>
  <sheetProtection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4BA6-423E-43D3-930A-6D0CF4EAF2DC}">
  <sheetPr>
    <tabColor theme="5"/>
  </sheetPr>
  <dimension ref="B2:U187"/>
  <sheetViews>
    <sheetView topLeftCell="A148" zoomScale="85" zoomScaleNormal="85" workbookViewId="0">
      <selection activeCell="B155" sqref="B155"/>
    </sheetView>
  </sheetViews>
  <sheetFormatPr defaultRowHeight="14.5" x14ac:dyDescent="0.35"/>
  <cols>
    <col min="2" max="2" width="75.1796875" customWidth="1"/>
    <col min="3" max="3" width="29.1796875" customWidth="1"/>
    <col min="4" max="4" width="23.1796875" customWidth="1"/>
    <col min="5" max="5" width="31.54296875" bestFit="1" customWidth="1"/>
    <col min="6" max="6" width="12.1796875" customWidth="1"/>
    <col min="7" max="7" width="54.81640625" customWidth="1"/>
    <col min="8" max="8" width="22" customWidth="1"/>
    <col min="9" max="9" width="36.54296875" customWidth="1"/>
    <col min="10" max="10" width="27.453125" customWidth="1"/>
    <col min="13" max="13" width="67.26953125" customWidth="1"/>
    <col min="14" max="14" width="42.1796875" bestFit="1" customWidth="1"/>
    <col min="15" max="15" width="38.453125" customWidth="1"/>
    <col min="16" max="16" width="32.54296875" customWidth="1"/>
    <col min="18" max="18" width="71.54296875" bestFit="1" customWidth="1"/>
    <col min="19" max="19" width="11.1796875" customWidth="1"/>
    <col min="20" max="20" width="40.26953125" customWidth="1"/>
    <col min="21" max="21" width="17" customWidth="1"/>
  </cols>
  <sheetData>
    <row r="2" spans="2:13" ht="31" x14ac:dyDescent="0.7">
      <c r="B2" s="8" t="s">
        <v>177</v>
      </c>
    </row>
    <row r="4" spans="2:13" ht="21" x14ac:dyDescent="0.5">
      <c r="B4" s="216" t="s">
        <v>934</v>
      </c>
    </row>
    <row r="5" spans="2:13" ht="21" x14ac:dyDescent="0.5">
      <c r="B5" s="216" t="s">
        <v>935</v>
      </c>
    </row>
    <row r="6" spans="2:13" ht="21" x14ac:dyDescent="0.5">
      <c r="B6" s="216" t="s">
        <v>936</v>
      </c>
    </row>
    <row r="8" spans="2:13" x14ac:dyDescent="0.35">
      <c r="B8" s="54" t="s">
        <v>937</v>
      </c>
    </row>
    <row r="10" spans="2:13" x14ac:dyDescent="0.35">
      <c r="B10" s="18" t="s">
        <v>883</v>
      </c>
      <c r="M10" s="2"/>
    </row>
    <row r="11" spans="2:13" x14ac:dyDescent="0.35">
      <c r="M11" s="2"/>
    </row>
    <row r="12" spans="2:13" x14ac:dyDescent="0.35">
      <c r="B12" s="54" t="s">
        <v>938</v>
      </c>
      <c r="M12" s="2"/>
    </row>
    <row r="13" spans="2:13" x14ac:dyDescent="0.35">
      <c r="B13" s="54" t="s">
        <v>939</v>
      </c>
      <c r="M13" s="2"/>
    </row>
    <row r="14" spans="2:13" x14ac:dyDescent="0.35">
      <c r="B14" s="54"/>
      <c r="M14" s="2"/>
    </row>
    <row r="15" spans="2:13" ht="23.5" x14ac:dyDescent="0.55000000000000004">
      <c r="B15" s="138" t="s">
        <v>368</v>
      </c>
      <c r="M15" s="138" t="s">
        <v>376</v>
      </c>
    </row>
    <row r="17" spans="2:21" x14ac:dyDescent="0.35">
      <c r="B17" s="2" t="s">
        <v>940</v>
      </c>
      <c r="G17" s="2" t="s">
        <v>941</v>
      </c>
      <c r="M17" s="2" t="s">
        <v>940</v>
      </c>
      <c r="R17" s="2" t="s">
        <v>941</v>
      </c>
    </row>
    <row r="18" spans="2:21" x14ac:dyDescent="0.35">
      <c r="B18" s="26" t="s">
        <v>687</v>
      </c>
      <c r="C18" s="26" t="s">
        <v>688</v>
      </c>
      <c r="D18" s="26" t="s">
        <v>276</v>
      </c>
      <c r="E18" s="26" t="s">
        <v>689</v>
      </c>
      <c r="G18" s="26" t="s">
        <v>687</v>
      </c>
      <c r="H18" s="26" t="s">
        <v>688</v>
      </c>
      <c r="I18" s="26" t="s">
        <v>276</v>
      </c>
      <c r="J18" s="26" t="s">
        <v>689</v>
      </c>
      <c r="M18" s="26" t="s">
        <v>687</v>
      </c>
      <c r="N18" s="26" t="s">
        <v>688</v>
      </c>
      <c r="O18" s="26" t="s">
        <v>276</v>
      </c>
      <c r="P18" s="26" t="s">
        <v>689</v>
      </c>
      <c r="R18" s="26" t="s">
        <v>687</v>
      </c>
      <c r="S18" s="26" t="s">
        <v>688</v>
      </c>
      <c r="T18" s="26" t="s">
        <v>276</v>
      </c>
      <c r="U18" s="26" t="s">
        <v>689</v>
      </c>
    </row>
    <row r="19" spans="2:21" ht="29" x14ac:dyDescent="0.35">
      <c r="B19" s="7" t="s">
        <v>942</v>
      </c>
      <c r="C19" s="160">
        <f>'8.) Mobility Hubs'!$C$24</f>
        <v>3</v>
      </c>
      <c r="D19" s="7" t="s">
        <v>691</v>
      </c>
      <c r="E19" s="7"/>
      <c r="G19" s="7" t="s">
        <v>943</v>
      </c>
      <c r="H19" s="47">
        <v>0</v>
      </c>
      <c r="I19" s="7" t="s">
        <v>691</v>
      </c>
      <c r="J19" s="7"/>
      <c r="M19" s="7" t="s">
        <v>942</v>
      </c>
      <c r="N19" s="160">
        <f>'8.) Mobility Hubs'!$C$24</f>
        <v>3</v>
      </c>
      <c r="O19" s="7" t="s">
        <v>691</v>
      </c>
      <c r="P19" s="7"/>
      <c r="R19" s="7" t="s">
        <v>943</v>
      </c>
      <c r="S19" s="47">
        <v>0</v>
      </c>
      <c r="T19" s="7" t="s">
        <v>691</v>
      </c>
      <c r="U19" s="7"/>
    </row>
    <row r="20" spans="2:21" ht="29" x14ac:dyDescent="0.35">
      <c r="B20" s="7" t="s">
        <v>944</v>
      </c>
      <c r="C20" s="56">
        <f>SUMIFS('Action 8 Data'!$M$4:'Action 8 Data'!$M$24,'Action 8 Data'!$E$4:$E$24,'Action 8 Calculations'!$B$15)</f>
        <v>852951.98</v>
      </c>
      <c r="D20" s="7" t="s">
        <v>945</v>
      </c>
      <c r="E20" s="7"/>
      <c r="G20" s="7" t="s">
        <v>946</v>
      </c>
      <c r="H20" s="47">
        <v>1</v>
      </c>
      <c r="I20" s="7" t="s">
        <v>691</v>
      </c>
      <c r="J20" s="7"/>
      <c r="M20" s="7" t="s">
        <v>944</v>
      </c>
      <c r="N20" s="56">
        <f>SUMIFS('Action 8 Data'!$M$4:$M$24,'Action 8 Data'!$E$4:$E$24,'Action 8 Calculations'!$M$15)</f>
        <v>770244.13</v>
      </c>
      <c r="O20" s="7" t="s">
        <v>945</v>
      </c>
      <c r="P20" s="7"/>
      <c r="R20" s="7" t="s">
        <v>946</v>
      </c>
      <c r="S20" s="47">
        <v>1</v>
      </c>
      <c r="T20" s="7" t="s">
        <v>691</v>
      </c>
      <c r="U20" s="7"/>
    </row>
    <row r="21" spans="2:21" x14ac:dyDescent="0.35">
      <c r="B21" s="7" t="s">
        <v>947</v>
      </c>
      <c r="C21" s="34">
        <v>54.8</v>
      </c>
      <c r="D21" s="7" t="s">
        <v>696</v>
      </c>
      <c r="E21" s="7" t="s">
        <v>948</v>
      </c>
      <c r="G21" s="7" t="s">
        <v>949</v>
      </c>
      <c r="H21" s="39">
        <v>2.1000000000000001E-2</v>
      </c>
      <c r="I21" s="7" t="s">
        <v>950</v>
      </c>
      <c r="J21" s="7"/>
      <c r="M21" s="7" t="s">
        <v>947</v>
      </c>
      <c r="N21" s="34">
        <v>54.8</v>
      </c>
      <c r="O21" s="7" t="s">
        <v>696</v>
      </c>
      <c r="P21" s="7" t="s">
        <v>948</v>
      </c>
      <c r="R21" s="7" t="s">
        <v>949</v>
      </c>
      <c r="S21" s="39">
        <v>2.1000000000000001E-2</v>
      </c>
      <c r="T21" s="7" t="s">
        <v>950</v>
      </c>
      <c r="U21" s="7"/>
    </row>
    <row r="22" spans="2:21" x14ac:dyDescent="0.35">
      <c r="B22" s="7" t="s">
        <v>951</v>
      </c>
      <c r="C22" s="34">
        <v>13.7</v>
      </c>
      <c r="D22" s="7" t="s">
        <v>696</v>
      </c>
      <c r="E22" s="7" t="s">
        <v>948</v>
      </c>
      <c r="G22" s="7" t="s">
        <v>952</v>
      </c>
      <c r="H22" s="47">
        <v>0.35</v>
      </c>
      <c r="I22" s="7" t="s">
        <v>696</v>
      </c>
      <c r="J22" s="7" t="s">
        <v>953</v>
      </c>
      <c r="M22" s="7" t="s">
        <v>951</v>
      </c>
      <c r="N22" s="34">
        <v>13.7</v>
      </c>
      <c r="O22" s="7" t="s">
        <v>696</v>
      </c>
      <c r="P22" s="7" t="s">
        <v>948</v>
      </c>
      <c r="R22" s="7" t="s">
        <v>952</v>
      </c>
      <c r="S22" s="47">
        <v>0.35</v>
      </c>
      <c r="T22" s="7" t="s">
        <v>696</v>
      </c>
      <c r="U22" s="7" t="s">
        <v>953</v>
      </c>
    </row>
    <row r="23" spans="2:21" ht="26.5" x14ac:dyDescent="0.35">
      <c r="B23" s="306" t="s">
        <v>954</v>
      </c>
      <c r="C23" s="307">
        <v>307.5</v>
      </c>
      <c r="D23" s="306" t="s">
        <v>955</v>
      </c>
      <c r="E23" s="306" t="s">
        <v>956</v>
      </c>
      <c r="G23" s="7" t="s">
        <v>957</v>
      </c>
      <c r="H23" s="34">
        <v>2.1</v>
      </c>
      <c r="I23" s="7" t="s">
        <v>696</v>
      </c>
      <c r="J23" s="7" t="s">
        <v>953</v>
      </c>
      <c r="M23" s="310" t="s">
        <v>954</v>
      </c>
      <c r="N23" s="311">
        <v>307.5</v>
      </c>
      <c r="O23" s="306" t="s">
        <v>955</v>
      </c>
      <c r="P23" s="310" t="s">
        <v>956</v>
      </c>
      <c r="R23" s="7" t="s">
        <v>957</v>
      </c>
      <c r="S23" s="34">
        <v>2.1</v>
      </c>
      <c r="T23" s="7" t="s">
        <v>696</v>
      </c>
      <c r="U23" s="7" t="s">
        <v>953</v>
      </c>
    </row>
    <row r="24" spans="2:21" ht="26.5" x14ac:dyDescent="0.35">
      <c r="B24" s="306" t="s">
        <v>958</v>
      </c>
      <c r="C24" s="308">
        <v>0.32700000000000001</v>
      </c>
      <c r="D24" s="306" t="s">
        <v>955</v>
      </c>
      <c r="E24" s="306" t="s">
        <v>959</v>
      </c>
      <c r="G24" s="7" t="s">
        <v>960</v>
      </c>
      <c r="H24" s="34">
        <v>2.7</v>
      </c>
      <c r="I24" s="7" t="s">
        <v>696</v>
      </c>
      <c r="J24" s="7" t="s">
        <v>961</v>
      </c>
      <c r="M24" s="310" t="s">
        <v>958</v>
      </c>
      <c r="N24" s="312">
        <v>0.32700000000000001</v>
      </c>
      <c r="O24" s="306" t="s">
        <v>955</v>
      </c>
      <c r="P24" s="310" t="s">
        <v>959</v>
      </c>
      <c r="R24" s="7" t="s">
        <v>960</v>
      </c>
      <c r="S24" s="34">
        <v>2.7</v>
      </c>
      <c r="T24" s="7" t="s">
        <v>696</v>
      </c>
      <c r="U24" s="7" t="s">
        <v>961</v>
      </c>
    </row>
    <row r="25" spans="2:21" ht="29" x14ac:dyDescent="0.35">
      <c r="B25" s="306" t="s">
        <v>962</v>
      </c>
      <c r="C25" s="307">
        <v>206</v>
      </c>
      <c r="D25" s="306" t="s">
        <v>963</v>
      </c>
      <c r="E25" s="306" t="s">
        <v>964</v>
      </c>
      <c r="G25" s="7" t="s">
        <v>965</v>
      </c>
      <c r="H25" s="34">
        <v>12.4</v>
      </c>
      <c r="I25" s="7" t="s">
        <v>966</v>
      </c>
      <c r="J25" s="7" t="s">
        <v>703</v>
      </c>
      <c r="M25" s="310" t="s">
        <v>962</v>
      </c>
      <c r="N25" s="311">
        <v>206</v>
      </c>
      <c r="O25" s="306" t="s">
        <v>963</v>
      </c>
      <c r="P25" s="310" t="s">
        <v>964</v>
      </c>
      <c r="R25" s="7" t="s">
        <v>965</v>
      </c>
      <c r="S25" s="34">
        <v>12.4</v>
      </c>
      <c r="T25" s="7" t="s">
        <v>966</v>
      </c>
      <c r="U25" s="7" t="s">
        <v>703</v>
      </c>
    </row>
    <row r="26" spans="2:21" ht="27.5" x14ac:dyDescent="0.45">
      <c r="B26" s="306" t="s">
        <v>967</v>
      </c>
      <c r="C26" s="309">
        <v>454</v>
      </c>
      <c r="D26" s="306" t="s">
        <v>955</v>
      </c>
      <c r="E26" s="306"/>
      <c r="G26" s="303" t="s">
        <v>704</v>
      </c>
      <c r="H26" s="164">
        <f>-1*(H20-H19)*H21*H22*H23/(H24*H25)</f>
        <v>-4.6102150537634406E-4</v>
      </c>
      <c r="M26" s="310" t="s">
        <v>967</v>
      </c>
      <c r="N26" s="313">
        <v>454</v>
      </c>
      <c r="O26" s="306" t="s">
        <v>955</v>
      </c>
      <c r="P26" s="310"/>
      <c r="R26" s="303" t="s">
        <v>704</v>
      </c>
      <c r="S26" s="164">
        <f>-1*(S20-S19)*S21*S22*S23/(S24*S25)</f>
        <v>-4.6102150537634406E-4</v>
      </c>
    </row>
    <row r="27" spans="2:21" ht="26.5" x14ac:dyDescent="0.35">
      <c r="B27" s="306" t="s">
        <v>968</v>
      </c>
      <c r="C27" s="308">
        <v>1E-3</v>
      </c>
      <c r="D27" s="306" t="s">
        <v>955</v>
      </c>
      <c r="E27" s="306"/>
      <c r="J27" s="30"/>
      <c r="M27" s="310" t="s">
        <v>968</v>
      </c>
      <c r="N27" s="312">
        <v>1E-3</v>
      </c>
      <c r="O27" s="306" t="s">
        <v>955</v>
      </c>
      <c r="P27" s="310"/>
      <c r="U27" s="30"/>
    </row>
    <row r="28" spans="2:21" ht="16" x14ac:dyDescent="0.45">
      <c r="B28" s="303" t="s">
        <v>704</v>
      </c>
      <c r="C28" s="29">
        <f>-(-1*C19*(C22-C21)/C20)</f>
        <v>-1.4455678970344847E-4</v>
      </c>
      <c r="G28" s="66" t="s">
        <v>705</v>
      </c>
      <c r="H28" s="33"/>
      <c r="M28" s="303" t="s">
        <v>704</v>
      </c>
      <c r="N28" s="29">
        <f>-(-1*N19*(N22-N21)/N20)</f>
        <v>-1.6007911673406714E-4</v>
      </c>
      <c r="R28" s="66" t="s">
        <v>705</v>
      </c>
      <c r="S28" s="33"/>
    </row>
    <row r="29" spans="2:21" ht="16" x14ac:dyDescent="0.45">
      <c r="E29" s="30"/>
      <c r="G29" s="371" t="s">
        <v>706</v>
      </c>
      <c r="H29" s="31" t="s">
        <v>969</v>
      </c>
      <c r="P29" s="30"/>
      <c r="R29" s="371" t="s">
        <v>706</v>
      </c>
      <c r="S29" s="31" t="s">
        <v>969</v>
      </c>
    </row>
    <row r="30" spans="2:21" ht="16" x14ac:dyDescent="0.45">
      <c r="B30" s="66" t="s">
        <v>705</v>
      </c>
      <c r="C30" s="33"/>
      <c r="M30" s="66" t="s">
        <v>705</v>
      </c>
      <c r="N30" s="33"/>
    </row>
    <row r="31" spans="2:21" ht="16" x14ac:dyDescent="0.45">
      <c r="B31" s="371" t="s">
        <v>706</v>
      </c>
      <c r="C31" s="31" t="s">
        <v>970</v>
      </c>
      <c r="M31" s="371" t="s">
        <v>706</v>
      </c>
      <c r="N31" s="31" t="s">
        <v>970</v>
      </c>
    </row>
    <row r="32" spans="2:21" ht="16" x14ac:dyDescent="0.45">
      <c r="B32" s="371"/>
      <c r="C32" s="31"/>
      <c r="M32" s="371"/>
      <c r="N32" s="31"/>
    </row>
    <row r="33" spans="2:19" x14ac:dyDescent="0.35">
      <c r="B33" s="153" t="s">
        <v>971</v>
      </c>
      <c r="C33" s="56">
        <f>SUMIFS('Action 8 Data'!$M$4:$M$24,'Action 8 Data'!$E$4:$E$24,'Action 8 Calculations'!B140)</f>
        <v>852951.98</v>
      </c>
      <c r="G33" s="153" t="s">
        <v>971</v>
      </c>
      <c r="H33" s="56">
        <f>SUMIFS('Action 8 Data'!$M$4:$M$24,'Action 8 Data'!$E$4:$E$24,'Action 8 Calculations'!B140)</f>
        <v>852951.98</v>
      </c>
      <c r="M33" s="153" t="s">
        <v>971</v>
      </c>
      <c r="N33" s="56">
        <f>SUMIFS('Action 8 Data'!$M$4:$M$24,'Action 8 Data'!$E$4:$E$24,'Action 8 Calculations'!B141)</f>
        <v>770244.13</v>
      </c>
      <c r="R33" s="153" t="s">
        <v>971</v>
      </c>
      <c r="S33" s="56">
        <f>SUMIFS('Action 8 Data'!$M$4:$M$24,'Action 8 Data'!$E$4:$E$24,'Action 8 Calculations'!B141)</f>
        <v>770244.13</v>
      </c>
    </row>
    <row r="34" spans="2:19" x14ac:dyDescent="0.35">
      <c r="B34" s="153" t="s">
        <v>927</v>
      </c>
      <c r="C34" s="56">
        <f>C28*C33</f>
        <v>-123.29999999999998</v>
      </c>
      <c r="G34" s="153" t="s">
        <v>927</v>
      </c>
      <c r="H34" s="56">
        <f>H26*H33</f>
        <v>-393.22920583333331</v>
      </c>
      <c r="M34" s="153" t="s">
        <v>927</v>
      </c>
      <c r="N34" s="56">
        <f>N28*N33</f>
        <v>-123.29999999999998</v>
      </c>
      <c r="R34" s="153" t="s">
        <v>927</v>
      </c>
      <c r="S34" s="56">
        <f>S26*S33</f>
        <v>-355.09910831989248</v>
      </c>
    </row>
    <row r="36" spans="2:19" x14ac:dyDescent="0.35">
      <c r="B36" s="2" t="s">
        <v>972</v>
      </c>
      <c r="M36" s="2" t="s">
        <v>972</v>
      </c>
    </row>
    <row r="37" spans="2:19" x14ac:dyDescent="0.35">
      <c r="B37" s="26" t="s">
        <v>687</v>
      </c>
      <c r="C37" s="26" t="s">
        <v>688</v>
      </c>
      <c r="D37" s="26" t="s">
        <v>276</v>
      </c>
      <c r="E37" s="26" t="s">
        <v>689</v>
      </c>
      <c r="M37" s="26" t="s">
        <v>687</v>
      </c>
      <c r="N37" s="26" t="s">
        <v>688</v>
      </c>
      <c r="O37" s="26" t="s">
        <v>276</v>
      </c>
      <c r="P37" s="26" t="s">
        <v>689</v>
      </c>
    </row>
    <row r="38" spans="2:19" ht="29" x14ac:dyDescent="0.35">
      <c r="B38" s="7" t="s">
        <v>973</v>
      </c>
      <c r="C38" s="47">
        <v>0</v>
      </c>
      <c r="D38" s="7" t="s">
        <v>691</v>
      </c>
      <c r="E38" s="7"/>
      <c r="M38" s="7" t="s">
        <v>973</v>
      </c>
      <c r="N38" s="47">
        <v>0</v>
      </c>
      <c r="O38" s="7" t="s">
        <v>691</v>
      </c>
      <c r="P38" s="7"/>
    </row>
    <row r="39" spans="2:19" ht="29" x14ac:dyDescent="0.35">
      <c r="B39" s="7" t="s">
        <v>974</v>
      </c>
      <c r="C39" s="47">
        <v>1</v>
      </c>
      <c r="D39" s="7" t="s">
        <v>691</v>
      </c>
      <c r="E39" s="7"/>
      <c r="M39" s="7" t="s">
        <v>974</v>
      </c>
      <c r="N39" s="47">
        <v>1</v>
      </c>
      <c r="O39" s="7" t="s">
        <v>691</v>
      </c>
      <c r="P39" s="7"/>
    </row>
    <row r="40" spans="2:19" ht="29" x14ac:dyDescent="0.35">
      <c r="B40" s="7" t="s">
        <v>975</v>
      </c>
      <c r="C40" s="39">
        <v>2.1000000000000001E-2</v>
      </c>
      <c r="D40" s="7" t="s">
        <v>950</v>
      </c>
      <c r="E40" s="7"/>
      <c r="M40" s="7" t="s">
        <v>975</v>
      </c>
      <c r="N40" s="39">
        <v>2.1000000000000001E-2</v>
      </c>
      <c r="O40" s="7" t="s">
        <v>950</v>
      </c>
      <c r="P40" s="7"/>
    </row>
    <row r="41" spans="2:19" x14ac:dyDescent="0.35">
      <c r="B41" s="7" t="s">
        <v>976</v>
      </c>
      <c r="C41" s="48">
        <v>0.38500000000000001</v>
      </c>
      <c r="D41" s="7" t="s">
        <v>696</v>
      </c>
      <c r="E41" s="7" t="s">
        <v>977</v>
      </c>
      <c r="M41" s="7" t="s">
        <v>976</v>
      </c>
      <c r="N41" s="48">
        <v>0.38500000000000001</v>
      </c>
      <c r="O41" s="7" t="s">
        <v>696</v>
      </c>
      <c r="P41" s="7" t="s">
        <v>977</v>
      </c>
    </row>
    <row r="42" spans="2:19" x14ac:dyDescent="0.35">
      <c r="B42" s="7" t="s">
        <v>978</v>
      </c>
      <c r="C42" s="27">
        <v>2.14</v>
      </c>
      <c r="D42" s="7" t="s">
        <v>696</v>
      </c>
      <c r="E42" s="7" t="s">
        <v>979</v>
      </c>
      <c r="M42" s="7" t="s">
        <v>978</v>
      </c>
      <c r="N42" s="27">
        <v>2.14</v>
      </c>
      <c r="O42" s="7" t="s">
        <v>696</v>
      </c>
      <c r="P42" s="7" t="s">
        <v>979</v>
      </c>
    </row>
    <row r="43" spans="2:19" x14ac:dyDescent="0.35">
      <c r="B43" s="7" t="s">
        <v>960</v>
      </c>
      <c r="C43" s="34">
        <v>2.7</v>
      </c>
      <c r="D43" s="7" t="s">
        <v>696</v>
      </c>
      <c r="E43" s="7" t="s">
        <v>961</v>
      </c>
      <c r="M43" s="7" t="s">
        <v>960</v>
      </c>
      <c r="N43" s="34">
        <v>2.7</v>
      </c>
      <c r="O43" s="7" t="s">
        <v>696</v>
      </c>
      <c r="P43" s="7" t="s">
        <v>961</v>
      </c>
    </row>
    <row r="44" spans="2:19" ht="43.5" x14ac:dyDescent="0.35">
      <c r="B44" s="7" t="s">
        <v>965</v>
      </c>
      <c r="C44" s="34">
        <v>12.4</v>
      </c>
      <c r="D44" s="7" t="s">
        <v>966</v>
      </c>
      <c r="E44" s="7" t="s">
        <v>703</v>
      </c>
      <c r="M44" s="7" t="s">
        <v>965</v>
      </c>
      <c r="N44" s="34">
        <v>12.4</v>
      </c>
      <c r="O44" s="7" t="s">
        <v>966</v>
      </c>
      <c r="P44" s="7" t="s">
        <v>703</v>
      </c>
    </row>
    <row r="45" spans="2:19" ht="16" x14ac:dyDescent="0.45">
      <c r="B45" s="303" t="s">
        <v>704</v>
      </c>
      <c r="C45" s="164">
        <f xml:space="preserve"> -1 * ((C39-C38) *C40*C41*C42)/(C43*C44)</f>
        <v>-5.1678315412186375E-4</v>
      </c>
      <c r="M45" s="303" t="s">
        <v>704</v>
      </c>
      <c r="N45" s="164">
        <f>-1 * (N39-N38)*N40*N41*N42/(N43*N44)</f>
        <v>-5.1678315412186375E-4</v>
      </c>
    </row>
    <row r="46" spans="2:19" x14ac:dyDescent="0.35">
      <c r="E46" s="30"/>
      <c r="P46" s="30"/>
    </row>
    <row r="47" spans="2:19" ht="16" x14ac:dyDescent="0.45">
      <c r="B47" s="66" t="s">
        <v>705</v>
      </c>
      <c r="C47" s="33"/>
      <c r="M47" s="66" t="s">
        <v>705</v>
      </c>
      <c r="N47" s="33"/>
    </row>
    <row r="48" spans="2:19" ht="16" x14ac:dyDescent="0.45">
      <c r="B48" s="371" t="s">
        <v>706</v>
      </c>
      <c r="C48" s="31" t="s">
        <v>980</v>
      </c>
      <c r="M48" s="371" t="s">
        <v>706</v>
      </c>
      <c r="N48" s="31" t="s">
        <v>980</v>
      </c>
    </row>
    <row r="50" spans="2:21" x14ac:dyDescent="0.35">
      <c r="B50" s="153" t="s">
        <v>971</v>
      </c>
      <c r="C50" s="56">
        <f>SUMIFS('Action 8 Data'!$M$4:$M$24,'Action 8 Data'!$E$4:$E$24,'Action 8 Calculations'!B140)</f>
        <v>852951.98</v>
      </c>
      <c r="M50" s="153" t="s">
        <v>971</v>
      </c>
      <c r="N50" s="56">
        <f>SUMIFS('Action 8 Data'!$M$4:$M$24,'Action 8 Data'!$E$4:$E$24,'Action 8 Calculations'!B141)</f>
        <v>770244.13</v>
      </c>
    </row>
    <row r="51" spans="2:21" x14ac:dyDescent="0.35">
      <c r="B51" s="153" t="s">
        <v>927</v>
      </c>
      <c r="C51" s="56">
        <f>C45*C50</f>
        <v>-440.79121453888882</v>
      </c>
      <c r="M51" s="153" t="s">
        <v>927</v>
      </c>
      <c r="N51" s="56">
        <f>N45*N50</f>
        <v>-398.04919094525087</v>
      </c>
    </row>
    <row r="52" spans="2:21" x14ac:dyDescent="0.35">
      <c r="C52" s="176"/>
    </row>
    <row r="53" spans="2:21" ht="23.5" x14ac:dyDescent="0.55000000000000004">
      <c r="B53" s="138" t="s">
        <v>382</v>
      </c>
      <c r="M53" s="138" t="s">
        <v>375</v>
      </c>
    </row>
    <row r="54" spans="2:21" x14ac:dyDescent="0.35">
      <c r="B54" s="2"/>
      <c r="M54" s="2"/>
    </row>
    <row r="55" spans="2:21" x14ac:dyDescent="0.35">
      <c r="B55" s="2" t="s">
        <v>940</v>
      </c>
      <c r="G55" s="2" t="s">
        <v>941</v>
      </c>
      <c r="M55" s="2" t="s">
        <v>940</v>
      </c>
      <c r="R55" s="2" t="s">
        <v>941</v>
      </c>
    </row>
    <row r="56" spans="2:21" x14ac:dyDescent="0.35">
      <c r="B56" s="2"/>
      <c r="G56" s="2"/>
      <c r="M56" s="2"/>
      <c r="R56" s="2"/>
    </row>
    <row r="57" spans="2:21" x14ac:dyDescent="0.35">
      <c r="B57" s="26" t="s">
        <v>687</v>
      </c>
      <c r="C57" s="26" t="s">
        <v>688</v>
      </c>
      <c r="D57" s="26" t="s">
        <v>276</v>
      </c>
      <c r="E57" s="26" t="s">
        <v>689</v>
      </c>
      <c r="G57" s="26" t="s">
        <v>687</v>
      </c>
      <c r="H57" s="26" t="s">
        <v>688</v>
      </c>
      <c r="I57" s="26" t="s">
        <v>276</v>
      </c>
      <c r="J57" s="26" t="s">
        <v>689</v>
      </c>
      <c r="M57" s="26" t="s">
        <v>687</v>
      </c>
      <c r="N57" s="26" t="s">
        <v>688</v>
      </c>
      <c r="O57" s="26" t="s">
        <v>276</v>
      </c>
      <c r="P57" s="26" t="s">
        <v>689</v>
      </c>
      <c r="R57" s="26" t="s">
        <v>687</v>
      </c>
      <c r="S57" s="26" t="s">
        <v>688</v>
      </c>
      <c r="T57" s="26" t="s">
        <v>276</v>
      </c>
      <c r="U57" s="26" t="s">
        <v>689</v>
      </c>
    </row>
    <row r="58" spans="2:21" ht="29" x14ac:dyDescent="0.35">
      <c r="B58" s="7" t="s">
        <v>942</v>
      </c>
      <c r="C58" s="160">
        <f>'8.) Mobility Hubs'!$C$24</f>
        <v>3</v>
      </c>
      <c r="D58" s="7" t="s">
        <v>691</v>
      </c>
      <c r="E58" s="7"/>
      <c r="G58" s="7" t="s">
        <v>943</v>
      </c>
      <c r="H58" s="47">
        <v>0</v>
      </c>
      <c r="I58" s="7" t="s">
        <v>691</v>
      </c>
      <c r="J58" s="7"/>
      <c r="M58" s="7" t="s">
        <v>942</v>
      </c>
      <c r="N58" s="160">
        <f>'8.) Mobility Hubs'!$C$24</f>
        <v>3</v>
      </c>
      <c r="O58" s="7" t="s">
        <v>691</v>
      </c>
      <c r="P58" s="7"/>
      <c r="R58" s="7" t="s">
        <v>943</v>
      </c>
      <c r="S58" s="47">
        <v>0</v>
      </c>
      <c r="T58" s="7" t="s">
        <v>691</v>
      </c>
      <c r="U58" s="7"/>
    </row>
    <row r="59" spans="2:21" ht="29" x14ac:dyDescent="0.35">
      <c r="B59" s="7" t="s">
        <v>944</v>
      </c>
      <c r="C59" s="56">
        <f>SUMIFS('Action 8 Data'!$M$4:$M$24,'Action 8 Data'!$E$4:$E$24,'Action 8 Calculations'!$B$53)</f>
        <v>433438.76</v>
      </c>
      <c r="D59" s="7" t="s">
        <v>945</v>
      </c>
      <c r="E59" s="7"/>
      <c r="G59" s="7" t="s">
        <v>946</v>
      </c>
      <c r="H59" s="47">
        <v>1</v>
      </c>
      <c r="I59" s="7" t="s">
        <v>691</v>
      </c>
      <c r="J59" s="7"/>
      <c r="M59" s="7" t="s">
        <v>944</v>
      </c>
      <c r="N59" s="56">
        <f>SUMIFS('Action 8 Data'!$M$4:$M$24,'Action 8 Data'!$E$4:$E$24,'Action 8 Calculations'!$M$53)</f>
        <v>497966.1</v>
      </c>
      <c r="O59" s="7" t="s">
        <v>945</v>
      </c>
      <c r="P59" s="7"/>
      <c r="R59" s="7" t="s">
        <v>946</v>
      </c>
      <c r="S59" s="47">
        <v>1</v>
      </c>
      <c r="T59" s="7" t="s">
        <v>691</v>
      </c>
      <c r="U59" s="7"/>
    </row>
    <row r="60" spans="2:21" x14ac:dyDescent="0.35">
      <c r="B60" s="7" t="s">
        <v>947</v>
      </c>
      <c r="C60" s="34">
        <v>54.8</v>
      </c>
      <c r="D60" s="7" t="s">
        <v>696</v>
      </c>
      <c r="E60" s="7" t="s">
        <v>948</v>
      </c>
      <c r="G60" s="7" t="s">
        <v>949</v>
      </c>
      <c r="H60" s="39">
        <v>2.1000000000000001E-2</v>
      </c>
      <c r="I60" s="7" t="s">
        <v>950</v>
      </c>
      <c r="J60" s="7"/>
      <c r="M60" s="7" t="s">
        <v>947</v>
      </c>
      <c r="N60" s="34">
        <v>54.8</v>
      </c>
      <c r="O60" s="7" t="s">
        <v>696</v>
      </c>
      <c r="P60" s="7" t="s">
        <v>948</v>
      </c>
      <c r="R60" s="7" t="s">
        <v>949</v>
      </c>
      <c r="S60" s="39">
        <v>2.1000000000000001E-2</v>
      </c>
      <c r="T60" s="7" t="s">
        <v>950</v>
      </c>
      <c r="U60" s="7"/>
    </row>
    <row r="61" spans="2:21" x14ac:dyDescent="0.35">
      <c r="B61" s="7" t="s">
        <v>951</v>
      </c>
      <c r="C61" s="34">
        <v>13.7</v>
      </c>
      <c r="D61" s="7" t="s">
        <v>696</v>
      </c>
      <c r="E61" s="7" t="s">
        <v>948</v>
      </c>
      <c r="G61" s="7" t="s">
        <v>952</v>
      </c>
      <c r="H61" s="47">
        <v>0.35</v>
      </c>
      <c r="I61" s="7" t="s">
        <v>696</v>
      </c>
      <c r="J61" s="7" t="s">
        <v>953</v>
      </c>
      <c r="M61" s="7" t="s">
        <v>951</v>
      </c>
      <c r="N61" s="34">
        <v>13.7</v>
      </c>
      <c r="O61" s="7" t="s">
        <v>696</v>
      </c>
      <c r="P61" s="7" t="s">
        <v>948</v>
      </c>
      <c r="R61" s="7" t="s">
        <v>952</v>
      </c>
      <c r="S61" s="47">
        <v>0.35</v>
      </c>
      <c r="T61" s="7" t="s">
        <v>696</v>
      </c>
      <c r="U61" s="7" t="s">
        <v>953</v>
      </c>
    </row>
    <row r="62" spans="2:21" ht="26.5" x14ac:dyDescent="0.35">
      <c r="B62" s="310" t="s">
        <v>954</v>
      </c>
      <c r="C62" s="311">
        <v>307.5</v>
      </c>
      <c r="D62" s="306" t="s">
        <v>955</v>
      </c>
      <c r="E62" s="310" t="s">
        <v>956</v>
      </c>
      <c r="G62" s="7" t="s">
        <v>957</v>
      </c>
      <c r="H62" s="34">
        <v>2.1</v>
      </c>
      <c r="I62" s="7" t="s">
        <v>696</v>
      </c>
      <c r="J62" s="7" t="s">
        <v>953</v>
      </c>
      <c r="M62" s="310" t="s">
        <v>954</v>
      </c>
      <c r="N62" s="311">
        <v>307.5</v>
      </c>
      <c r="O62" s="306" t="s">
        <v>955</v>
      </c>
      <c r="P62" s="310" t="s">
        <v>956</v>
      </c>
      <c r="R62" s="7" t="s">
        <v>957</v>
      </c>
      <c r="S62" s="34">
        <v>2.1</v>
      </c>
      <c r="T62" s="7" t="s">
        <v>696</v>
      </c>
      <c r="U62" s="7" t="s">
        <v>953</v>
      </c>
    </row>
    <row r="63" spans="2:21" ht="26.5" x14ac:dyDescent="0.35">
      <c r="B63" s="310" t="s">
        <v>958</v>
      </c>
      <c r="C63" s="312">
        <v>0.32700000000000001</v>
      </c>
      <c r="D63" s="306" t="s">
        <v>955</v>
      </c>
      <c r="E63" s="310" t="s">
        <v>959</v>
      </c>
      <c r="G63" s="7" t="s">
        <v>960</v>
      </c>
      <c r="H63" s="34">
        <v>2.7</v>
      </c>
      <c r="I63" s="7" t="s">
        <v>696</v>
      </c>
      <c r="J63" s="7" t="s">
        <v>961</v>
      </c>
      <c r="M63" s="310" t="s">
        <v>958</v>
      </c>
      <c r="N63" s="312">
        <v>0.32700000000000001</v>
      </c>
      <c r="O63" s="306" t="s">
        <v>955</v>
      </c>
      <c r="P63" s="310" t="s">
        <v>959</v>
      </c>
      <c r="R63" s="7" t="s">
        <v>960</v>
      </c>
      <c r="S63" s="34">
        <v>2.7</v>
      </c>
      <c r="T63" s="7" t="s">
        <v>696</v>
      </c>
      <c r="U63" s="7" t="s">
        <v>961</v>
      </c>
    </row>
    <row r="64" spans="2:21" ht="29" x14ac:dyDescent="0.35">
      <c r="B64" s="310" t="s">
        <v>962</v>
      </c>
      <c r="C64" s="311">
        <v>206</v>
      </c>
      <c r="D64" s="306" t="s">
        <v>963</v>
      </c>
      <c r="E64" s="310" t="s">
        <v>964</v>
      </c>
      <c r="G64" s="7" t="s">
        <v>965</v>
      </c>
      <c r="H64" s="34">
        <v>12.4</v>
      </c>
      <c r="I64" s="7" t="s">
        <v>966</v>
      </c>
      <c r="J64" s="7" t="s">
        <v>703</v>
      </c>
      <c r="M64" s="310" t="s">
        <v>962</v>
      </c>
      <c r="N64" s="311">
        <v>206</v>
      </c>
      <c r="O64" s="306" t="s">
        <v>963</v>
      </c>
      <c r="P64" s="310" t="s">
        <v>964</v>
      </c>
      <c r="R64" s="7" t="s">
        <v>965</v>
      </c>
      <c r="S64" s="34">
        <v>12.4</v>
      </c>
      <c r="T64" s="7" t="s">
        <v>966</v>
      </c>
      <c r="U64" s="7" t="s">
        <v>703</v>
      </c>
    </row>
    <row r="65" spans="2:21" ht="27.5" x14ac:dyDescent="0.45">
      <c r="B65" s="310" t="s">
        <v>967</v>
      </c>
      <c r="C65" s="313">
        <v>454</v>
      </c>
      <c r="D65" s="306" t="s">
        <v>955</v>
      </c>
      <c r="E65" s="310"/>
      <c r="G65" s="303" t="s">
        <v>704</v>
      </c>
      <c r="H65" s="164">
        <f>-1*(H59-H58)*H60*H61*H62/(H63*H64)</f>
        <v>-4.6102150537634406E-4</v>
      </c>
      <c r="M65" s="310" t="s">
        <v>967</v>
      </c>
      <c r="N65" s="313">
        <v>454</v>
      </c>
      <c r="O65" s="306" t="s">
        <v>955</v>
      </c>
      <c r="P65" s="310"/>
      <c r="R65" s="303" t="s">
        <v>704</v>
      </c>
      <c r="S65" s="164">
        <f>-1*(S59-S58)*S60*S61*S62/(S63*S64)</f>
        <v>-4.6102150537634406E-4</v>
      </c>
    </row>
    <row r="66" spans="2:21" ht="26.5" x14ac:dyDescent="0.35">
      <c r="B66" s="310" t="s">
        <v>968</v>
      </c>
      <c r="C66" s="312">
        <v>1E-3</v>
      </c>
      <c r="D66" s="306" t="s">
        <v>955</v>
      </c>
      <c r="E66" s="310"/>
      <c r="J66" s="30"/>
      <c r="M66" s="310" t="s">
        <v>968</v>
      </c>
      <c r="N66" s="312">
        <v>1E-3</v>
      </c>
      <c r="O66" s="306" t="s">
        <v>955</v>
      </c>
      <c r="P66" s="310"/>
      <c r="U66" s="30"/>
    </row>
    <row r="67" spans="2:21" ht="16" x14ac:dyDescent="0.45">
      <c r="B67" s="303" t="s">
        <v>704</v>
      </c>
      <c r="C67" s="29">
        <f>-(-1*C58*(C61-C60)/C59)</f>
        <v>-2.8446925235758793E-4</v>
      </c>
      <c r="G67" s="66" t="s">
        <v>705</v>
      </c>
      <c r="H67" s="33"/>
      <c r="M67" s="303" t="s">
        <v>704</v>
      </c>
      <c r="N67" s="29">
        <f>-(-1*N58*(N61-N60)/N59)</f>
        <v>-2.4760721663583124E-4</v>
      </c>
      <c r="R67" s="66" t="s">
        <v>705</v>
      </c>
      <c r="S67" s="33"/>
    </row>
    <row r="68" spans="2:21" ht="16" x14ac:dyDescent="0.45">
      <c r="E68" s="30"/>
      <c r="G68" s="371" t="s">
        <v>706</v>
      </c>
      <c r="H68" s="31" t="s">
        <v>969</v>
      </c>
      <c r="P68" s="30"/>
      <c r="R68" s="371" t="s">
        <v>706</v>
      </c>
      <c r="S68" s="31" t="s">
        <v>969</v>
      </c>
    </row>
    <row r="69" spans="2:21" ht="16" x14ac:dyDescent="0.45">
      <c r="B69" s="66" t="s">
        <v>705</v>
      </c>
      <c r="C69" s="33"/>
      <c r="M69" s="66" t="s">
        <v>705</v>
      </c>
      <c r="N69" s="33"/>
    </row>
    <row r="70" spans="2:21" ht="16" x14ac:dyDescent="0.45">
      <c r="B70" s="371" t="s">
        <v>706</v>
      </c>
      <c r="C70" s="31" t="s">
        <v>970</v>
      </c>
      <c r="M70" s="371" t="s">
        <v>706</v>
      </c>
      <c r="N70" s="31" t="s">
        <v>970</v>
      </c>
    </row>
    <row r="71" spans="2:21" ht="16" x14ac:dyDescent="0.45">
      <c r="B71" s="371"/>
      <c r="C71" s="31"/>
      <c r="M71" s="371"/>
      <c r="N71" s="31"/>
    </row>
    <row r="72" spans="2:21" x14ac:dyDescent="0.35">
      <c r="B72" s="153" t="s">
        <v>971</v>
      </c>
      <c r="C72" s="56">
        <f>SUMIFS('Action 8 Data'!$M$4:$M$24,'Action 8 Data'!$E$4:$E$24,'Action 8 Calculations'!B142)</f>
        <v>433438.76</v>
      </c>
      <c r="G72" s="153" t="s">
        <v>971</v>
      </c>
      <c r="H72" s="56">
        <f>SUMIFS('Action 8 Data'!$M$4:$M$24,'Action 8 Data'!$E$4:$E$24,'Action 8 Calculations'!B142)</f>
        <v>433438.76</v>
      </c>
      <c r="M72" s="153" t="s">
        <v>971</v>
      </c>
      <c r="N72" s="56">
        <f>SUMIFS('Action 8 Data'!$M$4:$M$24,'Action 8 Data'!$E$4:$E$24,'Action 8 Calculations'!B143)</f>
        <v>497966.1</v>
      </c>
      <c r="R72" s="153" t="s">
        <v>971</v>
      </c>
      <c r="S72" s="56">
        <f>SUMIFS('Action 8 Data'!$M$4:$M$24,'Action 8 Data'!$E$4:$E$24,'Action 8 Calculations'!B143)</f>
        <v>497966.1</v>
      </c>
    </row>
    <row r="73" spans="2:21" x14ac:dyDescent="0.35">
      <c r="B73" s="153" t="s">
        <v>927</v>
      </c>
      <c r="C73" s="56">
        <f>C67*C72</f>
        <v>-123.3</v>
      </c>
      <c r="G73" s="153" t="s">
        <v>927</v>
      </c>
      <c r="H73" s="56">
        <f>H65*H72</f>
        <v>-199.8245896236559</v>
      </c>
      <c r="M73" s="153" t="s">
        <v>927</v>
      </c>
      <c r="N73" s="56">
        <f>N67*N72</f>
        <v>-123.3</v>
      </c>
      <c r="R73" s="153" t="s">
        <v>927</v>
      </c>
      <c r="S73" s="56">
        <f>S65*S72</f>
        <v>-229.57308104838708</v>
      </c>
    </row>
    <row r="74" spans="2:21" x14ac:dyDescent="0.35">
      <c r="C74" s="176"/>
    </row>
    <row r="75" spans="2:21" x14ac:dyDescent="0.35">
      <c r="B75" s="2" t="s">
        <v>972</v>
      </c>
      <c r="M75" s="2" t="s">
        <v>972</v>
      </c>
    </row>
    <row r="76" spans="2:21" x14ac:dyDescent="0.35">
      <c r="B76" s="2"/>
      <c r="M76" s="2"/>
    </row>
    <row r="77" spans="2:21" x14ac:dyDescent="0.35">
      <c r="B77" s="26" t="s">
        <v>687</v>
      </c>
      <c r="C77" s="26" t="s">
        <v>688</v>
      </c>
      <c r="D77" s="26" t="s">
        <v>276</v>
      </c>
      <c r="E77" s="26" t="s">
        <v>689</v>
      </c>
      <c r="M77" s="26" t="s">
        <v>687</v>
      </c>
      <c r="N77" s="26" t="s">
        <v>688</v>
      </c>
      <c r="O77" s="26" t="s">
        <v>276</v>
      </c>
      <c r="P77" s="26" t="s">
        <v>689</v>
      </c>
    </row>
    <row r="78" spans="2:21" ht="29" x14ac:dyDescent="0.35">
      <c r="B78" s="7" t="s">
        <v>973</v>
      </c>
      <c r="C78" s="47">
        <v>0</v>
      </c>
      <c r="D78" s="7" t="s">
        <v>691</v>
      </c>
      <c r="E78" s="7"/>
      <c r="M78" s="7" t="s">
        <v>973</v>
      </c>
      <c r="N78" s="47">
        <v>0</v>
      </c>
      <c r="O78" s="7" t="s">
        <v>691</v>
      </c>
      <c r="P78" s="7"/>
    </row>
    <row r="79" spans="2:21" ht="29" x14ac:dyDescent="0.35">
      <c r="B79" s="7" t="s">
        <v>974</v>
      </c>
      <c r="C79" s="47">
        <v>1</v>
      </c>
      <c r="D79" s="7" t="s">
        <v>691</v>
      </c>
      <c r="E79" s="7"/>
      <c r="M79" s="7" t="s">
        <v>974</v>
      </c>
      <c r="N79" s="47">
        <v>1</v>
      </c>
      <c r="O79" s="7" t="s">
        <v>691</v>
      </c>
      <c r="P79" s="7"/>
    </row>
    <row r="80" spans="2:21" ht="29" x14ac:dyDescent="0.35">
      <c r="B80" s="7" t="s">
        <v>975</v>
      </c>
      <c r="C80" s="39">
        <v>2.1000000000000001E-2</v>
      </c>
      <c r="D80" s="7" t="s">
        <v>950</v>
      </c>
      <c r="E80" s="7"/>
      <c r="M80" s="7" t="s">
        <v>975</v>
      </c>
      <c r="N80" s="39">
        <v>2.1000000000000001E-2</v>
      </c>
      <c r="O80" s="7" t="s">
        <v>950</v>
      </c>
      <c r="P80" s="7"/>
    </row>
    <row r="81" spans="2:16" x14ac:dyDescent="0.35">
      <c r="B81" s="7" t="s">
        <v>976</v>
      </c>
      <c r="C81" s="48">
        <v>0.38500000000000001</v>
      </c>
      <c r="D81" s="7" t="s">
        <v>696</v>
      </c>
      <c r="E81" s="7" t="s">
        <v>977</v>
      </c>
      <c r="M81" s="7" t="s">
        <v>976</v>
      </c>
      <c r="N81" s="48">
        <v>0.38500000000000001</v>
      </c>
      <c r="O81" s="7" t="s">
        <v>696</v>
      </c>
      <c r="P81" s="7" t="s">
        <v>977</v>
      </c>
    </row>
    <row r="82" spans="2:16" x14ac:dyDescent="0.35">
      <c r="B82" s="7" t="s">
        <v>978</v>
      </c>
      <c r="C82" s="27">
        <v>2.14</v>
      </c>
      <c r="D82" s="7" t="s">
        <v>696</v>
      </c>
      <c r="E82" s="7" t="s">
        <v>979</v>
      </c>
      <c r="M82" s="7" t="s">
        <v>978</v>
      </c>
      <c r="N82" s="27">
        <v>2.14</v>
      </c>
      <c r="O82" s="7" t="s">
        <v>696</v>
      </c>
      <c r="P82" s="7" t="s">
        <v>979</v>
      </c>
    </row>
    <row r="83" spans="2:16" x14ac:dyDescent="0.35">
      <c r="B83" s="7" t="s">
        <v>960</v>
      </c>
      <c r="C83" s="34">
        <v>2.7</v>
      </c>
      <c r="D83" s="7" t="s">
        <v>696</v>
      </c>
      <c r="E83" s="7" t="s">
        <v>961</v>
      </c>
      <c r="M83" s="7" t="s">
        <v>960</v>
      </c>
      <c r="N83" s="34">
        <v>2.7</v>
      </c>
      <c r="O83" s="7" t="s">
        <v>696</v>
      </c>
      <c r="P83" s="7" t="s">
        <v>961</v>
      </c>
    </row>
    <row r="84" spans="2:16" ht="43.5" x14ac:dyDescent="0.35">
      <c r="B84" s="7" t="s">
        <v>965</v>
      </c>
      <c r="C84" s="34">
        <v>12.4</v>
      </c>
      <c r="D84" s="7" t="s">
        <v>966</v>
      </c>
      <c r="E84" s="7" t="s">
        <v>703</v>
      </c>
      <c r="M84" s="7" t="s">
        <v>965</v>
      </c>
      <c r="N84" s="34">
        <v>12.4</v>
      </c>
      <c r="O84" s="7" t="s">
        <v>966</v>
      </c>
      <c r="P84" s="7" t="s">
        <v>703</v>
      </c>
    </row>
    <row r="85" spans="2:16" ht="16" x14ac:dyDescent="0.45">
      <c r="B85" s="303" t="s">
        <v>704</v>
      </c>
      <c r="C85" s="164">
        <f>-1 * (C79-C78)*C80*C81*C82/(C83*C84)</f>
        <v>-5.1678315412186375E-4</v>
      </c>
      <c r="M85" s="303" t="s">
        <v>704</v>
      </c>
      <c r="N85" s="164">
        <f>-1 * (N79-N78)*N80*N81*N82/(N83*N84)</f>
        <v>-5.1678315412186375E-4</v>
      </c>
    </row>
    <row r="86" spans="2:16" x14ac:dyDescent="0.35">
      <c r="E86" s="30"/>
      <c r="P86" s="30"/>
    </row>
    <row r="87" spans="2:16" ht="16" x14ac:dyDescent="0.45">
      <c r="B87" s="66" t="s">
        <v>705</v>
      </c>
      <c r="C87" s="33"/>
      <c r="M87" s="66" t="s">
        <v>705</v>
      </c>
      <c r="N87" s="33"/>
    </row>
    <row r="88" spans="2:16" ht="16" x14ac:dyDescent="0.45">
      <c r="B88" s="371" t="s">
        <v>706</v>
      </c>
      <c r="C88" s="31" t="s">
        <v>980</v>
      </c>
      <c r="M88" s="371" t="s">
        <v>706</v>
      </c>
      <c r="N88" s="31" t="s">
        <v>980</v>
      </c>
    </row>
    <row r="90" spans="2:16" x14ac:dyDescent="0.35">
      <c r="B90" s="153" t="s">
        <v>971</v>
      </c>
      <c r="C90" s="56">
        <f>SUMIFS('Action 8 Data'!$M$4:$M$24,'Action 8 Data'!$E$4:$E$24,'Action 8 Calculations'!B142)</f>
        <v>433438.76</v>
      </c>
      <c r="M90" s="153" t="s">
        <v>971</v>
      </c>
      <c r="N90" s="56">
        <f>SUMIFS('Action 8 Data'!$M$4:$M$24,'Action 8 Data'!$E$4:$E$24,'Action 8 Calculations'!B143)</f>
        <v>497966.1</v>
      </c>
    </row>
    <row r="91" spans="2:16" x14ac:dyDescent="0.35">
      <c r="B91" s="153" t="s">
        <v>927</v>
      </c>
      <c r="C91" s="56">
        <f>C85*C90</f>
        <v>-223.99384951146951</v>
      </c>
      <c r="M91" s="153" t="s">
        <v>927</v>
      </c>
      <c r="N91" s="56">
        <f>N85*N90</f>
        <v>-257.34049180376343</v>
      </c>
    </row>
    <row r="92" spans="2:16" x14ac:dyDescent="0.35">
      <c r="C92" s="176"/>
    </row>
    <row r="93" spans="2:16" ht="23.5" x14ac:dyDescent="0.55000000000000004">
      <c r="B93" s="138" t="s">
        <v>373</v>
      </c>
    </row>
    <row r="94" spans="2:16" x14ac:dyDescent="0.35">
      <c r="B94" s="2"/>
    </row>
    <row r="95" spans="2:16" x14ac:dyDescent="0.35">
      <c r="B95" s="2" t="s">
        <v>940</v>
      </c>
      <c r="G95" s="2" t="s">
        <v>941</v>
      </c>
    </row>
    <row r="96" spans="2:16" x14ac:dyDescent="0.35">
      <c r="B96" s="2"/>
      <c r="G96" s="2"/>
    </row>
    <row r="97" spans="2:10" x14ac:dyDescent="0.35">
      <c r="B97" s="26" t="s">
        <v>687</v>
      </c>
      <c r="C97" s="26" t="s">
        <v>688</v>
      </c>
      <c r="D97" s="26" t="s">
        <v>276</v>
      </c>
      <c r="E97" s="26" t="s">
        <v>689</v>
      </c>
      <c r="G97" s="26" t="s">
        <v>687</v>
      </c>
      <c r="H97" s="26" t="s">
        <v>688</v>
      </c>
      <c r="I97" s="26" t="s">
        <v>276</v>
      </c>
      <c r="J97" s="26" t="s">
        <v>689</v>
      </c>
    </row>
    <row r="98" spans="2:10" ht="29" x14ac:dyDescent="0.35">
      <c r="B98" s="7" t="s">
        <v>942</v>
      </c>
      <c r="C98" s="160">
        <f>'8.) Mobility Hubs'!$C$24</f>
        <v>3</v>
      </c>
      <c r="D98" s="7" t="s">
        <v>691</v>
      </c>
      <c r="E98" s="7"/>
      <c r="G98" s="7" t="s">
        <v>943</v>
      </c>
      <c r="H98" s="47">
        <v>0</v>
      </c>
      <c r="I98" s="7" t="s">
        <v>691</v>
      </c>
      <c r="J98" s="7"/>
    </row>
    <row r="99" spans="2:10" ht="29" x14ac:dyDescent="0.35">
      <c r="B99" s="7" t="s">
        <v>944</v>
      </c>
      <c r="C99" s="56">
        <f>SUMIFS('Action 8 Data'!$M$4:$M$24,'Action 8 Data'!$E$4:$E$24,'Action 8 Calculations'!$B$93)</f>
        <v>164230.44</v>
      </c>
      <c r="D99" s="7" t="s">
        <v>945</v>
      </c>
      <c r="E99" s="7"/>
      <c r="G99" s="7" t="s">
        <v>946</v>
      </c>
      <c r="H99" s="47">
        <v>1</v>
      </c>
      <c r="I99" s="7" t="s">
        <v>691</v>
      </c>
      <c r="J99" s="7"/>
    </row>
    <row r="100" spans="2:10" x14ac:dyDescent="0.35">
      <c r="B100" s="7" t="s">
        <v>947</v>
      </c>
      <c r="C100" s="34">
        <v>54.8</v>
      </c>
      <c r="D100" s="7" t="s">
        <v>696</v>
      </c>
      <c r="E100" s="7" t="s">
        <v>948</v>
      </c>
      <c r="G100" s="7" t="s">
        <v>949</v>
      </c>
      <c r="H100" s="39">
        <v>2.1000000000000001E-2</v>
      </c>
      <c r="I100" s="7" t="s">
        <v>950</v>
      </c>
      <c r="J100" s="7"/>
    </row>
    <row r="101" spans="2:10" x14ac:dyDescent="0.35">
      <c r="B101" s="7" t="s">
        <v>951</v>
      </c>
      <c r="C101" s="34">
        <v>13.7</v>
      </c>
      <c r="D101" s="7" t="s">
        <v>696</v>
      </c>
      <c r="E101" s="7" t="s">
        <v>948</v>
      </c>
      <c r="G101" s="7" t="s">
        <v>952</v>
      </c>
      <c r="H101" s="47">
        <v>0.35</v>
      </c>
      <c r="I101" s="7" t="s">
        <v>696</v>
      </c>
      <c r="J101" s="7" t="s">
        <v>953</v>
      </c>
    </row>
    <row r="102" spans="2:10" ht="26.5" x14ac:dyDescent="0.35">
      <c r="B102" s="310" t="s">
        <v>954</v>
      </c>
      <c r="C102" s="311">
        <v>307.5</v>
      </c>
      <c r="D102" s="306" t="s">
        <v>955</v>
      </c>
      <c r="E102" s="310" t="s">
        <v>956</v>
      </c>
      <c r="G102" s="7" t="s">
        <v>957</v>
      </c>
      <c r="H102" s="34">
        <v>2.1</v>
      </c>
      <c r="I102" s="7" t="s">
        <v>696</v>
      </c>
      <c r="J102" s="7" t="s">
        <v>953</v>
      </c>
    </row>
    <row r="103" spans="2:10" ht="26.5" x14ac:dyDescent="0.35">
      <c r="B103" s="310" t="s">
        <v>958</v>
      </c>
      <c r="C103" s="312">
        <v>0.32700000000000001</v>
      </c>
      <c r="D103" s="306" t="s">
        <v>955</v>
      </c>
      <c r="E103" s="310" t="s">
        <v>959</v>
      </c>
      <c r="G103" s="7" t="s">
        <v>960</v>
      </c>
      <c r="H103" s="34">
        <v>2.7</v>
      </c>
      <c r="I103" s="7" t="s">
        <v>696</v>
      </c>
      <c r="J103" s="7" t="s">
        <v>961</v>
      </c>
    </row>
    <row r="104" spans="2:10" ht="29" x14ac:dyDescent="0.35">
      <c r="B104" s="310" t="s">
        <v>962</v>
      </c>
      <c r="C104" s="311">
        <v>206</v>
      </c>
      <c r="D104" s="306" t="s">
        <v>963</v>
      </c>
      <c r="E104" s="310" t="s">
        <v>964</v>
      </c>
      <c r="G104" s="7" t="s">
        <v>965</v>
      </c>
      <c r="H104" s="34">
        <v>12.4</v>
      </c>
      <c r="I104" s="7" t="s">
        <v>966</v>
      </c>
      <c r="J104" s="7" t="s">
        <v>703</v>
      </c>
    </row>
    <row r="105" spans="2:10" ht="27.5" x14ac:dyDescent="0.45">
      <c r="B105" s="310" t="s">
        <v>967</v>
      </c>
      <c r="C105" s="313">
        <v>454</v>
      </c>
      <c r="D105" s="306" t="s">
        <v>955</v>
      </c>
      <c r="E105" s="310"/>
      <c r="G105" s="303" t="s">
        <v>704</v>
      </c>
      <c r="H105" s="164">
        <f>-1*(H99-H98)*H100*H101*H102/(H103*H104)</f>
        <v>-4.6102150537634406E-4</v>
      </c>
    </row>
    <row r="106" spans="2:10" ht="26.5" x14ac:dyDescent="0.35">
      <c r="B106" s="310" t="s">
        <v>968</v>
      </c>
      <c r="C106" s="312">
        <v>1E-3</v>
      </c>
      <c r="D106" s="306" t="s">
        <v>955</v>
      </c>
      <c r="E106" s="310"/>
      <c r="J106" s="30"/>
    </row>
    <row r="107" spans="2:10" ht="16" x14ac:dyDescent="0.45">
      <c r="B107" s="303" t="s">
        <v>704</v>
      </c>
      <c r="C107" s="29">
        <f>-(-1*C98*(C101-C100)/C99)</f>
        <v>-7.507743387888383E-4</v>
      </c>
      <c r="G107" s="66" t="s">
        <v>705</v>
      </c>
      <c r="H107" s="33"/>
    </row>
    <row r="108" spans="2:10" ht="16" x14ac:dyDescent="0.45">
      <c r="E108" s="30"/>
      <c r="G108" s="371" t="s">
        <v>706</v>
      </c>
      <c r="H108" s="31" t="s">
        <v>969</v>
      </c>
    </row>
    <row r="109" spans="2:10" ht="16" x14ac:dyDescent="0.45">
      <c r="B109" s="66" t="s">
        <v>705</v>
      </c>
      <c r="C109" s="33"/>
    </row>
    <row r="110" spans="2:10" ht="16" x14ac:dyDescent="0.45">
      <c r="B110" s="371" t="s">
        <v>706</v>
      </c>
      <c r="C110" s="31" t="s">
        <v>970</v>
      </c>
    </row>
    <row r="112" spans="2:10" x14ac:dyDescent="0.35">
      <c r="B112" s="153" t="s">
        <v>971</v>
      </c>
      <c r="C112" s="56">
        <f>SUMIFS('Action 8 Data'!$M$4:$M$24,'Action 8 Data'!$E$4:$E$24,'Action 8 Calculations'!B144)</f>
        <v>164230.44</v>
      </c>
      <c r="G112" s="153" t="s">
        <v>971</v>
      </c>
      <c r="H112" s="56">
        <f>SUMIFS('Action 8 Data'!$M$4:$M$24,'Action 8 Data'!$E$4:$E$24,'Action 8 Calculations'!B144)</f>
        <v>164230.44</v>
      </c>
    </row>
    <row r="113" spans="2:8" x14ac:dyDescent="0.35">
      <c r="B113" s="153" t="s">
        <v>927</v>
      </c>
      <c r="C113" s="56">
        <f>C107*C112</f>
        <v>-123.29999999999998</v>
      </c>
      <c r="G113" s="153" t="s">
        <v>927</v>
      </c>
      <c r="H113" s="56">
        <f>H105*H112</f>
        <v>-75.713764677419348</v>
      </c>
    </row>
    <row r="115" spans="2:8" x14ac:dyDescent="0.35">
      <c r="B115" s="2" t="s">
        <v>972</v>
      </c>
    </row>
    <row r="116" spans="2:8" x14ac:dyDescent="0.35">
      <c r="B116" s="2"/>
    </row>
    <row r="117" spans="2:8" x14ac:dyDescent="0.35">
      <c r="B117" s="26" t="s">
        <v>687</v>
      </c>
      <c r="C117" s="26" t="s">
        <v>688</v>
      </c>
      <c r="D117" s="26" t="s">
        <v>276</v>
      </c>
      <c r="E117" s="26" t="s">
        <v>689</v>
      </c>
    </row>
    <row r="118" spans="2:8" ht="29" x14ac:dyDescent="0.35">
      <c r="B118" s="7" t="s">
        <v>973</v>
      </c>
      <c r="C118" s="47">
        <v>0</v>
      </c>
      <c r="D118" s="7" t="s">
        <v>691</v>
      </c>
      <c r="E118" s="7"/>
    </row>
    <row r="119" spans="2:8" ht="29" x14ac:dyDescent="0.35">
      <c r="B119" s="7" t="s">
        <v>974</v>
      </c>
      <c r="C119" s="47">
        <v>1</v>
      </c>
      <c r="D119" s="7" t="s">
        <v>691</v>
      </c>
      <c r="E119" s="7"/>
    </row>
    <row r="120" spans="2:8" ht="29" x14ac:dyDescent="0.35">
      <c r="B120" s="7" t="s">
        <v>975</v>
      </c>
      <c r="C120" s="39">
        <v>2.1000000000000001E-2</v>
      </c>
      <c r="D120" s="7" t="s">
        <v>950</v>
      </c>
      <c r="E120" s="7"/>
    </row>
    <row r="121" spans="2:8" x14ac:dyDescent="0.35">
      <c r="B121" s="7" t="s">
        <v>976</v>
      </c>
      <c r="C121" s="48">
        <v>0.38500000000000001</v>
      </c>
      <c r="D121" s="7" t="s">
        <v>696</v>
      </c>
      <c r="E121" s="7" t="s">
        <v>977</v>
      </c>
    </row>
    <row r="122" spans="2:8" x14ac:dyDescent="0.35">
      <c r="B122" s="7" t="s">
        <v>978</v>
      </c>
      <c r="C122" s="27">
        <v>2.14</v>
      </c>
      <c r="D122" s="7" t="s">
        <v>696</v>
      </c>
      <c r="E122" s="7" t="s">
        <v>979</v>
      </c>
    </row>
    <row r="123" spans="2:8" x14ac:dyDescent="0.35">
      <c r="B123" s="7" t="s">
        <v>960</v>
      </c>
      <c r="C123" s="34">
        <v>2.7</v>
      </c>
      <c r="D123" s="7" t="s">
        <v>696</v>
      </c>
      <c r="E123" s="7" t="s">
        <v>961</v>
      </c>
    </row>
    <row r="124" spans="2:8" ht="43.5" x14ac:dyDescent="0.35">
      <c r="B124" s="7" t="s">
        <v>965</v>
      </c>
      <c r="C124" s="34">
        <v>12.4</v>
      </c>
      <c r="D124" s="7" t="s">
        <v>966</v>
      </c>
      <c r="E124" s="7" t="s">
        <v>703</v>
      </c>
    </row>
    <row r="125" spans="2:8" ht="16" x14ac:dyDescent="0.45">
      <c r="B125" s="303" t="s">
        <v>704</v>
      </c>
      <c r="C125" s="164">
        <f>-1 * (C119-C118)*C120*C121*C122/(C123*C124)</f>
        <v>-5.1678315412186375E-4</v>
      </c>
    </row>
    <row r="126" spans="2:8" x14ac:dyDescent="0.35">
      <c r="E126" s="30"/>
    </row>
    <row r="127" spans="2:8" ht="16" x14ac:dyDescent="0.45">
      <c r="B127" s="66" t="s">
        <v>705</v>
      </c>
      <c r="C127" s="33"/>
    </row>
    <row r="128" spans="2:8" ht="16" x14ac:dyDescent="0.45">
      <c r="B128" s="371" t="s">
        <v>706</v>
      </c>
      <c r="C128" s="31" t="s">
        <v>980</v>
      </c>
    </row>
    <row r="130" spans="2:5" x14ac:dyDescent="0.35">
      <c r="B130" s="153" t="s">
        <v>971</v>
      </c>
      <c r="C130" s="56">
        <f>SUMIFS('Action 8 Data'!$M$4:$M$24,'Action 8 Data'!$E$4:$E$24,'Action 8 Calculations'!B144)</f>
        <v>164230.44</v>
      </c>
    </row>
    <row r="131" spans="2:5" x14ac:dyDescent="0.35">
      <c r="B131" s="153" t="s">
        <v>927</v>
      </c>
      <c r="C131" s="56">
        <f>C125*C130</f>
        <v>-84.871524786021496</v>
      </c>
    </row>
    <row r="133" spans="2:5" x14ac:dyDescent="0.35">
      <c r="B133" s="18" t="s">
        <v>981</v>
      </c>
    </row>
    <row r="135" spans="2:5" x14ac:dyDescent="0.35">
      <c r="B135" s="54" t="s">
        <v>982</v>
      </c>
    </row>
    <row r="137" spans="2:5" x14ac:dyDescent="0.35">
      <c r="B137" s="2" t="s">
        <v>940</v>
      </c>
    </row>
    <row r="139" spans="2:5" ht="29" x14ac:dyDescent="0.35">
      <c r="B139" s="153" t="s">
        <v>409</v>
      </c>
      <c r="C139" s="153" t="s">
        <v>983</v>
      </c>
      <c r="D139" s="153" t="s">
        <v>714</v>
      </c>
      <c r="E139" s="108" t="s">
        <v>984</v>
      </c>
    </row>
    <row r="140" spans="2:5" x14ac:dyDescent="0.35">
      <c r="B140" s="6" t="s">
        <v>368</v>
      </c>
      <c r="C140" s="56">
        <f>SUMIFS('Action 8 Data'!$M$4:$M$24,'Action 8 Data'!$E$4:$E$24,'Action 8 Calculations'!B140)</f>
        <v>852951.98</v>
      </c>
      <c r="D140" s="172">
        <f>C28</f>
        <v>-1.4455678970344847E-4</v>
      </c>
      <c r="E140" s="40">
        <f>C140*D140</f>
        <v>-123.29999999999998</v>
      </c>
    </row>
    <row r="141" spans="2:5" x14ac:dyDescent="0.35">
      <c r="B141" s="6" t="s">
        <v>376</v>
      </c>
      <c r="C141" s="56">
        <f>SUMIFS('Action 8 Data'!$M$4:$M$24,'Action 8 Data'!$E$4:$E$24,'Action 8 Calculations'!B141)</f>
        <v>770244.13</v>
      </c>
      <c r="D141" s="172">
        <f>N28</f>
        <v>-1.6007911673406714E-4</v>
      </c>
      <c r="E141" s="40">
        <f>C141*D141</f>
        <v>-123.29999999999998</v>
      </c>
    </row>
    <row r="142" spans="2:5" x14ac:dyDescent="0.35">
      <c r="B142" s="6" t="s">
        <v>382</v>
      </c>
      <c r="C142" s="56">
        <f>SUMIFS('Action 8 Data'!$M$4:$M$24,'Action 8 Data'!$E$4:$E$24,'Action 8 Calculations'!B142)</f>
        <v>433438.76</v>
      </c>
      <c r="D142" s="55">
        <f>C67</f>
        <v>-2.8446925235758793E-4</v>
      </c>
      <c r="E142" s="40">
        <f>C142*D142</f>
        <v>-123.3</v>
      </c>
    </row>
    <row r="143" spans="2:5" x14ac:dyDescent="0.35">
      <c r="B143" s="6" t="s">
        <v>375</v>
      </c>
      <c r="C143" s="56">
        <f>SUMIFS('Action 8 Data'!$M$4:$M$24,'Action 8 Data'!$E$4:$E$24,'Action 8 Calculations'!B143)</f>
        <v>497966.1</v>
      </c>
      <c r="D143" s="55">
        <f>N67</f>
        <v>-2.4760721663583124E-4</v>
      </c>
      <c r="E143" s="40">
        <f>C143*D143</f>
        <v>-123.3</v>
      </c>
    </row>
    <row r="144" spans="2:5" x14ac:dyDescent="0.35">
      <c r="B144" s="6" t="s">
        <v>373</v>
      </c>
      <c r="C144" s="56">
        <f>SUMIFS('Action 8 Data'!$M$4:$M$24,'Action 8 Data'!$E$4:$E$24,'Action 8 Calculations'!B144)</f>
        <v>164230.44</v>
      </c>
      <c r="D144" s="55">
        <f>C107</f>
        <v>-7.507743387888383E-4</v>
      </c>
      <c r="E144" s="40">
        <f>C144*D144</f>
        <v>-123.29999999999998</v>
      </c>
    </row>
    <row r="146" spans="2:5" x14ac:dyDescent="0.35">
      <c r="B146" s="2" t="s">
        <v>941</v>
      </c>
    </row>
    <row r="148" spans="2:5" ht="29" x14ac:dyDescent="0.35">
      <c r="B148" s="153" t="s">
        <v>409</v>
      </c>
      <c r="C148" s="153" t="s">
        <v>983</v>
      </c>
      <c r="D148" s="153" t="s">
        <v>714</v>
      </c>
      <c r="E148" s="108" t="s">
        <v>984</v>
      </c>
    </row>
    <row r="149" spans="2:5" x14ac:dyDescent="0.35">
      <c r="B149" s="6" t="s">
        <v>368</v>
      </c>
      <c r="C149" s="56">
        <f>SUMIFS('Action 8 Data'!$M$4:$M$24,'Action 8 Data'!$E$4:$E$24,'Action 8 Calculations'!B149)</f>
        <v>852951.98</v>
      </c>
      <c r="D149" s="172">
        <f>H26</f>
        <v>-4.6102150537634406E-4</v>
      </c>
      <c r="E149" s="40">
        <f>C149*D149</f>
        <v>-393.22920583333331</v>
      </c>
    </row>
    <row r="150" spans="2:5" x14ac:dyDescent="0.35">
      <c r="B150" s="6" t="s">
        <v>376</v>
      </c>
      <c r="C150" s="56">
        <f>SUMIFS('Action 8 Data'!$M$4:$M$24,'Action 8 Data'!$E$4:$E$24,'Action 8 Calculations'!B150)</f>
        <v>770244.13</v>
      </c>
      <c r="D150" s="172">
        <f>S26</f>
        <v>-4.6102150537634406E-4</v>
      </c>
      <c r="E150" s="40">
        <f>C150*D150</f>
        <v>-355.09910831989248</v>
      </c>
    </row>
    <row r="151" spans="2:5" x14ac:dyDescent="0.35">
      <c r="B151" s="6" t="s">
        <v>382</v>
      </c>
      <c r="C151" s="56">
        <f>SUMIFS('Action 8 Data'!$M$4:$M$24,'Action 8 Data'!$E$4:$E$24,'Action 8 Calculations'!B151)</f>
        <v>433438.76</v>
      </c>
      <c r="D151" s="55">
        <f>H65</f>
        <v>-4.6102150537634406E-4</v>
      </c>
      <c r="E151" s="40">
        <f t="shared" ref="E151:E153" si="0">C151*D151</f>
        <v>-199.8245896236559</v>
      </c>
    </row>
    <row r="152" spans="2:5" x14ac:dyDescent="0.35">
      <c r="B152" s="6" t="s">
        <v>375</v>
      </c>
      <c r="C152" s="56">
        <f>SUMIFS('Action 8 Data'!$M$4:$M$24,'Action 8 Data'!$E$4:$E$24,'Action 8 Calculations'!B152)</f>
        <v>497966.1</v>
      </c>
      <c r="D152" s="55">
        <f>S65</f>
        <v>-4.6102150537634406E-4</v>
      </c>
      <c r="E152" s="40">
        <f t="shared" si="0"/>
        <v>-229.57308104838708</v>
      </c>
    </row>
    <row r="153" spans="2:5" x14ac:dyDescent="0.35">
      <c r="B153" s="6" t="s">
        <v>373</v>
      </c>
      <c r="C153" s="56">
        <f>SUMIFS('Action 8 Data'!$M$4:$M$24,'Action 8 Data'!$E$4:$E$24,'Action 8 Calculations'!B153)</f>
        <v>164230.44</v>
      </c>
      <c r="D153" s="55">
        <f>H105</f>
        <v>-4.6102150537634406E-4</v>
      </c>
      <c r="E153" s="40">
        <f t="shared" si="0"/>
        <v>-75.713764677419348</v>
      </c>
    </row>
    <row r="155" spans="2:5" x14ac:dyDescent="0.35">
      <c r="B155" s="2" t="s">
        <v>972</v>
      </c>
    </row>
    <row r="157" spans="2:5" ht="29" x14ac:dyDescent="0.35">
      <c r="B157" s="153" t="s">
        <v>409</v>
      </c>
      <c r="C157" s="153" t="s">
        <v>983</v>
      </c>
      <c r="D157" s="153" t="s">
        <v>714</v>
      </c>
      <c r="E157" s="108" t="s">
        <v>984</v>
      </c>
    </row>
    <row r="158" spans="2:5" x14ac:dyDescent="0.35">
      <c r="B158" s="6" t="s">
        <v>368</v>
      </c>
      <c r="C158" s="56">
        <f>SUMIFS('Action 8 Data'!$M$4:$M$24,'Action 8 Data'!$E$4:$E$24,'Action 8 Calculations'!B158)</f>
        <v>852951.98</v>
      </c>
      <c r="D158" s="172">
        <f>C45</f>
        <v>-5.1678315412186375E-4</v>
      </c>
      <c r="E158" s="40">
        <f>C158*D158</f>
        <v>-440.79121453888882</v>
      </c>
    </row>
    <row r="159" spans="2:5" x14ac:dyDescent="0.35">
      <c r="B159" s="6" t="s">
        <v>376</v>
      </c>
      <c r="C159" s="56">
        <f>SUMIFS('Action 8 Data'!$M$4:$M$24,'Action 8 Data'!$E$4:$E$24,'Action 8 Calculations'!B159)</f>
        <v>770244.13</v>
      </c>
      <c r="D159" s="172">
        <f>N45</f>
        <v>-5.1678315412186375E-4</v>
      </c>
      <c r="E159" s="40">
        <f>C159*D159</f>
        <v>-398.04919094525087</v>
      </c>
    </row>
    <row r="160" spans="2:5" x14ac:dyDescent="0.35">
      <c r="B160" s="6" t="s">
        <v>382</v>
      </c>
      <c r="C160" s="56">
        <f>SUMIFS('Action 8 Data'!$M$4:$M$24,'Action 8 Data'!$E$4:$E$24,'Action 8 Calculations'!B160)</f>
        <v>433438.76</v>
      </c>
      <c r="D160" s="55">
        <f>C85</f>
        <v>-5.1678315412186375E-4</v>
      </c>
      <c r="E160" s="40">
        <f t="shared" ref="E160:E162" si="1">C160*D160</f>
        <v>-223.99384951146951</v>
      </c>
    </row>
    <row r="161" spans="2:5" x14ac:dyDescent="0.35">
      <c r="B161" s="6" t="s">
        <v>375</v>
      </c>
      <c r="C161" s="56">
        <f>SUMIFS('Action 8 Data'!$M$4:$M$24,'Action 8 Data'!$E$4:$E$24,'Action 8 Calculations'!B161)</f>
        <v>497966.1</v>
      </c>
      <c r="D161" s="55">
        <f>N85</f>
        <v>-5.1678315412186375E-4</v>
      </c>
      <c r="E161" s="40">
        <f t="shared" si="1"/>
        <v>-257.34049180376343</v>
      </c>
    </row>
    <row r="162" spans="2:5" x14ac:dyDescent="0.35">
      <c r="B162" s="6" t="s">
        <v>373</v>
      </c>
      <c r="C162" s="56">
        <f>SUMIFS('Action 8 Data'!$M$4:$M$24,'Action 8 Data'!$E$4:$E$24,'Action 8 Calculations'!B162)</f>
        <v>164230.44</v>
      </c>
      <c r="D162" s="55">
        <f>C125</f>
        <v>-5.1678315412186375E-4</v>
      </c>
      <c r="E162" s="40">
        <f t="shared" si="1"/>
        <v>-84.871524786021496</v>
      </c>
    </row>
    <row r="165" spans="2:5" x14ac:dyDescent="0.35">
      <c r="B165" s="18" t="s">
        <v>985</v>
      </c>
    </row>
    <row r="167" spans="2:5" x14ac:dyDescent="0.35">
      <c r="B167" s="54" t="s">
        <v>986</v>
      </c>
    </row>
    <row r="169" spans="2:5" x14ac:dyDescent="0.35">
      <c r="B169" s="153" t="s">
        <v>409</v>
      </c>
      <c r="C169" s="153" t="s">
        <v>987</v>
      </c>
      <c r="D169" s="153" t="s">
        <v>988</v>
      </c>
    </row>
    <row r="170" spans="2:5" x14ac:dyDescent="0.35">
      <c r="B170" s="6" t="s">
        <v>368</v>
      </c>
      <c r="C170" s="56">
        <f>E140+E149+E158</f>
        <v>-957.32042037222209</v>
      </c>
      <c r="D170" s="175">
        <f>C170/C158</f>
        <v>-1.1223614492016562E-3</v>
      </c>
    </row>
    <row r="171" spans="2:5" x14ac:dyDescent="0.35">
      <c r="B171" s="6" t="s">
        <v>376</v>
      </c>
      <c r="C171" s="56">
        <f>E141+E150+E159</f>
        <v>-876.44829926514331</v>
      </c>
      <c r="D171" s="175">
        <f>C171/C159</f>
        <v>-1.137883776232275E-3</v>
      </c>
    </row>
    <row r="172" spans="2:5" x14ac:dyDescent="0.35">
      <c r="B172" s="6" t="s">
        <v>382</v>
      </c>
      <c r="C172" s="56">
        <f>E142+E151+E160</f>
        <v>-547.11843913512541</v>
      </c>
      <c r="D172" s="175">
        <f>C172/C160</f>
        <v>-1.2622739118557957E-3</v>
      </c>
    </row>
    <row r="173" spans="2:5" x14ac:dyDescent="0.35">
      <c r="B173" s="6" t="s">
        <v>375</v>
      </c>
      <c r="C173" s="56">
        <f>E143+E152+E161</f>
        <v>-610.21357285215049</v>
      </c>
      <c r="D173" s="175">
        <f>C173/C161</f>
        <v>-1.2254118761340391E-3</v>
      </c>
    </row>
    <row r="174" spans="2:5" x14ac:dyDescent="0.35">
      <c r="B174" s="6" t="s">
        <v>373</v>
      </c>
      <c r="C174" s="56">
        <f>E144+E153+E162</f>
        <v>-283.88528946344081</v>
      </c>
      <c r="D174" s="175">
        <f>C174/C162</f>
        <v>-1.7285789982870461E-3</v>
      </c>
    </row>
    <row r="175" spans="2:5" x14ac:dyDescent="0.35">
      <c r="B175" s="69" t="s">
        <v>601</v>
      </c>
      <c r="C175" s="180">
        <f>SUM(C170:C174)</f>
        <v>-3274.9860210880825</v>
      </c>
      <c r="D175" s="6"/>
    </row>
    <row r="177" spans="2:5" x14ac:dyDescent="0.35">
      <c r="B177" s="18" t="s">
        <v>989</v>
      </c>
    </row>
    <row r="179" spans="2:5" x14ac:dyDescent="0.35">
      <c r="B179" s="54" t="s">
        <v>990</v>
      </c>
    </row>
    <row r="181" spans="2:5" ht="29" x14ac:dyDescent="0.35">
      <c r="B181" s="153" t="s">
        <v>874</v>
      </c>
      <c r="C181" s="108" t="s">
        <v>984</v>
      </c>
      <c r="D181" s="108" t="s">
        <v>876</v>
      </c>
      <c r="E181" s="108" t="s">
        <v>991</v>
      </c>
    </row>
    <row r="182" spans="2:5" x14ac:dyDescent="0.35">
      <c r="B182" s="6" t="s">
        <v>368</v>
      </c>
      <c r="C182" s="56">
        <f>C170</f>
        <v>-957.32042037222209</v>
      </c>
      <c r="D182" s="6">
        <v>347</v>
      </c>
      <c r="E182" s="56">
        <f>C182*D182</f>
        <v>-332190.18586916104</v>
      </c>
    </row>
    <row r="183" spans="2:5" x14ac:dyDescent="0.35">
      <c r="B183" s="6" t="s">
        <v>376</v>
      </c>
      <c r="C183" s="56">
        <f>C171</f>
        <v>-876.44829926514331</v>
      </c>
      <c r="D183" s="6">
        <v>347</v>
      </c>
      <c r="E183" s="56">
        <f t="shared" ref="E183:E186" si="2">C183*D183</f>
        <v>-304127.55984500475</v>
      </c>
    </row>
    <row r="184" spans="2:5" x14ac:dyDescent="0.35">
      <c r="B184" s="6" t="s">
        <v>382</v>
      </c>
      <c r="C184" s="56">
        <f>C172</f>
        <v>-547.11843913512541</v>
      </c>
      <c r="D184" s="6">
        <v>347</v>
      </c>
      <c r="E184" s="56">
        <f t="shared" si="2"/>
        <v>-189850.09837988851</v>
      </c>
    </row>
    <row r="185" spans="2:5" x14ac:dyDescent="0.35">
      <c r="B185" s="6" t="s">
        <v>375</v>
      </c>
      <c r="C185" s="56">
        <f>C173</f>
        <v>-610.21357285215049</v>
      </c>
      <c r="D185" s="6">
        <v>347</v>
      </c>
      <c r="E185" s="56">
        <f t="shared" si="2"/>
        <v>-211744.10977969621</v>
      </c>
    </row>
    <row r="186" spans="2:5" x14ac:dyDescent="0.35">
      <c r="B186" s="6" t="s">
        <v>373</v>
      </c>
      <c r="C186" s="56">
        <f>C174</f>
        <v>-283.88528946344081</v>
      </c>
      <c r="D186" s="6">
        <v>347</v>
      </c>
      <c r="E186" s="56">
        <f t="shared" si="2"/>
        <v>-98508.195443813966</v>
      </c>
    </row>
    <row r="187" spans="2:5" x14ac:dyDescent="0.35">
      <c r="B187" s="69" t="s">
        <v>601</v>
      </c>
      <c r="C187" s="180">
        <f>SUM(C182:C186)</f>
        <v>-3274.9860210880825</v>
      </c>
      <c r="D187" s="6"/>
      <c r="E187" s="180">
        <f>SUM(E182:E186)</f>
        <v>-1136420.1493175644</v>
      </c>
    </row>
  </sheetData>
  <sheetProtection sheet="1" objects="1" scenarios="1"/>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5D0FA-AE15-46D1-92A9-AB8EE3F0F0FF}">
  <sheetPr>
    <tabColor theme="5"/>
  </sheetPr>
  <dimension ref="B2:I77"/>
  <sheetViews>
    <sheetView topLeftCell="A62" workbookViewId="0">
      <selection activeCell="B62" sqref="B62"/>
    </sheetView>
  </sheetViews>
  <sheetFormatPr defaultRowHeight="14.5" x14ac:dyDescent="0.35"/>
  <cols>
    <col min="2" max="2" width="62.453125" customWidth="1"/>
    <col min="3" max="3" width="32.453125" bestFit="1" customWidth="1"/>
    <col min="4" max="4" width="35.7265625" customWidth="1"/>
    <col min="5" max="5" width="32.81640625" bestFit="1" customWidth="1"/>
    <col min="6" max="6" width="13.1796875" bestFit="1" customWidth="1"/>
    <col min="7" max="7" width="34.81640625" bestFit="1" customWidth="1"/>
    <col min="8" max="8" width="18.54296875" bestFit="1" customWidth="1"/>
    <col min="9" max="9" width="27.453125" customWidth="1"/>
    <col min="10" max="10" width="12.1796875" customWidth="1"/>
    <col min="11" max="11" width="27.54296875" bestFit="1" customWidth="1"/>
  </cols>
  <sheetData>
    <row r="2" spans="2:9" ht="31" x14ac:dyDescent="0.7">
      <c r="B2" s="8" t="s">
        <v>178</v>
      </c>
    </row>
    <row r="4" spans="2:9" ht="21" x14ac:dyDescent="0.5">
      <c r="B4" s="216" t="s">
        <v>935</v>
      </c>
    </row>
    <row r="6" spans="2:9" x14ac:dyDescent="0.35">
      <c r="B6" s="54" t="s">
        <v>992</v>
      </c>
    </row>
    <row r="7" spans="2:9" x14ac:dyDescent="0.35">
      <c r="B7" s="2"/>
    </row>
    <row r="8" spans="2:9" x14ac:dyDescent="0.35">
      <c r="B8" s="18" t="s">
        <v>883</v>
      </c>
      <c r="C8" s="136"/>
      <c r="D8" s="136"/>
      <c r="E8" s="136"/>
      <c r="F8" s="136"/>
      <c r="G8" s="136"/>
      <c r="H8" s="136"/>
      <c r="I8" s="136"/>
    </row>
    <row r="10" spans="2:9" x14ac:dyDescent="0.35">
      <c r="B10" s="26" t="s">
        <v>687</v>
      </c>
      <c r="C10" s="26" t="s">
        <v>688</v>
      </c>
      <c r="D10" s="26" t="s">
        <v>276</v>
      </c>
      <c r="E10" s="26" t="s">
        <v>689</v>
      </c>
    </row>
    <row r="11" spans="2:9" ht="29" x14ac:dyDescent="0.35">
      <c r="B11" s="7" t="s">
        <v>943</v>
      </c>
      <c r="C11" s="47">
        <v>0</v>
      </c>
      <c r="D11" s="7" t="s">
        <v>691</v>
      </c>
      <c r="E11" s="7"/>
    </row>
    <row r="12" spans="2:9" ht="29" x14ac:dyDescent="0.35">
      <c r="B12" s="7" t="s">
        <v>946</v>
      </c>
      <c r="C12" s="47">
        <f>'9.) Micromobility Services'!I29</f>
        <v>0.75</v>
      </c>
      <c r="D12" s="7" t="s">
        <v>691</v>
      </c>
      <c r="E12" s="7"/>
    </row>
    <row r="13" spans="2:9" x14ac:dyDescent="0.35">
      <c r="B13" s="7" t="s">
        <v>949</v>
      </c>
      <c r="C13" s="39">
        <v>2.1000000000000001E-2</v>
      </c>
      <c r="D13" s="7" t="s">
        <v>950</v>
      </c>
      <c r="E13" s="7"/>
    </row>
    <row r="14" spans="2:9" x14ac:dyDescent="0.35">
      <c r="B14" s="7" t="s">
        <v>952</v>
      </c>
      <c r="C14" s="47">
        <v>0.35</v>
      </c>
      <c r="D14" s="7" t="s">
        <v>696</v>
      </c>
      <c r="E14" s="7" t="s">
        <v>953</v>
      </c>
    </row>
    <row r="15" spans="2:9" x14ac:dyDescent="0.35">
      <c r="B15" s="7" t="s">
        <v>957</v>
      </c>
      <c r="C15" s="34">
        <v>2.1</v>
      </c>
      <c r="D15" s="7" t="s">
        <v>696</v>
      </c>
      <c r="E15" s="7" t="s">
        <v>953</v>
      </c>
    </row>
    <row r="16" spans="2:9" x14ac:dyDescent="0.35">
      <c r="B16" s="7" t="s">
        <v>960</v>
      </c>
      <c r="C16" s="34">
        <v>2.7</v>
      </c>
      <c r="D16" s="7" t="s">
        <v>696</v>
      </c>
      <c r="E16" s="7" t="s">
        <v>961</v>
      </c>
    </row>
    <row r="17" spans="2:9" ht="29" x14ac:dyDescent="0.35">
      <c r="B17" s="7" t="s">
        <v>965</v>
      </c>
      <c r="C17" s="34">
        <v>12.4</v>
      </c>
      <c r="D17" s="7" t="s">
        <v>966</v>
      </c>
      <c r="E17" s="7" t="s">
        <v>703</v>
      </c>
    </row>
    <row r="18" spans="2:9" ht="16" x14ac:dyDescent="0.45">
      <c r="B18" s="303" t="s">
        <v>704</v>
      </c>
      <c r="C18" s="164">
        <f>-1*(C12-C11)*C13*C14*C15/(C16*C17)</f>
        <v>-3.4576612903225803E-4</v>
      </c>
    </row>
    <row r="19" spans="2:9" x14ac:dyDescent="0.35">
      <c r="E19" s="30"/>
    </row>
    <row r="20" spans="2:9" ht="16" x14ac:dyDescent="0.45">
      <c r="B20" s="66" t="s">
        <v>705</v>
      </c>
      <c r="C20" s="33"/>
    </row>
    <row r="21" spans="2:9" ht="16" x14ac:dyDescent="0.45">
      <c r="B21" s="371" t="s">
        <v>706</v>
      </c>
      <c r="C21" s="31" t="s">
        <v>969</v>
      </c>
    </row>
    <row r="23" spans="2:9" x14ac:dyDescent="0.35">
      <c r="B23" s="153" t="s">
        <v>971</v>
      </c>
      <c r="C23" s="56">
        <f>SUMIFS(C32:C51, '9.) Micromobility Services'!C23:C42, "YES")</f>
        <v>29962099.170000002</v>
      </c>
    </row>
    <row r="24" spans="2:9" x14ac:dyDescent="0.35">
      <c r="B24" s="153" t="s">
        <v>927</v>
      </c>
      <c r="C24" s="56">
        <f>C23*C18</f>
        <v>-10359.879047691531</v>
      </c>
    </row>
    <row r="27" spans="2:9" x14ac:dyDescent="0.35">
      <c r="B27" s="18" t="s">
        <v>981</v>
      </c>
      <c r="C27" s="136"/>
      <c r="D27" s="136"/>
      <c r="E27" s="136"/>
      <c r="F27" s="136"/>
      <c r="G27" s="136"/>
      <c r="H27" s="136"/>
      <c r="I27" s="136"/>
    </row>
    <row r="29" spans="2:9" x14ac:dyDescent="0.35">
      <c r="B29" s="54" t="s">
        <v>993</v>
      </c>
    </row>
    <row r="31" spans="2:9" x14ac:dyDescent="0.35">
      <c r="B31" s="166" t="s">
        <v>519</v>
      </c>
      <c r="C31" s="166" t="s">
        <v>994</v>
      </c>
      <c r="D31" s="166" t="s">
        <v>995</v>
      </c>
      <c r="E31" s="166" t="s">
        <v>996</v>
      </c>
    </row>
    <row r="32" spans="2:9" x14ac:dyDescent="0.35">
      <c r="B32" s="198" t="s">
        <v>355</v>
      </c>
      <c r="C32" s="56">
        <f>SUMIFS('Model VMT by TAZ'!E:E, 'Model VMT by TAZ'!B:B, 'Action 9 Calculations'!B32)</f>
        <v>189749.43999999997</v>
      </c>
      <c r="D32" s="55">
        <f>$C$18</f>
        <v>-3.4576612903225803E-4</v>
      </c>
      <c r="E32" s="56">
        <f>C32*D32</f>
        <v>-65.608929354838693</v>
      </c>
    </row>
    <row r="33" spans="2:5" x14ac:dyDescent="0.35">
      <c r="B33" s="198" t="s">
        <v>359</v>
      </c>
      <c r="C33" s="56">
        <f>SUMIFS('Model VMT by TAZ'!E:E, 'Model VMT by TAZ'!B:B, 'Action 9 Calculations'!B33)</f>
        <v>897671.99</v>
      </c>
      <c r="D33" s="55">
        <f t="shared" ref="D33:D51" si="0">$C$18</f>
        <v>-3.4576612903225803E-4</v>
      </c>
      <c r="E33" s="56">
        <f t="shared" ref="E33:E51" si="1">C33*D33</f>
        <v>-310.38456912298386</v>
      </c>
    </row>
    <row r="34" spans="2:5" x14ac:dyDescent="0.35">
      <c r="B34" s="198" t="s">
        <v>362</v>
      </c>
      <c r="C34" s="56">
        <f>SUMIFS('Model VMT by TAZ'!E:E, 'Model VMT by TAZ'!B:B, 'Action 9 Calculations'!B34)</f>
        <v>514371.91</v>
      </c>
      <c r="D34" s="55">
        <f t="shared" si="0"/>
        <v>-3.4576612903225803E-4</v>
      </c>
      <c r="E34" s="56">
        <f t="shared" si="1"/>
        <v>-177.85238420362901</v>
      </c>
    </row>
    <row r="35" spans="2:5" x14ac:dyDescent="0.35">
      <c r="B35" s="198" t="s">
        <v>364</v>
      </c>
      <c r="C35" s="56">
        <f>SUMIFS('Model VMT by TAZ'!E:E, 'Model VMT by TAZ'!B:B, 'Action 9 Calculations'!B35)</f>
        <v>2146551.4400000004</v>
      </c>
      <c r="D35" s="55">
        <f t="shared" si="0"/>
        <v>-3.4576612903225803E-4</v>
      </c>
      <c r="E35" s="56">
        <f t="shared" si="1"/>
        <v>-742.20478217741947</v>
      </c>
    </row>
    <row r="36" spans="2:5" x14ac:dyDescent="0.35">
      <c r="B36" s="198" t="s">
        <v>366</v>
      </c>
      <c r="C36" s="56">
        <f>SUMIFS('Model VMT by TAZ'!E:E, 'Model VMT by TAZ'!B:B, 'Action 9 Calculations'!B36)</f>
        <v>251359.52000000002</v>
      </c>
      <c r="D36" s="55">
        <f t="shared" si="0"/>
        <v>-3.4576612903225803E-4</v>
      </c>
      <c r="E36" s="56">
        <f t="shared" si="1"/>
        <v>-86.911608225806447</v>
      </c>
    </row>
    <row r="37" spans="2:5" x14ac:dyDescent="0.35">
      <c r="B37" s="198" t="s">
        <v>368</v>
      </c>
      <c r="C37" s="56">
        <f>SUMIFS('Model VMT by TAZ'!E:E, 'Model VMT by TAZ'!B:B, 'Action 9 Calculations'!B37)</f>
        <v>2841672.0799999996</v>
      </c>
      <c r="D37" s="55">
        <f t="shared" si="0"/>
        <v>-3.4576612903225803E-4</v>
      </c>
      <c r="E37" s="56">
        <f t="shared" si="1"/>
        <v>-982.55395508064498</v>
      </c>
    </row>
    <row r="38" spans="2:5" x14ac:dyDescent="0.35">
      <c r="B38" s="198" t="s">
        <v>370</v>
      </c>
      <c r="C38" s="56">
        <f>SUMIFS('Model VMT by TAZ'!E:E, 'Model VMT by TAZ'!B:B, 'Action 9 Calculations'!B38)</f>
        <v>766514.79</v>
      </c>
      <c r="D38" s="55">
        <f t="shared" si="0"/>
        <v>-3.4576612903225803E-4</v>
      </c>
      <c r="E38" s="56">
        <f t="shared" si="1"/>
        <v>-265.03485178427417</v>
      </c>
    </row>
    <row r="39" spans="2:5" x14ac:dyDescent="0.35">
      <c r="B39" s="198" t="s">
        <v>372</v>
      </c>
      <c r="C39" s="56">
        <f>SUMIFS('Model VMT by TAZ'!E:E, 'Model VMT by TAZ'!B:B, 'Action 9 Calculations'!B39)</f>
        <v>1789312.86</v>
      </c>
      <c r="D39" s="55">
        <f t="shared" si="0"/>
        <v>-3.4576612903225803E-4</v>
      </c>
      <c r="E39" s="56">
        <f t="shared" si="1"/>
        <v>-618.6837812298387</v>
      </c>
    </row>
    <row r="40" spans="2:5" x14ac:dyDescent="0.35">
      <c r="B40" s="198" t="s">
        <v>373</v>
      </c>
      <c r="C40" s="56">
        <f>SUMIFS('Model VMT by TAZ'!E:E, 'Model VMT by TAZ'!B:B, 'Action 9 Calculations'!B40)</f>
        <v>694037.04</v>
      </c>
      <c r="D40" s="55">
        <f t="shared" si="0"/>
        <v>-3.4576612903225803E-4</v>
      </c>
      <c r="E40" s="56">
        <f t="shared" si="1"/>
        <v>-239.97450072580645</v>
      </c>
    </row>
    <row r="41" spans="2:5" x14ac:dyDescent="0.35">
      <c r="B41" s="198" t="s">
        <v>374</v>
      </c>
      <c r="C41" s="56">
        <f>SUMIFS('Model VMT by TAZ'!E:E, 'Model VMT by TAZ'!B:B, 'Action 9 Calculations'!B41)</f>
        <v>394931.23</v>
      </c>
      <c r="D41" s="55">
        <f t="shared" si="0"/>
        <v>-3.4576612903225803E-4</v>
      </c>
      <c r="E41" s="56">
        <f t="shared" si="1"/>
        <v>-136.55384263104835</v>
      </c>
    </row>
    <row r="42" spans="2:5" x14ac:dyDescent="0.35">
      <c r="B42" s="198" t="s">
        <v>375</v>
      </c>
      <c r="C42" s="56">
        <f>SUMIFS('Model VMT by TAZ'!E:E, 'Model VMT by TAZ'!B:B, 'Action 9 Calculations'!B42)</f>
        <v>2062098.3400000003</v>
      </c>
      <c r="D42" s="55">
        <f t="shared" si="0"/>
        <v>-3.4576612903225803E-4</v>
      </c>
      <c r="E42" s="56">
        <f t="shared" si="1"/>
        <v>-713.00376070564516</v>
      </c>
    </row>
    <row r="43" spans="2:5" x14ac:dyDescent="0.35">
      <c r="B43" s="198" t="s">
        <v>376</v>
      </c>
      <c r="C43" s="56">
        <f>SUMIFS('Model VMT by TAZ'!E:E, 'Model VMT by TAZ'!B:B, 'Action 9 Calculations'!B43)</f>
        <v>840046.9</v>
      </c>
      <c r="D43" s="55">
        <f t="shared" si="0"/>
        <v>-3.4576612903225803E-4</v>
      </c>
      <c r="E43" s="56">
        <f t="shared" si="1"/>
        <v>-290.45976481854836</v>
      </c>
    </row>
    <row r="44" spans="2:5" x14ac:dyDescent="0.35">
      <c r="B44" s="198" t="s">
        <v>377</v>
      </c>
      <c r="C44" s="56">
        <f>SUMIFS('Model VMT by TAZ'!E:E, 'Model VMT by TAZ'!B:B, 'Action 9 Calculations'!B44)</f>
        <v>927523.85</v>
      </c>
      <c r="D44" s="55">
        <f t="shared" si="0"/>
        <v>-3.4576612903225803E-4</v>
      </c>
      <c r="E44" s="56">
        <f t="shared" si="1"/>
        <v>-320.70633119959672</v>
      </c>
    </row>
    <row r="45" spans="2:5" x14ac:dyDescent="0.35">
      <c r="B45" s="198" t="s">
        <v>378</v>
      </c>
      <c r="C45" s="56">
        <f>SUMIFS('Model VMT by TAZ'!E:E, 'Model VMT by TAZ'!B:B, 'Action 9 Calculations'!B45)</f>
        <v>391996.79</v>
      </c>
      <c r="D45" s="55">
        <f t="shared" si="0"/>
        <v>-3.4576612903225803E-4</v>
      </c>
      <c r="E45" s="56">
        <f t="shared" si="1"/>
        <v>-135.53921267137096</v>
      </c>
    </row>
    <row r="46" spans="2:5" x14ac:dyDescent="0.35">
      <c r="B46" s="198" t="s">
        <v>379</v>
      </c>
      <c r="C46" s="56">
        <f>SUMIFS('Model VMT by TAZ'!E:E, 'Model VMT by TAZ'!B:B, 'Action 9 Calculations'!B46)</f>
        <v>4287557.9499999993</v>
      </c>
      <c r="D46" s="55">
        <f t="shared" si="0"/>
        <v>-3.4576612903225803E-4</v>
      </c>
      <c r="E46" s="56">
        <f t="shared" si="1"/>
        <v>-1482.4923153729835</v>
      </c>
    </row>
    <row r="47" spans="2:5" x14ac:dyDescent="0.35">
      <c r="B47" s="198" t="s">
        <v>380</v>
      </c>
      <c r="C47" s="56">
        <f>SUMIFS('Model VMT by TAZ'!E:E, 'Model VMT by TAZ'!B:B, 'Action 9 Calculations'!B47)</f>
        <v>1560399.8900000001</v>
      </c>
      <c r="D47" s="55">
        <f t="shared" si="0"/>
        <v>-3.4576612903225803E-4</v>
      </c>
      <c r="E47" s="56">
        <f t="shared" si="1"/>
        <v>-539.5334297076613</v>
      </c>
    </row>
    <row r="48" spans="2:5" x14ac:dyDescent="0.35">
      <c r="B48" s="198" t="s">
        <v>381</v>
      </c>
      <c r="C48" s="56">
        <f>SUMIFS('Model VMT by TAZ'!E:E, 'Model VMT by TAZ'!B:B, 'Action 9 Calculations'!B48)</f>
        <v>1468368.0300000003</v>
      </c>
      <c r="D48" s="55">
        <f t="shared" si="0"/>
        <v>-3.4576612903225803E-4</v>
      </c>
      <c r="E48" s="56">
        <f t="shared" si="1"/>
        <v>-507.71192972782262</v>
      </c>
    </row>
    <row r="49" spans="2:9" x14ac:dyDescent="0.35">
      <c r="B49" s="198" t="s">
        <v>382</v>
      </c>
      <c r="C49" s="56">
        <f>SUMIFS('Model VMT by TAZ'!E:E, 'Model VMT by TAZ'!B:B, 'Action 9 Calculations'!B49)</f>
        <v>4760186.9100000011</v>
      </c>
      <c r="D49" s="55">
        <f t="shared" si="0"/>
        <v>-3.4576612903225803E-4</v>
      </c>
      <c r="E49" s="56">
        <f t="shared" si="1"/>
        <v>-1645.9114013407261</v>
      </c>
    </row>
    <row r="50" spans="2:9" x14ac:dyDescent="0.35">
      <c r="B50" s="198" t="s">
        <v>299</v>
      </c>
      <c r="C50" s="56">
        <f>SUMIFS('Model VMT by TAZ'!E:E, 'Model VMT by TAZ'!B:B, 'Action 9 Calculations'!B50)</f>
        <v>3009628.02</v>
      </c>
      <c r="D50" s="55">
        <f t="shared" si="0"/>
        <v>-3.4576612903225803E-4</v>
      </c>
      <c r="E50" s="56">
        <f t="shared" si="1"/>
        <v>-1040.6274303024193</v>
      </c>
    </row>
    <row r="51" spans="2:9" x14ac:dyDescent="0.35">
      <c r="B51" s="198" t="s">
        <v>383</v>
      </c>
      <c r="C51" s="56">
        <f>SUMIFS('Model VMT by TAZ'!E:E, 'Model VMT by TAZ'!B:B, 'Action 9 Calculations'!B51)</f>
        <v>168120.19</v>
      </c>
      <c r="D51" s="55">
        <f t="shared" si="0"/>
        <v>-3.4576612903225803E-4</v>
      </c>
      <c r="E51" s="56">
        <f t="shared" si="1"/>
        <v>-58.130267308467737</v>
      </c>
    </row>
    <row r="53" spans="2:9" x14ac:dyDescent="0.35">
      <c r="B53" s="18" t="s">
        <v>739</v>
      </c>
      <c r="C53" s="136"/>
      <c r="D53" s="136"/>
      <c r="E53" s="136"/>
      <c r="F53" s="136"/>
      <c r="G53" s="136"/>
      <c r="H53" s="136"/>
      <c r="I53" s="136"/>
    </row>
    <row r="55" spans="2:9" x14ac:dyDescent="0.35">
      <c r="B55" s="54" t="s">
        <v>986</v>
      </c>
    </row>
    <row r="57" spans="2:9" x14ac:dyDescent="0.35">
      <c r="B57" s="166" t="s">
        <v>519</v>
      </c>
      <c r="C57" s="166" t="s">
        <v>994</v>
      </c>
      <c r="D57" s="166" t="s">
        <v>995</v>
      </c>
      <c r="E57" s="166" t="s">
        <v>996</v>
      </c>
      <c r="F57" s="166" t="s">
        <v>928</v>
      </c>
      <c r="G57" s="166" t="s">
        <v>520</v>
      </c>
    </row>
    <row r="58" spans="2:9" x14ac:dyDescent="0.35">
      <c r="B58" s="198" t="s">
        <v>355</v>
      </c>
      <c r="C58" s="56">
        <f>SUMIFS('Model VMT by TAZ'!E:E, 'Model VMT by TAZ'!B:B, 'Action 9 Calculations'!B58)</f>
        <v>189749.43999999997</v>
      </c>
      <c r="D58" s="55">
        <f>$C$18</f>
        <v>-3.4576612903225803E-4</v>
      </c>
      <c r="E58" s="56">
        <f>C58*D58</f>
        <v>-65.608929354838693</v>
      </c>
      <c r="F58" s="6">
        <v>347</v>
      </c>
      <c r="G58" s="56">
        <f>E58*F58</f>
        <v>-22766.298486129028</v>
      </c>
    </row>
    <row r="59" spans="2:9" x14ac:dyDescent="0.35">
      <c r="B59" s="198" t="s">
        <v>359</v>
      </c>
      <c r="C59" s="56">
        <f>SUMIFS('Model VMT by TAZ'!E:E, 'Model VMT by TAZ'!B:B, 'Action 9 Calculations'!B59)</f>
        <v>897671.99</v>
      </c>
      <c r="D59" s="55">
        <f t="shared" ref="D59:D77" si="2">$C$18</f>
        <v>-3.4576612903225803E-4</v>
      </c>
      <c r="E59" s="56">
        <f t="shared" ref="E59:E77" si="3">C59*D59</f>
        <v>-310.38456912298386</v>
      </c>
      <c r="F59" s="6">
        <v>347</v>
      </c>
      <c r="G59" s="56">
        <f t="shared" ref="G59:G77" si="4">E59*F59</f>
        <v>-107703.4454856754</v>
      </c>
    </row>
    <row r="60" spans="2:9" x14ac:dyDescent="0.35">
      <c r="B60" s="198" t="s">
        <v>362</v>
      </c>
      <c r="C60" s="56">
        <f>SUMIFS('Model VMT by TAZ'!E:E, 'Model VMT by TAZ'!B:B, 'Action 9 Calculations'!B60)</f>
        <v>514371.91</v>
      </c>
      <c r="D60" s="55">
        <f t="shared" si="2"/>
        <v>-3.4576612903225803E-4</v>
      </c>
      <c r="E60" s="56">
        <f t="shared" si="3"/>
        <v>-177.85238420362901</v>
      </c>
      <c r="F60" s="6">
        <v>347</v>
      </c>
      <c r="G60" s="56">
        <f t="shared" si="4"/>
        <v>-61714.777318659268</v>
      </c>
    </row>
    <row r="61" spans="2:9" x14ac:dyDescent="0.35">
      <c r="B61" s="198" t="s">
        <v>364</v>
      </c>
      <c r="C61" s="56">
        <f>SUMIFS('Model VMT by TAZ'!E:E, 'Model VMT by TAZ'!B:B, 'Action 9 Calculations'!B61)</f>
        <v>2146551.4400000004</v>
      </c>
      <c r="D61" s="55">
        <f t="shared" si="2"/>
        <v>-3.4576612903225803E-4</v>
      </c>
      <c r="E61" s="56">
        <f t="shared" si="3"/>
        <v>-742.20478217741947</v>
      </c>
      <c r="F61" s="6">
        <v>347</v>
      </c>
      <c r="G61" s="56">
        <f t="shared" si="4"/>
        <v>-257545.05941556455</v>
      </c>
    </row>
    <row r="62" spans="2:9" x14ac:dyDescent="0.35">
      <c r="B62" s="198" t="s">
        <v>366</v>
      </c>
      <c r="C62" s="56">
        <f>SUMIFS('Model VMT by TAZ'!E:E, 'Model VMT by TAZ'!B:B, 'Action 9 Calculations'!B62)</f>
        <v>251359.52000000002</v>
      </c>
      <c r="D62" s="55">
        <f t="shared" si="2"/>
        <v>-3.4576612903225803E-4</v>
      </c>
      <c r="E62" s="56">
        <f t="shared" si="3"/>
        <v>-86.911608225806447</v>
      </c>
      <c r="F62" s="6">
        <v>347</v>
      </c>
      <c r="G62" s="56">
        <f t="shared" si="4"/>
        <v>-30158.328054354835</v>
      </c>
    </row>
    <row r="63" spans="2:9" x14ac:dyDescent="0.35">
      <c r="B63" s="198" t="s">
        <v>368</v>
      </c>
      <c r="C63" s="56">
        <f>SUMIFS('Model VMT by TAZ'!E:E, 'Model VMT by TAZ'!B:B, 'Action 9 Calculations'!B63)</f>
        <v>2841672.0799999996</v>
      </c>
      <c r="D63" s="55">
        <f t="shared" si="2"/>
        <v>-3.4576612903225803E-4</v>
      </c>
      <c r="E63" s="56">
        <f t="shared" si="3"/>
        <v>-982.55395508064498</v>
      </c>
      <c r="F63" s="6">
        <v>347</v>
      </c>
      <c r="G63" s="56">
        <f t="shared" si="4"/>
        <v>-340946.22241298383</v>
      </c>
    </row>
    <row r="64" spans="2:9" x14ac:dyDescent="0.35">
      <c r="B64" s="198" t="s">
        <v>370</v>
      </c>
      <c r="C64" s="56">
        <f>SUMIFS('Model VMT by TAZ'!E:E, 'Model VMT by TAZ'!B:B, 'Action 9 Calculations'!B64)</f>
        <v>766514.79</v>
      </c>
      <c r="D64" s="55">
        <f t="shared" si="2"/>
        <v>-3.4576612903225803E-4</v>
      </c>
      <c r="E64" s="56">
        <f t="shared" si="3"/>
        <v>-265.03485178427417</v>
      </c>
      <c r="F64" s="6">
        <v>347</v>
      </c>
      <c r="G64" s="56">
        <f t="shared" si="4"/>
        <v>-91967.093569143137</v>
      </c>
    </row>
    <row r="65" spans="2:7" x14ac:dyDescent="0.35">
      <c r="B65" s="198" t="s">
        <v>372</v>
      </c>
      <c r="C65" s="56">
        <f>SUMIFS('Model VMT by TAZ'!E:E, 'Model VMT by TAZ'!B:B, 'Action 9 Calculations'!B65)</f>
        <v>1789312.86</v>
      </c>
      <c r="D65" s="55">
        <f t="shared" si="2"/>
        <v>-3.4576612903225803E-4</v>
      </c>
      <c r="E65" s="56">
        <f t="shared" si="3"/>
        <v>-618.6837812298387</v>
      </c>
      <c r="F65" s="6">
        <v>347</v>
      </c>
      <c r="G65" s="56">
        <f t="shared" si="4"/>
        <v>-214683.27208675403</v>
      </c>
    </row>
    <row r="66" spans="2:7" x14ac:dyDescent="0.35">
      <c r="B66" s="198" t="s">
        <v>373</v>
      </c>
      <c r="C66" s="56">
        <f>SUMIFS('Model VMT by TAZ'!E:E, 'Model VMT by TAZ'!B:B, 'Action 9 Calculations'!B66)</f>
        <v>694037.04</v>
      </c>
      <c r="D66" s="55">
        <f t="shared" si="2"/>
        <v>-3.4576612903225803E-4</v>
      </c>
      <c r="E66" s="56">
        <f t="shared" si="3"/>
        <v>-239.97450072580645</v>
      </c>
      <c r="F66" s="6">
        <v>347</v>
      </c>
      <c r="G66" s="56">
        <f t="shared" si="4"/>
        <v>-83271.151751854835</v>
      </c>
    </row>
    <row r="67" spans="2:7" x14ac:dyDescent="0.35">
      <c r="B67" s="198" t="s">
        <v>374</v>
      </c>
      <c r="C67" s="56">
        <f>SUMIFS('Model VMT by TAZ'!E:E, 'Model VMT by TAZ'!B:B, 'Action 9 Calculations'!B67)</f>
        <v>394931.23</v>
      </c>
      <c r="D67" s="55">
        <f t="shared" si="2"/>
        <v>-3.4576612903225803E-4</v>
      </c>
      <c r="E67" s="56">
        <f t="shared" si="3"/>
        <v>-136.55384263104835</v>
      </c>
      <c r="F67" s="6">
        <v>347</v>
      </c>
      <c r="G67" s="56">
        <f t="shared" si="4"/>
        <v>-47384.183392973777</v>
      </c>
    </row>
    <row r="68" spans="2:7" x14ac:dyDescent="0.35">
      <c r="B68" s="198" t="s">
        <v>375</v>
      </c>
      <c r="C68" s="56">
        <f>SUMIFS('Model VMT by TAZ'!E:E, 'Model VMT by TAZ'!B:B, 'Action 9 Calculations'!B68)</f>
        <v>2062098.3400000003</v>
      </c>
      <c r="D68" s="55">
        <f t="shared" si="2"/>
        <v>-3.4576612903225803E-4</v>
      </c>
      <c r="E68" s="56">
        <f t="shared" si="3"/>
        <v>-713.00376070564516</v>
      </c>
      <c r="F68" s="6">
        <v>347</v>
      </c>
      <c r="G68" s="56">
        <f t="shared" si="4"/>
        <v>-247412.30496485886</v>
      </c>
    </row>
    <row r="69" spans="2:7" x14ac:dyDescent="0.35">
      <c r="B69" s="198" t="s">
        <v>376</v>
      </c>
      <c r="C69" s="56">
        <f>SUMIFS('Model VMT by TAZ'!E:E, 'Model VMT by TAZ'!B:B, 'Action 9 Calculations'!B69)</f>
        <v>840046.9</v>
      </c>
      <c r="D69" s="55">
        <f t="shared" si="2"/>
        <v>-3.4576612903225803E-4</v>
      </c>
      <c r="E69" s="56">
        <f t="shared" si="3"/>
        <v>-290.45976481854836</v>
      </c>
      <c r="F69" s="6">
        <v>347</v>
      </c>
      <c r="G69" s="56">
        <f t="shared" si="4"/>
        <v>-100789.53839203628</v>
      </c>
    </row>
    <row r="70" spans="2:7" x14ac:dyDescent="0.35">
      <c r="B70" s="198" t="s">
        <v>377</v>
      </c>
      <c r="C70" s="56">
        <f>SUMIFS('Model VMT by TAZ'!E:E, 'Model VMT by TAZ'!B:B, 'Action 9 Calculations'!B70)</f>
        <v>927523.85</v>
      </c>
      <c r="D70" s="55">
        <f t="shared" si="2"/>
        <v>-3.4576612903225803E-4</v>
      </c>
      <c r="E70" s="56">
        <f t="shared" si="3"/>
        <v>-320.70633119959672</v>
      </c>
      <c r="F70" s="6">
        <v>347</v>
      </c>
      <c r="G70" s="56">
        <f t="shared" si="4"/>
        <v>-111285.09692626006</v>
      </c>
    </row>
    <row r="71" spans="2:7" x14ac:dyDescent="0.35">
      <c r="B71" s="198" t="s">
        <v>378</v>
      </c>
      <c r="C71" s="56">
        <f>SUMIFS('Model VMT by TAZ'!E:E, 'Model VMT by TAZ'!B:B, 'Action 9 Calculations'!B71)</f>
        <v>391996.79</v>
      </c>
      <c r="D71" s="55">
        <f t="shared" si="2"/>
        <v>-3.4576612903225803E-4</v>
      </c>
      <c r="E71" s="56">
        <f t="shared" si="3"/>
        <v>-135.53921267137096</v>
      </c>
      <c r="F71" s="6">
        <v>347</v>
      </c>
      <c r="G71" s="56">
        <f t="shared" si="4"/>
        <v>-47032.106796965723</v>
      </c>
    </row>
    <row r="72" spans="2:7" x14ac:dyDescent="0.35">
      <c r="B72" s="198" t="s">
        <v>379</v>
      </c>
      <c r="C72" s="56">
        <f>SUMIFS('Model VMT by TAZ'!E:E, 'Model VMT by TAZ'!B:B, 'Action 9 Calculations'!B72)</f>
        <v>4287557.9499999993</v>
      </c>
      <c r="D72" s="55">
        <f t="shared" si="2"/>
        <v>-3.4576612903225803E-4</v>
      </c>
      <c r="E72" s="56">
        <f t="shared" si="3"/>
        <v>-1482.4923153729835</v>
      </c>
      <c r="F72" s="6">
        <v>347</v>
      </c>
      <c r="G72" s="56">
        <f t="shared" si="4"/>
        <v>-514424.83343442529</v>
      </c>
    </row>
    <row r="73" spans="2:7" x14ac:dyDescent="0.35">
      <c r="B73" s="198" t="s">
        <v>380</v>
      </c>
      <c r="C73" s="56">
        <f>SUMIFS('Model VMT by TAZ'!E:E, 'Model VMT by TAZ'!B:B, 'Action 9 Calculations'!B73)</f>
        <v>1560399.8900000001</v>
      </c>
      <c r="D73" s="55">
        <f t="shared" si="2"/>
        <v>-3.4576612903225803E-4</v>
      </c>
      <c r="E73" s="56">
        <f t="shared" si="3"/>
        <v>-539.5334297076613</v>
      </c>
      <c r="F73" s="6">
        <v>347</v>
      </c>
      <c r="G73" s="56">
        <f t="shared" si="4"/>
        <v>-187218.10010855846</v>
      </c>
    </row>
    <row r="74" spans="2:7" x14ac:dyDescent="0.35">
      <c r="B74" s="198" t="s">
        <v>381</v>
      </c>
      <c r="C74" s="56">
        <f>SUMIFS('Model VMT by TAZ'!E:E, 'Model VMT by TAZ'!B:B, 'Action 9 Calculations'!B74)</f>
        <v>1468368.0300000003</v>
      </c>
      <c r="D74" s="55">
        <f t="shared" si="2"/>
        <v>-3.4576612903225803E-4</v>
      </c>
      <c r="E74" s="56">
        <f t="shared" si="3"/>
        <v>-507.71192972782262</v>
      </c>
      <c r="F74" s="6">
        <v>347</v>
      </c>
      <c r="G74" s="56">
        <f t="shared" si="4"/>
        <v>-176176.03961555444</v>
      </c>
    </row>
    <row r="75" spans="2:7" x14ac:dyDescent="0.35">
      <c r="B75" s="198" t="s">
        <v>382</v>
      </c>
      <c r="C75" s="56">
        <f>SUMIFS('Model VMT by TAZ'!E:E, 'Model VMT by TAZ'!B:B, 'Action 9 Calculations'!B75)</f>
        <v>4760186.9100000011</v>
      </c>
      <c r="D75" s="55">
        <f t="shared" si="2"/>
        <v>-3.4576612903225803E-4</v>
      </c>
      <c r="E75" s="56">
        <f t="shared" si="3"/>
        <v>-1645.9114013407261</v>
      </c>
      <c r="F75" s="6">
        <v>347</v>
      </c>
      <c r="G75" s="56">
        <f t="shared" si="4"/>
        <v>-571131.25626523199</v>
      </c>
    </row>
    <row r="76" spans="2:7" x14ac:dyDescent="0.35">
      <c r="B76" s="198" t="s">
        <v>299</v>
      </c>
      <c r="C76" s="56">
        <f>SUMIFS('Model VMT by TAZ'!E:E, 'Model VMT by TAZ'!B:B, 'Action 9 Calculations'!B76)</f>
        <v>3009628.02</v>
      </c>
      <c r="D76" s="55">
        <f t="shared" si="2"/>
        <v>-3.4576612903225803E-4</v>
      </c>
      <c r="E76" s="56">
        <f t="shared" si="3"/>
        <v>-1040.6274303024193</v>
      </c>
      <c r="F76" s="6">
        <v>347</v>
      </c>
      <c r="G76" s="56">
        <f t="shared" si="4"/>
        <v>-361097.71831493947</v>
      </c>
    </row>
    <row r="77" spans="2:7" x14ac:dyDescent="0.35">
      <c r="B77" s="198" t="s">
        <v>383</v>
      </c>
      <c r="C77" s="56">
        <f>SUMIFS('Model VMT by TAZ'!E:E, 'Model VMT by TAZ'!B:B, 'Action 9 Calculations'!B77)</f>
        <v>168120.19</v>
      </c>
      <c r="D77" s="55">
        <f t="shared" si="2"/>
        <v>-3.4576612903225803E-4</v>
      </c>
      <c r="E77" s="56">
        <f t="shared" si="3"/>
        <v>-58.130267308467737</v>
      </c>
      <c r="F77" s="6">
        <v>347</v>
      </c>
      <c r="G77" s="56">
        <f t="shared" si="4"/>
        <v>-20171.202756038303</v>
      </c>
    </row>
  </sheetData>
  <sheetProtection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66445-7539-4F72-A19F-F44873B05B5A}">
  <sheetPr>
    <tabColor theme="5"/>
  </sheetPr>
  <dimension ref="B2:T44"/>
  <sheetViews>
    <sheetView topLeftCell="A8" workbookViewId="0">
      <selection activeCell="B2" sqref="B2"/>
    </sheetView>
  </sheetViews>
  <sheetFormatPr defaultRowHeight="14.5" x14ac:dyDescent="0.35"/>
  <cols>
    <col min="2" max="2" width="43.7265625" customWidth="1"/>
    <col min="3" max="3" width="22" customWidth="1"/>
    <col min="4" max="4" width="25" bestFit="1" customWidth="1"/>
    <col min="5" max="5" width="16.453125" bestFit="1" customWidth="1"/>
    <col min="6" max="6" width="16.1796875" customWidth="1"/>
    <col min="7" max="7" width="17.1796875" customWidth="1"/>
    <col min="8" max="9" width="42.54296875" customWidth="1"/>
    <col min="10" max="10" width="30.1796875" customWidth="1"/>
    <col min="11" max="12" width="42.54296875" customWidth="1"/>
  </cols>
  <sheetData>
    <row r="2" spans="2:20" ht="31" x14ac:dyDescent="0.7">
      <c r="B2" s="8" t="s">
        <v>179</v>
      </c>
    </row>
    <row r="3" spans="2:20" x14ac:dyDescent="0.35">
      <c r="B3" s="2"/>
    </row>
    <row r="4" spans="2:20" x14ac:dyDescent="0.35">
      <c r="B4" s="2" t="s">
        <v>997</v>
      </c>
    </row>
    <row r="6" spans="2:20" x14ac:dyDescent="0.35">
      <c r="B6" s="54" t="s">
        <v>998</v>
      </c>
    </row>
    <row r="7" spans="2:20" x14ac:dyDescent="0.35">
      <c r="B7" s="290" t="s">
        <v>999</v>
      </c>
    </row>
    <row r="8" spans="2:20" x14ac:dyDescent="0.35">
      <c r="B8" s="290" t="s">
        <v>1000</v>
      </c>
    </row>
    <row r="9" spans="2:20" x14ac:dyDescent="0.35">
      <c r="B9" s="314" t="s">
        <v>1001</v>
      </c>
    </row>
    <row r="10" spans="2:20" x14ac:dyDescent="0.35">
      <c r="B10" s="2"/>
    </row>
    <row r="11" spans="2:20" x14ac:dyDescent="0.35">
      <c r="B11" s="18" t="s">
        <v>1002</v>
      </c>
      <c r="C11" s="18"/>
      <c r="D11" s="18"/>
      <c r="E11" s="18"/>
      <c r="F11" s="18"/>
      <c r="G11" s="18"/>
      <c r="H11" s="18"/>
      <c r="I11" s="18"/>
      <c r="J11" s="18"/>
      <c r="K11" s="18"/>
      <c r="L11" s="18"/>
      <c r="M11" s="18"/>
      <c r="N11" s="18"/>
      <c r="O11" s="18"/>
      <c r="P11" s="18"/>
      <c r="Q11" s="18"/>
      <c r="R11" s="18"/>
      <c r="S11" s="18"/>
      <c r="T11" s="18"/>
    </row>
    <row r="13" spans="2:20" x14ac:dyDescent="0.35">
      <c r="B13" s="2" t="s">
        <v>1003</v>
      </c>
      <c r="H13" s="2" t="s">
        <v>373</v>
      </c>
    </row>
    <row r="14" spans="2:20" x14ac:dyDescent="0.35">
      <c r="B14" s="2"/>
      <c r="H14" s="2"/>
    </row>
    <row r="15" spans="2:20" x14ac:dyDescent="0.35">
      <c r="B15" s="26" t="s">
        <v>687</v>
      </c>
      <c r="C15" s="26" t="s">
        <v>688</v>
      </c>
      <c r="D15" s="26" t="s">
        <v>276</v>
      </c>
      <c r="E15" s="26" t="s">
        <v>689</v>
      </c>
      <c r="H15" s="26" t="s">
        <v>687</v>
      </c>
      <c r="I15" s="26" t="s">
        <v>688</v>
      </c>
      <c r="J15" s="26" t="s">
        <v>276</v>
      </c>
      <c r="K15" s="26" t="s">
        <v>689</v>
      </c>
    </row>
    <row r="16" spans="2:20" ht="43.5" x14ac:dyDescent="0.35">
      <c r="B16" s="7" t="s">
        <v>1004</v>
      </c>
      <c r="C16" s="165">
        <v>16</v>
      </c>
      <c r="D16" s="7" t="s">
        <v>1005</v>
      </c>
      <c r="E16" s="7" t="s">
        <v>1006</v>
      </c>
      <c r="H16" s="7" t="s">
        <v>1004</v>
      </c>
      <c r="I16" s="165">
        <v>9</v>
      </c>
      <c r="J16" s="7" t="s">
        <v>1005</v>
      </c>
      <c r="K16" s="7" t="s">
        <v>1006</v>
      </c>
    </row>
    <row r="17" spans="2:20" ht="29" x14ac:dyDescent="0.35">
      <c r="B17" s="7" t="s">
        <v>1007</v>
      </c>
      <c r="C17" s="160">
        <f>'10.) Shuttles-Microtransit'!C25</f>
        <v>24</v>
      </c>
      <c r="D17" s="7" t="s">
        <v>1008</v>
      </c>
      <c r="E17" s="7"/>
      <c r="H17" s="7" t="s">
        <v>1007</v>
      </c>
      <c r="I17" s="44">
        <f>'10.) Shuttles-Microtransit'!G25</f>
        <v>24</v>
      </c>
      <c r="J17" s="7" t="s">
        <v>1008</v>
      </c>
      <c r="K17" s="7"/>
    </row>
    <row r="18" spans="2:20" x14ac:dyDescent="0.35">
      <c r="B18" s="7" t="s">
        <v>1009</v>
      </c>
      <c r="C18" s="164">
        <f>SUM('Action 10 East Palo Alto'!C4:C14)/SUM('Action 10 East Palo Alto'!D4:D14)</f>
        <v>2.2874441451746164E-2</v>
      </c>
      <c r="D18" s="6" t="s">
        <v>1010</v>
      </c>
      <c r="E18" s="164"/>
      <c r="H18" s="7" t="s">
        <v>1009</v>
      </c>
      <c r="I18" s="164">
        <f>SUM('Action 10 Half Moon Bay'!C4:C9)/SUM('Action 10 Half Moon Bay'!D4:D9)</f>
        <v>8.5785612341825017E-3</v>
      </c>
      <c r="J18" s="6" t="s">
        <v>1011</v>
      </c>
      <c r="K18" s="164"/>
    </row>
    <row r="19" spans="2:20" ht="29" x14ac:dyDescent="0.35">
      <c r="B19" s="7" t="s">
        <v>1012</v>
      </c>
      <c r="C19" s="34">
        <v>0.7</v>
      </c>
      <c r="D19" s="7" t="s">
        <v>696</v>
      </c>
      <c r="E19" s="7" t="s">
        <v>1013</v>
      </c>
      <c r="H19" s="7" t="s">
        <v>1012</v>
      </c>
      <c r="I19" s="34">
        <v>0.7</v>
      </c>
      <c r="J19" s="7" t="s">
        <v>696</v>
      </c>
      <c r="K19" s="7" t="s">
        <v>1013</v>
      </c>
    </row>
    <row r="20" spans="2:20" x14ac:dyDescent="0.35">
      <c r="B20" s="7" t="s">
        <v>1014</v>
      </c>
      <c r="C20" s="48">
        <v>0.57799999999999996</v>
      </c>
      <c r="D20" s="7" t="s">
        <v>696</v>
      </c>
      <c r="E20" s="7" t="s">
        <v>703</v>
      </c>
      <c r="H20" s="7" t="s">
        <v>1014</v>
      </c>
      <c r="I20" s="48">
        <v>0.57799999999999996</v>
      </c>
      <c r="J20" s="7" t="s">
        <v>696</v>
      </c>
      <c r="K20" s="7" t="s">
        <v>703</v>
      </c>
    </row>
    <row r="21" spans="2:20" x14ac:dyDescent="0.35">
      <c r="B21" s="7" t="s">
        <v>1015</v>
      </c>
      <c r="C21" s="40">
        <v>1</v>
      </c>
      <c r="D21" s="7" t="s">
        <v>696</v>
      </c>
      <c r="E21" s="7"/>
      <c r="H21" s="7" t="s">
        <v>1015</v>
      </c>
      <c r="I21" s="40">
        <v>1</v>
      </c>
      <c r="J21" s="7" t="s">
        <v>696</v>
      </c>
      <c r="K21" s="7"/>
    </row>
    <row r="22" spans="2:20" ht="16" x14ac:dyDescent="0.45">
      <c r="B22" s="303" t="s">
        <v>704</v>
      </c>
      <c r="C22" s="29">
        <f>-1*((C17-C16)/C16)*C18*C19*C20*C21</f>
        <v>-4.6274995056882484E-3</v>
      </c>
      <c r="H22" s="303" t="s">
        <v>704</v>
      </c>
      <c r="I22" s="29">
        <f>-1*((I17-I16)/I16)*I18*I19*I20*I21</f>
        <v>-5.7848097922504E-3</v>
      </c>
    </row>
    <row r="23" spans="2:20" x14ac:dyDescent="0.35">
      <c r="E23" s="30"/>
      <c r="K23" s="30"/>
    </row>
    <row r="24" spans="2:20" ht="16" x14ac:dyDescent="0.45">
      <c r="B24" s="66" t="s">
        <v>705</v>
      </c>
      <c r="C24" s="33"/>
      <c r="H24" s="66" t="s">
        <v>705</v>
      </c>
      <c r="I24" s="33"/>
    </row>
    <row r="25" spans="2:20" ht="16" x14ac:dyDescent="0.45">
      <c r="B25" s="371" t="s">
        <v>706</v>
      </c>
      <c r="C25" s="31" t="s">
        <v>1016</v>
      </c>
      <c r="H25" s="371" t="s">
        <v>706</v>
      </c>
      <c r="I25" s="31" t="s">
        <v>1016</v>
      </c>
    </row>
    <row r="29" spans="2:20" x14ac:dyDescent="0.35">
      <c r="B29" s="18" t="s">
        <v>1017</v>
      </c>
      <c r="C29" s="18"/>
      <c r="D29" s="18"/>
      <c r="E29" s="18"/>
      <c r="F29" s="18"/>
      <c r="G29" s="18"/>
      <c r="H29" s="18"/>
      <c r="I29" s="18"/>
      <c r="J29" s="18"/>
      <c r="K29" s="18"/>
      <c r="L29" s="18"/>
      <c r="M29" s="18"/>
      <c r="N29" s="18"/>
      <c r="O29" s="18"/>
      <c r="P29" s="18"/>
      <c r="Q29" s="18"/>
      <c r="R29" s="18"/>
      <c r="S29" s="18"/>
      <c r="T29" s="18"/>
    </row>
    <row r="32" spans="2:20" x14ac:dyDescent="0.35">
      <c r="B32" s="2" t="s">
        <v>1003</v>
      </c>
      <c r="H32" s="2" t="s">
        <v>373</v>
      </c>
    </row>
    <row r="33" spans="2:20" x14ac:dyDescent="0.35">
      <c r="B33" s="153" t="s">
        <v>1018</v>
      </c>
      <c r="C33" s="56">
        <f>SUM('Action 10 East Palo Alto'!B4:B14)</f>
        <v>1086354.8500000001</v>
      </c>
      <c r="H33" s="153" t="s">
        <v>1018</v>
      </c>
      <c r="I33" s="56">
        <f>SUM('Action 10 Half Moon Bay'!B4:B9)</f>
        <v>1015699.2</v>
      </c>
    </row>
    <row r="34" spans="2:20" x14ac:dyDescent="0.35">
      <c r="B34" s="153" t="s">
        <v>1019</v>
      </c>
      <c r="C34" s="55">
        <f>C22</f>
        <v>-4.6274995056882484E-3</v>
      </c>
      <c r="H34" s="153" t="s">
        <v>1019</v>
      </c>
      <c r="I34" s="55">
        <f>I22</f>
        <v>-5.7848097922504E-3</v>
      </c>
    </row>
    <row r="35" spans="2:20" x14ac:dyDescent="0.35">
      <c r="B35" s="153" t="s">
        <v>258</v>
      </c>
      <c r="C35" s="56">
        <f>C33*C34</f>
        <v>-5027.1065313770314</v>
      </c>
      <c r="H35" s="153" t="s">
        <v>258</v>
      </c>
      <c r="I35" s="56">
        <f>I33*I34</f>
        <v>-5875.6266781408967</v>
      </c>
    </row>
    <row r="39" spans="2:20" x14ac:dyDescent="0.35">
      <c r="B39" s="18" t="s">
        <v>1020</v>
      </c>
      <c r="C39" s="18"/>
      <c r="D39" s="18"/>
      <c r="E39" s="18"/>
      <c r="F39" s="18"/>
      <c r="G39" s="18"/>
      <c r="H39" s="18"/>
      <c r="I39" s="18"/>
      <c r="J39" s="18"/>
      <c r="K39" s="18"/>
      <c r="L39" s="18"/>
      <c r="M39" s="18"/>
      <c r="N39" s="18"/>
      <c r="O39" s="18"/>
      <c r="P39" s="18"/>
      <c r="Q39" s="18"/>
      <c r="R39" s="18"/>
      <c r="S39" s="18"/>
      <c r="T39" s="18"/>
    </row>
    <row r="42" spans="2:20" ht="29" x14ac:dyDescent="0.35">
      <c r="C42" s="153" t="s">
        <v>258</v>
      </c>
      <c r="D42" s="153" t="s">
        <v>928</v>
      </c>
      <c r="E42" s="108" t="s">
        <v>1021</v>
      </c>
      <c r="F42" s="108" t="s">
        <v>283</v>
      </c>
      <c r="G42" s="108" t="s">
        <v>1022</v>
      </c>
      <c r="H42" s="108" t="s">
        <v>1023</v>
      </c>
      <c r="I42" s="153" t="s">
        <v>1024</v>
      </c>
    </row>
    <row r="43" spans="2:20" x14ac:dyDescent="0.35">
      <c r="B43" s="153" t="s">
        <v>1003</v>
      </c>
      <c r="C43" s="56">
        <f>C35</f>
        <v>-5027.1065313770314</v>
      </c>
      <c r="D43" s="6">
        <v>347</v>
      </c>
      <c r="E43" s="40">
        <f>'10.) Shuttles-Microtransit'!C25-'10.) Shuttles-Microtransit'!C24</f>
        <v>8</v>
      </c>
      <c r="F43" s="252">
        <f>'10.) Shuttles-Microtransit'!K24</f>
        <v>158.22950296404571</v>
      </c>
      <c r="G43" s="252">
        <f>E43*F43</f>
        <v>1265.8360237123657</v>
      </c>
      <c r="H43" s="252">
        <f>G43*D43</f>
        <v>439245.10022819089</v>
      </c>
      <c r="I43" s="56">
        <f>C43*D43</f>
        <v>-1744405.96638783</v>
      </c>
    </row>
    <row r="44" spans="2:20" x14ac:dyDescent="0.35">
      <c r="B44" s="153" t="s">
        <v>373</v>
      </c>
      <c r="C44" s="56">
        <f>I35</f>
        <v>-5875.6266781408967</v>
      </c>
      <c r="D44" s="6">
        <v>347</v>
      </c>
      <c r="E44" s="40">
        <f>'10.) Shuttles-Microtransit'!G25-'10.) Shuttles-Microtransit'!G24</f>
        <v>15</v>
      </c>
      <c r="F44" s="252">
        <f>F43</f>
        <v>158.22950296404571</v>
      </c>
      <c r="G44" s="252">
        <f>E44*F44</f>
        <v>2373.4425444606854</v>
      </c>
      <c r="H44" s="252">
        <f>G44*D44</f>
        <v>823584.56292785786</v>
      </c>
      <c r="I44" s="56">
        <f>C44*D44</f>
        <v>-2038842.4573148913</v>
      </c>
    </row>
  </sheetData>
  <sheetProtection sheet="1" objects="1" scenarios="1"/>
  <hyperlinks>
    <hyperlink ref="B9" r:id="rId1" xr:uid="{CD1C33FD-34E2-4A14-BB1C-FB744F7960B3}"/>
  </hyperlinks>
  <pageMargins left="0.7" right="0.7" top="0.75" bottom="0.75" header="0.3" footer="0.3"/>
  <pageSetup orientation="portrait" verticalDpi="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0A687-C640-4D84-84AD-3F5934F46190}">
  <sheetPr>
    <tabColor theme="5"/>
  </sheetPr>
  <dimension ref="B2:N129"/>
  <sheetViews>
    <sheetView topLeftCell="A103" workbookViewId="0">
      <selection activeCell="B2" sqref="B2"/>
    </sheetView>
  </sheetViews>
  <sheetFormatPr defaultRowHeight="14.5" x14ac:dyDescent="0.35"/>
  <cols>
    <col min="2" max="2" width="46.1796875" customWidth="1"/>
    <col min="3" max="3" width="23.54296875" customWidth="1"/>
    <col min="4" max="4" width="32" customWidth="1"/>
    <col min="5" max="5" width="20.54296875" customWidth="1"/>
    <col min="6" max="6" width="14.1796875" customWidth="1"/>
  </cols>
  <sheetData>
    <row r="2" spans="2:14" ht="31" x14ac:dyDescent="0.7">
      <c r="B2" s="8" t="s">
        <v>180</v>
      </c>
    </row>
    <row r="3" spans="2:14" x14ac:dyDescent="0.35">
      <c r="B3" s="2"/>
    </row>
    <row r="4" spans="2:14" x14ac:dyDescent="0.35">
      <c r="B4" s="364" t="s">
        <v>1025</v>
      </c>
    </row>
    <row r="5" spans="2:14" x14ac:dyDescent="0.35">
      <c r="B5" s="54" t="s">
        <v>550</v>
      </c>
    </row>
    <row r="8" spans="2:14" x14ac:dyDescent="0.35">
      <c r="B8" s="18" t="s">
        <v>1026</v>
      </c>
      <c r="C8" s="136"/>
      <c r="D8" s="136"/>
      <c r="E8" s="136"/>
      <c r="F8" s="136"/>
      <c r="G8" s="136"/>
      <c r="H8" s="136"/>
      <c r="I8" s="136"/>
      <c r="J8" s="136"/>
      <c r="K8" s="136"/>
      <c r="L8" s="136"/>
      <c r="M8" s="136"/>
      <c r="N8" s="136"/>
    </row>
    <row r="11" spans="2:14" x14ac:dyDescent="0.35">
      <c r="B11" s="116" t="s">
        <v>368</v>
      </c>
      <c r="C11" s="54" t="s">
        <v>688</v>
      </c>
      <c r="D11" s="54" t="s">
        <v>276</v>
      </c>
    </row>
    <row r="12" spans="2:14" x14ac:dyDescent="0.35">
      <c r="B12" s="153" t="s">
        <v>1027</v>
      </c>
      <c r="C12" s="160">
        <f>'11.) EV Charging Facilities'!C24</f>
        <v>5</v>
      </c>
      <c r="D12" s="367" t="s">
        <v>225</v>
      </c>
    </row>
    <row r="13" spans="2:14" ht="29" x14ac:dyDescent="0.35">
      <c r="B13" s="108" t="s">
        <v>1028</v>
      </c>
      <c r="C13" s="368">
        <f>'11.) EV Charging Facilities'!$J$23</f>
        <v>1283</v>
      </c>
      <c r="D13" s="367" t="s">
        <v>1029</v>
      </c>
    </row>
    <row r="14" spans="2:14" x14ac:dyDescent="0.35">
      <c r="B14" s="153" t="s">
        <v>1030</v>
      </c>
      <c r="C14" s="179">
        <f>C13*C12</f>
        <v>6415</v>
      </c>
      <c r="D14" s="367" t="s">
        <v>473</v>
      </c>
    </row>
    <row r="15" spans="2:14" x14ac:dyDescent="0.35">
      <c r="B15" s="153" t="s">
        <v>1031</v>
      </c>
      <c r="C15" s="34">
        <v>1</v>
      </c>
      <c r="D15" s="367" t="s">
        <v>1032</v>
      </c>
    </row>
    <row r="16" spans="2:14" x14ac:dyDescent="0.35">
      <c r="B16" s="153" t="s">
        <v>1033</v>
      </c>
      <c r="C16" s="6">
        <f>C12*C15</f>
        <v>5</v>
      </c>
      <c r="D16" s="367" t="s">
        <v>473</v>
      </c>
    </row>
    <row r="17" spans="2:4" x14ac:dyDescent="0.35">
      <c r="B17" s="185" t="s">
        <v>1034</v>
      </c>
      <c r="C17" s="56">
        <v>14435</v>
      </c>
      <c r="D17" s="367" t="s">
        <v>1029</v>
      </c>
    </row>
    <row r="18" spans="2:4" x14ac:dyDescent="0.35">
      <c r="B18" s="185" t="s">
        <v>1035</v>
      </c>
      <c r="C18" s="56">
        <f>-C17*C16</f>
        <v>-72175</v>
      </c>
      <c r="D18" s="367" t="s">
        <v>473</v>
      </c>
    </row>
    <row r="19" spans="2:4" x14ac:dyDescent="0.35">
      <c r="B19" s="185" t="s">
        <v>1036</v>
      </c>
      <c r="C19" s="56">
        <f>C16*C17</f>
        <v>72175</v>
      </c>
      <c r="D19" s="367" t="s">
        <v>473</v>
      </c>
    </row>
    <row r="20" spans="2:4" x14ac:dyDescent="0.35">
      <c r="B20" s="409" t="s">
        <v>1037</v>
      </c>
      <c r="C20" s="6">
        <v>0.22700000000000001</v>
      </c>
      <c r="D20" s="367" t="s">
        <v>1029</v>
      </c>
    </row>
    <row r="21" spans="2:4" x14ac:dyDescent="0.35">
      <c r="B21" s="409" t="s">
        <v>1038</v>
      </c>
      <c r="C21" s="56">
        <f>C19*C20</f>
        <v>16383.725</v>
      </c>
      <c r="D21" s="367" t="s">
        <v>473</v>
      </c>
    </row>
    <row r="22" spans="2:4" x14ac:dyDescent="0.35">
      <c r="B22" s="410" t="s">
        <v>1039</v>
      </c>
      <c r="C22" s="6">
        <v>3.1846890859944815E-4</v>
      </c>
      <c r="D22" s="367" t="s">
        <v>1029</v>
      </c>
    </row>
    <row r="23" spans="2:4" ht="29" x14ac:dyDescent="0.35">
      <c r="B23" s="411" t="s">
        <v>1040</v>
      </c>
      <c r="C23" s="6">
        <v>4.1457659205730001E-5</v>
      </c>
      <c r="D23" s="367" t="s">
        <v>1029</v>
      </c>
    </row>
    <row r="24" spans="2:4" x14ac:dyDescent="0.35">
      <c r="B24" s="114" t="s">
        <v>1041</v>
      </c>
      <c r="C24" s="6">
        <f>C21*C23</f>
        <v>0.67923088757039873</v>
      </c>
      <c r="D24" s="367" t="s">
        <v>473</v>
      </c>
    </row>
    <row r="25" spans="2:4" x14ac:dyDescent="0.35">
      <c r="B25" s="114" t="s">
        <v>1042</v>
      </c>
      <c r="C25" s="27">
        <f>C18*C22</f>
        <v>-22.985493478165171</v>
      </c>
    </row>
    <row r="26" spans="2:4" x14ac:dyDescent="0.35">
      <c r="B26" s="386" t="s">
        <v>1043</v>
      </c>
      <c r="C26" s="27">
        <f>SUM(C24:C25)</f>
        <v>-22.306262590594773</v>
      </c>
      <c r="D26" s="367" t="s">
        <v>473</v>
      </c>
    </row>
    <row r="29" spans="2:4" x14ac:dyDescent="0.35">
      <c r="B29" s="116" t="s">
        <v>376</v>
      </c>
      <c r="C29" s="54" t="s">
        <v>688</v>
      </c>
      <c r="D29" s="54" t="s">
        <v>276</v>
      </c>
    </row>
    <row r="30" spans="2:4" x14ac:dyDescent="0.35">
      <c r="B30" s="153" t="s">
        <v>1027</v>
      </c>
      <c r="C30" s="160">
        <f>'11.) EV Charging Facilities'!C25</f>
        <v>5</v>
      </c>
      <c r="D30" s="367" t="s">
        <v>225</v>
      </c>
    </row>
    <row r="31" spans="2:4" ht="29" x14ac:dyDescent="0.35">
      <c r="B31" s="108" t="s">
        <v>1028</v>
      </c>
      <c r="C31" s="368">
        <f>'11.) EV Charging Facilities'!$J$23</f>
        <v>1283</v>
      </c>
      <c r="D31" s="367" t="s">
        <v>1029</v>
      </c>
    </row>
    <row r="32" spans="2:4" x14ac:dyDescent="0.35">
      <c r="B32" s="153" t="s">
        <v>1030</v>
      </c>
      <c r="C32" s="179">
        <f>C31*C30</f>
        <v>6415</v>
      </c>
      <c r="D32" s="367" t="s">
        <v>473</v>
      </c>
    </row>
    <row r="33" spans="2:4" x14ac:dyDescent="0.35">
      <c r="B33" s="153" t="s">
        <v>1031</v>
      </c>
      <c r="C33" s="34">
        <v>1</v>
      </c>
      <c r="D33" s="367" t="s">
        <v>1032</v>
      </c>
    </row>
    <row r="34" spans="2:4" x14ac:dyDescent="0.35">
      <c r="B34" s="153" t="s">
        <v>1033</v>
      </c>
      <c r="C34" s="6">
        <f>C30*C33</f>
        <v>5</v>
      </c>
      <c r="D34" s="367" t="s">
        <v>473</v>
      </c>
    </row>
    <row r="35" spans="2:4" x14ac:dyDescent="0.35">
      <c r="B35" s="185" t="s">
        <v>1034</v>
      </c>
      <c r="C35" s="56">
        <v>14435</v>
      </c>
      <c r="D35" s="367" t="s">
        <v>1029</v>
      </c>
    </row>
    <row r="36" spans="2:4" x14ac:dyDescent="0.35">
      <c r="B36" s="185" t="s">
        <v>1035</v>
      </c>
      <c r="C36" s="56">
        <f>-C35*C34</f>
        <v>-72175</v>
      </c>
      <c r="D36" s="367" t="s">
        <v>473</v>
      </c>
    </row>
    <row r="37" spans="2:4" x14ac:dyDescent="0.35">
      <c r="B37" s="185" t="s">
        <v>1036</v>
      </c>
      <c r="C37" s="56">
        <f>C34*C35</f>
        <v>72175</v>
      </c>
      <c r="D37" s="367" t="s">
        <v>473</v>
      </c>
    </row>
    <row r="38" spans="2:4" x14ac:dyDescent="0.35">
      <c r="B38" s="185" t="s">
        <v>1044</v>
      </c>
      <c r="C38" s="6">
        <v>0.22700000000000001</v>
      </c>
      <c r="D38" s="367" t="s">
        <v>1029</v>
      </c>
    </row>
    <row r="39" spans="2:4" x14ac:dyDescent="0.35">
      <c r="B39" s="185" t="s">
        <v>1045</v>
      </c>
      <c r="C39" s="56">
        <f>C37*C38</f>
        <v>16383.725</v>
      </c>
      <c r="D39" s="367" t="s">
        <v>473</v>
      </c>
    </row>
    <row r="40" spans="2:4" x14ac:dyDescent="0.35">
      <c r="B40" s="113" t="s">
        <v>1046</v>
      </c>
      <c r="C40" s="6">
        <v>3.1846890859944815E-4</v>
      </c>
      <c r="D40" s="367" t="s">
        <v>1029</v>
      </c>
    </row>
    <row r="41" spans="2:4" ht="29" x14ac:dyDescent="0.35">
      <c r="B41" s="114" t="s">
        <v>1047</v>
      </c>
      <c r="C41" s="6">
        <v>4.1457659205730001E-5</v>
      </c>
      <c r="D41" s="367" t="s">
        <v>1029</v>
      </c>
    </row>
    <row r="42" spans="2:4" x14ac:dyDescent="0.35">
      <c r="B42" s="114" t="s">
        <v>1041</v>
      </c>
      <c r="C42" s="6">
        <f>C39*C41</f>
        <v>0.67923088757039873</v>
      </c>
      <c r="D42" s="367" t="s">
        <v>473</v>
      </c>
    </row>
    <row r="43" spans="2:4" x14ac:dyDescent="0.35">
      <c r="B43" s="114" t="s">
        <v>1042</v>
      </c>
      <c r="C43" s="27">
        <f>C36*C40</f>
        <v>-22.985493478165171</v>
      </c>
      <c r="D43" s="367" t="s">
        <v>473</v>
      </c>
    </row>
    <row r="44" spans="2:4" x14ac:dyDescent="0.35">
      <c r="B44" s="106" t="s">
        <v>1048</v>
      </c>
      <c r="C44" s="27">
        <f>SUM(C42:C43)</f>
        <v>-22.306262590594773</v>
      </c>
    </row>
    <row r="47" spans="2:4" x14ac:dyDescent="0.35">
      <c r="B47" s="116" t="s">
        <v>382</v>
      </c>
      <c r="C47" s="54" t="s">
        <v>688</v>
      </c>
      <c r="D47" s="54" t="s">
        <v>276</v>
      </c>
    </row>
    <row r="48" spans="2:4" x14ac:dyDescent="0.35">
      <c r="B48" s="153" t="s">
        <v>1027</v>
      </c>
      <c r="C48" s="160">
        <f>'11.) EV Charging Facilities'!C26</f>
        <v>5</v>
      </c>
      <c r="D48" s="367" t="s">
        <v>225</v>
      </c>
    </row>
    <row r="49" spans="2:4" ht="29" x14ac:dyDescent="0.35">
      <c r="B49" s="108" t="s">
        <v>1028</v>
      </c>
      <c r="C49" s="368">
        <f>'11.) EV Charging Facilities'!$J$23</f>
        <v>1283</v>
      </c>
      <c r="D49" s="367" t="s">
        <v>1029</v>
      </c>
    </row>
    <row r="50" spans="2:4" x14ac:dyDescent="0.35">
      <c r="B50" s="153" t="s">
        <v>1030</v>
      </c>
      <c r="C50" s="179">
        <f>C49*C48</f>
        <v>6415</v>
      </c>
      <c r="D50" s="367" t="s">
        <v>473</v>
      </c>
    </row>
    <row r="51" spans="2:4" x14ac:dyDescent="0.35">
      <c r="B51" s="153" t="s">
        <v>1031</v>
      </c>
      <c r="C51" s="34">
        <v>1</v>
      </c>
      <c r="D51" s="367" t="s">
        <v>1032</v>
      </c>
    </row>
    <row r="52" spans="2:4" x14ac:dyDescent="0.35">
      <c r="B52" s="153" t="s">
        <v>1033</v>
      </c>
      <c r="C52" s="6">
        <f>C48*C51</f>
        <v>5</v>
      </c>
      <c r="D52" s="367" t="s">
        <v>473</v>
      </c>
    </row>
    <row r="53" spans="2:4" x14ac:dyDescent="0.35">
      <c r="B53" s="185" t="s">
        <v>1034</v>
      </c>
      <c r="C53" s="56">
        <v>14435</v>
      </c>
      <c r="D53" s="367" t="s">
        <v>1029</v>
      </c>
    </row>
    <row r="54" spans="2:4" x14ac:dyDescent="0.35">
      <c r="B54" s="185" t="s">
        <v>1035</v>
      </c>
      <c r="C54" s="56">
        <f>-C53*C52</f>
        <v>-72175</v>
      </c>
      <c r="D54" s="367" t="s">
        <v>473</v>
      </c>
    </row>
    <row r="55" spans="2:4" x14ac:dyDescent="0.35">
      <c r="B55" s="185" t="s">
        <v>1036</v>
      </c>
      <c r="C55" s="56">
        <f>C52*C53</f>
        <v>72175</v>
      </c>
      <c r="D55" s="367" t="s">
        <v>473</v>
      </c>
    </row>
    <row r="56" spans="2:4" x14ac:dyDescent="0.35">
      <c r="B56" s="185" t="s">
        <v>1044</v>
      </c>
      <c r="C56" s="6">
        <v>0.22700000000000001</v>
      </c>
      <c r="D56" s="367" t="s">
        <v>1029</v>
      </c>
    </row>
    <row r="57" spans="2:4" x14ac:dyDescent="0.35">
      <c r="B57" s="185" t="s">
        <v>1045</v>
      </c>
      <c r="C57" s="56">
        <f>C55*C56</f>
        <v>16383.725</v>
      </c>
      <c r="D57" s="367" t="s">
        <v>473</v>
      </c>
    </row>
    <row r="58" spans="2:4" x14ac:dyDescent="0.35">
      <c r="B58" s="113" t="s">
        <v>1046</v>
      </c>
      <c r="C58" s="6">
        <v>3.1846890859944815E-4</v>
      </c>
      <c r="D58" s="367" t="s">
        <v>1029</v>
      </c>
    </row>
    <row r="59" spans="2:4" ht="29" x14ac:dyDescent="0.35">
      <c r="B59" s="114" t="s">
        <v>1047</v>
      </c>
      <c r="C59" s="6">
        <v>4.1457659205730001E-5</v>
      </c>
      <c r="D59" s="367" t="s">
        <v>1029</v>
      </c>
    </row>
    <row r="60" spans="2:4" x14ac:dyDescent="0.35">
      <c r="B60" s="114" t="s">
        <v>1041</v>
      </c>
      <c r="C60" s="6">
        <f>C57*C59</f>
        <v>0.67923088757039873</v>
      </c>
      <c r="D60" s="367" t="s">
        <v>473</v>
      </c>
    </row>
    <row r="61" spans="2:4" x14ac:dyDescent="0.35">
      <c r="B61" s="114" t="s">
        <v>1042</v>
      </c>
      <c r="C61" s="27">
        <f>C54*C58</f>
        <v>-22.985493478165171</v>
      </c>
      <c r="D61" s="367" t="s">
        <v>473</v>
      </c>
    </row>
    <row r="62" spans="2:4" x14ac:dyDescent="0.35">
      <c r="B62" s="106" t="s">
        <v>1048</v>
      </c>
      <c r="C62" s="27">
        <f>SUM(C60:C61)</f>
        <v>-22.306262590594773</v>
      </c>
    </row>
    <row r="65" spans="2:4" x14ac:dyDescent="0.35">
      <c r="B65" s="116" t="s">
        <v>375</v>
      </c>
      <c r="C65" s="54" t="s">
        <v>688</v>
      </c>
      <c r="D65" s="54" t="s">
        <v>276</v>
      </c>
    </row>
    <row r="66" spans="2:4" x14ac:dyDescent="0.35">
      <c r="B66" s="153" t="s">
        <v>1027</v>
      </c>
      <c r="C66" s="160">
        <f>'11.) EV Charging Facilities'!C27</f>
        <v>5</v>
      </c>
      <c r="D66" s="367" t="s">
        <v>225</v>
      </c>
    </row>
    <row r="67" spans="2:4" ht="29" x14ac:dyDescent="0.35">
      <c r="B67" s="108" t="s">
        <v>1028</v>
      </c>
      <c r="C67" s="368">
        <f>'11.) EV Charging Facilities'!$J$23</f>
        <v>1283</v>
      </c>
      <c r="D67" s="367" t="s">
        <v>1029</v>
      </c>
    </row>
    <row r="68" spans="2:4" x14ac:dyDescent="0.35">
      <c r="B68" s="153" t="s">
        <v>1030</v>
      </c>
      <c r="C68" s="179">
        <f>C67*C66</f>
        <v>6415</v>
      </c>
      <c r="D68" s="367" t="s">
        <v>473</v>
      </c>
    </row>
    <row r="69" spans="2:4" x14ac:dyDescent="0.35">
      <c r="B69" s="153" t="s">
        <v>1031</v>
      </c>
      <c r="C69" s="34">
        <v>1</v>
      </c>
      <c r="D69" s="367" t="s">
        <v>1032</v>
      </c>
    </row>
    <row r="70" spans="2:4" x14ac:dyDescent="0.35">
      <c r="B70" s="153" t="s">
        <v>1033</v>
      </c>
      <c r="C70" s="6">
        <f>C66*C69</f>
        <v>5</v>
      </c>
      <c r="D70" s="367" t="s">
        <v>473</v>
      </c>
    </row>
    <row r="71" spans="2:4" x14ac:dyDescent="0.35">
      <c r="B71" s="185" t="s">
        <v>1034</v>
      </c>
      <c r="C71" s="56">
        <v>14435</v>
      </c>
      <c r="D71" s="367" t="s">
        <v>1029</v>
      </c>
    </row>
    <row r="72" spans="2:4" x14ac:dyDescent="0.35">
      <c r="B72" s="185" t="s">
        <v>1035</v>
      </c>
      <c r="C72" s="56">
        <f>-C71*C70</f>
        <v>-72175</v>
      </c>
      <c r="D72" s="367" t="s">
        <v>473</v>
      </c>
    </row>
    <row r="73" spans="2:4" x14ac:dyDescent="0.35">
      <c r="B73" s="185" t="s">
        <v>1036</v>
      </c>
      <c r="C73" s="56">
        <f>C70*C71</f>
        <v>72175</v>
      </c>
      <c r="D73" s="367" t="s">
        <v>473</v>
      </c>
    </row>
    <row r="74" spans="2:4" x14ac:dyDescent="0.35">
      <c r="B74" s="185" t="s">
        <v>1044</v>
      </c>
      <c r="C74" s="6">
        <v>0.22700000000000001</v>
      </c>
      <c r="D74" s="367" t="s">
        <v>1029</v>
      </c>
    </row>
    <row r="75" spans="2:4" x14ac:dyDescent="0.35">
      <c r="B75" s="185" t="s">
        <v>1045</v>
      </c>
      <c r="C75" s="56">
        <f>C73*C74</f>
        <v>16383.725</v>
      </c>
      <c r="D75" s="367" t="s">
        <v>473</v>
      </c>
    </row>
    <row r="76" spans="2:4" x14ac:dyDescent="0.35">
      <c r="B76" s="113" t="s">
        <v>1046</v>
      </c>
      <c r="C76" s="6">
        <v>3.1846890859944815E-4</v>
      </c>
      <c r="D76" s="367" t="s">
        <v>1029</v>
      </c>
    </row>
    <row r="77" spans="2:4" ht="29" x14ac:dyDescent="0.35">
      <c r="B77" s="114" t="s">
        <v>1047</v>
      </c>
      <c r="C77" s="6">
        <v>4.1457659205730001E-5</v>
      </c>
      <c r="D77" s="367" t="s">
        <v>1029</v>
      </c>
    </row>
    <row r="78" spans="2:4" x14ac:dyDescent="0.35">
      <c r="B78" s="114" t="s">
        <v>1041</v>
      </c>
      <c r="C78" s="6">
        <f>C75*C77</f>
        <v>0.67923088757039873</v>
      </c>
      <c r="D78" s="367" t="s">
        <v>473</v>
      </c>
    </row>
    <row r="79" spans="2:4" x14ac:dyDescent="0.35">
      <c r="B79" s="114" t="s">
        <v>1042</v>
      </c>
      <c r="C79" s="27">
        <f>C72*C76</f>
        <v>-22.985493478165171</v>
      </c>
      <c r="D79" s="367" t="s">
        <v>473</v>
      </c>
    </row>
    <row r="80" spans="2:4" x14ac:dyDescent="0.35">
      <c r="B80" s="106" t="s">
        <v>1048</v>
      </c>
      <c r="C80" s="27">
        <f>SUM(C78:C79)</f>
        <v>-22.306262590594773</v>
      </c>
    </row>
    <row r="83" spans="2:4" x14ac:dyDescent="0.35">
      <c r="B83" s="116" t="s">
        <v>373</v>
      </c>
      <c r="C83" s="54" t="s">
        <v>688</v>
      </c>
      <c r="D83" s="54" t="s">
        <v>276</v>
      </c>
    </row>
    <row r="84" spans="2:4" x14ac:dyDescent="0.35">
      <c r="B84" s="153" t="s">
        <v>1027</v>
      </c>
      <c r="C84" s="160">
        <f>'11.) EV Charging Facilities'!C28</f>
        <v>5</v>
      </c>
      <c r="D84" s="367" t="s">
        <v>225</v>
      </c>
    </row>
    <row r="85" spans="2:4" ht="29" x14ac:dyDescent="0.35">
      <c r="B85" s="108" t="s">
        <v>1028</v>
      </c>
      <c r="C85" s="368">
        <f>'11.) EV Charging Facilities'!$J$23</f>
        <v>1283</v>
      </c>
      <c r="D85" s="367" t="s">
        <v>1029</v>
      </c>
    </row>
    <row r="86" spans="2:4" x14ac:dyDescent="0.35">
      <c r="B86" s="153" t="s">
        <v>1030</v>
      </c>
      <c r="C86" s="179">
        <f>C85*C84</f>
        <v>6415</v>
      </c>
      <c r="D86" s="367" t="s">
        <v>473</v>
      </c>
    </row>
    <row r="87" spans="2:4" x14ac:dyDescent="0.35">
      <c r="B87" s="153" t="s">
        <v>1031</v>
      </c>
      <c r="C87" s="34">
        <v>1</v>
      </c>
      <c r="D87" s="367" t="s">
        <v>1032</v>
      </c>
    </row>
    <row r="88" spans="2:4" x14ac:dyDescent="0.35">
      <c r="B88" s="153" t="s">
        <v>1033</v>
      </c>
      <c r="C88" s="6">
        <f>C84*C87</f>
        <v>5</v>
      </c>
      <c r="D88" s="367" t="s">
        <v>473</v>
      </c>
    </row>
    <row r="89" spans="2:4" x14ac:dyDescent="0.35">
      <c r="B89" s="185" t="s">
        <v>1034</v>
      </c>
      <c r="C89" s="56">
        <v>14435</v>
      </c>
      <c r="D89" s="367" t="s">
        <v>1029</v>
      </c>
    </row>
    <row r="90" spans="2:4" x14ac:dyDescent="0.35">
      <c r="B90" s="185" t="s">
        <v>1035</v>
      </c>
      <c r="C90" s="56">
        <f>-C89*C88</f>
        <v>-72175</v>
      </c>
      <c r="D90" s="367" t="s">
        <v>473</v>
      </c>
    </row>
    <row r="91" spans="2:4" x14ac:dyDescent="0.35">
      <c r="B91" s="185" t="s">
        <v>1036</v>
      </c>
      <c r="C91" s="56">
        <f>C88*C89</f>
        <v>72175</v>
      </c>
      <c r="D91" s="367" t="s">
        <v>473</v>
      </c>
    </row>
    <row r="92" spans="2:4" x14ac:dyDescent="0.35">
      <c r="B92" s="185" t="s">
        <v>1044</v>
      </c>
      <c r="C92" s="6">
        <v>0.22700000000000001</v>
      </c>
      <c r="D92" s="367" t="s">
        <v>1029</v>
      </c>
    </row>
    <row r="93" spans="2:4" x14ac:dyDescent="0.35">
      <c r="B93" s="185" t="s">
        <v>1045</v>
      </c>
      <c r="C93" s="56">
        <f>C91*C92</f>
        <v>16383.725</v>
      </c>
      <c r="D93" s="367" t="s">
        <v>473</v>
      </c>
    </row>
    <row r="94" spans="2:4" x14ac:dyDescent="0.35">
      <c r="B94" s="113" t="s">
        <v>1046</v>
      </c>
      <c r="C94" s="6">
        <v>3.1846890859944815E-4</v>
      </c>
      <c r="D94" s="367" t="s">
        <v>1029</v>
      </c>
    </row>
    <row r="95" spans="2:4" ht="29" x14ac:dyDescent="0.35">
      <c r="B95" s="114" t="s">
        <v>1047</v>
      </c>
      <c r="C95" s="6">
        <v>4.1457659205730001E-5</v>
      </c>
      <c r="D95" s="367" t="s">
        <v>1029</v>
      </c>
    </row>
    <row r="96" spans="2:4" x14ac:dyDescent="0.35">
      <c r="B96" s="114" t="s">
        <v>1041</v>
      </c>
      <c r="C96" s="6">
        <f>C93*C95</f>
        <v>0.67923088757039873</v>
      </c>
      <c r="D96" s="367" t="s">
        <v>473</v>
      </c>
    </row>
    <row r="97" spans="2:4" x14ac:dyDescent="0.35">
      <c r="B97" s="114" t="s">
        <v>1042</v>
      </c>
      <c r="C97" s="27">
        <f>C90*C94</f>
        <v>-22.985493478165171</v>
      </c>
      <c r="D97" s="367" t="s">
        <v>473</v>
      </c>
    </row>
    <row r="98" spans="2:4" x14ac:dyDescent="0.35">
      <c r="B98" s="106" t="s">
        <v>1048</v>
      </c>
      <c r="C98" s="27">
        <f>SUM(C96:C97)</f>
        <v>-22.306262590594773</v>
      </c>
    </row>
    <row r="101" spans="2:4" x14ac:dyDescent="0.35">
      <c r="B101" s="116" t="s">
        <v>1049</v>
      </c>
      <c r="C101" s="54" t="s">
        <v>688</v>
      </c>
      <c r="D101" s="54" t="s">
        <v>276</v>
      </c>
    </row>
    <row r="102" spans="2:4" x14ac:dyDescent="0.35">
      <c r="B102" s="153" t="s">
        <v>1027</v>
      </c>
      <c r="C102" s="160">
        <f>'11.) EV Charging Facilities'!C29</f>
        <v>15</v>
      </c>
      <c r="D102" s="367" t="s">
        <v>225</v>
      </c>
    </row>
    <row r="103" spans="2:4" ht="29" x14ac:dyDescent="0.35">
      <c r="B103" s="108" t="s">
        <v>1028</v>
      </c>
      <c r="C103" s="368">
        <f>'11.) EV Charging Facilities'!$J$23</f>
        <v>1283</v>
      </c>
      <c r="D103" s="367" t="s">
        <v>1029</v>
      </c>
    </row>
    <row r="104" spans="2:4" x14ac:dyDescent="0.35">
      <c r="B104" s="153" t="s">
        <v>1030</v>
      </c>
      <c r="C104" s="179">
        <f>C103*C102</f>
        <v>19245</v>
      </c>
      <c r="D104" s="367" t="s">
        <v>473</v>
      </c>
    </row>
    <row r="105" spans="2:4" x14ac:dyDescent="0.35">
      <c r="B105" s="153" t="s">
        <v>1031</v>
      </c>
      <c r="C105" s="34">
        <v>1</v>
      </c>
      <c r="D105" s="367" t="s">
        <v>1032</v>
      </c>
    </row>
    <row r="106" spans="2:4" x14ac:dyDescent="0.35">
      <c r="B106" s="153" t="s">
        <v>1033</v>
      </c>
      <c r="C106" s="6">
        <f>C102*C105</f>
        <v>15</v>
      </c>
      <c r="D106" s="367" t="s">
        <v>473</v>
      </c>
    </row>
    <row r="107" spans="2:4" x14ac:dyDescent="0.35">
      <c r="B107" s="185" t="s">
        <v>1034</v>
      </c>
      <c r="C107" s="56">
        <v>14435</v>
      </c>
      <c r="D107" s="367" t="s">
        <v>1029</v>
      </c>
    </row>
    <row r="108" spans="2:4" x14ac:dyDescent="0.35">
      <c r="B108" s="185" t="s">
        <v>1035</v>
      </c>
      <c r="C108" s="56">
        <f>-C107*C106</f>
        <v>-216525</v>
      </c>
      <c r="D108" s="367" t="s">
        <v>473</v>
      </c>
    </row>
    <row r="109" spans="2:4" x14ac:dyDescent="0.35">
      <c r="B109" s="185" t="s">
        <v>1036</v>
      </c>
      <c r="C109" s="56">
        <f>C106*C107</f>
        <v>216525</v>
      </c>
      <c r="D109" s="367" t="s">
        <v>473</v>
      </c>
    </row>
    <row r="110" spans="2:4" x14ac:dyDescent="0.35">
      <c r="B110" s="185" t="s">
        <v>1044</v>
      </c>
      <c r="C110" s="6">
        <v>0.22700000000000001</v>
      </c>
      <c r="D110" s="367" t="s">
        <v>1029</v>
      </c>
    </row>
    <row r="111" spans="2:4" x14ac:dyDescent="0.35">
      <c r="B111" s="185" t="s">
        <v>1045</v>
      </c>
      <c r="C111" s="56">
        <f>C109*C110</f>
        <v>49151.175000000003</v>
      </c>
      <c r="D111" s="367" t="s">
        <v>473</v>
      </c>
    </row>
    <row r="112" spans="2:4" x14ac:dyDescent="0.35">
      <c r="B112" s="113" t="s">
        <v>1046</v>
      </c>
      <c r="C112" s="6">
        <v>3.1846890859944815E-4</v>
      </c>
      <c r="D112" s="367" t="s">
        <v>1029</v>
      </c>
    </row>
    <row r="113" spans="2:14" ht="29" x14ac:dyDescent="0.35">
      <c r="B113" s="114" t="s">
        <v>1047</v>
      </c>
      <c r="C113" s="6">
        <v>4.1457659205730001E-5</v>
      </c>
      <c r="D113" s="367" t="s">
        <v>1029</v>
      </c>
    </row>
    <row r="114" spans="2:14" x14ac:dyDescent="0.35">
      <c r="B114" s="114" t="s">
        <v>1041</v>
      </c>
      <c r="C114" s="6">
        <f>C111*C113</f>
        <v>2.0376926627111964</v>
      </c>
      <c r="D114" s="367" t="s">
        <v>473</v>
      </c>
    </row>
    <row r="115" spans="2:14" x14ac:dyDescent="0.35">
      <c r="B115" s="114" t="s">
        <v>1042</v>
      </c>
      <c r="C115" s="27">
        <f>C108*C112</f>
        <v>-68.956480434495504</v>
      </c>
      <c r="D115" s="367" t="s">
        <v>473</v>
      </c>
    </row>
    <row r="116" spans="2:14" x14ac:dyDescent="0.35">
      <c r="B116" s="106" t="s">
        <v>1048</v>
      </c>
      <c r="C116" s="27">
        <f>SUM(C114:C115)</f>
        <v>-66.918787771784309</v>
      </c>
    </row>
    <row r="119" spans="2:14" x14ac:dyDescent="0.35">
      <c r="B119" s="18" t="s">
        <v>1026</v>
      </c>
      <c r="C119" s="136"/>
      <c r="D119" s="136"/>
      <c r="E119" s="136"/>
      <c r="F119" s="136"/>
      <c r="G119" s="136"/>
      <c r="H119" s="136"/>
      <c r="I119" s="136"/>
      <c r="J119" s="136"/>
      <c r="K119" s="136"/>
      <c r="L119" s="136"/>
      <c r="M119" s="136"/>
      <c r="N119" s="136"/>
    </row>
    <row r="122" spans="2:14" x14ac:dyDescent="0.35">
      <c r="B122" s="2"/>
    </row>
    <row r="123" spans="2:14" ht="43.5" x14ac:dyDescent="0.35">
      <c r="B123" s="166" t="s">
        <v>498</v>
      </c>
      <c r="C123" s="166" t="s">
        <v>554</v>
      </c>
      <c r="D123" s="166" t="s">
        <v>1050</v>
      </c>
      <c r="E123" s="106" t="s">
        <v>1048</v>
      </c>
      <c r="F123" s="106" t="s">
        <v>1051</v>
      </c>
    </row>
    <row r="124" spans="2:14" x14ac:dyDescent="0.35">
      <c r="B124" s="6" t="s">
        <v>368</v>
      </c>
      <c r="C124" s="160">
        <f>C12</f>
        <v>5</v>
      </c>
      <c r="D124" s="179">
        <f>C14</f>
        <v>6415</v>
      </c>
      <c r="E124" s="27">
        <f>C26</f>
        <v>-22.306262590594773</v>
      </c>
      <c r="F124" s="179">
        <f>-(D124/E124)</f>
        <v>287.58739721394767</v>
      </c>
    </row>
    <row r="125" spans="2:14" x14ac:dyDescent="0.35">
      <c r="B125" s="6" t="s">
        <v>376</v>
      </c>
      <c r="C125" s="160">
        <f>C30</f>
        <v>5</v>
      </c>
      <c r="D125" s="179">
        <f>C32</f>
        <v>6415</v>
      </c>
      <c r="E125" s="27">
        <f>C44</f>
        <v>-22.306262590594773</v>
      </c>
      <c r="F125" s="179">
        <f t="shared" ref="F125:F128" si="0">-(D125/E125)</f>
        <v>287.58739721394767</v>
      </c>
    </row>
    <row r="126" spans="2:14" x14ac:dyDescent="0.35">
      <c r="B126" s="6" t="s">
        <v>382</v>
      </c>
      <c r="C126" s="160">
        <f>C48</f>
        <v>5</v>
      </c>
      <c r="D126" s="179">
        <f>C50</f>
        <v>6415</v>
      </c>
      <c r="E126" s="27">
        <f>C62</f>
        <v>-22.306262590594773</v>
      </c>
      <c r="F126" s="179">
        <f t="shared" si="0"/>
        <v>287.58739721394767</v>
      </c>
    </row>
    <row r="127" spans="2:14" x14ac:dyDescent="0.35">
      <c r="B127" s="6" t="s">
        <v>375</v>
      </c>
      <c r="C127" s="160">
        <f>C66</f>
        <v>5</v>
      </c>
      <c r="D127" s="179">
        <f>C68</f>
        <v>6415</v>
      </c>
      <c r="E127" s="27">
        <f>C80</f>
        <v>-22.306262590594773</v>
      </c>
      <c r="F127" s="179">
        <f t="shared" si="0"/>
        <v>287.58739721394767</v>
      </c>
    </row>
    <row r="128" spans="2:14" x14ac:dyDescent="0.35">
      <c r="B128" s="6" t="s">
        <v>373</v>
      </c>
      <c r="C128" s="160">
        <f>C84</f>
        <v>5</v>
      </c>
      <c r="D128" s="179">
        <f>C86</f>
        <v>6415</v>
      </c>
      <c r="E128" s="27">
        <f>C98</f>
        <v>-22.306262590594773</v>
      </c>
      <c r="F128" s="179">
        <f t="shared" si="0"/>
        <v>287.58739721394767</v>
      </c>
    </row>
    <row r="129" spans="2:6" x14ac:dyDescent="0.35">
      <c r="B129" s="6" t="s">
        <v>1049</v>
      </c>
      <c r="C129" s="160">
        <f>C106</f>
        <v>15</v>
      </c>
      <c r="D129" s="179">
        <f>C104</f>
        <v>19245</v>
      </c>
      <c r="E129" s="27">
        <f>C116</f>
        <v>-66.918787771784309</v>
      </c>
      <c r="F129" s="179">
        <f t="shared" ref="F129" si="1">-(D129/E129)</f>
        <v>287.58739721394767</v>
      </c>
    </row>
  </sheetData>
  <sheetProtection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3E398-588B-4ED0-A50B-45E52B1A3A7F}">
  <sheetPr>
    <tabColor theme="5"/>
  </sheetPr>
  <dimension ref="B3:O168"/>
  <sheetViews>
    <sheetView topLeftCell="A145" zoomScale="85" zoomScaleNormal="85" workbookViewId="0">
      <selection activeCell="B3" sqref="B3"/>
    </sheetView>
  </sheetViews>
  <sheetFormatPr defaultRowHeight="14.5" x14ac:dyDescent="0.35"/>
  <cols>
    <col min="2" max="2" width="42.81640625" customWidth="1"/>
    <col min="3" max="3" width="30.1796875" customWidth="1"/>
    <col min="4" max="4" width="39.54296875" customWidth="1"/>
    <col min="5" max="5" width="33.26953125" customWidth="1"/>
    <col min="6" max="6" width="44.7265625" customWidth="1"/>
    <col min="7" max="7" width="64.81640625" customWidth="1"/>
    <col min="8" max="8" width="45.7265625" customWidth="1"/>
    <col min="9" max="9" width="30.1796875" customWidth="1"/>
    <col min="10" max="10" width="55.81640625" bestFit="1" customWidth="1"/>
    <col min="12" max="12" width="57" customWidth="1"/>
    <col min="13" max="13" width="20.1796875" customWidth="1"/>
    <col min="14" max="14" width="31.1796875" customWidth="1"/>
    <col min="15" max="15" width="35.453125" customWidth="1"/>
  </cols>
  <sheetData>
    <row r="3" spans="2:7" ht="31" x14ac:dyDescent="0.7">
      <c r="B3" s="8" t="s">
        <v>183</v>
      </c>
    </row>
    <row r="5" spans="2:7" ht="23.5" x14ac:dyDescent="0.55000000000000004">
      <c r="B5" s="138" t="s">
        <v>368</v>
      </c>
    </row>
    <row r="7" spans="2:7" x14ac:dyDescent="0.35">
      <c r="B7" s="18" t="s">
        <v>1052</v>
      </c>
      <c r="C7" s="136"/>
      <c r="D7" s="136"/>
      <c r="E7" s="136"/>
      <c r="F7" s="136"/>
      <c r="G7" s="136"/>
    </row>
    <row r="8" spans="2:7" x14ac:dyDescent="0.35">
      <c r="B8" s="2"/>
    </row>
    <row r="9" spans="2:7" ht="21" x14ac:dyDescent="0.5">
      <c r="B9" s="216" t="s">
        <v>1053</v>
      </c>
    </row>
    <row r="10" spans="2:7" ht="21" x14ac:dyDescent="0.5">
      <c r="B10" s="233" t="s">
        <v>1054</v>
      </c>
    </row>
    <row r="11" spans="2:7" ht="21" x14ac:dyDescent="0.5">
      <c r="B11" s="233"/>
    </row>
    <row r="12" spans="2:7" x14ac:dyDescent="0.35">
      <c r="B12" s="61" t="s">
        <v>687</v>
      </c>
      <c r="C12" s="62"/>
      <c r="D12" s="62"/>
      <c r="E12" s="62"/>
      <c r="F12" s="62" t="s">
        <v>276</v>
      </c>
      <c r="G12" s="63" t="s">
        <v>689</v>
      </c>
    </row>
    <row r="13" spans="2:7" x14ac:dyDescent="0.35">
      <c r="B13" s="6" t="s">
        <v>196</v>
      </c>
      <c r="C13" s="7" t="s">
        <v>583</v>
      </c>
      <c r="D13" s="6" t="s">
        <v>586</v>
      </c>
      <c r="E13" s="6" t="s">
        <v>584</v>
      </c>
      <c r="F13" s="60" t="s">
        <v>473</v>
      </c>
      <c r="G13" s="60" t="s">
        <v>473</v>
      </c>
    </row>
    <row r="14" spans="2:7" x14ac:dyDescent="0.35">
      <c r="B14" s="6" t="s">
        <v>582</v>
      </c>
      <c r="C14" s="64">
        <f>'Action 12 Daly City Data'!I14</f>
        <v>1.8191999999999999</v>
      </c>
      <c r="D14" s="27">
        <f>'Action 12 Daly City Data'!I15</f>
        <v>0.4108</v>
      </c>
      <c r="E14" s="27">
        <f>'Action 12 Daly City Data'!I16</f>
        <v>2.3504</v>
      </c>
      <c r="F14" s="60" t="s">
        <v>473</v>
      </c>
      <c r="G14" s="65" t="s">
        <v>473</v>
      </c>
    </row>
    <row r="15" spans="2:7" x14ac:dyDescent="0.35">
      <c r="B15" s="234" t="s">
        <v>1055</v>
      </c>
      <c r="C15" s="235"/>
      <c r="D15" s="235"/>
      <c r="E15" s="235"/>
      <c r="F15" s="235"/>
      <c r="G15" s="236"/>
    </row>
    <row r="16" spans="2:7" ht="29" x14ac:dyDescent="0.35">
      <c r="B16" s="7" t="s">
        <v>1056</v>
      </c>
      <c r="C16" s="40">
        <v>295</v>
      </c>
      <c r="D16" s="6">
        <v>295</v>
      </c>
      <c r="E16" s="6">
        <v>295</v>
      </c>
      <c r="F16" s="6" t="s">
        <v>1057</v>
      </c>
      <c r="G16" s="7" t="s">
        <v>1058</v>
      </c>
    </row>
    <row r="17" spans="2:9" x14ac:dyDescent="0.35">
      <c r="B17" s="7" t="s">
        <v>1059</v>
      </c>
      <c r="C17" s="264">
        <f>'Action 12 ADT'!C14</f>
        <v>541</v>
      </c>
      <c r="D17" s="264">
        <f>'Action 12 ADT'!D14</f>
        <v>918</v>
      </c>
      <c r="E17" s="264">
        <f>'Action 12 ADT'!E14</f>
        <v>1097</v>
      </c>
      <c r="F17" s="7" t="s">
        <v>1060</v>
      </c>
      <c r="G17" s="7" t="s">
        <v>1061</v>
      </c>
    </row>
    <row r="18" spans="2:9" x14ac:dyDescent="0.35">
      <c r="B18" s="7" t="s">
        <v>1062</v>
      </c>
      <c r="C18" s="27">
        <f>C45</f>
        <v>1</v>
      </c>
      <c r="D18" s="7">
        <f>C44</f>
        <v>1.54</v>
      </c>
      <c r="E18" s="7">
        <f>C46</f>
        <v>0.54</v>
      </c>
      <c r="F18" s="7" t="s">
        <v>1063</v>
      </c>
      <c r="G18" s="7" t="s">
        <v>1064</v>
      </c>
    </row>
    <row r="19" spans="2:9" x14ac:dyDescent="0.35">
      <c r="B19" s="7" t="s">
        <v>1065</v>
      </c>
      <c r="C19" s="262">
        <f>D52</f>
        <v>2.8999999999999998E-3</v>
      </c>
      <c r="D19" s="263">
        <f>D51</f>
        <v>1.9E-3</v>
      </c>
      <c r="E19" s="263">
        <f>D53</f>
        <v>3.8E-3</v>
      </c>
      <c r="F19" s="7" t="s">
        <v>1063</v>
      </c>
      <c r="G19" s="7" t="s">
        <v>1066</v>
      </c>
    </row>
    <row r="20" spans="2:9" ht="29" x14ac:dyDescent="0.35">
      <c r="B20" s="7" t="s">
        <v>1067</v>
      </c>
      <c r="C20" s="241">
        <f>D34</f>
        <v>2E-3</v>
      </c>
      <c r="D20" s="241">
        <f>D35</f>
        <v>3.0000000000000001E-3</v>
      </c>
      <c r="E20" s="241">
        <f>D35</f>
        <v>3.0000000000000001E-3</v>
      </c>
      <c r="F20" s="7" t="s">
        <v>1063</v>
      </c>
      <c r="G20" s="7" t="s">
        <v>1068</v>
      </c>
    </row>
    <row r="21" spans="2:9" x14ac:dyDescent="0.35">
      <c r="B21" s="7" t="s">
        <v>1069</v>
      </c>
      <c r="C21" s="34">
        <v>1.5</v>
      </c>
      <c r="D21" s="34">
        <v>1.5</v>
      </c>
      <c r="E21" s="34">
        <v>1.5</v>
      </c>
      <c r="F21" s="7" t="s">
        <v>1070</v>
      </c>
      <c r="G21" s="7" t="s">
        <v>1071</v>
      </c>
    </row>
    <row r="22" spans="2:9" x14ac:dyDescent="0.35">
      <c r="B22" s="7" t="s">
        <v>1072</v>
      </c>
      <c r="C22" s="59">
        <f>-C16*C17*C18*(C19+C20)*C21</f>
        <v>-1173.02325</v>
      </c>
      <c r="D22" s="59">
        <f>-D16*D17*D18*(D19+D20)*D21</f>
        <v>-3065.2983899999999</v>
      </c>
      <c r="E22" s="59">
        <f>-E16*E17*E18*(E19+E20)*E21</f>
        <v>-1782.4714200000001</v>
      </c>
      <c r="F22" s="60" t="s">
        <v>473</v>
      </c>
      <c r="G22" s="60" t="s">
        <v>473</v>
      </c>
    </row>
    <row r="23" spans="2:9" x14ac:dyDescent="0.35">
      <c r="B23" s="67" t="s">
        <v>1073</v>
      </c>
      <c r="C23" s="59">
        <f>SUM(C22:H22)</f>
        <v>-6020.79306</v>
      </c>
      <c r="I23" s="30"/>
    </row>
    <row r="25" spans="2:9" ht="16" x14ac:dyDescent="0.45">
      <c r="B25" s="66" t="s">
        <v>705</v>
      </c>
      <c r="C25" s="33"/>
    </row>
    <row r="26" spans="2:9" ht="16" x14ac:dyDescent="0.45">
      <c r="B26" s="371" t="s">
        <v>706</v>
      </c>
      <c r="C26" t="s">
        <v>1074</v>
      </c>
    </row>
    <row r="27" spans="2:9" ht="16" x14ac:dyDescent="0.45">
      <c r="G27" s="371"/>
    </row>
    <row r="28" spans="2:9" x14ac:dyDescent="0.35">
      <c r="B28" s="217" t="s">
        <v>1075</v>
      </c>
      <c r="C28" s="10"/>
      <c r="D28" s="10"/>
      <c r="E28" s="10"/>
      <c r="F28" s="10"/>
      <c r="G28" s="11"/>
    </row>
    <row r="29" spans="2:9" x14ac:dyDescent="0.35">
      <c r="B29" s="218" t="s">
        <v>1067</v>
      </c>
      <c r="G29" s="13"/>
    </row>
    <row r="30" spans="2:9" ht="16" x14ac:dyDescent="0.45">
      <c r="B30" s="219" t="s">
        <v>1076</v>
      </c>
      <c r="C30" s="220"/>
      <c r="D30" s="221"/>
      <c r="G30" s="13"/>
    </row>
    <row r="31" spans="2:9" ht="16" x14ac:dyDescent="0.45">
      <c r="B31" s="194" t="s">
        <v>628</v>
      </c>
      <c r="C31" s="195" t="s">
        <v>634</v>
      </c>
      <c r="D31" s="196" t="s">
        <v>633</v>
      </c>
      <c r="G31" s="13"/>
    </row>
    <row r="32" spans="2:9" x14ac:dyDescent="0.35">
      <c r="B32" s="177" t="s">
        <v>636</v>
      </c>
      <c r="C32">
        <v>0</v>
      </c>
      <c r="D32" s="13">
        <v>0</v>
      </c>
      <c r="G32" s="13"/>
    </row>
    <row r="33" spans="2:15" x14ac:dyDescent="0.35">
      <c r="B33" s="177">
        <v>3</v>
      </c>
      <c r="C33">
        <v>5.0000000000000001E-4</v>
      </c>
      <c r="D33" s="13">
        <v>1E-3</v>
      </c>
      <c r="G33" s="13"/>
    </row>
    <row r="34" spans="2:15" x14ac:dyDescent="0.35">
      <c r="B34" s="177" t="s">
        <v>629</v>
      </c>
      <c r="C34">
        <v>1E-3</v>
      </c>
      <c r="D34" s="13">
        <v>2E-3</v>
      </c>
      <c r="G34" s="13"/>
    </row>
    <row r="35" spans="2:15" x14ac:dyDescent="0.35">
      <c r="B35" s="178" t="s">
        <v>630</v>
      </c>
      <c r="C35" s="15">
        <v>1.5E-3</v>
      </c>
      <c r="D35" s="16">
        <v>3.0000000000000001E-3</v>
      </c>
      <c r="G35" s="13"/>
    </row>
    <row r="36" spans="2:15" x14ac:dyDescent="0.35">
      <c r="B36" s="222" t="s">
        <v>639</v>
      </c>
      <c r="C36" t="s">
        <v>1077</v>
      </c>
      <c r="G36" s="13"/>
      <c r="K36" s="2"/>
      <c r="L36" s="2"/>
      <c r="M36" s="2"/>
      <c r="N36" s="2"/>
      <c r="O36" s="2"/>
    </row>
    <row r="37" spans="2:15" x14ac:dyDescent="0.35">
      <c r="B37" s="197"/>
      <c r="C37" t="s">
        <v>641</v>
      </c>
      <c r="G37" s="13"/>
    </row>
    <row r="38" spans="2:15" x14ac:dyDescent="0.35">
      <c r="B38" s="223" t="s">
        <v>642</v>
      </c>
      <c r="C38" t="s">
        <v>1078</v>
      </c>
      <c r="G38" s="13"/>
    </row>
    <row r="39" spans="2:15" x14ac:dyDescent="0.35">
      <c r="B39" s="197"/>
      <c r="C39" t="s">
        <v>644</v>
      </c>
      <c r="G39" s="13"/>
    </row>
    <row r="40" spans="2:15" x14ac:dyDescent="0.35">
      <c r="B40" s="224" t="s">
        <v>1062</v>
      </c>
      <c r="G40" s="13"/>
    </row>
    <row r="41" spans="2:15" ht="16" x14ac:dyDescent="0.45">
      <c r="B41" s="225" t="s">
        <v>1079</v>
      </c>
      <c r="C41" s="170"/>
      <c r="G41" s="13"/>
    </row>
    <row r="42" spans="2:15" ht="16" x14ac:dyDescent="0.45">
      <c r="B42" s="226" t="s">
        <v>196</v>
      </c>
      <c r="C42" s="196" t="s">
        <v>1080</v>
      </c>
      <c r="G42" s="13"/>
    </row>
    <row r="43" spans="2:15" x14ac:dyDescent="0.35">
      <c r="B43" s="177" t="s">
        <v>581</v>
      </c>
      <c r="C43" s="13">
        <v>1.54</v>
      </c>
      <c r="G43" s="13"/>
    </row>
    <row r="44" spans="2:15" x14ac:dyDescent="0.35">
      <c r="B44" s="177" t="s">
        <v>586</v>
      </c>
      <c r="C44" s="13">
        <v>1.54</v>
      </c>
      <c r="G44" s="13"/>
    </row>
    <row r="45" spans="2:15" x14ac:dyDescent="0.35">
      <c r="B45" s="177" t="s">
        <v>583</v>
      </c>
      <c r="C45" s="13">
        <v>1</v>
      </c>
      <c r="G45" s="13"/>
    </row>
    <row r="46" spans="2:15" x14ac:dyDescent="0.35">
      <c r="B46" s="178" t="s">
        <v>584</v>
      </c>
      <c r="C46" s="16">
        <v>0.54</v>
      </c>
      <c r="G46" s="13"/>
    </row>
    <row r="47" spans="2:15" x14ac:dyDescent="0.35">
      <c r="B47" s="197"/>
      <c r="G47" s="13"/>
    </row>
    <row r="48" spans="2:15" x14ac:dyDescent="0.35">
      <c r="B48" s="218" t="s">
        <v>1065</v>
      </c>
      <c r="G48" s="13"/>
    </row>
    <row r="49" spans="2:7" ht="16" x14ac:dyDescent="0.45">
      <c r="B49" s="227" t="s">
        <v>1081</v>
      </c>
      <c r="C49" s="228"/>
      <c r="D49" s="229"/>
      <c r="G49" s="13"/>
    </row>
    <row r="50" spans="2:7" ht="16" x14ac:dyDescent="0.45">
      <c r="B50" s="226" t="s">
        <v>626</v>
      </c>
      <c r="C50" s="195" t="s">
        <v>1082</v>
      </c>
      <c r="D50" s="196" t="s">
        <v>1083</v>
      </c>
      <c r="G50" s="13"/>
    </row>
    <row r="51" spans="2:7" x14ac:dyDescent="0.35">
      <c r="B51" s="12" t="s">
        <v>1084</v>
      </c>
      <c r="C51" s="232" t="s">
        <v>1085</v>
      </c>
      <c r="D51" s="13">
        <v>1.9E-3</v>
      </c>
      <c r="G51" s="13"/>
    </row>
    <row r="52" spans="2:7" x14ac:dyDescent="0.35">
      <c r="B52" s="12" t="s">
        <v>1084</v>
      </c>
      <c r="C52" s="232" t="s">
        <v>1086</v>
      </c>
      <c r="D52" s="13">
        <v>2.8999999999999998E-3</v>
      </c>
      <c r="G52" s="13"/>
    </row>
    <row r="53" spans="2:7" x14ac:dyDescent="0.35">
      <c r="B53" s="12" t="s">
        <v>1084</v>
      </c>
      <c r="C53" s="232" t="s">
        <v>1087</v>
      </c>
      <c r="D53" s="13">
        <v>3.8E-3</v>
      </c>
      <c r="G53" s="13"/>
    </row>
    <row r="54" spans="2:7" x14ac:dyDescent="0.35">
      <c r="B54" s="12" t="s">
        <v>1088</v>
      </c>
      <c r="C54" s="232" t="s">
        <v>1085</v>
      </c>
      <c r="D54" s="13">
        <v>1.4E-3</v>
      </c>
      <c r="G54" s="13"/>
    </row>
    <row r="55" spans="2:7" x14ac:dyDescent="0.35">
      <c r="B55" s="12" t="s">
        <v>1088</v>
      </c>
      <c r="C55" s="232" t="s">
        <v>1086</v>
      </c>
      <c r="D55" s="13">
        <v>2E-3</v>
      </c>
      <c r="G55" s="13"/>
    </row>
    <row r="56" spans="2:7" x14ac:dyDescent="0.35">
      <c r="B56" s="12" t="s">
        <v>1088</v>
      </c>
      <c r="C56" s="232" t="s">
        <v>1087</v>
      </c>
      <c r="D56" s="13">
        <v>2.7000000000000001E-3</v>
      </c>
      <c r="G56" s="13"/>
    </row>
    <row r="57" spans="2:7" x14ac:dyDescent="0.35">
      <c r="B57" s="12" t="s">
        <v>1089</v>
      </c>
      <c r="C57" s="232" t="s">
        <v>1085</v>
      </c>
      <c r="D57" s="13">
        <v>1E-3</v>
      </c>
      <c r="G57" s="13"/>
    </row>
    <row r="58" spans="2:7" x14ac:dyDescent="0.35">
      <c r="B58" s="12" t="s">
        <v>1089</v>
      </c>
      <c r="C58" s="232" t="s">
        <v>1086</v>
      </c>
      <c r="D58" s="13">
        <v>1.4E-3</v>
      </c>
      <c r="G58" s="13"/>
    </row>
    <row r="59" spans="2:7" x14ac:dyDescent="0.35">
      <c r="B59" s="14" t="s">
        <v>1089</v>
      </c>
      <c r="C59" s="230" t="s">
        <v>1087</v>
      </c>
      <c r="D59" s="16">
        <v>1.9E-3</v>
      </c>
      <c r="G59" s="13"/>
    </row>
    <row r="60" spans="2:7" x14ac:dyDescent="0.35">
      <c r="B60" s="231"/>
      <c r="C60" s="15"/>
      <c r="D60" s="15"/>
      <c r="E60" s="15"/>
      <c r="F60" s="15"/>
      <c r="G60" s="16"/>
    </row>
    <row r="64" spans="2:7" ht="23.5" x14ac:dyDescent="0.55000000000000004">
      <c r="B64" s="138" t="s">
        <v>1090</v>
      </c>
    </row>
    <row r="65" spans="2:10" x14ac:dyDescent="0.35">
      <c r="B65" s="54"/>
    </row>
    <row r="66" spans="2:10" x14ac:dyDescent="0.35">
      <c r="B66" s="18" t="s">
        <v>1091</v>
      </c>
      <c r="C66" s="136"/>
      <c r="D66" s="136"/>
      <c r="E66" s="136"/>
      <c r="F66" s="136"/>
      <c r="G66" s="136"/>
      <c r="H66" s="136"/>
    </row>
    <row r="68" spans="2:10" ht="21" x14ac:dyDescent="0.5">
      <c r="B68" s="216" t="s">
        <v>1053</v>
      </c>
      <c r="G68" s="216"/>
    </row>
    <row r="69" spans="2:10" ht="21" x14ac:dyDescent="0.5">
      <c r="B69" s="233" t="s">
        <v>1054</v>
      </c>
      <c r="G69" s="233"/>
    </row>
    <row r="70" spans="2:10" x14ac:dyDescent="0.35">
      <c r="B70" s="2"/>
      <c r="C70" s="2"/>
      <c r="D70" s="2"/>
      <c r="E70" s="2"/>
      <c r="G70" s="2"/>
      <c r="H70" s="2"/>
      <c r="I70" s="2"/>
      <c r="J70" s="2"/>
    </row>
    <row r="71" spans="2:10" x14ac:dyDescent="0.35">
      <c r="B71" s="61" t="s">
        <v>687</v>
      </c>
      <c r="C71" s="62"/>
      <c r="D71" s="62"/>
      <c r="E71" s="62"/>
      <c r="F71" s="62" t="s">
        <v>276</v>
      </c>
      <c r="G71" s="63" t="s">
        <v>689</v>
      </c>
    </row>
    <row r="72" spans="2:10" x14ac:dyDescent="0.35">
      <c r="B72" s="6" t="s">
        <v>196</v>
      </c>
      <c r="C72" s="7" t="s">
        <v>586</v>
      </c>
      <c r="D72" s="6" t="s">
        <v>583</v>
      </c>
      <c r="E72" s="6" t="s">
        <v>581</v>
      </c>
      <c r="F72" s="60" t="s">
        <v>473</v>
      </c>
      <c r="G72" s="60" t="s">
        <v>473</v>
      </c>
    </row>
    <row r="73" spans="2:10" x14ac:dyDescent="0.35">
      <c r="B73" s="6" t="s">
        <v>582</v>
      </c>
      <c r="C73" s="64">
        <f>'Action 12 Skyline Data'!I13</f>
        <v>0.50980000000000003</v>
      </c>
      <c r="D73" s="27">
        <f>'Action 12 Skyline Data'!I14</f>
        <v>3.1815000000000002</v>
      </c>
      <c r="E73" s="27">
        <f>'Action 12 Skyline Data'!I15</f>
        <v>3.5771000000000002</v>
      </c>
      <c r="F73" s="60" t="s">
        <v>473</v>
      </c>
      <c r="G73" s="65" t="s">
        <v>473</v>
      </c>
    </row>
    <row r="74" spans="2:10" x14ac:dyDescent="0.35">
      <c r="B74" s="234" t="s">
        <v>1055</v>
      </c>
      <c r="C74" s="235"/>
      <c r="D74" s="235"/>
      <c r="E74" s="235"/>
      <c r="F74" s="235"/>
      <c r="G74" s="236"/>
    </row>
    <row r="75" spans="2:10" ht="29" x14ac:dyDescent="0.35">
      <c r="B75" s="7" t="s">
        <v>1056</v>
      </c>
      <c r="C75" s="40">
        <v>295</v>
      </c>
      <c r="D75" s="6">
        <v>295</v>
      </c>
      <c r="E75" s="6">
        <v>295</v>
      </c>
      <c r="F75" s="6" t="s">
        <v>1057</v>
      </c>
      <c r="G75" s="7" t="s">
        <v>1058</v>
      </c>
    </row>
    <row r="76" spans="2:10" x14ac:dyDescent="0.35">
      <c r="B76" s="7" t="s">
        <v>1092</v>
      </c>
      <c r="C76" s="264">
        <f>'Action 12 ADT'!C25</f>
        <v>6475</v>
      </c>
      <c r="D76" s="264">
        <f>'Action 12 ADT'!D25</f>
        <v>8719</v>
      </c>
      <c r="E76" s="264">
        <f>'Action 12 ADT'!E25</f>
        <v>3341</v>
      </c>
      <c r="F76" s="7" t="s">
        <v>1060</v>
      </c>
      <c r="G76" s="7" t="s">
        <v>1061</v>
      </c>
    </row>
    <row r="77" spans="2:10" x14ac:dyDescent="0.35">
      <c r="B77" s="7" t="s">
        <v>1062</v>
      </c>
      <c r="C77" s="27">
        <f>C44</f>
        <v>1.54</v>
      </c>
      <c r="D77" s="7">
        <f>C45</f>
        <v>1</v>
      </c>
      <c r="E77" s="6">
        <f>C43</f>
        <v>1.54</v>
      </c>
      <c r="F77" s="7" t="s">
        <v>1063</v>
      </c>
      <c r="G77" s="7" t="s">
        <v>1064</v>
      </c>
    </row>
    <row r="78" spans="2:10" x14ac:dyDescent="0.35">
      <c r="B78" s="7" t="s">
        <v>1065</v>
      </c>
      <c r="C78" s="39">
        <f>D51</f>
        <v>1.9E-3</v>
      </c>
      <c r="D78" s="269">
        <f>D53</f>
        <v>3.8E-3</v>
      </c>
      <c r="E78" s="269">
        <f>D53</f>
        <v>3.8E-3</v>
      </c>
      <c r="F78" s="7" t="s">
        <v>1063</v>
      </c>
      <c r="G78" s="7" t="s">
        <v>1066</v>
      </c>
    </row>
    <row r="79" spans="2:10" ht="29" x14ac:dyDescent="0.35">
      <c r="B79" s="7" t="s">
        <v>1067</v>
      </c>
      <c r="C79" s="39">
        <f>C32</f>
        <v>0</v>
      </c>
      <c r="D79" s="39">
        <f>D35</f>
        <v>3.0000000000000001E-3</v>
      </c>
      <c r="E79" s="39">
        <f>D35</f>
        <v>3.0000000000000001E-3</v>
      </c>
      <c r="F79" s="7" t="s">
        <v>1063</v>
      </c>
      <c r="G79" s="7" t="s">
        <v>1068</v>
      </c>
    </row>
    <row r="80" spans="2:10" x14ac:dyDescent="0.35">
      <c r="B80" s="7" t="s">
        <v>1069</v>
      </c>
      <c r="C80" s="34">
        <v>1.5</v>
      </c>
      <c r="D80" s="34">
        <v>1.5</v>
      </c>
      <c r="E80" s="34">
        <v>1.5</v>
      </c>
      <c r="F80" s="7" t="s">
        <v>1070</v>
      </c>
      <c r="G80" s="7" t="s">
        <v>1071</v>
      </c>
    </row>
    <row r="81" spans="2:9" x14ac:dyDescent="0.35">
      <c r="B81" s="7" t="s">
        <v>1072</v>
      </c>
      <c r="C81" s="267">
        <f>-C75*C76*C77*(C78+C79)*C80</f>
        <v>-8383.5386249999992</v>
      </c>
      <c r="D81" s="267">
        <f>-D75*D76*D77*(D78+D79)*D80</f>
        <v>-26235.471000000005</v>
      </c>
      <c r="E81" s="267">
        <f>-E75*E76*E77*(E78+E79)*E80</f>
        <v>-15481.726259999999</v>
      </c>
      <c r="F81" s="60" t="s">
        <v>473</v>
      </c>
      <c r="G81" s="60" t="s">
        <v>473</v>
      </c>
    </row>
    <row r="82" spans="2:9" x14ac:dyDescent="0.35">
      <c r="B82" s="67" t="s">
        <v>1073</v>
      </c>
      <c r="C82" s="267">
        <f>SUM(C81:H81)</f>
        <v>-50100.735885000002</v>
      </c>
      <c r="I82" s="30"/>
    </row>
    <row r="84" spans="2:9" ht="16" x14ac:dyDescent="0.45">
      <c r="B84" s="66" t="s">
        <v>705</v>
      </c>
      <c r="C84" s="33"/>
    </row>
    <row r="85" spans="2:9" ht="16" x14ac:dyDescent="0.45">
      <c r="B85" s="371" t="s">
        <v>706</v>
      </c>
      <c r="C85" t="s">
        <v>1074</v>
      </c>
    </row>
    <row r="86" spans="2:9" ht="16" x14ac:dyDescent="0.45">
      <c r="B86" s="371"/>
    </row>
    <row r="87" spans="2:9" ht="23.5" x14ac:dyDescent="0.55000000000000004">
      <c r="B87" s="138" t="s">
        <v>599</v>
      </c>
    </row>
    <row r="88" spans="2:9" x14ac:dyDescent="0.35">
      <c r="B88" s="54"/>
    </row>
    <row r="89" spans="2:9" x14ac:dyDescent="0.35">
      <c r="B89" s="18" t="s">
        <v>1093</v>
      </c>
      <c r="C89" s="136"/>
      <c r="D89" s="136"/>
      <c r="E89" s="136"/>
      <c r="F89" s="136"/>
      <c r="G89" s="136"/>
      <c r="H89" s="136"/>
    </row>
    <row r="90" spans="2:9" x14ac:dyDescent="0.35">
      <c r="B90" s="2"/>
    </row>
    <row r="91" spans="2:9" ht="21" x14ac:dyDescent="0.5">
      <c r="B91" s="216" t="s">
        <v>1053</v>
      </c>
    </row>
    <row r="92" spans="2:9" ht="21" x14ac:dyDescent="0.5">
      <c r="B92" s="233" t="s">
        <v>1054</v>
      </c>
    </row>
    <row r="93" spans="2:9" x14ac:dyDescent="0.35">
      <c r="B93" s="2"/>
    </row>
    <row r="94" spans="2:9" x14ac:dyDescent="0.35">
      <c r="B94" s="61" t="s">
        <v>687</v>
      </c>
      <c r="C94" s="62"/>
      <c r="D94" s="62"/>
      <c r="E94" s="62"/>
      <c r="F94" s="62"/>
      <c r="G94" s="62" t="s">
        <v>276</v>
      </c>
      <c r="H94" s="63" t="s">
        <v>689</v>
      </c>
    </row>
    <row r="95" spans="2:9" x14ac:dyDescent="0.35">
      <c r="B95" s="6" t="s">
        <v>196</v>
      </c>
      <c r="C95" s="7" t="s">
        <v>1094</v>
      </c>
      <c r="D95" s="6" t="s">
        <v>1095</v>
      </c>
      <c r="E95" s="7" t="s">
        <v>1096</v>
      </c>
      <c r="F95" s="7" t="s">
        <v>1097</v>
      </c>
      <c r="G95" s="60" t="s">
        <v>473</v>
      </c>
      <c r="H95" s="60" t="s">
        <v>473</v>
      </c>
    </row>
    <row r="96" spans="2:9" x14ac:dyDescent="0.35">
      <c r="B96" s="6" t="s">
        <v>582</v>
      </c>
      <c r="C96" s="64">
        <f>'Action 12 Coastside Data'!U8</f>
        <v>2.4687000000000001</v>
      </c>
      <c r="D96" s="27">
        <f>'Action 12 Coastside Data'!U9</f>
        <v>0.79480000000000006</v>
      </c>
      <c r="E96" s="27">
        <f>'Action 12 Coastside Data'!U10-F96</f>
        <v>37.613600000000005</v>
      </c>
      <c r="F96" s="27">
        <f>'Action 12 Coastside Data'!U11</f>
        <v>5.4212000000000007</v>
      </c>
      <c r="G96" s="60" t="s">
        <v>473</v>
      </c>
      <c r="H96" s="65" t="s">
        <v>473</v>
      </c>
    </row>
    <row r="97" spans="2:8" x14ac:dyDescent="0.35">
      <c r="B97" s="182" t="s">
        <v>1055</v>
      </c>
      <c r="C97" s="183"/>
      <c r="D97" s="183"/>
      <c r="E97" s="183"/>
      <c r="F97" s="183"/>
      <c r="G97" s="183"/>
      <c r="H97" s="184"/>
    </row>
    <row r="98" spans="2:8" ht="43.5" x14ac:dyDescent="0.35">
      <c r="B98" s="7" t="s">
        <v>1056</v>
      </c>
      <c r="C98" s="40">
        <v>295</v>
      </c>
      <c r="D98" s="6">
        <v>295</v>
      </c>
      <c r="E98" s="40">
        <v>295</v>
      </c>
      <c r="F98" s="6">
        <v>295</v>
      </c>
      <c r="G98" s="6" t="s">
        <v>1057</v>
      </c>
      <c r="H98" s="7" t="s">
        <v>1058</v>
      </c>
    </row>
    <row r="99" spans="2:8" ht="29" x14ac:dyDescent="0.35">
      <c r="B99" s="7" t="s">
        <v>1092</v>
      </c>
      <c r="C99" s="264">
        <f>'Action 12 ADT'!C36</f>
        <v>10234</v>
      </c>
      <c r="D99" s="264">
        <f>'Action 12 ADT'!D36</f>
        <v>3986</v>
      </c>
      <c r="E99" s="264">
        <f>'Action 12 ADT'!E36</f>
        <v>897</v>
      </c>
      <c r="F99" s="264">
        <f>'Action 12 ADT'!F36</f>
        <v>3871</v>
      </c>
      <c r="G99" s="7" t="s">
        <v>1060</v>
      </c>
      <c r="H99" s="7" t="s">
        <v>1061</v>
      </c>
    </row>
    <row r="100" spans="2:8" ht="29" x14ac:dyDescent="0.35">
      <c r="B100" s="7" t="s">
        <v>1062</v>
      </c>
      <c r="C100" s="27">
        <f>C43</f>
        <v>1.54</v>
      </c>
      <c r="D100" s="7">
        <f>C45</f>
        <v>1</v>
      </c>
      <c r="E100" s="6">
        <f>C43</f>
        <v>1.54</v>
      </c>
      <c r="F100" s="27">
        <f>C45</f>
        <v>1</v>
      </c>
      <c r="G100" s="7" t="s">
        <v>1063</v>
      </c>
      <c r="H100" s="7" t="s">
        <v>1064</v>
      </c>
    </row>
    <row r="101" spans="2:8" x14ac:dyDescent="0.35">
      <c r="B101" s="7" t="s">
        <v>1065</v>
      </c>
      <c r="C101" s="262">
        <f>D53</f>
        <v>3.8E-3</v>
      </c>
      <c r="D101" s="263">
        <f>D51</f>
        <v>1.9E-3</v>
      </c>
      <c r="E101" s="263">
        <f>D53</f>
        <v>3.8E-3</v>
      </c>
      <c r="F101" s="262">
        <f>D53</f>
        <v>3.8E-3</v>
      </c>
      <c r="G101" s="7" t="s">
        <v>1063</v>
      </c>
      <c r="H101" s="7" t="s">
        <v>1066</v>
      </c>
    </row>
    <row r="102" spans="2:8" ht="43.5" x14ac:dyDescent="0.35">
      <c r="B102" s="7" t="s">
        <v>1067</v>
      </c>
      <c r="C102" s="39">
        <f>D35</f>
        <v>3.0000000000000001E-3</v>
      </c>
      <c r="D102" s="39">
        <f>D34</f>
        <v>2E-3</v>
      </c>
      <c r="E102" s="39">
        <f>D35</f>
        <v>3.0000000000000001E-3</v>
      </c>
      <c r="F102" s="39">
        <f>D34</f>
        <v>2E-3</v>
      </c>
      <c r="G102" s="7" t="s">
        <v>1063</v>
      </c>
      <c r="H102" s="7" t="s">
        <v>1068</v>
      </c>
    </row>
    <row r="103" spans="2:8" x14ac:dyDescent="0.35">
      <c r="B103" s="7" t="s">
        <v>1069</v>
      </c>
      <c r="C103" s="34">
        <v>1.5</v>
      </c>
      <c r="D103" s="34">
        <v>1.5</v>
      </c>
      <c r="E103" s="34">
        <v>1.5</v>
      </c>
      <c r="F103" s="34">
        <v>1.5</v>
      </c>
      <c r="G103" s="7" t="s">
        <v>1070</v>
      </c>
      <c r="H103" s="7" t="s">
        <v>1071</v>
      </c>
    </row>
    <row r="104" spans="2:8" x14ac:dyDescent="0.35">
      <c r="B104" s="7" t="s">
        <v>1072</v>
      </c>
      <c r="C104" s="267">
        <f>-C98*C99*C100*(C101+C102)*C103</f>
        <v>-47422.923240000004</v>
      </c>
      <c r="D104" s="267">
        <f>-D98*D99*D100*(D101+D102)*D103</f>
        <v>-6878.8395</v>
      </c>
      <c r="E104" s="267">
        <f>-E98*E99*E100*(E101+E102)*E103</f>
        <v>-4156.5724200000004</v>
      </c>
      <c r="F104" s="267">
        <f>-F98*F99*F100*(F101+F102)*F103</f>
        <v>-9934.9215000000004</v>
      </c>
      <c r="G104" s="60" t="s">
        <v>473</v>
      </c>
      <c r="H104" s="60" t="s">
        <v>473</v>
      </c>
    </row>
    <row r="105" spans="2:8" x14ac:dyDescent="0.35">
      <c r="B105" s="67" t="s">
        <v>1073</v>
      </c>
      <c r="C105" s="267">
        <f>SUM(C104:H104)</f>
        <v>-68393.256659999999</v>
      </c>
      <c r="E105" s="30"/>
    </row>
    <row r="108" spans="2:8" ht="23.5" x14ac:dyDescent="0.55000000000000004">
      <c r="B108" s="138" t="s">
        <v>370</v>
      </c>
    </row>
    <row r="109" spans="2:8" x14ac:dyDescent="0.35">
      <c r="B109" s="54"/>
    </row>
    <row r="110" spans="2:8" x14ac:dyDescent="0.35">
      <c r="B110" s="18" t="s">
        <v>1098</v>
      </c>
      <c r="C110" s="136"/>
      <c r="D110" s="136"/>
      <c r="E110" s="136"/>
      <c r="F110" s="136"/>
      <c r="G110" s="136"/>
      <c r="H110" s="136"/>
    </row>
    <row r="111" spans="2:8" x14ac:dyDescent="0.35">
      <c r="B111" s="2"/>
    </row>
    <row r="112" spans="2:8" ht="21" x14ac:dyDescent="0.5">
      <c r="B112" s="216" t="s">
        <v>1053</v>
      </c>
    </row>
    <row r="113" spans="2:6" ht="21" x14ac:dyDescent="0.5">
      <c r="B113" s="233" t="s">
        <v>1054</v>
      </c>
    </row>
    <row r="114" spans="2:6" x14ac:dyDescent="0.35">
      <c r="B114" s="2"/>
    </row>
    <row r="115" spans="2:6" x14ac:dyDescent="0.35">
      <c r="B115" s="61" t="s">
        <v>687</v>
      </c>
      <c r="C115" s="62"/>
      <c r="D115" s="62"/>
      <c r="E115" s="62" t="s">
        <v>276</v>
      </c>
      <c r="F115" s="63" t="s">
        <v>689</v>
      </c>
    </row>
    <row r="116" spans="2:6" x14ac:dyDescent="0.35">
      <c r="B116" s="6" t="s">
        <v>196</v>
      </c>
      <c r="C116" s="7" t="s">
        <v>583</v>
      </c>
      <c r="D116" s="6" t="s">
        <v>584</v>
      </c>
      <c r="E116" s="60" t="s">
        <v>473</v>
      </c>
      <c r="F116" s="60" t="s">
        <v>473</v>
      </c>
    </row>
    <row r="117" spans="2:6" x14ac:dyDescent="0.35">
      <c r="B117" s="6" t="s">
        <v>582</v>
      </c>
      <c r="C117" s="64">
        <f>'Action 12 EPA Data'!I12</f>
        <v>1.2616000000000001</v>
      </c>
      <c r="D117" s="27">
        <f>'Action 12 EPA Data'!I13</f>
        <v>1.2421</v>
      </c>
      <c r="E117" s="60" t="s">
        <v>473</v>
      </c>
      <c r="F117" s="65" t="s">
        <v>473</v>
      </c>
    </row>
    <row r="118" spans="2:6" x14ac:dyDescent="0.35">
      <c r="B118" s="182" t="s">
        <v>1055</v>
      </c>
      <c r="C118" s="183"/>
      <c r="D118" s="183"/>
      <c r="E118" s="183"/>
      <c r="F118" s="184"/>
    </row>
    <row r="119" spans="2:6" ht="43.5" x14ac:dyDescent="0.35">
      <c r="B119" s="7" t="s">
        <v>1056</v>
      </c>
      <c r="C119" s="40">
        <v>295</v>
      </c>
      <c r="D119" s="6">
        <v>295</v>
      </c>
      <c r="E119" s="6" t="s">
        <v>1057</v>
      </c>
      <c r="F119" s="7" t="s">
        <v>1058</v>
      </c>
    </row>
    <row r="120" spans="2:6" ht="29" x14ac:dyDescent="0.35">
      <c r="B120" s="7" t="s">
        <v>1092</v>
      </c>
      <c r="C120" s="264">
        <f>'Action 12 ADT'!C47</f>
        <v>5248</v>
      </c>
      <c r="D120" s="264">
        <f>'Action 12 ADT'!D47</f>
        <v>14944</v>
      </c>
      <c r="E120" s="7" t="s">
        <v>1060</v>
      </c>
      <c r="F120" s="7" t="s">
        <v>1061</v>
      </c>
    </row>
    <row r="121" spans="2:6" ht="29" x14ac:dyDescent="0.35">
      <c r="B121" s="7" t="s">
        <v>1062</v>
      </c>
      <c r="C121" s="27">
        <f>C45</f>
        <v>1</v>
      </c>
      <c r="D121" s="7">
        <f>C46</f>
        <v>0.54</v>
      </c>
      <c r="E121" s="7" t="s">
        <v>1063</v>
      </c>
      <c r="F121" s="7" t="s">
        <v>1064</v>
      </c>
    </row>
    <row r="122" spans="2:6" x14ac:dyDescent="0.35">
      <c r="B122" s="7" t="s">
        <v>1065</v>
      </c>
      <c r="C122" s="262">
        <f>D52</f>
        <v>2.8999999999999998E-3</v>
      </c>
      <c r="D122" s="263">
        <f>D55</f>
        <v>2E-3</v>
      </c>
      <c r="E122" s="7" t="s">
        <v>1063</v>
      </c>
      <c r="F122" s="7" t="s">
        <v>1066</v>
      </c>
    </row>
    <row r="123" spans="2:6" ht="43.5" x14ac:dyDescent="0.35">
      <c r="B123" s="7" t="s">
        <v>1067</v>
      </c>
      <c r="C123" s="39">
        <f>D34</f>
        <v>2E-3</v>
      </c>
      <c r="D123" s="39">
        <f>D35</f>
        <v>3.0000000000000001E-3</v>
      </c>
      <c r="E123" s="7" t="s">
        <v>1063</v>
      </c>
      <c r="F123" s="7" t="s">
        <v>1068</v>
      </c>
    </row>
    <row r="124" spans="2:6" x14ac:dyDescent="0.35">
      <c r="B124" s="7" t="s">
        <v>1069</v>
      </c>
      <c r="C124" s="34">
        <v>1.5</v>
      </c>
      <c r="D124" s="34">
        <v>1.5</v>
      </c>
      <c r="E124" s="7" t="s">
        <v>1070</v>
      </c>
      <c r="F124" s="7" t="s">
        <v>1071</v>
      </c>
    </row>
    <row r="125" spans="2:6" x14ac:dyDescent="0.35">
      <c r="B125" s="7" t="s">
        <v>1072</v>
      </c>
      <c r="C125" s="267">
        <f>-C119*C120*C121*(C122+C123)*C124</f>
        <v>-11378.975999999999</v>
      </c>
      <c r="D125" s="267">
        <f>-D119*D120*D121*(D122+D123)*D124</f>
        <v>-17854.344000000001</v>
      </c>
      <c r="E125" s="60" t="s">
        <v>473</v>
      </c>
      <c r="F125" s="60" t="s">
        <v>473</v>
      </c>
    </row>
    <row r="126" spans="2:6" x14ac:dyDescent="0.35">
      <c r="B126" s="67" t="s">
        <v>1073</v>
      </c>
      <c r="C126" s="267">
        <f>SUM(C125:H125)</f>
        <v>-29233.32</v>
      </c>
      <c r="E126" s="30"/>
    </row>
    <row r="129" spans="2:8" ht="23.5" x14ac:dyDescent="0.55000000000000004">
      <c r="B129" s="138" t="s">
        <v>1099</v>
      </c>
    </row>
    <row r="130" spans="2:8" x14ac:dyDescent="0.35">
      <c r="B130" s="54"/>
    </row>
    <row r="131" spans="2:8" x14ac:dyDescent="0.35">
      <c r="B131" s="18" t="s">
        <v>1100</v>
      </c>
      <c r="C131" s="136"/>
      <c r="D131" s="136"/>
      <c r="E131" s="136"/>
      <c r="F131" s="136"/>
      <c r="G131" s="136"/>
      <c r="H131" s="136"/>
    </row>
    <row r="132" spans="2:8" x14ac:dyDescent="0.35">
      <c r="B132" s="2"/>
    </row>
    <row r="133" spans="2:8" ht="21" x14ac:dyDescent="0.5">
      <c r="B133" s="216" t="s">
        <v>1053</v>
      </c>
    </row>
    <row r="134" spans="2:8" ht="21" x14ac:dyDescent="0.5">
      <c r="B134" s="233" t="s">
        <v>1054</v>
      </c>
    </row>
    <row r="135" spans="2:8" x14ac:dyDescent="0.35">
      <c r="B135" s="2"/>
    </row>
    <row r="136" spans="2:8" x14ac:dyDescent="0.35">
      <c r="B136" s="61" t="s">
        <v>687</v>
      </c>
      <c r="C136" s="62"/>
      <c r="D136" s="62"/>
      <c r="E136" s="62"/>
      <c r="F136" s="62" t="s">
        <v>276</v>
      </c>
      <c r="G136" s="63" t="s">
        <v>689</v>
      </c>
    </row>
    <row r="137" spans="2:8" x14ac:dyDescent="0.35">
      <c r="B137" s="6" t="s">
        <v>196</v>
      </c>
      <c r="C137" s="7" t="s">
        <v>583</v>
      </c>
      <c r="D137" s="6" t="s">
        <v>586</v>
      </c>
      <c r="E137" s="6" t="s">
        <v>584</v>
      </c>
      <c r="F137" s="60" t="s">
        <v>473</v>
      </c>
      <c r="G137" s="60" t="s">
        <v>473</v>
      </c>
    </row>
    <row r="138" spans="2:8" x14ac:dyDescent="0.35">
      <c r="B138" s="6" t="s">
        <v>582</v>
      </c>
      <c r="C138" s="64">
        <f>'Action 12 Belmont_RWC Data'!I15</f>
        <v>0.23019999999999999</v>
      </c>
      <c r="D138" s="27">
        <f>'Action 12 Belmont_RWC Data'!I14</f>
        <v>1.0141</v>
      </c>
      <c r="E138" s="27">
        <f>'Action 12 Belmont_RWC Data'!I16</f>
        <v>2.5270000000000001</v>
      </c>
      <c r="F138" s="60" t="s">
        <v>473</v>
      </c>
      <c r="G138" s="65" t="s">
        <v>473</v>
      </c>
    </row>
    <row r="139" spans="2:8" x14ac:dyDescent="0.35">
      <c r="B139" s="182" t="s">
        <v>1055</v>
      </c>
      <c r="C139" s="183"/>
      <c r="D139" s="183"/>
      <c r="E139" s="183"/>
      <c r="F139" s="183"/>
      <c r="G139" s="184"/>
    </row>
    <row r="140" spans="2:8" ht="29" x14ac:dyDescent="0.35">
      <c r="B140" s="7" t="s">
        <v>1056</v>
      </c>
      <c r="C140" s="40">
        <v>295</v>
      </c>
      <c r="D140" s="6">
        <v>295</v>
      </c>
      <c r="E140" s="6">
        <v>295</v>
      </c>
      <c r="F140" s="6" t="s">
        <v>1057</v>
      </c>
      <c r="G140" s="7" t="s">
        <v>1058</v>
      </c>
    </row>
    <row r="141" spans="2:8" x14ac:dyDescent="0.35">
      <c r="B141" s="7" t="s">
        <v>1092</v>
      </c>
      <c r="C141" s="264">
        <f>'Action 12 ADT'!C57</f>
        <v>16</v>
      </c>
      <c r="D141" s="264">
        <f>'Action 12 ADT'!D57</f>
        <v>431</v>
      </c>
      <c r="E141" s="264">
        <f>'Action 12 ADT'!E57</f>
        <v>17</v>
      </c>
      <c r="F141" s="7" t="s">
        <v>1060</v>
      </c>
      <c r="G141" s="7" t="s">
        <v>1061</v>
      </c>
    </row>
    <row r="142" spans="2:8" x14ac:dyDescent="0.35">
      <c r="B142" s="7" t="s">
        <v>1062</v>
      </c>
      <c r="C142" s="27">
        <f>C45</f>
        <v>1</v>
      </c>
      <c r="D142" s="7">
        <f>C44</f>
        <v>1.54</v>
      </c>
      <c r="E142" s="7">
        <f>C46</f>
        <v>0.54</v>
      </c>
      <c r="F142" s="7" t="s">
        <v>1063</v>
      </c>
      <c r="G142" s="7" t="s">
        <v>1064</v>
      </c>
    </row>
    <row r="143" spans="2:8" x14ac:dyDescent="0.35">
      <c r="B143" s="7" t="s">
        <v>1065</v>
      </c>
      <c r="C143" s="262">
        <f>D51</f>
        <v>1.9E-3</v>
      </c>
      <c r="D143" s="263">
        <f>D52</f>
        <v>2.8999999999999998E-3</v>
      </c>
      <c r="E143" s="263">
        <f>D53</f>
        <v>3.8E-3</v>
      </c>
      <c r="F143" s="7" t="s">
        <v>1063</v>
      </c>
      <c r="G143" s="7" t="s">
        <v>1066</v>
      </c>
    </row>
    <row r="144" spans="2:8" ht="29" x14ac:dyDescent="0.35">
      <c r="B144" s="7" t="s">
        <v>1067</v>
      </c>
      <c r="C144" s="39">
        <f>D33</f>
        <v>1E-3</v>
      </c>
      <c r="D144" s="39">
        <f>D35</f>
        <v>3.0000000000000001E-3</v>
      </c>
      <c r="E144" s="39">
        <f>D34</f>
        <v>2E-3</v>
      </c>
      <c r="F144" s="7" t="s">
        <v>1063</v>
      </c>
      <c r="G144" s="7" t="s">
        <v>1068</v>
      </c>
    </row>
    <row r="145" spans="2:12" x14ac:dyDescent="0.35">
      <c r="B145" s="7" t="s">
        <v>1069</v>
      </c>
      <c r="C145" s="34">
        <v>1.5</v>
      </c>
      <c r="D145" s="34">
        <v>1.5</v>
      </c>
      <c r="E145" s="34">
        <v>1.5</v>
      </c>
      <c r="F145" s="7" t="s">
        <v>1070</v>
      </c>
      <c r="G145" s="7" t="s">
        <v>1071</v>
      </c>
    </row>
    <row r="146" spans="2:12" x14ac:dyDescent="0.35">
      <c r="B146" s="7" t="s">
        <v>1072</v>
      </c>
      <c r="C146" s="59">
        <f>-C140*C141*C142*(C143+C144)*C145</f>
        <v>-20.531999999999996</v>
      </c>
      <c r="D146" s="59">
        <f t="shared" ref="D146:E146" si="0">-D140*D141*D142*(D143+D144)*D145</f>
        <v>-1732.859205</v>
      </c>
      <c r="E146" s="59">
        <f t="shared" si="0"/>
        <v>-23.560470000000002</v>
      </c>
      <c r="F146" s="60" t="s">
        <v>473</v>
      </c>
      <c r="G146" s="60" t="s">
        <v>473</v>
      </c>
    </row>
    <row r="147" spans="2:12" x14ac:dyDescent="0.35">
      <c r="B147" s="67" t="s">
        <v>1073</v>
      </c>
      <c r="C147" s="59">
        <f>SUM(C146:H146)</f>
        <v>-1776.9516749999998</v>
      </c>
      <c r="E147" s="30"/>
    </row>
    <row r="150" spans="2:12" ht="23.5" x14ac:dyDescent="0.55000000000000004">
      <c r="B150" s="138" t="s">
        <v>381</v>
      </c>
    </row>
    <row r="151" spans="2:12" x14ac:dyDescent="0.35">
      <c r="B151" s="54"/>
    </row>
    <row r="152" spans="2:12" x14ac:dyDescent="0.35">
      <c r="B152" s="18" t="s">
        <v>1101</v>
      </c>
      <c r="C152" s="136"/>
      <c r="D152" s="136"/>
      <c r="E152" s="136"/>
      <c r="F152" s="136"/>
      <c r="G152" s="136"/>
      <c r="H152" s="136"/>
    </row>
    <row r="153" spans="2:12" x14ac:dyDescent="0.35">
      <c r="B153" s="2"/>
    </row>
    <row r="154" spans="2:12" ht="21" x14ac:dyDescent="0.5">
      <c r="B154" s="216" t="s">
        <v>1053</v>
      </c>
    </row>
    <row r="155" spans="2:12" ht="21" x14ac:dyDescent="0.5">
      <c r="B155" s="233" t="s">
        <v>1054</v>
      </c>
      <c r="L155" s="54"/>
    </row>
    <row r="156" spans="2:12" x14ac:dyDescent="0.35">
      <c r="B156" s="2"/>
    </row>
    <row r="157" spans="2:12" x14ac:dyDescent="0.35">
      <c r="B157" s="61" t="s">
        <v>687</v>
      </c>
      <c r="C157" s="62"/>
      <c r="D157" s="62" t="s">
        <v>276</v>
      </c>
      <c r="E157" s="63" t="s">
        <v>689</v>
      </c>
    </row>
    <row r="158" spans="2:12" x14ac:dyDescent="0.35">
      <c r="B158" s="6" t="s">
        <v>196</v>
      </c>
      <c r="C158" s="7" t="s">
        <v>583</v>
      </c>
      <c r="D158" s="60" t="s">
        <v>473</v>
      </c>
      <c r="E158" s="60" t="s">
        <v>473</v>
      </c>
    </row>
    <row r="159" spans="2:12" x14ac:dyDescent="0.35">
      <c r="B159" s="6" t="s">
        <v>582</v>
      </c>
      <c r="C159" s="30">
        <f>'Action 12 San Carlos Data'!J14</f>
        <v>5.1625999999999994</v>
      </c>
      <c r="D159" s="60" t="s">
        <v>473</v>
      </c>
      <c r="E159" s="65" t="s">
        <v>473</v>
      </c>
    </row>
    <row r="160" spans="2:12" x14ac:dyDescent="0.35">
      <c r="B160" s="182" t="s">
        <v>1055</v>
      </c>
      <c r="C160" s="183"/>
      <c r="D160" s="183"/>
      <c r="E160" s="184"/>
    </row>
    <row r="161" spans="2:8" ht="58" x14ac:dyDescent="0.35">
      <c r="B161" s="7" t="s">
        <v>1056</v>
      </c>
      <c r="C161" s="40">
        <v>295</v>
      </c>
      <c r="D161" s="6" t="s">
        <v>1057</v>
      </c>
      <c r="E161" s="7" t="s">
        <v>1058</v>
      </c>
    </row>
    <row r="162" spans="2:8" ht="29" x14ac:dyDescent="0.35">
      <c r="B162" s="7" t="s">
        <v>1092</v>
      </c>
      <c r="C162" s="265">
        <f>'Action 12 ADT'!C67</f>
        <v>2041</v>
      </c>
      <c r="D162" s="7" t="s">
        <v>1060</v>
      </c>
      <c r="E162" s="7" t="s">
        <v>1061</v>
      </c>
    </row>
    <row r="163" spans="2:8" ht="29" x14ac:dyDescent="0.35">
      <c r="B163" s="7" t="s">
        <v>1062</v>
      </c>
      <c r="C163" s="27">
        <f>C45</f>
        <v>1</v>
      </c>
      <c r="D163" s="7" t="s">
        <v>1063</v>
      </c>
      <c r="E163" s="7" t="s">
        <v>1064</v>
      </c>
    </row>
    <row r="164" spans="2:8" ht="29" x14ac:dyDescent="0.35">
      <c r="B164" s="7" t="s">
        <v>1065</v>
      </c>
      <c r="C164" s="262">
        <f>D53</f>
        <v>3.8E-3</v>
      </c>
      <c r="D164" s="7" t="s">
        <v>1063</v>
      </c>
      <c r="E164" s="7" t="s">
        <v>1066</v>
      </c>
    </row>
    <row r="165" spans="2:8" ht="43.5" x14ac:dyDescent="0.35">
      <c r="B165" s="7" t="s">
        <v>1067</v>
      </c>
      <c r="C165" s="39">
        <f>D35</f>
        <v>3.0000000000000001E-3</v>
      </c>
      <c r="D165" s="7" t="s">
        <v>1063</v>
      </c>
      <c r="E165" s="7" t="s">
        <v>1068</v>
      </c>
    </row>
    <row r="166" spans="2:8" ht="16" x14ac:dyDescent="0.45">
      <c r="B166" s="7" t="s">
        <v>1069</v>
      </c>
      <c r="C166" s="34">
        <v>1.5</v>
      </c>
      <c r="D166" s="7" t="s">
        <v>1070</v>
      </c>
      <c r="E166" s="7" t="s">
        <v>1071</v>
      </c>
      <c r="G166" s="66"/>
    </row>
    <row r="167" spans="2:8" ht="16" x14ac:dyDescent="0.45">
      <c r="B167" s="7" t="s">
        <v>1072</v>
      </c>
      <c r="C167" s="59">
        <f>-C161*C162*C163*(C164+C165)*C166</f>
        <v>-6141.3690000000006</v>
      </c>
      <c r="D167" s="60" t="s">
        <v>473</v>
      </c>
      <c r="E167" s="60" t="s">
        <v>473</v>
      </c>
      <c r="G167" s="371"/>
      <c r="H167" s="31"/>
    </row>
    <row r="168" spans="2:8" x14ac:dyDescent="0.35">
      <c r="B168" s="67" t="s">
        <v>1073</v>
      </c>
      <c r="C168" s="59">
        <f>SUM(C167:C167)</f>
        <v>-6141.3690000000006</v>
      </c>
      <c r="E168" s="30"/>
    </row>
  </sheetData>
  <sheetProtection sheet="1" objects="1" scenarios="1"/>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B6398-5B2A-4AB2-9350-5B3F84A9043F}">
  <sheetPr>
    <tabColor theme="5"/>
  </sheetPr>
  <dimension ref="B3:O60"/>
  <sheetViews>
    <sheetView zoomScale="85" zoomScaleNormal="85" workbookViewId="0">
      <selection activeCell="B3" sqref="B3"/>
    </sheetView>
  </sheetViews>
  <sheetFormatPr defaultRowHeight="14.5" x14ac:dyDescent="0.35"/>
  <cols>
    <col min="2" max="2" width="42.81640625" customWidth="1"/>
    <col min="3" max="3" width="30.1796875" customWidth="1"/>
    <col min="4" max="4" width="39.54296875" customWidth="1"/>
    <col min="5" max="5" width="33.26953125" customWidth="1"/>
    <col min="6" max="6" width="44.7265625" customWidth="1"/>
    <col min="7" max="7" width="64.81640625" customWidth="1"/>
    <col min="8" max="8" width="45.7265625" customWidth="1"/>
    <col min="9" max="9" width="30.1796875" customWidth="1"/>
    <col min="10" max="10" width="55.81640625" bestFit="1" customWidth="1"/>
    <col min="12" max="12" width="57" customWidth="1"/>
    <col min="13" max="13" width="20.1796875" customWidth="1"/>
    <col min="14" max="14" width="31.1796875" customWidth="1"/>
    <col min="15" max="15" width="35.453125" customWidth="1"/>
  </cols>
  <sheetData>
    <row r="3" spans="2:15" ht="31" x14ac:dyDescent="0.7">
      <c r="B3" s="8" t="s">
        <v>611</v>
      </c>
    </row>
    <row r="5" spans="2:15" ht="16" x14ac:dyDescent="0.45">
      <c r="G5" s="371"/>
    </row>
    <row r="6" spans="2:15" x14ac:dyDescent="0.35">
      <c r="B6" s="217" t="s">
        <v>1075</v>
      </c>
      <c r="C6" s="10"/>
      <c r="D6" s="10"/>
      <c r="E6" s="10"/>
      <c r="F6" s="10"/>
      <c r="G6" s="11"/>
    </row>
    <row r="7" spans="2:15" x14ac:dyDescent="0.35">
      <c r="B7" s="218" t="s">
        <v>1067</v>
      </c>
      <c r="G7" s="13"/>
    </row>
    <row r="8" spans="2:15" ht="16" x14ac:dyDescent="0.45">
      <c r="B8" s="219" t="s">
        <v>1076</v>
      </c>
      <c r="C8" s="220"/>
      <c r="D8" s="221"/>
      <c r="G8" s="13"/>
    </row>
    <row r="9" spans="2:15" ht="16" x14ac:dyDescent="0.45">
      <c r="B9" s="194" t="s">
        <v>628</v>
      </c>
      <c r="C9" s="195" t="s">
        <v>634</v>
      </c>
      <c r="D9" s="196" t="s">
        <v>633</v>
      </c>
      <c r="G9" s="13"/>
    </row>
    <row r="10" spans="2:15" x14ac:dyDescent="0.35">
      <c r="B10" s="177" t="s">
        <v>636</v>
      </c>
      <c r="C10">
        <v>0</v>
      </c>
      <c r="D10" s="13">
        <v>0</v>
      </c>
      <c r="G10" s="13"/>
    </row>
    <row r="11" spans="2:15" x14ac:dyDescent="0.35">
      <c r="B11" s="177">
        <v>3</v>
      </c>
      <c r="C11">
        <v>5.0000000000000001E-4</v>
      </c>
      <c r="D11" s="13">
        <v>1E-3</v>
      </c>
      <c r="G11" s="13"/>
    </row>
    <row r="12" spans="2:15" x14ac:dyDescent="0.35">
      <c r="B12" s="177" t="s">
        <v>629</v>
      </c>
      <c r="C12">
        <v>1E-3</v>
      </c>
      <c r="D12" s="13">
        <v>2E-3</v>
      </c>
      <c r="G12" s="13"/>
    </row>
    <row r="13" spans="2:15" x14ac:dyDescent="0.35">
      <c r="B13" s="178" t="s">
        <v>630</v>
      </c>
      <c r="C13" s="15">
        <v>1.5E-3</v>
      </c>
      <c r="D13" s="16">
        <v>3.0000000000000001E-3</v>
      </c>
      <c r="G13" s="13"/>
    </row>
    <row r="14" spans="2:15" x14ac:dyDescent="0.35">
      <c r="B14" s="222" t="s">
        <v>639</v>
      </c>
      <c r="C14" t="s">
        <v>1077</v>
      </c>
      <c r="G14" s="13"/>
      <c r="K14" s="2"/>
      <c r="L14" s="2"/>
      <c r="M14" s="2"/>
      <c r="N14" s="2"/>
      <c r="O14" s="2"/>
    </row>
    <row r="15" spans="2:15" x14ac:dyDescent="0.35">
      <c r="B15" s="197"/>
      <c r="C15" t="s">
        <v>641</v>
      </c>
      <c r="G15" s="13"/>
    </row>
    <row r="16" spans="2:15" x14ac:dyDescent="0.35">
      <c r="B16" s="223" t="s">
        <v>642</v>
      </c>
      <c r="C16" t="s">
        <v>1078</v>
      </c>
      <c r="G16" s="13"/>
    </row>
    <row r="17" spans="2:7" x14ac:dyDescent="0.35">
      <c r="B17" s="197"/>
      <c r="C17" t="s">
        <v>644</v>
      </c>
      <c r="G17" s="13"/>
    </row>
    <row r="18" spans="2:7" x14ac:dyDescent="0.35">
      <c r="B18" s="224" t="s">
        <v>1062</v>
      </c>
      <c r="G18" s="13"/>
    </row>
    <row r="19" spans="2:7" ht="16" x14ac:dyDescent="0.45">
      <c r="B19" s="225" t="s">
        <v>1079</v>
      </c>
      <c r="C19" s="170"/>
      <c r="G19" s="13"/>
    </row>
    <row r="20" spans="2:7" ht="16" x14ac:dyDescent="0.45">
      <c r="B20" s="226" t="s">
        <v>196</v>
      </c>
      <c r="C20" s="196" t="s">
        <v>1080</v>
      </c>
      <c r="G20" s="13"/>
    </row>
    <row r="21" spans="2:7" x14ac:dyDescent="0.35">
      <c r="B21" s="177" t="s">
        <v>581</v>
      </c>
      <c r="C21" s="13">
        <v>1.54</v>
      </c>
      <c r="G21" s="13"/>
    </row>
    <row r="22" spans="2:7" x14ac:dyDescent="0.35">
      <c r="B22" s="177" t="s">
        <v>586</v>
      </c>
      <c r="C22" s="13">
        <v>1.54</v>
      </c>
      <c r="G22" s="13"/>
    </row>
    <row r="23" spans="2:7" x14ac:dyDescent="0.35">
      <c r="B23" s="177" t="s">
        <v>583</v>
      </c>
      <c r="C23" s="13">
        <v>1</v>
      </c>
      <c r="G23" s="13"/>
    </row>
    <row r="24" spans="2:7" x14ac:dyDescent="0.35">
      <c r="B24" s="178" t="s">
        <v>584</v>
      </c>
      <c r="C24" s="16">
        <v>0.54</v>
      </c>
      <c r="G24" s="13"/>
    </row>
    <row r="25" spans="2:7" x14ac:dyDescent="0.35">
      <c r="B25" s="197"/>
      <c r="G25" s="13"/>
    </row>
    <row r="26" spans="2:7" x14ac:dyDescent="0.35">
      <c r="B26" s="218" t="s">
        <v>1065</v>
      </c>
      <c r="G26" s="13"/>
    </row>
    <row r="27" spans="2:7" ht="16" x14ac:dyDescent="0.45">
      <c r="B27" s="227" t="s">
        <v>1081</v>
      </c>
      <c r="C27" s="228"/>
      <c r="D27" s="229"/>
      <c r="G27" s="13"/>
    </row>
    <row r="28" spans="2:7" ht="16" x14ac:dyDescent="0.45">
      <c r="B28" s="226" t="s">
        <v>626</v>
      </c>
      <c r="C28" s="195" t="s">
        <v>1082</v>
      </c>
      <c r="D28" s="196" t="s">
        <v>1083</v>
      </c>
      <c r="G28" s="13"/>
    </row>
    <row r="29" spans="2:7" x14ac:dyDescent="0.35">
      <c r="B29" s="12" t="s">
        <v>1084</v>
      </c>
      <c r="C29" s="232" t="s">
        <v>1085</v>
      </c>
      <c r="D29" s="13">
        <v>1.9E-3</v>
      </c>
      <c r="G29" s="13"/>
    </row>
    <row r="30" spans="2:7" x14ac:dyDescent="0.35">
      <c r="B30" s="12" t="s">
        <v>1084</v>
      </c>
      <c r="C30" s="232" t="s">
        <v>1086</v>
      </c>
      <c r="D30" s="13">
        <v>2.8999999999999998E-3</v>
      </c>
      <c r="G30" s="13"/>
    </row>
    <row r="31" spans="2:7" x14ac:dyDescent="0.35">
      <c r="B31" s="12" t="s">
        <v>1084</v>
      </c>
      <c r="C31" s="232" t="s">
        <v>1087</v>
      </c>
      <c r="D31" s="13">
        <v>3.8E-3</v>
      </c>
      <c r="G31" s="13"/>
    </row>
    <row r="32" spans="2:7" x14ac:dyDescent="0.35">
      <c r="B32" s="12" t="s">
        <v>1088</v>
      </c>
      <c r="C32" s="232" t="s">
        <v>1085</v>
      </c>
      <c r="D32" s="13">
        <v>1.4E-3</v>
      </c>
      <c r="G32" s="13"/>
    </row>
    <row r="33" spans="2:8" x14ac:dyDescent="0.35">
      <c r="B33" s="12" t="s">
        <v>1088</v>
      </c>
      <c r="C33" s="232" t="s">
        <v>1086</v>
      </c>
      <c r="D33" s="13">
        <v>2E-3</v>
      </c>
      <c r="G33" s="13"/>
    </row>
    <row r="34" spans="2:8" x14ac:dyDescent="0.35">
      <c r="B34" s="12" t="s">
        <v>1088</v>
      </c>
      <c r="C34" s="232" t="s">
        <v>1087</v>
      </c>
      <c r="D34" s="13">
        <v>2.7000000000000001E-3</v>
      </c>
      <c r="G34" s="13"/>
    </row>
    <row r="35" spans="2:8" x14ac:dyDescent="0.35">
      <c r="B35" s="12" t="s">
        <v>1089</v>
      </c>
      <c r="C35" s="232" t="s">
        <v>1085</v>
      </c>
      <c r="D35" s="13">
        <v>1E-3</v>
      </c>
      <c r="G35" s="13"/>
    </row>
    <row r="36" spans="2:8" x14ac:dyDescent="0.35">
      <c r="B36" s="12" t="s">
        <v>1089</v>
      </c>
      <c r="C36" s="232" t="s">
        <v>1086</v>
      </c>
      <c r="D36" s="13">
        <v>1.4E-3</v>
      </c>
      <c r="G36" s="13"/>
    </row>
    <row r="37" spans="2:8" x14ac:dyDescent="0.35">
      <c r="B37" s="14" t="s">
        <v>1089</v>
      </c>
      <c r="C37" s="230" t="s">
        <v>1087</v>
      </c>
      <c r="D37" s="16">
        <v>1.9E-3</v>
      </c>
      <c r="G37" s="13"/>
    </row>
    <row r="38" spans="2:8" x14ac:dyDescent="0.35">
      <c r="B38" s="231"/>
      <c r="C38" s="15"/>
      <c r="D38" s="15"/>
      <c r="E38" s="15"/>
      <c r="F38" s="15"/>
      <c r="G38" s="16"/>
    </row>
    <row r="40" spans="2:8" x14ac:dyDescent="0.35">
      <c r="B40" s="54"/>
    </row>
    <row r="41" spans="2:8" x14ac:dyDescent="0.35">
      <c r="B41" s="18" t="s">
        <v>1102</v>
      </c>
      <c r="C41" s="136"/>
      <c r="D41" s="136"/>
      <c r="E41" s="136"/>
      <c r="F41" s="136"/>
      <c r="G41" s="136"/>
      <c r="H41" s="136"/>
    </row>
    <row r="43" spans="2:8" x14ac:dyDescent="0.35">
      <c r="B43" s="54" t="s">
        <v>1103</v>
      </c>
    </row>
    <row r="45" spans="2:8" x14ac:dyDescent="0.35">
      <c r="B45" s="2" t="s">
        <v>1104</v>
      </c>
    </row>
    <row r="46" spans="2:8" x14ac:dyDescent="0.35">
      <c r="B46" s="2" t="s">
        <v>1105</v>
      </c>
    </row>
    <row r="47" spans="2:8" x14ac:dyDescent="0.35">
      <c r="B47" s="61" t="s">
        <v>687</v>
      </c>
      <c r="C47" s="69" t="str">
        <f>'12a.) CustomBicycleProject'!C21</f>
        <v>Example Blvd 
(Not included in VMT Estimates, for reference only)</v>
      </c>
      <c r="D47" s="381">
        <f>'12a.) CustomBicycleProject'!D21</f>
        <v>0</v>
      </c>
      <c r="E47" s="381">
        <f>'12a.) CustomBicycleProject'!E21</f>
        <v>0</v>
      </c>
      <c r="F47" s="381">
        <f>'12a.) CustomBicycleProject'!F21</f>
        <v>0</v>
      </c>
    </row>
    <row r="48" spans="2:8" x14ac:dyDescent="0.35">
      <c r="B48" s="6" t="s">
        <v>196</v>
      </c>
      <c r="C48" s="201" t="str">
        <f>'12a.) CustomBicycleProject'!C22</f>
        <v>Class II to Class IV Conversion</v>
      </c>
      <c r="D48" s="200" t="str">
        <f>'12a.) CustomBicycleProject'!D22</f>
        <v>Class I</v>
      </c>
      <c r="E48" s="385" t="str">
        <f>'12a.) CustomBicycleProject'!E22</f>
        <v>Class II</v>
      </c>
      <c r="F48" s="385" t="str">
        <f>'12a.) CustomBicycleProject'!F22</f>
        <v>Class II to Class IV Conversion</v>
      </c>
    </row>
    <row r="49" spans="2:6" x14ac:dyDescent="0.35">
      <c r="B49" s="6" t="s">
        <v>582</v>
      </c>
      <c r="C49" s="27">
        <f>'12a.) CustomBicycleProject'!C23</f>
        <v>3</v>
      </c>
      <c r="D49" s="382">
        <f>'12a.) CustomBicycleProject'!D23</f>
        <v>0.5</v>
      </c>
      <c r="E49" s="382">
        <f>'12a.) CustomBicycleProject'!E23</f>
        <v>1</v>
      </c>
      <c r="F49" s="382">
        <f>'12a.) CustomBicycleProject'!F23</f>
        <v>1.75</v>
      </c>
    </row>
    <row r="50" spans="2:6" x14ac:dyDescent="0.35">
      <c r="B50" s="383" t="s">
        <v>1106</v>
      </c>
      <c r="C50" s="34" t="str">
        <f>IF(C49&lt;=1,$C$29,IF(C49&lt;=2,$C$30,IF(C49&gt;2,$C$31,"0")))</f>
        <v>More than 2 miles</v>
      </c>
      <c r="D50" s="34" t="str">
        <f t="shared" ref="D50:F50" si="0">IF(D49&lt;=1,$C$29,IF(D49&lt;=2,$C$30,IF(D49&gt;2,$C$31,"0")))</f>
        <v>1 mile or less</v>
      </c>
      <c r="E50" s="34" t="str">
        <f t="shared" si="0"/>
        <v>1 mile or less</v>
      </c>
      <c r="F50" s="34" t="str">
        <f t="shared" si="0"/>
        <v>1.1 to 2 miles</v>
      </c>
    </row>
    <row r="51" spans="2:6" x14ac:dyDescent="0.35">
      <c r="B51" s="234" t="s">
        <v>1055</v>
      </c>
      <c r="C51" s="63"/>
      <c r="D51" s="63"/>
      <c r="E51" s="63"/>
      <c r="F51" s="63"/>
    </row>
    <row r="52" spans="2:6" x14ac:dyDescent="0.35">
      <c r="B52" s="7" t="s">
        <v>1056</v>
      </c>
      <c r="C52" s="40">
        <v>295</v>
      </c>
      <c r="D52" s="40">
        <v>295</v>
      </c>
      <c r="E52" s="40">
        <v>295</v>
      </c>
      <c r="F52" s="40">
        <v>295</v>
      </c>
    </row>
    <row r="53" spans="2:6" x14ac:dyDescent="0.35">
      <c r="B53" s="7" t="s">
        <v>1092</v>
      </c>
      <c r="C53" s="56">
        <f>'12a.) CustomBicycleProject'!C24</f>
        <v>13500</v>
      </c>
      <c r="D53" s="161">
        <f>'12a.) CustomBicycleProject'!D24</f>
        <v>918</v>
      </c>
      <c r="E53" s="161">
        <f>'12a.) CustomBicycleProject'!E24</f>
        <v>541</v>
      </c>
      <c r="F53" s="161">
        <f>'12a.) CustomBicycleProject'!F24</f>
        <v>12526</v>
      </c>
    </row>
    <row r="54" spans="2:6" x14ac:dyDescent="0.35">
      <c r="B54" s="7" t="s">
        <v>1107</v>
      </c>
      <c r="C54" s="34" t="str">
        <f>IF(C53&lt;12000,$B$29,IF(C53&lt;=24000,$B$32,IF(C53&gt;=24001,$B$35,"N/A")))</f>
        <v>12,001 to 24,000</v>
      </c>
      <c r="D54" s="34" t="str">
        <f t="shared" ref="D54:F54" si="1">IF(D53&lt;12000,$B$29,IF(D53&lt;=24000,$B$32,IF(D53&gt;=24001,$B$35,"N/A")))</f>
        <v>&lt; 12,000</v>
      </c>
      <c r="E54" s="34" t="str">
        <f t="shared" si="1"/>
        <v>&lt; 12,000</v>
      </c>
      <c r="F54" s="34" t="str">
        <f t="shared" si="1"/>
        <v>12,001 to 24,000</v>
      </c>
    </row>
    <row r="55" spans="2:6" x14ac:dyDescent="0.35">
      <c r="B55" s="7" t="s">
        <v>1062</v>
      </c>
      <c r="C55" s="6">
        <f>_xlfn.XLOOKUP(C48,$B$21:$B$24,$C$21:$C$24,0)</f>
        <v>0.54</v>
      </c>
      <c r="D55" s="384">
        <f>_xlfn.XLOOKUP(D48,$B$21:$B$24,$C$21:$C$24,0)</f>
        <v>1.54</v>
      </c>
      <c r="E55" s="384">
        <f t="shared" ref="E55:F55" si="2">_xlfn.XLOOKUP(E48,$B$21:$B$24,$C$21:$C$24,0)</f>
        <v>1</v>
      </c>
      <c r="F55" s="384">
        <f t="shared" si="2"/>
        <v>0.54</v>
      </c>
    </row>
    <row r="56" spans="2:6" x14ac:dyDescent="0.35">
      <c r="B56" s="7" t="s">
        <v>1065</v>
      </c>
      <c r="C56" s="6" cm="1">
        <f t="array" ref="C56">_xlfn.XLOOKUP(C54&amp;C50,$B$29:$B$37&amp;$C$29:$C$37,$D$29:$D$37,0)</f>
        <v>2.7000000000000001E-3</v>
      </c>
      <c r="D56" s="384" cm="1">
        <f t="array" ref="D56">_xlfn.XLOOKUP(D54&amp;D50,$B$29:$B$37&amp;$C$29:$C$37,$D$29:$D$37,0)</f>
        <v>1.9E-3</v>
      </c>
      <c r="E56" s="384" cm="1">
        <f t="array" ref="E56">_xlfn.XLOOKUP(E54&amp;E50,$B$29:$B$37&amp;$C$29:$C$37,$D$29:$D$37,0)</f>
        <v>1.9E-3</v>
      </c>
      <c r="F56" s="384" cm="1">
        <f t="array" ref="F56">_xlfn.XLOOKUP(F54&amp;F50,$B$29:$B$37&amp;$C$29:$C$37,$D$29:$D$37,0)</f>
        <v>2E-3</v>
      </c>
    </row>
    <row r="57" spans="2:6" x14ac:dyDescent="0.35">
      <c r="B57" s="7" t="s">
        <v>1067</v>
      </c>
      <c r="C57" s="6" cm="1">
        <f t="array" ref="C57">_xlfn.XLOOKUP('12a.) CustomBicycleProject'!C26,'Action 12a Calculation'!$B$10:$B$13,_xlfn.XLOOKUP('12a.) CustomBicycleProject'!C27,'Action 12a Calculation'!$C$9:$D$9,'Action 12a Calculation'!$C$10:$D$13))</f>
        <v>2E-3</v>
      </c>
      <c r="D57" s="384" cm="1">
        <f t="array" ref="D57">_xlfn.XLOOKUP('12a.) CustomBicycleProject'!D26,'Action 12a Calculation'!$B$10:$B$13,_xlfn.XLOOKUP('12a.) CustomBicycleProject'!D27,'Action 12a Calculation'!$C$9:$D$9,'Action 12a Calculation'!$C$10:$D$13))</f>
        <v>3.0000000000000001E-3</v>
      </c>
      <c r="E57" s="384" cm="1">
        <f t="array" ref="E57">_xlfn.XLOOKUP('12a.) CustomBicycleProject'!E26,'Action 12a Calculation'!$B$10:$B$13,_xlfn.XLOOKUP('12a.) CustomBicycleProject'!E27,'Action 12a Calculation'!$C$9:$D$9,'Action 12a Calculation'!$C$10:$D$13))</f>
        <v>2E-3</v>
      </c>
      <c r="F57" s="384" cm="1">
        <f t="array" ref="F57">_xlfn.XLOOKUP('12a.) CustomBicycleProject'!F26,'Action 12a Calculation'!$B$10:$B$13,_xlfn.XLOOKUP('12a.) CustomBicycleProject'!F27,'Action 12a Calculation'!$C$9:$D$9,'Action 12a Calculation'!$C$10:$D$13))</f>
        <v>5.0000000000000001E-4</v>
      </c>
    </row>
    <row r="58" spans="2:6" x14ac:dyDescent="0.35">
      <c r="B58" s="7" t="s">
        <v>1069</v>
      </c>
      <c r="C58" s="34">
        <f>'Action 12 Calculation'!$C$166</f>
        <v>1.5</v>
      </c>
      <c r="D58" s="34">
        <f>'Action 12 Calculation'!$C$166</f>
        <v>1.5</v>
      </c>
      <c r="E58" s="34">
        <f>'Action 12 Calculation'!$C$166</f>
        <v>1.5</v>
      </c>
      <c r="F58" s="34">
        <f>'Action 12 Calculation'!$C$166</f>
        <v>1.5</v>
      </c>
    </row>
    <row r="59" spans="2:6" x14ac:dyDescent="0.35">
      <c r="B59" s="7" t="s">
        <v>1072</v>
      </c>
      <c r="C59" s="59">
        <f>-C52*C53*C55*(C56+C57)*C58</f>
        <v>-15161.377500000002</v>
      </c>
      <c r="D59" s="59">
        <f>-D52*D53*D55*(D56+D57)*D58</f>
        <v>-3065.2983899999999</v>
      </c>
      <c r="E59" s="59">
        <f>-E52*E53*E55*(E56+E57)*E58</f>
        <v>-933.63074999999992</v>
      </c>
      <c r="F59" s="59">
        <f>-F52*F53*F55*(F56+F57)*F58</f>
        <v>-7482.7192500000001</v>
      </c>
    </row>
    <row r="60" spans="2:6" x14ac:dyDescent="0.35">
      <c r="B60" s="67" t="s">
        <v>1073</v>
      </c>
      <c r="C60" s="59">
        <f>SUM(C59:E59)</f>
        <v>-19160.306640000003</v>
      </c>
    </row>
  </sheetData>
  <sheetProtection sheet="1" objects="1" scenarios="1"/>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DF968-DFAA-4402-91A9-168BD84357BF}">
  <sheetPr>
    <tabColor theme="5"/>
  </sheetPr>
  <dimension ref="B2:G19"/>
  <sheetViews>
    <sheetView zoomScaleNormal="100" workbookViewId="0">
      <selection activeCell="E10" sqref="E10"/>
    </sheetView>
  </sheetViews>
  <sheetFormatPr defaultRowHeight="14.5" x14ac:dyDescent="0.35"/>
  <cols>
    <col min="2" max="2" width="57.26953125" customWidth="1"/>
    <col min="3" max="3" width="20.1796875" customWidth="1"/>
    <col min="4" max="4" width="44" customWidth="1"/>
    <col min="5" max="5" width="56.1796875" customWidth="1"/>
    <col min="7" max="7" width="54.81640625" customWidth="1"/>
    <col min="8" max="8" width="22" customWidth="1"/>
    <col min="9" max="9" width="36.54296875" customWidth="1"/>
    <col min="10" max="10" width="27.453125" customWidth="1"/>
    <col min="13" max="13" width="67.26953125" customWidth="1"/>
    <col min="14" max="14" width="42.1796875" bestFit="1" customWidth="1"/>
    <col min="15" max="15" width="38.453125" customWidth="1"/>
    <col min="18" max="18" width="71.54296875" bestFit="1" customWidth="1"/>
    <col min="20" max="20" width="40.26953125" customWidth="1"/>
    <col min="21" max="21" width="9.453125" bestFit="1" customWidth="1"/>
  </cols>
  <sheetData>
    <row r="2" spans="2:7" ht="31" x14ac:dyDescent="0.7">
      <c r="B2" s="8" t="s">
        <v>185</v>
      </c>
    </row>
    <row r="4" spans="2:7" x14ac:dyDescent="0.35">
      <c r="B4" s="388" t="s">
        <v>1108</v>
      </c>
    </row>
    <row r="5" spans="2:7" x14ac:dyDescent="0.35">
      <c r="B5" s="2"/>
    </row>
    <row r="6" spans="2:7" x14ac:dyDescent="0.35">
      <c r="B6" s="18" t="s">
        <v>1109</v>
      </c>
      <c r="C6" s="136"/>
      <c r="D6" s="136"/>
      <c r="E6" s="136"/>
      <c r="F6" s="136"/>
      <c r="G6" s="136"/>
    </row>
    <row r="8" spans="2:7" x14ac:dyDescent="0.35">
      <c r="B8" s="26" t="s">
        <v>687</v>
      </c>
      <c r="C8" s="26" t="s">
        <v>688</v>
      </c>
      <c r="D8" s="26" t="s">
        <v>276</v>
      </c>
      <c r="E8" s="26" t="s">
        <v>689</v>
      </c>
    </row>
    <row r="9" spans="2:7" ht="43.5" x14ac:dyDescent="0.35">
      <c r="B9" s="7" t="s">
        <v>1056</v>
      </c>
      <c r="C9" s="40">
        <v>295</v>
      </c>
      <c r="D9" s="6" t="s">
        <v>1057</v>
      </c>
      <c r="E9" s="7" t="s">
        <v>1110</v>
      </c>
    </row>
    <row r="10" spans="2:7" ht="29" x14ac:dyDescent="0.35">
      <c r="B10" s="7" t="s">
        <v>1111</v>
      </c>
      <c r="C10" s="161">
        <f>'13.) Pedestrian Infrastructure'!C20</f>
        <v>20</v>
      </c>
      <c r="D10" s="6" t="s">
        <v>1112</v>
      </c>
      <c r="E10" s="7" t="s">
        <v>1113</v>
      </c>
    </row>
    <row r="11" spans="2:7" ht="29" x14ac:dyDescent="0.35">
      <c r="B11" s="7" t="s">
        <v>1114</v>
      </c>
      <c r="C11" s="27">
        <v>0.65</v>
      </c>
      <c r="D11" s="6" t="s">
        <v>1115</v>
      </c>
      <c r="E11" s="7" t="s">
        <v>1116</v>
      </c>
    </row>
    <row r="12" spans="2:7" ht="29" x14ac:dyDescent="0.35">
      <c r="B12" s="7" t="s">
        <v>1117</v>
      </c>
      <c r="C12" s="34">
        <v>0.1</v>
      </c>
      <c r="D12" s="6" t="s">
        <v>1115</v>
      </c>
      <c r="E12" s="7" t="s">
        <v>1118</v>
      </c>
    </row>
    <row r="13" spans="2:7" x14ac:dyDescent="0.35">
      <c r="B13" s="7" t="s">
        <v>1119</v>
      </c>
      <c r="C13" s="27">
        <f>1/1.15</f>
        <v>0.86956521739130443</v>
      </c>
      <c r="D13" s="6" t="s">
        <v>1120</v>
      </c>
      <c r="E13" s="7" t="s">
        <v>1121</v>
      </c>
    </row>
    <row r="14" spans="2:7" ht="29" x14ac:dyDescent="0.35">
      <c r="B14" s="7" t="s">
        <v>1122</v>
      </c>
      <c r="C14" s="6">
        <v>0.64600000000000002</v>
      </c>
      <c r="D14" s="6" t="s">
        <v>1115</v>
      </c>
      <c r="E14" s="7" t="s">
        <v>1123</v>
      </c>
    </row>
    <row r="15" spans="2:7" x14ac:dyDescent="0.35">
      <c r="B15" s="7" t="s">
        <v>1124</v>
      </c>
      <c r="C15" s="6">
        <v>0.3</v>
      </c>
      <c r="D15" s="7" t="s">
        <v>1125</v>
      </c>
      <c r="E15" s="7" t="s">
        <v>1126</v>
      </c>
    </row>
    <row r="16" spans="2:7" x14ac:dyDescent="0.35">
      <c r="B16" s="7" t="s">
        <v>1127</v>
      </c>
      <c r="C16" s="27">
        <f>-(C9*C10*C11*C12*C13*C14*C15)</f>
        <v>-64.628086956521742</v>
      </c>
    </row>
    <row r="17" spans="2:3" x14ac:dyDescent="0.35">
      <c r="B17" s="28"/>
      <c r="C17" s="30"/>
    </row>
    <row r="18" spans="2:3" ht="16" x14ac:dyDescent="0.45">
      <c r="B18" s="66" t="s">
        <v>705</v>
      </c>
    </row>
    <row r="19" spans="2:3" ht="16" x14ac:dyDescent="0.45">
      <c r="B19" s="371" t="s">
        <v>1128</v>
      </c>
      <c r="C19" s="31" t="s">
        <v>1129</v>
      </c>
    </row>
  </sheetData>
  <sheetProtection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8230A-35BC-44A1-A6C9-E472F4255614}">
  <sheetPr>
    <tabColor theme="5"/>
  </sheetPr>
  <dimension ref="B2:L67"/>
  <sheetViews>
    <sheetView zoomScale="110" zoomScaleNormal="110" workbookViewId="0">
      <selection activeCell="C55" sqref="C55"/>
    </sheetView>
  </sheetViews>
  <sheetFormatPr defaultRowHeight="14.5" x14ac:dyDescent="0.35"/>
  <cols>
    <col min="2" max="2" width="44.54296875" customWidth="1"/>
    <col min="3" max="3" width="21" customWidth="1"/>
    <col min="4" max="4" width="32" customWidth="1"/>
    <col min="5" max="5" width="47.54296875" customWidth="1"/>
    <col min="6" max="6" width="13.453125" customWidth="1"/>
    <col min="7" max="7" width="22.26953125" customWidth="1"/>
  </cols>
  <sheetData>
    <row r="2" spans="2:12" ht="31" x14ac:dyDescent="0.7">
      <c r="B2" s="8" t="s">
        <v>186</v>
      </c>
    </row>
    <row r="4" spans="2:12" x14ac:dyDescent="0.35">
      <c r="B4" s="18" t="s">
        <v>686</v>
      </c>
      <c r="C4" s="18"/>
      <c r="D4" s="18"/>
      <c r="E4" s="18"/>
      <c r="F4" s="18"/>
      <c r="G4" s="18"/>
      <c r="H4" s="18"/>
      <c r="I4" s="18"/>
      <c r="J4" s="18"/>
      <c r="K4" s="18"/>
      <c r="L4" s="18"/>
    </row>
    <row r="6" spans="2:12" x14ac:dyDescent="0.35">
      <c r="B6" s="54" t="s">
        <v>1130</v>
      </c>
    </row>
    <row r="7" spans="2:12" x14ac:dyDescent="0.35">
      <c r="B7" s="2"/>
    </row>
    <row r="8" spans="2:12" x14ac:dyDescent="0.35">
      <c r="B8" s="2" t="s">
        <v>1131</v>
      </c>
    </row>
    <row r="9" spans="2:12" x14ac:dyDescent="0.35">
      <c r="B9" s="2"/>
    </row>
    <row r="10" spans="2:12" x14ac:dyDescent="0.35">
      <c r="B10" s="2" t="s">
        <v>674</v>
      </c>
    </row>
    <row r="11" spans="2:12" x14ac:dyDescent="0.35">
      <c r="B11" s="26" t="s">
        <v>687</v>
      </c>
      <c r="C11" s="26" t="s">
        <v>688</v>
      </c>
      <c r="D11" s="26" t="s">
        <v>276</v>
      </c>
      <c r="E11" s="26" t="s">
        <v>689</v>
      </c>
    </row>
    <row r="12" spans="2:12" x14ac:dyDescent="0.35">
      <c r="B12" s="7" t="s">
        <v>1132</v>
      </c>
      <c r="C12" s="173">
        <f>SUM('Action 14 Data'!C7:C11)</f>
        <v>597336.58000000007</v>
      </c>
      <c r="D12" s="7" t="s">
        <v>945</v>
      </c>
      <c r="E12" s="7"/>
    </row>
    <row r="13" spans="2:12" ht="29" x14ac:dyDescent="0.35">
      <c r="B13" s="7" t="s">
        <v>1133</v>
      </c>
      <c r="C13" s="173">
        <f>C12</f>
        <v>597336.58000000007</v>
      </c>
      <c r="D13" s="7" t="s">
        <v>945</v>
      </c>
      <c r="E13" s="7" t="s">
        <v>1134</v>
      </c>
    </row>
    <row r="14" spans="2:12" x14ac:dyDescent="0.35">
      <c r="B14" s="7" t="s">
        <v>1135</v>
      </c>
      <c r="C14" s="45">
        <f>'14.) Parking Benefit Districts'!C24</f>
        <v>2</v>
      </c>
      <c r="D14" s="7" t="s">
        <v>691</v>
      </c>
      <c r="E14" s="7"/>
    </row>
    <row r="15" spans="2:12" x14ac:dyDescent="0.35">
      <c r="B15" s="7" t="s">
        <v>1136</v>
      </c>
      <c r="C15" s="45">
        <f>'14.) Parking Benefit Districts'!C23</f>
        <v>1</v>
      </c>
      <c r="D15" s="7" t="s">
        <v>691</v>
      </c>
      <c r="E15" s="7"/>
    </row>
    <row r="16" spans="2:12" ht="29" x14ac:dyDescent="0.35">
      <c r="B16" s="25" t="s">
        <v>1137</v>
      </c>
      <c r="C16" s="498">
        <f>IF(C15=0,C14*0.5,C15)</f>
        <v>1</v>
      </c>
      <c r="D16" s="7"/>
      <c r="E16" s="25" t="s">
        <v>1138</v>
      </c>
    </row>
    <row r="17" spans="2:5" x14ac:dyDescent="0.35">
      <c r="B17" s="7" t="s">
        <v>1139</v>
      </c>
      <c r="C17" s="46">
        <f>'14.) Parking Benefit Districts'!C25</f>
        <v>0.5</v>
      </c>
      <c r="D17" s="7" t="s">
        <v>691</v>
      </c>
      <c r="E17" s="7"/>
    </row>
    <row r="18" spans="2:5" ht="31.5" customHeight="1" x14ac:dyDescent="0.35">
      <c r="B18" s="7" t="s">
        <v>1140</v>
      </c>
      <c r="C18" s="34">
        <v>-0.4</v>
      </c>
      <c r="D18" s="7" t="s">
        <v>696</v>
      </c>
      <c r="E18" s="7"/>
    </row>
    <row r="19" spans="2:5" x14ac:dyDescent="0.35">
      <c r="B19" s="7" t="s">
        <v>1141</v>
      </c>
      <c r="C19" s="40">
        <v>1</v>
      </c>
      <c r="D19" s="7" t="s">
        <v>696</v>
      </c>
      <c r="E19" s="7"/>
    </row>
    <row r="20" spans="2:5" ht="16" x14ac:dyDescent="0.45">
      <c r="B20" s="303" t="s">
        <v>704</v>
      </c>
      <c r="C20" s="47">
        <f>(C12/C13)*((C14-C16)/C16)*C17*C18*C19</f>
        <v>-0.2</v>
      </c>
    </row>
    <row r="21" spans="2:5" ht="16" x14ac:dyDescent="0.45">
      <c r="B21" s="303" t="s">
        <v>1142</v>
      </c>
      <c r="C21" s="47">
        <f>IF(C20&lt;-30%,-30%,C20)</f>
        <v>-0.2</v>
      </c>
    </row>
    <row r="22" spans="2:5" x14ac:dyDescent="0.35">
      <c r="E22" s="30"/>
    </row>
    <row r="23" spans="2:5" ht="16" x14ac:dyDescent="0.45">
      <c r="B23" s="66" t="s">
        <v>705</v>
      </c>
      <c r="C23" s="33"/>
    </row>
    <row r="24" spans="2:5" ht="16" x14ac:dyDescent="0.45">
      <c r="B24" s="371" t="s">
        <v>706</v>
      </c>
      <c r="C24" s="31" t="s">
        <v>1143</v>
      </c>
    </row>
    <row r="27" spans="2:5" x14ac:dyDescent="0.35">
      <c r="B27" s="302" t="s">
        <v>675</v>
      </c>
    </row>
    <row r="28" spans="2:5" x14ac:dyDescent="0.35">
      <c r="B28" s="26" t="s">
        <v>687</v>
      </c>
      <c r="C28" s="26" t="s">
        <v>688</v>
      </c>
      <c r="D28" s="26" t="s">
        <v>276</v>
      </c>
      <c r="E28" s="26" t="s">
        <v>689</v>
      </c>
    </row>
    <row r="29" spans="2:5" x14ac:dyDescent="0.35">
      <c r="B29" s="7" t="s">
        <v>1132</v>
      </c>
      <c r="C29" s="173">
        <f>SUM('Action 14 Data'!C20:C22)</f>
        <v>491773.03</v>
      </c>
      <c r="D29" s="7" t="s">
        <v>945</v>
      </c>
      <c r="E29" s="7"/>
    </row>
    <row r="30" spans="2:5" ht="29" x14ac:dyDescent="0.35">
      <c r="B30" s="7" t="s">
        <v>1133</v>
      </c>
      <c r="C30" s="173">
        <f>C29</f>
        <v>491773.03</v>
      </c>
      <c r="D30" s="7" t="s">
        <v>945</v>
      </c>
      <c r="E30" s="7" t="s">
        <v>1134</v>
      </c>
    </row>
    <row r="31" spans="2:5" x14ac:dyDescent="0.35">
      <c r="B31" s="7" t="s">
        <v>1135</v>
      </c>
      <c r="C31" s="45">
        <f>'14.) Parking Benefit Districts'!D24</f>
        <v>2</v>
      </c>
      <c r="D31" s="7" t="s">
        <v>691</v>
      </c>
      <c r="E31" s="7"/>
    </row>
    <row r="32" spans="2:5" x14ac:dyDescent="0.35">
      <c r="B32" s="7" t="s">
        <v>1136</v>
      </c>
      <c r="C32" s="45">
        <f>'14.) Parking Benefit Districts'!D23</f>
        <v>1</v>
      </c>
      <c r="D32" s="7" t="s">
        <v>691</v>
      </c>
      <c r="E32" s="7"/>
    </row>
    <row r="33" spans="2:5" ht="29" x14ac:dyDescent="0.35">
      <c r="B33" s="25" t="s">
        <v>1137</v>
      </c>
      <c r="C33" s="498">
        <f>IF(C32=0,C31*0.5,C32)</f>
        <v>1</v>
      </c>
      <c r="D33" s="7"/>
      <c r="E33" s="25" t="s">
        <v>1138</v>
      </c>
    </row>
    <row r="34" spans="2:5" x14ac:dyDescent="0.35">
      <c r="B34" s="7" t="s">
        <v>1139</v>
      </c>
      <c r="C34" s="46">
        <f>'14.) Parking Benefit Districts'!D25</f>
        <v>0.5</v>
      </c>
      <c r="D34" s="7" t="s">
        <v>691</v>
      </c>
      <c r="E34" s="7"/>
    </row>
    <row r="35" spans="2:5" ht="29" x14ac:dyDescent="0.35">
      <c r="B35" s="7" t="s">
        <v>1140</v>
      </c>
      <c r="C35" s="27">
        <v>-0.4</v>
      </c>
      <c r="D35" s="7" t="s">
        <v>696</v>
      </c>
      <c r="E35" s="7"/>
    </row>
    <row r="36" spans="2:5" x14ac:dyDescent="0.35">
      <c r="B36" s="7" t="s">
        <v>1141</v>
      </c>
      <c r="C36" s="34">
        <v>1</v>
      </c>
      <c r="D36" s="7" t="s">
        <v>696</v>
      </c>
      <c r="E36" s="7"/>
    </row>
    <row r="37" spans="2:5" ht="16" x14ac:dyDescent="0.45">
      <c r="B37" s="303" t="s">
        <v>704</v>
      </c>
      <c r="C37" s="47">
        <f>(C29/C30)*((C31-C33)/C33)*C34*C35*C36</f>
        <v>-0.2</v>
      </c>
    </row>
    <row r="38" spans="2:5" ht="16" x14ac:dyDescent="0.45">
      <c r="B38" s="303" t="s">
        <v>1142</v>
      </c>
      <c r="C38" s="47">
        <f>IF(C37&lt;-30%,-30%,C37)</f>
        <v>-0.2</v>
      </c>
    </row>
    <row r="39" spans="2:5" x14ac:dyDescent="0.35">
      <c r="E39" s="30"/>
    </row>
    <row r="40" spans="2:5" ht="16" x14ac:dyDescent="0.45">
      <c r="B40" s="66" t="s">
        <v>705</v>
      </c>
      <c r="C40" s="33"/>
    </row>
    <row r="41" spans="2:5" ht="16" x14ac:dyDescent="0.45">
      <c r="B41" s="371" t="s">
        <v>706</v>
      </c>
      <c r="C41" s="31" t="s">
        <v>1143</v>
      </c>
    </row>
    <row r="44" spans="2:5" x14ac:dyDescent="0.35">
      <c r="B44" s="302" t="s">
        <v>676</v>
      </c>
    </row>
    <row r="45" spans="2:5" x14ac:dyDescent="0.35">
      <c r="B45" s="26" t="s">
        <v>687</v>
      </c>
      <c r="C45" s="26" t="s">
        <v>688</v>
      </c>
      <c r="D45" s="26" t="s">
        <v>276</v>
      </c>
      <c r="E45" s="26" t="s">
        <v>689</v>
      </c>
    </row>
    <row r="46" spans="2:5" x14ac:dyDescent="0.35">
      <c r="B46" s="7" t="s">
        <v>1132</v>
      </c>
      <c r="C46" s="173">
        <f>SUM('Action 14 Data'!C33:C35)</f>
        <v>472676.42000000004</v>
      </c>
      <c r="D46" s="7" t="s">
        <v>945</v>
      </c>
      <c r="E46" s="7"/>
    </row>
    <row r="47" spans="2:5" ht="29" x14ac:dyDescent="0.35">
      <c r="B47" s="7" t="s">
        <v>1133</v>
      </c>
      <c r="C47" s="173">
        <f>C46</f>
        <v>472676.42000000004</v>
      </c>
      <c r="D47" s="7" t="s">
        <v>945</v>
      </c>
      <c r="E47" s="7" t="s">
        <v>1134</v>
      </c>
    </row>
    <row r="48" spans="2:5" x14ac:dyDescent="0.35">
      <c r="B48" s="7" t="s">
        <v>1135</v>
      </c>
      <c r="C48" s="45">
        <f>'14.) Parking Benefit Districts'!E24</f>
        <v>2</v>
      </c>
      <c r="D48" s="7" t="s">
        <v>691</v>
      </c>
      <c r="E48" s="7"/>
    </row>
    <row r="49" spans="2:12" x14ac:dyDescent="0.35">
      <c r="B49" s="7" t="s">
        <v>1136</v>
      </c>
      <c r="C49" s="45">
        <f>'14.) Parking Benefit Districts'!E23</f>
        <v>1</v>
      </c>
      <c r="D49" s="7" t="s">
        <v>691</v>
      </c>
      <c r="E49" s="7"/>
    </row>
    <row r="50" spans="2:12" ht="29" x14ac:dyDescent="0.35">
      <c r="B50" s="25" t="s">
        <v>1137</v>
      </c>
      <c r="C50" s="498">
        <f>IF(C49=0,C48*0.5,C49)</f>
        <v>1</v>
      </c>
      <c r="D50" s="7"/>
      <c r="E50" s="25" t="s">
        <v>1138</v>
      </c>
    </row>
    <row r="51" spans="2:12" x14ac:dyDescent="0.35">
      <c r="B51" s="7" t="s">
        <v>1139</v>
      </c>
      <c r="C51" s="46">
        <f>'14.) Parking Benefit Districts'!E25</f>
        <v>0.5</v>
      </c>
      <c r="D51" s="7" t="s">
        <v>691</v>
      </c>
      <c r="E51" s="7"/>
    </row>
    <row r="52" spans="2:12" ht="29" x14ac:dyDescent="0.35">
      <c r="B52" s="7" t="s">
        <v>1140</v>
      </c>
      <c r="C52" s="27">
        <v>-0.4</v>
      </c>
      <c r="D52" s="7" t="s">
        <v>696</v>
      </c>
      <c r="E52" s="7"/>
    </row>
    <row r="53" spans="2:12" x14ac:dyDescent="0.35">
      <c r="B53" s="7" t="s">
        <v>1141</v>
      </c>
      <c r="C53" s="34">
        <v>1</v>
      </c>
      <c r="D53" s="7" t="s">
        <v>696</v>
      </c>
      <c r="E53" s="7"/>
    </row>
    <row r="54" spans="2:12" ht="16" x14ac:dyDescent="0.45">
      <c r="B54" s="303" t="s">
        <v>704</v>
      </c>
      <c r="C54" s="47">
        <f>(C46/C47)*((C48-C50)/C50)*C51*C52*C53</f>
        <v>-0.2</v>
      </c>
    </row>
    <row r="55" spans="2:12" ht="16" x14ac:dyDescent="0.45">
      <c r="B55" s="303" t="s">
        <v>1142</v>
      </c>
      <c r="C55" s="47">
        <f>IF(C54&lt;-30%,-30%,C54)</f>
        <v>-0.2</v>
      </c>
      <c r="E55" s="30"/>
    </row>
    <row r="56" spans="2:12" x14ac:dyDescent="0.35">
      <c r="E56" s="30"/>
    </row>
    <row r="57" spans="2:12" ht="16" x14ac:dyDescent="0.45">
      <c r="B57" s="66" t="s">
        <v>705</v>
      </c>
      <c r="C57" s="33"/>
    </row>
    <row r="58" spans="2:12" ht="16" x14ac:dyDescent="0.45">
      <c r="B58" s="371" t="s">
        <v>706</v>
      </c>
      <c r="C58" s="31" t="s">
        <v>1143</v>
      </c>
    </row>
    <row r="61" spans="2:12" x14ac:dyDescent="0.35">
      <c r="B61" s="18" t="s">
        <v>1144</v>
      </c>
      <c r="C61" s="18"/>
      <c r="D61" s="18"/>
      <c r="E61" s="18"/>
      <c r="F61" s="18"/>
      <c r="G61" s="18"/>
      <c r="H61" s="18"/>
      <c r="I61" s="18"/>
      <c r="J61" s="18"/>
      <c r="K61" s="18"/>
      <c r="L61" s="18"/>
    </row>
    <row r="64" spans="2:12" x14ac:dyDescent="0.35">
      <c r="C64" s="153" t="s">
        <v>988</v>
      </c>
      <c r="D64" s="153" t="s">
        <v>1145</v>
      </c>
      <c r="E64" s="153" t="s">
        <v>258</v>
      </c>
      <c r="F64" s="153" t="s">
        <v>928</v>
      </c>
      <c r="G64" s="153" t="s">
        <v>245</v>
      </c>
    </row>
    <row r="65" spans="2:7" x14ac:dyDescent="0.35">
      <c r="B65" s="153" t="s">
        <v>674</v>
      </c>
      <c r="C65" s="283">
        <f>C21</f>
        <v>-0.2</v>
      </c>
      <c r="D65" s="56">
        <f>C12</f>
        <v>597336.58000000007</v>
      </c>
      <c r="E65" s="56">
        <f>C65*D65</f>
        <v>-119467.31600000002</v>
      </c>
      <c r="F65" s="6">
        <v>347</v>
      </c>
      <c r="G65" s="56">
        <f>E65*F65</f>
        <v>-41455158.65200001</v>
      </c>
    </row>
    <row r="66" spans="2:7" x14ac:dyDescent="0.35">
      <c r="B66" s="153" t="s">
        <v>675</v>
      </c>
      <c r="C66" s="283">
        <f>C38</f>
        <v>-0.2</v>
      </c>
      <c r="D66" s="56">
        <f>C29</f>
        <v>491773.03</v>
      </c>
      <c r="E66" s="56">
        <f t="shared" ref="E66:E67" si="0">C66*D66</f>
        <v>-98354.606000000014</v>
      </c>
      <c r="F66" s="6">
        <v>347</v>
      </c>
      <c r="G66" s="56">
        <f t="shared" ref="G66:G67" si="1">E66*F66</f>
        <v>-34129048.282000005</v>
      </c>
    </row>
    <row r="67" spans="2:7" x14ac:dyDescent="0.35">
      <c r="B67" s="153" t="s">
        <v>676</v>
      </c>
      <c r="C67" s="283">
        <f>C55</f>
        <v>-0.2</v>
      </c>
      <c r="D67" s="56">
        <f>C46</f>
        <v>472676.42000000004</v>
      </c>
      <c r="E67" s="56">
        <f t="shared" si="0"/>
        <v>-94535.284000000014</v>
      </c>
      <c r="F67" s="6">
        <v>347</v>
      </c>
      <c r="G67" s="56">
        <f t="shared" si="1"/>
        <v>-32803743.548000004</v>
      </c>
    </row>
  </sheetData>
  <sheetProtection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CAAA-05EE-4E46-B0D1-66256B60D387}">
  <sheetPr>
    <tabColor theme="0" tint="-0.34998626667073579"/>
  </sheetPr>
  <dimension ref="A1:R188"/>
  <sheetViews>
    <sheetView workbookViewId="0">
      <selection activeCell="B25" sqref="B25"/>
    </sheetView>
  </sheetViews>
  <sheetFormatPr defaultRowHeight="14.5" x14ac:dyDescent="0.35"/>
  <cols>
    <col min="4" max="4" width="11.1796875" customWidth="1"/>
    <col min="6" max="6" width="10.7265625" bestFit="1" customWidth="1"/>
    <col min="12" max="12" width="12" bestFit="1" customWidth="1"/>
    <col min="13" max="13" width="22.1796875" bestFit="1" customWidth="1"/>
    <col min="14" max="14" width="23" bestFit="1" customWidth="1"/>
    <col min="15" max="15" width="23.1796875" bestFit="1" customWidth="1"/>
  </cols>
  <sheetData>
    <row r="1" spans="1:18" x14ac:dyDescent="0.35">
      <c r="A1" s="116" t="s">
        <v>1146</v>
      </c>
    </row>
    <row r="2" spans="1:18" x14ac:dyDescent="0.35">
      <c r="A2" s="116" t="s">
        <v>1147</v>
      </c>
    </row>
    <row r="3" spans="1:18" x14ac:dyDescent="0.35">
      <c r="A3" s="2" t="s">
        <v>1148</v>
      </c>
      <c r="B3" s="2" t="s">
        <v>1149</v>
      </c>
      <c r="C3" s="2" t="s">
        <v>1150</v>
      </c>
      <c r="D3" s="122" t="s">
        <v>430</v>
      </c>
      <c r="E3" s="118" t="s">
        <v>1151</v>
      </c>
      <c r="F3" s="122" t="s">
        <v>1152</v>
      </c>
      <c r="G3" s="2" t="s">
        <v>1153</v>
      </c>
      <c r="H3" s="2" t="s">
        <v>1154</v>
      </c>
      <c r="I3" s="2" t="s">
        <v>1155</v>
      </c>
      <c r="J3" s="2" t="s">
        <v>1156</v>
      </c>
      <c r="K3" s="2" t="s">
        <v>1157</v>
      </c>
      <c r="L3" s="2" t="s">
        <v>1158</v>
      </c>
      <c r="M3" s="2" t="s">
        <v>349</v>
      </c>
      <c r="N3" s="2" t="s">
        <v>1159</v>
      </c>
      <c r="O3" s="2" t="s">
        <v>1160</v>
      </c>
      <c r="P3" s="2" t="s">
        <v>601</v>
      </c>
      <c r="R3" s="244"/>
    </row>
    <row r="4" spans="1:18" x14ac:dyDescent="0.35">
      <c r="A4">
        <v>1</v>
      </c>
      <c r="B4" t="s">
        <v>1161</v>
      </c>
      <c r="C4">
        <v>557</v>
      </c>
      <c r="D4" s="120">
        <f>_xlfn.XLOOKUP(E4,'Model VMT by TAZ'!A:A,'Model VMT by TAZ'!E:E,0)</f>
        <v>90464.84</v>
      </c>
      <c r="E4" s="117">
        <v>430</v>
      </c>
      <c r="F4" s="120">
        <f>_xlfn.XLOOKUP(E4, 'Action 1 Data'!B:B, 'Action 1 Data'!D:D, "0")</f>
        <v>87</v>
      </c>
      <c r="G4">
        <v>6161</v>
      </c>
      <c r="H4">
        <v>2701</v>
      </c>
      <c r="I4">
        <v>511300</v>
      </c>
      <c r="J4">
        <v>352041</v>
      </c>
      <c r="K4">
        <v>2484.7918439999999</v>
      </c>
      <c r="L4">
        <v>352039.51005500002</v>
      </c>
      <c r="M4">
        <f>_xlfn.XLOOKUP(E4, 'Model Modeshare by TAZ'!A:A, 'Model Modeshare by TAZ'!G:G,"0")</f>
        <v>1394.94</v>
      </c>
      <c r="N4">
        <f>_xlfn.XLOOKUP(E4, 'Model Modeshare by TAZ'!A:A, 'Model Modeshare by TAZ'!E:E,"0")</f>
        <v>3071.8</v>
      </c>
      <c r="O4">
        <f>_xlfn.XLOOKUP(E4,'Model Modeshare by TAZ'!A:A,'Model Modeshare by TAZ'!F:F,"0")</f>
        <v>1337.4</v>
      </c>
      <c r="P4">
        <f>_xlfn.XLOOKUP(E4,'Model Modeshare by TAZ'!A:A,'Model Modeshare by TAZ'!J:J,"0")</f>
        <v>8100.04</v>
      </c>
    </row>
    <row r="5" spans="1:18" x14ac:dyDescent="0.35">
      <c r="A5">
        <v>2</v>
      </c>
      <c r="B5" t="s">
        <v>1161</v>
      </c>
      <c r="C5">
        <v>558</v>
      </c>
      <c r="D5" s="120">
        <f>_xlfn.XLOOKUP(E5,'Model VMT by TAZ'!A:A,'Model VMT by TAZ'!E:E,0)</f>
        <v>30283.78</v>
      </c>
      <c r="E5" s="117">
        <v>431</v>
      </c>
      <c r="F5" s="120">
        <f>_xlfn.XLOOKUP(E5, 'Action 1 Data'!B:B, 'Action 1 Data'!D:D, "0")</f>
        <v>4</v>
      </c>
      <c r="G5">
        <v>6161</v>
      </c>
      <c r="H5">
        <v>2701</v>
      </c>
      <c r="I5">
        <v>511300</v>
      </c>
      <c r="J5">
        <v>335818</v>
      </c>
      <c r="K5">
        <v>2356.8760860000002</v>
      </c>
      <c r="L5">
        <v>335816.77310200001</v>
      </c>
      <c r="M5">
        <f>_xlfn.XLOOKUP(E5, 'Model Modeshare by TAZ'!A:A, 'Model Modeshare by TAZ'!G:G,"0")</f>
        <v>1447.5</v>
      </c>
      <c r="N5">
        <f>_xlfn.XLOOKUP(E5, 'Model Modeshare by TAZ'!A:A, 'Model Modeshare by TAZ'!E:E,"0")</f>
        <v>3478.4</v>
      </c>
      <c r="O5">
        <f>_xlfn.XLOOKUP(E5,'Model Modeshare by TAZ'!A:A,'Model Modeshare by TAZ'!F:F,"0")</f>
        <v>1560.3</v>
      </c>
      <c r="P5">
        <f>_xlfn.XLOOKUP(E5,'Model Modeshare by TAZ'!A:A,'Model Modeshare by TAZ'!J:J,"0")</f>
        <v>8839.02</v>
      </c>
    </row>
    <row r="6" spans="1:18" x14ac:dyDescent="0.35">
      <c r="A6">
        <v>3</v>
      </c>
      <c r="B6" t="s">
        <v>1161</v>
      </c>
      <c r="C6">
        <v>559</v>
      </c>
      <c r="D6" s="120">
        <f>_xlfn.XLOOKUP(E6,'Model VMT by TAZ'!A:A,'Model VMT by TAZ'!E:E,0)</f>
        <v>77144.33</v>
      </c>
      <c r="E6" s="117">
        <v>432</v>
      </c>
      <c r="F6" s="120">
        <f>_xlfn.XLOOKUP(E6, 'Action 1 Data'!B:B, 'Action 1 Data'!D:D, "0")</f>
        <v>4</v>
      </c>
      <c r="G6">
        <v>6161</v>
      </c>
      <c r="H6">
        <v>2701</v>
      </c>
      <c r="I6">
        <v>511300</v>
      </c>
      <c r="J6">
        <v>230960</v>
      </c>
      <c r="K6">
        <v>1935.7335069999999</v>
      </c>
      <c r="L6">
        <v>230959.48133899999</v>
      </c>
      <c r="M6">
        <f>_xlfn.XLOOKUP(E6, 'Model Modeshare by TAZ'!A:A, 'Model Modeshare by TAZ'!G:G,"0")</f>
        <v>537.64</v>
      </c>
      <c r="N6">
        <f>_xlfn.XLOOKUP(E6, 'Model Modeshare by TAZ'!A:A, 'Model Modeshare by TAZ'!E:E,"0")</f>
        <v>2320.2199999999998</v>
      </c>
      <c r="O6">
        <f>_xlfn.XLOOKUP(E6,'Model Modeshare by TAZ'!A:A,'Model Modeshare by TAZ'!F:F,"0")</f>
        <v>1144.06</v>
      </c>
      <c r="P6">
        <f>_xlfn.XLOOKUP(E6,'Model Modeshare by TAZ'!A:A,'Model Modeshare by TAZ'!J:J,"0")</f>
        <v>5138.0600000000004</v>
      </c>
    </row>
    <row r="7" spans="1:18" x14ac:dyDescent="0.35">
      <c r="A7">
        <v>4</v>
      </c>
      <c r="B7" t="s">
        <v>1161</v>
      </c>
      <c r="C7">
        <v>561</v>
      </c>
      <c r="D7" s="120">
        <f>_xlfn.XLOOKUP(E7,'Model VMT by TAZ'!A:A,'Model VMT by TAZ'!E:E,0)</f>
        <v>22060.09</v>
      </c>
      <c r="E7" s="117">
        <v>433</v>
      </c>
      <c r="F7" s="120">
        <f>_xlfn.XLOOKUP(E7, 'Action 1 Data'!B:B, 'Action 1 Data'!D:D, "0")</f>
        <v>54</v>
      </c>
      <c r="G7">
        <v>6161</v>
      </c>
      <c r="H7">
        <v>2701</v>
      </c>
      <c r="I7">
        <v>511300</v>
      </c>
      <c r="J7">
        <v>268162</v>
      </c>
      <c r="K7">
        <v>2069.0734480000001</v>
      </c>
      <c r="L7">
        <v>268160.84806500003</v>
      </c>
      <c r="M7">
        <f>_xlfn.XLOOKUP(E7, 'Model Modeshare by TAZ'!A:A, 'Model Modeshare by TAZ'!G:G,"0")</f>
        <v>932.62</v>
      </c>
      <c r="N7">
        <f>_xlfn.XLOOKUP(E7, 'Model Modeshare by TAZ'!A:A, 'Model Modeshare by TAZ'!E:E,"0")</f>
        <v>2366.04</v>
      </c>
      <c r="O7">
        <f>_xlfn.XLOOKUP(E7,'Model Modeshare by TAZ'!A:A,'Model Modeshare by TAZ'!F:F,"0")</f>
        <v>994.86</v>
      </c>
      <c r="P7">
        <f>_xlfn.XLOOKUP(E7,'Model Modeshare by TAZ'!A:A,'Model Modeshare by TAZ'!J:J,"0")</f>
        <v>5931.78</v>
      </c>
    </row>
    <row r="8" spans="1:18" x14ac:dyDescent="0.35">
      <c r="A8">
        <v>5</v>
      </c>
      <c r="B8" t="s">
        <v>1161</v>
      </c>
      <c r="C8">
        <v>562</v>
      </c>
      <c r="D8" s="120">
        <f>_xlfn.XLOOKUP(E8,'Model VMT by TAZ'!A:A,'Model VMT by TAZ'!E:E,0)</f>
        <v>28667.43</v>
      </c>
      <c r="E8" s="117">
        <v>434</v>
      </c>
      <c r="F8" s="120">
        <f>_xlfn.XLOOKUP(E8, 'Action 1 Data'!B:B, 'Action 1 Data'!D:D, "0")</f>
        <v>15</v>
      </c>
      <c r="G8">
        <v>6161</v>
      </c>
      <c r="H8">
        <v>2701</v>
      </c>
      <c r="I8">
        <v>511300</v>
      </c>
      <c r="J8">
        <v>289090</v>
      </c>
      <c r="K8">
        <v>2130.596896</v>
      </c>
      <c r="L8">
        <v>289088.71965300001</v>
      </c>
      <c r="M8">
        <f>_xlfn.XLOOKUP(E8, 'Model Modeshare by TAZ'!A:A, 'Model Modeshare by TAZ'!G:G,"0")</f>
        <v>632.76</v>
      </c>
      <c r="N8">
        <f>_xlfn.XLOOKUP(E8, 'Model Modeshare by TAZ'!A:A, 'Model Modeshare by TAZ'!E:E,"0")</f>
        <v>2730.06</v>
      </c>
      <c r="O8">
        <f>_xlfn.XLOOKUP(E8,'Model Modeshare by TAZ'!A:A,'Model Modeshare by TAZ'!F:F,"0")</f>
        <v>1110.6400000000001</v>
      </c>
      <c r="P8">
        <f>_xlfn.XLOOKUP(E8,'Model Modeshare by TAZ'!A:A,'Model Modeshare by TAZ'!J:J,"0")</f>
        <v>5816.48</v>
      </c>
    </row>
    <row r="9" spans="1:18" x14ac:dyDescent="0.35">
      <c r="A9">
        <v>6</v>
      </c>
      <c r="B9" t="s">
        <v>1161</v>
      </c>
      <c r="C9">
        <v>563</v>
      </c>
      <c r="D9" s="120">
        <f>_xlfn.XLOOKUP(E9,'Model VMT by TAZ'!A:A,'Model VMT by TAZ'!E:E,0)</f>
        <v>36255.230000000003</v>
      </c>
      <c r="E9" s="117">
        <v>435</v>
      </c>
      <c r="F9" s="120">
        <f>_xlfn.XLOOKUP(E9, 'Action 1 Data'!B:B, 'Action 1 Data'!D:D, "0")</f>
        <v>15</v>
      </c>
      <c r="G9">
        <v>6161</v>
      </c>
      <c r="H9">
        <v>2701</v>
      </c>
      <c r="I9">
        <v>511300</v>
      </c>
      <c r="J9">
        <v>256846</v>
      </c>
      <c r="K9">
        <v>2022.28033</v>
      </c>
      <c r="L9">
        <v>256845.462317</v>
      </c>
      <c r="M9">
        <f>_xlfn.XLOOKUP(E9, 'Model Modeshare by TAZ'!A:A, 'Model Modeshare by TAZ'!G:G,"0")</f>
        <v>317.88</v>
      </c>
      <c r="N9">
        <f>_xlfn.XLOOKUP(E9, 'Model Modeshare by TAZ'!A:A, 'Model Modeshare by TAZ'!E:E,"0")</f>
        <v>1870.44</v>
      </c>
      <c r="O9">
        <f>_xlfn.XLOOKUP(E9,'Model Modeshare by TAZ'!A:A,'Model Modeshare by TAZ'!F:F,"0")</f>
        <v>857.32</v>
      </c>
      <c r="P9">
        <f>_xlfn.XLOOKUP(E9,'Model Modeshare by TAZ'!A:A,'Model Modeshare by TAZ'!J:J,"0")</f>
        <v>3869.54</v>
      </c>
    </row>
    <row r="10" spans="1:18" x14ac:dyDescent="0.35">
      <c r="A10">
        <v>7</v>
      </c>
      <c r="B10" t="s">
        <v>1161</v>
      </c>
      <c r="C10">
        <v>564</v>
      </c>
      <c r="D10" s="120">
        <f>_xlfn.XLOOKUP(E10,'Model VMT by TAZ'!A:A,'Model VMT by TAZ'!E:E,0)</f>
        <v>59140.75</v>
      </c>
      <c r="E10" s="117">
        <v>436</v>
      </c>
      <c r="F10" s="120">
        <f>_xlfn.XLOOKUP(E10, 'Action 1 Data'!B:B, 'Action 1 Data'!D:D, "0")</f>
        <v>782</v>
      </c>
      <c r="G10">
        <v>6161</v>
      </c>
      <c r="H10">
        <v>2701</v>
      </c>
      <c r="I10">
        <v>511300</v>
      </c>
      <c r="J10">
        <v>535876</v>
      </c>
      <c r="K10">
        <v>3198.5669939999998</v>
      </c>
      <c r="L10">
        <v>535873.37395799998</v>
      </c>
      <c r="M10">
        <f>_xlfn.XLOOKUP(E10, 'Model Modeshare by TAZ'!A:A, 'Model Modeshare by TAZ'!G:G,"0")</f>
        <v>1978.54</v>
      </c>
      <c r="N10">
        <f>_xlfn.XLOOKUP(E10, 'Model Modeshare by TAZ'!A:A, 'Model Modeshare by TAZ'!E:E,"0")</f>
        <v>6275.66</v>
      </c>
      <c r="O10">
        <f>_xlfn.XLOOKUP(E10,'Model Modeshare by TAZ'!A:A,'Model Modeshare by TAZ'!F:F,"0")</f>
        <v>2818.72</v>
      </c>
      <c r="P10">
        <f>_xlfn.XLOOKUP(E10,'Model Modeshare by TAZ'!A:A,'Model Modeshare by TAZ'!J:J,"0")</f>
        <v>14932.52</v>
      </c>
    </row>
    <row r="11" spans="1:18" x14ac:dyDescent="0.35">
      <c r="A11">
        <v>8</v>
      </c>
      <c r="B11" t="s">
        <v>1161</v>
      </c>
      <c r="C11">
        <v>565</v>
      </c>
      <c r="D11" s="120">
        <f>_xlfn.XLOOKUP(E11,'Model VMT by TAZ'!A:A,'Model VMT by TAZ'!E:E,0)</f>
        <v>33984.61</v>
      </c>
      <c r="E11" s="117">
        <v>437</v>
      </c>
      <c r="F11" s="120">
        <f>_xlfn.XLOOKUP(E11, 'Action 1 Data'!B:B, 'Action 1 Data'!D:D, "0")</f>
        <v>132</v>
      </c>
      <c r="G11">
        <v>6161</v>
      </c>
      <c r="H11">
        <v>2701</v>
      </c>
      <c r="I11">
        <v>511300</v>
      </c>
      <c r="J11">
        <v>520028</v>
      </c>
      <c r="K11">
        <v>3190.4638650000002</v>
      </c>
      <c r="L11">
        <v>520025.87962899997</v>
      </c>
      <c r="M11">
        <f>_xlfn.XLOOKUP(E11, 'Model Modeshare by TAZ'!A:A, 'Model Modeshare by TAZ'!G:G,"0")</f>
        <v>846.22</v>
      </c>
      <c r="N11">
        <f>_xlfn.XLOOKUP(E11, 'Model Modeshare by TAZ'!A:A, 'Model Modeshare by TAZ'!E:E,"0")</f>
        <v>3194.36</v>
      </c>
      <c r="O11">
        <f>_xlfn.XLOOKUP(E11,'Model Modeshare by TAZ'!A:A,'Model Modeshare by TAZ'!F:F,"0")</f>
        <v>1431.06</v>
      </c>
      <c r="P11">
        <f>_xlfn.XLOOKUP(E11,'Model Modeshare by TAZ'!A:A,'Model Modeshare by TAZ'!J:J,"0")</f>
        <v>7244.98</v>
      </c>
    </row>
    <row r="12" spans="1:18" x14ac:dyDescent="0.35">
      <c r="A12">
        <v>9</v>
      </c>
      <c r="B12" t="s">
        <v>1161</v>
      </c>
      <c r="C12">
        <v>897</v>
      </c>
      <c r="D12" s="120">
        <f>_xlfn.XLOOKUP(E12,'Model VMT by TAZ'!A:A,'Model VMT by TAZ'!E:E,0)</f>
        <v>45843.79</v>
      </c>
      <c r="E12" s="117">
        <v>426</v>
      </c>
      <c r="F12" s="120">
        <f>_xlfn.XLOOKUP(E12, 'Action 1 Data'!B:B, 'Action 1 Data'!D:D, "0")</f>
        <v>4</v>
      </c>
      <c r="G12">
        <v>6161</v>
      </c>
      <c r="H12">
        <v>2701</v>
      </c>
      <c r="I12">
        <v>511300</v>
      </c>
      <c r="J12">
        <v>274304</v>
      </c>
      <c r="K12">
        <v>2124.303453</v>
      </c>
      <c r="L12">
        <v>274302.65385100001</v>
      </c>
      <c r="M12">
        <f>_xlfn.XLOOKUP(E12, 'Model Modeshare by TAZ'!A:A, 'Model Modeshare by TAZ'!G:G,"0")</f>
        <v>1219.98</v>
      </c>
      <c r="N12">
        <f>_xlfn.XLOOKUP(E12, 'Model Modeshare by TAZ'!A:A, 'Model Modeshare by TAZ'!E:E,"0")</f>
        <v>3537.76</v>
      </c>
      <c r="O12">
        <f>_xlfn.XLOOKUP(E12,'Model Modeshare by TAZ'!A:A,'Model Modeshare by TAZ'!F:F,"0")</f>
        <v>1724.88</v>
      </c>
      <c r="P12">
        <f>_xlfn.XLOOKUP(E12,'Model Modeshare by TAZ'!A:A,'Model Modeshare by TAZ'!J:J,"0")</f>
        <v>8725.82</v>
      </c>
    </row>
    <row r="13" spans="1:18" x14ac:dyDescent="0.35">
      <c r="A13">
        <v>10</v>
      </c>
      <c r="B13" t="s">
        <v>1161</v>
      </c>
      <c r="C13">
        <v>898</v>
      </c>
      <c r="D13" s="120">
        <f>_xlfn.XLOOKUP(E13,'Model VMT by TAZ'!A:A,'Model VMT by TAZ'!E:E,0)</f>
        <v>38959.300000000003</v>
      </c>
      <c r="E13" s="117">
        <v>427</v>
      </c>
      <c r="F13" s="120">
        <f>_xlfn.XLOOKUP(E13, 'Action 1 Data'!B:B, 'Action 1 Data'!D:D, "0")</f>
        <v>124</v>
      </c>
      <c r="G13">
        <v>6161</v>
      </c>
      <c r="H13">
        <v>2701</v>
      </c>
      <c r="I13">
        <v>511300</v>
      </c>
      <c r="J13">
        <v>266351</v>
      </c>
      <c r="K13">
        <v>2071.049978</v>
      </c>
      <c r="L13">
        <v>266349.95262900001</v>
      </c>
      <c r="M13">
        <f>_xlfn.XLOOKUP(E13, 'Model Modeshare by TAZ'!A:A, 'Model Modeshare by TAZ'!G:G,"0")</f>
        <v>992.98</v>
      </c>
      <c r="N13">
        <f>_xlfn.XLOOKUP(E13, 'Model Modeshare by TAZ'!A:A, 'Model Modeshare by TAZ'!E:E,"0")</f>
        <v>3214.7</v>
      </c>
      <c r="O13">
        <f>_xlfn.XLOOKUP(E13,'Model Modeshare by TAZ'!A:A,'Model Modeshare by TAZ'!F:F,"0")</f>
        <v>1539.88</v>
      </c>
      <c r="P13">
        <f>_xlfn.XLOOKUP(E13,'Model Modeshare by TAZ'!A:A,'Model Modeshare by TAZ'!J:J,"0")</f>
        <v>7710.78</v>
      </c>
    </row>
    <row r="14" spans="1:18" x14ac:dyDescent="0.35">
      <c r="A14">
        <v>11</v>
      </c>
      <c r="B14" t="s">
        <v>1161</v>
      </c>
      <c r="C14">
        <v>1001</v>
      </c>
      <c r="D14" s="120">
        <f>_xlfn.XLOOKUP(E14,'Model VMT by TAZ'!A:A,'Model VMT by TAZ'!E:E,0)</f>
        <v>4610.12</v>
      </c>
      <c r="E14" s="117">
        <v>519</v>
      </c>
      <c r="F14" s="120">
        <f>_xlfn.XLOOKUP(E14, 'Action 1 Data'!B:B, 'Action 1 Data'!D:D, "0")</f>
        <v>0</v>
      </c>
      <c r="G14">
        <v>6161</v>
      </c>
      <c r="H14">
        <v>2701</v>
      </c>
      <c r="I14">
        <v>511604</v>
      </c>
      <c r="J14">
        <v>1068180</v>
      </c>
      <c r="K14">
        <v>6055.5985280000004</v>
      </c>
      <c r="L14">
        <v>1068175.5789669999</v>
      </c>
      <c r="M14">
        <f>_xlfn.XLOOKUP(E14, 'Model Modeshare by TAZ'!A:A, 'Model Modeshare by TAZ'!G:G,"0")</f>
        <v>13.16</v>
      </c>
      <c r="N14">
        <f>_xlfn.XLOOKUP(E14, 'Model Modeshare by TAZ'!A:A, 'Model Modeshare by TAZ'!E:E,"0")</f>
        <v>72.900000000000006</v>
      </c>
      <c r="O14">
        <f>_xlfn.XLOOKUP(E14,'Model Modeshare by TAZ'!A:A,'Model Modeshare by TAZ'!F:F,"0")</f>
        <v>17.239999999999998</v>
      </c>
      <c r="P14">
        <f>_xlfn.XLOOKUP(E14,'Model Modeshare by TAZ'!A:A,'Model Modeshare by TAZ'!J:J,"0")</f>
        <v>155.62</v>
      </c>
    </row>
    <row r="15" spans="1:18" x14ac:dyDescent="0.35">
      <c r="A15">
        <v>12</v>
      </c>
      <c r="B15" t="s">
        <v>1161</v>
      </c>
      <c r="C15">
        <v>1002</v>
      </c>
      <c r="D15" s="120">
        <f>_xlfn.XLOOKUP(E15,'Model VMT by TAZ'!A:A,'Model VMT by TAZ'!E:E,0)</f>
        <v>26884.84</v>
      </c>
      <c r="E15" s="117">
        <v>520</v>
      </c>
      <c r="F15" s="120">
        <f>_xlfn.XLOOKUP(E15, 'Action 1 Data'!B:B, 'Action 1 Data'!D:D, "0")</f>
        <v>0</v>
      </c>
      <c r="G15">
        <v>6161</v>
      </c>
      <c r="H15">
        <v>2701</v>
      </c>
      <c r="I15">
        <v>511604</v>
      </c>
      <c r="J15">
        <v>822664</v>
      </c>
      <c r="K15">
        <v>3826.3630330000001</v>
      </c>
      <c r="L15">
        <v>822660.41944700002</v>
      </c>
      <c r="M15">
        <f>_xlfn.XLOOKUP(E15, 'Model Modeshare by TAZ'!A:A, 'Model Modeshare by TAZ'!G:G,"0")</f>
        <v>611.76</v>
      </c>
      <c r="N15">
        <f>_xlfn.XLOOKUP(E15, 'Model Modeshare by TAZ'!A:A, 'Model Modeshare by TAZ'!E:E,"0")</f>
        <v>3082.36</v>
      </c>
      <c r="O15">
        <f>_xlfn.XLOOKUP(E15,'Model Modeshare by TAZ'!A:A,'Model Modeshare by TAZ'!F:F,"0")</f>
        <v>1129.22</v>
      </c>
      <c r="P15">
        <f>_xlfn.XLOOKUP(E15,'Model Modeshare by TAZ'!A:A,'Model Modeshare by TAZ'!J:J,"0")</f>
        <v>6050.1</v>
      </c>
    </row>
    <row r="16" spans="1:18" x14ac:dyDescent="0.35">
      <c r="A16">
        <v>13</v>
      </c>
      <c r="B16" t="s">
        <v>1161</v>
      </c>
      <c r="C16">
        <v>1013</v>
      </c>
      <c r="D16" s="120">
        <f>_xlfn.XLOOKUP(E16,'Model VMT by TAZ'!A:A,'Model VMT by TAZ'!E:E,0)</f>
        <v>1000.87</v>
      </c>
      <c r="E16" s="117">
        <v>530</v>
      </c>
      <c r="F16" s="120">
        <f>_xlfn.XLOOKUP(E16, 'Action 1 Data'!B:B, 'Action 1 Data'!D:D, "0")</f>
        <v>0</v>
      </c>
      <c r="G16">
        <v>6161</v>
      </c>
      <c r="H16">
        <v>2701</v>
      </c>
      <c r="I16">
        <v>511605</v>
      </c>
      <c r="J16">
        <v>3897306</v>
      </c>
      <c r="K16">
        <v>9109.8244990000003</v>
      </c>
      <c r="L16">
        <v>3897290.7299870001</v>
      </c>
      <c r="M16">
        <f>_xlfn.XLOOKUP(E16, 'Model Modeshare by TAZ'!A:A, 'Model Modeshare by TAZ'!G:G,"0")</f>
        <v>23.8</v>
      </c>
      <c r="N16">
        <f>_xlfn.XLOOKUP(E16, 'Model Modeshare by TAZ'!A:A, 'Model Modeshare by TAZ'!E:E,"0")</f>
        <v>169.12</v>
      </c>
      <c r="O16">
        <f>_xlfn.XLOOKUP(E16,'Model Modeshare by TAZ'!A:A,'Model Modeshare by TAZ'!F:F,"0")</f>
        <v>65.56</v>
      </c>
      <c r="P16">
        <f>_xlfn.XLOOKUP(E16,'Model Modeshare by TAZ'!A:A,'Model Modeshare by TAZ'!J:J,"0")</f>
        <v>353.34</v>
      </c>
    </row>
    <row r="17" spans="1:16" x14ac:dyDescent="0.35">
      <c r="A17">
        <v>14</v>
      </c>
      <c r="B17" t="s">
        <v>1161</v>
      </c>
      <c r="C17">
        <v>1015</v>
      </c>
      <c r="D17" s="120">
        <f>_xlfn.XLOOKUP(E17,'Model VMT by TAZ'!A:A,'Model VMT by TAZ'!E:E,0)</f>
        <v>55591.7</v>
      </c>
      <c r="E17" s="117">
        <v>532</v>
      </c>
      <c r="F17" s="120">
        <f>_xlfn.XLOOKUP(E17, 'Action 1 Data'!B:B, 'Action 1 Data'!D:D, "0")</f>
        <v>551</v>
      </c>
      <c r="G17">
        <v>6161</v>
      </c>
      <c r="H17">
        <v>2701</v>
      </c>
      <c r="I17">
        <v>511300</v>
      </c>
      <c r="J17">
        <v>1638014</v>
      </c>
      <c r="K17">
        <v>5402.0047839999997</v>
      </c>
      <c r="L17">
        <v>1638007.36002</v>
      </c>
      <c r="M17">
        <f>_xlfn.XLOOKUP(E17, 'Model Modeshare by TAZ'!A:A, 'Model Modeshare by TAZ'!G:G,"0")</f>
        <v>1294.32</v>
      </c>
      <c r="N17">
        <f>_xlfn.XLOOKUP(E17, 'Model Modeshare by TAZ'!A:A, 'Model Modeshare by TAZ'!E:E,"0")</f>
        <v>6263.7</v>
      </c>
      <c r="O17">
        <f>_xlfn.XLOOKUP(E17,'Model Modeshare by TAZ'!A:A,'Model Modeshare by TAZ'!F:F,"0")</f>
        <v>2644.7</v>
      </c>
      <c r="P17">
        <f>_xlfn.XLOOKUP(E17,'Model Modeshare by TAZ'!A:A,'Model Modeshare by TAZ'!J:J,"0")</f>
        <v>12616.78</v>
      </c>
    </row>
    <row r="18" spans="1:16" x14ac:dyDescent="0.35">
      <c r="A18">
        <v>15</v>
      </c>
      <c r="B18" t="s">
        <v>1161</v>
      </c>
      <c r="C18">
        <v>1017</v>
      </c>
      <c r="D18" s="120">
        <f>_xlfn.XLOOKUP(E18,'Model VMT by TAZ'!A:A,'Model VMT by TAZ'!E:E,0)</f>
        <v>73068.02</v>
      </c>
      <c r="E18" s="117">
        <v>534</v>
      </c>
      <c r="F18" s="120">
        <f>_xlfn.XLOOKUP(E18, 'Action 1 Data'!B:B, 'Action 1 Data'!D:D, "0")</f>
        <v>888</v>
      </c>
      <c r="G18">
        <v>6161</v>
      </c>
      <c r="H18">
        <v>2701</v>
      </c>
      <c r="I18">
        <v>511300</v>
      </c>
      <c r="J18">
        <v>1496173</v>
      </c>
      <c r="K18">
        <v>5174.3697769999999</v>
      </c>
      <c r="L18">
        <v>1496166.7379129999</v>
      </c>
      <c r="M18">
        <f>_xlfn.XLOOKUP(E18, 'Model Modeshare by TAZ'!A:A, 'Model Modeshare by TAZ'!G:G,"0")</f>
        <v>978.26</v>
      </c>
      <c r="N18">
        <f>_xlfn.XLOOKUP(E18, 'Model Modeshare by TAZ'!A:A, 'Model Modeshare by TAZ'!E:E,"0")</f>
        <v>6643.88</v>
      </c>
      <c r="O18">
        <f>_xlfn.XLOOKUP(E18,'Model Modeshare by TAZ'!A:A,'Model Modeshare by TAZ'!F:F,"0")</f>
        <v>2865.5</v>
      </c>
      <c r="P18">
        <f>_xlfn.XLOOKUP(E18,'Model Modeshare by TAZ'!A:A,'Model Modeshare by TAZ'!J:J,"0")</f>
        <v>12934.6</v>
      </c>
    </row>
    <row r="19" spans="1:16" x14ac:dyDescent="0.35">
      <c r="A19">
        <v>16</v>
      </c>
      <c r="B19" t="s">
        <v>1161</v>
      </c>
      <c r="C19">
        <v>1019</v>
      </c>
      <c r="D19" s="120">
        <f>_xlfn.XLOOKUP(E19,'Model VMT by TAZ'!A:A,'Model VMT by TAZ'!E:E,0)</f>
        <v>161763.95000000001</v>
      </c>
      <c r="E19" s="117">
        <v>535</v>
      </c>
      <c r="F19" s="120">
        <f>_xlfn.XLOOKUP(E19, 'Action 1 Data'!B:B, 'Action 1 Data'!D:D, "0")</f>
        <v>714</v>
      </c>
      <c r="G19">
        <v>6161</v>
      </c>
      <c r="H19">
        <v>2701</v>
      </c>
      <c r="I19">
        <v>511300</v>
      </c>
      <c r="J19">
        <v>1659320</v>
      </c>
      <c r="K19">
        <v>5473.0381550000002</v>
      </c>
      <c r="L19">
        <v>1659312.9624020001</v>
      </c>
      <c r="M19">
        <f>_xlfn.XLOOKUP(E19, 'Model Modeshare by TAZ'!A:A, 'Model Modeshare by TAZ'!G:G,"0")</f>
        <v>3028.3</v>
      </c>
      <c r="N19">
        <f>_xlfn.XLOOKUP(E19, 'Model Modeshare by TAZ'!A:A, 'Model Modeshare by TAZ'!E:E,"0")</f>
        <v>9118.64</v>
      </c>
      <c r="O19">
        <f>_xlfn.XLOOKUP(E19,'Model Modeshare by TAZ'!A:A,'Model Modeshare by TAZ'!F:F,"0")</f>
        <v>4161.7</v>
      </c>
      <c r="P19">
        <f>_xlfn.XLOOKUP(E19,'Model Modeshare by TAZ'!A:A,'Model Modeshare by TAZ'!J:J,"0")</f>
        <v>21421.54</v>
      </c>
    </row>
    <row r="20" spans="1:16" x14ac:dyDescent="0.35">
      <c r="A20">
        <v>17</v>
      </c>
      <c r="B20" t="s">
        <v>1161</v>
      </c>
      <c r="C20">
        <v>1109</v>
      </c>
      <c r="D20" s="120">
        <f>_xlfn.XLOOKUP(E20,'Model VMT by TAZ'!A:A,'Model VMT by TAZ'!E:E,0)</f>
        <v>133366.09</v>
      </c>
      <c r="E20" s="117">
        <v>1864</v>
      </c>
      <c r="F20" s="120" t="str">
        <f>_xlfn.XLOOKUP(E20, 'Action 1 Data'!B:B, 'Action 1 Data'!D:D, "0")</f>
        <v>0</v>
      </c>
      <c r="G20">
        <v>6130</v>
      </c>
      <c r="H20">
        <v>2206</v>
      </c>
      <c r="I20">
        <v>26200</v>
      </c>
      <c r="J20">
        <v>7998884</v>
      </c>
      <c r="K20">
        <v>17331.091547</v>
      </c>
      <c r="L20">
        <v>7998852.0668029999</v>
      </c>
      <c r="M20">
        <f>_xlfn.XLOOKUP(E20, 'Model Modeshare by TAZ'!A:A, 'Model Modeshare by TAZ'!G:G,"0")</f>
        <v>3364.48</v>
      </c>
      <c r="N20">
        <f>_xlfn.XLOOKUP(E20, 'Model Modeshare by TAZ'!A:A, 'Model Modeshare by TAZ'!E:E,"0")</f>
        <v>10458.780000000001</v>
      </c>
      <c r="O20">
        <f>_xlfn.XLOOKUP(E20,'Model Modeshare by TAZ'!A:A,'Model Modeshare by TAZ'!F:F,"0")</f>
        <v>8649.64</v>
      </c>
      <c r="P20">
        <f>_xlfn.XLOOKUP(E20,'Model Modeshare by TAZ'!A:A,'Model Modeshare by TAZ'!J:J,"0")</f>
        <v>28602.66</v>
      </c>
    </row>
    <row r="21" spans="1:16" x14ac:dyDescent="0.35">
      <c r="A21">
        <v>18</v>
      </c>
      <c r="B21" t="s">
        <v>1161</v>
      </c>
      <c r="C21">
        <v>1112</v>
      </c>
      <c r="D21" s="120">
        <f>_xlfn.XLOOKUP(E21,'Model VMT by TAZ'!A:A,'Model VMT by TAZ'!E:E,0)</f>
        <v>104058.21</v>
      </c>
      <c r="E21" s="117">
        <v>1863</v>
      </c>
      <c r="F21" s="120" t="str">
        <f>_xlfn.XLOOKUP(E21, 'Action 1 Data'!B:B, 'Action 1 Data'!D:D, "0")</f>
        <v>0</v>
      </c>
      <c r="G21">
        <v>6130</v>
      </c>
      <c r="H21">
        <v>2207</v>
      </c>
      <c r="I21">
        <v>26303</v>
      </c>
      <c r="J21">
        <v>4099327</v>
      </c>
      <c r="K21">
        <v>13000.767524999999</v>
      </c>
      <c r="L21">
        <v>4099310.974533</v>
      </c>
      <c r="M21">
        <f>_xlfn.XLOOKUP(E21, 'Model Modeshare by TAZ'!A:A, 'Model Modeshare by TAZ'!G:G,"0")</f>
        <v>1305.08</v>
      </c>
      <c r="N21">
        <f>_xlfn.XLOOKUP(E21, 'Model Modeshare by TAZ'!A:A, 'Model Modeshare by TAZ'!E:E,"0")</f>
        <v>7291.94</v>
      </c>
      <c r="O21">
        <f>_xlfn.XLOOKUP(E21,'Model Modeshare by TAZ'!A:A,'Model Modeshare by TAZ'!F:F,"0")</f>
        <v>5706.84</v>
      </c>
      <c r="P21">
        <f>_xlfn.XLOOKUP(E21,'Model Modeshare by TAZ'!A:A,'Model Modeshare by TAZ'!J:J,"0")</f>
        <v>16711.2</v>
      </c>
    </row>
    <row r="22" spans="1:16" x14ac:dyDescent="0.35">
      <c r="A22">
        <v>19</v>
      </c>
      <c r="B22" t="s">
        <v>1161</v>
      </c>
      <c r="C22">
        <v>1448</v>
      </c>
      <c r="D22" s="120">
        <f>_xlfn.XLOOKUP(E22,'Model VMT by TAZ'!A:A,'Model VMT by TAZ'!E:E,0)</f>
        <v>151122.20000000001</v>
      </c>
      <c r="E22" s="117">
        <v>424</v>
      </c>
      <c r="F22" s="120">
        <f>_xlfn.XLOOKUP(E22, 'Action 1 Data'!B:B, 'Action 1 Data'!D:D, "0")</f>
        <v>64</v>
      </c>
      <c r="G22">
        <v>6161</v>
      </c>
      <c r="H22">
        <v>2701</v>
      </c>
      <c r="I22">
        <v>511604</v>
      </c>
      <c r="J22">
        <v>1218740</v>
      </c>
      <c r="K22">
        <v>4745.6522290000003</v>
      </c>
      <c r="L22">
        <v>1218734.833536</v>
      </c>
      <c r="M22">
        <f>_xlfn.XLOOKUP(E22, 'Model Modeshare by TAZ'!A:A, 'Model Modeshare by TAZ'!G:G,"0")</f>
        <v>1584.44</v>
      </c>
      <c r="N22">
        <f>_xlfn.XLOOKUP(E22, 'Model Modeshare by TAZ'!A:A, 'Model Modeshare by TAZ'!E:E,"0")</f>
        <v>6161.76</v>
      </c>
      <c r="O22">
        <f>_xlfn.XLOOKUP(E22,'Model Modeshare by TAZ'!A:A,'Model Modeshare by TAZ'!F:F,"0")</f>
        <v>2401.6999999999998</v>
      </c>
      <c r="P22">
        <f>_xlfn.XLOOKUP(E22,'Model Modeshare by TAZ'!A:A,'Model Modeshare by TAZ'!J:J,"0")</f>
        <v>13021.86</v>
      </c>
    </row>
    <row r="23" spans="1:16" x14ac:dyDescent="0.35">
      <c r="A23">
        <v>20</v>
      </c>
      <c r="B23" t="s">
        <v>1161</v>
      </c>
      <c r="C23">
        <v>1490</v>
      </c>
      <c r="D23" s="120">
        <f>_xlfn.XLOOKUP(E23,'Model VMT by TAZ'!A:A,'Model VMT by TAZ'!E:E,0)</f>
        <v>205692.01</v>
      </c>
      <c r="E23" s="117">
        <v>429</v>
      </c>
      <c r="F23" s="120">
        <f>_xlfn.XLOOKUP(E23, 'Action 1 Data'!B:B, 'Action 1 Data'!D:D, "0")</f>
        <v>0</v>
      </c>
      <c r="G23">
        <v>6161</v>
      </c>
      <c r="H23">
        <v>2701</v>
      </c>
      <c r="I23">
        <v>511604</v>
      </c>
      <c r="J23">
        <v>2615995</v>
      </c>
      <c r="K23">
        <v>6632.9819779999998</v>
      </c>
      <c r="L23">
        <v>2615984.1566539998</v>
      </c>
      <c r="M23">
        <f>_xlfn.XLOOKUP(E23, 'Model Modeshare by TAZ'!A:A, 'Model Modeshare by TAZ'!G:G,"0")</f>
        <v>1453.12</v>
      </c>
      <c r="N23">
        <f>_xlfn.XLOOKUP(E23, 'Model Modeshare by TAZ'!A:A, 'Model Modeshare by TAZ'!E:E,"0")</f>
        <v>8314.86</v>
      </c>
      <c r="O23">
        <f>_xlfn.XLOOKUP(E23,'Model Modeshare by TAZ'!A:A,'Model Modeshare by TAZ'!F:F,"0")</f>
        <v>3879.64</v>
      </c>
      <c r="P23">
        <f>_xlfn.XLOOKUP(E23,'Model Modeshare by TAZ'!A:A,'Model Modeshare by TAZ'!J:J,"0")</f>
        <v>17219.099999999999</v>
      </c>
    </row>
    <row r="24" spans="1:16" x14ac:dyDescent="0.35">
      <c r="A24">
        <v>21</v>
      </c>
      <c r="B24" t="s">
        <v>1161</v>
      </c>
      <c r="C24">
        <v>1833</v>
      </c>
      <c r="D24" s="120">
        <f>_xlfn.XLOOKUP(E24,'Model VMT by TAZ'!A:A,'Model VMT by TAZ'!E:E,0)</f>
        <v>79237.41</v>
      </c>
      <c r="E24" s="117">
        <v>443</v>
      </c>
      <c r="F24" s="120">
        <f>_xlfn.XLOOKUP(E24, 'Action 1 Data'!B:B, 'Action 1 Data'!D:D, "0")</f>
        <v>222</v>
      </c>
      <c r="G24">
        <v>6161</v>
      </c>
      <c r="H24">
        <v>2701</v>
      </c>
      <c r="I24">
        <v>511604</v>
      </c>
      <c r="J24">
        <v>2516712</v>
      </c>
      <c r="K24">
        <v>8688.1417110000002</v>
      </c>
      <c r="L24">
        <v>2516701.5665500001</v>
      </c>
      <c r="M24">
        <f>_xlfn.XLOOKUP(E24, 'Model Modeshare by TAZ'!A:A, 'Model Modeshare by TAZ'!G:G,"0")</f>
        <v>2140.06</v>
      </c>
      <c r="N24">
        <f>_xlfn.XLOOKUP(E24, 'Model Modeshare by TAZ'!A:A, 'Model Modeshare by TAZ'!E:E,"0")</f>
        <v>10038.68</v>
      </c>
      <c r="O24">
        <f>_xlfn.XLOOKUP(E24,'Model Modeshare by TAZ'!A:A,'Model Modeshare by TAZ'!F:F,"0")</f>
        <v>3398.68</v>
      </c>
      <c r="P24">
        <f>_xlfn.XLOOKUP(E24,'Model Modeshare by TAZ'!A:A,'Model Modeshare by TAZ'!J:J,"0")</f>
        <v>20165.98</v>
      </c>
    </row>
    <row r="25" spans="1:16" x14ac:dyDescent="0.35">
      <c r="A25">
        <v>22</v>
      </c>
      <c r="B25" t="s">
        <v>1161</v>
      </c>
      <c r="C25">
        <v>2014</v>
      </c>
      <c r="D25" s="120">
        <f>_xlfn.XLOOKUP(E25,'Model VMT by TAZ'!A:A,'Model VMT by TAZ'!E:E,0)</f>
        <v>35836.67</v>
      </c>
      <c r="E25" s="117">
        <v>460</v>
      </c>
      <c r="F25" s="120">
        <f>_xlfn.XLOOKUP(E25, 'Action 1 Data'!B:B, 'Action 1 Data'!D:D, "0")</f>
        <v>1084</v>
      </c>
      <c r="G25">
        <v>6161</v>
      </c>
      <c r="H25">
        <v>2701</v>
      </c>
      <c r="I25">
        <v>511300</v>
      </c>
      <c r="J25">
        <v>2682543</v>
      </c>
      <c r="K25">
        <v>6917.3636990000005</v>
      </c>
      <c r="L25">
        <v>2682531.8075250001</v>
      </c>
      <c r="M25">
        <f>_xlfn.XLOOKUP(E25, 'Model Modeshare by TAZ'!A:A, 'Model Modeshare by TAZ'!G:G,"0")</f>
        <v>497.2</v>
      </c>
      <c r="N25">
        <f>_xlfn.XLOOKUP(E25, 'Model Modeshare by TAZ'!A:A, 'Model Modeshare by TAZ'!E:E,"0")</f>
        <v>2585.2800000000002</v>
      </c>
      <c r="O25">
        <f>_xlfn.XLOOKUP(E25,'Model Modeshare by TAZ'!A:A,'Model Modeshare by TAZ'!F:F,"0")</f>
        <v>1529.36</v>
      </c>
      <c r="P25">
        <f>_xlfn.XLOOKUP(E25,'Model Modeshare by TAZ'!A:A,'Model Modeshare by TAZ'!J:J,"0")</f>
        <v>5943.54</v>
      </c>
    </row>
    <row r="26" spans="1:16" x14ac:dyDescent="0.35">
      <c r="A26">
        <v>23</v>
      </c>
      <c r="B26" t="s">
        <v>1161</v>
      </c>
      <c r="C26">
        <v>2018</v>
      </c>
      <c r="D26" s="120">
        <f>_xlfn.XLOOKUP(E26,'Model VMT by TAZ'!A:A,'Model VMT by TAZ'!E:E,0)</f>
        <v>217.08</v>
      </c>
      <c r="E26" s="117">
        <v>463</v>
      </c>
      <c r="F26" s="120">
        <f>_xlfn.XLOOKUP(E26, 'Action 1 Data'!B:B, 'Action 1 Data'!D:D, "0")</f>
        <v>0</v>
      </c>
      <c r="G26">
        <v>6161</v>
      </c>
      <c r="H26">
        <v>2701</v>
      </c>
      <c r="I26">
        <v>511604</v>
      </c>
      <c r="J26">
        <v>2356651</v>
      </c>
      <c r="K26">
        <v>6181.8220600000004</v>
      </c>
      <c r="L26">
        <v>2356641.3888369999</v>
      </c>
      <c r="M26">
        <f>_xlfn.XLOOKUP(E26, 'Model Modeshare by TAZ'!A:A, 'Model Modeshare by TAZ'!G:G,"0")</f>
        <v>0</v>
      </c>
      <c r="N26">
        <f>_xlfn.XLOOKUP(E26, 'Model Modeshare by TAZ'!A:A, 'Model Modeshare by TAZ'!E:E,"0")</f>
        <v>0.72</v>
      </c>
      <c r="O26">
        <f>_xlfn.XLOOKUP(E26,'Model Modeshare by TAZ'!A:A,'Model Modeshare by TAZ'!F:F,"0")</f>
        <v>0</v>
      </c>
      <c r="P26">
        <f>_xlfn.XLOOKUP(E26,'Model Modeshare by TAZ'!A:A,'Model Modeshare by TAZ'!J:J,"0")</f>
        <v>2.7</v>
      </c>
    </row>
    <row r="27" spans="1:16" x14ac:dyDescent="0.35">
      <c r="A27">
        <v>24</v>
      </c>
      <c r="B27" t="s">
        <v>1161</v>
      </c>
      <c r="C27">
        <v>2020</v>
      </c>
      <c r="D27" s="120">
        <f>_xlfn.XLOOKUP(E27,'Model VMT by TAZ'!A:A,'Model VMT by TAZ'!E:E,0)</f>
        <v>46087.41</v>
      </c>
      <c r="E27" s="117">
        <v>465</v>
      </c>
      <c r="F27" s="120">
        <f>_xlfn.XLOOKUP(E27, 'Action 1 Data'!B:B, 'Action 1 Data'!D:D, "0")</f>
        <v>1036</v>
      </c>
      <c r="G27">
        <v>6161</v>
      </c>
      <c r="H27">
        <v>2701</v>
      </c>
      <c r="I27">
        <v>511604</v>
      </c>
      <c r="J27">
        <v>2159815</v>
      </c>
      <c r="K27">
        <v>9225.1600880000005</v>
      </c>
      <c r="L27">
        <v>2159805.9239790002</v>
      </c>
      <c r="M27">
        <f>_xlfn.XLOOKUP(E27, 'Model Modeshare by TAZ'!A:A, 'Model Modeshare by TAZ'!G:G,"0")</f>
        <v>437.4</v>
      </c>
      <c r="N27">
        <f>_xlfn.XLOOKUP(E27, 'Model Modeshare by TAZ'!A:A, 'Model Modeshare by TAZ'!E:E,"0")</f>
        <v>1457.5</v>
      </c>
      <c r="O27">
        <f>_xlfn.XLOOKUP(E27,'Model Modeshare by TAZ'!A:A,'Model Modeshare by TAZ'!F:F,"0")</f>
        <v>929.38</v>
      </c>
      <c r="P27">
        <f>_xlfn.XLOOKUP(E27,'Model Modeshare by TAZ'!A:A,'Model Modeshare by TAZ'!J:J,"0")</f>
        <v>3729.58</v>
      </c>
    </row>
    <row r="28" spans="1:16" x14ac:dyDescent="0.35">
      <c r="A28">
        <v>25</v>
      </c>
      <c r="B28" t="s">
        <v>1161</v>
      </c>
      <c r="C28">
        <v>2021</v>
      </c>
      <c r="D28" s="120">
        <f>_xlfn.XLOOKUP(E28,'Model VMT by TAZ'!A:A,'Model VMT by TAZ'!E:E,0)</f>
        <v>126076.19</v>
      </c>
      <c r="E28" s="117">
        <v>466</v>
      </c>
      <c r="F28" s="120">
        <f>_xlfn.XLOOKUP(E28, 'Action 1 Data'!B:B, 'Action 1 Data'!D:D, "0")</f>
        <v>1660</v>
      </c>
      <c r="G28">
        <v>6161</v>
      </c>
      <c r="H28">
        <v>2701</v>
      </c>
      <c r="I28">
        <v>511300</v>
      </c>
      <c r="J28">
        <v>3074942</v>
      </c>
      <c r="K28">
        <v>7817.0509629999997</v>
      </c>
      <c r="L28">
        <v>3074929.3529070001</v>
      </c>
      <c r="M28">
        <f>_xlfn.XLOOKUP(E28, 'Model Modeshare by TAZ'!A:A, 'Model Modeshare by TAZ'!G:G,"0")</f>
        <v>2459.1999999999998</v>
      </c>
      <c r="N28">
        <f>_xlfn.XLOOKUP(E28, 'Model Modeshare by TAZ'!A:A, 'Model Modeshare by TAZ'!E:E,"0")</f>
        <v>10418.36</v>
      </c>
      <c r="O28">
        <f>_xlfn.XLOOKUP(E28,'Model Modeshare by TAZ'!A:A,'Model Modeshare by TAZ'!F:F,"0")</f>
        <v>4953.8599999999997</v>
      </c>
      <c r="P28">
        <f>_xlfn.XLOOKUP(E28,'Model Modeshare by TAZ'!A:A,'Model Modeshare by TAZ'!J:J,"0")</f>
        <v>23067.62</v>
      </c>
    </row>
    <row r="29" spans="1:16" x14ac:dyDescent="0.35">
      <c r="A29">
        <v>26</v>
      </c>
      <c r="B29" t="s">
        <v>1161</v>
      </c>
      <c r="C29">
        <v>2053</v>
      </c>
      <c r="D29" s="120">
        <f>_xlfn.XLOOKUP(E29,'Model VMT by TAZ'!A:A,'Model VMT by TAZ'!E:E,0)</f>
        <v>31695.119999999999</v>
      </c>
      <c r="E29" s="117">
        <v>494</v>
      </c>
      <c r="F29" s="120">
        <f>_xlfn.XLOOKUP(E29, 'Action 1 Data'!B:B, 'Action 1 Data'!D:D, "0")</f>
        <v>0</v>
      </c>
      <c r="G29">
        <v>6161</v>
      </c>
      <c r="H29">
        <v>2701</v>
      </c>
      <c r="I29">
        <v>511604</v>
      </c>
      <c r="J29">
        <v>1922261</v>
      </c>
      <c r="K29">
        <v>5631.1057250000003</v>
      </c>
      <c r="L29">
        <v>1922253.552747</v>
      </c>
      <c r="M29">
        <f>_xlfn.XLOOKUP(E29, 'Model Modeshare by TAZ'!A:A, 'Model Modeshare by TAZ'!G:G,"0")</f>
        <v>48.96</v>
      </c>
      <c r="N29">
        <f>_xlfn.XLOOKUP(E29, 'Model Modeshare by TAZ'!A:A, 'Model Modeshare by TAZ'!E:E,"0")</f>
        <v>154.08000000000001</v>
      </c>
      <c r="O29">
        <f>_xlfn.XLOOKUP(E29,'Model Modeshare by TAZ'!A:A,'Model Modeshare by TAZ'!F:F,"0")</f>
        <v>58.54</v>
      </c>
      <c r="P29">
        <f>_xlfn.XLOOKUP(E29,'Model Modeshare by TAZ'!A:A,'Model Modeshare by TAZ'!J:J,"0")</f>
        <v>397.96</v>
      </c>
    </row>
    <row r="30" spans="1:16" x14ac:dyDescent="0.35">
      <c r="A30">
        <v>27</v>
      </c>
      <c r="B30" t="s">
        <v>1161</v>
      </c>
      <c r="C30">
        <v>2479</v>
      </c>
      <c r="D30" s="120">
        <f>_xlfn.XLOOKUP(E30,'Model VMT by TAZ'!A:A,'Model VMT by TAZ'!E:E,0)</f>
        <v>97273.18</v>
      </c>
      <c r="E30" s="117">
        <v>2027</v>
      </c>
      <c r="F30" s="120">
        <f>_xlfn.XLOOKUP(E30, 'Action 1 Data'!B:B, 'Action 1 Data'!D:D, "0")</f>
        <v>5921</v>
      </c>
      <c r="G30" t="s">
        <v>1162</v>
      </c>
      <c r="H30" t="s">
        <v>1162</v>
      </c>
      <c r="I30">
        <v>0</v>
      </c>
      <c r="J30">
        <v>9454204</v>
      </c>
      <c r="K30">
        <v>14943.714668000001</v>
      </c>
      <c r="L30">
        <v>9454165.9149270002</v>
      </c>
      <c r="M30">
        <f>_xlfn.XLOOKUP(E30, 'Model Modeshare by TAZ'!A:A, 'Model Modeshare by TAZ'!G:G,"0")</f>
        <v>757.6</v>
      </c>
      <c r="N30">
        <f>_xlfn.XLOOKUP(E30, 'Model Modeshare by TAZ'!A:A, 'Model Modeshare by TAZ'!E:E,"0")</f>
        <v>12403.82</v>
      </c>
      <c r="O30">
        <f>_xlfn.XLOOKUP(E30,'Model Modeshare by TAZ'!A:A,'Model Modeshare by TAZ'!F:F,"0")</f>
        <v>9336.56</v>
      </c>
      <c r="P30">
        <f>_xlfn.XLOOKUP(E30,'Model Modeshare by TAZ'!A:A,'Model Modeshare by TAZ'!J:J,"0")</f>
        <v>28640.959999999999</v>
      </c>
    </row>
    <row r="31" spans="1:16" x14ac:dyDescent="0.35">
      <c r="A31">
        <v>28</v>
      </c>
      <c r="B31" t="s">
        <v>1161</v>
      </c>
      <c r="C31">
        <v>2480</v>
      </c>
      <c r="D31" s="120">
        <f>_xlfn.XLOOKUP(E31,'Model VMT by TAZ'!A:A,'Model VMT by TAZ'!E:E,0)</f>
        <v>82218.41</v>
      </c>
      <c r="E31" s="117">
        <v>2028</v>
      </c>
      <c r="F31" s="120">
        <f>_xlfn.XLOOKUP(E31, 'Action 1 Data'!B:B, 'Action 1 Data'!D:D, "0")</f>
        <v>3721</v>
      </c>
      <c r="G31" t="s">
        <v>1162</v>
      </c>
      <c r="H31" t="s">
        <v>1162</v>
      </c>
      <c r="I31">
        <v>0</v>
      </c>
      <c r="J31">
        <v>12004571</v>
      </c>
      <c r="K31">
        <v>18203.112179</v>
      </c>
      <c r="L31">
        <v>12004522.695506999</v>
      </c>
      <c r="M31">
        <f>_xlfn.XLOOKUP(E31, 'Model Modeshare by TAZ'!A:A, 'Model Modeshare by TAZ'!G:G,"0")</f>
        <v>291.83999999999997</v>
      </c>
      <c r="N31">
        <f>_xlfn.XLOOKUP(E31, 'Model Modeshare by TAZ'!A:A, 'Model Modeshare by TAZ'!E:E,"0")</f>
        <v>11691.98</v>
      </c>
      <c r="O31">
        <f>_xlfn.XLOOKUP(E31,'Model Modeshare by TAZ'!A:A,'Model Modeshare by TAZ'!F:F,"0")</f>
        <v>7275.88</v>
      </c>
      <c r="P31">
        <f>_xlfn.XLOOKUP(E31,'Model Modeshare by TAZ'!A:A,'Model Modeshare by TAZ'!J:J,"0")</f>
        <v>22742.32</v>
      </c>
    </row>
    <row r="32" spans="1:16" x14ac:dyDescent="0.35">
      <c r="A32">
        <v>29</v>
      </c>
      <c r="B32" t="s">
        <v>1161</v>
      </c>
      <c r="C32">
        <v>2481</v>
      </c>
      <c r="D32" s="120">
        <f>_xlfn.XLOOKUP(E32,'Model VMT by TAZ'!A:A,'Model VMT by TAZ'!E:E,0)</f>
        <v>165994.96</v>
      </c>
      <c r="E32" s="117">
        <v>2023</v>
      </c>
      <c r="F32" s="120" t="str">
        <f>_xlfn.XLOOKUP(E32, 'Action 1 Data'!B:B, 'Action 1 Data'!D:D, "0")</f>
        <v>0</v>
      </c>
      <c r="G32" t="s">
        <v>1162</v>
      </c>
      <c r="H32" t="s">
        <v>1162</v>
      </c>
      <c r="I32">
        <v>0</v>
      </c>
      <c r="J32">
        <v>11521747</v>
      </c>
      <c r="K32">
        <v>15562.826598</v>
      </c>
      <c r="L32">
        <v>11521700.924838001</v>
      </c>
      <c r="M32">
        <f>_xlfn.XLOOKUP(E32, 'Model Modeshare by TAZ'!A:A, 'Model Modeshare by TAZ'!G:G,"0")</f>
        <v>679.34</v>
      </c>
      <c r="N32">
        <f>_xlfn.XLOOKUP(E32, 'Model Modeshare by TAZ'!A:A, 'Model Modeshare by TAZ'!E:E,"0")</f>
        <v>17151.78</v>
      </c>
      <c r="O32">
        <f>_xlfn.XLOOKUP(E32,'Model Modeshare by TAZ'!A:A,'Model Modeshare by TAZ'!F:F,"0")</f>
        <v>9986.52</v>
      </c>
      <c r="P32">
        <f>_xlfn.XLOOKUP(E32,'Model Modeshare by TAZ'!A:A,'Model Modeshare by TAZ'!J:J,"0")</f>
        <v>31700.22</v>
      </c>
    </row>
    <row r="33" spans="1:16" x14ac:dyDescent="0.35">
      <c r="A33">
        <v>30</v>
      </c>
      <c r="B33" t="s">
        <v>1161</v>
      </c>
      <c r="C33">
        <v>2482</v>
      </c>
      <c r="D33" s="120">
        <f>_xlfn.XLOOKUP(E33,'Model VMT by TAZ'!A:A,'Model VMT by TAZ'!E:E,0)</f>
        <v>161023.6</v>
      </c>
      <c r="E33" s="117">
        <v>2024</v>
      </c>
      <c r="F33" s="120" t="str">
        <f>_xlfn.XLOOKUP(E33, 'Action 1 Data'!B:B, 'Action 1 Data'!D:D, "0")</f>
        <v>0</v>
      </c>
      <c r="G33" t="s">
        <v>1162</v>
      </c>
      <c r="H33" t="s">
        <v>1162</v>
      </c>
      <c r="I33">
        <v>0</v>
      </c>
      <c r="J33">
        <v>5425268</v>
      </c>
      <c r="K33">
        <v>11176.126404000001</v>
      </c>
      <c r="L33">
        <v>5425246.3706790004</v>
      </c>
      <c r="M33">
        <f>_xlfn.XLOOKUP(E33, 'Model Modeshare by TAZ'!A:A, 'Model Modeshare by TAZ'!G:G,"0")</f>
        <v>520.70000000000005</v>
      </c>
      <c r="N33">
        <f>_xlfn.XLOOKUP(E33, 'Model Modeshare by TAZ'!A:A, 'Model Modeshare by TAZ'!E:E,"0")</f>
        <v>14817.48</v>
      </c>
      <c r="O33">
        <f>_xlfn.XLOOKUP(E33,'Model Modeshare by TAZ'!A:A,'Model Modeshare by TAZ'!F:F,"0")</f>
        <v>9435.92</v>
      </c>
      <c r="P33">
        <f>_xlfn.XLOOKUP(E33,'Model Modeshare by TAZ'!A:A,'Model Modeshare by TAZ'!J:J,"0")</f>
        <v>28177.26</v>
      </c>
    </row>
    <row r="34" spans="1:16" x14ac:dyDescent="0.35">
      <c r="A34">
        <v>31</v>
      </c>
      <c r="B34" t="s">
        <v>1161</v>
      </c>
      <c r="C34">
        <v>2483</v>
      </c>
      <c r="D34" s="120">
        <f>_xlfn.XLOOKUP(E34,'Model VMT by TAZ'!A:A,'Model VMT by TAZ'!E:E,0)</f>
        <v>52977.57</v>
      </c>
      <c r="E34" s="117">
        <v>2025</v>
      </c>
      <c r="F34" s="120" t="str">
        <f>_xlfn.XLOOKUP(E34, 'Action 1 Data'!B:B, 'Action 1 Data'!D:D, "0")</f>
        <v>0</v>
      </c>
      <c r="G34" t="s">
        <v>1162</v>
      </c>
      <c r="H34" t="s">
        <v>1162</v>
      </c>
      <c r="I34">
        <v>0</v>
      </c>
      <c r="J34">
        <v>6770549</v>
      </c>
      <c r="K34">
        <v>13370.149938</v>
      </c>
      <c r="L34">
        <v>6770522.2388939997</v>
      </c>
      <c r="M34">
        <f>_xlfn.XLOOKUP(E34, 'Model Modeshare by TAZ'!A:A, 'Model Modeshare by TAZ'!G:G,"0")</f>
        <v>231.24</v>
      </c>
      <c r="N34">
        <f>_xlfn.XLOOKUP(E34, 'Model Modeshare by TAZ'!A:A, 'Model Modeshare by TAZ'!E:E,"0")</f>
        <v>7248.78</v>
      </c>
      <c r="O34">
        <f>_xlfn.XLOOKUP(E34,'Model Modeshare by TAZ'!A:A,'Model Modeshare by TAZ'!F:F,"0")</f>
        <v>5050.12</v>
      </c>
      <c r="P34">
        <f>_xlfn.XLOOKUP(E34,'Model Modeshare by TAZ'!A:A,'Model Modeshare by TAZ'!J:J,"0")</f>
        <v>15956.68</v>
      </c>
    </row>
    <row r="35" spans="1:16" x14ac:dyDescent="0.35">
      <c r="A35">
        <v>32</v>
      </c>
      <c r="B35" t="s">
        <v>1161</v>
      </c>
      <c r="C35">
        <v>2498</v>
      </c>
      <c r="D35" s="120">
        <f>_xlfn.XLOOKUP(E35,'Model VMT by TAZ'!A:A,'Model VMT by TAZ'!E:E,0)</f>
        <v>247582.5</v>
      </c>
      <c r="E35" s="117">
        <v>2040</v>
      </c>
      <c r="F35" s="120">
        <f>_xlfn.XLOOKUP(E35, 'Action 1 Data'!B:B, 'Action 1 Data'!D:D, "0")</f>
        <v>1699</v>
      </c>
      <c r="G35" t="s">
        <v>1162</v>
      </c>
      <c r="H35" t="s">
        <v>1162</v>
      </c>
      <c r="I35">
        <v>0</v>
      </c>
      <c r="J35">
        <v>12845769</v>
      </c>
      <c r="K35">
        <v>15595.049074</v>
      </c>
      <c r="L35">
        <v>12845717.945495</v>
      </c>
      <c r="M35">
        <f>_xlfn.XLOOKUP(E35, 'Model Modeshare by TAZ'!A:A, 'Model Modeshare by TAZ'!G:G,"0")</f>
        <v>891.64</v>
      </c>
      <c r="N35">
        <f>_xlfn.XLOOKUP(E35, 'Model Modeshare by TAZ'!A:A, 'Model Modeshare by TAZ'!E:E,"0")</f>
        <v>13103.9</v>
      </c>
      <c r="O35">
        <f>_xlfn.XLOOKUP(E35,'Model Modeshare by TAZ'!A:A,'Model Modeshare by TAZ'!F:F,"0")</f>
        <v>5450.44</v>
      </c>
      <c r="P35">
        <f>_xlfn.XLOOKUP(E35,'Model Modeshare by TAZ'!A:A,'Model Modeshare by TAZ'!J:J,"0")</f>
        <v>25103.74</v>
      </c>
    </row>
    <row r="36" spans="1:16" x14ac:dyDescent="0.35">
      <c r="A36">
        <v>33</v>
      </c>
      <c r="B36" t="s">
        <v>1161</v>
      </c>
      <c r="C36">
        <v>2499</v>
      </c>
      <c r="D36" s="120">
        <f>_xlfn.XLOOKUP(E36,'Model VMT by TAZ'!A:A,'Model VMT by TAZ'!E:E,0)</f>
        <v>267988.78999999998</v>
      </c>
      <c r="E36" s="117">
        <v>2041</v>
      </c>
      <c r="F36" s="120">
        <f>_xlfn.XLOOKUP(E36, 'Action 1 Data'!B:B, 'Action 1 Data'!D:D, "0")</f>
        <v>3744</v>
      </c>
      <c r="G36" t="s">
        <v>1162</v>
      </c>
      <c r="H36" t="s">
        <v>1162</v>
      </c>
      <c r="I36">
        <v>0</v>
      </c>
      <c r="J36">
        <v>10110210</v>
      </c>
      <c r="K36">
        <v>14095.781136</v>
      </c>
      <c r="L36">
        <v>10110169.822137</v>
      </c>
      <c r="M36">
        <f>_xlfn.XLOOKUP(E36, 'Model Modeshare by TAZ'!A:A, 'Model Modeshare by TAZ'!G:G,"0")</f>
        <v>1292</v>
      </c>
      <c r="N36">
        <f>_xlfn.XLOOKUP(E36, 'Model Modeshare by TAZ'!A:A, 'Model Modeshare by TAZ'!E:E,"0")</f>
        <v>23017.86</v>
      </c>
      <c r="O36">
        <f>_xlfn.XLOOKUP(E36,'Model Modeshare by TAZ'!A:A,'Model Modeshare by TAZ'!F:F,"0")</f>
        <v>9989.32</v>
      </c>
      <c r="P36">
        <f>_xlfn.XLOOKUP(E36,'Model Modeshare by TAZ'!A:A,'Model Modeshare by TAZ'!J:J,"0")</f>
        <v>40140.58</v>
      </c>
    </row>
    <row r="37" spans="1:16" x14ac:dyDescent="0.35">
      <c r="A37">
        <v>34</v>
      </c>
      <c r="B37" t="s">
        <v>1161</v>
      </c>
      <c r="C37">
        <v>2500</v>
      </c>
      <c r="D37" s="120">
        <f>_xlfn.XLOOKUP(E37,'Model VMT by TAZ'!A:A,'Model VMT by TAZ'!E:E,0)</f>
        <v>42281.98</v>
      </c>
      <c r="E37" s="117">
        <v>2043</v>
      </c>
      <c r="F37" s="120">
        <f>_xlfn.XLOOKUP(E37, 'Action 1 Data'!B:B, 'Action 1 Data'!D:D, "0")</f>
        <v>2114</v>
      </c>
      <c r="G37" t="s">
        <v>1162</v>
      </c>
      <c r="H37" t="s">
        <v>1162</v>
      </c>
      <c r="I37">
        <v>0</v>
      </c>
      <c r="J37">
        <v>13823152</v>
      </c>
      <c r="K37">
        <v>22353.230525999999</v>
      </c>
      <c r="L37">
        <v>13823096.738678999</v>
      </c>
      <c r="M37">
        <f>_xlfn.XLOOKUP(E37, 'Model Modeshare by TAZ'!A:A, 'Model Modeshare by TAZ'!G:G,"0")</f>
        <v>134.22</v>
      </c>
      <c r="N37">
        <f>_xlfn.XLOOKUP(E37, 'Model Modeshare by TAZ'!A:A, 'Model Modeshare by TAZ'!E:E,"0")</f>
        <v>5202.96</v>
      </c>
      <c r="O37">
        <f>_xlfn.XLOOKUP(E37,'Model Modeshare by TAZ'!A:A,'Model Modeshare by TAZ'!F:F,"0")</f>
        <v>3844.22</v>
      </c>
      <c r="P37">
        <f>_xlfn.XLOOKUP(E37,'Model Modeshare by TAZ'!A:A,'Model Modeshare by TAZ'!J:J,"0")</f>
        <v>10851.34</v>
      </c>
    </row>
    <row r="38" spans="1:16" x14ac:dyDescent="0.35">
      <c r="A38">
        <v>35</v>
      </c>
      <c r="B38" t="s">
        <v>1161</v>
      </c>
      <c r="C38">
        <v>2505</v>
      </c>
      <c r="D38" s="120">
        <f>_xlfn.XLOOKUP(E38,'Model VMT by TAZ'!A:A,'Model VMT by TAZ'!E:E,0)</f>
        <v>144455.10999999999</v>
      </c>
      <c r="E38" s="117">
        <v>1905</v>
      </c>
      <c r="F38" s="120" t="str">
        <f>_xlfn.XLOOKUP(E38, 'Action 1 Data'!B:B, 'Action 1 Data'!D:D, "0")</f>
        <v>0</v>
      </c>
      <c r="G38" t="s">
        <v>1162</v>
      </c>
      <c r="H38" t="s">
        <v>1162</v>
      </c>
      <c r="I38">
        <v>0</v>
      </c>
      <c r="J38">
        <v>10127591</v>
      </c>
      <c r="K38">
        <v>16198.230634</v>
      </c>
      <c r="L38">
        <v>10127550.351997999</v>
      </c>
      <c r="M38">
        <f>_xlfn.XLOOKUP(E38, 'Model Modeshare by TAZ'!A:A, 'Model Modeshare by TAZ'!G:G,"0")</f>
        <v>2748.18</v>
      </c>
      <c r="N38">
        <f>_xlfn.XLOOKUP(E38, 'Model Modeshare by TAZ'!A:A, 'Model Modeshare by TAZ'!E:E,"0")</f>
        <v>12876.82</v>
      </c>
      <c r="O38">
        <f>_xlfn.XLOOKUP(E38,'Model Modeshare by TAZ'!A:A,'Model Modeshare by TAZ'!F:F,"0")</f>
        <v>11315.78</v>
      </c>
      <c r="P38">
        <f>_xlfn.XLOOKUP(E38,'Model Modeshare by TAZ'!A:A,'Model Modeshare by TAZ'!J:J,"0")</f>
        <v>32116.94</v>
      </c>
    </row>
    <row r="39" spans="1:16" x14ac:dyDescent="0.35">
      <c r="A39">
        <v>36</v>
      </c>
      <c r="B39" t="s">
        <v>1161</v>
      </c>
      <c r="C39">
        <v>2506</v>
      </c>
      <c r="D39" s="120">
        <f>_xlfn.XLOOKUP(E39,'Model VMT by TAZ'!A:A,'Model VMT by TAZ'!E:E,0)</f>
        <v>80473.460000000006</v>
      </c>
      <c r="E39" s="117">
        <v>1902</v>
      </c>
      <c r="F39" s="120" t="str">
        <f>_xlfn.XLOOKUP(E39, 'Action 1 Data'!B:B, 'Action 1 Data'!D:D, "0")</f>
        <v>0</v>
      </c>
      <c r="G39" t="s">
        <v>1162</v>
      </c>
      <c r="H39" t="s">
        <v>1162</v>
      </c>
      <c r="I39">
        <v>0</v>
      </c>
      <c r="J39">
        <v>10124072</v>
      </c>
      <c r="K39">
        <v>15488.615064</v>
      </c>
      <c r="L39">
        <v>10124031.349370001</v>
      </c>
      <c r="M39">
        <f>_xlfn.XLOOKUP(E39, 'Model Modeshare by TAZ'!A:A, 'Model Modeshare by TAZ'!G:G,"0")</f>
        <v>1425.8</v>
      </c>
      <c r="N39">
        <f>_xlfn.XLOOKUP(E39, 'Model Modeshare by TAZ'!A:A, 'Model Modeshare by TAZ'!E:E,"0")</f>
        <v>7944.76</v>
      </c>
      <c r="O39">
        <f>_xlfn.XLOOKUP(E39,'Model Modeshare by TAZ'!A:A,'Model Modeshare by TAZ'!F:F,"0")</f>
        <v>6050.96</v>
      </c>
      <c r="P39">
        <f>_xlfn.XLOOKUP(E39,'Model Modeshare by TAZ'!A:A,'Model Modeshare by TAZ'!J:J,"0")</f>
        <v>18182.62</v>
      </c>
    </row>
    <row r="40" spans="1:16" x14ac:dyDescent="0.35">
      <c r="A40">
        <v>37</v>
      </c>
      <c r="B40" t="s">
        <v>1161</v>
      </c>
      <c r="C40">
        <v>2507</v>
      </c>
      <c r="D40" s="120">
        <f>_xlfn.XLOOKUP(E40,'Model VMT by TAZ'!A:A,'Model VMT by TAZ'!E:E,0)</f>
        <v>120974.53</v>
      </c>
      <c r="E40" s="117">
        <v>1903</v>
      </c>
      <c r="F40" s="120" t="str">
        <f>_xlfn.XLOOKUP(E40, 'Action 1 Data'!B:B, 'Action 1 Data'!D:D, "0")</f>
        <v>0</v>
      </c>
      <c r="G40" t="s">
        <v>1162</v>
      </c>
      <c r="H40" t="s">
        <v>1162</v>
      </c>
      <c r="I40">
        <v>0</v>
      </c>
      <c r="J40">
        <v>6019963</v>
      </c>
      <c r="K40">
        <v>10106.101924000001</v>
      </c>
      <c r="L40">
        <v>6019938.8908209996</v>
      </c>
      <c r="M40">
        <f>_xlfn.XLOOKUP(E40, 'Model Modeshare by TAZ'!A:A, 'Model Modeshare by TAZ'!G:G,"0")</f>
        <v>1664.14</v>
      </c>
      <c r="N40">
        <f>_xlfn.XLOOKUP(E40, 'Model Modeshare by TAZ'!A:A, 'Model Modeshare by TAZ'!E:E,"0")</f>
        <v>14261.38</v>
      </c>
      <c r="O40">
        <f>_xlfn.XLOOKUP(E40,'Model Modeshare by TAZ'!A:A,'Model Modeshare by TAZ'!F:F,"0")</f>
        <v>8616.4599999999991</v>
      </c>
      <c r="P40">
        <f>_xlfn.XLOOKUP(E40,'Model Modeshare by TAZ'!A:A,'Model Modeshare by TAZ'!J:J,"0")</f>
        <v>29135.54</v>
      </c>
    </row>
    <row r="41" spans="1:16" x14ac:dyDescent="0.35">
      <c r="A41">
        <v>38</v>
      </c>
      <c r="B41" t="s">
        <v>1161</v>
      </c>
      <c r="C41">
        <v>2508</v>
      </c>
      <c r="D41" s="120">
        <f>_xlfn.XLOOKUP(E41,'Model VMT by TAZ'!A:A,'Model VMT by TAZ'!E:E,0)</f>
        <v>78480.92</v>
      </c>
      <c r="E41" s="117">
        <v>1904</v>
      </c>
      <c r="F41" s="120" t="str">
        <f>_xlfn.XLOOKUP(E41, 'Action 1 Data'!B:B, 'Action 1 Data'!D:D, "0")</f>
        <v>0</v>
      </c>
      <c r="G41" t="s">
        <v>1162</v>
      </c>
      <c r="H41" t="s">
        <v>1162</v>
      </c>
      <c r="I41">
        <v>0</v>
      </c>
      <c r="J41">
        <v>4124157</v>
      </c>
      <c r="K41">
        <v>11272.482269</v>
      </c>
      <c r="L41">
        <v>4124140.7803409998</v>
      </c>
      <c r="M41">
        <f>_xlfn.XLOOKUP(E41, 'Model Modeshare by TAZ'!A:A, 'Model Modeshare by TAZ'!G:G,"0")</f>
        <v>1504.98</v>
      </c>
      <c r="N41">
        <f>_xlfn.XLOOKUP(E41, 'Model Modeshare by TAZ'!A:A, 'Model Modeshare by TAZ'!E:E,"0")</f>
        <v>7941.18</v>
      </c>
      <c r="O41">
        <f>_xlfn.XLOOKUP(E41,'Model Modeshare by TAZ'!A:A,'Model Modeshare by TAZ'!F:F,"0")</f>
        <v>5480.46</v>
      </c>
      <c r="P41">
        <f>_xlfn.XLOOKUP(E41,'Model Modeshare by TAZ'!A:A,'Model Modeshare by TAZ'!J:J,"0")</f>
        <v>17859.32</v>
      </c>
    </row>
    <row r="42" spans="1:16" x14ac:dyDescent="0.35">
      <c r="A42">
        <v>39</v>
      </c>
      <c r="B42" t="s">
        <v>1161</v>
      </c>
      <c r="C42">
        <v>2509</v>
      </c>
      <c r="D42" s="120">
        <f>_xlfn.XLOOKUP(E42,'Model VMT by TAZ'!A:A,'Model VMT by TAZ'!E:E,0)</f>
        <v>227882.79</v>
      </c>
      <c r="E42" s="117">
        <v>1892</v>
      </c>
      <c r="F42" s="120" t="str">
        <f>_xlfn.XLOOKUP(E42, 'Action 1 Data'!B:B, 'Action 1 Data'!D:D, "0")</f>
        <v>0</v>
      </c>
      <c r="G42" t="s">
        <v>1162</v>
      </c>
      <c r="H42" t="s">
        <v>1162</v>
      </c>
      <c r="I42">
        <v>0</v>
      </c>
      <c r="J42">
        <v>6237822</v>
      </c>
      <c r="K42">
        <v>15691.163479999999</v>
      </c>
      <c r="L42">
        <v>6237796.7681600004</v>
      </c>
      <c r="M42">
        <f>_xlfn.XLOOKUP(E42, 'Model Modeshare by TAZ'!A:A, 'Model Modeshare by TAZ'!G:G,"0")</f>
        <v>2998.74</v>
      </c>
      <c r="N42">
        <f>_xlfn.XLOOKUP(E42, 'Model Modeshare by TAZ'!A:A, 'Model Modeshare by TAZ'!E:E,"0")</f>
        <v>18201.2</v>
      </c>
      <c r="O42">
        <f>_xlfn.XLOOKUP(E42,'Model Modeshare by TAZ'!A:A,'Model Modeshare by TAZ'!F:F,"0")</f>
        <v>11272.36</v>
      </c>
      <c r="P42">
        <f>_xlfn.XLOOKUP(E42,'Model Modeshare by TAZ'!A:A,'Model Modeshare by TAZ'!J:J,"0")</f>
        <v>38737.160000000003</v>
      </c>
    </row>
    <row r="43" spans="1:16" x14ac:dyDescent="0.35">
      <c r="A43">
        <v>40</v>
      </c>
      <c r="B43" t="s">
        <v>1161</v>
      </c>
      <c r="C43">
        <v>2513</v>
      </c>
      <c r="D43" s="120">
        <f>_xlfn.XLOOKUP(E43,'Model VMT by TAZ'!A:A,'Model VMT by TAZ'!E:E,0)</f>
        <v>144944.68</v>
      </c>
      <c r="E43" s="117">
        <v>1893</v>
      </c>
      <c r="F43" s="120" t="str">
        <f>_xlfn.XLOOKUP(E43, 'Action 1 Data'!B:B, 'Action 1 Data'!D:D, "0")</f>
        <v>0</v>
      </c>
      <c r="G43" t="s">
        <v>1162</v>
      </c>
      <c r="H43" t="s">
        <v>1162</v>
      </c>
      <c r="I43">
        <v>0</v>
      </c>
      <c r="J43">
        <v>12021410</v>
      </c>
      <c r="K43">
        <v>16561.483681999998</v>
      </c>
      <c r="L43">
        <v>12021361.454545001</v>
      </c>
      <c r="M43">
        <f>_xlfn.XLOOKUP(E43, 'Model Modeshare by TAZ'!A:A, 'Model Modeshare by TAZ'!G:G,"0")</f>
        <v>1004.52</v>
      </c>
      <c r="N43">
        <f>_xlfn.XLOOKUP(E43, 'Model Modeshare by TAZ'!A:A, 'Model Modeshare by TAZ'!E:E,"0")</f>
        <v>15275.38</v>
      </c>
      <c r="O43">
        <f>_xlfn.XLOOKUP(E43,'Model Modeshare by TAZ'!A:A,'Model Modeshare by TAZ'!F:F,"0")</f>
        <v>7965.38</v>
      </c>
      <c r="P43">
        <f>_xlfn.XLOOKUP(E43,'Model Modeshare by TAZ'!A:A,'Model Modeshare by TAZ'!J:J,"0")</f>
        <v>27866.22</v>
      </c>
    </row>
    <row r="44" spans="1:16" x14ac:dyDescent="0.35">
      <c r="A44">
        <v>41</v>
      </c>
      <c r="B44" t="s">
        <v>1161</v>
      </c>
      <c r="C44">
        <v>2514</v>
      </c>
      <c r="D44" s="120">
        <f>_xlfn.XLOOKUP(E44,'Model VMT by TAZ'!A:A,'Model VMT by TAZ'!E:E,0)</f>
        <v>133012.91</v>
      </c>
      <c r="E44" s="117">
        <v>1901</v>
      </c>
      <c r="F44" s="120" t="str">
        <f>_xlfn.XLOOKUP(E44, 'Action 1 Data'!B:B, 'Action 1 Data'!D:D, "0")</f>
        <v>0</v>
      </c>
      <c r="G44" t="s">
        <v>1162</v>
      </c>
      <c r="H44" t="s">
        <v>1162</v>
      </c>
      <c r="I44">
        <v>0</v>
      </c>
      <c r="J44">
        <v>4814001</v>
      </c>
      <c r="K44">
        <v>10466.174378</v>
      </c>
      <c r="L44">
        <v>4813981.28223</v>
      </c>
      <c r="M44">
        <f>_xlfn.XLOOKUP(E44, 'Model Modeshare by TAZ'!A:A, 'Model Modeshare by TAZ'!G:G,"0")</f>
        <v>1507.54</v>
      </c>
      <c r="N44">
        <f>_xlfn.XLOOKUP(E44, 'Model Modeshare by TAZ'!A:A, 'Model Modeshare by TAZ'!E:E,"0")</f>
        <v>10262.42</v>
      </c>
      <c r="O44">
        <f>_xlfn.XLOOKUP(E44,'Model Modeshare by TAZ'!A:A,'Model Modeshare by TAZ'!F:F,"0")</f>
        <v>7828.82</v>
      </c>
      <c r="P44">
        <f>_xlfn.XLOOKUP(E44,'Model Modeshare by TAZ'!A:A,'Model Modeshare by TAZ'!J:J,"0")</f>
        <v>23214.12</v>
      </c>
    </row>
    <row r="45" spans="1:16" x14ac:dyDescent="0.35">
      <c r="A45">
        <v>42</v>
      </c>
      <c r="B45" t="s">
        <v>1161</v>
      </c>
      <c r="C45">
        <v>2515</v>
      </c>
      <c r="D45" s="120">
        <f>_xlfn.XLOOKUP(E45,'Model VMT by TAZ'!A:A,'Model VMT by TAZ'!E:E,0)</f>
        <v>113610.82</v>
      </c>
      <c r="E45" s="117">
        <v>1894</v>
      </c>
      <c r="F45" s="120" t="str">
        <f>_xlfn.XLOOKUP(E45, 'Action 1 Data'!B:B, 'Action 1 Data'!D:D, "0")</f>
        <v>0</v>
      </c>
      <c r="G45" t="s">
        <v>1162</v>
      </c>
      <c r="H45" t="s">
        <v>1162</v>
      </c>
      <c r="I45">
        <v>0</v>
      </c>
      <c r="J45">
        <v>9046312</v>
      </c>
      <c r="K45">
        <v>15420.545419</v>
      </c>
      <c r="L45">
        <v>9046275.3410899993</v>
      </c>
      <c r="M45">
        <f>_xlfn.XLOOKUP(E45, 'Model Modeshare by TAZ'!A:A, 'Model Modeshare by TAZ'!G:G,"0")</f>
        <v>935.32</v>
      </c>
      <c r="N45">
        <f>_xlfn.XLOOKUP(E45, 'Model Modeshare by TAZ'!A:A, 'Model Modeshare by TAZ'!E:E,"0")</f>
        <v>13804.24</v>
      </c>
      <c r="O45">
        <f>_xlfn.XLOOKUP(E45,'Model Modeshare by TAZ'!A:A,'Model Modeshare by TAZ'!F:F,"0")</f>
        <v>6577.54</v>
      </c>
      <c r="P45">
        <f>_xlfn.XLOOKUP(E45,'Model Modeshare by TAZ'!A:A,'Model Modeshare by TAZ'!J:J,"0")</f>
        <v>28110.880000000001</v>
      </c>
    </row>
    <row r="46" spans="1:16" x14ac:dyDescent="0.35">
      <c r="A46">
        <v>43</v>
      </c>
      <c r="B46" t="s">
        <v>1161</v>
      </c>
      <c r="C46">
        <v>2518</v>
      </c>
      <c r="D46" s="120">
        <f>_xlfn.XLOOKUP(E46,'Model VMT by TAZ'!A:A,'Model VMT by TAZ'!E:E,0)</f>
        <v>210304.64000000001</v>
      </c>
      <c r="E46" s="117">
        <v>1900</v>
      </c>
      <c r="F46" s="120" t="str">
        <f>_xlfn.XLOOKUP(E46, 'Action 1 Data'!B:B, 'Action 1 Data'!D:D, "0")</f>
        <v>0</v>
      </c>
      <c r="G46" t="s">
        <v>1162</v>
      </c>
      <c r="H46" t="s">
        <v>1162</v>
      </c>
      <c r="I46">
        <v>0</v>
      </c>
      <c r="J46">
        <v>38875772</v>
      </c>
      <c r="K46">
        <v>31628.002285999999</v>
      </c>
      <c r="L46">
        <v>38875616.930261999</v>
      </c>
      <c r="M46">
        <f>_xlfn.XLOOKUP(E46, 'Model Modeshare by TAZ'!A:A, 'Model Modeshare by TAZ'!G:G,"0")</f>
        <v>1135.32</v>
      </c>
      <c r="N46">
        <f>_xlfn.XLOOKUP(E46, 'Model Modeshare by TAZ'!A:A, 'Model Modeshare by TAZ'!E:E,"0")</f>
        <v>16320.94</v>
      </c>
      <c r="O46">
        <f>_xlfn.XLOOKUP(E46,'Model Modeshare by TAZ'!A:A,'Model Modeshare by TAZ'!F:F,"0")</f>
        <v>7697.62</v>
      </c>
      <c r="P46">
        <f>_xlfn.XLOOKUP(E46,'Model Modeshare by TAZ'!A:A,'Model Modeshare by TAZ'!J:J,"0")</f>
        <v>28836.06</v>
      </c>
    </row>
    <row r="47" spans="1:16" x14ac:dyDescent="0.35">
      <c r="A47">
        <v>44</v>
      </c>
      <c r="B47" t="s">
        <v>1161</v>
      </c>
      <c r="C47">
        <v>2522</v>
      </c>
      <c r="D47" s="120">
        <f>_xlfn.XLOOKUP(E47,'Model VMT by TAZ'!A:A,'Model VMT by TAZ'!E:E,0)</f>
        <v>65614.13</v>
      </c>
      <c r="E47" s="117">
        <v>1917</v>
      </c>
      <c r="F47" s="120" t="str">
        <f>_xlfn.XLOOKUP(E47, 'Action 1 Data'!B:B, 'Action 1 Data'!D:D, "0")</f>
        <v>0</v>
      </c>
      <c r="G47" t="s">
        <v>1162</v>
      </c>
      <c r="H47" t="s">
        <v>1162</v>
      </c>
      <c r="I47">
        <v>0</v>
      </c>
      <c r="J47">
        <v>8049870</v>
      </c>
      <c r="K47">
        <v>14891.915504000001</v>
      </c>
      <c r="L47">
        <v>8049837.5445060004</v>
      </c>
      <c r="M47">
        <f>_xlfn.XLOOKUP(E47, 'Model Modeshare by TAZ'!A:A, 'Model Modeshare by TAZ'!G:G,"0")</f>
        <v>523.66</v>
      </c>
      <c r="N47">
        <f>_xlfn.XLOOKUP(E47, 'Model Modeshare by TAZ'!A:A, 'Model Modeshare by TAZ'!E:E,"0")</f>
        <v>5884.4</v>
      </c>
      <c r="O47">
        <f>_xlfn.XLOOKUP(E47,'Model Modeshare by TAZ'!A:A,'Model Modeshare by TAZ'!F:F,"0")</f>
        <v>4238.62</v>
      </c>
      <c r="P47">
        <f>_xlfn.XLOOKUP(E47,'Model Modeshare by TAZ'!A:A,'Model Modeshare by TAZ'!J:J,"0")</f>
        <v>13193.58</v>
      </c>
    </row>
    <row r="48" spans="1:16" x14ac:dyDescent="0.35">
      <c r="A48">
        <v>45</v>
      </c>
      <c r="B48" t="s">
        <v>1161</v>
      </c>
      <c r="C48">
        <v>2523</v>
      </c>
      <c r="D48" s="120">
        <f>_xlfn.XLOOKUP(E48,'Model VMT by TAZ'!A:A,'Model VMT by TAZ'!E:E,0)</f>
        <v>78106.289999999994</v>
      </c>
      <c r="E48" s="117">
        <v>1914</v>
      </c>
      <c r="F48" s="120" t="str">
        <f>_xlfn.XLOOKUP(E48, 'Action 1 Data'!B:B, 'Action 1 Data'!D:D, "0")</f>
        <v>0</v>
      </c>
      <c r="G48" t="s">
        <v>1162</v>
      </c>
      <c r="H48" t="s">
        <v>1162</v>
      </c>
      <c r="I48">
        <v>0</v>
      </c>
      <c r="J48">
        <v>11119266</v>
      </c>
      <c r="K48">
        <v>20980.056689000001</v>
      </c>
      <c r="L48">
        <v>11119221.827895001</v>
      </c>
      <c r="M48">
        <f>_xlfn.XLOOKUP(E48, 'Model Modeshare by TAZ'!A:A, 'Model Modeshare by TAZ'!G:G,"0")</f>
        <v>555.14</v>
      </c>
      <c r="N48">
        <f>_xlfn.XLOOKUP(E48, 'Model Modeshare by TAZ'!A:A, 'Model Modeshare by TAZ'!E:E,"0")</f>
        <v>8302.44</v>
      </c>
      <c r="O48">
        <f>_xlfn.XLOOKUP(E48,'Model Modeshare by TAZ'!A:A,'Model Modeshare by TAZ'!F:F,"0")</f>
        <v>5614.04</v>
      </c>
      <c r="P48">
        <f>_xlfn.XLOOKUP(E48,'Model Modeshare by TAZ'!A:A,'Model Modeshare by TAZ'!J:J,"0")</f>
        <v>18394.72</v>
      </c>
    </row>
    <row r="49" spans="1:16" x14ac:dyDescent="0.35">
      <c r="A49">
        <v>46</v>
      </c>
      <c r="B49" t="s">
        <v>1161</v>
      </c>
      <c r="C49">
        <v>2527</v>
      </c>
      <c r="D49" s="120">
        <f>_xlfn.XLOOKUP(E49,'Model VMT by TAZ'!A:A,'Model VMT by TAZ'!E:E,0)</f>
        <v>159749.14000000001</v>
      </c>
      <c r="E49" s="117">
        <v>1912</v>
      </c>
      <c r="F49" s="120">
        <f>_xlfn.XLOOKUP(E49, 'Action 1 Data'!B:B, 'Action 1 Data'!D:D, "0")</f>
        <v>0</v>
      </c>
      <c r="G49" t="s">
        <v>1162</v>
      </c>
      <c r="H49" t="s">
        <v>1162</v>
      </c>
      <c r="I49">
        <v>0</v>
      </c>
      <c r="J49">
        <v>20585443</v>
      </c>
      <c r="K49">
        <v>23453.251883000001</v>
      </c>
      <c r="L49">
        <v>20585360.608548999</v>
      </c>
      <c r="M49">
        <f>_xlfn.XLOOKUP(E49, 'Model Modeshare by TAZ'!A:A, 'Model Modeshare by TAZ'!G:G,"0")</f>
        <v>373</v>
      </c>
      <c r="N49">
        <f>_xlfn.XLOOKUP(E49, 'Model Modeshare by TAZ'!A:A, 'Model Modeshare by TAZ'!E:E,"0")</f>
        <v>13671.56</v>
      </c>
      <c r="O49">
        <f>_xlfn.XLOOKUP(E49,'Model Modeshare by TAZ'!A:A,'Model Modeshare by TAZ'!F:F,"0")</f>
        <v>4467.8599999999997</v>
      </c>
      <c r="P49">
        <f>_xlfn.XLOOKUP(E49,'Model Modeshare by TAZ'!A:A,'Model Modeshare by TAZ'!J:J,"0")</f>
        <v>20091.36</v>
      </c>
    </row>
    <row r="50" spans="1:16" x14ac:dyDescent="0.35">
      <c r="A50">
        <v>47</v>
      </c>
      <c r="B50" t="s">
        <v>1161</v>
      </c>
      <c r="C50">
        <v>2528</v>
      </c>
      <c r="D50" s="120">
        <f>_xlfn.XLOOKUP(E50,'Model VMT by TAZ'!A:A,'Model VMT by TAZ'!E:E,0)</f>
        <v>141156.21</v>
      </c>
      <c r="E50" s="117">
        <v>1913</v>
      </c>
      <c r="F50" s="120" t="str">
        <f>_xlfn.XLOOKUP(E50, 'Action 1 Data'!B:B, 'Action 1 Data'!D:D, "0")</f>
        <v>0</v>
      </c>
      <c r="G50" t="s">
        <v>1162</v>
      </c>
      <c r="H50" t="s">
        <v>1162</v>
      </c>
      <c r="I50">
        <v>0</v>
      </c>
      <c r="J50">
        <v>23292776</v>
      </c>
      <c r="K50">
        <v>20724.472796999999</v>
      </c>
      <c r="L50">
        <v>23292683.174251001</v>
      </c>
      <c r="M50">
        <f>_xlfn.XLOOKUP(E50, 'Model Modeshare by TAZ'!A:A, 'Model Modeshare by TAZ'!G:G,"0")</f>
        <v>809.3</v>
      </c>
      <c r="N50">
        <f>_xlfn.XLOOKUP(E50, 'Model Modeshare by TAZ'!A:A, 'Model Modeshare by TAZ'!E:E,"0")</f>
        <v>13341.78</v>
      </c>
      <c r="O50">
        <f>_xlfn.XLOOKUP(E50,'Model Modeshare by TAZ'!A:A,'Model Modeshare by TAZ'!F:F,"0")</f>
        <v>8177.06</v>
      </c>
      <c r="P50">
        <f>_xlfn.XLOOKUP(E50,'Model Modeshare by TAZ'!A:A,'Model Modeshare by TAZ'!J:J,"0")</f>
        <v>25609.52</v>
      </c>
    </row>
    <row r="51" spans="1:16" x14ac:dyDescent="0.35">
      <c r="A51">
        <v>48</v>
      </c>
      <c r="B51" t="s">
        <v>1161</v>
      </c>
      <c r="C51">
        <v>2543</v>
      </c>
      <c r="D51" s="120">
        <f>_xlfn.XLOOKUP(E51,'Model VMT by TAZ'!A:A,'Model VMT by TAZ'!E:E,0)</f>
        <v>82917.429999999993</v>
      </c>
      <c r="E51" s="117">
        <v>1936</v>
      </c>
      <c r="F51" s="120" t="str">
        <f>_xlfn.XLOOKUP(E51, 'Action 1 Data'!B:B, 'Action 1 Data'!D:D, "0")</f>
        <v>0</v>
      </c>
      <c r="G51" t="s">
        <v>1162</v>
      </c>
      <c r="H51" t="s">
        <v>1162</v>
      </c>
      <c r="I51">
        <v>0</v>
      </c>
      <c r="J51">
        <v>12836389</v>
      </c>
      <c r="K51">
        <v>23323.773431000001</v>
      </c>
      <c r="L51">
        <v>12836337.649371</v>
      </c>
      <c r="M51">
        <f>_xlfn.XLOOKUP(E51, 'Model Modeshare by TAZ'!A:A, 'Model Modeshare by TAZ'!G:G,"0")</f>
        <v>583.74</v>
      </c>
      <c r="N51">
        <f>_xlfn.XLOOKUP(E51, 'Model Modeshare by TAZ'!A:A, 'Model Modeshare by TAZ'!E:E,"0")</f>
        <v>8479.94</v>
      </c>
      <c r="O51">
        <f>_xlfn.XLOOKUP(E51,'Model Modeshare by TAZ'!A:A,'Model Modeshare by TAZ'!F:F,"0")</f>
        <v>5370.08</v>
      </c>
      <c r="P51">
        <f>_xlfn.XLOOKUP(E51,'Model Modeshare by TAZ'!A:A,'Model Modeshare by TAZ'!J:J,"0")</f>
        <v>17928.82</v>
      </c>
    </row>
    <row r="52" spans="1:16" x14ac:dyDescent="0.35">
      <c r="A52">
        <v>49</v>
      </c>
      <c r="B52" t="s">
        <v>1161</v>
      </c>
      <c r="C52">
        <v>2544</v>
      </c>
      <c r="D52" s="120">
        <f>_xlfn.XLOOKUP(E52,'Model VMT by TAZ'!A:A,'Model VMT by TAZ'!E:E,0)</f>
        <v>76450.34</v>
      </c>
      <c r="E52" s="117">
        <v>1935</v>
      </c>
      <c r="F52" s="120">
        <f>_xlfn.XLOOKUP(E52, 'Action 1 Data'!B:B, 'Action 1 Data'!D:D, "0")</f>
        <v>3229</v>
      </c>
      <c r="G52" t="s">
        <v>1162</v>
      </c>
      <c r="H52" t="s">
        <v>1162</v>
      </c>
      <c r="I52">
        <v>0</v>
      </c>
      <c r="J52">
        <v>9764827</v>
      </c>
      <c r="K52">
        <v>13012.696567999999</v>
      </c>
      <c r="L52">
        <v>9764787.7799890004</v>
      </c>
      <c r="M52">
        <f>_xlfn.XLOOKUP(E52, 'Model Modeshare by TAZ'!A:A, 'Model Modeshare by TAZ'!G:G,"0")</f>
        <v>462.2</v>
      </c>
      <c r="N52">
        <f>_xlfn.XLOOKUP(E52, 'Model Modeshare by TAZ'!A:A, 'Model Modeshare by TAZ'!E:E,"0")</f>
        <v>10980.66</v>
      </c>
      <c r="O52">
        <f>_xlfn.XLOOKUP(E52,'Model Modeshare by TAZ'!A:A,'Model Modeshare by TAZ'!F:F,"0")</f>
        <v>6450.98</v>
      </c>
      <c r="P52">
        <f>_xlfn.XLOOKUP(E52,'Model Modeshare by TAZ'!A:A,'Model Modeshare by TAZ'!J:J,"0")</f>
        <v>21491.86</v>
      </c>
    </row>
    <row r="53" spans="1:16" x14ac:dyDescent="0.35">
      <c r="A53">
        <v>50</v>
      </c>
      <c r="B53" t="s">
        <v>1161</v>
      </c>
      <c r="C53">
        <v>2545</v>
      </c>
      <c r="D53" s="120">
        <f>_xlfn.XLOOKUP(E53,'Model VMT by TAZ'!A:A,'Model VMT by TAZ'!E:E,0)</f>
        <v>107390.46</v>
      </c>
      <c r="E53" s="117">
        <v>1647</v>
      </c>
      <c r="F53" s="120">
        <f>_xlfn.XLOOKUP(E53, 'Action 1 Data'!B:B, 'Action 1 Data'!D:D, "0")</f>
        <v>2292</v>
      </c>
      <c r="G53" t="s">
        <v>1162</v>
      </c>
      <c r="H53" t="s">
        <v>1162</v>
      </c>
      <c r="I53">
        <v>0</v>
      </c>
      <c r="J53">
        <v>3659584</v>
      </c>
      <c r="K53">
        <v>10175.045301</v>
      </c>
      <c r="L53">
        <v>3659569.6213429999</v>
      </c>
      <c r="M53">
        <f>_xlfn.XLOOKUP(E53, 'Model Modeshare by TAZ'!A:A, 'Model Modeshare by TAZ'!G:G,"0")</f>
        <v>690.04</v>
      </c>
      <c r="N53">
        <f>_xlfn.XLOOKUP(E53, 'Model Modeshare by TAZ'!A:A, 'Model Modeshare by TAZ'!E:E,"0")</f>
        <v>9986.3799999999992</v>
      </c>
      <c r="O53">
        <f>_xlfn.XLOOKUP(E53,'Model Modeshare by TAZ'!A:A,'Model Modeshare by TAZ'!F:F,"0")</f>
        <v>6110.78</v>
      </c>
      <c r="P53">
        <f>_xlfn.XLOOKUP(E53,'Model Modeshare by TAZ'!A:A,'Model Modeshare by TAZ'!J:J,"0")</f>
        <v>19097.88</v>
      </c>
    </row>
    <row r="54" spans="1:16" x14ac:dyDescent="0.35">
      <c r="A54">
        <v>51</v>
      </c>
      <c r="B54" t="s">
        <v>1161</v>
      </c>
      <c r="C54">
        <v>2546</v>
      </c>
      <c r="D54" s="120">
        <f>_xlfn.XLOOKUP(E54,'Model VMT by TAZ'!A:A,'Model VMT by TAZ'!E:E,0)</f>
        <v>74088.960000000006</v>
      </c>
      <c r="E54" s="117">
        <v>1599</v>
      </c>
      <c r="F54" s="120">
        <f>_xlfn.XLOOKUP(E54, 'Action 1 Data'!B:B, 'Action 1 Data'!D:D, "0")</f>
        <v>1150</v>
      </c>
      <c r="G54" t="s">
        <v>1162</v>
      </c>
      <c r="H54" t="s">
        <v>1162</v>
      </c>
      <c r="I54">
        <v>0</v>
      </c>
      <c r="J54">
        <v>3914326</v>
      </c>
      <c r="K54">
        <v>8280.8672650000008</v>
      </c>
      <c r="L54">
        <v>3914310.4595679999</v>
      </c>
      <c r="M54">
        <f>_xlfn.XLOOKUP(E54, 'Model Modeshare by TAZ'!A:A, 'Model Modeshare by TAZ'!G:G,"0")</f>
        <v>519.54</v>
      </c>
      <c r="N54">
        <f>_xlfn.XLOOKUP(E54, 'Model Modeshare by TAZ'!A:A, 'Model Modeshare by TAZ'!E:E,"0")</f>
        <v>7069.84</v>
      </c>
      <c r="O54">
        <f>_xlfn.XLOOKUP(E54,'Model Modeshare by TAZ'!A:A,'Model Modeshare by TAZ'!F:F,"0")</f>
        <v>3407.7</v>
      </c>
      <c r="P54">
        <f>_xlfn.XLOOKUP(E54,'Model Modeshare by TAZ'!A:A,'Model Modeshare by TAZ'!J:J,"0")</f>
        <v>12387.78</v>
      </c>
    </row>
    <row r="55" spans="1:16" x14ac:dyDescent="0.35">
      <c r="A55">
        <v>52</v>
      </c>
      <c r="B55" t="s">
        <v>1161</v>
      </c>
      <c r="C55">
        <v>2547</v>
      </c>
      <c r="D55" s="120">
        <f>_xlfn.XLOOKUP(E55,'Model VMT by TAZ'!A:A,'Model VMT by TAZ'!E:E,0)</f>
        <v>85973.05</v>
      </c>
      <c r="E55" s="117">
        <v>1938</v>
      </c>
      <c r="F55" s="120">
        <f>_xlfn.XLOOKUP(E55, 'Action 1 Data'!B:B, 'Action 1 Data'!D:D, "0")</f>
        <v>3052</v>
      </c>
      <c r="G55" t="s">
        <v>1162</v>
      </c>
      <c r="H55" t="s">
        <v>1162</v>
      </c>
      <c r="I55">
        <v>0</v>
      </c>
      <c r="J55">
        <v>11842841</v>
      </c>
      <c r="K55">
        <v>16555.753407</v>
      </c>
      <c r="L55">
        <v>11842793.31583</v>
      </c>
      <c r="M55">
        <f>_xlfn.XLOOKUP(E55, 'Model Modeshare by TAZ'!A:A, 'Model Modeshare by TAZ'!G:G,"0")</f>
        <v>740.88</v>
      </c>
      <c r="N55">
        <f>_xlfn.XLOOKUP(E55, 'Model Modeshare by TAZ'!A:A, 'Model Modeshare by TAZ'!E:E,"0")</f>
        <v>7926.3</v>
      </c>
      <c r="O55">
        <f>_xlfn.XLOOKUP(E55,'Model Modeshare by TAZ'!A:A,'Model Modeshare by TAZ'!F:F,"0")</f>
        <v>5921.76</v>
      </c>
      <c r="P55">
        <f>_xlfn.XLOOKUP(E55,'Model Modeshare by TAZ'!A:A,'Model Modeshare by TAZ'!J:J,"0")</f>
        <v>16543.36</v>
      </c>
    </row>
    <row r="56" spans="1:16" x14ac:dyDescent="0.35">
      <c r="A56">
        <v>54</v>
      </c>
      <c r="B56" t="s">
        <v>1161</v>
      </c>
      <c r="C56">
        <v>2549</v>
      </c>
      <c r="D56" s="120">
        <f>_xlfn.XLOOKUP(E56,'Model VMT by TAZ'!A:A,'Model VMT by TAZ'!E:E,0)</f>
        <v>92330.2</v>
      </c>
      <c r="E56" s="117">
        <v>1940</v>
      </c>
      <c r="F56" s="120">
        <f>_xlfn.XLOOKUP(E56, 'Action 1 Data'!B:B, 'Action 1 Data'!D:D, "0")</f>
        <v>1236</v>
      </c>
      <c r="G56" t="s">
        <v>1162</v>
      </c>
      <c r="H56" t="s">
        <v>1162</v>
      </c>
      <c r="I56">
        <v>0</v>
      </c>
      <c r="J56">
        <v>7406502</v>
      </c>
      <c r="K56">
        <v>12147.945318</v>
      </c>
      <c r="L56">
        <v>7406472.4732060004</v>
      </c>
      <c r="M56">
        <f>_xlfn.XLOOKUP(E56, 'Model Modeshare by TAZ'!A:A, 'Model Modeshare by TAZ'!G:G,"0")</f>
        <v>555.91999999999996</v>
      </c>
      <c r="N56">
        <f>_xlfn.XLOOKUP(E56, 'Model Modeshare by TAZ'!A:A, 'Model Modeshare by TAZ'!E:E,"0")</f>
        <v>8002.7</v>
      </c>
      <c r="O56">
        <f>_xlfn.XLOOKUP(E56,'Model Modeshare by TAZ'!A:A,'Model Modeshare by TAZ'!F:F,"0")</f>
        <v>3919.06</v>
      </c>
      <c r="P56">
        <f>_xlfn.XLOOKUP(E56,'Model Modeshare by TAZ'!A:A,'Model Modeshare by TAZ'!J:J,"0")</f>
        <v>13953.36</v>
      </c>
    </row>
    <row r="57" spans="1:16" x14ac:dyDescent="0.35">
      <c r="A57">
        <v>55</v>
      </c>
      <c r="B57" t="s">
        <v>1161</v>
      </c>
      <c r="C57">
        <v>2550</v>
      </c>
      <c r="D57" s="120">
        <f>_xlfn.XLOOKUP(E57,'Model VMT by TAZ'!A:A,'Model VMT by TAZ'!E:E,0)</f>
        <v>91286.67</v>
      </c>
      <c r="E57" s="117">
        <v>1941</v>
      </c>
      <c r="F57" s="120" t="str">
        <f>_xlfn.XLOOKUP(E57, 'Action 1 Data'!B:B, 'Action 1 Data'!D:D, "0")</f>
        <v>0</v>
      </c>
      <c r="G57" t="s">
        <v>1162</v>
      </c>
      <c r="H57" t="s">
        <v>1162</v>
      </c>
      <c r="I57">
        <v>0</v>
      </c>
      <c r="J57">
        <v>17617819</v>
      </c>
      <c r="K57">
        <v>23650.281588999998</v>
      </c>
      <c r="L57">
        <v>17617748.149053</v>
      </c>
      <c r="M57">
        <f>_xlfn.XLOOKUP(E57, 'Model Modeshare by TAZ'!A:A, 'Model Modeshare by TAZ'!G:G,"0")</f>
        <v>421.56</v>
      </c>
      <c r="N57">
        <f>_xlfn.XLOOKUP(E57, 'Model Modeshare by TAZ'!A:A, 'Model Modeshare by TAZ'!E:E,"0")</f>
        <v>7646.26</v>
      </c>
      <c r="O57">
        <f>_xlfn.XLOOKUP(E57,'Model Modeshare by TAZ'!A:A,'Model Modeshare by TAZ'!F:F,"0")</f>
        <v>5255.1</v>
      </c>
      <c r="P57">
        <f>_xlfn.XLOOKUP(E57,'Model Modeshare by TAZ'!A:A,'Model Modeshare by TAZ'!J:J,"0")</f>
        <v>15146.86</v>
      </c>
    </row>
    <row r="58" spans="1:16" x14ac:dyDescent="0.35">
      <c r="A58">
        <v>56</v>
      </c>
      <c r="B58" t="s">
        <v>1161</v>
      </c>
      <c r="C58">
        <v>2553</v>
      </c>
      <c r="D58" s="120">
        <f>_xlfn.XLOOKUP(E58,'Model VMT by TAZ'!A:A,'Model VMT by TAZ'!E:E,0)</f>
        <v>206906.67</v>
      </c>
      <c r="E58" s="117">
        <v>1944</v>
      </c>
      <c r="F58" s="120">
        <f>_xlfn.XLOOKUP(E58, 'Action 1 Data'!B:B, 'Action 1 Data'!D:D, "0")</f>
        <v>4970</v>
      </c>
      <c r="G58" t="s">
        <v>1162</v>
      </c>
      <c r="H58" t="s">
        <v>1162</v>
      </c>
      <c r="I58">
        <v>0</v>
      </c>
      <c r="J58">
        <v>11373766</v>
      </c>
      <c r="K58">
        <v>14954.136621</v>
      </c>
      <c r="L58">
        <v>11373720.608308</v>
      </c>
      <c r="M58">
        <f>_xlfn.XLOOKUP(E58, 'Model Modeshare by TAZ'!A:A, 'Model Modeshare by TAZ'!G:G,"0")</f>
        <v>1302.96</v>
      </c>
      <c r="N58">
        <f>_xlfn.XLOOKUP(E58, 'Model Modeshare by TAZ'!A:A, 'Model Modeshare by TAZ'!E:E,"0")</f>
        <v>19738.46</v>
      </c>
      <c r="O58">
        <f>_xlfn.XLOOKUP(E58,'Model Modeshare by TAZ'!A:A,'Model Modeshare by TAZ'!F:F,"0")</f>
        <v>11454.2</v>
      </c>
      <c r="P58">
        <f>_xlfn.XLOOKUP(E58,'Model Modeshare by TAZ'!A:A,'Model Modeshare by TAZ'!J:J,"0")</f>
        <v>37792.68</v>
      </c>
    </row>
    <row r="59" spans="1:16" x14ac:dyDescent="0.35">
      <c r="A59">
        <v>58</v>
      </c>
      <c r="B59" t="s">
        <v>1161</v>
      </c>
      <c r="C59">
        <v>2556</v>
      </c>
      <c r="D59" s="120">
        <f>_xlfn.XLOOKUP(E59,'Model VMT by TAZ'!A:A,'Model VMT by TAZ'!E:E,0)</f>
        <v>151832.92000000001</v>
      </c>
      <c r="E59" s="117">
        <v>1652</v>
      </c>
      <c r="F59" s="120">
        <f>_xlfn.XLOOKUP(E59, 'Action 1 Data'!B:B, 'Action 1 Data'!D:D, "0")</f>
        <v>4</v>
      </c>
      <c r="G59" t="s">
        <v>1162</v>
      </c>
      <c r="H59" t="s">
        <v>1162</v>
      </c>
      <c r="I59">
        <v>0</v>
      </c>
      <c r="J59">
        <v>12136629</v>
      </c>
      <c r="K59">
        <v>18446.557785000001</v>
      </c>
      <c r="L59">
        <v>12136580.379311001</v>
      </c>
      <c r="M59">
        <f>_xlfn.XLOOKUP(E59, 'Model Modeshare by TAZ'!A:A, 'Model Modeshare by TAZ'!G:G,"0")</f>
        <v>449.92</v>
      </c>
      <c r="N59">
        <f>_xlfn.XLOOKUP(E59, 'Model Modeshare by TAZ'!A:A, 'Model Modeshare by TAZ'!E:E,"0")</f>
        <v>9559.6</v>
      </c>
      <c r="O59">
        <f>_xlfn.XLOOKUP(E59,'Model Modeshare by TAZ'!A:A,'Model Modeshare by TAZ'!F:F,"0")</f>
        <v>2796.1</v>
      </c>
      <c r="P59">
        <f>_xlfn.XLOOKUP(E59,'Model Modeshare by TAZ'!A:A,'Model Modeshare by TAZ'!J:J,"0")</f>
        <v>13846.92</v>
      </c>
    </row>
    <row r="60" spans="1:16" x14ac:dyDescent="0.35">
      <c r="A60">
        <v>59</v>
      </c>
      <c r="B60" t="s">
        <v>1161</v>
      </c>
      <c r="C60">
        <v>2557</v>
      </c>
      <c r="D60" s="120">
        <f>_xlfn.XLOOKUP(E60,'Model VMT by TAZ'!A:A,'Model VMT by TAZ'!E:E,0)</f>
        <v>79690.92</v>
      </c>
      <c r="E60" s="117">
        <v>1947</v>
      </c>
      <c r="F60" s="120">
        <f>_xlfn.XLOOKUP(E60, 'Action 1 Data'!B:B, 'Action 1 Data'!D:D, "0")</f>
        <v>3745</v>
      </c>
      <c r="G60" t="s">
        <v>1162</v>
      </c>
      <c r="H60" t="s">
        <v>1162</v>
      </c>
      <c r="I60">
        <v>0</v>
      </c>
      <c r="J60">
        <v>10034122</v>
      </c>
      <c r="K60">
        <v>14833.364926</v>
      </c>
      <c r="L60">
        <v>10034082.280724</v>
      </c>
      <c r="M60">
        <f>_xlfn.XLOOKUP(E60, 'Model Modeshare by TAZ'!A:A, 'Model Modeshare by TAZ'!G:G,"0")</f>
        <v>474.42</v>
      </c>
      <c r="N60">
        <f>_xlfn.XLOOKUP(E60, 'Model Modeshare by TAZ'!A:A, 'Model Modeshare by TAZ'!E:E,"0")</f>
        <v>8209.02</v>
      </c>
      <c r="O60">
        <f>_xlfn.XLOOKUP(E60,'Model Modeshare by TAZ'!A:A,'Model Modeshare by TAZ'!F:F,"0")</f>
        <v>5916.04</v>
      </c>
      <c r="P60">
        <f>_xlfn.XLOOKUP(E60,'Model Modeshare by TAZ'!A:A,'Model Modeshare by TAZ'!J:J,"0")</f>
        <v>17495.96</v>
      </c>
    </row>
    <row r="61" spans="1:16" x14ac:dyDescent="0.35">
      <c r="A61">
        <v>60</v>
      </c>
      <c r="B61" t="s">
        <v>1161</v>
      </c>
      <c r="C61">
        <v>2558</v>
      </c>
      <c r="D61" s="120">
        <f>_xlfn.XLOOKUP(E61,'Model VMT by TAZ'!A:A,'Model VMT by TAZ'!E:E,0)</f>
        <v>65681.56</v>
      </c>
      <c r="E61" s="117">
        <v>1950</v>
      </c>
      <c r="F61" s="120">
        <f>_xlfn.XLOOKUP(E61, 'Action 1 Data'!B:B, 'Action 1 Data'!D:D, "0")</f>
        <v>2526</v>
      </c>
      <c r="G61" t="s">
        <v>1162</v>
      </c>
      <c r="H61" t="s">
        <v>1162</v>
      </c>
      <c r="I61">
        <v>0</v>
      </c>
      <c r="J61">
        <v>6152169</v>
      </c>
      <c r="K61">
        <v>13781.805442000001</v>
      </c>
      <c r="L61">
        <v>6152144.2515970003</v>
      </c>
      <c r="M61">
        <f>_xlfn.XLOOKUP(E61, 'Model Modeshare by TAZ'!A:A, 'Model Modeshare by TAZ'!G:G,"0")</f>
        <v>378.16</v>
      </c>
      <c r="N61">
        <f>_xlfn.XLOOKUP(E61, 'Model Modeshare by TAZ'!A:A, 'Model Modeshare by TAZ'!E:E,"0")</f>
        <v>6403.66</v>
      </c>
      <c r="O61">
        <f>_xlfn.XLOOKUP(E61,'Model Modeshare by TAZ'!A:A,'Model Modeshare by TAZ'!F:F,"0")</f>
        <v>4226.74</v>
      </c>
      <c r="P61">
        <f>_xlfn.XLOOKUP(E61,'Model Modeshare by TAZ'!A:A,'Model Modeshare by TAZ'!J:J,"0")</f>
        <v>12617.94</v>
      </c>
    </row>
    <row r="62" spans="1:16" x14ac:dyDescent="0.35">
      <c r="A62">
        <v>61</v>
      </c>
      <c r="B62" t="s">
        <v>1161</v>
      </c>
      <c r="C62">
        <v>2559</v>
      </c>
      <c r="D62" s="120">
        <f>_xlfn.XLOOKUP(E62,'Model VMT by TAZ'!A:A,'Model VMT by TAZ'!E:E,0)</f>
        <v>237707.91</v>
      </c>
      <c r="E62" s="117">
        <v>1949</v>
      </c>
      <c r="F62" s="120">
        <f>_xlfn.XLOOKUP(E62, 'Action 1 Data'!B:B, 'Action 1 Data'!D:D, "0")</f>
        <v>0</v>
      </c>
      <c r="G62" t="s">
        <v>1162</v>
      </c>
      <c r="H62" t="s">
        <v>1162</v>
      </c>
      <c r="I62">
        <v>0</v>
      </c>
      <c r="J62">
        <v>10186993</v>
      </c>
      <c r="K62">
        <v>40168.634508000003</v>
      </c>
      <c r="L62">
        <v>10186952.241307</v>
      </c>
      <c r="M62">
        <f>_xlfn.XLOOKUP(E62, 'Model Modeshare by TAZ'!A:A, 'Model Modeshare by TAZ'!G:G,"0")</f>
        <v>185.6</v>
      </c>
      <c r="N62">
        <f>_xlfn.XLOOKUP(E62, 'Model Modeshare by TAZ'!A:A, 'Model Modeshare by TAZ'!E:E,"0")</f>
        <v>18563.98</v>
      </c>
      <c r="O62">
        <f>_xlfn.XLOOKUP(E62,'Model Modeshare by TAZ'!A:A,'Model Modeshare by TAZ'!F:F,"0")</f>
        <v>5795.32</v>
      </c>
      <c r="P62">
        <f>_xlfn.XLOOKUP(E62,'Model Modeshare by TAZ'!A:A,'Model Modeshare by TAZ'!J:J,"0")</f>
        <v>25613.72</v>
      </c>
    </row>
    <row r="63" spans="1:16" x14ac:dyDescent="0.35">
      <c r="A63">
        <v>62</v>
      </c>
      <c r="B63" t="s">
        <v>1161</v>
      </c>
      <c r="C63">
        <v>2560</v>
      </c>
      <c r="D63" s="120">
        <f>_xlfn.XLOOKUP(E63,'Model VMT by TAZ'!A:A,'Model VMT by TAZ'!E:E,0)</f>
        <v>47941.53</v>
      </c>
      <c r="E63" s="117">
        <v>1607</v>
      </c>
      <c r="F63" s="120">
        <f>_xlfn.XLOOKUP(E63, 'Action 1 Data'!B:B, 'Action 1 Data'!D:D, "0")</f>
        <v>1449</v>
      </c>
      <c r="G63" t="s">
        <v>1162</v>
      </c>
      <c r="H63" t="s">
        <v>1162</v>
      </c>
      <c r="I63">
        <v>0</v>
      </c>
      <c r="J63">
        <v>4711961</v>
      </c>
      <c r="K63">
        <v>9870.6939320000001</v>
      </c>
      <c r="L63">
        <v>4711941.9828530001</v>
      </c>
      <c r="M63">
        <f>_xlfn.XLOOKUP(E63, 'Model Modeshare by TAZ'!A:A, 'Model Modeshare by TAZ'!G:G,"0")</f>
        <v>204.56</v>
      </c>
      <c r="N63">
        <f>_xlfn.XLOOKUP(E63, 'Model Modeshare by TAZ'!A:A, 'Model Modeshare by TAZ'!E:E,"0")</f>
        <v>4086.32</v>
      </c>
      <c r="O63">
        <f>_xlfn.XLOOKUP(E63,'Model Modeshare by TAZ'!A:A,'Model Modeshare by TAZ'!F:F,"0")</f>
        <v>2348.8000000000002</v>
      </c>
      <c r="P63">
        <f>_xlfn.XLOOKUP(E63,'Model Modeshare by TAZ'!A:A,'Model Modeshare by TAZ'!J:J,"0")</f>
        <v>7490.18</v>
      </c>
    </row>
    <row r="64" spans="1:16" x14ac:dyDescent="0.35">
      <c r="A64">
        <v>64</v>
      </c>
      <c r="B64" t="s">
        <v>1161</v>
      </c>
      <c r="C64">
        <v>2562</v>
      </c>
      <c r="D64" s="120">
        <f>_xlfn.XLOOKUP(E64,'Model VMT by TAZ'!A:A,'Model VMT by TAZ'!E:E,0)</f>
        <v>71424.81</v>
      </c>
      <c r="E64" s="117">
        <v>1953</v>
      </c>
      <c r="F64" s="120">
        <f>_xlfn.XLOOKUP(E64, 'Action 1 Data'!B:B, 'Action 1 Data'!D:D, "0")</f>
        <v>2573</v>
      </c>
      <c r="G64" t="s">
        <v>1162</v>
      </c>
      <c r="H64" t="s">
        <v>1162</v>
      </c>
      <c r="I64">
        <v>0</v>
      </c>
      <c r="J64">
        <v>13310133</v>
      </c>
      <c r="K64">
        <v>17206.388084999999</v>
      </c>
      <c r="L64">
        <v>13310079.997096</v>
      </c>
      <c r="M64">
        <f>_xlfn.XLOOKUP(E64, 'Model Modeshare by TAZ'!A:A, 'Model Modeshare by TAZ'!G:G,"0")</f>
        <v>353.4</v>
      </c>
      <c r="N64">
        <f>_xlfn.XLOOKUP(E64, 'Model Modeshare by TAZ'!A:A, 'Model Modeshare by TAZ'!E:E,"0")</f>
        <v>7714.42</v>
      </c>
      <c r="O64">
        <f>_xlfn.XLOOKUP(E64,'Model Modeshare by TAZ'!A:A,'Model Modeshare by TAZ'!F:F,"0")</f>
        <v>4812.5200000000004</v>
      </c>
      <c r="P64">
        <f>_xlfn.XLOOKUP(E64,'Model Modeshare by TAZ'!A:A,'Model Modeshare by TAZ'!J:J,"0")</f>
        <v>14402.36</v>
      </c>
    </row>
    <row r="65" spans="1:16" x14ac:dyDescent="0.35">
      <c r="A65">
        <v>65</v>
      </c>
      <c r="B65" t="s">
        <v>1161</v>
      </c>
      <c r="C65">
        <v>2563</v>
      </c>
      <c r="D65" s="120">
        <f>_xlfn.XLOOKUP(E65,'Model VMT by TAZ'!A:A,'Model VMT by TAZ'!E:E,0)</f>
        <v>85917.41</v>
      </c>
      <c r="E65" s="117">
        <v>1958</v>
      </c>
      <c r="F65" s="120">
        <f>_xlfn.XLOOKUP(E65, 'Action 1 Data'!B:B, 'Action 1 Data'!D:D, "0")</f>
        <v>2914</v>
      </c>
      <c r="G65" t="s">
        <v>1162</v>
      </c>
      <c r="H65" t="s">
        <v>1162</v>
      </c>
      <c r="I65">
        <v>0</v>
      </c>
      <c r="J65">
        <v>5027183</v>
      </c>
      <c r="K65">
        <v>9099.3482299999996</v>
      </c>
      <c r="L65">
        <v>5027163.3753049998</v>
      </c>
      <c r="M65">
        <f>_xlfn.XLOOKUP(E65, 'Model Modeshare by TAZ'!A:A, 'Model Modeshare by TAZ'!G:G,"0")</f>
        <v>535.4</v>
      </c>
      <c r="N65">
        <f>_xlfn.XLOOKUP(E65, 'Model Modeshare by TAZ'!A:A, 'Model Modeshare by TAZ'!E:E,"0")</f>
        <v>9234.36</v>
      </c>
      <c r="O65">
        <f>_xlfn.XLOOKUP(E65,'Model Modeshare by TAZ'!A:A,'Model Modeshare by TAZ'!F:F,"0")</f>
        <v>4944.9399999999996</v>
      </c>
      <c r="P65">
        <f>_xlfn.XLOOKUP(E65,'Model Modeshare by TAZ'!A:A,'Model Modeshare by TAZ'!J:J,"0")</f>
        <v>17393.18</v>
      </c>
    </row>
    <row r="66" spans="1:16" x14ac:dyDescent="0.35">
      <c r="A66">
        <v>66</v>
      </c>
      <c r="B66" t="s">
        <v>1161</v>
      </c>
      <c r="C66">
        <v>2564</v>
      </c>
      <c r="D66" s="120">
        <f>_xlfn.XLOOKUP(E66,'Model VMT by TAZ'!A:A,'Model VMT by TAZ'!E:E,0)</f>
        <v>128357.37</v>
      </c>
      <c r="E66" s="117">
        <v>1959</v>
      </c>
      <c r="F66" s="120" t="str">
        <f>_xlfn.XLOOKUP(E66, 'Action 1 Data'!B:B, 'Action 1 Data'!D:D, "0")</f>
        <v>0</v>
      </c>
      <c r="G66" t="s">
        <v>1162</v>
      </c>
      <c r="H66" t="s">
        <v>1162</v>
      </c>
      <c r="I66">
        <v>0</v>
      </c>
      <c r="J66">
        <v>6095119</v>
      </c>
      <c r="K66">
        <v>11683.1847</v>
      </c>
      <c r="L66">
        <v>6095094.957006</v>
      </c>
      <c r="M66">
        <f>_xlfn.XLOOKUP(E66, 'Model Modeshare by TAZ'!A:A, 'Model Modeshare by TAZ'!G:G,"0")</f>
        <v>430.04</v>
      </c>
      <c r="N66">
        <f>_xlfn.XLOOKUP(E66, 'Model Modeshare by TAZ'!A:A, 'Model Modeshare by TAZ'!E:E,"0")</f>
        <v>10493.48</v>
      </c>
      <c r="O66">
        <f>_xlfn.XLOOKUP(E66,'Model Modeshare by TAZ'!A:A,'Model Modeshare by TAZ'!F:F,"0")</f>
        <v>5878.78</v>
      </c>
      <c r="P66">
        <f>_xlfn.XLOOKUP(E66,'Model Modeshare by TAZ'!A:A,'Model Modeshare by TAZ'!J:J,"0")</f>
        <v>18922.5</v>
      </c>
    </row>
    <row r="67" spans="1:16" x14ac:dyDescent="0.35">
      <c r="A67">
        <v>67</v>
      </c>
      <c r="B67" t="s">
        <v>1161</v>
      </c>
      <c r="C67">
        <v>2566</v>
      </c>
      <c r="D67" s="120">
        <f>_xlfn.XLOOKUP(E67,'Model VMT by TAZ'!A:A,'Model VMT by TAZ'!E:E,0)</f>
        <v>104550.46</v>
      </c>
      <c r="E67" s="117">
        <v>1960</v>
      </c>
      <c r="F67" s="120">
        <f>_xlfn.XLOOKUP(E67, 'Action 1 Data'!B:B, 'Action 1 Data'!D:D, "0")</f>
        <v>3290</v>
      </c>
      <c r="G67" t="s">
        <v>1162</v>
      </c>
      <c r="H67" t="s">
        <v>1162</v>
      </c>
      <c r="I67">
        <v>0</v>
      </c>
      <c r="J67">
        <v>5660824</v>
      </c>
      <c r="K67">
        <v>9906.9013300000006</v>
      </c>
      <c r="L67">
        <v>5660801.1967719998</v>
      </c>
      <c r="M67">
        <f>_xlfn.XLOOKUP(E67, 'Model Modeshare by TAZ'!A:A, 'Model Modeshare by TAZ'!G:G,"0")</f>
        <v>692.02</v>
      </c>
      <c r="N67">
        <f>_xlfn.XLOOKUP(E67, 'Model Modeshare by TAZ'!A:A, 'Model Modeshare by TAZ'!E:E,"0")</f>
        <v>6934.1</v>
      </c>
      <c r="O67">
        <f>_xlfn.XLOOKUP(E67,'Model Modeshare by TAZ'!A:A,'Model Modeshare by TAZ'!F:F,"0")</f>
        <v>5462.14</v>
      </c>
      <c r="P67">
        <f>_xlfn.XLOOKUP(E67,'Model Modeshare by TAZ'!A:A,'Model Modeshare by TAZ'!J:J,"0")</f>
        <v>15456.36</v>
      </c>
    </row>
    <row r="68" spans="1:16" x14ac:dyDescent="0.35">
      <c r="A68">
        <v>68</v>
      </c>
      <c r="B68" t="s">
        <v>1161</v>
      </c>
      <c r="C68">
        <v>2567</v>
      </c>
      <c r="D68" s="120">
        <f>_xlfn.XLOOKUP(E68,'Model VMT by TAZ'!A:A,'Model VMT by TAZ'!E:E,0)</f>
        <v>370010.94</v>
      </c>
      <c r="E68" s="117">
        <v>1957</v>
      </c>
      <c r="F68" s="120">
        <f>_xlfn.XLOOKUP(E68, 'Action 1 Data'!B:B, 'Action 1 Data'!D:D, "0")</f>
        <v>2381</v>
      </c>
      <c r="G68" t="s">
        <v>1162</v>
      </c>
      <c r="H68" t="s">
        <v>1162</v>
      </c>
      <c r="I68">
        <v>0</v>
      </c>
      <c r="J68">
        <v>7091920</v>
      </c>
      <c r="K68">
        <v>13386.386270000001</v>
      </c>
      <c r="L68">
        <v>7091891.2487479998</v>
      </c>
      <c r="M68">
        <f>_xlfn.XLOOKUP(E68, 'Model Modeshare by TAZ'!A:A, 'Model Modeshare by TAZ'!G:G,"0")</f>
        <v>1801.5</v>
      </c>
      <c r="N68">
        <f>_xlfn.XLOOKUP(E68, 'Model Modeshare by TAZ'!A:A, 'Model Modeshare by TAZ'!E:E,"0")</f>
        <v>35047.1</v>
      </c>
      <c r="O68">
        <f>_xlfn.XLOOKUP(E68,'Model Modeshare by TAZ'!A:A,'Model Modeshare by TAZ'!F:F,"0")</f>
        <v>14324.84</v>
      </c>
      <c r="P68">
        <f>_xlfn.XLOOKUP(E68,'Model Modeshare by TAZ'!A:A,'Model Modeshare by TAZ'!J:J,"0")</f>
        <v>59476.52</v>
      </c>
    </row>
    <row r="69" spans="1:16" x14ac:dyDescent="0.35">
      <c r="A69">
        <v>69</v>
      </c>
      <c r="B69" t="s">
        <v>1161</v>
      </c>
      <c r="C69">
        <v>2568</v>
      </c>
      <c r="D69" s="120">
        <f>_xlfn.XLOOKUP(E69,'Model VMT by TAZ'!A:A,'Model VMT by TAZ'!E:E,0)</f>
        <v>65495.23</v>
      </c>
      <c r="E69" s="117">
        <v>1956</v>
      </c>
      <c r="F69" s="120">
        <f>_xlfn.XLOOKUP(E69, 'Action 1 Data'!B:B, 'Action 1 Data'!D:D, "0")</f>
        <v>1975</v>
      </c>
      <c r="G69" t="s">
        <v>1162</v>
      </c>
      <c r="H69" t="s">
        <v>1162</v>
      </c>
      <c r="I69">
        <v>0</v>
      </c>
      <c r="J69">
        <v>3936583</v>
      </c>
      <c r="K69">
        <v>8117.5099250000003</v>
      </c>
      <c r="L69">
        <v>3936567.7223430001</v>
      </c>
      <c r="M69">
        <f>_xlfn.XLOOKUP(E69, 'Model Modeshare by TAZ'!A:A, 'Model Modeshare by TAZ'!G:G,"0")</f>
        <v>292.66000000000003</v>
      </c>
      <c r="N69">
        <f>_xlfn.XLOOKUP(E69, 'Model Modeshare by TAZ'!A:A, 'Model Modeshare by TAZ'!E:E,"0")</f>
        <v>6695.12</v>
      </c>
      <c r="O69">
        <f>_xlfn.XLOOKUP(E69,'Model Modeshare by TAZ'!A:A,'Model Modeshare by TAZ'!F:F,"0")</f>
        <v>3516.34</v>
      </c>
      <c r="P69">
        <f>_xlfn.XLOOKUP(E69,'Model Modeshare by TAZ'!A:A,'Model Modeshare by TAZ'!J:J,"0")</f>
        <v>11799.88</v>
      </c>
    </row>
    <row r="70" spans="1:16" x14ac:dyDescent="0.35">
      <c r="A70">
        <v>70</v>
      </c>
      <c r="B70" t="s">
        <v>1161</v>
      </c>
      <c r="C70">
        <v>2569</v>
      </c>
      <c r="D70" s="120">
        <f>_xlfn.XLOOKUP(E70,'Model VMT by TAZ'!A:A,'Model VMT by TAZ'!E:E,0)</f>
        <v>110483.84</v>
      </c>
      <c r="E70" s="117">
        <v>1955</v>
      </c>
      <c r="F70" s="120" t="str">
        <f>_xlfn.XLOOKUP(E70, 'Action 1 Data'!B:B, 'Action 1 Data'!D:D, "0")</f>
        <v>0</v>
      </c>
      <c r="G70" t="s">
        <v>1162</v>
      </c>
      <c r="H70" t="s">
        <v>1162</v>
      </c>
      <c r="I70">
        <v>0</v>
      </c>
      <c r="J70">
        <v>14911037</v>
      </c>
      <c r="K70">
        <v>22778.600794000002</v>
      </c>
      <c r="L70">
        <v>14910977.392649001</v>
      </c>
      <c r="M70">
        <f>_xlfn.XLOOKUP(E70, 'Model Modeshare by TAZ'!A:A, 'Model Modeshare by TAZ'!G:G,"0")</f>
        <v>363.38</v>
      </c>
      <c r="N70">
        <f>_xlfn.XLOOKUP(E70, 'Model Modeshare by TAZ'!A:A, 'Model Modeshare by TAZ'!E:E,"0")</f>
        <v>9473.2800000000007</v>
      </c>
      <c r="O70">
        <f>_xlfn.XLOOKUP(E70,'Model Modeshare by TAZ'!A:A,'Model Modeshare by TAZ'!F:F,"0")</f>
        <v>6697.38</v>
      </c>
      <c r="P70">
        <f>_xlfn.XLOOKUP(E70,'Model Modeshare by TAZ'!A:A,'Model Modeshare by TAZ'!J:J,"0")</f>
        <v>18870.04</v>
      </c>
    </row>
    <row r="71" spans="1:16" x14ac:dyDescent="0.35">
      <c r="A71">
        <v>71</v>
      </c>
      <c r="B71" t="s">
        <v>1161</v>
      </c>
      <c r="C71">
        <v>2570</v>
      </c>
      <c r="D71" s="120">
        <f>_xlfn.XLOOKUP(E71,'Model VMT by TAZ'!A:A,'Model VMT by TAZ'!E:E,0)</f>
        <v>141808.15</v>
      </c>
      <c r="E71" s="117">
        <v>1980</v>
      </c>
      <c r="F71" s="120">
        <f>_xlfn.XLOOKUP(E71, 'Action 1 Data'!B:B, 'Action 1 Data'!D:D, "0")</f>
        <v>2316</v>
      </c>
      <c r="G71" t="s">
        <v>1162</v>
      </c>
      <c r="H71" t="s">
        <v>1162</v>
      </c>
      <c r="I71">
        <v>0</v>
      </c>
      <c r="J71">
        <v>7418614</v>
      </c>
      <c r="K71">
        <v>12016.210465</v>
      </c>
      <c r="L71">
        <v>7418584.1845009997</v>
      </c>
      <c r="M71">
        <f>_xlfn.XLOOKUP(E71, 'Model Modeshare by TAZ'!A:A, 'Model Modeshare by TAZ'!G:G,"0")</f>
        <v>581.36</v>
      </c>
      <c r="N71">
        <f>_xlfn.XLOOKUP(E71, 'Model Modeshare by TAZ'!A:A, 'Model Modeshare by TAZ'!E:E,"0")</f>
        <v>15948.28</v>
      </c>
      <c r="O71">
        <f>_xlfn.XLOOKUP(E71,'Model Modeshare by TAZ'!A:A,'Model Modeshare by TAZ'!F:F,"0")</f>
        <v>8191.24</v>
      </c>
      <c r="P71">
        <f>_xlfn.XLOOKUP(E71,'Model Modeshare by TAZ'!A:A,'Model Modeshare by TAZ'!J:J,"0")</f>
        <v>28473.84</v>
      </c>
    </row>
    <row r="72" spans="1:16" x14ac:dyDescent="0.35">
      <c r="A72">
        <v>72</v>
      </c>
      <c r="B72" t="s">
        <v>1161</v>
      </c>
      <c r="C72">
        <v>2571</v>
      </c>
      <c r="D72" s="120">
        <f>_xlfn.XLOOKUP(E72,'Model VMT by TAZ'!A:A,'Model VMT by TAZ'!E:E,0)</f>
        <v>204944.53</v>
      </c>
      <c r="E72" s="117">
        <v>1982</v>
      </c>
      <c r="F72" s="120" t="str">
        <f>_xlfn.XLOOKUP(E72, 'Action 1 Data'!B:B, 'Action 1 Data'!D:D, "0")</f>
        <v>0</v>
      </c>
      <c r="G72" t="s">
        <v>1162</v>
      </c>
      <c r="H72" t="s">
        <v>1162</v>
      </c>
      <c r="I72">
        <v>0</v>
      </c>
      <c r="J72">
        <v>21488342</v>
      </c>
      <c r="K72">
        <v>21858.553968</v>
      </c>
      <c r="L72">
        <v>21488256.425338</v>
      </c>
      <c r="M72">
        <f>_xlfn.XLOOKUP(E72, 'Model Modeshare by TAZ'!A:A, 'Model Modeshare by TAZ'!G:G,"0")</f>
        <v>388.3</v>
      </c>
      <c r="N72">
        <f>_xlfn.XLOOKUP(E72, 'Model Modeshare by TAZ'!A:A, 'Model Modeshare by TAZ'!E:E,"0")</f>
        <v>20978.7</v>
      </c>
      <c r="O72">
        <f>_xlfn.XLOOKUP(E72,'Model Modeshare by TAZ'!A:A,'Model Modeshare by TAZ'!F:F,"0")</f>
        <v>8131.56</v>
      </c>
      <c r="P72">
        <f>_xlfn.XLOOKUP(E72,'Model Modeshare by TAZ'!A:A,'Model Modeshare by TAZ'!J:J,"0")</f>
        <v>32615.9</v>
      </c>
    </row>
    <row r="73" spans="1:16" x14ac:dyDescent="0.35">
      <c r="A73">
        <v>73</v>
      </c>
      <c r="B73" t="s">
        <v>1161</v>
      </c>
      <c r="C73">
        <v>2576</v>
      </c>
      <c r="D73" s="120">
        <f>_xlfn.XLOOKUP(E73,'Model VMT by TAZ'!A:A,'Model VMT by TAZ'!E:E,0)</f>
        <v>237392.56</v>
      </c>
      <c r="E73" s="117">
        <v>1984</v>
      </c>
      <c r="F73" s="120">
        <f>_xlfn.XLOOKUP(E73, 'Action 1 Data'!B:B, 'Action 1 Data'!D:D, "0")</f>
        <v>3572</v>
      </c>
      <c r="G73" t="s">
        <v>1162</v>
      </c>
      <c r="H73" t="s">
        <v>1162</v>
      </c>
      <c r="I73">
        <v>0</v>
      </c>
      <c r="J73">
        <v>7634558</v>
      </c>
      <c r="K73">
        <v>14954.033952</v>
      </c>
      <c r="L73">
        <v>7634527.0171320001</v>
      </c>
      <c r="M73">
        <f>_xlfn.XLOOKUP(E73, 'Model Modeshare by TAZ'!A:A, 'Model Modeshare by TAZ'!G:G,"0")</f>
        <v>929.84</v>
      </c>
      <c r="N73">
        <f>_xlfn.XLOOKUP(E73, 'Model Modeshare by TAZ'!A:A, 'Model Modeshare by TAZ'!E:E,"0")</f>
        <v>15486.1</v>
      </c>
      <c r="O73">
        <f>_xlfn.XLOOKUP(E73,'Model Modeshare by TAZ'!A:A,'Model Modeshare by TAZ'!F:F,"0")</f>
        <v>7990.98</v>
      </c>
      <c r="P73">
        <f>_xlfn.XLOOKUP(E73,'Model Modeshare by TAZ'!A:A,'Model Modeshare by TAZ'!J:J,"0")</f>
        <v>28280.02</v>
      </c>
    </row>
    <row r="74" spans="1:16" x14ac:dyDescent="0.35">
      <c r="A74">
        <v>74</v>
      </c>
      <c r="B74" t="s">
        <v>1161</v>
      </c>
      <c r="C74">
        <v>2578</v>
      </c>
      <c r="D74" s="120">
        <f>_xlfn.XLOOKUP(E74,'Model VMT by TAZ'!A:A,'Model VMT by TAZ'!E:E,0)</f>
        <v>107628.37</v>
      </c>
      <c r="E74" s="117">
        <v>1981</v>
      </c>
      <c r="F74" s="120">
        <f>_xlfn.XLOOKUP(E74, 'Action 1 Data'!B:B, 'Action 1 Data'!D:D, "0")</f>
        <v>2070</v>
      </c>
      <c r="G74" t="s">
        <v>1162</v>
      </c>
      <c r="H74" t="s">
        <v>1162</v>
      </c>
      <c r="I74">
        <v>0</v>
      </c>
      <c r="J74">
        <v>5807601</v>
      </c>
      <c r="K74">
        <v>11140.997831999999</v>
      </c>
      <c r="L74">
        <v>5807578.2233279999</v>
      </c>
      <c r="M74">
        <f>_xlfn.XLOOKUP(E74, 'Model Modeshare by TAZ'!A:A, 'Model Modeshare by TAZ'!G:G,"0")</f>
        <v>362.72</v>
      </c>
      <c r="N74">
        <f>_xlfn.XLOOKUP(E74, 'Model Modeshare by TAZ'!A:A, 'Model Modeshare by TAZ'!E:E,"0")</f>
        <v>9396.86</v>
      </c>
      <c r="O74">
        <f>_xlfn.XLOOKUP(E74,'Model Modeshare by TAZ'!A:A,'Model Modeshare by TAZ'!F:F,"0")</f>
        <v>4736.74</v>
      </c>
      <c r="P74">
        <f>_xlfn.XLOOKUP(E74,'Model Modeshare by TAZ'!A:A,'Model Modeshare by TAZ'!J:J,"0")</f>
        <v>16289.4</v>
      </c>
    </row>
    <row r="75" spans="1:16" x14ac:dyDescent="0.35">
      <c r="A75">
        <v>75</v>
      </c>
      <c r="B75" t="s">
        <v>1161</v>
      </c>
      <c r="C75">
        <v>2579</v>
      </c>
      <c r="D75" s="120">
        <f>_xlfn.XLOOKUP(E75,'Model VMT by TAZ'!A:A,'Model VMT by TAZ'!E:E,0)</f>
        <v>152500.26999999999</v>
      </c>
      <c r="E75" s="117">
        <v>1978</v>
      </c>
      <c r="F75" s="120">
        <f>_xlfn.XLOOKUP(E75, 'Action 1 Data'!B:B, 'Action 1 Data'!D:D, "0")</f>
        <v>3979</v>
      </c>
      <c r="G75" t="s">
        <v>1162</v>
      </c>
      <c r="H75" t="s">
        <v>1162</v>
      </c>
      <c r="I75">
        <v>0</v>
      </c>
      <c r="J75">
        <v>10055276</v>
      </c>
      <c r="K75">
        <v>16774.657822000001</v>
      </c>
      <c r="L75">
        <v>10055236.083652999</v>
      </c>
      <c r="M75">
        <f>_xlfn.XLOOKUP(E75, 'Model Modeshare by TAZ'!A:A, 'Model Modeshare by TAZ'!G:G,"0")</f>
        <v>724.8</v>
      </c>
      <c r="N75">
        <f>_xlfn.XLOOKUP(E75, 'Model Modeshare by TAZ'!A:A, 'Model Modeshare by TAZ'!E:E,"0")</f>
        <v>12680.08</v>
      </c>
      <c r="O75">
        <f>_xlfn.XLOOKUP(E75,'Model Modeshare by TAZ'!A:A,'Model Modeshare by TAZ'!F:F,"0")</f>
        <v>7373.74</v>
      </c>
      <c r="P75">
        <f>_xlfn.XLOOKUP(E75,'Model Modeshare by TAZ'!A:A,'Model Modeshare by TAZ'!J:J,"0")</f>
        <v>23019.52</v>
      </c>
    </row>
    <row r="76" spans="1:16" x14ac:dyDescent="0.35">
      <c r="A76">
        <v>76</v>
      </c>
      <c r="B76" t="s">
        <v>1161</v>
      </c>
      <c r="C76">
        <v>2580</v>
      </c>
      <c r="D76" s="120">
        <f>_xlfn.XLOOKUP(E76,'Model VMT by TAZ'!A:A,'Model VMT by TAZ'!E:E,0)</f>
        <v>191094.12</v>
      </c>
      <c r="E76" s="117">
        <v>1979</v>
      </c>
      <c r="F76" s="120">
        <f>_xlfn.XLOOKUP(E76, 'Action 1 Data'!B:B, 'Action 1 Data'!D:D, "0")</f>
        <v>919</v>
      </c>
      <c r="G76" t="s">
        <v>1162</v>
      </c>
      <c r="H76" t="s">
        <v>1162</v>
      </c>
      <c r="I76">
        <v>0</v>
      </c>
      <c r="J76">
        <v>7293623</v>
      </c>
      <c r="K76">
        <v>11554.573818999999</v>
      </c>
      <c r="L76">
        <v>7293593.9291399997</v>
      </c>
      <c r="M76">
        <f>_xlfn.XLOOKUP(E76, 'Model Modeshare by TAZ'!A:A, 'Model Modeshare by TAZ'!G:G,"0")</f>
        <v>782.76</v>
      </c>
      <c r="N76">
        <f>_xlfn.XLOOKUP(E76, 'Model Modeshare by TAZ'!A:A, 'Model Modeshare by TAZ'!E:E,"0")</f>
        <v>25077.66</v>
      </c>
      <c r="O76">
        <f>_xlfn.XLOOKUP(E76,'Model Modeshare by TAZ'!A:A,'Model Modeshare by TAZ'!F:F,"0")</f>
        <v>8571.08</v>
      </c>
      <c r="P76">
        <f>_xlfn.XLOOKUP(E76,'Model Modeshare by TAZ'!A:A,'Model Modeshare by TAZ'!J:J,"0")</f>
        <v>38359.379999999997</v>
      </c>
    </row>
    <row r="77" spans="1:16" x14ac:dyDescent="0.35">
      <c r="A77">
        <v>77</v>
      </c>
      <c r="B77" t="s">
        <v>1161</v>
      </c>
      <c r="C77">
        <v>2594</v>
      </c>
      <c r="D77" s="120">
        <f>_xlfn.XLOOKUP(E77,'Model VMT by TAZ'!A:A,'Model VMT by TAZ'!E:E,0)</f>
        <v>110490.02</v>
      </c>
      <c r="E77" s="117">
        <v>1977</v>
      </c>
      <c r="F77" s="120">
        <f>_xlfn.XLOOKUP(E77, 'Action 1 Data'!B:B, 'Action 1 Data'!D:D, "0")</f>
        <v>4700</v>
      </c>
      <c r="G77" t="s">
        <v>1162</v>
      </c>
      <c r="H77" t="s">
        <v>1162</v>
      </c>
      <c r="I77">
        <v>0</v>
      </c>
      <c r="J77">
        <v>13854759</v>
      </c>
      <c r="K77">
        <v>19462.948324000001</v>
      </c>
      <c r="L77">
        <v>13854703.478120999</v>
      </c>
      <c r="M77">
        <f>_xlfn.XLOOKUP(E77, 'Model Modeshare by TAZ'!A:A, 'Model Modeshare by TAZ'!G:G,"0")</f>
        <v>647.54</v>
      </c>
      <c r="N77">
        <f>_xlfn.XLOOKUP(E77, 'Model Modeshare by TAZ'!A:A, 'Model Modeshare by TAZ'!E:E,"0")</f>
        <v>11861.06</v>
      </c>
      <c r="O77">
        <f>_xlfn.XLOOKUP(E77,'Model Modeshare by TAZ'!A:A,'Model Modeshare by TAZ'!F:F,"0")</f>
        <v>7362.02</v>
      </c>
      <c r="P77">
        <f>_xlfn.XLOOKUP(E77,'Model Modeshare by TAZ'!A:A,'Model Modeshare by TAZ'!J:J,"0")</f>
        <v>23549.439999999999</v>
      </c>
    </row>
    <row r="78" spans="1:16" x14ac:dyDescent="0.35">
      <c r="A78">
        <v>78</v>
      </c>
      <c r="B78" t="s">
        <v>1161</v>
      </c>
      <c r="C78">
        <v>2595</v>
      </c>
      <c r="D78" s="120">
        <f>_xlfn.XLOOKUP(E78,'Model VMT by TAZ'!A:A,'Model VMT by TAZ'!E:E,0)</f>
        <v>53981.85</v>
      </c>
      <c r="E78" s="117">
        <v>1976</v>
      </c>
      <c r="F78" s="120">
        <f>_xlfn.XLOOKUP(E78, 'Action 1 Data'!B:B, 'Action 1 Data'!D:D, "0")</f>
        <v>2727</v>
      </c>
      <c r="G78" t="s">
        <v>1162</v>
      </c>
      <c r="H78" t="s">
        <v>1162</v>
      </c>
      <c r="I78">
        <v>0</v>
      </c>
      <c r="J78">
        <v>5200693</v>
      </c>
      <c r="K78">
        <v>11340.996077</v>
      </c>
      <c r="L78">
        <v>5200671.7290540002</v>
      </c>
      <c r="M78">
        <f>_xlfn.XLOOKUP(E78, 'Model Modeshare by TAZ'!A:A, 'Model Modeshare by TAZ'!G:G,"0")</f>
        <v>356.54</v>
      </c>
      <c r="N78">
        <f>_xlfn.XLOOKUP(E78, 'Model Modeshare by TAZ'!A:A, 'Model Modeshare by TAZ'!E:E,"0")</f>
        <v>8119.06</v>
      </c>
      <c r="O78">
        <f>_xlfn.XLOOKUP(E78,'Model Modeshare by TAZ'!A:A,'Model Modeshare by TAZ'!F:F,"0")</f>
        <v>4648.3999999999996</v>
      </c>
      <c r="P78">
        <f>_xlfn.XLOOKUP(E78,'Model Modeshare by TAZ'!A:A,'Model Modeshare by TAZ'!J:J,"0")</f>
        <v>15730.78</v>
      </c>
    </row>
    <row r="79" spans="1:16" x14ac:dyDescent="0.35">
      <c r="A79">
        <v>79</v>
      </c>
      <c r="B79" t="s">
        <v>1161</v>
      </c>
      <c r="C79">
        <v>2596</v>
      </c>
      <c r="D79" s="120">
        <f>_xlfn.XLOOKUP(E79,'Model VMT by TAZ'!A:A,'Model VMT by TAZ'!E:E,0)</f>
        <v>140676.29999999999</v>
      </c>
      <c r="E79" s="117">
        <v>1975</v>
      </c>
      <c r="F79" s="120">
        <f>_xlfn.XLOOKUP(E79, 'Action 1 Data'!B:B, 'Action 1 Data'!D:D, "0")</f>
        <v>4130</v>
      </c>
      <c r="G79" t="s">
        <v>1162</v>
      </c>
      <c r="H79" t="s">
        <v>1162</v>
      </c>
      <c r="I79">
        <v>0</v>
      </c>
      <c r="J79">
        <v>11427520</v>
      </c>
      <c r="K79">
        <v>17078.592231999999</v>
      </c>
      <c r="L79">
        <v>11427474.105072999</v>
      </c>
      <c r="M79">
        <f>_xlfn.XLOOKUP(E79, 'Model Modeshare by TAZ'!A:A, 'Model Modeshare by TAZ'!G:G,"0")</f>
        <v>621.29999999999995</v>
      </c>
      <c r="N79">
        <f>_xlfn.XLOOKUP(E79, 'Model Modeshare by TAZ'!A:A, 'Model Modeshare by TAZ'!E:E,"0")</f>
        <v>13104.22</v>
      </c>
      <c r="O79">
        <f>_xlfn.XLOOKUP(E79,'Model Modeshare by TAZ'!A:A,'Model Modeshare by TAZ'!F:F,"0")</f>
        <v>7614.1</v>
      </c>
      <c r="P79">
        <f>_xlfn.XLOOKUP(E79,'Model Modeshare by TAZ'!A:A,'Model Modeshare by TAZ'!J:J,"0")</f>
        <v>23835.96</v>
      </c>
    </row>
    <row r="80" spans="1:16" x14ac:dyDescent="0.35">
      <c r="A80">
        <v>80</v>
      </c>
      <c r="B80" t="s">
        <v>1161</v>
      </c>
      <c r="C80">
        <v>2597</v>
      </c>
      <c r="D80" s="120">
        <f>_xlfn.XLOOKUP(E80,'Model VMT by TAZ'!A:A,'Model VMT by TAZ'!E:E,0)</f>
        <v>15227.12</v>
      </c>
      <c r="E80" s="117">
        <v>1614</v>
      </c>
      <c r="F80" s="120">
        <f>_xlfn.XLOOKUP(E80, 'Action 1 Data'!B:B, 'Action 1 Data'!D:D, "0")</f>
        <v>686</v>
      </c>
      <c r="G80" t="s">
        <v>1162</v>
      </c>
      <c r="H80" t="s">
        <v>1162</v>
      </c>
      <c r="I80">
        <v>0</v>
      </c>
      <c r="J80">
        <v>5188987</v>
      </c>
      <c r="K80">
        <v>10006.711739</v>
      </c>
      <c r="L80">
        <v>5188966.3534749998</v>
      </c>
      <c r="M80">
        <f>_xlfn.XLOOKUP(E80, 'Model Modeshare by TAZ'!A:A, 'Model Modeshare by TAZ'!G:G,"0")</f>
        <v>53.8</v>
      </c>
      <c r="N80">
        <f>_xlfn.XLOOKUP(E80, 'Model Modeshare by TAZ'!A:A, 'Model Modeshare by TAZ'!E:E,"0")</f>
        <v>2450.7600000000002</v>
      </c>
      <c r="O80">
        <f>_xlfn.XLOOKUP(E80,'Model Modeshare by TAZ'!A:A,'Model Modeshare by TAZ'!F:F,"0")</f>
        <v>1188.44</v>
      </c>
      <c r="P80">
        <f>_xlfn.XLOOKUP(E80,'Model Modeshare by TAZ'!A:A,'Model Modeshare by TAZ'!J:J,"0")</f>
        <v>4791.4799999999996</v>
      </c>
    </row>
    <row r="81" spans="1:16" x14ac:dyDescent="0.35">
      <c r="A81">
        <v>81</v>
      </c>
      <c r="B81" t="s">
        <v>1161</v>
      </c>
      <c r="C81">
        <v>2600</v>
      </c>
      <c r="D81" s="120">
        <f>_xlfn.XLOOKUP(E81,'Model VMT by TAZ'!A:A,'Model VMT by TAZ'!E:E,0)</f>
        <v>118212.61</v>
      </c>
      <c r="E81" s="117">
        <v>1987</v>
      </c>
      <c r="F81" s="120">
        <f>_xlfn.XLOOKUP(E81, 'Action 1 Data'!B:B, 'Action 1 Data'!D:D, "0")</f>
        <v>2445</v>
      </c>
      <c r="G81" t="s">
        <v>1162</v>
      </c>
      <c r="H81" t="s">
        <v>1162</v>
      </c>
      <c r="I81">
        <v>0</v>
      </c>
      <c r="J81">
        <v>14361621</v>
      </c>
      <c r="K81">
        <v>20828.594486999998</v>
      </c>
      <c r="L81">
        <v>14361563.890951</v>
      </c>
      <c r="M81">
        <f>_xlfn.XLOOKUP(E81, 'Model Modeshare by TAZ'!A:A, 'Model Modeshare by TAZ'!G:G,"0")</f>
        <v>389.08</v>
      </c>
      <c r="N81">
        <f>_xlfn.XLOOKUP(E81, 'Model Modeshare by TAZ'!A:A, 'Model Modeshare by TAZ'!E:E,"0")</f>
        <v>11274.8</v>
      </c>
      <c r="O81">
        <f>_xlfn.XLOOKUP(E81,'Model Modeshare by TAZ'!A:A,'Model Modeshare by TAZ'!F:F,"0")</f>
        <v>6008.78</v>
      </c>
      <c r="P81">
        <f>_xlfn.XLOOKUP(E81,'Model Modeshare by TAZ'!A:A,'Model Modeshare by TAZ'!J:J,"0")</f>
        <v>20870.419999999998</v>
      </c>
    </row>
    <row r="82" spans="1:16" x14ac:dyDescent="0.35">
      <c r="A82">
        <v>82</v>
      </c>
      <c r="B82" t="s">
        <v>1161</v>
      </c>
      <c r="C82">
        <v>2601</v>
      </c>
      <c r="D82" s="120">
        <f>_xlfn.XLOOKUP(E82,'Model VMT by TAZ'!A:A,'Model VMT by TAZ'!E:E,0)</f>
        <v>182948.04</v>
      </c>
      <c r="E82" s="117">
        <v>2010</v>
      </c>
      <c r="F82" s="120">
        <f>_xlfn.XLOOKUP(E82, 'Action 1 Data'!B:B, 'Action 1 Data'!D:D, "0")</f>
        <v>0</v>
      </c>
      <c r="G82" t="s">
        <v>1162</v>
      </c>
      <c r="H82" t="s">
        <v>1162</v>
      </c>
      <c r="I82">
        <v>0</v>
      </c>
      <c r="J82">
        <v>12011415</v>
      </c>
      <c r="K82">
        <v>17680.015399</v>
      </c>
      <c r="L82">
        <v>12011367.311720001</v>
      </c>
      <c r="M82">
        <f>_xlfn.XLOOKUP(E82, 'Model Modeshare by TAZ'!A:A, 'Model Modeshare by TAZ'!G:G,"0")</f>
        <v>369.1</v>
      </c>
      <c r="N82">
        <f>_xlfn.XLOOKUP(E82, 'Model Modeshare by TAZ'!A:A, 'Model Modeshare by TAZ'!E:E,"0")</f>
        <v>13423.4</v>
      </c>
      <c r="O82">
        <f>_xlfn.XLOOKUP(E82,'Model Modeshare by TAZ'!A:A,'Model Modeshare by TAZ'!F:F,"0")</f>
        <v>3930.26</v>
      </c>
      <c r="P82">
        <f>_xlfn.XLOOKUP(E82,'Model Modeshare by TAZ'!A:A,'Model Modeshare by TAZ'!J:J,"0")</f>
        <v>18899.900000000001</v>
      </c>
    </row>
    <row r="83" spans="1:16" x14ac:dyDescent="0.35">
      <c r="A83">
        <v>83</v>
      </c>
      <c r="B83" t="s">
        <v>1161</v>
      </c>
      <c r="C83">
        <v>2602</v>
      </c>
      <c r="D83" s="120">
        <f>_xlfn.XLOOKUP(E83,'Model VMT by TAZ'!A:A,'Model VMT by TAZ'!E:E,0)</f>
        <v>224821.98</v>
      </c>
      <c r="E83" s="117">
        <v>2009</v>
      </c>
      <c r="F83" s="120">
        <f>_xlfn.XLOOKUP(E83, 'Action 1 Data'!B:B, 'Action 1 Data'!D:D, "0")</f>
        <v>3941</v>
      </c>
      <c r="G83" t="s">
        <v>1162</v>
      </c>
      <c r="H83" t="s">
        <v>1162</v>
      </c>
      <c r="I83">
        <v>0</v>
      </c>
      <c r="J83">
        <v>10476192</v>
      </c>
      <c r="K83">
        <v>15943.719077</v>
      </c>
      <c r="L83">
        <v>10476150.375068</v>
      </c>
      <c r="M83">
        <f>_xlfn.XLOOKUP(E83, 'Model Modeshare by TAZ'!A:A, 'Model Modeshare by TAZ'!G:G,"0")</f>
        <v>713.36</v>
      </c>
      <c r="N83">
        <f>_xlfn.XLOOKUP(E83, 'Model Modeshare by TAZ'!A:A, 'Model Modeshare by TAZ'!E:E,"0")</f>
        <v>18603.34</v>
      </c>
      <c r="O83">
        <f>_xlfn.XLOOKUP(E83,'Model Modeshare by TAZ'!A:A,'Model Modeshare by TAZ'!F:F,"0")</f>
        <v>9295.66</v>
      </c>
      <c r="P83">
        <f>_xlfn.XLOOKUP(E83,'Model Modeshare by TAZ'!A:A,'Model Modeshare by TAZ'!J:J,"0")</f>
        <v>37668.32</v>
      </c>
    </row>
    <row r="84" spans="1:16" x14ac:dyDescent="0.35">
      <c r="A84">
        <v>84</v>
      </c>
      <c r="B84" t="s">
        <v>1161</v>
      </c>
      <c r="C84">
        <v>2603</v>
      </c>
      <c r="D84" s="120">
        <f>_xlfn.XLOOKUP(E84,'Model VMT by TAZ'!A:A,'Model VMT by TAZ'!E:E,0)</f>
        <v>70700.03</v>
      </c>
      <c r="E84" s="117">
        <v>2018</v>
      </c>
      <c r="F84" s="120" t="str">
        <f>_xlfn.XLOOKUP(E84, 'Action 1 Data'!B:B, 'Action 1 Data'!D:D, "0")</f>
        <v>0</v>
      </c>
      <c r="G84" t="s">
        <v>1162</v>
      </c>
      <c r="H84" t="s">
        <v>1162</v>
      </c>
      <c r="I84">
        <v>0</v>
      </c>
      <c r="J84">
        <v>10587755</v>
      </c>
      <c r="K84">
        <v>14071.513215999999</v>
      </c>
      <c r="L84">
        <v>10587713.140365999</v>
      </c>
      <c r="M84">
        <f>_xlfn.XLOOKUP(E84, 'Model Modeshare by TAZ'!A:A, 'Model Modeshare by TAZ'!G:G,"0")</f>
        <v>288.22000000000003</v>
      </c>
      <c r="N84">
        <f>_xlfn.XLOOKUP(E84, 'Model Modeshare by TAZ'!A:A, 'Model Modeshare by TAZ'!E:E,"0")</f>
        <v>10950.24</v>
      </c>
      <c r="O84">
        <f>_xlfn.XLOOKUP(E84,'Model Modeshare by TAZ'!A:A,'Model Modeshare by TAZ'!F:F,"0")</f>
        <v>6782.8</v>
      </c>
      <c r="P84">
        <f>_xlfn.XLOOKUP(E84,'Model Modeshare by TAZ'!A:A,'Model Modeshare by TAZ'!J:J,"0")</f>
        <v>20979.46</v>
      </c>
    </row>
    <row r="85" spans="1:16" x14ac:dyDescent="0.35">
      <c r="A85">
        <v>85</v>
      </c>
      <c r="B85" t="s">
        <v>1161</v>
      </c>
      <c r="C85">
        <v>2604</v>
      </c>
      <c r="D85" s="120">
        <f>_xlfn.XLOOKUP(E85,'Model VMT by TAZ'!A:A,'Model VMT by TAZ'!E:E,0)</f>
        <v>98995.68</v>
      </c>
      <c r="E85" s="117">
        <v>2008</v>
      </c>
      <c r="F85" s="120">
        <f>_xlfn.XLOOKUP(E85, 'Action 1 Data'!B:B, 'Action 1 Data'!D:D, "0")</f>
        <v>4618</v>
      </c>
      <c r="G85" t="s">
        <v>1162</v>
      </c>
      <c r="H85" t="s">
        <v>1162</v>
      </c>
      <c r="I85">
        <v>0</v>
      </c>
      <c r="J85">
        <v>12663001</v>
      </c>
      <c r="K85">
        <v>19699.457039000001</v>
      </c>
      <c r="L85">
        <v>12662950.391386</v>
      </c>
      <c r="M85">
        <f>_xlfn.XLOOKUP(E85, 'Model Modeshare by TAZ'!A:A, 'Model Modeshare by TAZ'!G:G,"0")</f>
        <v>192.06</v>
      </c>
      <c r="N85">
        <f>_xlfn.XLOOKUP(E85, 'Model Modeshare by TAZ'!A:A, 'Model Modeshare by TAZ'!E:E,"0")</f>
        <v>6982.58</v>
      </c>
      <c r="O85">
        <f>_xlfn.XLOOKUP(E85,'Model Modeshare by TAZ'!A:A,'Model Modeshare by TAZ'!F:F,"0")</f>
        <v>5360.7</v>
      </c>
      <c r="P85">
        <f>_xlfn.XLOOKUP(E85,'Model Modeshare by TAZ'!A:A,'Model Modeshare by TAZ'!J:J,"0")</f>
        <v>13864.14</v>
      </c>
    </row>
    <row r="86" spans="1:16" x14ac:dyDescent="0.35">
      <c r="A86">
        <v>86</v>
      </c>
      <c r="B86" t="s">
        <v>1161</v>
      </c>
      <c r="C86">
        <v>2605</v>
      </c>
      <c r="D86" s="120">
        <f>_xlfn.XLOOKUP(E86,'Model VMT by TAZ'!A:A,'Model VMT by TAZ'!E:E,0)</f>
        <v>43709.93</v>
      </c>
      <c r="E86" s="117">
        <v>2007</v>
      </c>
      <c r="F86" s="120">
        <f>_xlfn.XLOOKUP(E86, 'Action 1 Data'!B:B, 'Action 1 Data'!D:D, "0")</f>
        <v>2710</v>
      </c>
      <c r="G86" t="s">
        <v>1162</v>
      </c>
      <c r="H86" t="s">
        <v>1162</v>
      </c>
      <c r="I86">
        <v>0</v>
      </c>
      <c r="J86">
        <v>13174344</v>
      </c>
      <c r="K86">
        <v>18329.382657999999</v>
      </c>
      <c r="L86">
        <v>13174291.473905001</v>
      </c>
      <c r="M86">
        <f>_xlfn.XLOOKUP(E86, 'Model Modeshare by TAZ'!A:A, 'Model Modeshare by TAZ'!G:G,"0")</f>
        <v>151.24</v>
      </c>
      <c r="N86">
        <f>_xlfn.XLOOKUP(E86, 'Model Modeshare by TAZ'!A:A, 'Model Modeshare by TAZ'!E:E,"0")</f>
        <v>6351.48</v>
      </c>
      <c r="O86">
        <f>_xlfn.XLOOKUP(E86,'Model Modeshare by TAZ'!A:A,'Model Modeshare by TAZ'!F:F,"0")</f>
        <v>4320.3599999999997</v>
      </c>
      <c r="P86">
        <f>_xlfn.XLOOKUP(E86,'Model Modeshare by TAZ'!A:A,'Model Modeshare by TAZ'!J:J,"0")</f>
        <v>12835.22</v>
      </c>
    </row>
    <row r="87" spans="1:16" x14ac:dyDescent="0.35">
      <c r="A87">
        <v>87</v>
      </c>
      <c r="B87" t="s">
        <v>1161</v>
      </c>
      <c r="C87">
        <v>2611</v>
      </c>
      <c r="D87" s="120">
        <f>_xlfn.XLOOKUP(E87,'Model VMT by TAZ'!A:A,'Model VMT by TAZ'!E:E,0)</f>
        <v>81240.77</v>
      </c>
      <c r="E87" s="117">
        <v>2019</v>
      </c>
      <c r="F87" s="120" t="str">
        <f>_xlfn.XLOOKUP(E87, 'Action 1 Data'!B:B, 'Action 1 Data'!D:D, "0")</f>
        <v>0</v>
      </c>
      <c r="G87" t="s">
        <v>1162</v>
      </c>
      <c r="H87" t="s">
        <v>1162</v>
      </c>
      <c r="I87">
        <v>0</v>
      </c>
      <c r="J87">
        <v>13117554</v>
      </c>
      <c r="K87">
        <v>20820.913164000001</v>
      </c>
      <c r="L87">
        <v>13117501.095556</v>
      </c>
      <c r="M87">
        <f>_xlfn.XLOOKUP(E87, 'Model Modeshare by TAZ'!A:A, 'Model Modeshare by TAZ'!G:G,"0")</f>
        <v>83</v>
      </c>
      <c r="N87">
        <f>_xlfn.XLOOKUP(E87, 'Model Modeshare by TAZ'!A:A, 'Model Modeshare by TAZ'!E:E,"0")</f>
        <v>7180.8</v>
      </c>
      <c r="O87">
        <f>_xlfn.XLOOKUP(E87,'Model Modeshare by TAZ'!A:A,'Model Modeshare by TAZ'!F:F,"0")</f>
        <v>4986.0200000000004</v>
      </c>
      <c r="P87">
        <f>_xlfn.XLOOKUP(E87,'Model Modeshare by TAZ'!A:A,'Model Modeshare by TAZ'!J:J,"0")</f>
        <v>13703.32</v>
      </c>
    </row>
    <row r="88" spans="1:16" x14ac:dyDescent="0.35">
      <c r="A88">
        <v>88</v>
      </c>
      <c r="B88" t="s">
        <v>1161</v>
      </c>
      <c r="C88">
        <v>2612</v>
      </c>
      <c r="D88" s="120">
        <f>_xlfn.XLOOKUP(E88,'Model VMT by TAZ'!A:A,'Model VMT by TAZ'!E:E,0)</f>
        <v>103131.36</v>
      </c>
      <c r="E88" s="117">
        <v>2017</v>
      </c>
      <c r="F88" s="120">
        <f>_xlfn.XLOOKUP(E88, 'Action 1 Data'!B:B, 'Action 1 Data'!D:D, "0")</f>
        <v>3071</v>
      </c>
      <c r="G88" t="s">
        <v>1162</v>
      </c>
      <c r="H88" t="s">
        <v>1162</v>
      </c>
      <c r="I88">
        <v>0</v>
      </c>
      <c r="J88">
        <v>11151947</v>
      </c>
      <c r="K88">
        <v>16783.980970000001</v>
      </c>
      <c r="L88">
        <v>11151902.351743</v>
      </c>
      <c r="M88">
        <f>_xlfn.XLOOKUP(E88, 'Model Modeshare by TAZ'!A:A, 'Model Modeshare by TAZ'!G:G,"0")</f>
        <v>414.86</v>
      </c>
      <c r="N88">
        <f>_xlfn.XLOOKUP(E88, 'Model Modeshare by TAZ'!A:A, 'Model Modeshare by TAZ'!E:E,"0")</f>
        <v>8103.08</v>
      </c>
      <c r="O88">
        <f>_xlfn.XLOOKUP(E88,'Model Modeshare by TAZ'!A:A,'Model Modeshare by TAZ'!F:F,"0")</f>
        <v>4750.6000000000004</v>
      </c>
      <c r="P88">
        <f>_xlfn.XLOOKUP(E88,'Model Modeshare by TAZ'!A:A,'Model Modeshare by TAZ'!J:J,"0")</f>
        <v>16579.3</v>
      </c>
    </row>
    <row r="89" spans="1:16" x14ac:dyDescent="0.35">
      <c r="A89">
        <v>89</v>
      </c>
      <c r="B89" t="s">
        <v>1161</v>
      </c>
      <c r="C89">
        <v>2613</v>
      </c>
      <c r="D89" s="120">
        <f>_xlfn.XLOOKUP(E89,'Model VMT by TAZ'!A:A,'Model VMT by TAZ'!E:E,0)</f>
        <v>87127.03</v>
      </c>
      <c r="E89" s="117">
        <v>2016</v>
      </c>
      <c r="F89" s="120">
        <f>_xlfn.XLOOKUP(E89, 'Action 1 Data'!B:B, 'Action 1 Data'!D:D, "0")</f>
        <v>2233</v>
      </c>
      <c r="G89" t="s">
        <v>1162</v>
      </c>
      <c r="H89" t="s">
        <v>1162</v>
      </c>
      <c r="I89">
        <v>0</v>
      </c>
      <c r="J89">
        <v>4991620</v>
      </c>
      <c r="K89">
        <v>10682.846651</v>
      </c>
      <c r="L89">
        <v>4991599.6707960004</v>
      </c>
      <c r="M89">
        <f>_xlfn.XLOOKUP(E89, 'Model Modeshare by TAZ'!A:A, 'Model Modeshare by TAZ'!G:G,"0")</f>
        <v>389.2</v>
      </c>
      <c r="N89">
        <f>_xlfn.XLOOKUP(E89, 'Model Modeshare by TAZ'!A:A, 'Model Modeshare by TAZ'!E:E,"0")</f>
        <v>7291.72</v>
      </c>
      <c r="O89">
        <f>_xlfn.XLOOKUP(E89,'Model Modeshare by TAZ'!A:A,'Model Modeshare by TAZ'!F:F,"0")</f>
        <v>4416.18</v>
      </c>
      <c r="P89">
        <f>_xlfn.XLOOKUP(E89,'Model Modeshare by TAZ'!A:A,'Model Modeshare by TAZ'!J:J,"0")</f>
        <v>13845.24</v>
      </c>
    </row>
    <row r="90" spans="1:16" x14ac:dyDescent="0.35">
      <c r="A90">
        <v>90</v>
      </c>
      <c r="B90" t="s">
        <v>1161</v>
      </c>
      <c r="C90">
        <v>2614</v>
      </c>
      <c r="D90" s="120">
        <f>_xlfn.XLOOKUP(E90,'Model VMT by TAZ'!A:A,'Model VMT by TAZ'!E:E,0)</f>
        <v>178000.35</v>
      </c>
      <c r="E90" s="117">
        <v>2014</v>
      </c>
      <c r="F90" s="120" t="str">
        <f>_xlfn.XLOOKUP(E90, 'Action 1 Data'!B:B, 'Action 1 Data'!D:D, "0")</f>
        <v>0</v>
      </c>
      <c r="G90" t="s">
        <v>1162</v>
      </c>
      <c r="H90" t="s">
        <v>1162</v>
      </c>
      <c r="I90">
        <v>0</v>
      </c>
      <c r="J90">
        <v>8957542</v>
      </c>
      <c r="K90">
        <v>18976.351799</v>
      </c>
      <c r="L90">
        <v>8957505.819751</v>
      </c>
      <c r="M90">
        <f>_xlfn.XLOOKUP(E90, 'Model Modeshare by TAZ'!A:A, 'Model Modeshare by TAZ'!G:G,"0")</f>
        <v>330.32</v>
      </c>
      <c r="N90">
        <f>_xlfn.XLOOKUP(E90, 'Model Modeshare by TAZ'!A:A, 'Model Modeshare by TAZ'!E:E,"0")</f>
        <v>13765.26</v>
      </c>
      <c r="O90">
        <f>_xlfn.XLOOKUP(E90,'Model Modeshare by TAZ'!A:A,'Model Modeshare by TAZ'!F:F,"0")</f>
        <v>5759.24</v>
      </c>
      <c r="P90">
        <f>_xlfn.XLOOKUP(E90,'Model Modeshare by TAZ'!A:A,'Model Modeshare by TAZ'!J:J,"0")</f>
        <v>21838.6</v>
      </c>
    </row>
    <row r="91" spans="1:16" x14ac:dyDescent="0.35">
      <c r="A91">
        <v>91</v>
      </c>
      <c r="B91" t="s">
        <v>1161</v>
      </c>
      <c r="C91">
        <v>2615</v>
      </c>
      <c r="D91" s="120">
        <f>_xlfn.XLOOKUP(E91,'Model VMT by TAZ'!A:A,'Model VMT by TAZ'!E:E,0)</f>
        <v>201492.8</v>
      </c>
      <c r="E91" s="117">
        <v>1679</v>
      </c>
      <c r="F91" s="120">
        <f>_xlfn.XLOOKUP(E91, 'Action 1 Data'!B:B, 'Action 1 Data'!D:D, "0")</f>
        <v>113</v>
      </c>
      <c r="G91" t="s">
        <v>1162</v>
      </c>
      <c r="H91" t="s">
        <v>1162</v>
      </c>
      <c r="I91">
        <v>0</v>
      </c>
      <c r="J91">
        <v>9103367</v>
      </c>
      <c r="K91">
        <v>17136.478287999998</v>
      </c>
      <c r="L91">
        <v>9103330.3204970006</v>
      </c>
      <c r="M91">
        <f>_xlfn.XLOOKUP(E91, 'Model Modeshare by TAZ'!A:A, 'Model Modeshare by TAZ'!G:G,"0")</f>
        <v>638.38</v>
      </c>
      <c r="N91">
        <f>_xlfn.XLOOKUP(E91, 'Model Modeshare by TAZ'!A:A, 'Model Modeshare by TAZ'!E:E,"0")</f>
        <v>17551.28</v>
      </c>
      <c r="O91">
        <f>_xlfn.XLOOKUP(E91,'Model Modeshare by TAZ'!A:A,'Model Modeshare by TAZ'!F:F,"0")</f>
        <v>5975.88</v>
      </c>
      <c r="P91">
        <f>_xlfn.XLOOKUP(E91,'Model Modeshare by TAZ'!A:A,'Model Modeshare by TAZ'!J:J,"0")</f>
        <v>26611.24</v>
      </c>
    </row>
    <row r="92" spans="1:16" x14ac:dyDescent="0.35">
      <c r="A92">
        <v>92</v>
      </c>
      <c r="B92" t="s">
        <v>1161</v>
      </c>
      <c r="C92">
        <v>2616</v>
      </c>
      <c r="D92" s="120">
        <f>_xlfn.XLOOKUP(E92,'Model VMT by TAZ'!A:A,'Model VMT by TAZ'!E:E,0)</f>
        <v>77150.25</v>
      </c>
      <c r="E92" s="117">
        <v>2026</v>
      </c>
      <c r="F92" s="120">
        <f>_xlfn.XLOOKUP(E92, 'Action 1 Data'!B:B, 'Action 1 Data'!D:D, "0")</f>
        <v>2865</v>
      </c>
      <c r="G92" t="s">
        <v>1162</v>
      </c>
      <c r="H92" t="s">
        <v>1162</v>
      </c>
      <c r="I92">
        <v>0</v>
      </c>
      <c r="J92">
        <v>3793408</v>
      </c>
      <c r="K92">
        <v>11756.909035000001</v>
      </c>
      <c r="L92">
        <v>3793392.5510709998</v>
      </c>
      <c r="M92">
        <f>_xlfn.XLOOKUP(E92, 'Model Modeshare by TAZ'!A:A, 'Model Modeshare by TAZ'!G:G,"0")</f>
        <v>556.36</v>
      </c>
      <c r="N92">
        <f>_xlfn.XLOOKUP(E92, 'Model Modeshare by TAZ'!A:A, 'Model Modeshare by TAZ'!E:E,"0")</f>
        <v>8821.7800000000007</v>
      </c>
      <c r="O92">
        <f>_xlfn.XLOOKUP(E92,'Model Modeshare by TAZ'!A:A,'Model Modeshare by TAZ'!F:F,"0")</f>
        <v>6008.66</v>
      </c>
      <c r="P92">
        <f>_xlfn.XLOOKUP(E92,'Model Modeshare by TAZ'!A:A,'Model Modeshare by TAZ'!J:J,"0")</f>
        <v>18123.64</v>
      </c>
    </row>
    <row r="93" spans="1:16" x14ac:dyDescent="0.35">
      <c r="A93">
        <v>93</v>
      </c>
      <c r="B93" t="s">
        <v>1161</v>
      </c>
      <c r="C93">
        <v>2621</v>
      </c>
      <c r="D93" s="120">
        <f>_xlfn.XLOOKUP(E93,'Model VMT by TAZ'!A:A,'Model VMT by TAZ'!E:E,0)</f>
        <v>201017.36</v>
      </c>
      <c r="E93" s="117">
        <v>2029</v>
      </c>
      <c r="F93" s="120" t="str">
        <f>_xlfn.XLOOKUP(E93, 'Action 1 Data'!B:B, 'Action 1 Data'!D:D, "0")</f>
        <v>0</v>
      </c>
      <c r="G93" t="s">
        <v>1162</v>
      </c>
      <c r="H93" t="s">
        <v>1162</v>
      </c>
      <c r="I93">
        <v>0</v>
      </c>
      <c r="J93">
        <v>12303509</v>
      </c>
      <c r="K93">
        <v>21692.016652999999</v>
      </c>
      <c r="L93">
        <v>12303460.161805</v>
      </c>
      <c r="M93">
        <f>_xlfn.XLOOKUP(E93, 'Model Modeshare by TAZ'!A:A, 'Model Modeshare by TAZ'!G:G,"0")</f>
        <v>595.74</v>
      </c>
      <c r="N93">
        <f>_xlfn.XLOOKUP(E93, 'Model Modeshare by TAZ'!A:A, 'Model Modeshare by TAZ'!E:E,"0")</f>
        <v>19323.080000000002</v>
      </c>
      <c r="O93">
        <f>_xlfn.XLOOKUP(E93,'Model Modeshare by TAZ'!A:A,'Model Modeshare by TAZ'!F:F,"0")</f>
        <v>12250.26</v>
      </c>
      <c r="P93">
        <f>_xlfn.XLOOKUP(E93,'Model Modeshare by TAZ'!A:A,'Model Modeshare by TAZ'!J:J,"0")</f>
        <v>36682.32</v>
      </c>
    </row>
    <row r="94" spans="1:16" x14ac:dyDescent="0.35">
      <c r="A94">
        <v>94</v>
      </c>
      <c r="B94" t="s">
        <v>1161</v>
      </c>
      <c r="C94">
        <v>2632</v>
      </c>
      <c r="D94" s="120">
        <f>_xlfn.XLOOKUP(E94,'Model VMT by TAZ'!A:A,'Model VMT by TAZ'!E:E,0)</f>
        <v>98216</v>
      </c>
      <c r="E94" s="117">
        <v>1915</v>
      </c>
      <c r="F94" s="120" t="str">
        <f>_xlfn.XLOOKUP(E94, 'Action 1 Data'!B:B, 'Action 1 Data'!D:D, "0")</f>
        <v>0</v>
      </c>
      <c r="G94" t="s">
        <v>1162</v>
      </c>
      <c r="H94" t="s">
        <v>1162</v>
      </c>
      <c r="I94">
        <v>0</v>
      </c>
      <c r="J94">
        <v>6117498</v>
      </c>
      <c r="K94">
        <v>11186.461663</v>
      </c>
      <c r="L94">
        <v>6117473.7160590002</v>
      </c>
      <c r="M94">
        <f>_xlfn.XLOOKUP(E94, 'Model Modeshare by TAZ'!A:A, 'Model Modeshare by TAZ'!G:G,"0")</f>
        <v>937.9</v>
      </c>
      <c r="N94">
        <f>_xlfn.XLOOKUP(E94, 'Model Modeshare by TAZ'!A:A, 'Model Modeshare by TAZ'!E:E,"0")</f>
        <v>10205.94</v>
      </c>
      <c r="O94">
        <f>_xlfn.XLOOKUP(E94,'Model Modeshare by TAZ'!A:A,'Model Modeshare by TAZ'!F:F,"0")</f>
        <v>6682.12</v>
      </c>
      <c r="P94">
        <f>_xlfn.XLOOKUP(E94,'Model Modeshare by TAZ'!A:A,'Model Modeshare by TAZ'!J:J,"0")</f>
        <v>20741.099999999999</v>
      </c>
    </row>
    <row r="95" spans="1:16" x14ac:dyDescent="0.35">
      <c r="A95">
        <v>95</v>
      </c>
      <c r="B95" t="s">
        <v>1161</v>
      </c>
      <c r="C95">
        <v>2633</v>
      </c>
      <c r="D95" s="120">
        <f>_xlfn.XLOOKUP(E95,'Model VMT by TAZ'!A:A,'Model VMT by TAZ'!E:E,0)</f>
        <v>80222.37</v>
      </c>
      <c r="E95" s="117">
        <v>1916</v>
      </c>
      <c r="F95" s="120" t="str">
        <f>_xlfn.XLOOKUP(E95, 'Action 1 Data'!B:B, 'Action 1 Data'!D:D, "0")</f>
        <v>0</v>
      </c>
      <c r="G95" t="s">
        <v>1162</v>
      </c>
      <c r="H95" t="s">
        <v>1162</v>
      </c>
      <c r="I95">
        <v>0</v>
      </c>
      <c r="J95">
        <v>6278589</v>
      </c>
      <c r="K95">
        <v>10192.385299</v>
      </c>
      <c r="L95">
        <v>6278563.5421129996</v>
      </c>
      <c r="M95">
        <f>_xlfn.XLOOKUP(E95, 'Model Modeshare by TAZ'!A:A, 'Model Modeshare by TAZ'!G:G,"0")</f>
        <v>542.12</v>
      </c>
      <c r="N95">
        <f>_xlfn.XLOOKUP(E95, 'Model Modeshare by TAZ'!A:A, 'Model Modeshare by TAZ'!E:E,"0")</f>
        <v>7141.48</v>
      </c>
      <c r="O95">
        <f>_xlfn.XLOOKUP(E95,'Model Modeshare by TAZ'!A:A,'Model Modeshare by TAZ'!F:F,"0")</f>
        <v>4547.32</v>
      </c>
      <c r="P95">
        <f>_xlfn.XLOOKUP(E95,'Model Modeshare by TAZ'!A:A,'Model Modeshare by TAZ'!J:J,"0")</f>
        <v>14009.82</v>
      </c>
    </row>
    <row r="96" spans="1:16" x14ac:dyDescent="0.35">
      <c r="A96">
        <v>96</v>
      </c>
      <c r="B96" t="s">
        <v>1161</v>
      </c>
      <c r="C96">
        <v>2634</v>
      </c>
      <c r="D96" s="120">
        <f>_xlfn.XLOOKUP(E96,'Model VMT by TAZ'!A:A,'Model VMT by TAZ'!E:E,0)</f>
        <v>66046.710000000006</v>
      </c>
      <c r="E96" s="117">
        <v>1491</v>
      </c>
      <c r="F96" s="120" t="str">
        <f>_xlfn.XLOOKUP(E96, 'Action 1 Data'!B:B, 'Action 1 Data'!D:D, "0")</f>
        <v>0</v>
      </c>
      <c r="G96" t="s">
        <v>1162</v>
      </c>
      <c r="H96" t="s">
        <v>1162</v>
      </c>
      <c r="I96">
        <v>0</v>
      </c>
      <c r="J96">
        <v>8462557</v>
      </c>
      <c r="K96">
        <v>13362.900991</v>
      </c>
      <c r="L96">
        <v>8462523.0289980005</v>
      </c>
      <c r="M96">
        <f>_xlfn.XLOOKUP(E96, 'Model Modeshare by TAZ'!A:A, 'Model Modeshare by TAZ'!G:G,"0")</f>
        <v>770.58</v>
      </c>
      <c r="N96">
        <f>_xlfn.XLOOKUP(E96, 'Model Modeshare by TAZ'!A:A, 'Model Modeshare by TAZ'!E:E,"0")</f>
        <v>5786.1</v>
      </c>
      <c r="O96">
        <f>_xlfn.XLOOKUP(E96,'Model Modeshare by TAZ'!A:A,'Model Modeshare by TAZ'!F:F,"0")</f>
        <v>3633.48</v>
      </c>
      <c r="P96">
        <f>_xlfn.XLOOKUP(E96,'Model Modeshare by TAZ'!A:A,'Model Modeshare by TAZ'!J:J,"0")</f>
        <v>11707.14</v>
      </c>
    </row>
    <row r="97" spans="1:16" x14ac:dyDescent="0.35">
      <c r="A97">
        <v>97</v>
      </c>
      <c r="B97" t="s">
        <v>1161</v>
      </c>
      <c r="C97">
        <v>2635</v>
      </c>
      <c r="D97" s="120">
        <f>_xlfn.XLOOKUP(E97,'Model VMT by TAZ'!A:A,'Model VMT by TAZ'!E:E,0)</f>
        <v>41540.01</v>
      </c>
      <c r="E97" s="117">
        <v>1501</v>
      </c>
      <c r="F97" s="120" t="str">
        <f>_xlfn.XLOOKUP(E97, 'Action 1 Data'!B:B, 'Action 1 Data'!D:D, "0")</f>
        <v>0</v>
      </c>
      <c r="G97" t="s">
        <v>1162</v>
      </c>
      <c r="H97" t="s">
        <v>1162</v>
      </c>
      <c r="I97">
        <v>0</v>
      </c>
      <c r="J97">
        <v>1780944</v>
      </c>
      <c r="K97">
        <v>10223.277434</v>
      </c>
      <c r="L97">
        <v>1780937.1337909999</v>
      </c>
      <c r="M97">
        <f>_xlfn.XLOOKUP(E97, 'Model Modeshare by TAZ'!A:A, 'Model Modeshare by TAZ'!G:G,"0")</f>
        <v>702.88</v>
      </c>
      <c r="N97">
        <f>_xlfn.XLOOKUP(E97, 'Model Modeshare by TAZ'!A:A, 'Model Modeshare by TAZ'!E:E,"0")</f>
        <v>5070.92</v>
      </c>
      <c r="O97">
        <f>_xlfn.XLOOKUP(E97,'Model Modeshare by TAZ'!A:A,'Model Modeshare by TAZ'!F:F,"0")</f>
        <v>3398.98</v>
      </c>
      <c r="P97">
        <f>_xlfn.XLOOKUP(E97,'Model Modeshare by TAZ'!A:A,'Model Modeshare by TAZ'!J:J,"0")</f>
        <v>10736.4</v>
      </c>
    </row>
    <row r="98" spans="1:16" x14ac:dyDescent="0.35">
      <c r="A98">
        <v>98</v>
      </c>
      <c r="B98" t="s">
        <v>1161</v>
      </c>
      <c r="C98">
        <v>2636</v>
      </c>
      <c r="D98" s="120">
        <f>_xlfn.XLOOKUP(E98,'Model VMT by TAZ'!A:A,'Model VMT by TAZ'!E:E,0)</f>
        <v>55079.37</v>
      </c>
      <c r="E98" s="117">
        <v>1591</v>
      </c>
      <c r="F98" s="120" t="str">
        <f>_xlfn.XLOOKUP(E98, 'Action 1 Data'!B:B, 'Action 1 Data'!D:D, "0")</f>
        <v>0</v>
      </c>
      <c r="G98" t="s">
        <v>1162</v>
      </c>
      <c r="H98" t="s">
        <v>1162</v>
      </c>
      <c r="I98">
        <v>0</v>
      </c>
      <c r="J98">
        <v>3105787</v>
      </c>
      <c r="K98">
        <v>7655.6616610000001</v>
      </c>
      <c r="L98">
        <v>3105774.1055430002</v>
      </c>
      <c r="M98">
        <f>_xlfn.XLOOKUP(E98, 'Model Modeshare by TAZ'!A:A, 'Model Modeshare by TAZ'!G:G,"0")</f>
        <v>1279.58</v>
      </c>
      <c r="N98">
        <f>_xlfn.XLOOKUP(E98, 'Model Modeshare by TAZ'!A:A, 'Model Modeshare by TAZ'!E:E,"0")</f>
        <v>6485.68</v>
      </c>
      <c r="O98">
        <f>_xlfn.XLOOKUP(E98,'Model Modeshare by TAZ'!A:A,'Model Modeshare by TAZ'!F:F,"0")</f>
        <v>4484.16</v>
      </c>
      <c r="P98">
        <f>_xlfn.XLOOKUP(E98,'Model Modeshare by TAZ'!A:A,'Model Modeshare by TAZ'!J:J,"0")</f>
        <v>14706.02</v>
      </c>
    </row>
    <row r="99" spans="1:16" x14ac:dyDescent="0.35">
      <c r="A99">
        <v>99</v>
      </c>
      <c r="B99" t="s">
        <v>1161</v>
      </c>
      <c r="C99">
        <v>2644</v>
      </c>
      <c r="D99" s="120">
        <f>_xlfn.XLOOKUP(E99,'Model VMT by TAZ'!A:A,'Model VMT by TAZ'!E:E,0)</f>
        <v>137946.37</v>
      </c>
      <c r="E99" s="117">
        <v>1909</v>
      </c>
      <c r="F99" s="120">
        <f>_xlfn.XLOOKUP(E99, 'Action 1 Data'!B:B, 'Action 1 Data'!D:D, "0")</f>
        <v>7180</v>
      </c>
      <c r="G99" t="s">
        <v>1162</v>
      </c>
      <c r="H99" t="s">
        <v>1162</v>
      </c>
      <c r="I99">
        <v>0</v>
      </c>
      <c r="J99">
        <v>19456934</v>
      </c>
      <c r="K99">
        <v>17618.764038000001</v>
      </c>
      <c r="L99">
        <v>19456855.678153999</v>
      </c>
      <c r="M99">
        <f>_xlfn.XLOOKUP(E99, 'Model Modeshare by TAZ'!A:A, 'Model Modeshare by TAZ'!G:G,"0")</f>
        <v>1063.06</v>
      </c>
      <c r="N99">
        <f>_xlfn.XLOOKUP(E99, 'Model Modeshare by TAZ'!A:A, 'Model Modeshare by TAZ'!E:E,"0")</f>
        <v>13173.26</v>
      </c>
      <c r="O99">
        <f>_xlfn.XLOOKUP(E99,'Model Modeshare by TAZ'!A:A,'Model Modeshare by TAZ'!F:F,"0")</f>
        <v>9706.7000000000007</v>
      </c>
      <c r="P99">
        <f>_xlfn.XLOOKUP(E99,'Model Modeshare by TAZ'!A:A,'Model Modeshare by TAZ'!J:J,"0")</f>
        <v>27709.52</v>
      </c>
    </row>
    <row r="100" spans="1:16" x14ac:dyDescent="0.35">
      <c r="A100">
        <v>100</v>
      </c>
      <c r="B100" t="s">
        <v>1161</v>
      </c>
      <c r="C100">
        <v>2647</v>
      </c>
      <c r="D100" s="120">
        <f>_xlfn.XLOOKUP(E100,'Model VMT by TAZ'!A:A,'Model VMT by TAZ'!E:E,0)</f>
        <v>24596.71</v>
      </c>
      <c r="E100" s="117">
        <v>1506</v>
      </c>
      <c r="F100" s="120" t="str">
        <f>_xlfn.XLOOKUP(E100, 'Action 1 Data'!B:B, 'Action 1 Data'!D:D, "0")</f>
        <v>0</v>
      </c>
      <c r="G100" t="s">
        <v>1162</v>
      </c>
      <c r="H100" t="s">
        <v>1162</v>
      </c>
      <c r="I100">
        <v>0</v>
      </c>
      <c r="J100">
        <v>2404047</v>
      </c>
      <c r="K100">
        <v>6477.0581099999999</v>
      </c>
      <c r="L100">
        <v>2404037.6520460001</v>
      </c>
      <c r="M100">
        <f>_xlfn.XLOOKUP(E100, 'Model Modeshare by TAZ'!A:A, 'Model Modeshare by TAZ'!G:G,"0")</f>
        <v>255.14</v>
      </c>
      <c r="N100">
        <f>_xlfn.XLOOKUP(E100, 'Model Modeshare by TAZ'!A:A, 'Model Modeshare by TAZ'!E:E,"0")</f>
        <v>2204.52</v>
      </c>
      <c r="O100">
        <f>_xlfn.XLOOKUP(E100,'Model Modeshare by TAZ'!A:A,'Model Modeshare by TAZ'!F:F,"0")</f>
        <v>1737.22</v>
      </c>
      <c r="P100">
        <f>_xlfn.XLOOKUP(E100,'Model Modeshare by TAZ'!A:A,'Model Modeshare by TAZ'!J:J,"0")</f>
        <v>4887.82</v>
      </c>
    </row>
    <row r="101" spans="1:16" x14ac:dyDescent="0.35">
      <c r="A101">
        <v>101</v>
      </c>
      <c r="B101" t="s">
        <v>1161</v>
      </c>
      <c r="C101">
        <v>2648</v>
      </c>
      <c r="D101" s="120">
        <f>_xlfn.XLOOKUP(E101,'Model VMT by TAZ'!A:A,'Model VMT by TAZ'!E:E,0)</f>
        <v>79157.16</v>
      </c>
      <c r="E101" s="117">
        <v>1594</v>
      </c>
      <c r="F101" s="120" t="str">
        <f>_xlfn.XLOOKUP(E101, 'Action 1 Data'!B:B, 'Action 1 Data'!D:D, "0")</f>
        <v>0</v>
      </c>
      <c r="G101" t="s">
        <v>1162</v>
      </c>
      <c r="H101" t="s">
        <v>1162</v>
      </c>
      <c r="I101">
        <v>0</v>
      </c>
      <c r="J101">
        <v>2996990</v>
      </c>
      <c r="K101">
        <v>7191.9482850000004</v>
      </c>
      <c r="L101">
        <v>2996977.735198</v>
      </c>
      <c r="M101">
        <f>_xlfn.XLOOKUP(E101, 'Model Modeshare by TAZ'!A:A, 'Model Modeshare by TAZ'!G:G,"0")</f>
        <v>932.1</v>
      </c>
      <c r="N101">
        <f>_xlfn.XLOOKUP(E101, 'Model Modeshare by TAZ'!A:A, 'Model Modeshare by TAZ'!E:E,"0")</f>
        <v>7487.68</v>
      </c>
      <c r="O101">
        <f>_xlfn.XLOOKUP(E101,'Model Modeshare by TAZ'!A:A,'Model Modeshare by TAZ'!F:F,"0")</f>
        <v>5358.06</v>
      </c>
      <c r="P101">
        <f>_xlfn.XLOOKUP(E101,'Model Modeshare by TAZ'!A:A,'Model Modeshare by TAZ'!J:J,"0")</f>
        <v>16311.16</v>
      </c>
    </row>
    <row r="102" spans="1:16" x14ac:dyDescent="0.35">
      <c r="A102">
        <v>102</v>
      </c>
      <c r="B102" t="s">
        <v>1161</v>
      </c>
      <c r="C102">
        <v>2652</v>
      </c>
      <c r="D102" s="120">
        <f>_xlfn.XLOOKUP(E102,'Model VMT by TAZ'!A:A,'Model VMT by TAZ'!E:E,0)</f>
        <v>168070.19</v>
      </c>
      <c r="E102" s="117">
        <v>1643</v>
      </c>
      <c r="F102" s="120" t="str">
        <f>_xlfn.XLOOKUP(E102, 'Action 1 Data'!B:B, 'Action 1 Data'!D:D, "0")</f>
        <v>0</v>
      </c>
      <c r="G102" t="s">
        <v>1162</v>
      </c>
      <c r="H102" t="s">
        <v>1162</v>
      </c>
      <c r="I102">
        <v>0</v>
      </c>
      <c r="J102">
        <v>10612388</v>
      </c>
      <c r="K102">
        <v>16297.028359</v>
      </c>
      <c r="L102">
        <v>10612345.124638001</v>
      </c>
      <c r="M102">
        <f>_xlfn.XLOOKUP(E102, 'Model Modeshare by TAZ'!A:A, 'Model Modeshare by TAZ'!G:G,"0")</f>
        <v>1153.74</v>
      </c>
      <c r="N102">
        <f>_xlfn.XLOOKUP(E102, 'Model Modeshare by TAZ'!A:A, 'Model Modeshare by TAZ'!E:E,"0")</f>
        <v>15921.4</v>
      </c>
      <c r="O102">
        <f>_xlfn.XLOOKUP(E102,'Model Modeshare by TAZ'!A:A,'Model Modeshare by TAZ'!F:F,"0")</f>
        <v>9552.7199999999993</v>
      </c>
      <c r="P102">
        <f>_xlfn.XLOOKUP(E102,'Model Modeshare by TAZ'!A:A,'Model Modeshare by TAZ'!J:J,"0")</f>
        <v>30823.9</v>
      </c>
    </row>
    <row r="103" spans="1:16" x14ac:dyDescent="0.35">
      <c r="A103">
        <v>103</v>
      </c>
      <c r="B103" t="s">
        <v>1161</v>
      </c>
      <c r="C103">
        <v>2653</v>
      </c>
      <c r="D103" s="120">
        <f>_xlfn.XLOOKUP(E103,'Model VMT by TAZ'!A:A,'Model VMT by TAZ'!E:E,0)</f>
        <v>37477.97</v>
      </c>
      <c r="E103" s="117">
        <v>1507</v>
      </c>
      <c r="F103" s="120" t="str">
        <f>_xlfn.XLOOKUP(E103, 'Action 1 Data'!B:B, 'Action 1 Data'!D:D, "0")</f>
        <v>0</v>
      </c>
      <c r="G103" t="s">
        <v>1162</v>
      </c>
      <c r="H103" t="s">
        <v>1162</v>
      </c>
      <c r="I103">
        <v>0</v>
      </c>
      <c r="J103">
        <v>1936115</v>
      </c>
      <c r="K103">
        <v>5722.9587929999998</v>
      </c>
      <c r="L103">
        <v>1936107.610388</v>
      </c>
      <c r="M103">
        <f>_xlfn.XLOOKUP(E103, 'Model Modeshare by TAZ'!A:A, 'Model Modeshare by TAZ'!G:G,"0")</f>
        <v>153.38</v>
      </c>
      <c r="N103">
        <f>_xlfn.XLOOKUP(E103, 'Model Modeshare by TAZ'!A:A, 'Model Modeshare by TAZ'!E:E,"0")</f>
        <v>3145.24</v>
      </c>
      <c r="O103">
        <f>_xlfn.XLOOKUP(E103,'Model Modeshare by TAZ'!A:A,'Model Modeshare by TAZ'!F:F,"0")</f>
        <v>1109.76</v>
      </c>
      <c r="P103">
        <f>_xlfn.XLOOKUP(E103,'Model Modeshare by TAZ'!A:A,'Model Modeshare by TAZ'!J:J,"0")</f>
        <v>4954.96</v>
      </c>
    </row>
    <row r="104" spans="1:16" x14ac:dyDescent="0.35">
      <c r="A104">
        <v>104</v>
      </c>
      <c r="B104" t="s">
        <v>1161</v>
      </c>
      <c r="C104">
        <v>2654</v>
      </c>
      <c r="D104" s="120">
        <f>_xlfn.XLOOKUP(E104,'Model VMT by TAZ'!A:A,'Model VMT by TAZ'!E:E,0)</f>
        <v>259642.16</v>
      </c>
      <c r="E104" s="117">
        <v>1934</v>
      </c>
      <c r="F104" s="120">
        <f>_xlfn.XLOOKUP(E104, 'Action 1 Data'!B:B, 'Action 1 Data'!D:D, "0")</f>
        <v>18</v>
      </c>
      <c r="G104" t="s">
        <v>1162</v>
      </c>
      <c r="H104" t="s">
        <v>1162</v>
      </c>
      <c r="I104">
        <v>0</v>
      </c>
      <c r="J104">
        <v>4524836</v>
      </c>
      <c r="K104">
        <v>9459.6854820000008</v>
      </c>
      <c r="L104">
        <v>4524818.3076990005</v>
      </c>
      <c r="M104">
        <f>_xlfn.XLOOKUP(E104, 'Model Modeshare by TAZ'!A:A, 'Model Modeshare by TAZ'!G:G,"0")</f>
        <v>1568.56</v>
      </c>
      <c r="N104">
        <f>_xlfn.XLOOKUP(E104, 'Model Modeshare by TAZ'!A:A, 'Model Modeshare by TAZ'!E:E,"0")</f>
        <v>27644.22</v>
      </c>
      <c r="O104">
        <f>_xlfn.XLOOKUP(E104,'Model Modeshare by TAZ'!A:A,'Model Modeshare by TAZ'!F:F,"0")</f>
        <v>12548.98</v>
      </c>
      <c r="P104">
        <f>_xlfn.XLOOKUP(E104,'Model Modeshare by TAZ'!A:A,'Model Modeshare by TAZ'!J:J,"0")</f>
        <v>46633.94</v>
      </c>
    </row>
    <row r="105" spans="1:16" x14ac:dyDescent="0.35">
      <c r="A105">
        <v>105</v>
      </c>
      <c r="B105" t="s">
        <v>1161</v>
      </c>
      <c r="C105">
        <v>2657</v>
      </c>
      <c r="D105" s="120">
        <f>_xlfn.XLOOKUP(E105,'Model VMT by TAZ'!A:A,'Model VMT by TAZ'!E:E,0)</f>
        <v>30616.799999999999</v>
      </c>
      <c r="E105" s="117">
        <v>1525</v>
      </c>
      <c r="F105" s="120">
        <f>_xlfn.XLOOKUP(E105, 'Action 1 Data'!B:B, 'Action 1 Data'!D:D, "0")</f>
        <v>1029</v>
      </c>
      <c r="G105" t="s">
        <v>1162</v>
      </c>
      <c r="H105" t="s">
        <v>1162</v>
      </c>
      <c r="I105">
        <v>0</v>
      </c>
      <c r="J105">
        <v>3329192</v>
      </c>
      <c r="K105">
        <v>10173.796066000001</v>
      </c>
      <c r="L105">
        <v>3329178.9766370002</v>
      </c>
      <c r="M105">
        <f>_xlfn.XLOOKUP(E105, 'Model Modeshare by TAZ'!A:A, 'Model Modeshare by TAZ'!G:G,"0")</f>
        <v>221.3</v>
      </c>
      <c r="N105">
        <f>_xlfn.XLOOKUP(E105, 'Model Modeshare by TAZ'!A:A, 'Model Modeshare by TAZ'!E:E,"0")</f>
        <v>2991.66</v>
      </c>
      <c r="O105">
        <f>_xlfn.XLOOKUP(E105,'Model Modeshare by TAZ'!A:A,'Model Modeshare by TAZ'!F:F,"0")</f>
        <v>2161.14</v>
      </c>
      <c r="P105">
        <f>_xlfn.XLOOKUP(E105,'Model Modeshare by TAZ'!A:A,'Model Modeshare by TAZ'!J:J,"0")</f>
        <v>6122.78</v>
      </c>
    </row>
    <row r="106" spans="1:16" x14ac:dyDescent="0.35">
      <c r="A106">
        <v>106</v>
      </c>
      <c r="B106" t="s">
        <v>1161</v>
      </c>
      <c r="C106">
        <v>2658</v>
      </c>
      <c r="D106" s="120">
        <f>_xlfn.XLOOKUP(E106,'Model VMT by TAZ'!A:A,'Model VMT by TAZ'!E:E,0)</f>
        <v>60735.57</v>
      </c>
      <c r="E106" s="117">
        <v>1650</v>
      </c>
      <c r="F106" s="120" t="str">
        <f>_xlfn.XLOOKUP(E106, 'Action 1 Data'!B:B, 'Action 1 Data'!D:D, "0")</f>
        <v>0</v>
      </c>
      <c r="G106" t="s">
        <v>1162</v>
      </c>
      <c r="H106" t="s">
        <v>1162</v>
      </c>
      <c r="I106">
        <v>0</v>
      </c>
      <c r="J106">
        <v>3037322</v>
      </c>
      <c r="K106">
        <v>10169.095488000001</v>
      </c>
      <c r="L106">
        <v>3037309.4708779999</v>
      </c>
      <c r="M106">
        <f>_xlfn.XLOOKUP(E106, 'Model Modeshare by TAZ'!A:A, 'Model Modeshare by TAZ'!G:G,"0")</f>
        <v>377.46</v>
      </c>
      <c r="N106">
        <f>_xlfn.XLOOKUP(E106, 'Model Modeshare by TAZ'!A:A, 'Model Modeshare by TAZ'!E:E,"0")</f>
        <v>6540.46</v>
      </c>
      <c r="O106">
        <f>_xlfn.XLOOKUP(E106,'Model Modeshare by TAZ'!A:A,'Model Modeshare by TAZ'!F:F,"0")</f>
        <v>3583.88</v>
      </c>
      <c r="P106">
        <f>_xlfn.XLOOKUP(E106,'Model Modeshare by TAZ'!A:A,'Model Modeshare by TAZ'!J:J,"0")</f>
        <v>11846.1</v>
      </c>
    </row>
    <row r="107" spans="1:16" x14ac:dyDescent="0.35">
      <c r="A107">
        <v>107</v>
      </c>
      <c r="B107" t="s">
        <v>1161</v>
      </c>
      <c r="C107">
        <v>2659</v>
      </c>
      <c r="D107" s="120">
        <f>_xlfn.XLOOKUP(E107,'Model VMT by TAZ'!A:A,'Model VMT by TAZ'!E:E,0)</f>
        <v>135024.21</v>
      </c>
      <c r="E107" s="117">
        <v>1651</v>
      </c>
      <c r="F107" s="120">
        <f>_xlfn.XLOOKUP(E107, 'Action 1 Data'!B:B, 'Action 1 Data'!D:D, "0")</f>
        <v>1585</v>
      </c>
      <c r="G107" t="s">
        <v>1162</v>
      </c>
      <c r="H107" t="s">
        <v>1162</v>
      </c>
      <c r="I107">
        <v>0</v>
      </c>
      <c r="J107">
        <v>6077027</v>
      </c>
      <c r="K107">
        <v>13605.706652000001</v>
      </c>
      <c r="L107">
        <v>6077002.2390010003</v>
      </c>
      <c r="M107">
        <f>_xlfn.XLOOKUP(E107, 'Model Modeshare by TAZ'!A:A, 'Model Modeshare by TAZ'!G:G,"0")</f>
        <v>978.46</v>
      </c>
      <c r="N107">
        <f>_xlfn.XLOOKUP(E107, 'Model Modeshare by TAZ'!A:A, 'Model Modeshare by TAZ'!E:E,"0")</f>
        <v>15377.5</v>
      </c>
      <c r="O107">
        <f>_xlfn.XLOOKUP(E107,'Model Modeshare by TAZ'!A:A,'Model Modeshare by TAZ'!F:F,"0")</f>
        <v>7337.78</v>
      </c>
      <c r="P107">
        <f>_xlfn.XLOOKUP(E107,'Model Modeshare by TAZ'!A:A,'Model Modeshare by TAZ'!J:J,"0")</f>
        <v>27107.18</v>
      </c>
    </row>
    <row r="108" spans="1:16" x14ac:dyDescent="0.35">
      <c r="A108">
        <v>108</v>
      </c>
      <c r="B108" t="s">
        <v>1161</v>
      </c>
      <c r="C108">
        <v>2660</v>
      </c>
      <c r="D108" s="120">
        <f>_xlfn.XLOOKUP(E108,'Model VMT by TAZ'!A:A,'Model VMT by TAZ'!E:E,0)</f>
        <v>11121.92</v>
      </c>
      <c r="E108" s="117">
        <v>1603</v>
      </c>
      <c r="F108" s="120" t="str">
        <f>_xlfn.XLOOKUP(E108, 'Action 1 Data'!B:B, 'Action 1 Data'!D:D, "0")</f>
        <v>0</v>
      </c>
      <c r="G108" t="s">
        <v>1162</v>
      </c>
      <c r="H108" t="s">
        <v>1162</v>
      </c>
      <c r="I108">
        <v>0</v>
      </c>
      <c r="J108">
        <v>2714225</v>
      </c>
      <c r="K108">
        <v>7084.9141049999998</v>
      </c>
      <c r="L108">
        <v>2714213.7152320002</v>
      </c>
      <c r="M108">
        <f>_xlfn.XLOOKUP(E108, 'Model Modeshare by TAZ'!A:A, 'Model Modeshare by TAZ'!G:G,"0")</f>
        <v>86.08</v>
      </c>
      <c r="N108">
        <f>_xlfn.XLOOKUP(E108, 'Model Modeshare by TAZ'!A:A, 'Model Modeshare by TAZ'!E:E,"0")</f>
        <v>1011.32</v>
      </c>
      <c r="O108">
        <f>_xlfn.XLOOKUP(E108,'Model Modeshare by TAZ'!A:A,'Model Modeshare by TAZ'!F:F,"0")</f>
        <v>681.58</v>
      </c>
      <c r="P108">
        <f>_xlfn.XLOOKUP(E108,'Model Modeshare by TAZ'!A:A,'Model Modeshare by TAZ'!J:J,"0")</f>
        <v>2037.58</v>
      </c>
    </row>
    <row r="109" spans="1:16" x14ac:dyDescent="0.35">
      <c r="A109">
        <v>109</v>
      </c>
      <c r="B109" t="s">
        <v>1161</v>
      </c>
      <c r="C109">
        <v>2661</v>
      </c>
      <c r="D109" s="120">
        <f>_xlfn.XLOOKUP(E109,'Model VMT by TAZ'!A:A,'Model VMT by TAZ'!E:E,0)</f>
        <v>10630.82</v>
      </c>
      <c r="E109" s="117">
        <v>1527</v>
      </c>
      <c r="F109" s="120">
        <f>_xlfn.XLOOKUP(E109, 'Action 1 Data'!B:B, 'Action 1 Data'!D:D, "0")</f>
        <v>0</v>
      </c>
      <c r="G109" t="s">
        <v>1162</v>
      </c>
      <c r="H109" t="s">
        <v>1162</v>
      </c>
      <c r="I109">
        <v>0</v>
      </c>
      <c r="J109">
        <v>2363706</v>
      </c>
      <c r="K109">
        <v>6817.3090990000001</v>
      </c>
      <c r="L109">
        <v>2363696.3386229998</v>
      </c>
      <c r="M109">
        <f>_xlfn.XLOOKUP(E109, 'Model Modeshare by TAZ'!A:A, 'Model Modeshare by TAZ'!G:G,"0")</f>
        <v>12.66</v>
      </c>
      <c r="N109">
        <f>_xlfn.XLOOKUP(E109, 'Model Modeshare by TAZ'!A:A, 'Model Modeshare by TAZ'!E:E,"0")</f>
        <v>1047.74</v>
      </c>
      <c r="O109">
        <f>_xlfn.XLOOKUP(E109,'Model Modeshare by TAZ'!A:A,'Model Modeshare by TAZ'!F:F,"0")</f>
        <v>330.28</v>
      </c>
      <c r="P109">
        <f>_xlfn.XLOOKUP(E109,'Model Modeshare by TAZ'!A:A,'Model Modeshare by TAZ'!J:J,"0")</f>
        <v>1492.6</v>
      </c>
    </row>
    <row r="110" spans="1:16" x14ac:dyDescent="0.35">
      <c r="A110">
        <v>110</v>
      </c>
      <c r="B110" t="s">
        <v>1161</v>
      </c>
      <c r="C110">
        <v>2662</v>
      </c>
      <c r="D110" s="120">
        <f>_xlfn.XLOOKUP(E110,'Model VMT by TAZ'!A:A,'Model VMT by TAZ'!E:E,0)</f>
        <v>37847.75</v>
      </c>
      <c r="E110" s="117">
        <v>1524</v>
      </c>
      <c r="F110" s="120">
        <f>_xlfn.XLOOKUP(E110, 'Action 1 Data'!B:B, 'Action 1 Data'!D:D, "0")</f>
        <v>1578</v>
      </c>
      <c r="G110" t="s">
        <v>1162</v>
      </c>
      <c r="H110" t="s">
        <v>1162</v>
      </c>
      <c r="I110">
        <v>0</v>
      </c>
      <c r="J110">
        <v>2540662</v>
      </c>
      <c r="K110">
        <v>6259.4063079999996</v>
      </c>
      <c r="L110">
        <v>2540651.5434269998</v>
      </c>
      <c r="M110">
        <f>_xlfn.XLOOKUP(E110, 'Model Modeshare by TAZ'!A:A, 'Model Modeshare by TAZ'!G:G,"0")</f>
        <v>387.34</v>
      </c>
      <c r="N110">
        <f>_xlfn.XLOOKUP(E110, 'Model Modeshare by TAZ'!A:A, 'Model Modeshare by TAZ'!E:E,"0")</f>
        <v>3575.88</v>
      </c>
      <c r="O110">
        <f>_xlfn.XLOOKUP(E110,'Model Modeshare by TAZ'!A:A,'Model Modeshare by TAZ'!F:F,"0")</f>
        <v>2590.52</v>
      </c>
      <c r="P110">
        <f>_xlfn.XLOOKUP(E110,'Model Modeshare by TAZ'!A:A,'Model Modeshare by TAZ'!J:J,"0")</f>
        <v>7658.82</v>
      </c>
    </row>
    <row r="111" spans="1:16" x14ac:dyDescent="0.35">
      <c r="A111">
        <v>111</v>
      </c>
      <c r="B111" t="s">
        <v>1161</v>
      </c>
      <c r="C111">
        <v>2663</v>
      </c>
      <c r="D111" s="120">
        <f>_xlfn.XLOOKUP(E111,'Model VMT by TAZ'!A:A,'Model VMT by TAZ'!E:E,0)</f>
        <v>107162.11</v>
      </c>
      <c r="E111" s="117">
        <v>1600</v>
      </c>
      <c r="F111" s="120">
        <f>_xlfn.XLOOKUP(E111, 'Action 1 Data'!B:B, 'Action 1 Data'!D:D, "0")</f>
        <v>1663</v>
      </c>
      <c r="G111" t="s">
        <v>1162</v>
      </c>
      <c r="H111" t="s">
        <v>1162</v>
      </c>
      <c r="I111">
        <v>0</v>
      </c>
      <c r="J111">
        <v>2748815</v>
      </c>
      <c r="K111">
        <v>8269.2172609999998</v>
      </c>
      <c r="L111">
        <v>2748804.473979</v>
      </c>
      <c r="M111">
        <f>_xlfn.XLOOKUP(E111, 'Model Modeshare by TAZ'!A:A, 'Model Modeshare by TAZ'!G:G,"0")</f>
        <v>697.78</v>
      </c>
      <c r="N111">
        <f>_xlfn.XLOOKUP(E111, 'Model Modeshare by TAZ'!A:A, 'Model Modeshare by TAZ'!E:E,"0")</f>
        <v>10408.540000000001</v>
      </c>
      <c r="O111">
        <f>_xlfn.XLOOKUP(E111,'Model Modeshare by TAZ'!A:A,'Model Modeshare by TAZ'!F:F,"0")</f>
        <v>5671.22</v>
      </c>
      <c r="P111">
        <f>_xlfn.XLOOKUP(E111,'Model Modeshare by TAZ'!A:A,'Model Modeshare by TAZ'!J:J,"0")</f>
        <v>19112.560000000001</v>
      </c>
    </row>
    <row r="112" spans="1:16" x14ac:dyDescent="0.35">
      <c r="A112">
        <v>112</v>
      </c>
      <c r="B112" t="s">
        <v>1161</v>
      </c>
      <c r="C112">
        <v>2664</v>
      </c>
      <c r="D112" s="120">
        <f>_xlfn.XLOOKUP(E112,'Model VMT by TAZ'!A:A,'Model VMT by TAZ'!E:E,0)</f>
        <v>65605.100000000006</v>
      </c>
      <c r="E112" s="117">
        <v>1937</v>
      </c>
      <c r="F112" s="120" t="str">
        <f>_xlfn.XLOOKUP(E112, 'Action 1 Data'!B:B, 'Action 1 Data'!D:D, "0")</f>
        <v>0</v>
      </c>
      <c r="G112" t="s">
        <v>1162</v>
      </c>
      <c r="H112" t="s">
        <v>1162</v>
      </c>
      <c r="I112">
        <v>0</v>
      </c>
      <c r="J112">
        <v>2978035</v>
      </c>
      <c r="K112">
        <v>8507.4351709999992</v>
      </c>
      <c r="L112">
        <v>2978023.2106599999</v>
      </c>
      <c r="M112">
        <f>_xlfn.XLOOKUP(E112, 'Model Modeshare by TAZ'!A:A, 'Model Modeshare by TAZ'!G:G,"0")</f>
        <v>618.08000000000004</v>
      </c>
      <c r="N112">
        <f>_xlfn.XLOOKUP(E112, 'Model Modeshare by TAZ'!A:A, 'Model Modeshare by TAZ'!E:E,"0")</f>
        <v>5998.32</v>
      </c>
      <c r="O112">
        <f>_xlfn.XLOOKUP(E112,'Model Modeshare by TAZ'!A:A,'Model Modeshare by TAZ'!F:F,"0")</f>
        <v>4473.18</v>
      </c>
      <c r="P112">
        <f>_xlfn.XLOOKUP(E112,'Model Modeshare by TAZ'!A:A,'Model Modeshare by TAZ'!J:J,"0")</f>
        <v>12847.24</v>
      </c>
    </row>
    <row r="113" spans="1:16" x14ac:dyDescent="0.35">
      <c r="A113">
        <v>113</v>
      </c>
      <c r="B113" t="s">
        <v>1161</v>
      </c>
      <c r="C113">
        <v>2666</v>
      </c>
      <c r="D113" s="120">
        <f>_xlfn.XLOOKUP(E113,'Model VMT by TAZ'!A:A,'Model VMT by TAZ'!E:E,0)</f>
        <v>40236.639999999999</v>
      </c>
      <c r="E113" s="117">
        <v>1523</v>
      </c>
      <c r="F113" s="120" t="str">
        <f>_xlfn.XLOOKUP(E113, 'Action 1 Data'!B:B, 'Action 1 Data'!D:D, "0")</f>
        <v>0</v>
      </c>
      <c r="G113" t="s">
        <v>1162</v>
      </c>
      <c r="H113" t="s">
        <v>1162</v>
      </c>
      <c r="I113">
        <v>0</v>
      </c>
      <c r="J113">
        <v>8352107</v>
      </c>
      <c r="K113">
        <v>18708.218725999999</v>
      </c>
      <c r="L113">
        <v>8352073.5159059996</v>
      </c>
      <c r="M113">
        <f>_xlfn.XLOOKUP(E113, 'Model Modeshare by TAZ'!A:A, 'Model Modeshare by TAZ'!G:G,"0")</f>
        <v>176.64</v>
      </c>
      <c r="N113">
        <f>_xlfn.XLOOKUP(E113, 'Model Modeshare by TAZ'!A:A, 'Model Modeshare by TAZ'!E:E,"0")</f>
        <v>5608.52</v>
      </c>
      <c r="O113">
        <f>_xlfn.XLOOKUP(E113,'Model Modeshare by TAZ'!A:A,'Model Modeshare by TAZ'!F:F,"0")</f>
        <v>3278.92</v>
      </c>
      <c r="P113">
        <f>_xlfn.XLOOKUP(E113,'Model Modeshare by TAZ'!A:A,'Model Modeshare by TAZ'!J:J,"0")</f>
        <v>11723.76</v>
      </c>
    </row>
    <row r="114" spans="1:16" x14ac:dyDescent="0.35">
      <c r="A114">
        <v>114</v>
      </c>
      <c r="B114" t="s">
        <v>1161</v>
      </c>
      <c r="C114">
        <v>2667</v>
      </c>
      <c r="D114" s="120">
        <f>_xlfn.XLOOKUP(E114,'Model VMT by TAZ'!A:A,'Model VMT by TAZ'!E:E,0)</f>
        <v>48527.040000000001</v>
      </c>
      <c r="E114" s="117">
        <v>1508</v>
      </c>
      <c r="F114" s="120" t="str">
        <f>_xlfn.XLOOKUP(E114, 'Action 1 Data'!B:B, 'Action 1 Data'!D:D, "0")</f>
        <v>0</v>
      </c>
      <c r="G114" t="s">
        <v>1162</v>
      </c>
      <c r="H114" t="s">
        <v>1162</v>
      </c>
      <c r="I114">
        <v>0</v>
      </c>
      <c r="J114">
        <v>5632082</v>
      </c>
      <c r="K114">
        <v>14679.545545000001</v>
      </c>
      <c r="L114">
        <v>5632059.146071</v>
      </c>
      <c r="M114">
        <f>_xlfn.XLOOKUP(E114, 'Model Modeshare by TAZ'!A:A, 'Model Modeshare by TAZ'!G:G,"0")</f>
        <v>387.58</v>
      </c>
      <c r="N114">
        <f>_xlfn.XLOOKUP(E114, 'Model Modeshare by TAZ'!A:A, 'Model Modeshare by TAZ'!E:E,"0")</f>
        <v>5112.26</v>
      </c>
      <c r="O114">
        <f>_xlfn.XLOOKUP(E114,'Model Modeshare by TAZ'!A:A,'Model Modeshare by TAZ'!F:F,"0")</f>
        <v>3437.9</v>
      </c>
      <c r="P114">
        <f>_xlfn.XLOOKUP(E114,'Model Modeshare by TAZ'!A:A,'Model Modeshare by TAZ'!J:J,"0")</f>
        <v>10323.82</v>
      </c>
    </row>
    <row r="115" spans="1:16" x14ac:dyDescent="0.35">
      <c r="A115">
        <v>115</v>
      </c>
      <c r="B115" t="s">
        <v>1161</v>
      </c>
      <c r="C115">
        <v>2668</v>
      </c>
      <c r="D115" s="120">
        <f>_xlfn.XLOOKUP(E115,'Model VMT by TAZ'!A:A,'Model VMT by TAZ'!E:E,0)</f>
        <v>2889.64</v>
      </c>
      <c r="E115" s="117">
        <v>1645</v>
      </c>
      <c r="F115" s="120" t="str">
        <f>_xlfn.XLOOKUP(E115, 'Action 1 Data'!B:B, 'Action 1 Data'!D:D, "0")</f>
        <v>0</v>
      </c>
      <c r="G115" t="s">
        <v>1162</v>
      </c>
      <c r="H115" t="s">
        <v>1162</v>
      </c>
      <c r="I115">
        <v>0</v>
      </c>
      <c r="J115">
        <v>7081159</v>
      </c>
      <c r="K115">
        <v>14768.581942999999</v>
      </c>
      <c r="L115">
        <v>7081130.2406249996</v>
      </c>
      <c r="M115">
        <f>_xlfn.XLOOKUP(E115, 'Model Modeshare by TAZ'!A:A, 'Model Modeshare by TAZ'!G:G,"0")</f>
        <v>3.1</v>
      </c>
      <c r="N115">
        <f>_xlfn.XLOOKUP(E115, 'Model Modeshare by TAZ'!A:A, 'Model Modeshare by TAZ'!E:E,"0")</f>
        <v>307.32</v>
      </c>
      <c r="O115">
        <f>_xlfn.XLOOKUP(E115,'Model Modeshare by TAZ'!A:A,'Model Modeshare by TAZ'!F:F,"0")</f>
        <v>102.04</v>
      </c>
      <c r="P115">
        <f>_xlfn.XLOOKUP(E115,'Model Modeshare by TAZ'!A:A,'Model Modeshare by TAZ'!J:J,"0")</f>
        <v>455.84</v>
      </c>
    </row>
    <row r="116" spans="1:16" x14ac:dyDescent="0.35">
      <c r="A116">
        <v>116</v>
      </c>
      <c r="B116" t="s">
        <v>1161</v>
      </c>
      <c r="C116">
        <v>2669</v>
      </c>
      <c r="D116" s="120">
        <f>_xlfn.XLOOKUP(E116,'Model VMT by TAZ'!A:A,'Model VMT by TAZ'!E:E,0)</f>
        <v>102440.68</v>
      </c>
      <c r="E116" s="117">
        <v>1646</v>
      </c>
      <c r="F116" s="120">
        <f>_xlfn.XLOOKUP(E116, 'Action 1 Data'!B:B, 'Action 1 Data'!D:D, "0")</f>
        <v>73</v>
      </c>
      <c r="G116" t="s">
        <v>1162</v>
      </c>
      <c r="H116" t="s">
        <v>1162</v>
      </c>
      <c r="I116">
        <v>0</v>
      </c>
      <c r="J116">
        <v>5992428</v>
      </c>
      <c r="K116">
        <v>11503.756969</v>
      </c>
      <c r="L116">
        <v>5992404.4262760002</v>
      </c>
      <c r="M116">
        <f>_xlfn.XLOOKUP(E116, 'Model Modeshare by TAZ'!A:A, 'Model Modeshare by TAZ'!G:G,"0")</f>
        <v>355.16</v>
      </c>
      <c r="N116">
        <f>_xlfn.XLOOKUP(E116, 'Model Modeshare by TAZ'!A:A, 'Model Modeshare by TAZ'!E:E,"0")</f>
        <v>10224.64</v>
      </c>
      <c r="O116">
        <f>_xlfn.XLOOKUP(E116,'Model Modeshare by TAZ'!A:A,'Model Modeshare by TAZ'!F:F,"0")</f>
        <v>3399.82</v>
      </c>
      <c r="P116">
        <f>_xlfn.XLOOKUP(E116,'Model Modeshare by TAZ'!A:A,'Model Modeshare by TAZ'!J:J,"0")</f>
        <v>15303.22</v>
      </c>
    </row>
    <row r="117" spans="1:16" x14ac:dyDescent="0.35">
      <c r="A117">
        <v>117</v>
      </c>
      <c r="B117" t="s">
        <v>1161</v>
      </c>
      <c r="C117">
        <v>2670</v>
      </c>
      <c r="D117" s="120">
        <f>_xlfn.XLOOKUP(E117,'Model VMT by TAZ'!A:A,'Model VMT by TAZ'!E:E,0)</f>
        <v>48677.58</v>
      </c>
      <c r="E117" s="117">
        <v>1522</v>
      </c>
      <c r="F117" s="120" t="str">
        <f>_xlfn.XLOOKUP(E117, 'Action 1 Data'!B:B, 'Action 1 Data'!D:D, "0")</f>
        <v>0</v>
      </c>
      <c r="G117" t="s">
        <v>1162</v>
      </c>
      <c r="H117" t="s">
        <v>1162</v>
      </c>
      <c r="I117">
        <v>0</v>
      </c>
      <c r="J117">
        <v>2432500</v>
      </c>
      <c r="K117">
        <v>6196.0654169999998</v>
      </c>
      <c r="L117">
        <v>2432489.8029990001</v>
      </c>
      <c r="M117">
        <f>_xlfn.XLOOKUP(E117, 'Model Modeshare by TAZ'!A:A, 'Model Modeshare by TAZ'!G:G,"0")</f>
        <v>300.54000000000002</v>
      </c>
      <c r="N117">
        <f>_xlfn.XLOOKUP(E117, 'Model Modeshare by TAZ'!A:A, 'Model Modeshare by TAZ'!E:E,"0")</f>
        <v>3782.92</v>
      </c>
      <c r="O117">
        <f>_xlfn.XLOOKUP(E117,'Model Modeshare by TAZ'!A:A,'Model Modeshare by TAZ'!F:F,"0")</f>
        <v>2204.16</v>
      </c>
      <c r="P117">
        <f>_xlfn.XLOOKUP(E117,'Model Modeshare by TAZ'!A:A,'Model Modeshare by TAZ'!J:J,"0")</f>
        <v>7072.44</v>
      </c>
    </row>
    <row r="118" spans="1:16" x14ac:dyDescent="0.35">
      <c r="A118">
        <v>118</v>
      </c>
      <c r="B118" t="s">
        <v>1161</v>
      </c>
      <c r="C118">
        <v>2677</v>
      </c>
      <c r="D118" s="120">
        <f>_xlfn.XLOOKUP(E118,'Model VMT by TAZ'!A:A,'Model VMT by TAZ'!E:E,0)</f>
        <v>58545.32</v>
      </c>
      <c r="E118" s="117">
        <v>1589</v>
      </c>
      <c r="F118" s="120" t="str">
        <f>_xlfn.XLOOKUP(E118, 'Action 1 Data'!B:B, 'Action 1 Data'!D:D, "0")</f>
        <v>0</v>
      </c>
      <c r="G118" t="s">
        <v>1162</v>
      </c>
      <c r="H118" t="s">
        <v>1162</v>
      </c>
      <c r="I118">
        <v>0</v>
      </c>
      <c r="J118">
        <v>3129651</v>
      </c>
      <c r="K118">
        <v>7406.0324899999996</v>
      </c>
      <c r="L118">
        <v>3129638.817336</v>
      </c>
      <c r="M118">
        <f>_xlfn.XLOOKUP(E118, 'Model Modeshare by TAZ'!A:A, 'Model Modeshare by TAZ'!G:G,"0")</f>
        <v>662.32</v>
      </c>
      <c r="N118">
        <f>_xlfn.XLOOKUP(E118, 'Model Modeshare by TAZ'!A:A, 'Model Modeshare by TAZ'!E:E,"0")</f>
        <v>5095.3</v>
      </c>
      <c r="O118">
        <f>_xlfn.XLOOKUP(E118,'Model Modeshare by TAZ'!A:A,'Model Modeshare by TAZ'!F:F,"0")</f>
        <v>3222.94</v>
      </c>
      <c r="P118">
        <f>_xlfn.XLOOKUP(E118,'Model Modeshare by TAZ'!A:A,'Model Modeshare by TAZ'!J:J,"0")</f>
        <v>10384.879999999999</v>
      </c>
    </row>
    <row r="119" spans="1:16" x14ac:dyDescent="0.35">
      <c r="A119">
        <v>119</v>
      </c>
      <c r="B119" t="s">
        <v>1161</v>
      </c>
      <c r="C119">
        <v>2678</v>
      </c>
      <c r="D119" s="120">
        <f>_xlfn.XLOOKUP(E119,'Model VMT by TAZ'!A:A,'Model VMT by TAZ'!E:E,0)</f>
        <v>27640.32</v>
      </c>
      <c r="E119" s="117">
        <v>1511</v>
      </c>
      <c r="F119" s="120" t="str">
        <f>_xlfn.XLOOKUP(E119, 'Action 1 Data'!B:B, 'Action 1 Data'!D:D, "0")</f>
        <v>0</v>
      </c>
      <c r="G119" t="s">
        <v>1162</v>
      </c>
      <c r="H119" t="s">
        <v>1162</v>
      </c>
      <c r="I119">
        <v>0</v>
      </c>
      <c r="J119">
        <v>4245236</v>
      </c>
      <c r="K119">
        <v>11571.242591</v>
      </c>
      <c r="L119">
        <v>4245219.1632200005</v>
      </c>
      <c r="M119">
        <f>_xlfn.XLOOKUP(E119, 'Model Modeshare by TAZ'!A:A, 'Model Modeshare by TAZ'!G:G,"0")</f>
        <v>215.9</v>
      </c>
      <c r="N119">
        <f>_xlfn.XLOOKUP(E119, 'Model Modeshare by TAZ'!A:A, 'Model Modeshare by TAZ'!E:E,"0")</f>
        <v>2731.02</v>
      </c>
      <c r="O119">
        <f>_xlfn.XLOOKUP(E119,'Model Modeshare by TAZ'!A:A,'Model Modeshare by TAZ'!F:F,"0")</f>
        <v>2133.8200000000002</v>
      </c>
      <c r="P119">
        <f>_xlfn.XLOOKUP(E119,'Model Modeshare by TAZ'!A:A,'Model Modeshare by TAZ'!J:J,"0")</f>
        <v>6033.38</v>
      </c>
    </row>
    <row r="120" spans="1:16" x14ac:dyDescent="0.35">
      <c r="A120">
        <v>120</v>
      </c>
      <c r="B120" t="s">
        <v>1161</v>
      </c>
      <c r="C120">
        <v>2679</v>
      </c>
      <c r="D120" s="120">
        <f>_xlfn.XLOOKUP(E120,'Model VMT by TAZ'!A:A,'Model VMT by TAZ'!E:E,0)</f>
        <v>41778.269999999997</v>
      </c>
      <c r="E120" s="117">
        <v>1509</v>
      </c>
      <c r="F120" s="120" t="str">
        <f>_xlfn.XLOOKUP(E120, 'Action 1 Data'!B:B, 'Action 1 Data'!D:D, "0")</f>
        <v>0</v>
      </c>
      <c r="G120" t="s">
        <v>1162</v>
      </c>
      <c r="H120" t="s">
        <v>1162</v>
      </c>
      <c r="I120">
        <v>0</v>
      </c>
      <c r="J120">
        <v>8513759</v>
      </c>
      <c r="K120">
        <v>14384.965783</v>
      </c>
      <c r="L120">
        <v>8513725.0475570001</v>
      </c>
      <c r="M120">
        <f>_xlfn.XLOOKUP(E120, 'Model Modeshare by TAZ'!A:A, 'Model Modeshare by TAZ'!G:G,"0")</f>
        <v>454.74</v>
      </c>
      <c r="N120">
        <f>_xlfn.XLOOKUP(E120, 'Model Modeshare by TAZ'!A:A, 'Model Modeshare by TAZ'!E:E,"0")</f>
        <v>8501.2199999999993</v>
      </c>
      <c r="O120">
        <f>_xlfn.XLOOKUP(E120,'Model Modeshare by TAZ'!A:A,'Model Modeshare by TAZ'!F:F,"0")</f>
        <v>4948.8</v>
      </c>
      <c r="P120">
        <f>_xlfn.XLOOKUP(E120,'Model Modeshare by TAZ'!A:A,'Model Modeshare by TAZ'!J:J,"0")</f>
        <v>18126.66</v>
      </c>
    </row>
    <row r="121" spans="1:16" x14ac:dyDescent="0.35">
      <c r="A121">
        <v>121</v>
      </c>
      <c r="B121" t="s">
        <v>1161</v>
      </c>
      <c r="C121">
        <v>2681</v>
      </c>
      <c r="D121" s="120">
        <f>_xlfn.XLOOKUP(E121,'Model VMT by TAZ'!A:A,'Model VMT by TAZ'!E:E,0)</f>
        <v>42367.839999999997</v>
      </c>
      <c r="E121" s="117">
        <v>1498</v>
      </c>
      <c r="F121" s="120" t="str">
        <f>_xlfn.XLOOKUP(E121, 'Action 1 Data'!B:B, 'Action 1 Data'!D:D, "0")</f>
        <v>0</v>
      </c>
      <c r="G121" t="s">
        <v>1162</v>
      </c>
      <c r="H121" t="s">
        <v>1162</v>
      </c>
      <c r="I121">
        <v>0</v>
      </c>
      <c r="J121">
        <v>3112901</v>
      </c>
      <c r="K121">
        <v>8441.7717749999993</v>
      </c>
      <c r="L121">
        <v>3112888.4643310001</v>
      </c>
      <c r="M121">
        <f>_xlfn.XLOOKUP(E121, 'Model Modeshare by TAZ'!A:A, 'Model Modeshare by TAZ'!G:G,"0")</f>
        <v>482.78</v>
      </c>
      <c r="N121">
        <f>_xlfn.XLOOKUP(E121, 'Model Modeshare by TAZ'!A:A, 'Model Modeshare by TAZ'!E:E,"0")</f>
        <v>3954.22</v>
      </c>
      <c r="O121">
        <f>_xlfn.XLOOKUP(E121,'Model Modeshare by TAZ'!A:A,'Model Modeshare by TAZ'!F:F,"0")</f>
        <v>2507.98</v>
      </c>
      <c r="P121">
        <f>_xlfn.XLOOKUP(E121,'Model Modeshare by TAZ'!A:A,'Model Modeshare by TAZ'!J:J,"0")</f>
        <v>8211.9</v>
      </c>
    </row>
    <row r="122" spans="1:16" x14ac:dyDescent="0.35">
      <c r="A122">
        <v>122</v>
      </c>
      <c r="B122" t="s">
        <v>1161</v>
      </c>
      <c r="C122">
        <v>2682</v>
      </c>
      <c r="D122" s="120">
        <f>_xlfn.XLOOKUP(E122,'Model VMT by TAZ'!A:A,'Model VMT by TAZ'!E:E,0)</f>
        <v>34280.28</v>
      </c>
      <c r="E122" s="117">
        <v>1590</v>
      </c>
      <c r="F122" s="120" t="str">
        <f>_xlfn.XLOOKUP(E122, 'Action 1 Data'!B:B, 'Action 1 Data'!D:D, "0")</f>
        <v>0</v>
      </c>
      <c r="G122" t="s">
        <v>1162</v>
      </c>
      <c r="H122" t="s">
        <v>1162</v>
      </c>
      <c r="I122">
        <v>0</v>
      </c>
      <c r="J122">
        <v>3809694</v>
      </c>
      <c r="K122">
        <v>9014.2912269999997</v>
      </c>
      <c r="L122">
        <v>3809678.8816610002</v>
      </c>
      <c r="M122">
        <f>_xlfn.XLOOKUP(E122, 'Model Modeshare by TAZ'!A:A, 'Model Modeshare by TAZ'!G:G,"0")</f>
        <v>359.46</v>
      </c>
      <c r="N122">
        <f>_xlfn.XLOOKUP(E122, 'Model Modeshare by TAZ'!A:A, 'Model Modeshare by TAZ'!E:E,"0")</f>
        <v>3949.44</v>
      </c>
      <c r="O122">
        <f>_xlfn.XLOOKUP(E122,'Model Modeshare by TAZ'!A:A,'Model Modeshare by TAZ'!F:F,"0")</f>
        <v>1899.68</v>
      </c>
      <c r="P122">
        <f>_xlfn.XLOOKUP(E122,'Model Modeshare by TAZ'!A:A,'Model Modeshare by TAZ'!J:J,"0")</f>
        <v>7162.98</v>
      </c>
    </row>
    <row r="123" spans="1:16" x14ac:dyDescent="0.35">
      <c r="A123">
        <v>123</v>
      </c>
      <c r="B123" t="s">
        <v>1161</v>
      </c>
      <c r="C123">
        <v>2683</v>
      </c>
      <c r="D123" s="120">
        <f>_xlfn.XLOOKUP(E123,'Model VMT by TAZ'!A:A,'Model VMT by TAZ'!E:E,0)</f>
        <v>68140.600000000006</v>
      </c>
      <c r="E123" s="117">
        <v>1500</v>
      </c>
      <c r="F123" s="120" t="str">
        <f>_xlfn.XLOOKUP(E123, 'Action 1 Data'!B:B, 'Action 1 Data'!D:D, "0")</f>
        <v>0</v>
      </c>
      <c r="G123" t="s">
        <v>1162</v>
      </c>
      <c r="H123" t="s">
        <v>1162</v>
      </c>
      <c r="I123">
        <v>0</v>
      </c>
      <c r="J123">
        <v>2132208</v>
      </c>
      <c r="K123">
        <v>8812.9721829999999</v>
      </c>
      <c r="L123">
        <v>2132199.8092009998</v>
      </c>
      <c r="M123">
        <f>_xlfn.XLOOKUP(E123, 'Model Modeshare by TAZ'!A:A, 'Model Modeshare by TAZ'!G:G,"0")</f>
        <v>971.82</v>
      </c>
      <c r="N123">
        <f>_xlfn.XLOOKUP(E123, 'Model Modeshare by TAZ'!A:A, 'Model Modeshare by TAZ'!E:E,"0")</f>
        <v>8500.7999999999993</v>
      </c>
      <c r="O123">
        <f>_xlfn.XLOOKUP(E123,'Model Modeshare by TAZ'!A:A,'Model Modeshare by TAZ'!F:F,"0")</f>
        <v>5191.18</v>
      </c>
      <c r="P123">
        <f>_xlfn.XLOOKUP(E123,'Model Modeshare by TAZ'!A:A,'Model Modeshare by TAZ'!J:J,"0")</f>
        <v>17160.38</v>
      </c>
    </row>
    <row r="124" spans="1:16" x14ac:dyDescent="0.35">
      <c r="A124">
        <v>124</v>
      </c>
      <c r="B124" t="s">
        <v>1161</v>
      </c>
      <c r="C124">
        <v>2684</v>
      </c>
      <c r="D124" s="120">
        <f>_xlfn.XLOOKUP(E124,'Model VMT by TAZ'!A:A,'Model VMT by TAZ'!E:E,0)</f>
        <v>60841.3</v>
      </c>
      <c r="E124" s="117">
        <v>1492</v>
      </c>
      <c r="F124" s="120" t="str">
        <f>_xlfn.XLOOKUP(E124, 'Action 1 Data'!B:B, 'Action 1 Data'!D:D, "0")</f>
        <v>0</v>
      </c>
      <c r="G124" t="s">
        <v>1162</v>
      </c>
      <c r="H124" t="s">
        <v>1162</v>
      </c>
      <c r="I124">
        <v>0</v>
      </c>
      <c r="J124">
        <v>9675026</v>
      </c>
      <c r="K124">
        <v>15178.998820000001</v>
      </c>
      <c r="L124">
        <v>9674986.9366219994</v>
      </c>
      <c r="M124">
        <f>_xlfn.XLOOKUP(E124, 'Model Modeshare by TAZ'!A:A, 'Model Modeshare by TAZ'!G:G,"0")</f>
        <v>724.46</v>
      </c>
      <c r="N124">
        <f>_xlfn.XLOOKUP(E124, 'Model Modeshare by TAZ'!A:A, 'Model Modeshare by TAZ'!E:E,"0")</f>
        <v>5806.2</v>
      </c>
      <c r="O124">
        <f>_xlfn.XLOOKUP(E124,'Model Modeshare by TAZ'!A:A,'Model Modeshare by TAZ'!F:F,"0")</f>
        <v>4399.08</v>
      </c>
      <c r="P124">
        <f>_xlfn.XLOOKUP(E124,'Model Modeshare by TAZ'!A:A,'Model Modeshare by TAZ'!J:J,"0")</f>
        <v>12843.6</v>
      </c>
    </row>
    <row r="125" spans="1:16" x14ac:dyDescent="0.35">
      <c r="A125">
        <v>125</v>
      </c>
      <c r="B125" t="s">
        <v>1161</v>
      </c>
      <c r="C125">
        <v>2685</v>
      </c>
      <c r="D125" s="120">
        <f>_xlfn.XLOOKUP(E125,'Model VMT by TAZ'!A:A,'Model VMT by TAZ'!E:E,0)</f>
        <v>71543.23</v>
      </c>
      <c r="E125" s="117">
        <v>1499</v>
      </c>
      <c r="F125" s="120" t="str">
        <f>_xlfn.XLOOKUP(E125, 'Action 1 Data'!B:B, 'Action 1 Data'!D:D, "0")</f>
        <v>0</v>
      </c>
      <c r="G125" t="s">
        <v>1162</v>
      </c>
      <c r="H125" t="s">
        <v>1162</v>
      </c>
      <c r="I125">
        <v>0</v>
      </c>
      <c r="J125">
        <v>4247716</v>
      </c>
      <c r="K125">
        <v>8993.7027589999998</v>
      </c>
      <c r="L125">
        <v>4247699.4580870001</v>
      </c>
      <c r="M125">
        <f>_xlfn.XLOOKUP(E125, 'Model Modeshare by TAZ'!A:A, 'Model Modeshare by TAZ'!G:G,"0")</f>
        <v>570.32000000000005</v>
      </c>
      <c r="N125">
        <f>_xlfn.XLOOKUP(E125, 'Model Modeshare by TAZ'!A:A, 'Model Modeshare by TAZ'!E:E,"0")</f>
        <v>7059.78</v>
      </c>
      <c r="O125">
        <f>_xlfn.XLOOKUP(E125,'Model Modeshare by TAZ'!A:A,'Model Modeshare by TAZ'!F:F,"0")</f>
        <v>5150.9799999999996</v>
      </c>
      <c r="P125">
        <f>_xlfn.XLOOKUP(E125,'Model Modeshare by TAZ'!A:A,'Model Modeshare by TAZ'!J:J,"0")</f>
        <v>14466.36</v>
      </c>
    </row>
    <row r="126" spans="1:16" x14ac:dyDescent="0.35">
      <c r="A126">
        <v>126</v>
      </c>
      <c r="B126" t="s">
        <v>1161</v>
      </c>
      <c r="C126">
        <v>2686</v>
      </c>
      <c r="D126" s="120">
        <f>_xlfn.XLOOKUP(E126,'Model VMT by TAZ'!A:A,'Model VMT by TAZ'!E:E,0)</f>
        <v>41054.879999999997</v>
      </c>
      <c r="E126" s="117">
        <v>1497</v>
      </c>
      <c r="F126" s="120" t="str">
        <f>_xlfn.XLOOKUP(E126, 'Action 1 Data'!B:B, 'Action 1 Data'!D:D, "0")</f>
        <v>0</v>
      </c>
      <c r="G126" t="s">
        <v>1162</v>
      </c>
      <c r="H126" t="s">
        <v>1162</v>
      </c>
      <c r="I126">
        <v>0</v>
      </c>
      <c r="J126">
        <v>33148532</v>
      </c>
      <c r="K126">
        <v>25810.650278000001</v>
      </c>
      <c r="L126">
        <v>33148399.795398999</v>
      </c>
      <c r="M126">
        <f>_xlfn.XLOOKUP(E126, 'Model Modeshare by TAZ'!A:A, 'Model Modeshare by TAZ'!G:G,"0")</f>
        <v>351.4</v>
      </c>
      <c r="N126">
        <f>_xlfn.XLOOKUP(E126, 'Model Modeshare by TAZ'!A:A, 'Model Modeshare by TAZ'!E:E,"0")</f>
        <v>4853.92</v>
      </c>
      <c r="O126">
        <f>_xlfn.XLOOKUP(E126,'Model Modeshare by TAZ'!A:A,'Model Modeshare by TAZ'!F:F,"0")</f>
        <v>2511.46</v>
      </c>
      <c r="P126">
        <f>_xlfn.XLOOKUP(E126,'Model Modeshare by TAZ'!A:A,'Model Modeshare by TAZ'!J:J,"0")</f>
        <v>9270.76</v>
      </c>
    </row>
    <row r="127" spans="1:16" x14ac:dyDescent="0.35">
      <c r="A127">
        <v>127</v>
      </c>
      <c r="B127" t="s">
        <v>1161</v>
      </c>
      <c r="C127">
        <v>2696</v>
      </c>
      <c r="D127" s="120">
        <f>_xlfn.XLOOKUP(E127,'Model VMT by TAZ'!A:A,'Model VMT by TAZ'!E:E,0)</f>
        <v>162922.60999999999</v>
      </c>
      <c r="E127" s="117">
        <v>1529</v>
      </c>
      <c r="F127" s="120">
        <f>_xlfn.XLOOKUP(E127, 'Action 1 Data'!B:B, 'Action 1 Data'!D:D, "0")</f>
        <v>1628</v>
      </c>
      <c r="G127" t="s">
        <v>1162</v>
      </c>
      <c r="H127" t="s">
        <v>1162</v>
      </c>
      <c r="I127">
        <v>0</v>
      </c>
      <c r="J127">
        <v>4898220</v>
      </c>
      <c r="K127">
        <v>10912.931019</v>
      </c>
      <c r="L127">
        <v>4898200.3576339995</v>
      </c>
      <c r="M127">
        <f>_xlfn.XLOOKUP(E127, 'Model Modeshare by TAZ'!A:A, 'Model Modeshare by TAZ'!G:G,"0")</f>
        <v>1040.08</v>
      </c>
      <c r="N127">
        <f>_xlfn.XLOOKUP(E127, 'Model Modeshare by TAZ'!A:A, 'Model Modeshare by TAZ'!E:E,"0")</f>
        <v>15264.34</v>
      </c>
      <c r="O127">
        <f>_xlfn.XLOOKUP(E127,'Model Modeshare by TAZ'!A:A,'Model Modeshare by TAZ'!F:F,"0")</f>
        <v>5722.18</v>
      </c>
      <c r="P127">
        <f>_xlfn.XLOOKUP(E127,'Model Modeshare by TAZ'!A:A,'Model Modeshare by TAZ'!J:J,"0")</f>
        <v>27044.36</v>
      </c>
    </row>
    <row r="128" spans="1:16" x14ac:dyDescent="0.35">
      <c r="A128">
        <v>128</v>
      </c>
      <c r="B128" t="s">
        <v>1161</v>
      </c>
      <c r="C128">
        <v>2698</v>
      </c>
      <c r="D128" s="120">
        <f>_xlfn.XLOOKUP(E128,'Model VMT by TAZ'!A:A,'Model VMT by TAZ'!E:E,0)</f>
        <v>21227.52</v>
      </c>
      <c r="E128" s="117">
        <v>1528</v>
      </c>
      <c r="F128" s="120">
        <f>_xlfn.XLOOKUP(E128, 'Action 1 Data'!B:B, 'Action 1 Data'!D:D, "0")</f>
        <v>874</v>
      </c>
      <c r="G128" t="s">
        <v>1162</v>
      </c>
      <c r="H128" t="s">
        <v>1162</v>
      </c>
      <c r="I128">
        <v>0</v>
      </c>
      <c r="J128">
        <v>4615775</v>
      </c>
      <c r="K128">
        <v>9886.4237240000002</v>
      </c>
      <c r="L128">
        <v>4615756.7737870002</v>
      </c>
      <c r="M128">
        <f>_xlfn.XLOOKUP(E128, 'Model Modeshare by TAZ'!A:A, 'Model Modeshare by TAZ'!G:G,"0")</f>
        <v>161.74</v>
      </c>
      <c r="N128">
        <f>_xlfn.XLOOKUP(E128, 'Model Modeshare by TAZ'!A:A, 'Model Modeshare by TAZ'!E:E,"0")</f>
        <v>2990.7</v>
      </c>
      <c r="O128">
        <f>_xlfn.XLOOKUP(E128,'Model Modeshare by TAZ'!A:A,'Model Modeshare by TAZ'!F:F,"0")</f>
        <v>1984.48</v>
      </c>
      <c r="P128">
        <f>_xlfn.XLOOKUP(E128,'Model Modeshare by TAZ'!A:A,'Model Modeshare by TAZ'!J:J,"0")</f>
        <v>6962.08</v>
      </c>
    </row>
    <row r="129" spans="1:16" x14ac:dyDescent="0.35">
      <c r="A129">
        <v>129</v>
      </c>
      <c r="B129" t="s">
        <v>1161</v>
      </c>
      <c r="C129">
        <v>2700</v>
      </c>
      <c r="D129" s="120">
        <f>_xlfn.XLOOKUP(E129,'Model VMT by TAZ'!A:A,'Model VMT by TAZ'!E:E,0)</f>
        <v>41674.65</v>
      </c>
      <c r="E129" s="117">
        <v>1534</v>
      </c>
      <c r="F129" s="120">
        <f>_xlfn.XLOOKUP(E129, 'Action 1 Data'!B:B, 'Action 1 Data'!D:D, "0")</f>
        <v>1548</v>
      </c>
      <c r="G129" t="s">
        <v>1162</v>
      </c>
      <c r="H129" t="s">
        <v>1162</v>
      </c>
      <c r="I129">
        <v>0</v>
      </c>
      <c r="J129">
        <v>18421840</v>
      </c>
      <c r="K129">
        <v>29724.264662000001</v>
      </c>
      <c r="L129">
        <v>18421766.435952999</v>
      </c>
      <c r="M129">
        <f>_xlfn.XLOOKUP(E129, 'Model Modeshare by TAZ'!A:A, 'Model Modeshare by TAZ'!G:G,"0")</f>
        <v>94.06</v>
      </c>
      <c r="N129">
        <f>_xlfn.XLOOKUP(E129, 'Model Modeshare by TAZ'!A:A, 'Model Modeshare by TAZ'!E:E,"0")</f>
        <v>3087.72</v>
      </c>
      <c r="O129">
        <f>_xlfn.XLOOKUP(E129,'Model Modeshare by TAZ'!A:A,'Model Modeshare by TAZ'!F:F,"0")</f>
        <v>2353.8200000000002</v>
      </c>
      <c r="P129">
        <f>_xlfn.XLOOKUP(E129,'Model Modeshare by TAZ'!A:A,'Model Modeshare by TAZ'!J:J,"0")</f>
        <v>5967.26</v>
      </c>
    </row>
    <row r="130" spans="1:16" x14ac:dyDescent="0.35">
      <c r="A130">
        <v>130</v>
      </c>
      <c r="B130" t="s">
        <v>1161</v>
      </c>
      <c r="C130">
        <v>2701</v>
      </c>
      <c r="D130" s="120">
        <f>_xlfn.XLOOKUP(E130,'Model VMT by TAZ'!A:A,'Model VMT by TAZ'!E:E,0)</f>
        <v>74560.72</v>
      </c>
      <c r="E130" s="117">
        <v>1532</v>
      </c>
      <c r="F130" s="120">
        <f>_xlfn.XLOOKUP(E130, 'Action 1 Data'!B:B, 'Action 1 Data'!D:D, "0")</f>
        <v>2176</v>
      </c>
      <c r="G130" t="s">
        <v>1162</v>
      </c>
      <c r="H130" t="s">
        <v>1162</v>
      </c>
      <c r="I130">
        <v>0</v>
      </c>
      <c r="J130">
        <v>6036163</v>
      </c>
      <c r="K130">
        <v>10405.622888</v>
      </c>
      <c r="L130">
        <v>6036138.9599059997</v>
      </c>
      <c r="M130">
        <f>_xlfn.XLOOKUP(E130, 'Model Modeshare by TAZ'!A:A, 'Model Modeshare by TAZ'!G:G,"0")</f>
        <v>430.72</v>
      </c>
      <c r="N130">
        <f>_xlfn.XLOOKUP(E130, 'Model Modeshare by TAZ'!A:A, 'Model Modeshare by TAZ'!E:E,"0")</f>
        <v>7080.92</v>
      </c>
      <c r="O130">
        <f>_xlfn.XLOOKUP(E130,'Model Modeshare by TAZ'!A:A,'Model Modeshare by TAZ'!F:F,"0")</f>
        <v>3910.9</v>
      </c>
      <c r="P130">
        <f>_xlfn.XLOOKUP(E130,'Model Modeshare by TAZ'!A:A,'Model Modeshare by TAZ'!J:J,"0")</f>
        <v>13276.36</v>
      </c>
    </row>
    <row r="131" spans="1:16" x14ac:dyDescent="0.35">
      <c r="A131">
        <v>131</v>
      </c>
      <c r="B131" t="s">
        <v>1161</v>
      </c>
      <c r="C131">
        <v>2702</v>
      </c>
      <c r="D131" s="120">
        <f>_xlfn.XLOOKUP(E131,'Model VMT by TAZ'!A:A,'Model VMT by TAZ'!E:E,0)</f>
        <v>335486.78000000003</v>
      </c>
      <c r="E131" s="117">
        <v>1951</v>
      </c>
      <c r="F131" s="120">
        <f>_xlfn.XLOOKUP(E131, 'Action 1 Data'!B:B, 'Action 1 Data'!D:D, "0")</f>
        <v>2948</v>
      </c>
      <c r="G131" t="s">
        <v>1162</v>
      </c>
      <c r="H131" t="s">
        <v>1162</v>
      </c>
      <c r="I131">
        <v>0</v>
      </c>
      <c r="J131">
        <v>5177256</v>
      </c>
      <c r="K131">
        <v>9481.7853379999997</v>
      </c>
      <c r="L131">
        <v>5177235.339439</v>
      </c>
      <c r="M131">
        <f>_xlfn.XLOOKUP(E131, 'Model Modeshare by TAZ'!A:A, 'Model Modeshare by TAZ'!G:G,"0")</f>
        <v>1745.98</v>
      </c>
      <c r="N131">
        <f>_xlfn.XLOOKUP(E131, 'Model Modeshare by TAZ'!A:A, 'Model Modeshare by TAZ'!E:E,"0")</f>
        <v>29249.38</v>
      </c>
      <c r="O131">
        <f>_xlfn.XLOOKUP(E131,'Model Modeshare by TAZ'!A:A,'Model Modeshare by TAZ'!F:F,"0")</f>
        <v>12982.94</v>
      </c>
      <c r="P131">
        <f>_xlfn.XLOOKUP(E131,'Model Modeshare by TAZ'!A:A,'Model Modeshare by TAZ'!J:J,"0")</f>
        <v>50144.62</v>
      </c>
    </row>
    <row r="132" spans="1:16" x14ac:dyDescent="0.35">
      <c r="A132">
        <v>132</v>
      </c>
      <c r="B132" t="s">
        <v>1161</v>
      </c>
      <c r="C132">
        <v>2703</v>
      </c>
      <c r="D132" s="120">
        <f>_xlfn.XLOOKUP(E132,'Model VMT by TAZ'!A:A,'Model VMT by TAZ'!E:E,0)</f>
        <v>96953.21</v>
      </c>
      <c r="E132" s="117">
        <v>1533</v>
      </c>
      <c r="F132" s="120">
        <f>_xlfn.XLOOKUP(E132, 'Action 1 Data'!B:B, 'Action 1 Data'!D:D, "0")</f>
        <v>906</v>
      </c>
      <c r="G132" t="s">
        <v>1162</v>
      </c>
      <c r="H132" t="s">
        <v>1162</v>
      </c>
      <c r="I132">
        <v>0</v>
      </c>
      <c r="J132">
        <v>2177229</v>
      </c>
      <c r="K132">
        <v>6307.1918770000002</v>
      </c>
      <c r="L132">
        <v>2177220.4579230002</v>
      </c>
      <c r="M132">
        <f>_xlfn.XLOOKUP(E132, 'Model Modeshare by TAZ'!A:A, 'Model Modeshare by TAZ'!G:G,"0")</f>
        <v>394.14</v>
      </c>
      <c r="N132">
        <f>_xlfn.XLOOKUP(E132, 'Model Modeshare by TAZ'!A:A, 'Model Modeshare by TAZ'!E:E,"0")</f>
        <v>8557.42</v>
      </c>
      <c r="O132">
        <f>_xlfn.XLOOKUP(E132,'Model Modeshare by TAZ'!A:A,'Model Modeshare by TAZ'!F:F,"0")</f>
        <v>4055.6</v>
      </c>
      <c r="P132">
        <f>_xlfn.XLOOKUP(E132,'Model Modeshare by TAZ'!A:A,'Model Modeshare by TAZ'!J:J,"0")</f>
        <v>14800.06</v>
      </c>
    </row>
    <row r="133" spans="1:16" x14ac:dyDescent="0.35">
      <c r="A133">
        <v>133</v>
      </c>
      <c r="B133" t="s">
        <v>1161</v>
      </c>
      <c r="C133">
        <v>2704</v>
      </c>
      <c r="D133" s="120">
        <f>_xlfn.XLOOKUP(E133,'Model VMT by TAZ'!A:A,'Model VMT by TAZ'!E:E,0)</f>
        <v>87456.5</v>
      </c>
      <c r="E133" s="117">
        <v>1606</v>
      </c>
      <c r="F133" s="120">
        <f>_xlfn.XLOOKUP(E133, 'Action 1 Data'!B:B, 'Action 1 Data'!D:D, "0")</f>
        <v>2225</v>
      </c>
      <c r="G133" t="s">
        <v>1162</v>
      </c>
      <c r="H133" t="s">
        <v>1162</v>
      </c>
      <c r="I133">
        <v>0</v>
      </c>
      <c r="J133">
        <v>5573620</v>
      </c>
      <c r="K133">
        <v>12907.153343</v>
      </c>
      <c r="L133">
        <v>5573597.9310450004</v>
      </c>
      <c r="M133">
        <f>_xlfn.XLOOKUP(E133, 'Model Modeshare by TAZ'!A:A, 'Model Modeshare by TAZ'!G:G,"0")</f>
        <v>281.02</v>
      </c>
      <c r="N133">
        <f>_xlfn.XLOOKUP(E133, 'Model Modeshare by TAZ'!A:A, 'Model Modeshare by TAZ'!E:E,"0")</f>
        <v>8097.32</v>
      </c>
      <c r="O133">
        <f>_xlfn.XLOOKUP(E133,'Model Modeshare by TAZ'!A:A,'Model Modeshare by TAZ'!F:F,"0")</f>
        <v>4626.16</v>
      </c>
      <c r="P133">
        <f>_xlfn.XLOOKUP(E133,'Model Modeshare by TAZ'!A:A,'Model Modeshare by TAZ'!J:J,"0")</f>
        <v>14434.8</v>
      </c>
    </row>
    <row r="134" spans="1:16" x14ac:dyDescent="0.35">
      <c r="A134">
        <v>134</v>
      </c>
      <c r="B134" t="s">
        <v>1161</v>
      </c>
      <c r="C134">
        <v>2705</v>
      </c>
      <c r="D134" s="120">
        <f>_xlfn.XLOOKUP(E134,'Model VMT by TAZ'!A:A,'Model VMT by TAZ'!E:E,0)</f>
        <v>40236.43</v>
      </c>
      <c r="E134" s="117">
        <v>1531</v>
      </c>
      <c r="F134" s="120">
        <f>_xlfn.XLOOKUP(E134, 'Action 1 Data'!B:B, 'Action 1 Data'!D:D, "0")</f>
        <v>1451</v>
      </c>
      <c r="G134" t="s">
        <v>1162</v>
      </c>
      <c r="H134" t="s">
        <v>1162</v>
      </c>
      <c r="I134">
        <v>0</v>
      </c>
      <c r="J134">
        <v>3751014</v>
      </c>
      <c r="K134">
        <v>8662.7220689999995</v>
      </c>
      <c r="L134">
        <v>3750998.9997740001</v>
      </c>
      <c r="M134">
        <f>_xlfn.XLOOKUP(E134, 'Model Modeshare by TAZ'!A:A, 'Model Modeshare by TAZ'!G:G,"0")</f>
        <v>209.1</v>
      </c>
      <c r="N134">
        <f>_xlfn.XLOOKUP(E134, 'Model Modeshare by TAZ'!A:A, 'Model Modeshare by TAZ'!E:E,"0")</f>
        <v>3910.14</v>
      </c>
      <c r="O134">
        <f>_xlfn.XLOOKUP(E134,'Model Modeshare by TAZ'!A:A,'Model Modeshare by TAZ'!F:F,"0")</f>
        <v>2416.1799999999998</v>
      </c>
      <c r="P134">
        <f>_xlfn.XLOOKUP(E134,'Model Modeshare by TAZ'!A:A,'Model Modeshare by TAZ'!J:J,"0")</f>
        <v>7489.36</v>
      </c>
    </row>
    <row r="135" spans="1:16" x14ac:dyDescent="0.35">
      <c r="A135">
        <v>135</v>
      </c>
      <c r="B135" t="s">
        <v>1161</v>
      </c>
      <c r="C135">
        <v>2706</v>
      </c>
      <c r="D135" s="120">
        <f>_xlfn.XLOOKUP(E135,'Model VMT by TAZ'!A:A,'Model VMT by TAZ'!E:E,0)</f>
        <v>68971.86</v>
      </c>
      <c r="E135" s="117">
        <v>1653</v>
      </c>
      <c r="F135" s="120">
        <f>_xlfn.XLOOKUP(E135, 'Action 1 Data'!B:B, 'Action 1 Data'!D:D, "0")</f>
        <v>1992</v>
      </c>
      <c r="G135" t="s">
        <v>1162</v>
      </c>
      <c r="H135" t="s">
        <v>1162</v>
      </c>
      <c r="I135">
        <v>0</v>
      </c>
      <c r="J135">
        <v>7914650</v>
      </c>
      <c r="K135">
        <v>11879.117093999999</v>
      </c>
      <c r="L135">
        <v>7914618.0249929996</v>
      </c>
      <c r="M135">
        <f>_xlfn.XLOOKUP(E135, 'Model Modeshare by TAZ'!A:A, 'Model Modeshare by TAZ'!G:G,"0")</f>
        <v>213.66</v>
      </c>
      <c r="N135">
        <f>_xlfn.XLOOKUP(E135, 'Model Modeshare by TAZ'!A:A, 'Model Modeshare by TAZ'!E:E,"0")</f>
        <v>5866.46</v>
      </c>
      <c r="O135">
        <f>_xlfn.XLOOKUP(E135,'Model Modeshare by TAZ'!A:A,'Model Modeshare by TAZ'!F:F,"0")</f>
        <v>3886.64</v>
      </c>
      <c r="P135">
        <f>_xlfn.XLOOKUP(E135,'Model Modeshare by TAZ'!A:A,'Model Modeshare by TAZ'!J:J,"0")</f>
        <v>11261.36</v>
      </c>
    </row>
    <row r="136" spans="1:16" x14ac:dyDescent="0.35">
      <c r="A136">
        <v>136</v>
      </c>
      <c r="B136" t="s">
        <v>1161</v>
      </c>
      <c r="C136">
        <v>2707</v>
      </c>
      <c r="D136" s="120">
        <f>_xlfn.XLOOKUP(E136,'Model VMT by TAZ'!A:A,'Model VMT by TAZ'!E:E,0)</f>
        <v>420367.51</v>
      </c>
      <c r="E136" s="117">
        <v>1948</v>
      </c>
      <c r="F136" s="120">
        <f>_xlfn.XLOOKUP(E136, 'Action 1 Data'!B:B, 'Action 1 Data'!D:D, "0")</f>
        <v>18</v>
      </c>
      <c r="G136" t="s">
        <v>1162</v>
      </c>
      <c r="H136" t="s">
        <v>1162</v>
      </c>
      <c r="I136">
        <v>0</v>
      </c>
      <c r="J136">
        <v>8429656</v>
      </c>
      <c r="K136">
        <v>16215.643878999999</v>
      </c>
      <c r="L136">
        <v>8429621.7868140005</v>
      </c>
      <c r="M136">
        <f>_xlfn.XLOOKUP(E136, 'Model Modeshare by TAZ'!A:A, 'Model Modeshare by TAZ'!G:G,"0")</f>
        <v>678.88</v>
      </c>
      <c r="N136">
        <f>_xlfn.XLOOKUP(E136, 'Model Modeshare by TAZ'!A:A, 'Model Modeshare by TAZ'!E:E,"0")</f>
        <v>26718.22</v>
      </c>
      <c r="O136">
        <f>_xlfn.XLOOKUP(E136,'Model Modeshare by TAZ'!A:A,'Model Modeshare by TAZ'!F:F,"0")</f>
        <v>9162.7199999999993</v>
      </c>
      <c r="P136">
        <f>_xlfn.XLOOKUP(E136,'Model Modeshare by TAZ'!A:A,'Model Modeshare by TAZ'!J:J,"0")</f>
        <v>38760.699999999997</v>
      </c>
    </row>
    <row r="137" spans="1:16" x14ac:dyDescent="0.35">
      <c r="A137">
        <v>137</v>
      </c>
      <c r="B137" t="s">
        <v>1161</v>
      </c>
      <c r="C137">
        <v>2708</v>
      </c>
      <c r="D137" s="120">
        <f>_xlfn.XLOOKUP(E137,'Model VMT by TAZ'!A:A,'Model VMT by TAZ'!E:E,0)</f>
        <v>15062.74</v>
      </c>
      <c r="E137" s="117">
        <v>1530</v>
      </c>
      <c r="F137" s="120" t="str">
        <f>_xlfn.XLOOKUP(E137, 'Action 1 Data'!B:B, 'Action 1 Data'!D:D, "0")</f>
        <v>0</v>
      </c>
      <c r="G137" t="s">
        <v>1162</v>
      </c>
      <c r="H137" t="s">
        <v>1162</v>
      </c>
      <c r="I137">
        <v>0</v>
      </c>
      <c r="J137">
        <v>2150715</v>
      </c>
      <c r="K137">
        <v>6900.9559060000001</v>
      </c>
      <c r="L137">
        <v>2150706.5352440001</v>
      </c>
      <c r="M137">
        <f>_xlfn.XLOOKUP(E137, 'Model Modeshare by TAZ'!A:A, 'Model Modeshare by TAZ'!G:G,"0")</f>
        <v>119.38</v>
      </c>
      <c r="N137">
        <f>_xlfn.XLOOKUP(E137, 'Model Modeshare by TAZ'!A:A, 'Model Modeshare by TAZ'!E:E,"0")</f>
        <v>1440.04</v>
      </c>
      <c r="O137">
        <f>_xlfn.XLOOKUP(E137,'Model Modeshare by TAZ'!A:A,'Model Modeshare by TAZ'!F:F,"0")</f>
        <v>980.34</v>
      </c>
      <c r="P137">
        <f>_xlfn.XLOOKUP(E137,'Model Modeshare by TAZ'!A:A,'Model Modeshare by TAZ'!J:J,"0")</f>
        <v>2876.34</v>
      </c>
    </row>
    <row r="138" spans="1:16" x14ac:dyDescent="0.35">
      <c r="A138">
        <v>138</v>
      </c>
      <c r="B138" t="s">
        <v>1161</v>
      </c>
      <c r="C138">
        <v>2709</v>
      </c>
      <c r="D138" s="120">
        <f>_xlfn.XLOOKUP(E138,'Model VMT by TAZ'!A:A,'Model VMT by TAZ'!E:E,0)</f>
        <v>115171.62</v>
      </c>
      <c r="E138" s="117">
        <v>1605</v>
      </c>
      <c r="F138" s="120">
        <f>_xlfn.XLOOKUP(E138, 'Action 1 Data'!B:B, 'Action 1 Data'!D:D, "0")</f>
        <v>2399</v>
      </c>
      <c r="G138" t="s">
        <v>1162</v>
      </c>
      <c r="H138" t="s">
        <v>1162</v>
      </c>
      <c r="I138">
        <v>0</v>
      </c>
      <c r="J138">
        <v>4102673</v>
      </c>
      <c r="K138">
        <v>9052.2321589999992</v>
      </c>
      <c r="L138">
        <v>4102656.2757930001</v>
      </c>
      <c r="M138">
        <f>_xlfn.XLOOKUP(E138, 'Model Modeshare by TAZ'!A:A, 'Model Modeshare by TAZ'!G:G,"0")</f>
        <v>623.82000000000005</v>
      </c>
      <c r="N138">
        <f>_xlfn.XLOOKUP(E138, 'Model Modeshare by TAZ'!A:A, 'Model Modeshare by TAZ'!E:E,"0")</f>
        <v>10210.56</v>
      </c>
      <c r="O138">
        <f>_xlfn.XLOOKUP(E138,'Model Modeshare by TAZ'!A:A,'Model Modeshare by TAZ'!F:F,"0")</f>
        <v>5304</v>
      </c>
      <c r="P138">
        <f>_xlfn.XLOOKUP(E138,'Model Modeshare by TAZ'!A:A,'Model Modeshare by TAZ'!J:J,"0")</f>
        <v>18270.16</v>
      </c>
    </row>
    <row r="139" spans="1:16" x14ac:dyDescent="0.35">
      <c r="A139">
        <v>141</v>
      </c>
      <c r="B139" t="s">
        <v>1161</v>
      </c>
      <c r="C139">
        <v>2712</v>
      </c>
      <c r="D139" s="120">
        <f>_xlfn.XLOOKUP(E139,'Model VMT by TAZ'!A:A,'Model VMT by TAZ'!E:E,0)</f>
        <v>0</v>
      </c>
      <c r="E139" s="117">
        <v>1601</v>
      </c>
      <c r="F139" s="120" t="str">
        <f>_xlfn.XLOOKUP(E139, 'Action 1 Data'!B:B, 'Action 1 Data'!D:D, "0")</f>
        <v>0</v>
      </c>
      <c r="G139" t="s">
        <v>1162</v>
      </c>
      <c r="H139" t="s">
        <v>1162</v>
      </c>
      <c r="I139">
        <v>0</v>
      </c>
      <c r="J139">
        <v>3499982</v>
      </c>
      <c r="K139">
        <v>9674.5698389999998</v>
      </c>
      <c r="L139">
        <v>3499968.135268</v>
      </c>
      <c r="M139">
        <f>_xlfn.XLOOKUP(E139, 'Model Modeshare by TAZ'!A:A, 'Model Modeshare by TAZ'!G:G,"0")</f>
        <v>0</v>
      </c>
      <c r="N139">
        <f>_xlfn.XLOOKUP(E139, 'Model Modeshare by TAZ'!A:A, 'Model Modeshare by TAZ'!E:E,"0")</f>
        <v>0</v>
      </c>
      <c r="O139">
        <f>_xlfn.XLOOKUP(E139,'Model Modeshare by TAZ'!A:A,'Model Modeshare by TAZ'!F:F,"0")</f>
        <v>0</v>
      </c>
      <c r="P139">
        <f>_xlfn.XLOOKUP(E139,'Model Modeshare by TAZ'!A:A,'Model Modeshare by TAZ'!J:J,"0")</f>
        <v>0</v>
      </c>
    </row>
    <row r="140" spans="1:16" x14ac:dyDescent="0.35">
      <c r="A140">
        <v>142</v>
      </c>
      <c r="B140" t="s">
        <v>1161</v>
      </c>
      <c r="C140">
        <v>2715</v>
      </c>
      <c r="D140" s="120">
        <f>_xlfn.XLOOKUP(E140,'Model VMT by TAZ'!A:A,'Model VMT by TAZ'!E:E,0)</f>
        <v>69797.55</v>
      </c>
      <c r="E140" s="117">
        <v>1609</v>
      </c>
      <c r="F140" s="120" t="str">
        <f>_xlfn.XLOOKUP(E140, 'Action 1 Data'!B:B, 'Action 1 Data'!D:D, "0")</f>
        <v>0</v>
      </c>
      <c r="G140" t="s">
        <v>1162</v>
      </c>
      <c r="H140" t="s">
        <v>1162</v>
      </c>
      <c r="I140">
        <v>0</v>
      </c>
      <c r="J140">
        <v>30463812</v>
      </c>
      <c r="K140">
        <v>27216.803886000002</v>
      </c>
      <c r="L140">
        <v>30463690.296495002</v>
      </c>
      <c r="M140">
        <f>_xlfn.XLOOKUP(E140, 'Model Modeshare by TAZ'!A:A, 'Model Modeshare by TAZ'!G:G,"0")</f>
        <v>164.22</v>
      </c>
      <c r="N140">
        <f>_xlfn.XLOOKUP(E140, 'Model Modeshare by TAZ'!A:A, 'Model Modeshare by TAZ'!E:E,"0")</f>
        <v>7161.48</v>
      </c>
      <c r="O140">
        <f>_xlfn.XLOOKUP(E140,'Model Modeshare by TAZ'!A:A,'Model Modeshare by TAZ'!F:F,"0")</f>
        <v>4454.8599999999997</v>
      </c>
      <c r="P140">
        <f>_xlfn.XLOOKUP(E140,'Model Modeshare by TAZ'!A:A,'Model Modeshare by TAZ'!J:J,"0")</f>
        <v>12590.38</v>
      </c>
    </row>
    <row r="141" spans="1:16" x14ac:dyDescent="0.35">
      <c r="A141">
        <v>143</v>
      </c>
      <c r="B141" t="s">
        <v>1161</v>
      </c>
      <c r="C141">
        <v>2716</v>
      </c>
      <c r="D141" s="120">
        <f>_xlfn.XLOOKUP(E141,'Model VMT by TAZ'!A:A,'Model VMT by TAZ'!E:E,0)</f>
        <v>54505.29</v>
      </c>
      <c r="E141" s="117">
        <v>1539</v>
      </c>
      <c r="F141" s="120">
        <f>_xlfn.XLOOKUP(E141, 'Action 1 Data'!B:B, 'Action 1 Data'!D:D, "0")</f>
        <v>2506</v>
      </c>
      <c r="G141" t="s">
        <v>1162</v>
      </c>
      <c r="H141" t="s">
        <v>1162</v>
      </c>
      <c r="I141">
        <v>0</v>
      </c>
      <c r="J141">
        <v>2854780</v>
      </c>
      <c r="K141">
        <v>7428.8221729999996</v>
      </c>
      <c r="L141">
        <v>2854768.4656270002</v>
      </c>
      <c r="M141">
        <f>_xlfn.XLOOKUP(E141, 'Model Modeshare by TAZ'!A:A, 'Model Modeshare by TAZ'!G:G,"0")</f>
        <v>316.08</v>
      </c>
      <c r="N141">
        <f>_xlfn.XLOOKUP(E141, 'Model Modeshare by TAZ'!A:A, 'Model Modeshare by TAZ'!E:E,"0")</f>
        <v>4874.08</v>
      </c>
      <c r="O141">
        <f>_xlfn.XLOOKUP(E141,'Model Modeshare by TAZ'!A:A,'Model Modeshare by TAZ'!F:F,"0")</f>
        <v>3091.68</v>
      </c>
      <c r="P141">
        <f>_xlfn.XLOOKUP(E141,'Model Modeshare by TAZ'!A:A,'Model Modeshare by TAZ'!J:J,"0")</f>
        <v>9758.1200000000008</v>
      </c>
    </row>
    <row r="142" spans="1:16" x14ac:dyDescent="0.35">
      <c r="A142">
        <v>144</v>
      </c>
      <c r="B142" t="s">
        <v>1161</v>
      </c>
      <c r="C142">
        <v>2717</v>
      </c>
      <c r="D142" s="120">
        <f>_xlfn.XLOOKUP(E142,'Model VMT by TAZ'!A:A,'Model VMT by TAZ'!E:E,0)</f>
        <v>82390.179999999993</v>
      </c>
      <c r="E142" s="117">
        <v>1538</v>
      </c>
      <c r="F142" s="120">
        <f>_xlfn.XLOOKUP(E142, 'Action 1 Data'!B:B, 'Action 1 Data'!D:D, "0")</f>
        <v>2777</v>
      </c>
      <c r="G142" t="s">
        <v>1162</v>
      </c>
      <c r="H142" t="s">
        <v>1162</v>
      </c>
      <c r="I142">
        <v>0</v>
      </c>
      <c r="J142">
        <v>3470791</v>
      </c>
      <c r="K142">
        <v>7711.1737069999999</v>
      </c>
      <c r="L142">
        <v>3470776.8947879998</v>
      </c>
      <c r="M142">
        <f>_xlfn.XLOOKUP(E142, 'Model Modeshare by TAZ'!A:A, 'Model Modeshare by TAZ'!G:G,"0")</f>
        <v>515.64</v>
      </c>
      <c r="N142">
        <f>_xlfn.XLOOKUP(E142, 'Model Modeshare by TAZ'!A:A, 'Model Modeshare by TAZ'!E:E,"0")</f>
        <v>8560.6</v>
      </c>
      <c r="O142">
        <f>_xlfn.XLOOKUP(E142,'Model Modeshare by TAZ'!A:A,'Model Modeshare by TAZ'!F:F,"0")</f>
        <v>4295.82</v>
      </c>
      <c r="P142">
        <f>_xlfn.XLOOKUP(E142,'Model Modeshare by TAZ'!A:A,'Model Modeshare by TAZ'!J:J,"0")</f>
        <v>15876.58</v>
      </c>
    </row>
    <row r="143" spans="1:16" x14ac:dyDescent="0.35">
      <c r="A143">
        <v>145</v>
      </c>
      <c r="B143" t="s">
        <v>1161</v>
      </c>
      <c r="C143">
        <v>2718</v>
      </c>
      <c r="D143" s="120">
        <f>_xlfn.XLOOKUP(E143,'Model VMT by TAZ'!A:A,'Model VMT by TAZ'!E:E,0)</f>
        <v>37084.92</v>
      </c>
      <c r="E143" s="117">
        <v>1540</v>
      </c>
      <c r="F143" s="120">
        <f>_xlfn.XLOOKUP(E143, 'Action 1 Data'!B:B, 'Action 1 Data'!D:D, "0")</f>
        <v>1025</v>
      </c>
      <c r="G143" t="s">
        <v>1162</v>
      </c>
      <c r="H143" t="s">
        <v>1162</v>
      </c>
      <c r="I143">
        <v>0</v>
      </c>
      <c r="J143">
        <v>1942320</v>
      </c>
      <c r="K143">
        <v>7860.3532949999999</v>
      </c>
      <c r="L143">
        <v>1942312.195272</v>
      </c>
      <c r="M143">
        <f>_xlfn.XLOOKUP(E143, 'Model Modeshare by TAZ'!A:A, 'Model Modeshare by TAZ'!G:G,"0")</f>
        <v>170.74</v>
      </c>
      <c r="N143">
        <f>_xlfn.XLOOKUP(E143, 'Model Modeshare by TAZ'!A:A, 'Model Modeshare by TAZ'!E:E,"0")</f>
        <v>2671.44</v>
      </c>
      <c r="O143">
        <f>_xlfn.XLOOKUP(E143,'Model Modeshare by TAZ'!A:A,'Model Modeshare by TAZ'!F:F,"0")</f>
        <v>1718.6</v>
      </c>
      <c r="P143">
        <f>_xlfn.XLOOKUP(E143,'Model Modeshare by TAZ'!A:A,'Model Modeshare by TAZ'!J:J,"0")</f>
        <v>5367.64</v>
      </c>
    </row>
    <row r="144" spans="1:16" x14ac:dyDescent="0.35">
      <c r="A144">
        <v>146</v>
      </c>
      <c r="B144" t="s">
        <v>1161</v>
      </c>
      <c r="C144">
        <v>2719</v>
      </c>
      <c r="D144" s="120">
        <f>_xlfn.XLOOKUP(E144,'Model VMT by TAZ'!A:A,'Model VMT by TAZ'!E:E,0)</f>
        <v>113930</v>
      </c>
      <c r="E144" s="117">
        <v>1611</v>
      </c>
      <c r="F144" s="120">
        <f>_xlfn.XLOOKUP(E144, 'Action 1 Data'!B:B, 'Action 1 Data'!D:D, "0")</f>
        <v>4232</v>
      </c>
      <c r="G144" t="s">
        <v>1162</v>
      </c>
      <c r="H144" t="s">
        <v>1162</v>
      </c>
      <c r="I144">
        <v>0</v>
      </c>
      <c r="J144">
        <v>5584009</v>
      </c>
      <c r="K144">
        <v>9496.0812979999992</v>
      </c>
      <c r="L144">
        <v>5583986.2441729996</v>
      </c>
      <c r="M144">
        <f>_xlfn.XLOOKUP(E144, 'Model Modeshare by TAZ'!A:A, 'Model Modeshare by TAZ'!G:G,"0")</f>
        <v>829.78</v>
      </c>
      <c r="N144">
        <f>_xlfn.XLOOKUP(E144, 'Model Modeshare by TAZ'!A:A, 'Model Modeshare by TAZ'!E:E,"0")</f>
        <v>8894.02</v>
      </c>
      <c r="O144">
        <f>_xlfn.XLOOKUP(E144,'Model Modeshare by TAZ'!A:A,'Model Modeshare by TAZ'!F:F,"0")</f>
        <v>6017.16</v>
      </c>
      <c r="P144">
        <f>_xlfn.XLOOKUP(E144,'Model Modeshare by TAZ'!A:A,'Model Modeshare by TAZ'!J:J,"0")</f>
        <v>18621.72</v>
      </c>
    </row>
    <row r="145" spans="1:16" x14ac:dyDescent="0.35">
      <c r="A145">
        <v>147</v>
      </c>
      <c r="B145" t="s">
        <v>1161</v>
      </c>
      <c r="C145">
        <v>2720</v>
      </c>
      <c r="D145" s="120">
        <f>_xlfn.XLOOKUP(E145,'Model VMT by TAZ'!A:A,'Model VMT by TAZ'!E:E,0)</f>
        <v>39518.160000000003</v>
      </c>
      <c r="E145" s="117">
        <v>1537</v>
      </c>
      <c r="F145" s="120">
        <f>_xlfn.XLOOKUP(E145, 'Action 1 Data'!B:B, 'Action 1 Data'!D:D, "0")</f>
        <v>1890</v>
      </c>
      <c r="G145" t="s">
        <v>1162</v>
      </c>
      <c r="H145" t="s">
        <v>1162</v>
      </c>
      <c r="I145">
        <v>0</v>
      </c>
      <c r="J145">
        <v>4050519</v>
      </c>
      <c r="K145">
        <v>8219.9489749999993</v>
      </c>
      <c r="L145">
        <v>4050502.7906689998</v>
      </c>
      <c r="M145">
        <f>_xlfn.XLOOKUP(E145, 'Model Modeshare by TAZ'!A:A, 'Model Modeshare by TAZ'!G:G,"0")</f>
        <v>236.8</v>
      </c>
      <c r="N145">
        <f>_xlfn.XLOOKUP(E145, 'Model Modeshare by TAZ'!A:A, 'Model Modeshare by TAZ'!E:E,"0")</f>
        <v>4223.54</v>
      </c>
      <c r="O145">
        <f>_xlfn.XLOOKUP(E145,'Model Modeshare by TAZ'!A:A,'Model Modeshare by TAZ'!F:F,"0")</f>
        <v>2672.78</v>
      </c>
      <c r="P145">
        <f>_xlfn.XLOOKUP(E145,'Model Modeshare by TAZ'!A:A,'Model Modeshare by TAZ'!J:J,"0")</f>
        <v>8315.2000000000007</v>
      </c>
    </row>
    <row r="146" spans="1:16" x14ac:dyDescent="0.35">
      <c r="A146">
        <v>148</v>
      </c>
      <c r="B146" t="s">
        <v>1161</v>
      </c>
      <c r="C146">
        <v>2721</v>
      </c>
      <c r="D146" s="120">
        <f>_xlfn.XLOOKUP(E146,'Model VMT by TAZ'!A:A,'Model VMT by TAZ'!E:E,0)</f>
        <v>36792.559999999998</v>
      </c>
      <c r="E146" s="117">
        <v>1536</v>
      </c>
      <c r="F146" s="120">
        <f>_xlfn.XLOOKUP(E146, 'Action 1 Data'!B:B, 'Action 1 Data'!D:D, "0")</f>
        <v>1250</v>
      </c>
      <c r="G146" t="s">
        <v>1162</v>
      </c>
      <c r="H146" t="s">
        <v>1162</v>
      </c>
      <c r="I146">
        <v>0</v>
      </c>
      <c r="J146">
        <v>2747898</v>
      </c>
      <c r="K146">
        <v>7739.0541949999997</v>
      </c>
      <c r="L146">
        <v>2747886.6132260002</v>
      </c>
      <c r="M146">
        <f>_xlfn.XLOOKUP(E146, 'Model Modeshare by TAZ'!A:A, 'Model Modeshare by TAZ'!G:G,"0")</f>
        <v>218.54</v>
      </c>
      <c r="N146">
        <f>_xlfn.XLOOKUP(E146, 'Model Modeshare by TAZ'!A:A, 'Model Modeshare by TAZ'!E:E,"0")</f>
        <v>3717.78</v>
      </c>
      <c r="O146">
        <f>_xlfn.XLOOKUP(E146,'Model Modeshare by TAZ'!A:A,'Model Modeshare by TAZ'!F:F,"0")</f>
        <v>1985.96</v>
      </c>
      <c r="P146">
        <f>_xlfn.XLOOKUP(E146,'Model Modeshare by TAZ'!A:A,'Model Modeshare by TAZ'!J:J,"0")</f>
        <v>6861.74</v>
      </c>
    </row>
    <row r="147" spans="1:16" x14ac:dyDescent="0.35">
      <c r="A147">
        <v>149</v>
      </c>
      <c r="B147" t="s">
        <v>1161</v>
      </c>
      <c r="C147">
        <v>2722</v>
      </c>
      <c r="D147" s="120">
        <f>_xlfn.XLOOKUP(E147,'Model VMT by TAZ'!A:A,'Model VMT by TAZ'!E:E,0)</f>
        <v>74393.61</v>
      </c>
      <c r="E147" s="117">
        <v>1610</v>
      </c>
      <c r="F147" s="120">
        <f>_xlfn.XLOOKUP(E147, 'Action 1 Data'!B:B, 'Action 1 Data'!D:D, "0")</f>
        <v>1984</v>
      </c>
      <c r="G147" t="s">
        <v>1162</v>
      </c>
      <c r="H147" t="s">
        <v>1162</v>
      </c>
      <c r="I147">
        <v>0</v>
      </c>
      <c r="J147">
        <v>3317482</v>
      </c>
      <c r="K147">
        <v>9635.9564279999995</v>
      </c>
      <c r="L147">
        <v>3317468.8784340001</v>
      </c>
      <c r="M147">
        <f>_xlfn.XLOOKUP(E147, 'Model Modeshare by TAZ'!A:A, 'Model Modeshare by TAZ'!G:G,"0")</f>
        <v>476.52</v>
      </c>
      <c r="N147">
        <f>_xlfn.XLOOKUP(E147, 'Model Modeshare by TAZ'!A:A, 'Model Modeshare by TAZ'!E:E,"0")</f>
        <v>7960.16</v>
      </c>
      <c r="O147">
        <f>_xlfn.XLOOKUP(E147,'Model Modeshare by TAZ'!A:A,'Model Modeshare by TAZ'!F:F,"0")</f>
        <v>3948.24</v>
      </c>
      <c r="P147">
        <f>_xlfn.XLOOKUP(E147,'Model Modeshare by TAZ'!A:A,'Model Modeshare by TAZ'!J:J,"0")</f>
        <v>13976.4</v>
      </c>
    </row>
    <row r="148" spans="1:16" x14ac:dyDescent="0.35">
      <c r="A148">
        <v>150</v>
      </c>
      <c r="B148" t="s">
        <v>1161</v>
      </c>
      <c r="C148">
        <v>2723</v>
      </c>
      <c r="D148" s="120">
        <f>_xlfn.XLOOKUP(E148,'Model VMT by TAZ'!A:A,'Model VMT by TAZ'!E:E,0)</f>
        <v>73696.11</v>
      </c>
      <c r="E148" s="117">
        <v>1545</v>
      </c>
      <c r="F148" s="120">
        <f>_xlfn.XLOOKUP(E148, 'Action 1 Data'!B:B, 'Action 1 Data'!D:D, "0")</f>
        <v>2531</v>
      </c>
      <c r="G148" t="s">
        <v>1162</v>
      </c>
      <c r="H148" t="s">
        <v>1162</v>
      </c>
      <c r="I148">
        <v>0</v>
      </c>
      <c r="J148">
        <v>7025361</v>
      </c>
      <c r="K148">
        <v>10664.683321</v>
      </c>
      <c r="L148">
        <v>7025332.4708000002</v>
      </c>
      <c r="M148">
        <f>_xlfn.XLOOKUP(E148, 'Model Modeshare by TAZ'!A:A, 'Model Modeshare by TAZ'!G:G,"0")</f>
        <v>360.08</v>
      </c>
      <c r="N148">
        <f>_xlfn.XLOOKUP(E148, 'Model Modeshare by TAZ'!A:A, 'Model Modeshare by TAZ'!E:E,"0")</f>
        <v>7004.18</v>
      </c>
      <c r="O148">
        <f>_xlfn.XLOOKUP(E148,'Model Modeshare by TAZ'!A:A,'Model Modeshare by TAZ'!F:F,"0")</f>
        <v>3904.18</v>
      </c>
      <c r="P148">
        <f>_xlfn.XLOOKUP(E148,'Model Modeshare by TAZ'!A:A,'Model Modeshare by TAZ'!J:J,"0")</f>
        <v>13160.28</v>
      </c>
    </row>
    <row r="149" spans="1:16" x14ac:dyDescent="0.35">
      <c r="A149">
        <v>151</v>
      </c>
      <c r="B149" t="s">
        <v>1161</v>
      </c>
      <c r="C149">
        <v>2724</v>
      </c>
      <c r="D149" s="120">
        <f>_xlfn.XLOOKUP(E149,'Model VMT by TAZ'!A:A,'Model VMT by TAZ'!E:E,0)</f>
        <v>123848.92</v>
      </c>
      <c r="E149" s="117">
        <v>1547</v>
      </c>
      <c r="F149" s="120">
        <f>_xlfn.XLOOKUP(E149, 'Action 1 Data'!B:B, 'Action 1 Data'!D:D, "0")</f>
        <v>2624</v>
      </c>
      <c r="G149" t="s">
        <v>1162</v>
      </c>
      <c r="H149" t="s">
        <v>1162</v>
      </c>
      <c r="I149">
        <v>0</v>
      </c>
      <c r="J149">
        <v>5755123</v>
      </c>
      <c r="K149">
        <v>10357.083073</v>
      </c>
      <c r="L149">
        <v>5755100.4733210001</v>
      </c>
      <c r="M149">
        <f>_xlfn.XLOOKUP(E149, 'Model Modeshare by TAZ'!A:A, 'Model Modeshare by TAZ'!G:G,"0")</f>
        <v>434.72</v>
      </c>
      <c r="N149">
        <f>_xlfn.XLOOKUP(E149, 'Model Modeshare by TAZ'!A:A, 'Model Modeshare by TAZ'!E:E,"0")</f>
        <v>11390.92</v>
      </c>
      <c r="O149">
        <f>_xlfn.XLOOKUP(E149,'Model Modeshare by TAZ'!A:A,'Model Modeshare by TAZ'!F:F,"0")</f>
        <v>5970.92</v>
      </c>
      <c r="P149">
        <f>_xlfn.XLOOKUP(E149,'Model Modeshare by TAZ'!A:A,'Model Modeshare by TAZ'!J:J,"0")</f>
        <v>20491.64</v>
      </c>
    </row>
    <row r="150" spans="1:16" x14ac:dyDescent="0.35">
      <c r="A150">
        <v>152</v>
      </c>
      <c r="B150" t="s">
        <v>1161</v>
      </c>
      <c r="C150">
        <v>2725</v>
      </c>
      <c r="D150" s="120">
        <f>_xlfn.XLOOKUP(E150,'Model VMT by TAZ'!A:A,'Model VMT by TAZ'!E:E,0)</f>
        <v>99569.47</v>
      </c>
      <c r="E150" s="117">
        <v>1546</v>
      </c>
      <c r="F150" s="120">
        <f>_xlfn.XLOOKUP(E150, 'Action 1 Data'!B:B, 'Action 1 Data'!D:D, "0")</f>
        <v>1108</v>
      </c>
      <c r="G150" t="s">
        <v>1162</v>
      </c>
      <c r="H150" t="s">
        <v>1162</v>
      </c>
      <c r="I150">
        <v>0</v>
      </c>
      <c r="J150">
        <v>4812288</v>
      </c>
      <c r="K150">
        <v>11058.048036</v>
      </c>
      <c r="L150">
        <v>4812268.2887260001</v>
      </c>
      <c r="M150">
        <f>_xlfn.XLOOKUP(E150, 'Model Modeshare by TAZ'!A:A, 'Model Modeshare by TAZ'!G:G,"0")</f>
        <v>392.24</v>
      </c>
      <c r="N150">
        <f>_xlfn.XLOOKUP(E150, 'Model Modeshare by TAZ'!A:A, 'Model Modeshare by TAZ'!E:E,"0")</f>
        <v>10933.68</v>
      </c>
      <c r="O150">
        <f>_xlfn.XLOOKUP(E150,'Model Modeshare by TAZ'!A:A,'Model Modeshare by TAZ'!F:F,"0")</f>
        <v>4715.0600000000004</v>
      </c>
      <c r="P150">
        <f>_xlfn.XLOOKUP(E150,'Model Modeshare by TAZ'!A:A,'Model Modeshare by TAZ'!J:J,"0")</f>
        <v>18037.240000000002</v>
      </c>
    </row>
    <row r="151" spans="1:16" x14ac:dyDescent="0.35">
      <c r="A151">
        <v>153</v>
      </c>
      <c r="B151" t="s">
        <v>1161</v>
      </c>
      <c r="C151">
        <v>2742</v>
      </c>
      <c r="D151" s="120">
        <f>_xlfn.XLOOKUP(E151,'Model VMT by TAZ'!A:A,'Model VMT by TAZ'!E:E,0)</f>
        <v>70002.179999999993</v>
      </c>
      <c r="E151" s="117">
        <v>1573</v>
      </c>
      <c r="F151" s="120">
        <f>_xlfn.XLOOKUP(E151, 'Action 1 Data'!B:B, 'Action 1 Data'!D:D, "0")</f>
        <v>2483</v>
      </c>
      <c r="G151" t="s">
        <v>1162</v>
      </c>
      <c r="H151" t="s">
        <v>1162</v>
      </c>
      <c r="I151">
        <v>0</v>
      </c>
      <c r="J151">
        <v>3856681</v>
      </c>
      <c r="K151">
        <v>9695.0026710000002</v>
      </c>
      <c r="L151">
        <v>3856665.2508439999</v>
      </c>
      <c r="M151">
        <f>_xlfn.XLOOKUP(E151, 'Model Modeshare by TAZ'!A:A, 'Model Modeshare by TAZ'!G:G,"0")</f>
        <v>252.38</v>
      </c>
      <c r="N151">
        <f>_xlfn.XLOOKUP(E151, 'Model Modeshare by TAZ'!A:A, 'Model Modeshare by TAZ'!E:E,"0")</f>
        <v>6140.56</v>
      </c>
      <c r="O151">
        <f>_xlfn.XLOOKUP(E151,'Model Modeshare by TAZ'!A:A,'Model Modeshare by TAZ'!F:F,"0")</f>
        <v>3550.78</v>
      </c>
      <c r="P151">
        <f>_xlfn.XLOOKUP(E151,'Model Modeshare by TAZ'!A:A,'Model Modeshare by TAZ'!J:J,"0")</f>
        <v>11299.84</v>
      </c>
    </row>
    <row r="152" spans="1:16" x14ac:dyDescent="0.35">
      <c r="A152">
        <v>154</v>
      </c>
      <c r="B152" t="s">
        <v>1161</v>
      </c>
      <c r="C152">
        <v>2743</v>
      </c>
      <c r="D152" s="120">
        <f>_xlfn.XLOOKUP(E152,'Model VMT by TAZ'!A:A,'Model VMT by TAZ'!E:E,0)</f>
        <v>42956.83</v>
      </c>
      <c r="E152" s="117">
        <v>1575</v>
      </c>
      <c r="F152" s="120">
        <f>_xlfn.XLOOKUP(E152, 'Action 1 Data'!B:B, 'Action 1 Data'!D:D, "0")</f>
        <v>3300</v>
      </c>
      <c r="G152" t="s">
        <v>1162</v>
      </c>
      <c r="H152" t="s">
        <v>1162</v>
      </c>
      <c r="I152">
        <v>0</v>
      </c>
      <c r="J152">
        <v>4615093</v>
      </c>
      <c r="K152">
        <v>10193.396514</v>
      </c>
      <c r="L152">
        <v>4615075.0387519998</v>
      </c>
      <c r="M152">
        <f>_xlfn.XLOOKUP(E152, 'Model Modeshare by TAZ'!A:A, 'Model Modeshare by TAZ'!G:G,"0")</f>
        <v>300.56</v>
      </c>
      <c r="N152">
        <f>_xlfn.XLOOKUP(E152, 'Model Modeshare by TAZ'!A:A, 'Model Modeshare by TAZ'!E:E,"0")</f>
        <v>6902.48</v>
      </c>
      <c r="O152">
        <f>_xlfn.XLOOKUP(E152,'Model Modeshare by TAZ'!A:A,'Model Modeshare by TAZ'!F:F,"0")</f>
        <v>4690.82</v>
      </c>
      <c r="P152">
        <f>_xlfn.XLOOKUP(E152,'Model Modeshare by TAZ'!A:A,'Model Modeshare by TAZ'!J:J,"0")</f>
        <v>15412.08</v>
      </c>
    </row>
    <row r="153" spans="1:16" x14ac:dyDescent="0.35">
      <c r="A153">
        <v>155</v>
      </c>
      <c r="B153" t="s">
        <v>1161</v>
      </c>
      <c r="C153">
        <v>2744</v>
      </c>
      <c r="D153" s="120">
        <f>_xlfn.XLOOKUP(E153,'Model VMT by TAZ'!A:A,'Model VMT by TAZ'!E:E,0)</f>
        <v>98634.18</v>
      </c>
      <c r="E153" s="117">
        <v>1628</v>
      </c>
      <c r="F153" s="120">
        <f>_xlfn.XLOOKUP(E153, 'Action 1 Data'!B:B, 'Action 1 Data'!D:D, "0")</f>
        <v>489</v>
      </c>
      <c r="G153" t="s">
        <v>1162</v>
      </c>
      <c r="H153" t="s">
        <v>1162</v>
      </c>
      <c r="I153">
        <v>0</v>
      </c>
      <c r="J153">
        <v>2939435</v>
      </c>
      <c r="K153">
        <v>9726.0516879999996</v>
      </c>
      <c r="L153">
        <v>2939423.1482950002</v>
      </c>
      <c r="M153">
        <f>_xlfn.XLOOKUP(E153, 'Model Modeshare by TAZ'!A:A, 'Model Modeshare by TAZ'!G:G,"0")</f>
        <v>461.58</v>
      </c>
      <c r="N153">
        <f>_xlfn.XLOOKUP(E153, 'Model Modeshare by TAZ'!A:A, 'Model Modeshare by TAZ'!E:E,"0")</f>
        <v>9490.2199999999993</v>
      </c>
      <c r="O153">
        <f>_xlfn.XLOOKUP(E153,'Model Modeshare by TAZ'!A:A,'Model Modeshare by TAZ'!F:F,"0")</f>
        <v>4023.44</v>
      </c>
      <c r="P153">
        <f>_xlfn.XLOOKUP(E153,'Model Modeshare by TAZ'!A:A,'Model Modeshare by TAZ'!J:J,"0")</f>
        <v>15761.42</v>
      </c>
    </row>
    <row r="154" spans="1:16" x14ac:dyDescent="0.35">
      <c r="A154">
        <v>156</v>
      </c>
      <c r="B154" t="s">
        <v>1161</v>
      </c>
      <c r="C154">
        <v>2745</v>
      </c>
      <c r="D154" s="120">
        <f>_xlfn.XLOOKUP(E154,'Model VMT by TAZ'!A:A,'Model VMT by TAZ'!E:E,0)</f>
        <v>121005.88</v>
      </c>
      <c r="E154" s="117">
        <v>1627</v>
      </c>
      <c r="F154" s="120">
        <f>_xlfn.XLOOKUP(E154, 'Action 1 Data'!B:B, 'Action 1 Data'!D:D, "0")</f>
        <v>2841</v>
      </c>
      <c r="G154" t="s">
        <v>1162</v>
      </c>
      <c r="H154" t="s">
        <v>1162</v>
      </c>
      <c r="I154">
        <v>0</v>
      </c>
      <c r="J154">
        <v>2500466</v>
      </c>
      <c r="K154">
        <v>7084.7750880000003</v>
      </c>
      <c r="L154">
        <v>2500456.002694</v>
      </c>
      <c r="M154">
        <f>_xlfn.XLOOKUP(E154, 'Model Modeshare by TAZ'!A:A, 'Model Modeshare by TAZ'!G:G,"0")</f>
        <v>588.48</v>
      </c>
      <c r="N154">
        <f>_xlfn.XLOOKUP(E154, 'Model Modeshare by TAZ'!A:A, 'Model Modeshare by TAZ'!E:E,"0")</f>
        <v>10175.68</v>
      </c>
      <c r="O154">
        <f>_xlfn.XLOOKUP(E154,'Model Modeshare by TAZ'!A:A,'Model Modeshare by TAZ'!F:F,"0")</f>
        <v>6022.22</v>
      </c>
      <c r="P154">
        <f>_xlfn.XLOOKUP(E154,'Model Modeshare by TAZ'!A:A,'Model Modeshare by TAZ'!J:J,"0")</f>
        <v>19328.759999999998</v>
      </c>
    </row>
    <row r="155" spans="1:16" x14ac:dyDescent="0.35">
      <c r="A155">
        <v>157</v>
      </c>
      <c r="B155" t="s">
        <v>1161</v>
      </c>
      <c r="C155">
        <v>2747</v>
      </c>
      <c r="D155" s="120">
        <f>_xlfn.XLOOKUP(E155,'Model VMT by TAZ'!A:A,'Model VMT by TAZ'!E:E,0)</f>
        <v>41001.29</v>
      </c>
      <c r="E155" s="117">
        <v>1678</v>
      </c>
      <c r="F155" s="120" t="str">
        <f>_xlfn.XLOOKUP(E155, 'Action 1 Data'!B:B, 'Action 1 Data'!D:D, "0")</f>
        <v>0</v>
      </c>
      <c r="G155" t="s">
        <v>1162</v>
      </c>
      <c r="H155" t="s">
        <v>1162</v>
      </c>
      <c r="I155">
        <v>0</v>
      </c>
      <c r="J155">
        <v>2614592</v>
      </c>
      <c r="K155">
        <v>6786.9785039999997</v>
      </c>
      <c r="L155">
        <v>2614581.478044</v>
      </c>
      <c r="M155">
        <f>_xlfn.XLOOKUP(E155, 'Model Modeshare by TAZ'!A:A, 'Model Modeshare by TAZ'!G:G,"0")</f>
        <v>117.14</v>
      </c>
      <c r="N155">
        <f>_xlfn.XLOOKUP(E155, 'Model Modeshare by TAZ'!A:A, 'Model Modeshare by TAZ'!E:E,"0")</f>
        <v>3476.72</v>
      </c>
      <c r="O155">
        <f>_xlfn.XLOOKUP(E155,'Model Modeshare by TAZ'!A:A,'Model Modeshare by TAZ'!F:F,"0")</f>
        <v>2156.8200000000002</v>
      </c>
      <c r="P155">
        <f>_xlfn.XLOOKUP(E155,'Model Modeshare by TAZ'!A:A,'Model Modeshare by TAZ'!J:J,"0")</f>
        <v>6518.34</v>
      </c>
    </row>
    <row r="156" spans="1:16" x14ac:dyDescent="0.35">
      <c r="A156">
        <v>158</v>
      </c>
      <c r="B156" t="s">
        <v>1161</v>
      </c>
      <c r="C156">
        <v>2750</v>
      </c>
      <c r="D156" s="120">
        <f>_xlfn.XLOOKUP(E156,'Model VMT by TAZ'!A:A,'Model VMT by TAZ'!E:E,0)</f>
        <v>24342.959999999999</v>
      </c>
      <c r="E156" s="117">
        <v>1685</v>
      </c>
      <c r="F156" s="120">
        <f>_xlfn.XLOOKUP(E156, 'Action 1 Data'!B:B, 'Action 1 Data'!D:D, "0")</f>
        <v>1319</v>
      </c>
      <c r="G156" t="s">
        <v>1162</v>
      </c>
      <c r="H156" t="s">
        <v>1162</v>
      </c>
      <c r="I156">
        <v>0</v>
      </c>
      <c r="J156">
        <v>23755390</v>
      </c>
      <c r="K156">
        <v>19651.269699</v>
      </c>
      <c r="L156">
        <v>23755295.049943998</v>
      </c>
      <c r="M156">
        <f>_xlfn.XLOOKUP(E156, 'Model Modeshare by TAZ'!A:A, 'Model Modeshare by TAZ'!G:G,"0")</f>
        <v>130.28</v>
      </c>
      <c r="N156">
        <f>_xlfn.XLOOKUP(E156, 'Model Modeshare by TAZ'!A:A, 'Model Modeshare by TAZ'!E:E,"0")</f>
        <v>5134.42</v>
      </c>
      <c r="O156">
        <f>_xlfn.XLOOKUP(E156,'Model Modeshare by TAZ'!A:A,'Model Modeshare by TAZ'!F:F,"0")</f>
        <v>2977.12</v>
      </c>
      <c r="P156">
        <f>_xlfn.XLOOKUP(E156,'Model Modeshare by TAZ'!A:A,'Model Modeshare by TAZ'!J:J,"0")</f>
        <v>9033.92</v>
      </c>
    </row>
    <row r="157" spans="1:16" x14ac:dyDescent="0.35">
      <c r="A157">
        <v>159</v>
      </c>
      <c r="B157" t="s">
        <v>1161</v>
      </c>
      <c r="C157">
        <v>2751</v>
      </c>
      <c r="D157" s="120">
        <f>_xlfn.XLOOKUP(E157,'Model VMT by TAZ'!A:A,'Model VMT by TAZ'!E:E,0)</f>
        <v>15463.5</v>
      </c>
      <c r="E157" s="117">
        <v>1686</v>
      </c>
      <c r="F157" s="120">
        <f>_xlfn.XLOOKUP(E157, 'Action 1 Data'!B:B, 'Action 1 Data'!D:D, "0")</f>
        <v>449</v>
      </c>
      <c r="G157" t="s">
        <v>1162</v>
      </c>
      <c r="H157" t="s">
        <v>1162</v>
      </c>
      <c r="I157">
        <v>0</v>
      </c>
      <c r="J157">
        <v>11520911</v>
      </c>
      <c r="K157">
        <v>14909.457195999999</v>
      </c>
      <c r="L157">
        <v>11520864.608128</v>
      </c>
      <c r="M157">
        <f>_xlfn.XLOOKUP(E157, 'Model Modeshare by TAZ'!A:A, 'Model Modeshare by TAZ'!G:G,"0")</f>
        <v>73.78</v>
      </c>
      <c r="N157">
        <f>_xlfn.XLOOKUP(E157, 'Model Modeshare by TAZ'!A:A, 'Model Modeshare by TAZ'!E:E,"0")</f>
        <v>2009.7</v>
      </c>
      <c r="O157">
        <f>_xlfn.XLOOKUP(E157,'Model Modeshare by TAZ'!A:A,'Model Modeshare by TAZ'!F:F,"0")</f>
        <v>941.5</v>
      </c>
      <c r="P157">
        <f>_xlfn.XLOOKUP(E157,'Model Modeshare by TAZ'!A:A,'Model Modeshare by TAZ'!J:J,"0")</f>
        <v>3432.96</v>
      </c>
    </row>
    <row r="158" spans="1:16" x14ac:dyDescent="0.35">
      <c r="A158">
        <v>160</v>
      </c>
      <c r="B158" t="s">
        <v>1161</v>
      </c>
      <c r="C158">
        <v>2752</v>
      </c>
      <c r="D158" s="120">
        <f>_xlfn.XLOOKUP(E158,'Model VMT by TAZ'!A:A,'Model VMT by TAZ'!E:E,0)</f>
        <v>6018</v>
      </c>
      <c r="E158" s="117">
        <v>1587</v>
      </c>
      <c r="F158" s="120">
        <f>_xlfn.XLOOKUP(E158, 'Action 1 Data'!B:B, 'Action 1 Data'!D:D, "0")</f>
        <v>339</v>
      </c>
      <c r="G158" t="s">
        <v>1162</v>
      </c>
      <c r="H158" t="s">
        <v>1162</v>
      </c>
      <c r="I158">
        <v>0</v>
      </c>
      <c r="J158">
        <v>6534544</v>
      </c>
      <c r="K158">
        <v>12299.801328</v>
      </c>
      <c r="L158">
        <v>6534518.250759</v>
      </c>
      <c r="M158">
        <f>_xlfn.XLOOKUP(E158, 'Model Modeshare by TAZ'!A:A, 'Model Modeshare by TAZ'!G:G,"0")</f>
        <v>42.64</v>
      </c>
      <c r="N158">
        <f>_xlfn.XLOOKUP(E158, 'Model Modeshare by TAZ'!A:A, 'Model Modeshare by TAZ'!E:E,"0")</f>
        <v>2917.82</v>
      </c>
      <c r="O158">
        <f>_xlfn.XLOOKUP(E158,'Model Modeshare by TAZ'!A:A,'Model Modeshare by TAZ'!F:F,"0")</f>
        <v>1317.18</v>
      </c>
      <c r="P158">
        <f>_xlfn.XLOOKUP(E158,'Model Modeshare by TAZ'!A:A,'Model Modeshare by TAZ'!J:J,"0")</f>
        <v>4631.76</v>
      </c>
    </row>
    <row r="159" spans="1:16" x14ac:dyDescent="0.35">
      <c r="A159">
        <v>161</v>
      </c>
      <c r="B159" t="s">
        <v>1161</v>
      </c>
      <c r="C159">
        <v>2753</v>
      </c>
      <c r="D159" s="120">
        <f>_xlfn.XLOOKUP(E159,'Model VMT by TAZ'!A:A,'Model VMT by TAZ'!E:E,0)</f>
        <v>53894.12</v>
      </c>
      <c r="E159" s="117">
        <v>1586</v>
      </c>
      <c r="F159" s="120">
        <f>_xlfn.XLOOKUP(E159, 'Action 1 Data'!B:B, 'Action 1 Data'!D:D, "0")</f>
        <v>994</v>
      </c>
      <c r="G159" t="s">
        <v>1162</v>
      </c>
      <c r="H159" t="s">
        <v>1162</v>
      </c>
      <c r="I159">
        <v>0</v>
      </c>
      <c r="J159">
        <v>4001021</v>
      </c>
      <c r="K159">
        <v>8243.7983980000008</v>
      </c>
      <c r="L159">
        <v>4001005.2933740001</v>
      </c>
      <c r="M159">
        <f>_xlfn.XLOOKUP(E159, 'Model Modeshare by TAZ'!A:A, 'Model Modeshare by TAZ'!G:G,"0")</f>
        <v>380.48</v>
      </c>
      <c r="N159">
        <f>_xlfn.XLOOKUP(E159, 'Model Modeshare by TAZ'!A:A, 'Model Modeshare by TAZ'!E:E,"0")</f>
        <v>4809.5</v>
      </c>
      <c r="O159">
        <f>_xlfn.XLOOKUP(E159,'Model Modeshare by TAZ'!A:A,'Model Modeshare by TAZ'!F:F,"0")</f>
        <v>2164.84</v>
      </c>
      <c r="P159">
        <f>_xlfn.XLOOKUP(E159,'Model Modeshare by TAZ'!A:A,'Model Modeshare by TAZ'!J:J,"0")</f>
        <v>8760.14</v>
      </c>
    </row>
    <row r="160" spans="1:16" x14ac:dyDescent="0.35">
      <c r="A160">
        <v>162</v>
      </c>
      <c r="B160" t="s">
        <v>1161</v>
      </c>
      <c r="C160">
        <v>2754</v>
      </c>
      <c r="D160" s="120">
        <f>_xlfn.XLOOKUP(E160,'Model VMT by TAZ'!A:A,'Model VMT by TAZ'!E:E,0)</f>
        <v>15737.96</v>
      </c>
      <c r="E160" s="117">
        <v>1584</v>
      </c>
      <c r="F160" s="120">
        <f>_xlfn.XLOOKUP(E160, 'Action 1 Data'!B:B, 'Action 1 Data'!D:D, "0")</f>
        <v>522</v>
      </c>
      <c r="G160" t="s">
        <v>1162</v>
      </c>
      <c r="H160" t="s">
        <v>1162</v>
      </c>
      <c r="I160">
        <v>0</v>
      </c>
      <c r="J160">
        <v>3997959</v>
      </c>
      <c r="K160">
        <v>9226.3663250000009</v>
      </c>
      <c r="L160">
        <v>3997942.7404240002</v>
      </c>
      <c r="M160">
        <f>_xlfn.XLOOKUP(E160, 'Model Modeshare by TAZ'!A:A, 'Model Modeshare by TAZ'!G:G,"0")</f>
        <v>55</v>
      </c>
      <c r="N160">
        <f>_xlfn.XLOOKUP(E160, 'Model Modeshare by TAZ'!A:A, 'Model Modeshare by TAZ'!E:E,"0")</f>
        <v>2057.98</v>
      </c>
      <c r="O160">
        <f>_xlfn.XLOOKUP(E160,'Model Modeshare by TAZ'!A:A,'Model Modeshare by TAZ'!F:F,"0")</f>
        <v>1153.6600000000001</v>
      </c>
      <c r="P160">
        <f>_xlfn.XLOOKUP(E160,'Model Modeshare by TAZ'!A:A,'Model Modeshare by TAZ'!J:J,"0")</f>
        <v>3586.68</v>
      </c>
    </row>
    <row r="161" spans="1:16" x14ac:dyDescent="0.35">
      <c r="A161">
        <v>163</v>
      </c>
      <c r="B161" t="s">
        <v>1161</v>
      </c>
      <c r="C161">
        <v>2755</v>
      </c>
      <c r="D161" s="120">
        <f>_xlfn.XLOOKUP(E161,'Model VMT by TAZ'!A:A,'Model VMT by TAZ'!E:E,0)</f>
        <v>13210.43</v>
      </c>
      <c r="E161" s="117">
        <v>1633</v>
      </c>
      <c r="F161" s="120">
        <f>_xlfn.XLOOKUP(E161, 'Action 1 Data'!B:B, 'Action 1 Data'!D:D, "0")</f>
        <v>590</v>
      </c>
      <c r="G161" t="s">
        <v>1162</v>
      </c>
      <c r="H161" t="s">
        <v>1162</v>
      </c>
      <c r="I161">
        <v>0</v>
      </c>
      <c r="J161">
        <v>12420049</v>
      </c>
      <c r="K161">
        <v>22114.884805000002</v>
      </c>
      <c r="L161">
        <v>12419998.827493999</v>
      </c>
      <c r="M161">
        <f>_xlfn.XLOOKUP(E161, 'Model Modeshare by TAZ'!A:A, 'Model Modeshare by TAZ'!G:G,"0")</f>
        <v>38.32</v>
      </c>
      <c r="N161">
        <f>_xlfn.XLOOKUP(E161, 'Model Modeshare by TAZ'!A:A, 'Model Modeshare by TAZ'!E:E,"0")</f>
        <v>1649.18</v>
      </c>
      <c r="O161">
        <f>_xlfn.XLOOKUP(E161,'Model Modeshare by TAZ'!A:A,'Model Modeshare by TAZ'!F:F,"0")</f>
        <v>1014.9</v>
      </c>
      <c r="P161">
        <f>_xlfn.XLOOKUP(E161,'Model Modeshare by TAZ'!A:A,'Model Modeshare by TAZ'!J:J,"0")</f>
        <v>3061.48</v>
      </c>
    </row>
    <row r="162" spans="1:16" x14ac:dyDescent="0.35">
      <c r="A162">
        <v>164</v>
      </c>
      <c r="B162" t="s">
        <v>1161</v>
      </c>
      <c r="C162">
        <v>2756</v>
      </c>
      <c r="D162" s="120">
        <f>_xlfn.XLOOKUP(E162,'Model VMT by TAZ'!A:A,'Model VMT by TAZ'!E:E,0)</f>
        <v>223046.17</v>
      </c>
      <c r="E162" s="117">
        <v>1585</v>
      </c>
      <c r="F162" s="120">
        <f>_xlfn.XLOOKUP(E162, 'Action 1 Data'!B:B, 'Action 1 Data'!D:D, "0")</f>
        <v>2480</v>
      </c>
      <c r="G162" t="s">
        <v>1162</v>
      </c>
      <c r="H162" t="s">
        <v>1162</v>
      </c>
      <c r="I162">
        <v>0</v>
      </c>
      <c r="J162">
        <v>9209268</v>
      </c>
      <c r="K162">
        <v>17627.748288999999</v>
      </c>
      <c r="L162">
        <v>9209230.8379919995</v>
      </c>
      <c r="M162">
        <f>_xlfn.XLOOKUP(E162, 'Model Modeshare by TAZ'!A:A, 'Model Modeshare by TAZ'!G:G,"0")</f>
        <v>656.4</v>
      </c>
      <c r="N162">
        <f>_xlfn.XLOOKUP(E162, 'Model Modeshare by TAZ'!A:A, 'Model Modeshare by TAZ'!E:E,"0")</f>
        <v>16220.56</v>
      </c>
      <c r="O162">
        <f>_xlfn.XLOOKUP(E162,'Model Modeshare by TAZ'!A:A,'Model Modeshare by TAZ'!F:F,"0")</f>
        <v>7784.96</v>
      </c>
      <c r="P162">
        <f>_xlfn.XLOOKUP(E162,'Model Modeshare by TAZ'!A:A,'Model Modeshare by TAZ'!J:J,"0")</f>
        <v>28868.880000000001</v>
      </c>
    </row>
    <row r="163" spans="1:16" x14ac:dyDescent="0.35">
      <c r="A163">
        <v>165</v>
      </c>
      <c r="B163" t="s">
        <v>1161</v>
      </c>
      <c r="C163">
        <v>2769</v>
      </c>
      <c r="D163" s="120">
        <f>_xlfn.XLOOKUP(E163,'Model VMT by TAZ'!A:A,'Model VMT by TAZ'!E:E,0)</f>
        <v>43546.76</v>
      </c>
      <c r="E163" s="117">
        <v>1566</v>
      </c>
      <c r="F163" s="120" t="str">
        <f>_xlfn.XLOOKUP(E163, 'Action 1 Data'!B:B, 'Action 1 Data'!D:D, "0")</f>
        <v>0</v>
      </c>
      <c r="G163" t="s">
        <v>1162</v>
      </c>
      <c r="H163" t="s">
        <v>1162</v>
      </c>
      <c r="I163">
        <v>0</v>
      </c>
      <c r="J163">
        <v>4364402</v>
      </c>
      <c r="K163">
        <v>9748.7641889999995</v>
      </c>
      <c r="L163">
        <v>4364384.9498859998</v>
      </c>
      <c r="M163">
        <f>_xlfn.XLOOKUP(E163, 'Model Modeshare by TAZ'!A:A, 'Model Modeshare by TAZ'!G:G,"0")</f>
        <v>130.52000000000001</v>
      </c>
      <c r="N163">
        <f>_xlfn.XLOOKUP(E163, 'Model Modeshare by TAZ'!A:A, 'Model Modeshare by TAZ'!E:E,"0")</f>
        <v>4475.0200000000004</v>
      </c>
      <c r="O163">
        <f>_xlfn.XLOOKUP(E163,'Model Modeshare by TAZ'!A:A,'Model Modeshare by TAZ'!F:F,"0")</f>
        <v>2428.6799999999998</v>
      </c>
      <c r="P163">
        <f>_xlfn.XLOOKUP(E163,'Model Modeshare by TAZ'!A:A,'Model Modeshare by TAZ'!J:J,"0")</f>
        <v>8973.9599999999991</v>
      </c>
    </row>
    <row r="164" spans="1:16" x14ac:dyDescent="0.35">
      <c r="A164">
        <v>166</v>
      </c>
      <c r="B164" t="s">
        <v>1161</v>
      </c>
      <c r="C164">
        <v>2770</v>
      </c>
      <c r="D164" s="120">
        <f>_xlfn.XLOOKUP(E164,'Model VMT by TAZ'!A:A,'Model VMT by TAZ'!E:E,0)</f>
        <v>138650.23999999999</v>
      </c>
      <c r="E164" s="117">
        <v>1624</v>
      </c>
      <c r="F164" s="120" t="str">
        <f>_xlfn.XLOOKUP(E164, 'Action 1 Data'!B:B, 'Action 1 Data'!D:D, "0")</f>
        <v>0</v>
      </c>
      <c r="G164" t="s">
        <v>1162</v>
      </c>
      <c r="H164" t="s">
        <v>1162</v>
      </c>
      <c r="I164">
        <v>0</v>
      </c>
      <c r="J164">
        <v>6161076</v>
      </c>
      <c r="K164">
        <v>11680.224903</v>
      </c>
      <c r="L164">
        <v>6161050.8940789998</v>
      </c>
      <c r="M164">
        <f>_xlfn.XLOOKUP(E164, 'Model Modeshare by TAZ'!A:A, 'Model Modeshare by TAZ'!G:G,"0")</f>
        <v>335.82</v>
      </c>
      <c r="N164">
        <f>_xlfn.XLOOKUP(E164, 'Model Modeshare by TAZ'!A:A, 'Model Modeshare by TAZ'!E:E,"0")</f>
        <v>10239.58</v>
      </c>
      <c r="O164">
        <f>_xlfn.XLOOKUP(E164,'Model Modeshare by TAZ'!A:A,'Model Modeshare by TAZ'!F:F,"0")</f>
        <v>3566.44</v>
      </c>
      <c r="P164">
        <f>_xlfn.XLOOKUP(E164,'Model Modeshare by TAZ'!A:A,'Model Modeshare by TAZ'!J:J,"0")</f>
        <v>15419.46</v>
      </c>
    </row>
    <row r="165" spans="1:16" x14ac:dyDescent="0.35">
      <c r="A165">
        <v>167</v>
      </c>
      <c r="B165" t="s">
        <v>1161</v>
      </c>
      <c r="C165">
        <v>2771</v>
      </c>
      <c r="D165" s="120">
        <f>_xlfn.XLOOKUP(E165,'Model VMT by TAZ'!A:A,'Model VMT by TAZ'!E:E,0)</f>
        <v>26890.77</v>
      </c>
      <c r="E165" s="117">
        <v>1669</v>
      </c>
      <c r="F165" s="120">
        <f>_xlfn.XLOOKUP(E165, 'Action 1 Data'!B:B, 'Action 1 Data'!D:D, "0")</f>
        <v>0</v>
      </c>
      <c r="G165" t="s">
        <v>1162</v>
      </c>
      <c r="H165" t="s">
        <v>1162</v>
      </c>
      <c r="I165">
        <v>0</v>
      </c>
      <c r="J165">
        <v>7213493</v>
      </c>
      <c r="K165">
        <v>13948.753787</v>
      </c>
      <c r="L165">
        <v>7213463.8066469999</v>
      </c>
      <c r="M165">
        <f>_xlfn.XLOOKUP(E165, 'Model Modeshare by TAZ'!A:A, 'Model Modeshare by TAZ'!G:G,"0")</f>
        <v>25.84</v>
      </c>
      <c r="N165">
        <f>_xlfn.XLOOKUP(E165, 'Model Modeshare by TAZ'!A:A, 'Model Modeshare by TAZ'!E:E,"0")</f>
        <v>1952.2</v>
      </c>
      <c r="O165">
        <f>_xlfn.XLOOKUP(E165,'Model Modeshare by TAZ'!A:A,'Model Modeshare by TAZ'!F:F,"0")</f>
        <v>616.41999999999996</v>
      </c>
      <c r="P165">
        <f>_xlfn.XLOOKUP(E165,'Model Modeshare by TAZ'!A:A,'Model Modeshare by TAZ'!J:J,"0")</f>
        <v>2765.92</v>
      </c>
    </row>
    <row r="166" spans="1:16" x14ac:dyDescent="0.35">
      <c r="A166">
        <v>168</v>
      </c>
      <c r="B166" t="s">
        <v>1161</v>
      </c>
      <c r="C166">
        <v>2772</v>
      </c>
      <c r="D166" s="120">
        <f>_xlfn.XLOOKUP(E166,'Model VMT by TAZ'!A:A,'Model VMT by TAZ'!E:E,0)</f>
        <v>117318.96</v>
      </c>
      <c r="E166" s="117">
        <v>1670</v>
      </c>
      <c r="F166" s="120">
        <f>_xlfn.XLOOKUP(E166, 'Action 1 Data'!B:B, 'Action 1 Data'!D:D, "0")</f>
        <v>46</v>
      </c>
      <c r="G166" t="s">
        <v>1162</v>
      </c>
      <c r="H166" t="s">
        <v>1162</v>
      </c>
      <c r="I166">
        <v>0</v>
      </c>
      <c r="J166">
        <v>7284932</v>
      </c>
      <c r="K166">
        <v>14142.213191999999</v>
      </c>
      <c r="L166">
        <v>7284902.472108</v>
      </c>
      <c r="M166">
        <f>_xlfn.XLOOKUP(E166, 'Model Modeshare by TAZ'!A:A, 'Model Modeshare by TAZ'!G:G,"0")</f>
        <v>373.32</v>
      </c>
      <c r="N166">
        <f>_xlfn.XLOOKUP(E166, 'Model Modeshare by TAZ'!A:A, 'Model Modeshare by TAZ'!E:E,"0")</f>
        <v>6927.26</v>
      </c>
      <c r="O166">
        <f>_xlfn.XLOOKUP(E166,'Model Modeshare by TAZ'!A:A,'Model Modeshare by TAZ'!F:F,"0")</f>
        <v>1847.6</v>
      </c>
      <c r="P166">
        <f>_xlfn.XLOOKUP(E166,'Model Modeshare by TAZ'!A:A,'Model Modeshare by TAZ'!J:J,"0")</f>
        <v>10225.6</v>
      </c>
    </row>
    <row r="167" spans="1:16" x14ac:dyDescent="0.35">
      <c r="A167">
        <v>169</v>
      </c>
      <c r="B167" t="s">
        <v>1161</v>
      </c>
      <c r="C167">
        <v>2773</v>
      </c>
      <c r="D167" s="120">
        <f>_xlfn.XLOOKUP(E167,'Model VMT by TAZ'!A:A,'Model VMT by TAZ'!E:E,0)</f>
        <v>86429.56</v>
      </c>
      <c r="E167" s="117">
        <v>1567</v>
      </c>
      <c r="F167" s="120">
        <f>_xlfn.XLOOKUP(E167, 'Action 1 Data'!B:B, 'Action 1 Data'!D:D, "0")</f>
        <v>1391</v>
      </c>
      <c r="G167" t="s">
        <v>1162</v>
      </c>
      <c r="H167" t="s">
        <v>1162</v>
      </c>
      <c r="I167">
        <v>0</v>
      </c>
      <c r="J167">
        <v>5405765</v>
      </c>
      <c r="K167">
        <v>11003.595415</v>
      </c>
      <c r="L167">
        <v>5405742.9323540004</v>
      </c>
      <c r="M167">
        <f>_xlfn.XLOOKUP(E167, 'Model Modeshare by TAZ'!A:A, 'Model Modeshare by TAZ'!G:G,"0")</f>
        <v>330.24</v>
      </c>
      <c r="N167">
        <f>_xlfn.XLOOKUP(E167, 'Model Modeshare by TAZ'!A:A, 'Model Modeshare by TAZ'!E:E,"0")</f>
        <v>6642.72</v>
      </c>
      <c r="O167">
        <f>_xlfn.XLOOKUP(E167,'Model Modeshare by TAZ'!A:A,'Model Modeshare by TAZ'!F:F,"0")</f>
        <v>3335.6</v>
      </c>
      <c r="P167">
        <f>_xlfn.XLOOKUP(E167,'Model Modeshare by TAZ'!A:A,'Model Modeshare by TAZ'!J:J,"0")</f>
        <v>11654.76</v>
      </c>
    </row>
    <row r="168" spans="1:16" x14ac:dyDescent="0.35">
      <c r="A168">
        <v>170</v>
      </c>
      <c r="B168" t="s">
        <v>1161</v>
      </c>
      <c r="C168">
        <v>2775</v>
      </c>
      <c r="D168" s="120">
        <f>_xlfn.XLOOKUP(E168,'Model VMT by TAZ'!A:A,'Model VMT by TAZ'!E:E,0)</f>
        <v>81087.149999999994</v>
      </c>
      <c r="E168" s="117">
        <v>1986</v>
      </c>
      <c r="F168" s="120" t="str">
        <f>_xlfn.XLOOKUP(E168, 'Action 1 Data'!B:B, 'Action 1 Data'!D:D, "0")</f>
        <v>0</v>
      </c>
      <c r="G168" t="s">
        <v>1162</v>
      </c>
      <c r="H168" t="s">
        <v>1162</v>
      </c>
      <c r="I168">
        <v>0</v>
      </c>
      <c r="J168">
        <v>10474814</v>
      </c>
      <c r="K168">
        <v>16200.581681</v>
      </c>
      <c r="L168">
        <v>10474771.747686001</v>
      </c>
      <c r="M168">
        <f>_xlfn.XLOOKUP(E168, 'Model Modeshare by TAZ'!A:A, 'Model Modeshare by TAZ'!G:G,"0")</f>
        <v>353.78</v>
      </c>
      <c r="N168">
        <f>_xlfn.XLOOKUP(E168, 'Model Modeshare by TAZ'!A:A, 'Model Modeshare by TAZ'!E:E,"0")</f>
        <v>8852.92</v>
      </c>
      <c r="O168">
        <f>_xlfn.XLOOKUP(E168,'Model Modeshare by TAZ'!A:A,'Model Modeshare by TAZ'!F:F,"0")</f>
        <v>5537.84</v>
      </c>
      <c r="P168">
        <f>_xlfn.XLOOKUP(E168,'Model Modeshare by TAZ'!A:A,'Model Modeshare by TAZ'!J:J,"0")</f>
        <v>17130.759999999998</v>
      </c>
    </row>
    <row r="169" spans="1:16" x14ac:dyDescent="0.35">
      <c r="A169">
        <v>171</v>
      </c>
      <c r="B169" t="s">
        <v>1161</v>
      </c>
      <c r="C169">
        <v>2776</v>
      </c>
      <c r="D169" s="120">
        <f>_xlfn.XLOOKUP(E169,'Model VMT by TAZ'!A:A,'Model VMT by TAZ'!E:E,0)</f>
        <v>70504.86</v>
      </c>
      <c r="E169" s="117">
        <v>1657</v>
      </c>
      <c r="F169" s="120">
        <f>_xlfn.XLOOKUP(E169, 'Action 1 Data'!B:B, 'Action 1 Data'!D:D, "0")</f>
        <v>2341</v>
      </c>
      <c r="G169" t="s">
        <v>1162</v>
      </c>
      <c r="H169" t="s">
        <v>1162</v>
      </c>
      <c r="I169">
        <v>0</v>
      </c>
      <c r="J169">
        <v>7033142</v>
      </c>
      <c r="K169">
        <v>13093.572538</v>
      </c>
      <c r="L169">
        <v>7033114.151389</v>
      </c>
      <c r="M169">
        <f>_xlfn.XLOOKUP(E169, 'Model Modeshare by TAZ'!A:A, 'Model Modeshare by TAZ'!G:G,"0")</f>
        <v>318.86</v>
      </c>
      <c r="N169">
        <f>_xlfn.XLOOKUP(E169, 'Model Modeshare by TAZ'!A:A, 'Model Modeshare by TAZ'!E:E,"0")</f>
        <v>8839.4</v>
      </c>
      <c r="O169">
        <f>_xlfn.XLOOKUP(E169,'Model Modeshare by TAZ'!A:A,'Model Modeshare by TAZ'!F:F,"0")</f>
        <v>4762.08</v>
      </c>
      <c r="P169">
        <f>_xlfn.XLOOKUP(E169,'Model Modeshare by TAZ'!A:A,'Model Modeshare by TAZ'!J:J,"0")</f>
        <v>16036.56</v>
      </c>
    </row>
    <row r="170" spans="1:16" x14ac:dyDescent="0.35">
      <c r="A170">
        <v>172</v>
      </c>
      <c r="B170" t="s">
        <v>1161</v>
      </c>
      <c r="C170">
        <v>2777</v>
      </c>
      <c r="D170" s="120">
        <f>_xlfn.XLOOKUP(E170,'Model VMT by TAZ'!A:A,'Model VMT by TAZ'!E:E,0)</f>
        <v>28313.52</v>
      </c>
      <c r="E170" s="117">
        <v>1551</v>
      </c>
      <c r="F170" s="120">
        <f>_xlfn.XLOOKUP(E170, 'Action 1 Data'!B:B, 'Action 1 Data'!D:D, "0")</f>
        <v>665</v>
      </c>
      <c r="G170" t="s">
        <v>1162</v>
      </c>
      <c r="H170" t="s">
        <v>1162</v>
      </c>
      <c r="I170">
        <v>0</v>
      </c>
      <c r="J170">
        <v>2780369</v>
      </c>
      <c r="K170">
        <v>9940.7143730000007</v>
      </c>
      <c r="L170">
        <v>2780358.0578000001</v>
      </c>
      <c r="M170">
        <f>_xlfn.XLOOKUP(E170, 'Model Modeshare by TAZ'!A:A, 'Model Modeshare by TAZ'!G:G,"0")</f>
        <v>135.1</v>
      </c>
      <c r="N170">
        <f>_xlfn.XLOOKUP(E170, 'Model Modeshare by TAZ'!A:A, 'Model Modeshare by TAZ'!E:E,"0")</f>
        <v>4948.78</v>
      </c>
      <c r="O170">
        <f>_xlfn.XLOOKUP(E170,'Model Modeshare by TAZ'!A:A,'Model Modeshare by TAZ'!F:F,"0")</f>
        <v>2259.2600000000002</v>
      </c>
      <c r="P170">
        <f>_xlfn.XLOOKUP(E170,'Model Modeshare by TAZ'!A:A,'Model Modeshare by TAZ'!J:J,"0")</f>
        <v>9470.36</v>
      </c>
    </row>
    <row r="171" spans="1:16" x14ac:dyDescent="0.35">
      <c r="A171">
        <v>173</v>
      </c>
      <c r="B171" t="s">
        <v>1161</v>
      </c>
      <c r="C171">
        <v>2781</v>
      </c>
      <c r="D171" s="120">
        <f>_xlfn.XLOOKUP(E171,'Model VMT by TAZ'!A:A,'Model VMT by TAZ'!E:E,0)</f>
        <v>50.72</v>
      </c>
      <c r="E171" s="117">
        <v>1626</v>
      </c>
      <c r="F171" s="120" t="str">
        <f>_xlfn.XLOOKUP(E171, 'Action 1 Data'!B:B, 'Action 1 Data'!D:D, "0")</f>
        <v>0</v>
      </c>
      <c r="G171" t="s">
        <v>1162</v>
      </c>
      <c r="H171" t="s">
        <v>1162</v>
      </c>
      <c r="I171">
        <v>0</v>
      </c>
      <c r="J171">
        <v>7056432</v>
      </c>
      <c r="K171">
        <v>11724.108925</v>
      </c>
      <c r="L171">
        <v>7056404.0848810002</v>
      </c>
      <c r="M171">
        <f>_xlfn.XLOOKUP(E171, 'Model Modeshare by TAZ'!A:A, 'Model Modeshare by TAZ'!G:G,"0")</f>
        <v>0</v>
      </c>
      <c r="N171">
        <f>_xlfn.XLOOKUP(E171, 'Model Modeshare by TAZ'!A:A, 'Model Modeshare by TAZ'!E:E,"0")</f>
        <v>8.0399999999999991</v>
      </c>
      <c r="O171">
        <f>_xlfn.XLOOKUP(E171,'Model Modeshare by TAZ'!A:A,'Model Modeshare by TAZ'!F:F,"0")</f>
        <v>0.06</v>
      </c>
      <c r="P171">
        <f>_xlfn.XLOOKUP(E171,'Model Modeshare by TAZ'!A:A,'Model Modeshare by TAZ'!J:J,"0")</f>
        <v>10.66</v>
      </c>
    </row>
    <row r="172" spans="1:16" x14ac:dyDescent="0.35">
      <c r="A172">
        <v>174</v>
      </c>
      <c r="B172" t="s">
        <v>1161</v>
      </c>
      <c r="C172">
        <v>2782</v>
      </c>
      <c r="D172" s="120">
        <f>_xlfn.XLOOKUP(E172,'Model VMT by TAZ'!A:A,'Model VMT by TAZ'!E:E,0)</f>
        <v>70753.62</v>
      </c>
      <c r="E172" s="117">
        <v>1672</v>
      </c>
      <c r="F172" s="120" t="str">
        <f>_xlfn.XLOOKUP(E172, 'Action 1 Data'!B:B, 'Action 1 Data'!D:D, "0")</f>
        <v>0</v>
      </c>
      <c r="G172" t="s">
        <v>1162</v>
      </c>
      <c r="H172" t="s">
        <v>1162</v>
      </c>
      <c r="I172">
        <v>0</v>
      </c>
      <c r="J172">
        <v>12124854</v>
      </c>
      <c r="K172">
        <v>15951.407707</v>
      </c>
      <c r="L172">
        <v>12124805.794365</v>
      </c>
      <c r="M172">
        <f>_xlfn.XLOOKUP(E172, 'Model Modeshare by TAZ'!A:A, 'Model Modeshare by TAZ'!G:G,"0")</f>
        <v>120.76</v>
      </c>
      <c r="N172">
        <f>_xlfn.XLOOKUP(E172, 'Model Modeshare by TAZ'!A:A, 'Model Modeshare by TAZ'!E:E,"0")</f>
        <v>6917.78</v>
      </c>
      <c r="O172">
        <f>_xlfn.XLOOKUP(E172,'Model Modeshare by TAZ'!A:A,'Model Modeshare by TAZ'!F:F,"0")</f>
        <v>3632.88</v>
      </c>
      <c r="P172">
        <f>_xlfn.XLOOKUP(E172,'Model Modeshare by TAZ'!A:A,'Model Modeshare by TAZ'!J:J,"0")</f>
        <v>11362.1</v>
      </c>
    </row>
    <row r="173" spans="1:16" x14ac:dyDescent="0.35">
      <c r="A173">
        <v>175</v>
      </c>
      <c r="B173" t="s">
        <v>1161</v>
      </c>
      <c r="C173">
        <v>2789</v>
      </c>
      <c r="D173" s="120">
        <f>_xlfn.XLOOKUP(E173,'Model VMT by TAZ'!A:A,'Model VMT by TAZ'!E:E,0)</f>
        <v>116592.42</v>
      </c>
      <c r="E173" s="117">
        <v>1613</v>
      </c>
      <c r="F173" s="120">
        <f>_xlfn.XLOOKUP(E173, 'Action 1 Data'!B:B, 'Action 1 Data'!D:D, "0")</f>
        <v>33</v>
      </c>
      <c r="G173" t="s">
        <v>1162</v>
      </c>
      <c r="H173" t="s">
        <v>1162</v>
      </c>
      <c r="I173">
        <v>0</v>
      </c>
      <c r="J173">
        <v>7960077</v>
      </c>
      <c r="K173">
        <v>12590.158847999999</v>
      </c>
      <c r="L173">
        <v>7960044.756058</v>
      </c>
      <c r="M173">
        <f>_xlfn.XLOOKUP(E173, 'Model Modeshare by TAZ'!A:A, 'Model Modeshare by TAZ'!G:G,"0")</f>
        <v>241.78</v>
      </c>
      <c r="N173">
        <f>_xlfn.XLOOKUP(E173, 'Model Modeshare by TAZ'!A:A, 'Model Modeshare by TAZ'!E:E,"0")</f>
        <v>7227</v>
      </c>
      <c r="O173">
        <f>_xlfn.XLOOKUP(E173,'Model Modeshare by TAZ'!A:A,'Model Modeshare by TAZ'!F:F,"0")</f>
        <v>2282.8000000000002</v>
      </c>
      <c r="P173">
        <f>_xlfn.XLOOKUP(E173,'Model Modeshare by TAZ'!A:A,'Model Modeshare by TAZ'!J:J,"0")</f>
        <v>10652.64</v>
      </c>
    </row>
    <row r="174" spans="1:16" x14ac:dyDescent="0.35">
      <c r="A174">
        <v>176</v>
      </c>
      <c r="B174" t="s">
        <v>1161</v>
      </c>
      <c r="C174">
        <v>2790</v>
      </c>
      <c r="D174" s="120">
        <f>_xlfn.XLOOKUP(E174,'Model VMT by TAZ'!A:A,'Model VMT by TAZ'!E:E,0)</f>
        <v>99436.6</v>
      </c>
      <c r="E174" s="117">
        <v>1544</v>
      </c>
      <c r="F174" s="120">
        <f>_xlfn.XLOOKUP(E174, 'Action 1 Data'!B:B, 'Action 1 Data'!D:D, "0")</f>
        <v>380</v>
      </c>
      <c r="G174" t="s">
        <v>1162</v>
      </c>
      <c r="H174" t="s">
        <v>1162</v>
      </c>
      <c r="I174">
        <v>0</v>
      </c>
      <c r="J174">
        <v>2017910</v>
      </c>
      <c r="K174">
        <v>6948.5966920000001</v>
      </c>
      <c r="L174">
        <v>2017901.4680310001</v>
      </c>
      <c r="M174">
        <f>_xlfn.XLOOKUP(E174, 'Model Modeshare by TAZ'!A:A, 'Model Modeshare by TAZ'!G:G,"0")</f>
        <v>242.94</v>
      </c>
      <c r="N174">
        <f>_xlfn.XLOOKUP(E174, 'Model Modeshare by TAZ'!A:A, 'Model Modeshare by TAZ'!E:E,"0")</f>
        <v>6537.76</v>
      </c>
      <c r="O174">
        <f>_xlfn.XLOOKUP(E174,'Model Modeshare by TAZ'!A:A,'Model Modeshare by TAZ'!F:F,"0")</f>
        <v>2324.5</v>
      </c>
      <c r="P174">
        <f>_xlfn.XLOOKUP(E174,'Model Modeshare by TAZ'!A:A,'Model Modeshare by TAZ'!J:J,"0")</f>
        <v>10040.780000000001</v>
      </c>
    </row>
    <row r="175" spans="1:16" x14ac:dyDescent="0.35">
      <c r="A175">
        <v>177</v>
      </c>
      <c r="B175" t="s">
        <v>1161</v>
      </c>
      <c r="C175">
        <v>2799</v>
      </c>
      <c r="D175" s="120">
        <f>_xlfn.XLOOKUP(E175,'Model VMT by TAZ'!A:A,'Model VMT by TAZ'!E:E,0)</f>
        <v>93722.33</v>
      </c>
      <c r="E175" s="117">
        <v>1623</v>
      </c>
      <c r="F175" s="120">
        <f>_xlfn.XLOOKUP(E175, 'Action 1 Data'!B:B, 'Action 1 Data'!D:D, "0")</f>
        <v>2661</v>
      </c>
      <c r="G175" t="s">
        <v>1162</v>
      </c>
      <c r="H175" t="s">
        <v>1162</v>
      </c>
      <c r="I175">
        <v>0</v>
      </c>
      <c r="J175">
        <v>8020045</v>
      </c>
      <c r="K175">
        <v>12271.861166999999</v>
      </c>
      <c r="L175">
        <v>8020012.5070639998</v>
      </c>
      <c r="M175">
        <f>_xlfn.XLOOKUP(E175, 'Model Modeshare by TAZ'!A:A, 'Model Modeshare by TAZ'!G:G,"0")</f>
        <v>338.62</v>
      </c>
      <c r="N175">
        <f>_xlfn.XLOOKUP(E175, 'Model Modeshare by TAZ'!A:A, 'Model Modeshare by TAZ'!E:E,"0")</f>
        <v>9676.82</v>
      </c>
      <c r="O175">
        <f>_xlfn.XLOOKUP(E175,'Model Modeshare by TAZ'!A:A,'Model Modeshare by TAZ'!F:F,"0")</f>
        <v>4991.22</v>
      </c>
      <c r="P175">
        <f>_xlfn.XLOOKUP(E175,'Model Modeshare by TAZ'!A:A,'Model Modeshare by TAZ'!J:J,"0")</f>
        <v>19461.88</v>
      </c>
    </row>
    <row r="176" spans="1:16" x14ac:dyDescent="0.35">
      <c r="A176">
        <v>178</v>
      </c>
      <c r="B176" t="s">
        <v>1161</v>
      </c>
      <c r="C176">
        <v>2801</v>
      </c>
      <c r="D176" s="120">
        <f>_xlfn.XLOOKUP(E176,'Model VMT by TAZ'!A:A,'Model VMT by TAZ'!E:E,0)</f>
        <v>370563.71</v>
      </c>
      <c r="E176" s="117">
        <v>2015</v>
      </c>
      <c r="F176" s="120">
        <f>_xlfn.XLOOKUP(E176, 'Action 1 Data'!B:B, 'Action 1 Data'!D:D, "0")</f>
        <v>2152</v>
      </c>
      <c r="G176" t="s">
        <v>1162</v>
      </c>
      <c r="H176" t="s">
        <v>1162</v>
      </c>
      <c r="I176">
        <v>0</v>
      </c>
      <c r="J176">
        <v>5513959</v>
      </c>
      <c r="K176">
        <v>10240.266446</v>
      </c>
      <c r="L176">
        <v>5513937.4154709997</v>
      </c>
      <c r="M176">
        <f>_xlfn.XLOOKUP(E176, 'Model Modeshare by TAZ'!A:A, 'Model Modeshare by TAZ'!G:G,"0")</f>
        <v>1702.22</v>
      </c>
      <c r="N176">
        <f>_xlfn.XLOOKUP(E176, 'Model Modeshare by TAZ'!A:A, 'Model Modeshare by TAZ'!E:E,"0")</f>
        <v>32184.68</v>
      </c>
      <c r="O176">
        <f>_xlfn.XLOOKUP(E176,'Model Modeshare by TAZ'!A:A,'Model Modeshare by TAZ'!F:F,"0")</f>
        <v>11044.78</v>
      </c>
      <c r="P176">
        <f>_xlfn.XLOOKUP(E176,'Model Modeshare by TAZ'!A:A,'Model Modeshare by TAZ'!J:J,"0")</f>
        <v>50693.34</v>
      </c>
    </row>
    <row r="177" spans="1:16" x14ac:dyDescent="0.35">
      <c r="A177">
        <v>179</v>
      </c>
      <c r="B177" t="s">
        <v>1161</v>
      </c>
      <c r="C177">
        <v>2812</v>
      </c>
      <c r="D177" s="120">
        <f>_xlfn.XLOOKUP(E177,'Model VMT by TAZ'!A:A,'Model VMT by TAZ'!E:E,0)</f>
        <v>29338.38</v>
      </c>
      <c r="E177" s="117">
        <v>1596</v>
      </c>
      <c r="F177" s="120" t="str">
        <f>_xlfn.XLOOKUP(E177, 'Action 1 Data'!B:B, 'Action 1 Data'!D:D, "0")</f>
        <v>0</v>
      </c>
      <c r="G177" t="s">
        <v>1162</v>
      </c>
      <c r="H177" t="s">
        <v>1162</v>
      </c>
      <c r="I177">
        <v>0</v>
      </c>
      <c r="J177">
        <v>3149371</v>
      </c>
      <c r="K177">
        <v>7499.543154</v>
      </c>
      <c r="L177">
        <v>3149358.7522280002</v>
      </c>
      <c r="M177">
        <f>_xlfn.XLOOKUP(E177, 'Model Modeshare by TAZ'!A:A, 'Model Modeshare by TAZ'!G:G,"0")</f>
        <v>248.08</v>
      </c>
      <c r="N177">
        <f>_xlfn.XLOOKUP(E177, 'Model Modeshare by TAZ'!A:A, 'Model Modeshare by TAZ'!E:E,"0")</f>
        <v>3288.14</v>
      </c>
      <c r="O177">
        <f>_xlfn.XLOOKUP(E177,'Model Modeshare by TAZ'!A:A,'Model Modeshare by TAZ'!F:F,"0")</f>
        <v>2148.8000000000002</v>
      </c>
      <c r="P177">
        <f>_xlfn.XLOOKUP(E177,'Model Modeshare by TAZ'!A:A,'Model Modeshare by TAZ'!J:J,"0")</f>
        <v>6925.72</v>
      </c>
    </row>
    <row r="178" spans="1:16" x14ac:dyDescent="0.35">
      <c r="A178">
        <v>180</v>
      </c>
      <c r="B178" t="s">
        <v>1161</v>
      </c>
      <c r="C178">
        <v>2820</v>
      </c>
      <c r="D178" s="120">
        <f>_xlfn.XLOOKUP(E178,'Model VMT by TAZ'!A:A,'Model VMT by TAZ'!E:E,0)</f>
        <v>22575.14</v>
      </c>
      <c r="E178" s="117">
        <v>1572</v>
      </c>
      <c r="F178" s="120">
        <f>_xlfn.XLOOKUP(E178, 'Action 1 Data'!B:B, 'Action 1 Data'!D:D, "0")</f>
        <v>774</v>
      </c>
      <c r="G178" t="s">
        <v>1162</v>
      </c>
      <c r="H178" t="s">
        <v>1162</v>
      </c>
      <c r="I178">
        <v>0</v>
      </c>
      <c r="J178">
        <v>975651</v>
      </c>
      <c r="K178">
        <v>4146.2470320000002</v>
      </c>
      <c r="L178">
        <v>975647.15875399997</v>
      </c>
      <c r="M178">
        <f>_xlfn.XLOOKUP(E178, 'Model Modeshare by TAZ'!A:A, 'Model Modeshare by TAZ'!G:G,"0")</f>
        <v>124.52</v>
      </c>
      <c r="N178">
        <f>_xlfn.XLOOKUP(E178, 'Model Modeshare by TAZ'!A:A, 'Model Modeshare by TAZ'!E:E,"0")</f>
        <v>2175.7199999999998</v>
      </c>
      <c r="O178">
        <f>_xlfn.XLOOKUP(E178,'Model Modeshare by TAZ'!A:A,'Model Modeshare by TAZ'!F:F,"0")</f>
        <v>1267.04</v>
      </c>
      <c r="P178">
        <f>_xlfn.XLOOKUP(E178,'Model Modeshare by TAZ'!A:A,'Model Modeshare by TAZ'!J:J,"0")</f>
        <v>4153.72</v>
      </c>
    </row>
    <row r="179" spans="1:16" x14ac:dyDescent="0.35">
      <c r="A179">
        <v>181</v>
      </c>
      <c r="B179" t="s">
        <v>1161</v>
      </c>
      <c r="C179">
        <v>2821</v>
      </c>
      <c r="D179" s="120">
        <f>_xlfn.XLOOKUP(E179,'Model VMT by TAZ'!A:A,'Model VMT by TAZ'!E:E,0)</f>
        <v>8234.0400000000009</v>
      </c>
      <c r="E179" s="117">
        <v>1629</v>
      </c>
      <c r="F179" s="120" t="str">
        <f>_xlfn.XLOOKUP(E179, 'Action 1 Data'!B:B, 'Action 1 Data'!D:D, "0")</f>
        <v>0</v>
      </c>
      <c r="G179" t="s">
        <v>1162</v>
      </c>
      <c r="H179" t="s">
        <v>1162</v>
      </c>
      <c r="I179">
        <v>0</v>
      </c>
      <c r="J179">
        <v>950519</v>
      </c>
      <c r="K179">
        <v>3854.8731640000001</v>
      </c>
      <c r="L179">
        <v>950515.07299599994</v>
      </c>
      <c r="M179">
        <f>_xlfn.XLOOKUP(E179, 'Model Modeshare by TAZ'!A:A, 'Model Modeshare by TAZ'!G:G,"0")</f>
        <v>40.5</v>
      </c>
      <c r="N179">
        <f>_xlfn.XLOOKUP(E179, 'Model Modeshare by TAZ'!A:A, 'Model Modeshare by TAZ'!E:E,"0")</f>
        <v>1331.54</v>
      </c>
      <c r="O179">
        <f>_xlfn.XLOOKUP(E179,'Model Modeshare by TAZ'!A:A,'Model Modeshare by TAZ'!F:F,"0")</f>
        <v>543.02</v>
      </c>
      <c r="P179">
        <f>_xlfn.XLOOKUP(E179,'Model Modeshare by TAZ'!A:A,'Model Modeshare by TAZ'!J:J,"0")</f>
        <v>2182.8000000000002</v>
      </c>
    </row>
    <row r="180" spans="1:16" x14ac:dyDescent="0.35">
      <c r="A180">
        <v>182</v>
      </c>
      <c r="B180" t="s">
        <v>1161</v>
      </c>
      <c r="C180">
        <v>2822</v>
      </c>
      <c r="D180" s="120">
        <f>_xlfn.XLOOKUP(E180,'Model VMT by TAZ'!A:A,'Model VMT by TAZ'!E:E,0)</f>
        <v>10859.55</v>
      </c>
      <c r="E180" s="117">
        <v>1680</v>
      </c>
      <c r="F180" s="120" t="str">
        <f>_xlfn.XLOOKUP(E180, 'Action 1 Data'!B:B, 'Action 1 Data'!D:D, "0")</f>
        <v>0</v>
      </c>
      <c r="G180" t="s">
        <v>1162</v>
      </c>
      <c r="H180" t="s">
        <v>1162</v>
      </c>
      <c r="I180">
        <v>0</v>
      </c>
      <c r="J180">
        <v>1058688</v>
      </c>
      <c r="K180">
        <v>4445.6743569999999</v>
      </c>
      <c r="L180">
        <v>1058683.5019990001</v>
      </c>
      <c r="M180">
        <f>_xlfn.XLOOKUP(E180, 'Model Modeshare by TAZ'!A:A, 'Model Modeshare by TAZ'!G:G,"0")</f>
        <v>49.84</v>
      </c>
      <c r="N180">
        <f>_xlfn.XLOOKUP(E180, 'Model Modeshare by TAZ'!A:A, 'Model Modeshare by TAZ'!E:E,"0")</f>
        <v>1450.52</v>
      </c>
      <c r="O180">
        <f>_xlfn.XLOOKUP(E180,'Model Modeshare by TAZ'!A:A,'Model Modeshare by TAZ'!F:F,"0")</f>
        <v>822.74</v>
      </c>
      <c r="P180">
        <f>_xlfn.XLOOKUP(E180,'Model Modeshare by TAZ'!A:A,'Model Modeshare by TAZ'!J:J,"0")</f>
        <v>2659.56</v>
      </c>
    </row>
    <row r="181" spans="1:16" x14ac:dyDescent="0.35">
      <c r="A181">
        <v>183</v>
      </c>
      <c r="B181" t="s">
        <v>1161</v>
      </c>
      <c r="C181">
        <v>2823</v>
      </c>
      <c r="D181" s="120">
        <f>_xlfn.XLOOKUP(E181,'Model VMT by TAZ'!A:A,'Model VMT by TAZ'!E:E,0)</f>
        <v>12585.82</v>
      </c>
      <c r="E181" s="117">
        <v>1576</v>
      </c>
      <c r="F181" s="120">
        <f>_xlfn.XLOOKUP(E181, 'Action 1 Data'!B:B, 'Action 1 Data'!D:D, "0")</f>
        <v>389</v>
      </c>
      <c r="G181" t="s">
        <v>1162</v>
      </c>
      <c r="H181" t="s">
        <v>1162</v>
      </c>
      <c r="I181">
        <v>0</v>
      </c>
      <c r="J181">
        <v>458179</v>
      </c>
      <c r="K181">
        <v>2890.6732010000001</v>
      </c>
      <c r="L181">
        <v>458177.315199</v>
      </c>
      <c r="M181">
        <f>_xlfn.XLOOKUP(E181, 'Model Modeshare by TAZ'!A:A, 'Model Modeshare by TAZ'!G:G,"0")</f>
        <v>101.42</v>
      </c>
      <c r="N181">
        <f>_xlfn.XLOOKUP(E181, 'Model Modeshare by TAZ'!A:A, 'Model Modeshare by TAZ'!E:E,"0")</f>
        <v>1808.58</v>
      </c>
      <c r="O181">
        <f>_xlfn.XLOOKUP(E181,'Model Modeshare by TAZ'!A:A,'Model Modeshare by TAZ'!F:F,"0")</f>
        <v>1014</v>
      </c>
      <c r="P181">
        <f>_xlfn.XLOOKUP(E181,'Model Modeshare by TAZ'!A:A,'Model Modeshare by TAZ'!J:J,"0")</f>
        <v>3439.56</v>
      </c>
    </row>
    <row r="182" spans="1:16" x14ac:dyDescent="0.35">
      <c r="A182">
        <v>184</v>
      </c>
      <c r="B182" t="s">
        <v>1161</v>
      </c>
      <c r="C182">
        <v>2825</v>
      </c>
      <c r="D182" s="120">
        <f>_xlfn.XLOOKUP(E182,'Model VMT by TAZ'!A:A,'Model VMT by TAZ'!E:E,0)</f>
        <v>25620</v>
      </c>
      <c r="E182" s="117">
        <v>1510</v>
      </c>
      <c r="F182" s="120" t="str">
        <f>_xlfn.XLOOKUP(E182, 'Action 1 Data'!B:B, 'Action 1 Data'!D:D, "0")</f>
        <v>0</v>
      </c>
      <c r="G182" t="s">
        <v>1162</v>
      </c>
      <c r="H182" t="s">
        <v>1162</v>
      </c>
      <c r="I182">
        <v>0</v>
      </c>
      <c r="J182">
        <v>1632065</v>
      </c>
      <c r="K182">
        <v>5551.2013120000001</v>
      </c>
      <c r="L182">
        <v>1632057.9997169999</v>
      </c>
      <c r="M182">
        <f>_xlfn.XLOOKUP(E182, 'Model Modeshare by TAZ'!A:A, 'Model Modeshare by TAZ'!G:G,"0")</f>
        <v>182.94</v>
      </c>
      <c r="N182">
        <f>_xlfn.XLOOKUP(E182, 'Model Modeshare by TAZ'!A:A, 'Model Modeshare by TAZ'!E:E,"0")</f>
        <v>2395.96</v>
      </c>
      <c r="O182">
        <f>_xlfn.XLOOKUP(E182,'Model Modeshare by TAZ'!A:A,'Model Modeshare by TAZ'!F:F,"0")</f>
        <v>1613.92</v>
      </c>
      <c r="P182">
        <f>_xlfn.XLOOKUP(E182,'Model Modeshare by TAZ'!A:A,'Model Modeshare by TAZ'!J:J,"0")</f>
        <v>5130.3599999999997</v>
      </c>
    </row>
    <row r="183" spans="1:16" x14ac:dyDescent="0.35">
      <c r="A183">
        <v>185</v>
      </c>
      <c r="B183" t="s">
        <v>1161</v>
      </c>
      <c r="C183">
        <v>2826</v>
      </c>
      <c r="D183" s="120">
        <f>_xlfn.XLOOKUP(E183,'Model VMT by TAZ'!A:A,'Model VMT by TAZ'!E:E,0)</f>
        <v>31629.98</v>
      </c>
      <c r="E183" s="117">
        <v>1550</v>
      </c>
      <c r="F183" s="120">
        <f>_xlfn.XLOOKUP(E183, 'Action 1 Data'!B:B, 'Action 1 Data'!D:D, "0")</f>
        <v>1876</v>
      </c>
      <c r="G183" t="s">
        <v>1162</v>
      </c>
      <c r="H183" t="s">
        <v>1162</v>
      </c>
      <c r="I183">
        <v>0</v>
      </c>
      <c r="J183">
        <v>6759801</v>
      </c>
      <c r="K183">
        <v>13522.178371</v>
      </c>
      <c r="L183">
        <v>6759773.9887030004</v>
      </c>
      <c r="M183">
        <f>_xlfn.XLOOKUP(E183, 'Model Modeshare by TAZ'!A:A, 'Model Modeshare by TAZ'!G:G,"0")</f>
        <v>111.94</v>
      </c>
      <c r="N183">
        <f>_xlfn.XLOOKUP(E183, 'Model Modeshare by TAZ'!A:A, 'Model Modeshare by TAZ'!E:E,"0")</f>
        <v>3802.22</v>
      </c>
      <c r="O183">
        <f>_xlfn.XLOOKUP(E183,'Model Modeshare by TAZ'!A:A,'Model Modeshare by TAZ'!F:F,"0")</f>
        <v>2460.54</v>
      </c>
      <c r="P183">
        <f>_xlfn.XLOOKUP(E183,'Model Modeshare by TAZ'!A:A,'Model Modeshare by TAZ'!J:J,"0")</f>
        <v>7466.8</v>
      </c>
    </row>
    <row r="184" spans="1:16" x14ac:dyDescent="0.35">
      <c r="A184">
        <v>186</v>
      </c>
      <c r="B184" t="s">
        <v>1161</v>
      </c>
      <c r="C184">
        <v>2827</v>
      </c>
      <c r="D184" s="120">
        <f>_xlfn.XLOOKUP(E184,'Model VMT by TAZ'!A:A,'Model VMT by TAZ'!E:E,0)</f>
        <v>31068.65</v>
      </c>
      <c r="E184" s="117">
        <v>1548</v>
      </c>
      <c r="F184" s="120">
        <f>_xlfn.XLOOKUP(E184, 'Action 1 Data'!B:B, 'Action 1 Data'!D:D, "0")</f>
        <v>1650</v>
      </c>
      <c r="G184" t="s">
        <v>1162</v>
      </c>
      <c r="H184" t="s">
        <v>1162</v>
      </c>
      <c r="I184">
        <v>0</v>
      </c>
      <c r="J184">
        <v>5468937</v>
      </c>
      <c r="K184">
        <v>10329.349824000001</v>
      </c>
      <c r="L184">
        <v>5468915.1437969999</v>
      </c>
      <c r="M184">
        <f>_xlfn.XLOOKUP(E184, 'Model Modeshare by TAZ'!A:A, 'Model Modeshare by TAZ'!G:G,"0")</f>
        <v>124.16</v>
      </c>
      <c r="N184">
        <f>_xlfn.XLOOKUP(E184, 'Model Modeshare by TAZ'!A:A, 'Model Modeshare by TAZ'!E:E,"0")</f>
        <v>4100.08</v>
      </c>
      <c r="O184">
        <f>_xlfn.XLOOKUP(E184,'Model Modeshare by TAZ'!A:A,'Model Modeshare by TAZ'!F:F,"0")</f>
        <v>2519.56</v>
      </c>
      <c r="P184">
        <f>_xlfn.XLOOKUP(E184,'Model Modeshare by TAZ'!A:A,'Model Modeshare by TAZ'!J:J,"0")</f>
        <v>8226</v>
      </c>
    </row>
    <row r="185" spans="1:16" x14ac:dyDescent="0.35">
      <c r="A185">
        <v>187</v>
      </c>
      <c r="B185" t="s">
        <v>1161</v>
      </c>
      <c r="C185">
        <v>2828</v>
      </c>
      <c r="D185" s="120">
        <f>_xlfn.XLOOKUP(E185,'Model VMT by TAZ'!A:A,'Model VMT by TAZ'!E:E,0)</f>
        <v>361223.72</v>
      </c>
      <c r="E185" s="117">
        <v>1549</v>
      </c>
      <c r="F185" s="120">
        <f>_xlfn.XLOOKUP(E185, 'Action 1 Data'!B:B, 'Action 1 Data'!D:D, "0")</f>
        <v>596</v>
      </c>
      <c r="G185" t="s">
        <v>1162</v>
      </c>
      <c r="H185" t="s">
        <v>1162</v>
      </c>
      <c r="I185">
        <v>0</v>
      </c>
      <c r="J185">
        <v>2939134</v>
      </c>
      <c r="K185">
        <v>9814.4325129999997</v>
      </c>
      <c r="L185">
        <v>2939122.4957010001</v>
      </c>
      <c r="M185">
        <f>_xlfn.XLOOKUP(E185, 'Model Modeshare by TAZ'!A:A, 'Model Modeshare by TAZ'!G:G,"0")</f>
        <v>860.72</v>
      </c>
      <c r="N185">
        <f>_xlfn.XLOOKUP(E185, 'Model Modeshare by TAZ'!A:A, 'Model Modeshare by TAZ'!E:E,"0")</f>
        <v>18793.939999999999</v>
      </c>
      <c r="O185">
        <f>_xlfn.XLOOKUP(E185,'Model Modeshare by TAZ'!A:A,'Model Modeshare by TAZ'!F:F,"0")</f>
        <v>8805.84</v>
      </c>
      <c r="P185">
        <f>_xlfn.XLOOKUP(E185,'Model Modeshare by TAZ'!A:A,'Model Modeshare by TAZ'!J:J,"0")</f>
        <v>32424.46</v>
      </c>
    </row>
    <row r="186" spans="1:16" x14ac:dyDescent="0.35">
      <c r="A186">
        <v>188</v>
      </c>
      <c r="B186" t="s">
        <v>1161</v>
      </c>
      <c r="C186">
        <v>2829</v>
      </c>
      <c r="D186" s="120">
        <f>_xlfn.XLOOKUP(E186,'Model VMT by TAZ'!A:A,'Model VMT by TAZ'!E:E,0)</f>
        <v>40018.25</v>
      </c>
      <c r="E186" s="117">
        <v>1687</v>
      </c>
      <c r="F186" s="120" t="str">
        <f>_xlfn.XLOOKUP(E186, 'Action 1 Data'!B:B, 'Action 1 Data'!D:D, "0")</f>
        <v>0</v>
      </c>
      <c r="G186" t="s">
        <v>1162</v>
      </c>
      <c r="H186" t="s">
        <v>1162</v>
      </c>
      <c r="I186">
        <v>0</v>
      </c>
      <c r="J186">
        <v>2026070</v>
      </c>
      <c r="K186">
        <v>7177.1772579999997</v>
      </c>
      <c r="L186">
        <v>2026062.0833070001</v>
      </c>
      <c r="M186">
        <f>_xlfn.XLOOKUP(E186, 'Model Modeshare by TAZ'!A:A, 'Model Modeshare by TAZ'!G:G,"0")</f>
        <v>65.58</v>
      </c>
      <c r="N186">
        <f>_xlfn.XLOOKUP(E186, 'Model Modeshare by TAZ'!A:A, 'Model Modeshare by TAZ'!E:E,"0")</f>
        <v>1332.3</v>
      </c>
      <c r="O186">
        <f>_xlfn.XLOOKUP(E186,'Model Modeshare by TAZ'!A:A,'Model Modeshare by TAZ'!F:F,"0")</f>
        <v>730.24</v>
      </c>
      <c r="P186">
        <f>_xlfn.XLOOKUP(E186,'Model Modeshare by TAZ'!A:A,'Model Modeshare by TAZ'!J:J,"0")</f>
        <v>2438.6799999999998</v>
      </c>
    </row>
    <row r="187" spans="1:16" x14ac:dyDescent="0.35">
      <c r="A187">
        <v>189</v>
      </c>
      <c r="B187" t="s">
        <v>1161</v>
      </c>
      <c r="C187">
        <v>2831</v>
      </c>
      <c r="D187" s="120">
        <f>_xlfn.XLOOKUP(E187,'Model VMT by TAZ'!A:A,'Model VMT by TAZ'!E:E,0)</f>
        <v>70980.12</v>
      </c>
      <c r="E187" s="117">
        <v>1656</v>
      </c>
      <c r="F187" s="120" t="str">
        <f>_xlfn.XLOOKUP(E187, 'Action 1 Data'!B:B, 'Action 1 Data'!D:D, "0")</f>
        <v>0</v>
      </c>
      <c r="G187" t="s">
        <v>1162</v>
      </c>
      <c r="H187" t="s">
        <v>1162</v>
      </c>
      <c r="I187">
        <v>0</v>
      </c>
      <c r="J187">
        <v>3819162</v>
      </c>
      <c r="K187">
        <v>11495.719489999999</v>
      </c>
      <c r="L187">
        <v>3819147.0158390002</v>
      </c>
      <c r="M187">
        <f>_xlfn.XLOOKUP(E187, 'Model Modeshare by TAZ'!A:A, 'Model Modeshare by TAZ'!G:G,"0")</f>
        <v>573.32000000000005</v>
      </c>
      <c r="N187">
        <f>_xlfn.XLOOKUP(E187, 'Model Modeshare by TAZ'!A:A, 'Model Modeshare by TAZ'!E:E,"0")</f>
        <v>6218.22</v>
      </c>
      <c r="O187">
        <f>_xlfn.XLOOKUP(E187,'Model Modeshare by TAZ'!A:A,'Model Modeshare by TAZ'!F:F,"0")</f>
        <v>3251.82</v>
      </c>
      <c r="P187">
        <f>_xlfn.XLOOKUP(E187,'Model Modeshare by TAZ'!A:A,'Model Modeshare by TAZ'!J:J,"0")</f>
        <v>11366.36</v>
      </c>
    </row>
    <row r="188" spans="1:16" x14ac:dyDescent="0.35">
      <c r="M188" s="2"/>
      <c r="N188" s="2"/>
      <c r="O188" s="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EC32C-157D-4CE4-AC3E-34E119CEC71F}">
  <sheetPr>
    <tabColor theme="8"/>
  </sheetPr>
  <dimension ref="B1:AE50"/>
  <sheetViews>
    <sheetView topLeftCell="A15" workbookViewId="0">
      <selection activeCell="I44" sqref="I44"/>
    </sheetView>
  </sheetViews>
  <sheetFormatPr defaultRowHeight="14.5" x14ac:dyDescent="0.35"/>
  <cols>
    <col min="2" max="2" width="28.7265625" customWidth="1"/>
    <col min="3" max="3" width="25.81640625" customWidth="1"/>
    <col min="4" max="4" width="24.26953125" customWidth="1"/>
    <col min="5" max="5" width="29" customWidth="1"/>
    <col min="6" max="6" width="27.26953125" customWidth="1"/>
    <col min="7" max="7" width="25.1796875" customWidth="1"/>
    <col min="8" max="8" width="17.453125" customWidth="1"/>
    <col min="9" max="9" width="13.81640625" customWidth="1"/>
    <col min="10" max="10" width="6.54296875" customWidth="1"/>
    <col min="11" max="11" width="21.54296875" customWidth="1"/>
    <col min="12" max="12" width="19.81640625" customWidth="1"/>
    <col min="31" max="31" width="0" hidden="1" customWidth="1"/>
  </cols>
  <sheetData>
    <row r="1" spans="2:25" ht="31" x14ac:dyDescent="0.7">
      <c r="B1" s="8" t="s">
        <v>163</v>
      </c>
    </row>
    <row r="3" spans="2:25" x14ac:dyDescent="0.35">
      <c r="B3" s="9" t="s">
        <v>29</v>
      </c>
      <c r="C3" s="10"/>
      <c r="D3" s="10"/>
      <c r="E3" s="10"/>
      <c r="F3" s="10"/>
      <c r="G3" s="10"/>
      <c r="H3" s="10"/>
      <c r="I3" s="10"/>
      <c r="J3" s="10"/>
      <c r="K3" s="10"/>
      <c r="L3" s="10"/>
      <c r="M3" s="10"/>
      <c r="N3" s="10"/>
      <c r="O3" s="10"/>
      <c r="P3" s="10"/>
      <c r="Q3" s="10"/>
      <c r="R3" s="10"/>
      <c r="S3" s="10"/>
      <c r="T3" s="10"/>
      <c r="U3" s="10"/>
      <c r="V3" s="10"/>
      <c r="W3" s="10"/>
      <c r="X3" s="10"/>
      <c r="Y3" s="11"/>
    </row>
    <row r="4" spans="2:25" x14ac:dyDescent="0.35">
      <c r="B4" s="49" t="s">
        <v>219</v>
      </c>
      <c r="Y4" s="13"/>
    </row>
    <row r="5" spans="2:25" x14ac:dyDescent="0.35">
      <c r="B5" s="49" t="s">
        <v>220</v>
      </c>
      <c r="Y5" s="13"/>
    </row>
    <row r="6" spans="2:25" x14ac:dyDescent="0.35">
      <c r="B6" s="14"/>
      <c r="C6" s="15"/>
      <c r="D6" s="15"/>
      <c r="E6" s="15"/>
      <c r="F6" s="15"/>
      <c r="G6" s="15"/>
      <c r="H6" s="15"/>
      <c r="I6" s="15"/>
      <c r="J6" s="15"/>
      <c r="K6" s="15"/>
      <c r="L6" s="15"/>
      <c r="M6" s="15"/>
      <c r="N6" s="15"/>
      <c r="O6" s="15"/>
      <c r="P6" s="15"/>
      <c r="Q6" s="15"/>
      <c r="R6" s="15"/>
      <c r="S6" s="15"/>
      <c r="T6" s="15"/>
      <c r="U6" s="15"/>
      <c r="V6" s="15"/>
      <c r="W6" s="15"/>
      <c r="X6" s="15"/>
      <c r="Y6" s="16"/>
    </row>
    <row r="8" spans="2:25" x14ac:dyDescent="0.35">
      <c r="B8" s="9" t="s">
        <v>221</v>
      </c>
      <c r="C8" s="10"/>
      <c r="D8" s="10"/>
      <c r="E8" s="10"/>
      <c r="F8" s="10"/>
      <c r="G8" s="10"/>
      <c r="H8" s="10"/>
      <c r="I8" s="10"/>
      <c r="J8" s="10"/>
      <c r="K8" s="10"/>
      <c r="L8" s="10"/>
      <c r="M8" s="10"/>
      <c r="N8" s="10"/>
      <c r="O8" s="10"/>
      <c r="P8" s="10"/>
      <c r="Q8" s="10"/>
      <c r="R8" s="10"/>
      <c r="S8" s="10"/>
      <c r="T8" s="10"/>
      <c r="U8" s="10"/>
      <c r="V8" s="10"/>
      <c r="W8" s="10"/>
      <c r="X8" s="10"/>
      <c r="Y8" s="11"/>
    </row>
    <row r="9" spans="2:25" x14ac:dyDescent="0.35">
      <c r="B9" s="12" t="s">
        <v>222</v>
      </c>
      <c r="Y9" s="13"/>
    </row>
    <row r="10" spans="2:25" x14ac:dyDescent="0.35">
      <c r="B10" s="12" t="s">
        <v>223</v>
      </c>
      <c r="Y10" s="13"/>
    </row>
    <row r="11" spans="2:25" x14ac:dyDescent="0.35">
      <c r="B11" s="14"/>
      <c r="C11" s="15"/>
      <c r="D11" s="15"/>
      <c r="E11" s="15"/>
      <c r="F11" s="15"/>
      <c r="G11" s="15"/>
      <c r="H11" s="15"/>
      <c r="I11" s="15"/>
      <c r="J11" s="15"/>
      <c r="K11" s="15"/>
      <c r="L11" s="15"/>
      <c r="M11" s="15"/>
      <c r="N11" s="15"/>
      <c r="O11" s="15"/>
      <c r="P11" s="15"/>
      <c r="Q11" s="15"/>
      <c r="R11" s="15"/>
      <c r="S11" s="15"/>
      <c r="T11" s="15"/>
      <c r="U11" s="15"/>
      <c r="V11" s="15"/>
      <c r="W11" s="15"/>
      <c r="X11" s="15"/>
      <c r="Y11" s="16"/>
    </row>
    <row r="13" spans="2:25" x14ac:dyDescent="0.35">
      <c r="B13" s="9" t="s">
        <v>224</v>
      </c>
      <c r="C13" s="10"/>
      <c r="D13" s="10"/>
      <c r="E13" s="10"/>
      <c r="F13" s="10"/>
      <c r="G13" s="10"/>
      <c r="H13" s="10"/>
      <c r="I13" s="10"/>
      <c r="J13" s="10"/>
      <c r="K13" s="10"/>
      <c r="L13" s="10"/>
      <c r="M13" s="10"/>
      <c r="N13" s="10"/>
      <c r="O13" s="10"/>
      <c r="P13" s="10"/>
      <c r="Q13" s="10"/>
      <c r="R13" s="10"/>
      <c r="S13" s="10"/>
      <c r="T13" s="10"/>
      <c r="U13" s="10"/>
      <c r="V13" s="10"/>
      <c r="W13" s="10"/>
      <c r="X13" s="10"/>
      <c r="Y13" s="11"/>
    </row>
    <row r="14" spans="2:25" x14ac:dyDescent="0.35">
      <c r="B14" s="499" t="s">
        <v>225</v>
      </c>
      <c r="C14" s="17" t="s">
        <v>226</v>
      </c>
      <c r="Y14" s="13"/>
    </row>
    <row r="15" spans="2:25" x14ac:dyDescent="0.35">
      <c r="B15" s="499"/>
      <c r="C15" s="17" t="s">
        <v>227</v>
      </c>
      <c r="Y15" s="13"/>
    </row>
    <row r="16" spans="2:25" x14ac:dyDescent="0.35">
      <c r="B16" s="400"/>
      <c r="C16" s="17"/>
      <c r="Y16" s="13"/>
    </row>
    <row r="17" spans="2:31" x14ac:dyDescent="0.35">
      <c r="B17" s="401" t="s">
        <v>228</v>
      </c>
      <c r="C17" s="17" t="s">
        <v>229</v>
      </c>
      <c r="Y17" s="13"/>
    </row>
    <row r="18" spans="2:31" x14ac:dyDescent="0.35">
      <c r="B18" s="14"/>
      <c r="C18" s="15"/>
      <c r="D18" s="15"/>
      <c r="E18" s="15"/>
      <c r="F18" s="15"/>
      <c r="G18" s="15"/>
      <c r="H18" s="15"/>
      <c r="I18" s="15"/>
      <c r="J18" s="15"/>
      <c r="K18" s="15"/>
      <c r="L18" s="15"/>
      <c r="M18" s="15"/>
      <c r="N18" s="15"/>
      <c r="O18" s="15"/>
      <c r="P18" s="15"/>
      <c r="Q18" s="15"/>
      <c r="R18" s="15"/>
      <c r="S18" s="15"/>
      <c r="T18" s="15"/>
      <c r="U18" s="15"/>
      <c r="V18" s="15"/>
      <c r="W18" s="15"/>
      <c r="X18" s="15"/>
      <c r="Y18" s="16"/>
    </row>
    <row r="20" spans="2:31" x14ac:dyDescent="0.35">
      <c r="B20" s="18" t="s">
        <v>230</v>
      </c>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AE20" t="s">
        <v>148</v>
      </c>
    </row>
    <row r="21" spans="2:31" x14ac:dyDescent="0.35">
      <c r="AE21" t="s">
        <v>149</v>
      </c>
    </row>
    <row r="22" spans="2:31" x14ac:dyDescent="0.35">
      <c r="B22" s="2" t="s">
        <v>231</v>
      </c>
      <c r="E22" s="2" t="s">
        <v>232</v>
      </c>
      <c r="K22" s="2"/>
    </row>
    <row r="23" spans="2:31" ht="43.5" x14ac:dyDescent="0.35">
      <c r="B23" s="106" t="s">
        <v>233</v>
      </c>
      <c r="C23" s="7" t="s">
        <v>234</v>
      </c>
      <c r="E23" s="167" t="s">
        <v>232</v>
      </c>
      <c r="F23" s="168"/>
    </row>
    <row r="24" spans="2:31" ht="29" x14ac:dyDescent="0.35">
      <c r="B24" s="7" t="s">
        <v>235</v>
      </c>
      <c r="C24" s="395">
        <f>F30</f>
        <v>0.5</v>
      </c>
      <c r="E24" s="139" t="s">
        <v>236</v>
      </c>
      <c r="F24" s="140">
        <v>30</v>
      </c>
    </row>
    <row r="25" spans="2:31" ht="29" x14ac:dyDescent="0.35">
      <c r="B25" s="7" t="s">
        <v>237</v>
      </c>
      <c r="C25" s="65">
        <f>($F$29-$F$28)</f>
        <v>2</v>
      </c>
    </row>
    <row r="26" spans="2:31" ht="29" hidden="1" x14ac:dyDescent="0.35">
      <c r="B26" s="7" t="s">
        <v>238</v>
      </c>
      <c r="C26" s="34">
        <f>46.7887*2</f>
        <v>93.577399999999997</v>
      </c>
    </row>
    <row r="27" spans="2:31" ht="43.5" x14ac:dyDescent="0.35">
      <c r="B27" s="7" t="s">
        <v>239</v>
      </c>
      <c r="C27" s="395">
        <f>'Action 1 Calculations'!C92</f>
        <v>0.375</v>
      </c>
      <c r="E27" s="2" t="s">
        <v>240</v>
      </c>
    </row>
    <row r="28" spans="2:31" ht="43.5" x14ac:dyDescent="0.35">
      <c r="B28" s="7" t="s">
        <v>241</v>
      </c>
      <c r="C28" s="189">
        <v>25000000</v>
      </c>
      <c r="E28" s="414" t="s">
        <v>242</v>
      </c>
      <c r="F28" s="140">
        <v>4</v>
      </c>
    </row>
    <row r="29" spans="2:31" ht="43.5" x14ac:dyDescent="0.35">
      <c r="B29" s="7" t="s">
        <v>243</v>
      </c>
      <c r="C29" s="144">
        <f>IF($F$37="YES",C28*$G$37,0)+C28</f>
        <v>26250000</v>
      </c>
      <c r="E29" s="414" t="s">
        <v>244</v>
      </c>
      <c r="F29" s="140">
        <v>6</v>
      </c>
    </row>
    <row r="30" spans="2:31" ht="29" x14ac:dyDescent="0.35">
      <c r="B30" s="7" t="s">
        <v>245</v>
      </c>
      <c r="C30" s="143">
        <f>'Action 1 Calculations'!D46</f>
        <v>-40038711.776116014</v>
      </c>
      <c r="E30" s="271" t="s">
        <v>246</v>
      </c>
      <c r="F30" s="142">
        <f>(F29-F28)/F28</f>
        <v>0.5</v>
      </c>
    </row>
    <row r="31" spans="2:31" ht="29" x14ac:dyDescent="0.35">
      <c r="B31" s="7" t="s">
        <v>247</v>
      </c>
      <c r="C31" s="248" t="s">
        <v>148</v>
      </c>
      <c r="E31" s="271" t="s">
        <v>248</v>
      </c>
      <c r="F31" s="248" t="s">
        <v>148</v>
      </c>
    </row>
    <row r="32" spans="2:31" ht="29" x14ac:dyDescent="0.35">
      <c r="E32" s="271" t="s">
        <v>249</v>
      </c>
      <c r="F32" s="394">
        <v>0.5</v>
      </c>
    </row>
    <row r="33" spans="2:25" ht="29" x14ac:dyDescent="0.35">
      <c r="E33" s="271" t="s">
        <v>250</v>
      </c>
      <c r="F33" s="65">
        <f>IF(F31="YES",ROUNDUP((F29-F28)*F32,0),0)</f>
        <v>1</v>
      </c>
    </row>
    <row r="35" spans="2:25" x14ac:dyDescent="0.35">
      <c r="E35" s="2" t="s">
        <v>251</v>
      </c>
    </row>
    <row r="36" spans="2:25" x14ac:dyDescent="0.35">
      <c r="E36" s="106" t="s">
        <v>252</v>
      </c>
      <c r="F36" s="106" t="s">
        <v>253</v>
      </c>
      <c r="G36" s="106" t="s">
        <v>254</v>
      </c>
    </row>
    <row r="37" spans="2:25" x14ac:dyDescent="0.35">
      <c r="E37" s="7" t="s">
        <v>255</v>
      </c>
      <c r="F37" s="248" t="s">
        <v>148</v>
      </c>
      <c r="G37" s="394">
        <v>0.05</v>
      </c>
    </row>
    <row r="39" spans="2:25" x14ac:dyDescent="0.35">
      <c r="B39" s="18" t="s">
        <v>256</v>
      </c>
      <c r="C39" s="18"/>
      <c r="D39" s="18"/>
      <c r="E39" s="18"/>
      <c r="F39" s="18"/>
      <c r="G39" s="18"/>
      <c r="H39" s="18"/>
      <c r="I39" s="18"/>
      <c r="J39" s="18"/>
      <c r="K39" s="18"/>
      <c r="L39" s="18"/>
      <c r="M39" s="18"/>
      <c r="N39" s="18"/>
      <c r="O39" s="18"/>
      <c r="P39" s="18"/>
      <c r="Q39" s="18"/>
      <c r="R39" s="18"/>
      <c r="S39" s="18"/>
      <c r="T39" s="136"/>
      <c r="U39" s="136"/>
      <c r="V39" s="136"/>
      <c r="W39" s="136"/>
      <c r="X39" s="136"/>
      <c r="Y39" s="136"/>
    </row>
    <row r="41" spans="2:25" x14ac:dyDescent="0.35">
      <c r="B41" s="2" t="s">
        <v>257</v>
      </c>
      <c r="D41" s="116"/>
    </row>
    <row r="42" spans="2:25" ht="29" x14ac:dyDescent="0.35">
      <c r="B42" s="37" t="s">
        <v>258</v>
      </c>
      <c r="C42" s="37" t="s">
        <v>259</v>
      </c>
      <c r="D42" s="37" t="s">
        <v>260</v>
      </c>
      <c r="E42" s="37" t="s">
        <v>261</v>
      </c>
      <c r="F42" s="37" t="s">
        <v>262</v>
      </c>
      <c r="G42" s="37" t="s">
        <v>263</v>
      </c>
    </row>
    <row r="43" spans="2:25" x14ac:dyDescent="0.35">
      <c r="B43" s="180">
        <f>'Action 1 Calculations'!C37</f>
        <v>-115385.3365305937</v>
      </c>
      <c r="C43" s="180">
        <f>C48/'Action 1 Calculations'!C46</f>
        <v>-3461560.0959178112</v>
      </c>
      <c r="D43" s="186">
        <f>C29</f>
        <v>26250000</v>
      </c>
      <c r="E43" s="187">
        <f>-(D43/B43)</f>
        <v>227.49857814939921</v>
      </c>
      <c r="F43" s="186">
        <f>F48</f>
        <v>787500000</v>
      </c>
      <c r="G43" s="187">
        <f>-(F43/(C43))</f>
        <v>227.49857814939921</v>
      </c>
    </row>
    <row r="46" spans="2:25" x14ac:dyDescent="0.35">
      <c r="B46" s="2" t="s">
        <v>264</v>
      </c>
      <c r="D46" s="116"/>
    </row>
    <row r="47" spans="2:25" ht="29" x14ac:dyDescent="0.35">
      <c r="B47" s="37" t="s">
        <v>245</v>
      </c>
      <c r="C47" s="37" t="s">
        <v>259</v>
      </c>
      <c r="D47" s="37" t="s">
        <v>260</v>
      </c>
      <c r="E47" s="37" t="s">
        <v>261</v>
      </c>
      <c r="F47" s="37" t="s">
        <v>262</v>
      </c>
      <c r="G47" s="37" t="s">
        <v>263</v>
      </c>
    </row>
    <row r="48" spans="2:25" x14ac:dyDescent="0.35">
      <c r="B48" s="180">
        <f>C30</f>
        <v>-40038711.776116014</v>
      </c>
      <c r="C48" s="180">
        <f>B48*F24</f>
        <v>-1201161353.2834804</v>
      </c>
      <c r="D48" s="186">
        <f>C29</f>
        <v>26250000</v>
      </c>
      <c r="E48" s="187">
        <f>-(D48/B48)</f>
        <v>0.65561549898962312</v>
      </c>
      <c r="F48" s="186">
        <f>F24*D48</f>
        <v>787500000</v>
      </c>
      <c r="G48" s="187">
        <f>-(F48/(C48))</f>
        <v>0.65561549898962312</v>
      </c>
    </row>
    <row r="49" spans="9:9" x14ac:dyDescent="0.35">
      <c r="I49" s="54"/>
    </row>
    <row r="50" spans="9:9" x14ac:dyDescent="0.35">
      <c r="I50" s="54"/>
    </row>
  </sheetData>
  <sheetProtection sheet="1" objects="1" scenarios="1"/>
  <protectedRanges>
    <protectedRange sqref="F37:G37" name="Range6"/>
    <protectedRange sqref="F28:F29" name="Range4"/>
    <protectedRange sqref="C31" name="Range2"/>
    <protectedRange sqref="C28" name="Range1"/>
    <protectedRange sqref="F24" name="Range3"/>
    <protectedRange sqref="F31:F32" name="Range5"/>
  </protectedRanges>
  <mergeCells count="1">
    <mergeCell ref="B14:B15"/>
  </mergeCells>
  <dataValidations count="2">
    <dataValidation type="list" allowBlank="1" showInputMessage="1" showErrorMessage="1" sqref="AE20:AE21 D30 C31 F31 F37" xr:uid="{AE18824D-5CFC-4220-BF9A-393EB6788E55}">
      <formula1>$AE$20:$AE$21</formula1>
    </dataValidation>
    <dataValidation type="decimal" allowBlank="1" showInputMessage="1" showErrorMessage="1" sqref="F32" xr:uid="{717BE935-6181-4B4E-A0EF-322820DE6388}">
      <formula1>0.25</formula1>
      <formula2>1</formula2>
    </dataValidation>
  </dataValidation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E0643-BB51-40A3-9176-F5C043732910}">
  <sheetPr>
    <tabColor theme="2" tint="-0.249977111117893"/>
  </sheetPr>
  <dimension ref="A1:AD135"/>
  <sheetViews>
    <sheetView zoomScale="90" zoomScaleNormal="90" workbookViewId="0">
      <selection activeCell="B25" sqref="B25"/>
    </sheetView>
  </sheetViews>
  <sheetFormatPr defaultRowHeight="14.5" x14ac:dyDescent="0.35"/>
  <cols>
    <col min="5" max="5" width="21" style="136" customWidth="1"/>
    <col min="6" max="8" width="12.81640625" style="117" customWidth="1"/>
    <col min="14" max="14" width="12" bestFit="1" customWidth="1"/>
    <col min="15" max="15" width="10.7265625" bestFit="1" customWidth="1"/>
    <col min="16" max="16" width="11.81640625" customWidth="1"/>
    <col min="22" max="22" width="18.54296875" bestFit="1" customWidth="1"/>
  </cols>
  <sheetData>
    <row r="1" spans="1:30" x14ac:dyDescent="0.35">
      <c r="A1" s="116" t="s">
        <v>1146</v>
      </c>
    </row>
    <row r="2" spans="1:30" x14ac:dyDescent="0.35">
      <c r="A2" s="116" t="s">
        <v>1163</v>
      </c>
      <c r="O2" s="54" t="s">
        <v>425</v>
      </c>
      <c r="R2" s="116" t="s">
        <v>1164</v>
      </c>
      <c r="W2" s="2"/>
      <c r="X2" s="2"/>
      <c r="Y2" s="2"/>
      <c r="Z2" s="2" t="s">
        <v>1156</v>
      </c>
      <c r="AA2" s="2" t="s">
        <v>1157</v>
      </c>
      <c r="AB2" s="2" t="s">
        <v>1158</v>
      </c>
      <c r="AC2" s="2" t="s">
        <v>1152</v>
      </c>
      <c r="AD2" s="2" t="s">
        <v>1165</v>
      </c>
    </row>
    <row r="3" spans="1:30" x14ac:dyDescent="0.35">
      <c r="A3" s="2" t="s">
        <v>1148</v>
      </c>
      <c r="B3" s="2" t="s">
        <v>1149</v>
      </c>
      <c r="C3" s="2" t="s">
        <v>1150</v>
      </c>
      <c r="D3" s="2" t="s">
        <v>1151</v>
      </c>
      <c r="E3" s="18" t="s">
        <v>409</v>
      </c>
      <c r="F3" s="118" t="s">
        <v>1166</v>
      </c>
      <c r="G3" s="118" t="s">
        <v>1167</v>
      </c>
      <c r="H3" s="118" t="s">
        <v>1168</v>
      </c>
      <c r="I3" s="2" t="s">
        <v>1153</v>
      </c>
      <c r="J3" s="2" t="s">
        <v>1154</v>
      </c>
      <c r="K3" s="2" t="s">
        <v>1155</v>
      </c>
      <c r="L3" s="2" t="s">
        <v>1156</v>
      </c>
      <c r="M3" s="2" t="s">
        <v>1157</v>
      </c>
      <c r="N3" s="2" t="s">
        <v>1158</v>
      </c>
      <c r="O3" s="2" t="s">
        <v>1152</v>
      </c>
      <c r="P3" s="2" t="s">
        <v>1165</v>
      </c>
      <c r="R3" s="2" t="s">
        <v>1148</v>
      </c>
      <c r="S3" s="2" t="s">
        <v>1149</v>
      </c>
      <c r="T3" s="2" t="s">
        <v>1150</v>
      </c>
      <c r="U3" s="2" t="s">
        <v>1151</v>
      </c>
      <c r="V3" s="18" t="s">
        <v>409</v>
      </c>
      <c r="W3" s="2" t="s">
        <v>1153</v>
      </c>
      <c r="X3" s="2" t="s">
        <v>1154</v>
      </c>
      <c r="Y3" s="2" t="s">
        <v>1155</v>
      </c>
      <c r="Z3" s="2" t="s">
        <v>1156</v>
      </c>
      <c r="AA3" s="2" t="s">
        <v>1157</v>
      </c>
      <c r="AB3" s="2" t="s">
        <v>1158</v>
      </c>
      <c r="AC3" s="2" t="s">
        <v>1152</v>
      </c>
      <c r="AD3" s="2" t="s">
        <v>1165</v>
      </c>
    </row>
    <row r="4" spans="1:30" x14ac:dyDescent="0.35">
      <c r="A4">
        <v>1</v>
      </c>
      <c r="B4" t="s">
        <v>1161</v>
      </c>
      <c r="C4">
        <v>557</v>
      </c>
      <c r="D4">
        <v>430</v>
      </c>
      <c r="E4" s="136" t="str">
        <f>_xlfn.XLOOKUP(D4,'TAZs by City - CCAG Model'!A:A,'TAZs by City - CCAG Model'!B:B,"ERROR")</f>
        <v>Palo Alto</v>
      </c>
      <c r="F4" s="117">
        <f>_xlfn.XLOOKUP(C4,'Model Modeshare by TAZ'!$A:$A,'Model Modeshare by TAZ'!$G:$G)</f>
        <v>69.38</v>
      </c>
      <c r="G4" s="117">
        <f>_xlfn.XLOOKUP(D4,'Model Modeshare by TAZ'!$A:$A,'Model Modeshare by TAZ'!$E:$E)+_xlfn.XLOOKUP(D4,'Model Modeshare by TAZ'!$A:$A,'Model Modeshare by TAZ'!$F:$F)</f>
        <v>4409.2000000000007</v>
      </c>
      <c r="H4" s="117">
        <f>_xlfn.XLOOKUP(D4,'Model Modeshare by TAZ'!$A:$A,'Model Modeshare by TAZ'!$J:$J)</f>
        <v>8100.04</v>
      </c>
      <c r="I4">
        <v>6161</v>
      </c>
      <c r="J4">
        <v>2701</v>
      </c>
      <c r="K4">
        <v>511300</v>
      </c>
      <c r="L4">
        <v>352041</v>
      </c>
      <c r="M4">
        <v>2484.7918439999999</v>
      </c>
      <c r="N4">
        <v>352039.51005500002</v>
      </c>
      <c r="O4">
        <f>_xlfn.XLOOKUP(D4, 'Model VMT by TAZ'!A:A, 'Model VMT by TAZ'!J:J, "NO")</f>
        <v>78</v>
      </c>
      <c r="P4">
        <f>_xlfn.XLOOKUP(D4, 'Model VMT by TAZ'!A:A, 'Model VMT by TAZ'!E:E, "NO")</f>
        <v>90464.84</v>
      </c>
      <c r="R4">
        <v>27</v>
      </c>
      <c r="S4" t="s">
        <v>1161</v>
      </c>
      <c r="T4">
        <v>2522</v>
      </c>
      <c r="U4">
        <v>1917</v>
      </c>
      <c r="V4" s="136" t="s">
        <v>299</v>
      </c>
      <c r="W4" t="s">
        <v>1162</v>
      </c>
      <c r="X4" t="s">
        <v>1162</v>
      </c>
      <c r="Y4">
        <v>0</v>
      </c>
      <c r="Z4">
        <v>8049870</v>
      </c>
      <c r="AA4">
        <v>14891.915504000001</v>
      </c>
      <c r="AB4">
        <v>8049837.5445060004</v>
      </c>
      <c r="AC4">
        <v>2908</v>
      </c>
      <c r="AD4">
        <v>65614.13</v>
      </c>
    </row>
    <row r="5" spans="1:30" x14ac:dyDescent="0.35">
      <c r="A5">
        <v>2</v>
      </c>
      <c r="B5" t="s">
        <v>1161</v>
      </c>
      <c r="C5">
        <v>558</v>
      </c>
      <c r="D5">
        <v>431</v>
      </c>
      <c r="E5" s="136" t="str">
        <f>_xlfn.XLOOKUP(D5,'TAZs by City - CCAG Model'!A:A,'TAZs by City - CCAG Model'!B:B,"ERROR")</f>
        <v>Palo Alto</v>
      </c>
      <c r="F5" s="117">
        <f>_xlfn.XLOOKUP(C5,'Model Modeshare by TAZ'!$A:$A,'Model Modeshare by TAZ'!$G:$G)</f>
        <v>117.92</v>
      </c>
      <c r="G5" s="117">
        <f>_xlfn.XLOOKUP(D5,'Model Modeshare by TAZ'!$A:$A,'Model Modeshare by TAZ'!$E:$E)+_xlfn.XLOOKUP(D5,'Model Modeshare by TAZ'!$A:$A,'Model Modeshare by TAZ'!$F:$F)</f>
        <v>5038.7</v>
      </c>
      <c r="H5" s="117">
        <f>_xlfn.XLOOKUP(D5,'Model Modeshare by TAZ'!$A:$A,'Model Modeshare by TAZ'!$J:$J)</f>
        <v>8839.02</v>
      </c>
      <c r="I5">
        <v>6161</v>
      </c>
      <c r="J5">
        <v>2701</v>
      </c>
      <c r="K5">
        <v>511300</v>
      </c>
      <c r="L5">
        <v>335818</v>
      </c>
      <c r="M5">
        <v>2356.8760860000002</v>
      </c>
      <c r="N5">
        <v>335816.77310200001</v>
      </c>
      <c r="O5">
        <f>_xlfn.XLOOKUP(D5, 'Model VMT by TAZ'!A:A, 'Model VMT by TAZ'!J:J, "NO")</f>
        <v>9</v>
      </c>
      <c r="P5">
        <f>_xlfn.XLOOKUP(D5, 'Model VMT by TAZ'!A:A, 'Model VMT by TAZ'!E:E, "NO")</f>
        <v>30283.78</v>
      </c>
      <c r="R5">
        <v>28</v>
      </c>
      <c r="S5" t="s">
        <v>1161</v>
      </c>
      <c r="T5">
        <v>2523</v>
      </c>
      <c r="U5">
        <v>1914</v>
      </c>
      <c r="V5" s="136" t="s">
        <v>299</v>
      </c>
      <c r="W5" t="s">
        <v>1162</v>
      </c>
      <c r="X5" t="s">
        <v>1162</v>
      </c>
      <c r="Y5">
        <v>0</v>
      </c>
      <c r="Z5">
        <v>11119266</v>
      </c>
      <c r="AA5">
        <v>20980.056689000001</v>
      </c>
      <c r="AB5">
        <v>11119221.827895001</v>
      </c>
      <c r="AC5">
        <v>3591</v>
      </c>
      <c r="AD5">
        <v>78106.289999999994</v>
      </c>
    </row>
    <row r="6" spans="1:30" x14ac:dyDescent="0.35">
      <c r="A6">
        <v>3</v>
      </c>
      <c r="B6" t="s">
        <v>1161</v>
      </c>
      <c r="C6">
        <v>561</v>
      </c>
      <c r="D6">
        <v>433</v>
      </c>
      <c r="E6" s="136" t="str">
        <f>_xlfn.XLOOKUP(D6,'TAZs by City - CCAG Model'!A:A,'TAZs by City - CCAG Model'!B:B,"ERROR")</f>
        <v>Palo Alto</v>
      </c>
      <c r="F6" s="117">
        <f>_xlfn.XLOOKUP(C6,'Model Modeshare by TAZ'!$A:$A,'Model Modeshare by TAZ'!$G:$G)</f>
        <v>0</v>
      </c>
      <c r="G6" s="117">
        <f>_xlfn.XLOOKUP(D6,'Model Modeshare by TAZ'!$A:$A,'Model Modeshare by TAZ'!$E:$E)+_xlfn.XLOOKUP(D6,'Model Modeshare by TAZ'!$A:$A,'Model Modeshare by TAZ'!$F:$F)</f>
        <v>3360.9</v>
      </c>
      <c r="H6" s="117">
        <f>_xlfn.XLOOKUP(D6,'Model Modeshare by TAZ'!$A:$A,'Model Modeshare by TAZ'!$J:$J)</f>
        <v>5931.78</v>
      </c>
      <c r="I6">
        <v>6161</v>
      </c>
      <c r="J6">
        <v>2701</v>
      </c>
      <c r="K6">
        <v>511300</v>
      </c>
      <c r="L6">
        <v>268162</v>
      </c>
      <c r="M6">
        <v>2069.0734480000001</v>
      </c>
      <c r="N6">
        <v>268160.84806500003</v>
      </c>
      <c r="O6">
        <f>_xlfn.XLOOKUP(D6, 'Model VMT by TAZ'!A:A, 'Model VMT by TAZ'!J:J, "NO")</f>
        <v>58</v>
      </c>
      <c r="P6">
        <f>_xlfn.XLOOKUP(D6, 'Model VMT by TAZ'!A:A, 'Model VMT by TAZ'!E:E, "NO")</f>
        <v>22060.09</v>
      </c>
      <c r="R6">
        <v>29</v>
      </c>
      <c r="S6" t="s">
        <v>1161</v>
      </c>
      <c r="T6">
        <v>2527</v>
      </c>
      <c r="U6">
        <v>1912</v>
      </c>
      <c r="V6" s="136" t="s">
        <v>299</v>
      </c>
      <c r="W6" t="s">
        <v>1162</v>
      </c>
      <c r="X6" t="s">
        <v>1162</v>
      </c>
      <c r="Y6">
        <v>0</v>
      </c>
      <c r="Z6">
        <v>20585443</v>
      </c>
      <c r="AA6">
        <v>23453.251883000001</v>
      </c>
      <c r="AB6">
        <v>20585360.608548999</v>
      </c>
      <c r="AC6">
        <v>26</v>
      </c>
      <c r="AD6">
        <v>159749.14000000001</v>
      </c>
    </row>
    <row r="7" spans="1:30" x14ac:dyDescent="0.35">
      <c r="A7">
        <v>4</v>
      </c>
      <c r="B7" t="s">
        <v>1161</v>
      </c>
      <c r="C7">
        <v>562</v>
      </c>
      <c r="D7">
        <v>434</v>
      </c>
      <c r="E7" s="136" t="str">
        <f>_xlfn.XLOOKUP(D7,'TAZs by City - CCAG Model'!A:A,'TAZs by City - CCAG Model'!B:B,"ERROR")</f>
        <v>Palo Alto</v>
      </c>
      <c r="F7" s="117">
        <f>_xlfn.XLOOKUP(C7,'Model Modeshare by TAZ'!$A:$A,'Model Modeshare by TAZ'!$G:$G)</f>
        <v>0</v>
      </c>
      <c r="G7" s="117">
        <f>_xlfn.XLOOKUP(D7,'Model Modeshare by TAZ'!$A:$A,'Model Modeshare by TAZ'!$E:$E)+_xlfn.XLOOKUP(D7,'Model Modeshare by TAZ'!$A:$A,'Model Modeshare by TAZ'!$F:$F)</f>
        <v>3840.7</v>
      </c>
      <c r="H7" s="117">
        <f>_xlfn.XLOOKUP(D7,'Model Modeshare by TAZ'!$A:$A,'Model Modeshare by TAZ'!$J:$J)</f>
        <v>5816.48</v>
      </c>
      <c r="I7">
        <v>6161</v>
      </c>
      <c r="J7">
        <v>2701</v>
      </c>
      <c r="K7">
        <v>511300</v>
      </c>
      <c r="L7">
        <v>289090</v>
      </c>
      <c r="M7">
        <v>2130.596896</v>
      </c>
      <c r="N7">
        <v>289088.71965300001</v>
      </c>
      <c r="O7">
        <f>_xlfn.XLOOKUP(D7, 'Model VMT by TAZ'!A:A, 'Model VMT by TAZ'!J:J, "NO")</f>
        <v>60</v>
      </c>
      <c r="P7">
        <f>_xlfn.XLOOKUP(D7, 'Model VMT by TAZ'!A:A, 'Model VMT by TAZ'!E:E, "NO")</f>
        <v>28667.43</v>
      </c>
      <c r="R7">
        <v>30</v>
      </c>
      <c r="S7" t="s">
        <v>1161</v>
      </c>
      <c r="T7">
        <v>2528</v>
      </c>
      <c r="U7">
        <v>1913</v>
      </c>
      <c r="V7" s="136" t="s">
        <v>299</v>
      </c>
      <c r="W7" t="s">
        <v>1162</v>
      </c>
      <c r="X7" t="s">
        <v>1162</v>
      </c>
      <c r="Y7">
        <v>0</v>
      </c>
      <c r="Z7">
        <v>23292776</v>
      </c>
      <c r="AA7">
        <v>20724.472796999999</v>
      </c>
      <c r="AB7">
        <v>23292683.174251001</v>
      </c>
      <c r="AC7">
        <v>4875</v>
      </c>
      <c r="AD7">
        <v>141156.21</v>
      </c>
    </row>
    <row r="8" spans="1:30" x14ac:dyDescent="0.35">
      <c r="A8">
        <v>5</v>
      </c>
      <c r="B8" t="s">
        <v>1161</v>
      </c>
      <c r="C8">
        <v>1001</v>
      </c>
      <c r="D8">
        <v>519</v>
      </c>
      <c r="E8" s="136" t="str">
        <f>_xlfn.XLOOKUP(D8,'TAZs by City - CCAG Model'!A:A,'TAZs by City - CCAG Model'!B:B,"ERROR")</f>
        <v>Palo Alto</v>
      </c>
      <c r="F8" s="117">
        <f>_xlfn.XLOOKUP(C8,'Model Modeshare by TAZ'!$A:$A,'Model Modeshare by TAZ'!$G:$G)</f>
        <v>114.56</v>
      </c>
      <c r="G8" s="117">
        <f>_xlfn.XLOOKUP(D8,'Model Modeshare by TAZ'!$A:$A,'Model Modeshare by TAZ'!$E:$E)+_xlfn.XLOOKUP(D8,'Model Modeshare by TAZ'!$A:$A,'Model Modeshare by TAZ'!$F:$F)</f>
        <v>90.14</v>
      </c>
      <c r="H8" s="117">
        <f>_xlfn.XLOOKUP(D8,'Model Modeshare by TAZ'!$A:$A,'Model Modeshare by TAZ'!$J:$J)</f>
        <v>155.62</v>
      </c>
      <c r="I8">
        <v>6161</v>
      </c>
      <c r="J8">
        <v>2701</v>
      </c>
      <c r="K8">
        <v>511604</v>
      </c>
      <c r="L8">
        <v>1068180</v>
      </c>
      <c r="M8">
        <v>6055.5985280000004</v>
      </c>
      <c r="N8">
        <v>1068175.5789669999</v>
      </c>
      <c r="O8">
        <f>_xlfn.XLOOKUP(D8, 'Model VMT by TAZ'!A:A, 'Model VMT by TAZ'!J:J, "NO")</f>
        <v>7</v>
      </c>
      <c r="P8">
        <f>_xlfn.XLOOKUP(D8, 'Model VMT by TAZ'!A:A, 'Model VMT by TAZ'!E:E, "NO")</f>
        <v>4610.12</v>
      </c>
      <c r="R8">
        <v>60</v>
      </c>
      <c r="S8" t="s">
        <v>1161</v>
      </c>
      <c r="T8">
        <v>2632</v>
      </c>
      <c r="U8">
        <v>1915</v>
      </c>
      <c r="V8" s="136" t="s">
        <v>299</v>
      </c>
      <c r="W8" t="s">
        <v>1162</v>
      </c>
      <c r="X8" t="s">
        <v>1162</v>
      </c>
      <c r="Y8">
        <v>0</v>
      </c>
      <c r="Z8">
        <v>6117498</v>
      </c>
      <c r="AA8">
        <v>11186.461663</v>
      </c>
      <c r="AB8">
        <v>6117473.7160590002</v>
      </c>
      <c r="AC8">
        <v>4055</v>
      </c>
      <c r="AD8">
        <v>98216</v>
      </c>
    </row>
    <row r="9" spans="1:30" x14ac:dyDescent="0.35">
      <c r="A9">
        <v>6</v>
      </c>
      <c r="B9" t="s">
        <v>1161</v>
      </c>
      <c r="C9">
        <v>1002</v>
      </c>
      <c r="D9">
        <v>520</v>
      </c>
      <c r="E9" s="136" t="str">
        <f>_xlfn.XLOOKUP(D9,'TAZs by City - CCAG Model'!A:A,'TAZs by City - CCAG Model'!B:B,"ERROR")</f>
        <v>Palo Alto</v>
      </c>
      <c r="F9" s="117">
        <f>_xlfn.XLOOKUP(C9,'Model Modeshare by TAZ'!$A:$A,'Model Modeshare by TAZ'!$G:$G)</f>
        <v>120.1</v>
      </c>
      <c r="G9" s="117">
        <f>_xlfn.XLOOKUP(D9,'Model Modeshare by TAZ'!$A:$A,'Model Modeshare by TAZ'!$E:$E)+_xlfn.XLOOKUP(D9,'Model Modeshare by TAZ'!$A:$A,'Model Modeshare by TAZ'!$F:$F)</f>
        <v>4211.58</v>
      </c>
      <c r="H9" s="117">
        <f>_xlfn.XLOOKUP(D9,'Model Modeshare by TAZ'!$A:$A,'Model Modeshare by TAZ'!$J:$J)</f>
        <v>6050.1</v>
      </c>
      <c r="I9">
        <v>6161</v>
      </c>
      <c r="J9">
        <v>2701</v>
      </c>
      <c r="K9">
        <v>511604</v>
      </c>
      <c r="L9">
        <v>822664</v>
      </c>
      <c r="M9">
        <v>3826.3630330000001</v>
      </c>
      <c r="N9">
        <v>822660.41944700002</v>
      </c>
      <c r="O9">
        <f>_xlfn.XLOOKUP(D9, 'Model VMT by TAZ'!A:A, 'Model VMT by TAZ'!J:J, "NO")</f>
        <v>2</v>
      </c>
      <c r="P9">
        <f>_xlfn.XLOOKUP(D9, 'Model VMT by TAZ'!A:A, 'Model VMT by TAZ'!E:E, "NO")</f>
        <v>26884.84</v>
      </c>
      <c r="R9">
        <v>61</v>
      </c>
      <c r="S9" t="s">
        <v>1161</v>
      </c>
      <c r="T9">
        <v>2633</v>
      </c>
      <c r="U9">
        <v>1916</v>
      </c>
      <c r="V9" s="136" t="s">
        <v>299</v>
      </c>
      <c r="W9" t="s">
        <v>1162</v>
      </c>
      <c r="X9" t="s">
        <v>1162</v>
      </c>
      <c r="Y9">
        <v>0</v>
      </c>
      <c r="Z9">
        <v>6278589</v>
      </c>
      <c r="AA9">
        <v>10192.385299</v>
      </c>
      <c r="AB9">
        <v>6278563.5421129996</v>
      </c>
      <c r="AC9">
        <v>1812</v>
      </c>
      <c r="AD9">
        <v>80222.37</v>
      </c>
    </row>
    <row r="10" spans="1:30" x14ac:dyDescent="0.35">
      <c r="A10">
        <v>7</v>
      </c>
      <c r="B10" t="s">
        <v>1161</v>
      </c>
      <c r="C10">
        <v>1013</v>
      </c>
      <c r="D10">
        <v>530</v>
      </c>
      <c r="E10" s="136" t="str">
        <f>_xlfn.XLOOKUP(D10,'TAZs by City - CCAG Model'!A:A,'TAZs by City - CCAG Model'!B:B,"ERROR")</f>
        <v>Unincorporated</v>
      </c>
      <c r="F10" s="117">
        <f>_xlfn.XLOOKUP(C10,'Model Modeshare by TAZ'!$A:$A,'Model Modeshare by TAZ'!$G:$G)</f>
        <v>193.82</v>
      </c>
      <c r="G10" s="117">
        <f>_xlfn.XLOOKUP(D10,'Model Modeshare by TAZ'!$A:$A,'Model Modeshare by TAZ'!$E:$E)+_xlfn.XLOOKUP(D10,'Model Modeshare by TAZ'!$A:$A,'Model Modeshare by TAZ'!$F:$F)</f>
        <v>234.68</v>
      </c>
      <c r="H10" s="117">
        <f>_xlfn.XLOOKUP(D10,'Model Modeshare by TAZ'!$A:$A,'Model Modeshare by TAZ'!$J:$J)</f>
        <v>353.34</v>
      </c>
      <c r="I10">
        <v>6161</v>
      </c>
      <c r="J10">
        <v>2701</v>
      </c>
      <c r="K10">
        <v>511605</v>
      </c>
      <c r="L10">
        <v>3897306</v>
      </c>
      <c r="M10">
        <v>9109.8244990000003</v>
      </c>
      <c r="N10">
        <v>3897290.7299870001</v>
      </c>
      <c r="O10">
        <f>_xlfn.XLOOKUP(D10, 'Model VMT by TAZ'!A:A, 'Model VMT by TAZ'!J:J, "NO")</f>
        <v>0</v>
      </c>
      <c r="P10">
        <f>_xlfn.XLOOKUP(D10, 'Model VMT by TAZ'!A:A, 'Model VMT by TAZ'!E:E, "NO")</f>
        <v>1000.87</v>
      </c>
      <c r="R10">
        <v>62</v>
      </c>
      <c r="S10" t="s">
        <v>1161</v>
      </c>
      <c r="T10">
        <v>2644</v>
      </c>
      <c r="U10">
        <v>1909</v>
      </c>
      <c r="V10" s="136" t="s">
        <v>299</v>
      </c>
      <c r="W10" t="s">
        <v>1162</v>
      </c>
      <c r="X10" t="s">
        <v>1162</v>
      </c>
      <c r="Y10">
        <v>0</v>
      </c>
      <c r="Z10">
        <v>19456934</v>
      </c>
      <c r="AA10">
        <v>17618.764038000001</v>
      </c>
      <c r="AB10">
        <v>19456855.678153999</v>
      </c>
      <c r="AC10">
        <v>6411</v>
      </c>
      <c r="AD10">
        <v>137946.37</v>
      </c>
    </row>
    <row r="11" spans="1:30" x14ac:dyDescent="0.35">
      <c r="A11">
        <v>8</v>
      </c>
      <c r="B11" t="s">
        <v>1161</v>
      </c>
      <c r="C11">
        <v>1490</v>
      </c>
      <c r="D11">
        <v>429</v>
      </c>
      <c r="E11" s="136" t="str">
        <f>_xlfn.XLOOKUP(D11,'TAZs by City - CCAG Model'!A:A,'TAZs by City - CCAG Model'!B:B,"ERROR")</f>
        <v>Palo Alto</v>
      </c>
      <c r="F11" s="117">
        <f>_xlfn.XLOOKUP(C11,'Model Modeshare by TAZ'!$A:$A,'Model Modeshare by TAZ'!$G:$G)</f>
        <v>147.86000000000001</v>
      </c>
      <c r="G11" s="117">
        <f>_xlfn.XLOOKUP(D11,'Model Modeshare by TAZ'!$A:$A,'Model Modeshare by TAZ'!$E:$E)+_xlfn.XLOOKUP(D11,'Model Modeshare by TAZ'!$A:$A,'Model Modeshare by TAZ'!$F:$F)</f>
        <v>12194.5</v>
      </c>
      <c r="H11" s="117">
        <f>_xlfn.XLOOKUP(D11,'Model Modeshare by TAZ'!$A:$A,'Model Modeshare by TAZ'!$J:$J)</f>
        <v>17219.099999999999</v>
      </c>
      <c r="I11">
        <v>6161</v>
      </c>
      <c r="J11">
        <v>2701</v>
      </c>
      <c r="K11">
        <v>511604</v>
      </c>
      <c r="L11">
        <v>2615995</v>
      </c>
      <c r="M11">
        <v>6632.9819779999998</v>
      </c>
      <c r="N11">
        <v>2615984.1566539998</v>
      </c>
      <c r="O11">
        <f>_xlfn.XLOOKUP(D11, 'Model VMT by TAZ'!A:A, 'Model VMT by TAZ'!J:J, "NO")</f>
        <v>0</v>
      </c>
      <c r="P11">
        <f>_xlfn.XLOOKUP(D11, 'Model VMT by TAZ'!A:A, 'Model VMT by TAZ'!E:E, "NO")</f>
        <v>205692.01</v>
      </c>
      <c r="R11">
        <v>63</v>
      </c>
      <c r="S11" t="s">
        <v>1161</v>
      </c>
      <c r="T11">
        <v>2647</v>
      </c>
      <c r="U11">
        <v>1506</v>
      </c>
      <c r="V11" s="136" t="s">
        <v>299</v>
      </c>
      <c r="W11" t="s">
        <v>1162</v>
      </c>
      <c r="X11" t="s">
        <v>1162</v>
      </c>
      <c r="Y11">
        <v>0</v>
      </c>
      <c r="Z11">
        <v>2404047</v>
      </c>
      <c r="AA11">
        <v>6477.0581099999999</v>
      </c>
      <c r="AB11">
        <v>2404037.6520460001</v>
      </c>
      <c r="AC11">
        <v>1315</v>
      </c>
      <c r="AD11">
        <v>24596.71</v>
      </c>
    </row>
    <row r="12" spans="1:30" x14ac:dyDescent="0.35">
      <c r="A12">
        <v>9</v>
      </c>
      <c r="B12" t="s">
        <v>1161</v>
      </c>
      <c r="C12">
        <v>1833</v>
      </c>
      <c r="D12">
        <v>443</v>
      </c>
      <c r="E12" s="136" t="str">
        <f>_xlfn.XLOOKUP(D12,'TAZs by City - CCAG Model'!A:A,'TAZs by City - CCAG Model'!B:B,"ERROR")</f>
        <v>Palo Alto</v>
      </c>
      <c r="F12" s="117">
        <f>_xlfn.XLOOKUP(C12,'Model Modeshare by TAZ'!$A:$A,'Model Modeshare by TAZ'!$G:$G)</f>
        <v>8791.02</v>
      </c>
      <c r="G12" s="117">
        <f>_xlfn.XLOOKUP(D12,'Model Modeshare by TAZ'!$A:$A,'Model Modeshare by TAZ'!$E:$E)+_xlfn.XLOOKUP(D12,'Model Modeshare by TAZ'!$A:$A,'Model Modeshare by TAZ'!$F:$F)</f>
        <v>13437.36</v>
      </c>
      <c r="H12" s="117">
        <f>_xlfn.XLOOKUP(D12,'Model Modeshare by TAZ'!$A:$A,'Model Modeshare by TAZ'!$J:$J)</f>
        <v>20165.98</v>
      </c>
      <c r="I12">
        <v>6161</v>
      </c>
      <c r="J12">
        <v>2701</v>
      </c>
      <c r="K12">
        <v>511604</v>
      </c>
      <c r="L12">
        <v>2516712</v>
      </c>
      <c r="M12">
        <v>8688.1417110000002</v>
      </c>
      <c r="N12">
        <v>2516701.5665500001</v>
      </c>
      <c r="O12">
        <f>_xlfn.XLOOKUP(D12, 'Model VMT by TAZ'!A:A, 'Model VMT by TAZ'!J:J, "NO")</f>
        <v>217</v>
      </c>
      <c r="P12">
        <f>_xlfn.XLOOKUP(D12, 'Model VMT by TAZ'!A:A, 'Model VMT by TAZ'!E:E, "NO")</f>
        <v>79237.41</v>
      </c>
      <c r="R12">
        <v>64</v>
      </c>
      <c r="S12" t="s">
        <v>1161</v>
      </c>
      <c r="T12">
        <v>2648</v>
      </c>
      <c r="U12">
        <v>1594</v>
      </c>
      <c r="V12" s="136" t="s">
        <v>299</v>
      </c>
      <c r="W12" t="s">
        <v>1162</v>
      </c>
      <c r="X12" t="s">
        <v>1162</v>
      </c>
      <c r="Y12">
        <v>0</v>
      </c>
      <c r="Z12">
        <v>2996990</v>
      </c>
      <c r="AA12">
        <v>7191.9482850000004</v>
      </c>
      <c r="AB12">
        <v>2996977.735198</v>
      </c>
      <c r="AC12">
        <v>3885</v>
      </c>
      <c r="AD12">
        <v>79157.16</v>
      </c>
    </row>
    <row r="13" spans="1:30" x14ac:dyDescent="0.35">
      <c r="A13">
        <v>10</v>
      </c>
      <c r="B13" t="s">
        <v>1161</v>
      </c>
      <c r="C13">
        <v>2014</v>
      </c>
      <c r="D13">
        <v>460</v>
      </c>
      <c r="E13" s="136" t="str">
        <f>_xlfn.XLOOKUP(D13,'TAZs by City - CCAG Model'!A:A,'TAZs by City - CCAG Model'!B:B,"ERROR")</f>
        <v>Palo Alto</v>
      </c>
      <c r="F13" s="117">
        <f>_xlfn.XLOOKUP(C13,'Model Modeshare by TAZ'!$A:$A,'Model Modeshare by TAZ'!$G:$G)</f>
        <v>330.32</v>
      </c>
      <c r="G13" s="117">
        <f>_xlfn.XLOOKUP(D13,'Model Modeshare by TAZ'!$A:$A,'Model Modeshare by TAZ'!$E:$E)+_xlfn.XLOOKUP(D13,'Model Modeshare by TAZ'!$A:$A,'Model Modeshare by TAZ'!$F:$F)</f>
        <v>4114.6400000000003</v>
      </c>
      <c r="H13" s="117">
        <f>_xlfn.XLOOKUP(D13,'Model Modeshare by TAZ'!$A:$A,'Model Modeshare by TAZ'!$J:$J)</f>
        <v>5943.54</v>
      </c>
      <c r="I13">
        <v>6161</v>
      </c>
      <c r="J13">
        <v>2701</v>
      </c>
      <c r="K13">
        <v>511300</v>
      </c>
      <c r="L13">
        <v>2682543</v>
      </c>
      <c r="M13">
        <v>6917.3636990000005</v>
      </c>
      <c r="N13">
        <v>2682531.8075250001</v>
      </c>
      <c r="O13">
        <f>_xlfn.XLOOKUP(D13, 'Model VMT by TAZ'!A:A, 'Model VMT by TAZ'!J:J, "NO")</f>
        <v>1017</v>
      </c>
      <c r="P13">
        <f>_xlfn.XLOOKUP(D13, 'Model VMT by TAZ'!A:A, 'Model VMT by TAZ'!E:E, "NO")</f>
        <v>35836.67</v>
      </c>
      <c r="R13">
        <v>65</v>
      </c>
      <c r="S13" t="s">
        <v>1161</v>
      </c>
      <c r="T13">
        <v>2652</v>
      </c>
      <c r="U13">
        <v>1643</v>
      </c>
      <c r="V13" s="136" t="s">
        <v>299</v>
      </c>
      <c r="W13" t="s">
        <v>1162</v>
      </c>
      <c r="X13" t="s">
        <v>1162</v>
      </c>
      <c r="Y13">
        <v>0</v>
      </c>
      <c r="Z13">
        <v>10612388</v>
      </c>
      <c r="AA13">
        <v>16297.028359</v>
      </c>
      <c r="AB13">
        <v>10612345.124638001</v>
      </c>
      <c r="AC13">
        <v>3734</v>
      </c>
      <c r="AD13">
        <v>168070.19</v>
      </c>
    </row>
    <row r="14" spans="1:30" x14ac:dyDescent="0.35">
      <c r="A14">
        <v>11</v>
      </c>
      <c r="B14" t="s">
        <v>1161</v>
      </c>
      <c r="C14">
        <v>2020</v>
      </c>
      <c r="D14">
        <v>465</v>
      </c>
      <c r="E14" s="136" t="str">
        <f>_xlfn.XLOOKUP(D14,'TAZs by City - CCAG Model'!A:A,'TAZs by City - CCAG Model'!B:B,"ERROR")</f>
        <v>Palo Alto</v>
      </c>
      <c r="F14" s="117">
        <f>_xlfn.XLOOKUP(C14,'Model Modeshare by TAZ'!$A:$A,'Model Modeshare by TAZ'!$G:$G)</f>
        <v>80.239999999999995</v>
      </c>
      <c r="G14" s="117">
        <f>_xlfn.XLOOKUP(D14,'Model Modeshare by TAZ'!$A:$A,'Model Modeshare by TAZ'!$E:$E)+_xlfn.XLOOKUP(D14,'Model Modeshare by TAZ'!$A:$A,'Model Modeshare by TAZ'!$F:$F)</f>
        <v>2386.88</v>
      </c>
      <c r="H14" s="117">
        <f>_xlfn.XLOOKUP(D14,'Model Modeshare by TAZ'!$A:$A,'Model Modeshare by TAZ'!$J:$J)</f>
        <v>3729.58</v>
      </c>
      <c r="I14">
        <v>6161</v>
      </c>
      <c r="J14">
        <v>2701</v>
      </c>
      <c r="K14">
        <v>511604</v>
      </c>
      <c r="L14">
        <v>2159815</v>
      </c>
      <c r="M14">
        <v>9225.1600880000005</v>
      </c>
      <c r="N14">
        <v>2159805.9239790002</v>
      </c>
      <c r="O14">
        <f>_xlfn.XLOOKUP(D14, 'Model VMT by TAZ'!A:A, 'Model VMT by TAZ'!J:J, "NO")</f>
        <v>995</v>
      </c>
      <c r="P14">
        <f>_xlfn.XLOOKUP(D14, 'Model VMT by TAZ'!A:A, 'Model VMT by TAZ'!E:E, "NO")</f>
        <v>46087.41</v>
      </c>
      <c r="R14">
        <v>66</v>
      </c>
      <c r="S14" t="s">
        <v>1161</v>
      </c>
      <c r="T14">
        <v>2653</v>
      </c>
      <c r="U14">
        <v>1507</v>
      </c>
      <c r="V14" s="136" t="s">
        <v>299</v>
      </c>
      <c r="W14" t="s">
        <v>1162</v>
      </c>
      <c r="X14" t="s">
        <v>1162</v>
      </c>
      <c r="Y14">
        <v>0</v>
      </c>
      <c r="Z14">
        <v>1936115</v>
      </c>
      <c r="AA14">
        <v>5722.9587929999998</v>
      </c>
      <c r="AB14">
        <v>1936107.610388</v>
      </c>
      <c r="AC14">
        <v>48</v>
      </c>
      <c r="AD14">
        <v>37477.97</v>
      </c>
    </row>
    <row r="15" spans="1:30" x14ac:dyDescent="0.35">
      <c r="A15">
        <v>12</v>
      </c>
      <c r="B15" t="s">
        <v>1161</v>
      </c>
      <c r="C15">
        <v>2021</v>
      </c>
      <c r="D15">
        <v>466</v>
      </c>
      <c r="E15" s="136" t="str">
        <f>_xlfn.XLOOKUP(D15,'TAZs by City - CCAG Model'!A:A,'TAZs by City - CCAG Model'!B:B,"ERROR")</f>
        <v>Palo Alto</v>
      </c>
      <c r="F15" s="117">
        <f>_xlfn.XLOOKUP(C15,'Model Modeshare by TAZ'!$A:$A,'Model Modeshare by TAZ'!$G:$G)</f>
        <v>106.4</v>
      </c>
      <c r="G15" s="117">
        <f>_xlfn.XLOOKUP(D15,'Model Modeshare by TAZ'!$A:$A,'Model Modeshare by TAZ'!$E:$E)+_xlfn.XLOOKUP(D15,'Model Modeshare by TAZ'!$A:$A,'Model Modeshare by TAZ'!$F:$F)</f>
        <v>15372.220000000001</v>
      </c>
      <c r="H15" s="117">
        <f>_xlfn.XLOOKUP(D15,'Model Modeshare by TAZ'!$A:$A,'Model Modeshare by TAZ'!$J:$J)</f>
        <v>23067.62</v>
      </c>
      <c r="I15">
        <v>6161</v>
      </c>
      <c r="J15">
        <v>2701</v>
      </c>
      <c r="K15">
        <v>511300</v>
      </c>
      <c r="L15">
        <v>3074942</v>
      </c>
      <c r="M15">
        <v>7817.0509629999997</v>
      </c>
      <c r="N15">
        <v>3074929.3529070001</v>
      </c>
      <c r="O15">
        <f>_xlfn.XLOOKUP(D15, 'Model VMT by TAZ'!A:A, 'Model VMT by TAZ'!J:J, "NO")</f>
        <v>1533</v>
      </c>
      <c r="P15">
        <f>_xlfn.XLOOKUP(D15, 'Model VMT by TAZ'!A:A, 'Model VMT by TAZ'!E:E, "NO")</f>
        <v>126076.19</v>
      </c>
      <c r="R15">
        <v>77</v>
      </c>
      <c r="S15" t="s">
        <v>1161</v>
      </c>
      <c r="T15">
        <v>2667</v>
      </c>
      <c r="U15">
        <v>1508</v>
      </c>
      <c r="V15" s="136" t="s">
        <v>299</v>
      </c>
      <c r="W15" t="s">
        <v>1162</v>
      </c>
      <c r="X15" t="s">
        <v>1162</v>
      </c>
      <c r="Y15">
        <v>0</v>
      </c>
      <c r="Z15">
        <v>5632082</v>
      </c>
      <c r="AA15">
        <v>14679.545545000001</v>
      </c>
      <c r="AB15">
        <v>5632059.146071</v>
      </c>
      <c r="AC15">
        <v>2205</v>
      </c>
      <c r="AD15">
        <v>48527.040000000001</v>
      </c>
    </row>
    <row r="16" spans="1:30" x14ac:dyDescent="0.35">
      <c r="A16">
        <v>13</v>
      </c>
      <c r="B16" t="s">
        <v>1161</v>
      </c>
      <c r="C16">
        <v>2053</v>
      </c>
      <c r="D16">
        <v>494</v>
      </c>
      <c r="E16" s="136" t="str">
        <f>_xlfn.XLOOKUP(D16,'TAZs by City - CCAG Model'!A:A,'TAZs by City - CCAG Model'!B:B,"ERROR")</f>
        <v>Unincorporated</v>
      </c>
      <c r="F16" s="117">
        <f>_xlfn.XLOOKUP(C16,'Model Modeshare by TAZ'!$A:$A,'Model Modeshare by TAZ'!$G:$G)</f>
        <v>573.14</v>
      </c>
      <c r="G16" s="117">
        <f>_xlfn.XLOOKUP(D16,'Model Modeshare by TAZ'!$A:$A,'Model Modeshare by TAZ'!$E:$E)+_xlfn.XLOOKUP(D16,'Model Modeshare by TAZ'!$A:$A,'Model Modeshare by TAZ'!$F:$F)</f>
        <v>212.62</v>
      </c>
      <c r="H16" s="117">
        <f>_xlfn.XLOOKUP(D16,'Model Modeshare by TAZ'!$A:$A,'Model Modeshare by TAZ'!$J:$J)</f>
        <v>397.96</v>
      </c>
      <c r="I16">
        <v>6161</v>
      </c>
      <c r="J16">
        <v>2701</v>
      </c>
      <c r="K16">
        <v>511604</v>
      </c>
      <c r="L16">
        <v>1922261</v>
      </c>
      <c r="M16">
        <v>5631.1057250000003</v>
      </c>
      <c r="N16">
        <v>1922253.552747</v>
      </c>
      <c r="O16">
        <f>_xlfn.XLOOKUP(D16, 'Model VMT by TAZ'!A:A, 'Model VMT by TAZ'!J:J, "NO")</f>
        <v>6</v>
      </c>
      <c r="P16">
        <f>_xlfn.XLOOKUP(D16, 'Model VMT by TAZ'!A:A, 'Model VMT by TAZ'!E:E, "NO")</f>
        <v>31695.119999999999</v>
      </c>
      <c r="R16">
        <v>82</v>
      </c>
      <c r="S16" t="s">
        <v>1161</v>
      </c>
      <c r="T16">
        <v>2678</v>
      </c>
      <c r="U16">
        <v>1511</v>
      </c>
      <c r="V16" s="136" t="s">
        <v>299</v>
      </c>
      <c r="W16" t="s">
        <v>1162</v>
      </c>
      <c r="X16" t="s">
        <v>1162</v>
      </c>
      <c r="Y16">
        <v>0</v>
      </c>
      <c r="Z16">
        <v>4245236</v>
      </c>
      <c r="AA16">
        <v>11571.242591</v>
      </c>
      <c r="AB16">
        <v>4245219.1632200005</v>
      </c>
      <c r="AC16">
        <v>1567</v>
      </c>
      <c r="AD16">
        <v>27640.32</v>
      </c>
    </row>
    <row r="17" spans="1:30" x14ac:dyDescent="0.35">
      <c r="A17">
        <v>14</v>
      </c>
      <c r="B17" t="s">
        <v>1161</v>
      </c>
      <c r="C17">
        <v>2479</v>
      </c>
      <c r="D17">
        <v>2027</v>
      </c>
      <c r="E17" s="136" t="str">
        <f>_xlfn.XLOOKUP(D17,'TAZs by City - CCAG Model'!A:A,'TAZs by City - CCAG Model'!B:B,"ERROR")</f>
        <v>Unincorporated</v>
      </c>
      <c r="F17" s="117">
        <f>_xlfn.XLOOKUP(C17,'Model Modeshare by TAZ'!$A:$A,'Model Modeshare by TAZ'!$G:$G)</f>
        <v>724.9</v>
      </c>
      <c r="G17" s="117">
        <f>_xlfn.XLOOKUP(D17,'Model Modeshare by TAZ'!$A:$A,'Model Modeshare by TAZ'!$E:$E)+_xlfn.XLOOKUP(D17,'Model Modeshare by TAZ'!$A:$A,'Model Modeshare by TAZ'!$F:$F)</f>
        <v>21740.379999999997</v>
      </c>
      <c r="H17" s="117">
        <f>_xlfn.XLOOKUP(D17,'Model Modeshare by TAZ'!$A:$A,'Model Modeshare by TAZ'!$J:$J)</f>
        <v>28640.959999999999</v>
      </c>
      <c r="I17" t="s">
        <v>1162</v>
      </c>
      <c r="J17" t="s">
        <v>1162</v>
      </c>
      <c r="K17">
        <v>0</v>
      </c>
      <c r="L17">
        <v>9454204</v>
      </c>
      <c r="M17">
        <v>14943.714668000001</v>
      </c>
      <c r="N17">
        <v>9454165.9149270002</v>
      </c>
      <c r="O17">
        <f>_xlfn.XLOOKUP(D17, 'Model VMT by TAZ'!A:A, 'Model VMT by TAZ'!J:J, "NO")</f>
        <v>6248</v>
      </c>
      <c r="P17">
        <f>_xlfn.XLOOKUP(D17, 'Model VMT by TAZ'!A:A, 'Model VMT by TAZ'!E:E, "NO")</f>
        <v>97273.18</v>
      </c>
      <c r="R17">
        <v>83</v>
      </c>
      <c r="S17" t="s">
        <v>1161</v>
      </c>
      <c r="T17">
        <v>2679</v>
      </c>
      <c r="U17">
        <v>1509</v>
      </c>
      <c r="V17" s="136" t="s">
        <v>299</v>
      </c>
      <c r="W17" t="s">
        <v>1162</v>
      </c>
      <c r="X17" t="s">
        <v>1162</v>
      </c>
      <c r="Y17">
        <v>0</v>
      </c>
      <c r="Z17">
        <v>8513759</v>
      </c>
      <c r="AA17">
        <v>14384.965783</v>
      </c>
      <c r="AB17">
        <v>8513725.0475570001</v>
      </c>
      <c r="AC17">
        <v>2901</v>
      </c>
      <c r="AD17">
        <v>41778.269999999997</v>
      </c>
    </row>
    <row r="18" spans="1:30" x14ac:dyDescent="0.35">
      <c r="A18">
        <v>15</v>
      </c>
      <c r="B18" t="s">
        <v>1161</v>
      </c>
      <c r="C18">
        <v>2480</v>
      </c>
      <c r="D18">
        <v>2028</v>
      </c>
      <c r="E18" s="136" t="str">
        <f>_xlfn.XLOOKUP(D18,'TAZs by City - CCAG Model'!A:A,'TAZs by City - CCAG Model'!B:B,"ERROR")</f>
        <v>Unincorporated</v>
      </c>
      <c r="F18" s="117">
        <f>_xlfn.XLOOKUP(C18,'Model Modeshare by TAZ'!$A:$A,'Model Modeshare by TAZ'!$G:$G)</f>
        <v>665.24</v>
      </c>
      <c r="G18" s="117">
        <f>_xlfn.XLOOKUP(D18,'Model Modeshare by TAZ'!$A:$A,'Model Modeshare by TAZ'!$E:$E)+_xlfn.XLOOKUP(D18,'Model Modeshare by TAZ'!$A:$A,'Model Modeshare by TAZ'!$F:$F)</f>
        <v>18967.86</v>
      </c>
      <c r="H18" s="117">
        <f>_xlfn.XLOOKUP(D18,'Model Modeshare by TAZ'!$A:$A,'Model Modeshare by TAZ'!$J:$J)</f>
        <v>22742.32</v>
      </c>
      <c r="I18" t="s">
        <v>1162</v>
      </c>
      <c r="J18" t="s">
        <v>1162</v>
      </c>
      <c r="K18">
        <v>0</v>
      </c>
      <c r="L18">
        <v>12004571</v>
      </c>
      <c r="M18">
        <v>18203.112179</v>
      </c>
      <c r="N18">
        <v>12004522.695506999</v>
      </c>
      <c r="O18">
        <f>_xlfn.XLOOKUP(D18, 'Model VMT by TAZ'!A:A, 'Model VMT by TAZ'!J:J, "NO")</f>
        <v>4241</v>
      </c>
      <c r="P18">
        <f>_xlfn.XLOOKUP(D18, 'Model VMT by TAZ'!A:A, 'Model VMT by TAZ'!E:E, "NO")</f>
        <v>82218.41</v>
      </c>
      <c r="R18">
        <v>122</v>
      </c>
      <c r="S18" t="s">
        <v>1161</v>
      </c>
      <c r="T18">
        <v>2812</v>
      </c>
      <c r="U18">
        <v>1596</v>
      </c>
      <c r="V18" s="136" t="s">
        <v>299</v>
      </c>
      <c r="W18" t="s">
        <v>1162</v>
      </c>
      <c r="X18" t="s">
        <v>1162</v>
      </c>
      <c r="Y18">
        <v>0</v>
      </c>
      <c r="Z18">
        <v>3149371</v>
      </c>
      <c r="AA18">
        <v>7499.543154</v>
      </c>
      <c r="AB18">
        <v>3149358.7522280002</v>
      </c>
      <c r="AC18">
        <v>1236</v>
      </c>
      <c r="AD18">
        <v>29338.38</v>
      </c>
    </row>
    <row r="19" spans="1:30" x14ac:dyDescent="0.35">
      <c r="A19">
        <v>16</v>
      </c>
      <c r="B19" t="s">
        <v>1161</v>
      </c>
      <c r="C19">
        <v>2481</v>
      </c>
      <c r="D19">
        <v>2023</v>
      </c>
      <c r="E19" s="136" t="str">
        <f>_xlfn.XLOOKUP(D19,'TAZs by City - CCAG Model'!A:A,'TAZs by City - CCAG Model'!B:B,"ERROR")</f>
        <v>Redwood City</v>
      </c>
      <c r="F19" s="117">
        <f>_xlfn.XLOOKUP(C19,'Model Modeshare by TAZ'!$A:$A,'Model Modeshare by TAZ'!$G:$G)</f>
        <v>790.96</v>
      </c>
      <c r="G19" s="117">
        <f>_xlfn.XLOOKUP(D19,'Model Modeshare by TAZ'!$A:$A,'Model Modeshare by TAZ'!$E:$E)+_xlfn.XLOOKUP(D19,'Model Modeshare by TAZ'!$A:$A,'Model Modeshare by TAZ'!$F:$F)</f>
        <v>27138.3</v>
      </c>
      <c r="H19" s="117">
        <f>_xlfn.XLOOKUP(D19,'Model Modeshare by TAZ'!$A:$A,'Model Modeshare by TAZ'!$J:$J)</f>
        <v>31700.22</v>
      </c>
      <c r="I19" t="s">
        <v>1162</v>
      </c>
      <c r="J19" t="s">
        <v>1162</v>
      </c>
      <c r="K19">
        <v>0</v>
      </c>
      <c r="L19">
        <v>11521747</v>
      </c>
      <c r="M19">
        <v>15562.826598</v>
      </c>
      <c r="N19">
        <v>11521700.924838001</v>
      </c>
      <c r="O19">
        <f>_xlfn.XLOOKUP(D19, 'Model VMT by TAZ'!A:A, 'Model VMT by TAZ'!J:J, "NO")</f>
        <v>5414</v>
      </c>
      <c r="P19">
        <f>_xlfn.XLOOKUP(D19, 'Model VMT by TAZ'!A:A, 'Model VMT by TAZ'!E:E, "NO")</f>
        <v>165994.96</v>
      </c>
      <c r="R19">
        <v>127</v>
      </c>
      <c r="S19" t="s">
        <v>1161</v>
      </c>
      <c r="T19">
        <v>2825</v>
      </c>
      <c r="U19">
        <v>1510</v>
      </c>
      <c r="V19" s="136" t="s">
        <v>299</v>
      </c>
      <c r="W19" t="s">
        <v>1162</v>
      </c>
      <c r="X19" t="s">
        <v>1162</v>
      </c>
      <c r="Y19">
        <v>0</v>
      </c>
      <c r="Z19">
        <v>1632065</v>
      </c>
      <c r="AA19">
        <v>5551.2013120000001</v>
      </c>
      <c r="AB19">
        <v>1632057.9997169999</v>
      </c>
      <c r="AC19">
        <v>963</v>
      </c>
      <c r="AD19">
        <v>25620</v>
      </c>
    </row>
    <row r="20" spans="1:30" x14ac:dyDescent="0.35">
      <c r="A20">
        <v>17</v>
      </c>
      <c r="B20" t="s">
        <v>1161</v>
      </c>
      <c r="C20">
        <v>2482</v>
      </c>
      <c r="D20">
        <v>2024</v>
      </c>
      <c r="E20" s="136" t="str">
        <f>_xlfn.XLOOKUP(D20,'TAZs by City - CCAG Model'!A:A,'TAZs by City - CCAG Model'!B:B,"ERROR")</f>
        <v>Redwood City</v>
      </c>
      <c r="F20" s="117">
        <f>_xlfn.XLOOKUP(C20,'Model Modeshare by TAZ'!$A:$A,'Model Modeshare by TAZ'!$G:$G)</f>
        <v>991.98</v>
      </c>
      <c r="G20" s="117">
        <f>_xlfn.XLOOKUP(D20,'Model Modeshare by TAZ'!$A:$A,'Model Modeshare by TAZ'!$E:$E)+_xlfn.XLOOKUP(D20,'Model Modeshare by TAZ'!$A:$A,'Model Modeshare by TAZ'!$F:$F)</f>
        <v>24253.4</v>
      </c>
      <c r="H20" s="117">
        <f>_xlfn.XLOOKUP(D20,'Model Modeshare by TAZ'!$A:$A,'Model Modeshare by TAZ'!$J:$J)</f>
        <v>28177.26</v>
      </c>
      <c r="I20" t="s">
        <v>1162</v>
      </c>
      <c r="J20" t="s">
        <v>1162</v>
      </c>
      <c r="K20">
        <v>0</v>
      </c>
      <c r="L20">
        <v>5425268</v>
      </c>
      <c r="M20">
        <v>11176.126404000001</v>
      </c>
      <c r="N20">
        <v>5425246.3706790004</v>
      </c>
      <c r="O20">
        <f>_xlfn.XLOOKUP(D20, 'Model VMT by TAZ'!A:A, 'Model VMT by TAZ'!J:J, "NO")</f>
        <v>4792</v>
      </c>
      <c r="P20">
        <f>_xlfn.XLOOKUP(D20, 'Model VMT by TAZ'!A:A, 'Model VMT by TAZ'!E:E, "NO")</f>
        <v>161023.6</v>
      </c>
      <c r="R20">
        <v>131</v>
      </c>
      <c r="S20" t="s">
        <v>1161</v>
      </c>
      <c r="T20">
        <v>2829</v>
      </c>
      <c r="U20">
        <v>1687</v>
      </c>
      <c r="V20" s="136" t="s">
        <v>299</v>
      </c>
      <c r="W20" t="s">
        <v>1162</v>
      </c>
      <c r="X20" t="s">
        <v>1162</v>
      </c>
      <c r="Y20">
        <v>0</v>
      </c>
      <c r="Z20">
        <v>2026070</v>
      </c>
      <c r="AA20">
        <v>7177.1772579999997</v>
      </c>
      <c r="AB20">
        <v>2026062.0833070001</v>
      </c>
      <c r="AC20">
        <v>312</v>
      </c>
      <c r="AD20">
        <v>40018.25</v>
      </c>
    </row>
    <row r="21" spans="1:30" x14ac:dyDescent="0.35">
      <c r="A21">
        <v>18</v>
      </c>
      <c r="B21" t="s">
        <v>1161</v>
      </c>
      <c r="C21">
        <v>2483</v>
      </c>
      <c r="D21">
        <v>2025</v>
      </c>
      <c r="E21" s="136" t="str">
        <f>_xlfn.XLOOKUP(D21,'TAZs by City - CCAG Model'!A:A,'TAZs by City - CCAG Model'!B:B,"ERROR")</f>
        <v>Redwood City</v>
      </c>
      <c r="F21" s="117">
        <f>_xlfn.XLOOKUP(C21,'Model Modeshare by TAZ'!$A:$A,'Model Modeshare by TAZ'!$G:$G)</f>
        <v>712.98</v>
      </c>
      <c r="G21" s="117">
        <f>_xlfn.XLOOKUP(D21,'Model Modeshare by TAZ'!$A:$A,'Model Modeshare by TAZ'!$E:$E)+_xlfn.XLOOKUP(D21,'Model Modeshare by TAZ'!$A:$A,'Model Modeshare by TAZ'!$F:$F)</f>
        <v>12298.9</v>
      </c>
      <c r="H21" s="117">
        <f>_xlfn.XLOOKUP(D21,'Model Modeshare by TAZ'!$A:$A,'Model Modeshare by TAZ'!$J:$J)</f>
        <v>15956.68</v>
      </c>
      <c r="I21" t="s">
        <v>1162</v>
      </c>
      <c r="J21" t="s">
        <v>1162</v>
      </c>
      <c r="K21">
        <v>0</v>
      </c>
      <c r="L21">
        <v>6770549</v>
      </c>
      <c r="M21">
        <v>13370.149938</v>
      </c>
      <c r="N21">
        <v>6770522.2388939997</v>
      </c>
      <c r="O21">
        <f>_xlfn.XLOOKUP(D21, 'Model VMT by TAZ'!A:A, 'Model VMT by TAZ'!J:J, "NO")</f>
        <v>3654</v>
      </c>
      <c r="P21">
        <f>_xlfn.XLOOKUP(D21, 'Model VMT by TAZ'!A:A, 'Model VMT by TAZ'!E:E, "NO")</f>
        <v>52977.57</v>
      </c>
      <c r="R21">
        <v>132</v>
      </c>
      <c r="S21" t="s">
        <v>1161</v>
      </c>
      <c r="T21">
        <v>2831</v>
      </c>
      <c r="U21">
        <v>1656</v>
      </c>
      <c r="V21" s="136" t="s">
        <v>299</v>
      </c>
      <c r="W21" t="s">
        <v>1162</v>
      </c>
      <c r="X21" t="s">
        <v>1162</v>
      </c>
      <c r="Y21">
        <v>0</v>
      </c>
      <c r="Z21">
        <v>3819162</v>
      </c>
      <c r="AA21">
        <v>11495.719489999999</v>
      </c>
      <c r="AB21">
        <v>3819147.0158390002</v>
      </c>
      <c r="AC21">
        <v>1891</v>
      </c>
      <c r="AD21">
        <v>70980.12</v>
      </c>
    </row>
    <row r="22" spans="1:30" x14ac:dyDescent="0.35">
      <c r="A22">
        <v>19</v>
      </c>
      <c r="B22" t="s">
        <v>1161</v>
      </c>
      <c r="C22">
        <v>2498</v>
      </c>
      <c r="D22">
        <v>2040</v>
      </c>
      <c r="E22" s="136" t="str">
        <f>_xlfn.XLOOKUP(D22,'TAZs by City - CCAG Model'!A:A,'TAZs by City - CCAG Model'!B:B,"ERROR")</f>
        <v>Menlo Park</v>
      </c>
      <c r="F22" s="117">
        <f>_xlfn.XLOOKUP(C22,'Model Modeshare by TAZ'!$A:$A,'Model Modeshare by TAZ'!$G:$G)</f>
        <v>697.18</v>
      </c>
      <c r="G22" s="117">
        <f>_xlfn.XLOOKUP(D22,'Model Modeshare by TAZ'!$A:$A,'Model Modeshare by TAZ'!$E:$E)+_xlfn.XLOOKUP(D22,'Model Modeshare by TAZ'!$A:$A,'Model Modeshare by TAZ'!$F:$F)</f>
        <v>18554.34</v>
      </c>
      <c r="H22" s="117">
        <f>_xlfn.XLOOKUP(D22,'Model Modeshare by TAZ'!$A:$A,'Model Modeshare by TAZ'!$J:$J)</f>
        <v>25103.74</v>
      </c>
      <c r="I22" t="s">
        <v>1162</v>
      </c>
      <c r="J22" t="s">
        <v>1162</v>
      </c>
      <c r="K22">
        <v>0</v>
      </c>
      <c r="L22">
        <v>12845769</v>
      </c>
      <c r="M22">
        <v>15595.049074</v>
      </c>
      <c r="N22">
        <v>12845717.945495</v>
      </c>
      <c r="O22">
        <f>_xlfn.XLOOKUP(D22, 'Model VMT by TAZ'!A:A, 'Model VMT by TAZ'!J:J, "NO")</f>
        <v>1762</v>
      </c>
      <c r="P22">
        <f>_xlfn.XLOOKUP(D22, 'Model VMT by TAZ'!A:A, 'Model VMT by TAZ'!E:E, "NO")</f>
        <v>247582.5</v>
      </c>
    </row>
    <row r="23" spans="1:30" x14ac:dyDescent="0.35">
      <c r="A23">
        <v>20</v>
      </c>
      <c r="B23" t="s">
        <v>1161</v>
      </c>
      <c r="C23">
        <v>2499</v>
      </c>
      <c r="D23">
        <v>2041</v>
      </c>
      <c r="E23" s="136" t="str">
        <f>_xlfn.XLOOKUP(D23,'TAZs by City - CCAG Model'!A:A,'TAZs by City - CCAG Model'!B:B,"ERROR")</f>
        <v>Menlo Park</v>
      </c>
      <c r="F23" s="117">
        <f>_xlfn.XLOOKUP(C23,'Model Modeshare by TAZ'!$A:$A,'Model Modeshare by TAZ'!$G:$G)</f>
        <v>249.44</v>
      </c>
      <c r="G23" s="117">
        <f>_xlfn.XLOOKUP(D23,'Model Modeshare by TAZ'!$A:$A,'Model Modeshare by TAZ'!$E:$E)+_xlfn.XLOOKUP(D23,'Model Modeshare by TAZ'!$A:$A,'Model Modeshare by TAZ'!$F:$F)</f>
        <v>33007.18</v>
      </c>
      <c r="H23" s="117">
        <f>_xlfn.XLOOKUP(D23,'Model Modeshare by TAZ'!$A:$A,'Model Modeshare by TAZ'!$J:$J)</f>
        <v>40140.58</v>
      </c>
      <c r="I23" t="s">
        <v>1162</v>
      </c>
      <c r="J23" t="s">
        <v>1162</v>
      </c>
      <c r="K23">
        <v>0</v>
      </c>
      <c r="L23">
        <v>10110210</v>
      </c>
      <c r="M23">
        <v>14095.781136</v>
      </c>
      <c r="N23">
        <v>10110169.822137</v>
      </c>
      <c r="O23">
        <f>_xlfn.XLOOKUP(D23, 'Model VMT by TAZ'!A:A, 'Model VMT by TAZ'!J:J, "NO")</f>
        <v>3318</v>
      </c>
      <c r="P23">
        <f>_xlfn.XLOOKUP(D23, 'Model VMT by TAZ'!A:A, 'Model VMT by TAZ'!E:E, "NO")</f>
        <v>267988.78999999998</v>
      </c>
    </row>
    <row r="24" spans="1:30" x14ac:dyDescent="0.35">
      <c r="A24">
        <v>21</v>
      </c>
      <c r="B24" t="s">
        <v>1161</v>
      </c>
      <c r="C24">
        <v>2500</v>
      </c>
      <c r="D24">
        <v>2043</v>
      </c>
      <c r="E24" s="136" t="str">
        <f>_xlfn.XLOOKUP(D24,'TAZs by City - CCAG Model'!A:A,'TAZs by City - CCAG Model'!B:B,"ERROR")</f>
        <v>Menlo Park</v>
      </c>
      <c r="F24" s="117">
        <f>_xlfn.XLOOKUP(C24,'Model Modeshare by TAZ'!$A:$A,'Model Modeshare by TAZ'!$G:$G)</f>
        <v>2488.94</v>
      </c>
      <c r="G24" s="117">
        <f>_xlfn.XLOOKUP(D24,'Model Modeshare by TAZ'!$A:$A,'Model Modeshare by TAZ'!$E:$E)+_xlfn.XLOOKUP(D24,'Model Modeshare by TAZ'!$A:$A,'Model Modeshare by TAZ'!$F:$F)</f>
        <v>9047.18</v>
      </c>
      <c r="H24" s="117">
        <f>_xlfn.XLOOKUP(D24,'Model Modeshare by TAZ'!$A:$A,'Model Modeshare by TAZ'!$J:$J)</f>
        <v>10851.34</v>
      </c>
      <c r="I24" t="s">
        <v>1162</v>
      </c>
      <c r="J24" t="s">
        <v>1162</v>
      </c>
      <c r="K24">
        <v>0</v>
      </c>
      <c r="L24">
        <v>13823152</v>
      </c>
      <c r="M24">
        <v>22353.230525999999</v>
      </c>
      <c r="N24">
        <v>13823096.738678999</v>
      </c>
      <c r="O24">
        <f>_xlfn.XLOOKUP(D24, 'Model VMT by TAZ'!A:A, 'Model VMT by TAZ'!J:J, "NO")</f>
        <v>2242</v>
      </c>
      <c r="P24">
        <f>_xlfn.XLOOKUP(D24, 'Model VMT by TAZ'!A:A, 'Model VMT by TAZ'!E:E, "NO")</f>
        <v>42281.98</v>
      </c>
    </row>
    <row r="25" spans="1:30" x14ac:dyDescent="0.35">
      <c r="A25">
        <v>22</v>
      </c>
      <c r="B25" t="s">
        <v>1161</v>
      </c>
      <c r="C25">
        <v>2507</v>
      </c>
      <c r="D25">
        <v>1903</v>
      </c>
      <c r="E25" s="136" t="str">
        <f>_xlfn.XLOOKUP(D25,'TAZs by City - CCAG Model'!A:A,'TAZs by City - CCAG Model'!B:B,"ERROR")</f>
        <v>Daly City</v>
      </c>
      <c r="F25" s="117">
        <f>_xlfn.XLOOKUP(C25,'Model Modeshare by TAZ'!$A:$A,'Model Modeshare by TAZ'!$G:$G)</f>
        <v>1135.8599999999999</v>
      </c>
      <c r="G25" s="117">
        <f>_xlfn.XLOOKUP(D25,'Model Modeshare by TAZ'!$A:$A,'Model Modeshare by TAZ'!$E:$E)+_xlfn.XLOOKUP(D25,'Model Modeshare by TAZ'!$A:$A,'Model Modeshare by TAZ'!$F:$F)</f>
        <v>22877.839999999997</v>
      </c>
      <c r="H25" s="117">
        <f>_xlfn.XLOOKUP(D25,'Model Modeshare by TAZ'!$A:$A,'Model Modeshare by TAZ'!$J:$J)</f>
        <v>29135.54</v>
      </c>
      <c r="I25" t="s">
        <v>1162</v>
      </c>
      <c r="J25" t="s">
        <v>1162</v>
      </c>
      <c r="K25">
        <v>0</v>
      </c>
      <c r="L25">
        <v>6019963</v>
      </c>
      <c r="M25">
        <v>10106.101924000001</v>
      </c>
      <c r="N25">
        <v>6019938.8908209996</v>
      </c>
      <c r="O25">
        <f>_xlfn.XLOOKUP(D25, 'Model VMT by TAZ'!A:A, 'Model VMT by TAZ'!J:J, "NO")</f>
        <v>3581</v>
      </c>
      <c r="P25">
        <f>_xlfn.XLOOKUP(D25, 'Model VMT by TAZ'!A:A, 'Model VMT by TAZ'!E:E, "NO")</f>
        <v>120974.53</v>
      </c>
      <c r="R25" s="116" t="s">
        <v>1169</v>
      </c>
      <c r="Z25" s="2" t="s">
        <v>1156</v>
      </c>
      <c r="AA25" s="2" t="s">
        <v>1157</v>
      </c>
      <c r="AB25" s="2" t="s">
        <v>1158</v>
      </c>
      <c r="AC25" s="2" t="s">
        <v>1152</v>
      </c>
      <c r="AD25" s="2" t="s">
        <v>1165</v>
      </c>
    </row>
    <row r="26" spans="1:30" x14ac:dyDescent="0.35">
      <c r="A26">
        <v>23</v>
      </c>
      <c r="B26" t="s">
        <v>1161</v>
      </c>
      <c r="C26">
        <v>2513</v>
      </c>
      <c r="D26">
        <v>1893</v>
      </c>
      <c r="E26" s="136" t="str">
        <f>_xlfn.XLOOKUP(D26,'TAZs by City - CCAG Model'!A:A,'TAZs by City - CCAG Model'!B:B,"ERROR")</f>
        <v>Daly City</v>
      </c>
      <c r="F26" s="117">
        <f>_xlfn.XLOOKUP(C26,'Model Modeshare by TAZ'!$A:$A,'Model Modeshare by TAZ'!$G:$G)</f>
        <v>169.86</v>
      </c>
      <c r="G26" s="117">
        <f>_xlfn.XLOOKUP(D26,'Model Modeshare by TAZ'!$A:$A,'Model Modeshare by TAZ'!$E:$E)+_xlfn.XLOOKUP(D26,'Model Modeshare by TAZ'!$A:$A,'Model Modeshare by TAZ'!$F:$F)</f>
        <v>23240.76</v>
      </c>
      <c r="H26" s="117">
        <f>_xlfn.XLOOKUP(D26,'Model Modeshare by TAZ'!$A:$A,'Model Modeshare by TAZ'!$J:$J)</f>
        <v>27866.22</v>
      </c>
      <c r="I26" t="s">
        <v>1162</v>
      </c>
      <c r="J26" t="s">
        <v>1162</v>
      </c>
      <c r="K26">
        <v>0</v>
      </c>
      <c r="L26">
        <v>12021410</v>
      </c>
      <c r="M26">
        <v>16561.483681999998</v>
      </c>
      <c r="N26">
        <v>12021361.454545001</v>
      </c>
      <c r="O26">
        <f>_xlfn.XLOOKUP(D26, 'Model VMT by TAZ'!A:A, 'Model VMT by TAZ'!J:J, "NO")</f>
        <v>3020</v>
      </c>
      <c r="P26">
        <f>_xlfn.XLOOKUP(D26, 'Model VMT by TAZ'!A:A, 'Model VMT by TAZ'!E:E, "NO")</f>
        <v>144944.68</v>
      </c>
      <c r="R26" s="2" t="s">
        <v>1148</v>
      </c>
      <c r="S26" s="2" t="s">
        <v>1149</v>
      </c>
      <c r="T26" s="2" t="s">
        <v>1150</v>
      </c>
      <c r="U26" s="2" t="s">
        <v>1151</v>
      </c>
      <c r="V26" s="18" t="s">
        <v>409</v>
      </c>
      <c r="W26" s="2" t="s">
        <v>1153</v>
      </c>
      <c r="X26" s="2" t="s">
        <v>1154</v>
      </c>
      <c r="Y26" s="2" t="s">
        <v>1155</v>
      </c>
      <c r="Z26" s="2" t="s">
        <v>1156</v>
      </c>
      <c r="AA26" s="2" t="s">
        <v>1157</v>
      </c>
      <c r="AB26" s="2" t="s">
        <v>1158</v>
      </c>
      <c r="AC26" s="2" t="s">
        <v>1152</v>
      </c>
      <c r="AD26" s="2" t="s">
        <v>1165</v>
      </c>
    </row>
    <row r="27" spans="1:30" x14ac:dyDescent="0.35">
      <c r="A27">
        <v>24</v>
      </c>
      <c r="B27" t="s">
        <v>1161</v>
      </c>
      <c r="C27">
        <v>2514</v>
      </c>
      <c r="D27">
        <v>1901</v>
      </c>
      <c r="E27" s="136" t="str">
        <f>_xlfn.XLOOKUP(D27,'TAZs by City - CCAG Model'!A:A,'TAZs by City - CCAG Model'!B:B,"ERROR")</f>
        <v>Daly City</v>
      </c>
      <c r="F27" s="117">
        <f>_xlfn.XLOOKUP(C27,'Model Modeshare by TAZ'!$A:$A,'Model Modeshare by TAZ'!$G:$G)</f>
        <v>776.62</v>
      </c>
      <c r="G27" s="117">
        <f>_xlfn.XLOOKUP(D27,'Model Modeshare by TAZ'!$A:$A,'Model Modeshare by TAZ'!$E:$E)+_xlfn.XLOOKUP(D27,'Model Modeshare by TAZ'!$A:$A,'Model Modeshare by TAZ'!$F:$F)</f>
        <v>18091.239999999998</v>
      </c>
      <c r="H27" s="117">
        <f>_xlfn.XLOOKUP(D27,'Model Modeshare by TAZ'!$A:$A,'Model Modeshare by TAZ'!$J:$J)</f>
        <v>23214.12</v>
      </c>
      <c r="I27" t="s">
        <v>1162</v>
      </c>
      <c r="J27" t="s">
        <v>1162</v>
      </c>
      <c r="K27">
        <v>0</v>
      </c>
      <c r="L27">
        <v>4814001</v>
      </c>
      <c r="M27">
        <v>10466.174378</v>
      </c>
      <c r="N27">
        <v>4813981.28223</v>
      </c>
      <c r="O27">
        <f>_xlfn.XLOOKUP(D27, 'Model VMT by TAZ'!A:A, 'Model VMT by TAZ'!J:J, "NO")</f>
        <v>5351</v>
      </c>
      <c r="P27">
        <f>_xlfn.XLOOKUP(D27, 'Model VMT by TAZ'!A:A, 'Model VMT by TAZ'!E:E, "NO")</f>
        <v>133012.91</v>
      </c>
      <c r="R27">
        <v>31</v>
      </c>
      <c r="S27" t="s">
        <v>1161</v>
      </c>
      <c r="T27">
        <v>2543</v>
      </c>
      <c r="U27">
        <v>1936</v>
      </c>
      <c r="V27" s="136" t="s">
        <v>380</v>
      </c>
      <c r="W27" t="s">
        <v>1162</v>
      </c>
      <c r="X27" t="s">
        <v>1162</v>
      </c>
      <c r="Y27">
        <v>0</v>
      </c>
      <c r="Z27">
        <v>12836389</v>
      </c>
      <c r="AA27">
        <v>23323.773431000001</v>
      </c>
      <c r="AB27">
        <v>12836337.649371</v>
      </c>
      <c r="AC27">
        <v>3293</v>
      </c>
      <c r="AD27">
        <v>82917.429999999993</v>
      </c>
    </row>
    <row r="28" spans="1:30" x14ac:dyDescent="0.35">
      <c r="A28">
        <v>25</v>
      </c>
      <c r="B28" t="s">
        <v>1161</v>
      </c>
      <c r="C28">
        <v>2515</v>
      </c>
      <c r="D28">
        <v>1894</v>
      </c>
      <c r="E28" s="136" t="str">
        <f>_xlfn.XLOOKUP(D28,'TAZs by City - CCAG Model'!A:A,'TAZs by City - CCAG Model'!B:B,"ERROR")</f>
        <v>Daly City</v>
      </c>
      <c r="F28" s="117">
        <f>_xlfn.XLOOKUP(C28,'Model Modeshare by TAZ'!$A:$A,'Model Modeshare by TAZ'!$G:$G)</f>
        <v>491.62</v>
      </c>
      <c r="G28" s="117">
        <f>_xlfn.XLOOKUP(D28,'Model Modeshare by TAZ'!$A:$A,'Model Modeshare by TAZ'!$E:$E)+_xlfn.XLOOKUP(D28,'Model Modeshare by TAZ'!$A:$A,'Model Modeshare by TAZ'!$F:$F)</f>
        <v>20381.78</v>
      </c>
      <c r="H28" s="117">
        <f>_xlfn.XLOOKUP(D28,'Model Modeshare by TAZ'!$A:$A,'Model Modeshare by TAZ'!$J:$J)</f>
        <v>28110.880000000001</v>
      </c>
      <c r="I28" t="s">
        <v>1162</v>
      </c>
      <c r="J28" t="s">
        <v>1162</v>
      </c>
      <c r="K28">
        <v>0</v>
      </c>
      <c r="L28">
        <v>9046312</v>
      </c>
      <c r="M28">
        <v>15420.545419</v>
      </c>
      <c r="N28">
        <v>9046275.3410899993</v>
      </c>
      <c r="O28">
        <f>_xlfn.XLOOKUP(D28, 'Model VMT by TAZ'!A:A, 'Model VMT by TAZ'!J:J, "NO")</f>
        <v>3300</v>
      </c>
      <c r="P28">
        <f>_xlfn.XLOOKUP(D28, 'Model VMT by TAZ'!A:A, 'Model VMT by TAZ'!E:E, "NO")</f>
        <v>113610.82</v>
      </c>
      <c r="R28">
        <v>32</v>
      </c>
      <c r="S28" t="s">
        <v>1161</v>
      </c>
      <c r="T28">
        <v>2544</v>
      </c>
      <c r="U28">
        <v>1935</v>
      </c>
      <c r="V28" s="136" t="s">
        <v>380</v>
      </c>
      <c r="W28" t="s">
        <v>1162</v>
      </c>
      <c r="X28" t="s">
        <v>1162</v>
      </c>
      <c r="Y28">
        <v>0</v>
      </c>
      <c r="Z28">
        <v>9764827</v>
      </c>
      <c r="AA28">
        <v>13012.696567999999</v>
      </c>
      <c r="AB28">
        <v>9764787.7799890004</v>
      </c>
      <c r="AC28">
        <v>3279</v>
      </c>
      <c r="AD28">
        <v>76450.34</v>
      </c>
    </row>
    <row r="29" spans="1:30" x14ac:dyDescent="0.35">
      <c r="A29">
        <v>26</v>
      </c>
      <c r="B29" t="s">
        <v>1161</v>
      </c>
      <c r="C29">
        <v>2518</v>
      </c>
      <c r="D29">
        <v>1900</v>
      </c>
      <c r="E29" s="136" t="str">
        <f>_xlfn.XLOOKUP(D29,'TAZs by City - CCAG Model'!A:A,'TAZs by City - CCAG Model'!B:B,"ERROR")</f>
        <v>Colma</v>
      </c>
      <c r="F29" s="117">
        <f>_xlfn.XLOOKUP(C29,'Model Modeshare by TAZ'!$A:$A,'Model Modeshare by TAZ'!$G:$G)</f>
        <v>1168.3599999999999</v>
      </c>
      <c r="G29" s="117">
        <f>_xlfn.XLOOKUP(D29,'Model Modeshare by TAZ'!$A:$A,'Model Modeshare by TAZ'!$E:$E)+_xlfn.XLOOKUP(D29,'Model Modeshare by TAZ'!$A:$A,'Model Modeshare by TAZ'!$F:$F)</f>
        <v>24018.560000000001</v>
      </c>
      <c r="H29" s="117">
        <f>_xlfn.XLOOKUP(D29,'Model Modeshare by TAZ'!$A:$A,'Model Modeshare by TAZ'!$J:$J)</f>
        <v>28836.06</v>
      </c>
      <c r="I29" t="s">
        <v>1162</v>
      </c>
      <c r="J29" t="s">
        <v>1162</v>
      </c>
      <c r="K29">
        <v>0</v>
      </c>
      <c r="L29">
        <v>38875772</v>
      </c>
      <c r="M29">
        <v>31628.002285999999</v>
      </c>
      <c r="N29">
        <v>38875616.930261999</v>
      </c>
      <c r="O29">
        <f>_xlfn.XLOOKUP(D29, 'Model VMT by TAZ'!A:A, 'Model VMT by TAZ'!J:J, "NO")</f>
        <v>1740</v>
      </c>
      <c r="P29">
        <f>_xlfn.XLOOKUP(D29, 'Model VMT by TAZ'!A:A, 'Model VMT by TAZ'!E:E, "NO")</f>
        <v>210304.64000000001</v>
      </c>
      <c r="R29">
        <v>33</v>
      </c>
      <c r="S29" t="s">
        <v>1161</v>
      </c>
      <c r="T29">
        <v>2545</v>
      </c>
      <c r="U29">
        <v>1647</v>
      </c>
      <c r="V29" s="136" t="s">
        <v>380</v>
      </c>
      <c r="W29" t="s">
        <v>1162</v>
      </c>
      <c r="X29" t="s">
        <v>1162</v>
      </c>
      <c r="Y29">
        <v>0</v>
      </c>
      <c r="Z29">
        <v>3659584</v>
      </c>
      <c r="AA29">
        <v>10175.045301</v>
      </c>
      <c r="AB29">
        <v>3659569.6213429999</v>
      </c>
      <c r="AC29">
        <v>2441</v>
      </c>
      <c r="AD29">
        <v>107390.46</v>
      </c>
    </row>
    <row r="30" spans="1:30" x14ac:dyDescent="0.35">
      <c r="A30">
        <v>27</v>
      </c>
      <c r="B30" t="s">
        <v>1161</v>
      </c>
      <c r="C30">
        <v>2522</v>
      </c>
      <c r="D30">
        <v>1917</v>
      </c>
      <c r="E30" s="136" t="str">
        <f>_xlfn.XLOOKUP(D30,'TAZs by City - CCAG Model'!A:A,'TAZs by City - CCAG Model'!B:B,"ERROR")</f>
        <v>South San Francisco</v>
      </c>
      <c r="F30" s="117">
        <f>_xlfn.XLOOKUP(C30,'Model Modeshare by TAZ'!$A:$A,'Model Modeshare by TAZ'!$G:$G)</f>
        <v>558.17999999999995</v>
      </c>
      <c r="G30" s="117">
        <f>_xlfn.XLOOKUP(D30,'Model Modeshare by TAZ'!$A:$A,'Model Modeshare by TAZ'!$E:$E)+_xlfn.XLOOKUP(D30,'Model Modeshare by TAZ'!$A:$A,'Model Modeshare by TAZ'!$F:$F)</f>
        <v>10123.02</v>
      </c>
      <c r="H30" s="117">
        <f>_xlfn.XLOOKUP(D30,'Model Modeshare by TAZ'!$A:$A,'Model Modeshare by TAZ'!$J:$J)</f>
        <v>13193.58</v>
      </c>
      <c r="I30" t="s">
        <v>1162</v>
      </c>
      <c r="J30" t="s">
        <v>1162</v>
      </c>
      <c r="K30">
        <v>0</v>
      </c>
      <c r="L30">
        <v>8049870</v>
      </c>
      <c r="M30">
        <v>14891.915504000001</v>
      </c>
      <c r="N30">
        <v>8049837.5445060004</v>
      </c>
      <c r="O30">
        <f>_xlfn.XLOOKUP(D30, 'Model VMT by TAZ'!A:A, 'Model VMT by TAZ'!J:J, "NO")</f>
        <v>2908</v>
      </c>
      <c r="P30">
        <f>_xlfn.XLOOKUP(D30, 'Model VMT by TAZ'!A:A, 'Model VMT by TAZ'!E:E, "NO")</f>
        <v>65614.13</v>
      </c>
      <c r="R30">
        <v>34</v>
      </c>
      <c r="S30" t="s">
        <v>1161</v>
      </c>
      <c r="T30">
        <v>2546</v>
      </c>
      <c r="U30">
        <v>1599</v>
      </c>
      <c r="V30" s="136" t="s">
        <v>380</v>
      </c>
      <c r="W30" t="s">
        <v>1162</v>
      </c>
      <c r="X30" t="s">
        <v>1162</v>
      </c>
      <c r="Y30">
        <v>0</v>
      </c>
      <c r="Z30">
        <v>3914326</v>
      </c>
      <c r="AA30">
        <v>8280.8672650000008</v>
      </c>
      <c r="AB30">
        <v>3914310.4595679999</v>
      </c>
      <c r="AC30">
        <v>973</v>
      </c>
      <c r="AD30">
        <v>74088.960000000006</v>
      </c>
    </row>
    <row r="31" spans="1:30" x14ac:dyDescent="0.35">
      <c r="A31">
        <v>28</v>
      </c>
      <c r="B31" t="s">
        <v>1161</v>
      </c>
      <c r="C31">
        <v>2523</v>
      </c>
      <c r="D31">
        <v>1914</v>
      </c>
      <c r="E31" s="136" t="str">
        <f>_xlfn.XLOOKUP(D31,'TAZs by City - CCAG Model'!A:A,'TAZs by City - CCAG Model'!B:B,"ERROR")</f>
        <v>South San Francisco</v>
      </c>
      <c r="F31" s="117">
        <f>_xlfn.XLOOKUP(C31,'Model Modeshare by TAZ'!$A:$A,'Model Modeshare by TAZ'!$G:$G)</f>
        <v>392.62</v>
      </c>
      <c r="G31" s="117">
        <f>_xlfn.XLOOKUP(D31,'Model Modeshare by TAZ'!$A:$A,'Model Modeshare by TAZ'!$E:$E)+_xlfn.XLOOKUP(D31,'Model Modeshare by TAZ'!$A:$A,'Model Modeshare by TAZ'!$F:$F)</f>
        <v>13916.48</v>
      </c>
      <c r="H31" s="117">
        <f>_xlfn.XLOOKUP(D31,'Model Modeshare by TAZ'!$A:$A,'Model Modeshare by TAZ'!$J:$J)</f>
        <v>18394.72</v>
      </c>
      <c r="I31" t="s">
        <v>1162</v>
      </c>
      <c r="J31" t="s">
        <v>1162</v>
      </c>
      <c r="K31">
        <v>0</v>
      </c>
      <c r="L31">
        <v>11119266</v>
      </c>
      <c r="M31">
        <v>20980.056689000001</v>
      </c>
      <c r="N31">
        <v>11119221.827895001</v>
      </c>
      <c r="O31">
        <f>_xlfn.XLOOKUP(D31, 'Model VMT by TAZ'!A:A, 'Model VMT by TAZ'!J:J, "NO")</f>
        <v>3591</v>
      </c>
      <c r="P31">
        <f>_xlfn.XLOOKUP(D31, 'Model VMT by TAZ'!A:A, 'Model VMT by TAZ'!E:E, "NO")</f>
        <v>78106.289999999994</v>
      </c>
      <c r="R31">
        <v>35</v>
      </c>
      <c r="S31" t="s">
        <v>1161</v>
      </c>
      <c r="T31">
        <v>2547</v>
      </c>
      <c r="U31">
        <v>1938</v>
      </c>
      <c r="V31" s="136" t="s">
        <v>380</v>
      </c>
      <c r="W31" t="s">
        <v>1162</v>
      </c>
      <c r="X31" t="s">
        <v>1162</v>
      </c>
      <c r="Y31">
        <v>0</v>
      </c>
      <c r="Z31">
        <v>11842841</v>
      </c>
      <c r="AA31">
        <v>16555.753407</v>
      </c>
      <c r="AB31">
        <v>11842793.31583</v>
      </c>
      <c r="AC31">
        <v>3724</v>
      </c>
      <c r="AD31">
        <v>85973.05</v>
      </c>
    </row>
    <row r="32" spans="1:30" x14ac:dyDescent="0.35">
      <c r="A32">
        <v>29</v>
      </c>
      <c r="B32" t="s">
        <v>1161</v>
      </c>
      <c r="C32">
        <v>2527</v>
      </c>
      <c r="D32">
        <v>1912</v>
      </c>
      <c r="E32" s="136" t="str">
        <f>_xlfn.XLOOKUP(D32,'TAZs by City - CCAG Model'!A:A,'TAZs by City - CCAG Model'!B:B,"ERROR")</f>
        <v>South San Francisco</v>
      </c>
      <c r="F32" s="117">
        <f>_xlfn.XLOOKUP(C32,'Model Modeshare by TAZ'!$A:$A,'Model Modeshare by TAZ'!$G:$G)</f>
        <v>1221.4000000000001</v>
      </c>
      <c r="G32" s="117">
        <f>_xlfn.XLOOKUP(D32,'Model Modeshare by TAZ'!$A:$A,'Model Modeshare by TAZ'!$E:$E)+_xlfn.XLOOKUP(D32,'Model Modeshare by TAZ'!$A:$A,'Model Modeshare by TAZ'!$F:$F)</f>
        <v>18139.419999999998</v>
      </c>
      <c r="H32" s="117">
        <f>_xlfn.XLOOKUP(D32,'Model Modeshare by TAZ'!$A:$A,'Model Modeshare by TAZ'!$J:$J)</f>
        <v>20091.36</v>
      </c>
      <c r="I32" t="s">
        <v>1162</v>
      </c>
      <c r="J32" t="s">
        <v>1162</v>
      </c>
      <c r="K32">
        <v>0</v>
      </c>
      <c r="L32">
        <v>20585443</v>
      </c>
      <c r="M32">
        <v>23453.251883000001</v>
      </c>
      <c r="N32">
        <v>20585360.608548999</v>
      </c>
      <c r="O32">
        <f>_xlfn.XLOOKUP(D32, 'Model VMT by TAZ'!A:A, 'Model VMT by TAZ'!J:J, "NO")</f>
        <v>26</v>
      </c>
      <c r="P32">
        <f>_xlfn.XLOOKUP(D32, 'Model VMT by TAZ'!A:A, 'Model VMT by TAZ'!E:E, "NO")</f>
        <v>159749.14000000001</v>
      </c>
      <c r="R32">
        <v>37</v>
      </c>
      <c r="S32" t="s">
        <v>1161</v>
      </c>
      <c r="T32">
        <v>2549</v>
      </c>
      <c r="U32">
        <v>1940</v>
      </c>
      <c r="V32" s="136" t="s">
        <v>376</v>
      </c>
      <c r="W32" t="s">
        <v>1162</v>
      </c>
      <c r="X32" t="s">
        <v>1162</v>
      </c>
      <c r="Y32">
        <v>0</v>
      </c>
      <c r="Z32">
        <v>7406502</v>
      </c>
      <c r="AA32">
        <v>12147.945318</v>
      </c>
      <c r="AB32">
        <v>7406472.4732060004</v>
      </c>
      <c r="AC32">
        <v>1304</v>
      </c>
      <c r="AD32">
        <v>92330.2</v>
      </c>
    </row>
    <row r="33" spans="1:30" x14ac:dyDescent="0.35">
      <c r="A33">
        <v>30</v>
      </c>
      <c r="B33" t="s">
        <v>1161</v>
      </c>
      <c r="C33">
        <v>2528</v>
      </c>
      <c r="D33">
        <v>1913</v>
      </c>
      <c r="E33" s="136" t="str">
        <f>_xlfn.XLOOKUP(D33,'TAZs by City - CCAG Model'!A:A,'TAZs by City - CCAG Model'!B:B,"ERROR")</f>
        <v>South San Francisco</v>
      </c>
      <c r="F33" s="117">
        <f>_xlfn.XLOOKUP(C33,'Model Modeshare by TAZ'!$A:$A,'Model Modeshare by TAZ'!$G:$G)</f>
        <v>588.88</v>
      </c>
      <c r="G33" s="117">
        <f>_xlfn.XLOOKUP(D33,'Model Modeshare by TAZ'!$A:$A,'Model Modeshare by TAZ'!$E:$E)+_xlfn.XLOOKUP(D33,'Model Modeshare by TAZ'!$A:$A,'Model Modeshare by TAZ'!$F:$F)</f>
        <v>21518.84</v>
      </c>
      <c r="H33" s="117">
        <f>_xlfn.XLOOKUP(D33,'Model Modeshare by TAZ'!$A:$A,'Model Modeshare by TAZ'!$J:$J)</f>
        <v>25609.52</v>
      </c>
      <c r="I33" t="s">
        <v>1162</v>
      </c>
      <c r="J33" t="s">
        <v>1162</v>
      </c>
      <c r="K33">
        <v>0</v>
      </c>
      <c r="L33">
        <v>23292776</v>
      </c>
      <c r="M33">
        <v>20724.472796999999</v>
      </c>
      <c r="N33">
        <v>23292683.174251001</v>
      </c>
      <c r="O33">
        <f>_xlfn.XLOOKUP(D33, 'Model VMT by TAZ'!A:A, 'Model VMT by TAZ'!J:J, "NO")</f>
        <v>4875</v>
      </c>
      <c r="P33">
        <f>_xlfn.XLOOKUP(D33, 'Model VMT by TAZ'!A:A, 'Model VMT by TAZ'!E:E, "NO")</f>
        <v>141156.21</v>
      </c>
      <c r="R33">
        <v>38</v>
      </c>
      <c r="S33" t="s">
        <v>1161</v>
      </c>
      <c r="T33">
        <v>2550</v>
      </c>
      <c r="U33">
        <v>1941</v>
      </c>
      <c r="V33" s="136" t="s">
        <v>376</v>
      </c>
      <c r="W33" t="s">
        <v>1162</v>
      </c>
      <c r="X33" t="s">
        <v>1162</v>
      </c>
      <c r="Y33">
        <v>0</v>
      </c>
      <c r="Z33">
        <v>17617819</v>
      </c>
      <c r="AA33">
        <v>23650.281588999998</v>
      </c>
      <c r="AB33">
        <v>17617748.149053</v>
      </c>
      <c r="AC33">
        <v>3448</v>
      </c>
      <c r="AD33">
        <v>91286.67</v>
      </c>
    </row>
    <row r="34" spans="1:30" x14ac:dyDescent="0.35">
      <c r="A34">
        <v>31</v>
      </c>
      <c r="B34" t="s">
        <v>1161</v>
      </c>
      <c r="C34">
        <v>2543</v>
      </c>
      <c r="D34">
        <v>1936</v>
      </c>
      <c r="E34" s="136" t="str">
        <f>_xlfn.XLOOKUP(D34,'TAZs by City - CCAG Model'!A:A,'TAZs by City - CCAG Model'!B:B,"ERROR")</f>
        <v>San Bruno</v>
      </c>
      <c r="F34" s="117">
        <f>_xlfn.XLOOKUP(C34,'Model Modeshare by TAZ'!$A:$A,'Model Modeshare by TAZ'!$G:$G)</f>
        <v>125.46</v>
      </c>
      <c r="G34" s="117">
        <f>_xlfn.XLOOKUP(D34,'Model Modeshare by TAZ'!$A:$A,'Model Modeshare by TAZ'!$E:$E)+_xlfn.XLOOKUP(D34,'Model Modeshare by TAZ'!$A:$A,'Model Modeshare by TAZ'!$F:$F)</f>
        <v>13850.02</v>
      </c>
      <c r="H34" s="117">
        <f>_xlfn.XLOOKUP(D34,'Model Modeshare by TAZ'!$A:$A,'Model Modeshare by TAZ'!$J:$J)</f>
        <v>17928.82</v>
      </c>
      <c r="I34" t="s">
        <v>1162</v>
      </c>
      <c r="J34" t="s">
        <v>1162</v>
      </c>
      <c r="K34">
        <v>0</v>
      </c>
      <c r="L34">
        <v>12836389</v>
      </c>
      <c r="M34">
        <v>23323.773431000001</v>
      </c>
      <c r="N34">
        <v>12836337.649371</v>
      </c>
      <c r="O34">
        <f>_xlfn.XLOOKUP(D34, 'Model VMT by TAZ'!A:A, 'Model VMT by TAZ'!J:J, "NO")</f>
        <v>3293</v>
      </c>
      <c r="P34">
        <f>_xlfn.XLOOKUP(D34, 'Model VMT by TAZ'!A:A, 'Model VMT by TAZ'!E:E, "NO")</f>
        <v>82917.429999999993</v>
      </c>
      <c r="R34">
        <v>39</v>
      </c>
      <c r="S34" t="s">
        <v>1161</v>
      </c>
      <c r="T34">
        <v>2553</v>
      </c>
      <c r="U34">
        <v>1944</v>
      </c>
      <c r="V34" s="136" t="s">
        <v>376</v>
      </c>
      <c r="W34" t="s">
        <v>1162</v>
      </c>
      <c r="X34" t="s">
        <v>1162</v>
      </c>
      <c r="Y34">
        <v>0</v>
      </c>
      <c r="Z34">
        <v>11373766</v>
      </c>
      <c r="AA34">
        <v>14954.136621</v>
      </c>
      <c r="AB34">
        <v>11373720.608308</v>
      </c>
      <c r="AC34">
        <v>5136</v>
      </c>
      <c r="AD34">
        <v>206906.67</v>
      </c>
    </row>
    <row r="35" spans="1:30" x14ac:dyDescent="0.35">
      <c r="A35">
        <v>32</v>
      </c>
      <c r="B35" t="s">
        <v>1161</v>
      </c>
      <c r="C35">
        <v>2544</v>
      </c>
      <c r="D35">
        <v>1935</v>
      </c>
      <c r="E35" s="136" t="str">
        <f>_xlfn.XLOOKUP(D35,'TAZs by City - CCAG Model'!A:A,'TAZs by City - CCAG Model'!B:B,"ERROR")</f>
        <v>San Bruno</v>
      </c>
      <c r="F35" s="117">
        <f>_xlfn.XLOOKUP(C35,'Model Modeshare by TAZ'!$A:$A,'Model Modeshare by TAZ'!$G:$G)</f>
        <v>153.76</v>
      </c>
      <c r="G35" s="117">
        <f>_xlfn.XLOOKUP(D35,'Model Modeshare by TAZ'!$A:$A,'Model Modeshare by TAZ'!$E:$E)+_xlfn.XLOOKUP(D35,'Model Modeshare by TAZ'!$A:$A,'Model Modeshare by TAZ'!$F:$F)</f>
        <v>17431.64</v>
      </c>
      <c r="H35" s="117">
        <f>_xlfn.XLOOKUP(D35,'Model Modeshare by TAZ'!$A:$A,'Model Modeshare by TAZ'!$J:$J)</f>
        <v>21491.86</v>
      </c>
      <c r="I35" t="s">
        <v>1162</v>
      </c>
      <c r="J35" t="s">
        <v>1162</v>
      </c>
      <c r="K35">
        <v>0</v>
      </c>
      <c r="L35">
        <v>9764827</v>
      </c>
      <c r="M35">
        <v>13012.696567999999</v>
      </c>
      <c r="N35">
        <v>9764787.7799890004</v>
      </c>
      <c r="O35">
        <f>_xlfn.XLOOKUP(D35, 'Model VMT by TAZ'!A:A, 'Model VMT by TAZ'!J:J, "NO")</f>
        <v>3279</v>
      </c>
      <c r="P35">
        <f>_xlfn.XLOOKUP(D35, 'Model VMT by TAZ'!A:A, 'Model VMT by TAZ'!E:E, "NO")</f>
        <v>76450.34</v>
      </c>
      <c r="R35">
        <v>67</v>
      </c>
      <c r="S35" t="s">
        <v>1161</v>
      </c>
      <c r="T35">
        <v>2654</v>
      </c>
      <c r="U35">
        <v>1934</v>
      </c>
      <c r="V35" s="136" t="s">
        <v>380</v>
      </c>
      <c r="W35" t="s">
        <v>1162</v>
      </c>
      <c r="X35" t="s">
        <v>1162</v>
      </c>
      <c r="Y35">
        <v>0</v>
      </c>
      <c r="Z35">
        <v>4524836</v>
      </c>
      <c r="AA35">
        <v>9459.6854820000008</v>
      </c>
      <c r="AB35">
        <v>4524818.3076990005</v>
      </c>
      <c r="AC35">
        <v>15</v>
      </c>
      <c r="AD35">
        <v>259642.16</v>
      </c>
    </row>
    <row r="36" spans="1:30" x14ac:dyDescent="0.35">
      <c r="A36">
        <v>33</v>
      </c>
      <c r="B36" t="s">
        <v>1161</v>
      </c>
      <c r="C36">
        <v>2545</v>
      </c>
      <c r="D36">
        <v>1647</v>
      </c>
      <c r="E36" s="136" t="str">
        <f>_xlfn.XLOOKUP(D36,'TAZs by City - CCAG Model'!A:A,'TAZs by City - CCAG Model'!B:B,"ERROR")</f>
        <v>San Bruno</v>
      </c>
      <c r="F36" s="117">
        <f>_xlfn.XLOOKUP(C36,'Model Modeshare by TAZ'!$A:$A,'Model Modeshare by TAZ'!$G:$G)</f>
        <v>128.88</v>
      </c>
      <c r="G36" s="117">
        <f>_xlfn.XLOOKUP(D36,'Model Modeshare by TAZ'!$A:$A,'Model Modeshare by TAZ'!$E:$E)+_xlfn.XLOOKUP(D36,'Model Modeshare by TAZ'!$A:$A,'Model Modeshare by TAZ'!$F:$F)</f>
        <v>16097.16</v>
      </c>
      <c r="H36" s="117">
        <f>_xlfn.XLOOKUP(D36,'Model Modeshare by TAZ'!$A:$A,'Model Modeshare by TAZ'!$J:$J)</f>
        <v>19097.88</v>
      </c>
      <c r="I36" t="s">
        <v>1162</v>
      </c>
      <c r="J36" t="s">
        <v>1162</v>
      </c>
      <c r="K36">
        <v>0</v>
      </c>
      <c r="L36">
        <v>3659584</v>
      </c>
      <c r="M36">
        <v>10175.045301</v>
      </c>
      <c r="N36">
        <v>3659569.6213429999</v>
      </c>
      <c r="O36">
        <f>_xlfn.XLOOKUP(D36, 'Model VMT by TAZ'!A:A, 'Model VMT by TAZ'!J:J, "NO")</f>
        <v>2441</v>
      </c>
      <c r="P36">
        <f>_xlfn.XLOOKUP(D36, 'Model VMT by TAZ'!A:A, 'Model VMT by TAZ'!E:E, "NO")</f>
        <v>107390.46</v>
      </c>
      <c r="R36">
        <v>68</v>
      </c>
      <c r="S36" t="s">
        <v>1161</v>
      </c>
      <c r="T36">
        <v>2657</v>
      </c>
      <c r="U36">
        <v>1525</v>
      </c>
      <c r="V36" s="136" t="s">
        <v>380</v>
      </c>
      <c r="W36" t="s">
        <v>1162</v>
      </c>
      <c r="X36" t="s">
        <v>1162</v>
      </c>
      <c r="Y36">
        <v>0</v>
      </c>
      <c r="Z36">
        <v>3329192</v>
      </c>
      <c r="AA36">
        <v>10173.796066000001</v>
      </c>
      <c r="AB36">
        <v>3329178.9766370002</v>
      </c>
      <c r="AC36">
        <v>1255</v>
      </c>
      <c r="AD36">
        <v>30616.799999999999</v>
      </c>
    </row>
    <row r="37" spans="1:30" x14ac:dyDescent="0.35">
      <c r="A37">
        <v>34</v>
      </c>
      <c r="B37" t="s">
        <v>1161</v>
      </c>
      <c r="C37">
        <v>2546</v>
      </c>
      <c r="D37">
        <v>1599</v>
      </c>
      <c r="E37" s="136" t="str">
        <f>_xlfn.XLOOKUP(D37,'TAZs by City - CCAG Model'!A:A,'TAZs by City - CCAG Model'!B:B,"ERROR")</f>
        <v>San Bruno</v>
      </c>
      <c r="F37" s="117">
        <f>_xlfn.XLOOKUP(C37,'Model Modeshare by TAZ'!$A:$A,'Model Modeshare by TAZ'!$G:$G)</f>
        <v>143.9</v>
      </c>
      <c r="G37" s="117">
        <f>_xlfn.XLOOKUP(D37,'Model Modeshare by TAZ'!$A:$A,'Model Modeshare by TAZ'!$E:$E)+_xlfn.XLOOKUP(D37,'Model Modeshare by TAZ'!$A:$A,'Model Modeshare by TAZ'!$F:$F)</f>
        <v>10477.540000000001</v>
      </c>
      <c r="H37" s="117">
        <f>_xlfn.XLOOKUP(D37,'Model Modeshare by TAZ'!$A:$A,'Model Modeshare by TAZ'!$J:$J)</f>
        <v>12387.78</v>
      </c>
      <c r="I37" t="s">
        <v>1162</v>
      </c>
      <c r="J37" t="s">
        <v>1162</v>
      </c>
      <c r="K37">
        <v>0</v>
      </c>
      <c r="L37">
        <v>3914326</v>
      </c>
      <c r="M37">
        <v>8280.8672650000008</v>
      </c>
      <c r="N37">
        <v>3914310.4595679999</v>
      </c>
      <c r="O37">
        <f>_xlfn.XLOOKUP(D37, 'Model VMT by TAZ'!A:A, 'Model VMT by TAZ'!J:J, "NO")</f>
        <v>973</v>
      </c>
      <c r="P37">
        <f>_xlfn.XLOOKUP(D37, 'Model VMT by TAZ'!A:A, 'Model VMT by TAZ'!E:E, "NO")</f>
        <v>74088.960000000006</v>
      </c>
      <c r="R37">
        <v>69</v>
      </c>
      <c r="S37" t="s">
        <v>1161</v>
      </c>
      <c r="T37">
        <v>2658</v>
      </c>
      <c r="U37">
        <v>1650</v>
      </c>
      <c r="V37" s="136" t="s">
        <v>376</v>
      </c>
      <c r="W37" t="s">
        <v>1162</v>
      </c>
      <c r="X37" t="s">
        <v>1162</v>
      </c>
      <c r="Y37">
        <v>0</v>
      </c>
      <c r="Z37">
        <v>3037322</v>
      </c>
      <c r="AA37">
        <v>10169.095488000001</v>
      </c>
      <c r="AB37">
        <v>3037309.4708779999</v>
      </c>
      <c r="AC37">
        <v>1641</v>
      </c>
      <c r="AD37">
        <v>60735.57</v>
      </c>
    </row>
    <row r="38" spans="1:30" x14ac:dyDescent="0.35">
      <c r="A38">
        <v>35</v>
      </c>
      <c r="B38" t="s">
        <v>1161</v>
      </c>
      <c r="C38">
        <v>2547</v>
      </c>
      <c r="D38">
        <v>1938</v>
      </c>
      <c r="E38" s="136" t="str">
        <f>_xlfn.XLOOKUP(D38,'TAZs by City - CCAG Model'!A:A,'TAZs by City - CCAG Model'!B:B,"ERROR")</f>
        <v>San Bruno</v>
      </c>
      <c r="F38" s="117">
        <f>_xlfn.XLOOKUP(C38,'Model Modeshare by TAZ'!$A:$A,'Model Modeshare by TAZ'!$G:$G)</f>
        <v>140.58000000000001</v>
      </c>
      <c r="G38" s="117">
        <f>_xlfn.XLOOKUP(D38,'Model Modeshare by TAZ'!$A:$A,'Model Modeshare by TAZ'!$E:$E)+_xlfn.XLOOKUP(D38,'Model Modeshare by TAZ'!$A:$A,'Model Modeshare by TAZ'!$F:$F)</f>
        <v>13848.060000000001</v>
      </c>
      <c r="H38" s="117">
        <f>_xlfn.XLOOKUP(D38,'Model Modeshare by TAZ'!$A:$A,'Model Modeshare by TAZ'!$J:$J)</f>
        <v>16543.36</v>
      </c>
      <c r="I38" t="s">
        <v>1162</v>
      </c>
      <c r="J38" t="s">
        <v>1162</v>
      </c>
      <c r="K38">
        <v>0</v>
      </c>
      <c r="L38">
        <v>11842841</v>
      </c>
      <c r="M38">
        <v>16555.753407</v>
      </c>
      <c r="N38">
        <v>11842793.31583</v>
      </c>
      <c r="O38">
        <f>_xlfn.XLOOKUP(D38, 'Model VMT by TAZ'!A:A, 'Model VMT by TAZ'!J:J, "NO")</f>
        <v>3724</v>
      </c>
      <c r="P38">
        <f>_xlfn.XLOOKUP(D38, 'Model VMT by TAZ'!A:A, 'Model VMT by TAZ'!E:E, "NO")</f>
        <v>85973.05</v>
      </c>
      <c r="R38">
        <v>70</v>
      </c>
      <c r="S38" t="s">
        <v>1161</v>
      </c>
      <c r="T38">
        <v>2659</v>
      </c>
      <c r="U38">
        <v>1651</v>
      </c>
      <c r="V38" s="136" t="s">
        <v>376</v>
      </c>
      <c r="W38" t="s">
        <v>1162</v>
      </c>
      <c r="X38" t="s">
        <v>1162</v>
      </c>
      <c r="Y38">
        <v>0</v>
      </c>
      <c r="Z38">
        <v>6077027</v>
      </c>
      <c r="AA38">
        <v>13605.706652000001</v>
      </c>
      <c r="AB38">
        <v>6077002.2390010003</v>
      </c>
      <c r="AC38">
        <v>1672</v>
      </c>
      <c r="AD38">
        <v>135024.21</v>
      </c>
    </row>
    <row r="39" spans="1:30" x14ac:dyDescent="0.35">
      <c r="A39">
        <v>36</v>
      </c>
      <c r="B39" t="s">
        <v>1161</v>
      </c>
      <c r="C39">
        <v>2548</v>
      </c>
      <c r="D39">
        <v>1939</v>
      </c>
      <c r="E39" s="136" t="str">
        <f>_xlfn.XLOOKUP(D39,'TAZs by City - CCAG Model'!A:A,'TAZs by City - CCAG Model'!B:B,"ERROR")</f>
        <v>Unincorporated</v>
      </c>
      <c r="F39" s="117">
        <f>_xlfn.XLOOKUP(C39,'Model Modeshare by TAZ'!$A:$A,'Model Modeshare by TAZ'!$G:$G)</f>
        <v>130.30000000000001</v>
      </c>
      <c r="G39" s="117">
        <f>_xlfn.XLOOKUP(D39,'Model Modeshare by TAZ'!$A:$A,'Model Modeshare by TAZ'!$E:$E)+_xlfn.XLOOKUP(D39,'Model Modeshare by TAZ'!$A:$A,'Model Modeshare by TAZ'!$F:$F)</f>
        <v>139.78</v>
      </c>
      <c r="H39" s="117">
        <f>_xlfn.XLOOKUP(D39,'Model Modeshare by TAZ'!$A:$A,'Model Modeshare by TAZ'!$J:$J)</f>
        <v>140.13999999999999</v>
      </c>
      <c r="I39" t="s">
        <v>1162</v>
      </c>
      <c r="J39" t="s">
        <v>1162</v>
      </c>
      <c r="K39">
        <v>0</v>
      </c>
      <c r="L39">
        <v>38672397</v>
      </c>
      <c r="M39">
        <v>44729.693919999998</v>
      </c>
      <c r="N39">
        <v>38672242.030587003</v>
      </c>
      <c r="O39">
        <f>_xlfn.XLOOKUP(D39, 'Model VMT by TAZ'!A:A, 'Model VMT by TAZ'!J:J, "NO")</f>
        <v>6</v>
      </c>
      <c r="P39">
        <f>_xlfn.XLOOKUP(D39, 'Model VMT by TAZ'!A:A, 'Model VMT by TAZ'!E:E, "NO")</f>
        <v>0</v>
      </c>
      <c r="R39">
        <v>71</v>
      </c>
      <c r="S39" t="s">
        <v>1161</v>
      </c>
      <c r="T39">
        <v>2660</v>
      </c>
      <c r="U39">
        <v>1603</v>
      </c>
      <c r="V39" s="136" t="s">
        <v>376</v>
      </c>
      <c r="W39" t="s">
        <v>1162</v>
      </c>
      <c r="X39" t="s">
        <v>1162</v>
      </c>
      <c r="Y39">
        <v>0</v>
      </c>
      <c r="Z39">
        <v>2714225</v>
      </c>
      <c r="AA39">
        <v>7084.9141049999998</v>
      </c>
      <c r="AB39">
        <v>2714213.7152320002</v>
      </c>
      <c r="AC39">
        <v>596</v>
      </c>
      <c r="AD39">
        <v>11121.92</v>
      </c>
    </row>
    <row r="40" spans="1:30" x14ac:dyDescent="0.35">
      <c r="A40">
        <v>37</v>
      </c>
      <c r="B40" t="s">
        <v>1161</v>
      </c>
      <c r="C40">
        <v>2549</v>
      </c>
      <c r="D40">
        <v>1940</v>
      </c>
      <c r="E40" s="136" t="str">
        <f>_xlfn.XLOOKUP(D40,'TAZs by City - CCAG Model'!A:A,'TAZs by City - CCAG Model'!B:B,"ERROR")</f>
        <v>Millbrae</v>
      </c>
      <c r="F40" s="117">
        <f>_xlfn.XLOOKUP(C40,'Model Modeshare by TAZ'!$A:$A,'Model Modeshare by TAZ'!$G:$G)</f>
        <v>217.72</v>
      </c>
      <c r="G40" s="117">
        <f>_xlfn.XLOOKUP(D40,'Model Modeshare by TAZ'!$A:$A,'Model Modeshare by TAZ'!$E:$E)+_xlfn.XLOOKUP(D40,'Model Modeshare by TAZ'!$A:$A,'Model Modeshare by TAZ'!$F:$F)</f>
        <v>11921.76</v>
      </c>
      <c r="H40" s="117">
        <f>_xlfn.XLOOKUP(D40,'Model Modeshare by TAZ'!$A:$A,'Model Modeshare by TAZ'!$J:$J)</f>
        <v>13953.36</v>
      </c>
      <c r="I40" t="s">
        <v>1162</v>
      </c>
      <c r="J40" t="s">
        <v>1162</v>
      </c>
      <c r="K40">
        <v>0</v>
      </c>
      <c r="L40">
        <v>7406502</v>
      </c>
      <c r="M40">
        <v>12147.945318</v>
      </c>
      <c r="N40">
        <v>7406472.4732060004</v>
      </c>
      <c r="O40">
        <f>_xlfn.XLOOKUP(D40, 'Model VMT by TAZ'!A:A, 'Model VMT by TAZ'!J:J, "NO")</f>
        <v>1304</v>
      </c>
      <c r="P40">
        <f>_xlfn.XLOOKUP(D40, 'Model VMT by TAZ'!A:A, 'Model VMT by TAZ'!E:E, "NO")</f>
        <v>92330.2</v>
      </c>
      <c r="R40">
        <v>72</v>
      </c>
      <c r="S40" t="s">
        <v>1161</v>
      </c>
      <c r="T40">
        <v>2661</v>
      </c>
      <c r="U40">
        <v>1527</v>
      </c>
      <c r="V40" s="136" t="s">
        <v>376</v>
      </c>
      <c r="W40" t="s">
        <v>1162</v>
      </c>
      <c r="X40" t="s">
        <v>1162</v>
      </c>
      <c r="Y40">
        <v>0</v>
      </c>
      <c r="Z40">
        <v>2363706</v>
      </c>
      <c r="AA40">
        <v>6817.3090990000001</v>
      </c>
      <c r="AB40">
        <v>2363696.3386229998</v>
      </c>
      <c r="AC40">
        <v>47</v>
      </c>
      <c r="AD40">
        <v>10630.82</v>
      </c>
    </row>
    <row r="41" spans="1:30" x14ac:dyDescent="0.35">
      <c r="A41">
        <v>38</v>
      </c>
      <c r="B41" t="s">
        <v>1161</v>
      </c>
      <c r="C41">
        <v>2550</v>
      </c>
      <c r="D41">
        <v>1941</v>
      </c>
      <c r="E41" s="136" t="str">
        <f>_xlfn.XLOOKUP(D41,'TAZs by City - CCAG Model'!A:A,'TAZs by City - CCAG Model'!B:B,"ERROR")</f>
        <v>Millbrae</v>
      </c>
      <c r="F41" s="117">
        <f>_xlfn.XLOOKUP(C41,'Model Modeshare by TAZ'!$A:$A,'Model Modeshare by TAZ'!$G:$G)</f>
        <v>214.04</v>
      </c>
      <c r="G41" s="117">
        <f>_xlfn.XLOOKUP(D41,'Model Modeshare by TAZ'!$A:$A,'Model Modeshare by TAZ'!$E:$E)+_xlfn.XLOOKUP(D41,'Model Modeshare by TAZ'!$A:$A,'Model Modeshare by TAZ'!$F:$F)</f>
        <v>12901.36</v>
      </c>
      <c r="H41" s="117">
        <f>_xlfn.XLOOKUP(D41,'Model Modeshare by TAZ'!$A:$A,'Model Modeshare by TAZ'!$J:$J)</f>
        <v>15146.86</v>
      </c>
      <c r="I41" t="s">
        <v>1162</v>
      </c>
      <c r="J41" t="s">
        <v>1162</v>
      </c>
      <c r="K41">
        <v>0</v>
      </c>
      <c r="L41">
        <v>17617819</v>
      </c>
      <c r="M41">
        <v>23650.281588999998</v>
      </c>
      <c r="N41">
        <v>17617748.149053</v>
      </c>
      <c r="O41">
        <f>_xlfn.XLOOKUP(D41, 'Model VMT by TAZ'!A:A, 'Model VMT by TAZ'!J:J, "NO")</f>
        <v>3448</v>
      </c>
      <c r="P41">
        <f>_xlfn.XLOOKUP(D41, 'Model VMT by TAZ'!A:A, 'Model VMT by TAZ'!E:E, "NO")</f>
        <v>91286.67</v>
      </c>
      <c r="R41">
        <v>73</v>
      </c>
      <c r="S41" t="s">
        <v>1161</v>
      </c>
      <c r="T41">
        <v>2662</v>
      </c>
      <c r="U41">
        <v>1524</v>
      </c>
      <c r="V41" s="136" t="s">
        <v>380</v>
      </c>
      <c r="W41" t="s">
        <v>1162</v>
      </c>
      <c r="X41" t="s">
        <v>1162</v>
      </c>
      <c r="Y41">
        <v>0</v>
      </c>
      <c r="Z41">
        <v>2540662</v>
      </c>
      <c r="AA41">
        <v>6259.4063079999996</v>
      </c>
      <c r="AB41">
        <v>2540651.5434269998</v>
      </c>
      <c r="AC41">
        <v>1680</v>
      </c>
      <c r="AD41">
        <v>37847.75</v>
      </c>
    </row>
    <row r="42" spans="1:30" x14ac:dyDescent="0.35">
      <c r="A42">
        <v>39</v>
      </c>
      <c r="B42" t="s">
        <v>1161</v>
      </c>
      <c r="C42">
        <v>2553</v>
      </c>
      <c r="D42">
        <v>1944</v>
      </c>
      <c r="E42" s="136" t="str">
        <f>_xlfn.XLOOKUP(D42,'TAZs by City - CCAG Model'!A:A,'TAZs by City - CCAG Model'!B:B,"ERROR")</f>
        <v>Millbrae</v>
      </c>
      <c r="F42" s="117">
        <f>_xlfn.XLOOKUP(C42,'Model Modeshare by TAZ'!$A:$A,'Model Modeshare by TAZ'!$G:$G)</f>
        <v>346.14</v>
      </c>
      <c r="G42" s="117">
        <f>_xlfn.XLOOKUP(D42,'Model Modeshare by TAZ'!$A:$A,'Model Modeshare by TAZ'!$E:$E)+_xlfn.XLOOKUP(D42,'Model Modeshare by TAZ'!$A:$A,'Model Modeshare by TAZ'!$F:$F)</f>
        <v>31192.66</v>
      </c>
      <c r="H42" s="117">
        <f>_xlfn.XLOOKUP(D42,'Model Modeshare by TAZ'!$A:$A,'Model Modeshare by TAZ'!$J:$J)</f>
        <v>37792.68</v>
      </c>
      <c r="I42" t="s">
        <v>1162</v>
      </c>
      <c r="J42" t="s">
        <v>1162</v>
      </c>
      <c r="K42">
        <v>0</v>
      </c>
      <c r="L42">
        <v>11373766</v>
      </c>
      <c r="M42">
        <v>14954.136621</v>
      </c>
      <c r="N42">
        <v>11373720.608308</v>
      </c>
      <c r="O42">
        <f>_xlfn.XLOOKUP(D42, 'Model VMT by TAZ'!A:A, 'Model VMT by TAZ'!J:J, "NO")</f>
        <v>5136</v>
      </c>
      <c r="P42">
        <f>_xlfn.XLOOKUP(D42, 'Model VMT by TAZ'!A:A, 'Model VMT by TAZ'!E:E, "NO")</f>
        <v>206906.67</v>
      </c>
      <c r="R42">
        <v>74</v>
      </c>
      <c r="S42" t="s">
        <v>1161</v>
      </c>
      <c r="T42">
        <v>2663</v>
      </c>
      <c r="U42">
        <v>1600</v>
      </c>
      <c r="V42" s="136" t="s">
        <v>380</v>
      </c>
      <c r="W42" t="s">
        <v>1162</v>
      </c>
      <c r="X42" t="s">
        <v>1162</v>
      </c>
      <c r="Y42">
        <v>0</v>
      </c>
      <c r="Z42">
        <v>2748815</v>
      </c>
      <c r="AA42">
        <v>8269.2172609999998</v>
      </c>
      <c r="AB42">
        <v>2748804.473979</v>
      </c>
      <c r="AC42">
        <v>1771</v>
      </c>
      <c r="AD42">
        <v>107162.11</v>
      </c>
    </row>
    <row r="43" spans="1:30" x14ac:dyDescent="0.35">
      <c r="A43">
        <v>40</v>
      </c>
      <c r="B43" t="s">
        <v>1161</v>
      </c>
      <c r="C43">
        <v>2555</v>
      </c>
      <c r="D43">
        <v>1946</v>
      </c>
      <c r="E43" s="136" t="str">
        <f>_xlfn.XLOOKUP(D43,'TAZs by City - CCAG Model'!A:A,'TAZs by City - CCAG Model'!B:B,"ERROR")</f>
        <v>Burlingame</v>
      </c>
      <c r="F43" s="117">
        <f>_xlfn.XLOOKUP(C43,'Model Modeshare by TAZ'!$A:$A,'Model Modeshare by TAZ'!$G:$G)</f>
        <v>347.16</v>
      </c>
      <c r="G43" s="117">
        <f>_xlfn.XLOOKUP(D43,'Model Modeshare by TAZ'!$A:$A,'Model Modeshare by TAZ'!$E:$E)+_xlfn.XLOOKUP(D43,'Model Modeshare by TAZ'!$A:$A,'Model Modeshare by TAZ'!$F:$F)</f>
        <v>19525.48</v>
      </c>
      <c r="H43" s="117">
        <f>_xlfn.XLOOKUP(D43,'Model Modeshare by TAZ'!$A:$A,'Model Modeshare by TAZ'!$J:$J)</f>
        <v>21923.599999999999</v>
      </c>
      <c r="I43" t="s">
        <v>1162</v>
      </c>
      <c r="J43" t="s">
        <v>1162</v>
      </c>
      <c r="K43">
        <v>0</v>
      </c>
      <c r="L43">
        <v>24929613</v>
      </c>
      <c r="M43">
        <v>27612.185598</v>
      </c>
      <c r="N43">
        <v>24929513.011712998</v>
      </c>
      <c r="O43">
        <f>_xlfn.XLOOKUP(D43, 'Model VMT by TAZ'!A:A, 'Model VMT by TAZ'!J:J, "NO")</f>
        <v>4700</v>
      </c>
      <c r="P43">
        <f>_xlfn.XLOOKUP(D43, 'Model VMT by TAZ'!A:A, 'Model VMT by TAZ'!E:E, "NO")</f>
        <v>146506.62</v>
      </c>
      <c r="R43">
        <v>75</v>
      </c>
      <c r="S43" t="s">
        <v>1161</v>
      </c>
      <c r="T43">
        <v>2664</v>
      </c>
      <c r="U43">
        <v>1937</v>
      </c>
      <c r="V43" s="136" t="s">
        <v>380</v>
      </c>
      <c r="W43" t="s">
        <v>1162</v>
      </c>
      <c r="X43" t="s">
        <v>1162</v>
      </c>
      <c r="Y43">
        <v>0</v>
      </c>
      <c r="Z43">
        <v>2978035</v>
      </c>
      <c r="AA43">
        <v>8507.4351709999992</v>
      </c>
      <c r="AB43">
        <v>2978023.2106599999</v>
      </c>
      <c r="AC43">
        <v>2885</v>
      </c>
      <c r="AD43">
        <v>65605.100000000006</v>
      </c>
    </row>
    <row r="44" spans="1:30" x14ac:dyDescent="0.35">
      <c r="A44">
        <v>41</v>
      </c>
      <c r="B44" t="s">
        <v>1161</v>
      </c>
      <c r="C44">
        <v>2556</v>
      </c>
      <c r="D44">
        <v>1652</v>
      </c>
      <c r="E44" s="136" t="str">
        <f>_xlfn.XLOOKUP(D44,'TAZs by City - CCAG Model'!A:A,'TAZs by City - CCAG Model'!B:B,"ERROR")</f>
        <v>Burlingame</v>
      </c>
      <c r="F44" s="117">
        <f>_xlfn.XLOOKUP(C44,'Model Modeshare by TAZ'!$A:$A,'Model Modeshare by TAZ'!$G:$G)</f>
        <v>1030.08</v>
      </c>
      <c r="G44" s="117">
        <f>_xlfn.XLOOKUP(D44,'Model Modeshare by TAZ'!$A:$A,'Model Modeshare by TAZ'!$E:$E)+_xlfn.XLOOKUP(D44,'Model Modeshare by TAZ'!$A:$A,'Model Modeshare by TAZ'!$F:$F)</f>
        <v>12355.7</v>
      </c>
      <c r="H44" s="117">
        <f>_xlfn.XLOOKUP(D44,'Model Modeshare by TAZ'!$A:$A,'Model Modeshare by TAZ'!$J:$J)</f>
        <v>13846.92</v>
      </c>
      <c r="I44" t="s">
        <v>1162</v>
      </c>
      <c r="J44" t="s">
        <v>1162</v>
      </c>
      <c r="K44">
        <v>0</v>
      </c>
      <c r="L44">
        <v>12136629</v>
      </c>
      <c r="M44">
        <v>18446.557785000001</v>
      </c>
      <c r="N44">
        <v>12136580.379311001</v>
      </c>
      <c r="O44">
        <f>_xlfn.XLOOKUP(D44, 'Model VMT by TAZ'!A:A, 'Model VMT by TAZ'!J:J, "NO")</f>
        <v>4</v>
      </c>
      <c r="P44">
        <f>_xlfn.XLOOKUP(D44, 'Model VMT by TAZ'!A:A, 'Model VMT by TAZ'!E:E, "NO")</f>
        <v>151832.92000000001</v>
      </c>
      <c r="R44">
        <v>76</v>
      </c>
      <c r="S44" t="s">
        <v>1161</v>
      </c>
      <c r="T44">
        <v>2666</v>
      </c>
      <c r="U44">
        <v>1523</v>
      </c>
      <c r="V44" s="136" t="s">
        <v>380</v>
      </c>
      <c r="W44" t="s">
        <v>1162</v>
      </c>
      <c r="X44" t="s">
        <v>1162</v>
      </c>
      <c r="Y44">
        <v>0</v>
      </c>
      <c r="Z44">
        <v>8352107</v>
      </c>
      <c r="AA44">
        <v>18708.218725999999</v>
      </c>
      <c r="AB44">
        <v>8352073.5159059996</v>
      </c>
      <c r="AC44">
        <v>2239</v>
      </c>
      <c r="AD44">
        <v>40236.639999999999</v>
      </c>
    </row>
    <row r="45" spans="1:30" x14ac:dyDescent="0.35">
      <c r="A45">
        <v>42</v>
      </c>
      <c r="B45" t="s">
        <v>1161</v>
      </c>
      <c r="C45">
        <v>2557</v>
      </c>
      <c r="D45">
        <v>1947</v>
      </c>
      <c r="E45" s="136" t="str">
        <f>_xlfn.XLOOKUP(D45,'TAZs by City - CCAG Model'!A:A,'TAZs by City - CCAG Model'!B:B,"ERROR")</f>
        <v>Burlingame</v>
      </c>
      <c r="F45" s="117">
        <f>_xlfn.XLOOKUP(C45,'Model Modeshare by TAZ'!$A:$A,'Model Modeshare by TAZ'!$G:$G)</f>
        <v>384.52</v>
      </c>
      <c r="G45" s="117">
        <f>_xlfn.XLOOKUP(D45,'Model Modeshare by TAZ'!$A:$A,'Model Modeshare by TAZ'!$E:$E)+_xlfn.XLOOKUP(D45,'Model Modeshare by TAZ'!$A:$A,'Model Modeshare by TAZ'!$F:$F)</f>
        <v>14125.060000000001</v>
      </c>
      <c r="H45" s="117">
        <f>_xlfn.XLOOKUP(D45,'Model Modeshare by TAZ'!$A:$A,'Model Modeshare by TAZ'!$J:$J)</f>
        <v>17495.96</v>
      </c>
      <c r="I45" t="s">
        <v>1162</v>
      </c>
      <c r="J45" t="s">
        <v>1162</v>
      </c>
      <c r="K45">
        <v>0</v>
      </c>
      <c r="L45">
        <v>10034122</v>
      </c>
      <c r="M45">
        <v>14833.364926</v>
      </c>
      <c r="N45">
        <v>10034082.280724</v>
      </c>
      <c r="O45">
        <f>_xlfn.XLOOKUP(D45, 'Model VMT by TAZ'!A:A, 'Model VMT by TAZ'!J:J, "NO")</f>
        <v>3800</v>
      </c>
      <c r="P45">
        <f>_xlfn.XLOOKUP(D45, 'Model VMT by TAZ'!A:A, 'Model VMT by TAZ'!E:E, "NO")</f>
        <v>79690.92</v>
      </c>
      <c r="R45">
        <v>78</v>
      </c>
      <c r="S45" t="s">
        <v>1161</v>
      </c>
      <c r="T45">
        <v>2668</v>
      </c>
      <c r="U45">
        <v>1645</v>
      </c>
      <c r="V45" s="136" t="s">
        <v>380</v>
      </c>
      <c r="W45" t="s">
        <v>1162</v>
      </c>
      <c r="X45" t="s">
        <v>1162</v>
      </c>
      <c r="Y45">
        <v>0</v>
      </c>
      <c r="Z45">
        <v>7081159</v>
      </c>
      <c r="AA45">
        <v>14768.581942999999</v>
      </c>
      <c r="AB45">
        <v>7081130.2406249996</v>
      </c>
      <c r="AC45">
        <v>2</v>
      </c>
      <c r="AD45">
        <v>2889.64</v>
      </c>
    </row>
    <row r="46" spans="1:30" x14ac:dyDescent="0.35">
      <c r="A46">
        <v>43</v>
      </c>
      <c r="B46" t="s">
        <v>1161</v>
      </c>
      <c r="C46">
        <v>2566</v>
      </c>
      <c r="D46">
        <v>1960</v>
      </c>
      <c r="E46" s="136" t="str">
        <f>_xlfn.XLOOKUP(D46,'TAZs by City - CCAG Model'!A:A,'TAZs by City - CCAG Model'!B:B,"ERROR")</f>
        <v>San Mateo</v>
      </c>
      <c r="F46" s="117">
        <f>_xlfn.XLOOKUP(C46,'Model Modeshare by TAZ'!$A:$A,'Model Modeshare by TAZ'!$G:$G)</f>
        <v>608.34</v>
      </c>
      <c r="G46" s="117">
        <f>_xlfn.XLOOKUP(D46,'Model Modeshare by TAZ'!$A:$A,'Model Modeshare by TAZ'!$E:$E)+_xlfn.XLOOKUP(D46,'Model Modeshare by TAZ'!$A:$A,'Model Modeshare by TAZ'!$F:$F)</f>
        <v>12396.240000000002</v>
      </c>
      <c r="H46" s="117">
        <f>_xlfn.XLOOKUP(D46,'Model Modeshare by TAZ'!$A:$A,'Model Modeshare by TAZ'!$J:$J)</f>
        <v>15456.36</v>
      </c>
      <c r="I46" t="s">
        <v>1162</v>
      </c>
      <c r="J46" t="s">
        <v>1162</v>
      </c>
      <c r="K46">
        <v>0</v>
      </c>
      <c r="L46">
        <v>5660824</v>
      </c>
      <c r="M46">
        <v>9906.9013300000006</v>
      </c>
      <c r="N46">
        <v>5660801.1967719998</v>
      </c>
      <c r="O46">
        <f>_xlfn.XLOOKUP(D46, 'Model VMT by TAZ'!A:A, 'Model VMT by TAZ'!J:J, "NO")</f>
        <v>3171</v>
      </c>
      <c r="P46">
        <f>_xlfn.XLOOKUP(D46, 'Model VMT by TAZ'!A:A, 'Model VMT by TAZ'!E:E, "NO")</f>
        <v>104550.46</v>
      </c>
      <c r="R46">
        <v>79</v>
      </c>
      <c r="S46" t="s">
        <v>1161</v>
      </c>
      <c r="T46">
        <v>2669</v>
      </c>
      <c r="U46">
        <v>1646</v>
      </c>
      <c r="V46" s="136" t="s">
        <v>380</v>
      </c>
      <c r="W46" t="s">
        <v>1162</v>
      </c>
      <c r="X46" t="s">
        <v>1162</v>
      </c>
      <c r="Y46">
        <v>0</v>
      </c>
      <c r="Z46">
        <v>5992428</v>
      </c>
      <c r="AA46">
        <v>11503.756969</v>
      </c>
      <c r="AB46">
        <v>5992404.4262760002</v>
      </c>
      <c r="AC46">
        <v>62</v>
      </c>
      <c r="AD46">
        <v>102440.68</v>
      </c>
    </row>
    <row r="47" spans="1:30" x14ac:dyDescent="0.35">
      <c r="A47">
        <v>44</v>
      </c>
      <c r="B47" t="s">
        <v>1161</v>
      </c>
      <c r="C47">
        <v>2567</v>
      </c>
      <c r="D47">
        <v>1957</v>
      </c>
      <c r="E47" s="136" t="str">
        <f>_xlfn.XLOOKUP(D47,'TAZs by City - CCAG Model'!A:A,'TAZs by City - CCAG Model'!B:B,"ERROR")</f>
        <v>San Mateo</v>
      </c>
      <c r="F47" s="117">
        <f>_xlfn.XLOOKUP(C47,'Model Modeshare by TAZ'!$A:$A,'Model Modeshare by TAZ'!$G:$G)</f>
        <v>391.62</v>
      </c>
      <c r="G47" s="117">
        <f>_xlfn.XLOOKUP(D47,'Model Modeshare by TAZ'!$A:$A,'Model Modeshare by TAZ'!$E:$E)+_xlfn.XLOOKUP(D47,'Model Modeshare by TAZ'!$A:$A,'Model Modeshare by TAZ'!$F:$F)</f>
        <v>49371.94</v>
      </c>
      <c r="H47" s="117">
        <f>_xlfn.XLOOKUP(D47,'Model Modeshare by TAZ'!$A:$A,'Model Modeshare by TAZ'!$J:$J)</f>
        <v>59476.52</v>
      </c>
      <c r="I47" t="s">
        <v>1162</v>
      </c>
      <c r="J47" t="s">
        <v>1162</v>
      </c>
      <c r="K47">
        <v>0</v>
      </c>
      <c r="L47">
        <v>7091920</v>
      </c>
      <c r="M47">
        <v>13386.386270000001</v>
      </c>
      <c r="N47">
        <v>7091891.2487479998</v>
      </c>
      <c r="O47">
        <f>_xlfn.XLOOKUP(D47, 'Model VMT by TAZ'!A:A, 'Model VMT by TAZ'!J:J, "NO")</f>
        <v>2398</v>
      </c>
      <c r="P47">
        <f>_xlfn.XLOOKUP(D47, 'Model VMT by TAZ'!A:A, 'Model VMT by TAZ'!E:E, "NO")</f>
        <v>370010.94</v>
      </c>
      <c r="R47">
        <v>80</v>
      </c>
      <c r="S47" t="s">
        <v>1161</v>
      </c>
      <c r="T47">
        <v>2670</v>
      </c>
      <c r="U47">
        <v>1522</v>
      </c>
      <c r="V47" s="136" t="s">
        <v>380</v>
      </c>
      <c r="W47" t="s">
        <v>1162</v>
      </c>
      <c r="X47" t="s">
        <v>1162</v>
      </c>
      <c r="Y47">
        <v>0</v>
      </c>
      <c r="Z47">
        <v>2432500</v>
      </c>
      <c r="AA47">
        <v>6196.0654169999998</v>
      </c>
      <c r="AB47">
        <v>2432489.8029990001</v>
      </c>
      <c r="AC47">
        <v>1421</v>
      </c>
      <c r="AD47">
        <v>48677.58</v>
      </c>
    </row>
    <row r="48" spans="1:30" x14ac:dyDescent="0.35">
      <c r="A48">
        <v>45</v>
      </c>
      <c r="B48" t="s">
        <v>1161</v>
      </c>
      <c r="C48">
        <v>2568</v>
      </c>
      <c r="D48">
        <v>1956</v>
      </c>
      <c r="E48" s="136" t="str">
        <f>_xlfn.XLOOKUP(D48,'TAZs by City - CCAG Model'!A:A,'TAZs by City - CCAG Model'!B:B,"ERROR")</f>
        <v>San Mateo</v>
      </c>
      <c r="F48" s="117">
        <f>_xlfn.XLOOKUP(C48,'Model Modeshare by TAZ'!$A:$A,'Model Modeshare by TAZ'!$G:$G)</f>
        <v>399.48</v>
      </c>
      <c r="G48" s="117">
        <f>_xlfn.XLOOKUP(D48,'Model Modeshare by TAZ'!$A:$A,'Model Modeshare by TAZ'!$E:$E)+_xlfn.XLOOKUP(D48,'Model Modeshare by TAZ'!$A:$A,'Model Modeshare by TAZ'!$F:$F)</f>
        <v>10211.459999999999</v>
      </c>
      <c r="H48" s="117">
        <f>_xlfn.XLOOKUP(D48,'Model Modeshare by TAZ'!$A:$A,'Model Modeshare by TAZ'!$J:$J)</f>
        <v>11799.88</v>
      </c>
      <c r="I48" t="s">
        <v>1162</v>
      </c>
      <c r="J48" t="s">
        <v>1162</v>
      </c>
      <c r="K48">
        <v>0</v>
      </c>
      <c r="L48">
        <v>3936583</v>
      </c>
      <c r="M48">
        <v>8117.5099250000003</v>
      </c>
      <c r="N48">
        <v>3936567.7223430001</v>
      </c>
      <c r="O48">
        <f>_xlfn.XLOOKUP(D48, 'Model VMT by TAZ'!A:A, 'Model VMT by TAZ'!J:J, "NO")</f>
        <v>1884</v>
      </c>
      <c r="P48">
        <f>_xlfn.XLOOKUP(D48, 'Model VMT by TAZ'!A:A, 'Model VMT by TAZ'!E:E, "NO")</f>
        <v>65495.23</v>
      </c>
      <c r="R48">
        <v>90</v>
      </c>
      <c r="S48" t="s">
        <v>1161</v>
      </c>
      <c r="T48">
        <v>2698</v>
      </c>
      <c r="U48">
        <v>1528</v>
      </c>
      <c r="V48" s="136" t="s">
        <v>376</v>
      </c>
      <c r="W48" t="s">
        <v>1162</v>
      </c>
      <c r="X48" t="s">
        <v>1162</v>
      </c>
      <c r="Y48">
        <v>0</v>
      </c>
      <c r="Z48">
        <v>4615775</v>
      </c>
      <c r="AA48">
        <v>9886.4237240000002</v>
      </c>
      <c r="AB48">
        <v>4615756.7737870002</v>
      </c>
      <c r="AC48">
        <v>896</v>
      </c>
      <c r="AD48">
        <v>21227.52</v>
      </c>
    </row>
    <row r="49" spans="1:30" x14ac:dyDescent="0.35">
      <c r="A49">
        <v>46</v>
      </c>
      <c r="B49" t="s">
        <v>1161</v>
      </c>
      <c r="C49">
        <v>2569</v>
      </c>
      <c r="D49">
        <v>1955</v>
      </c>
      <c r="E49" s="136" t="str">
        <f>_xlfn.XLOOKUP(D49,'TAZs by City - CCAG Model'!A:A,'TAZs by City - CCAG Model'!B:B,"ERROR")</f>
        <v>San Mateo</v>
      </c>
      <c r="F49" s="117">
        <f>_xlfn.XLOOKUP(C49,'Model Modeshare by TAZ'!$A:$A,'Model Modeshare by TAZ'!$G:$G)</f>
        <v>306.66000000000003</v>
      </c>
      <c r="G49" s="117">
        <f>_xlfn.XLOOKUP(D49,'Model Modeshare by TAZ'!$A:$A,'Model Modeshare by TAZ'!$E:$E)+_xlfn.XLOOKUP(D49,'Model Modeshare by TAZ'!$A:$A,'Model Modeshare by TAZ'!$F:$F)</f>
        <v>16170.66</v>
      </c>
      <c r="H49" s="117">
        <f>_xlfn.XLOOKUP(D49,'Model Modeshare by TAZ'!$A:$A,'Model Modeshare by TAZ'!$J:$J)</f>
        <v>18870.04</v>
      </c>
      <c r="I49" t="s">
        <v>1162</v>
      </c>
      <c r="J49" t="s">
        <v>1162</v>
      </c>
      <c r="K49">
        <v>0</v>
      </c>
      <c r="L49">
        <v>14911037</v>
      </c>
      <c r="M49">
        <v>22778.600794000002</v>
      </c>
      <c r="N49">
        <v>14910977.392649001</v>
      </c>
      <c r="O49">
        <f>_xlfn.XLOOKUP(D49, 'Model VMT by TAZ'!A:A, 'Model VMT by TAZ'!J:J, "NO")</f>
        <v>3619</v>
      </c>
      <c r="P49">
        <f>_xlfn.XLOOKUP(D49, 'Model VMT by TAZ'!A:A, 'Model VMT by TAZ'!E:E, "NO")</f>
        <v>110483.84</v>
      </c>
    </row>
    <row r="50" spans="1:30" x14ac:dyDescent="0.35">
      <c r="A50">
        <v>47</v>
      </c>
      <c r="B50" t="s">
        <v>1161</v>
      </c>
      <c r="C50">
        <v>2570</v>
      </c>
      <c r="D50">
        <v>1980</v>
      </c>
      <c r="E50" s="136" t="str">
        <f>_xlfn.XLOOKUP(D50,'TAZs by City - CCAG Model'!A:A,'TAZs by City - CCAG Model'!B:B,"ERROR")</f>
        <v>San Mateo</v>
      </c>
      <c r="F50" s="117">
        <f>_xlfn.XLOOKUP(C50,'Model Modeshare by TAZ'!$A:$A,'Model Modeshare by TAZ'!$G:$G)</f>
        <v>17.14</v>
      </c>
      <c r="G50" s="117">
        <f>_xlfn.XLOOKUP(D50,'Model Modeshare by TAZ'!$A:$A,'Model Modeshare by TAZ'!$E:$E)+_xlfn.XLOOKUP(D50,'Model Modeshare by TAZ'!$A:$A,'Model Modeshare by TAZ'!$F:$F)</f>
        <v>24139.52</v>
      </c>
      <c r="H50" s="117">
        <f>_xlfn.XLOOKUP(D50,'Model Modeshare by TAZ'!$A:$A,'Model Modeshare by TAZ'!$J:$J)</f>
        <v>28473.84</v>
      </c>
      <c r="I50" t="s">
        <v>1162</v>
      </c>
      <c r="J50" t="s">
        <v>1162</v>
      </c>
      <c r="K50">
        <v>0</v>
      </c>
      <c r="L50">
        <v>7418614</v>
      </c>
      <c r="M50">
        <v>12016.210465</v>
      </c>
      <c r="N50">
        <v>7418584.1845009997</v>
      </c>
      <c r="O50">
        <f>_xlfn.XLOOKUP(D50, 'Model VMT by TAZ'!A:A, 'Model VMT by TAZ'!J:J, "NO")</f>
        <v>3178</v>
      </c>
      <c r="P50">
        <f>_xlfn.XLOOKUP(D50, 'Model VMT by TAZ'!A:A, 'Model VMT by TAZ'!E:E, "NO")</f>
        <v>141808.15</v>
      </c>
    </row>
    <row r="51" spans="1:30" x14ac:dyDescent="0.35">
      <c r="A51">
        <v>48</v>
      </c>
      <c r="B51" t="s">
        <v>1161</v>
      </c>
      <c r="C51">
        <v>2571</v>
      </c>
      <c r="D51">
        <v>1982</v>
      </c>
      <c r="E51" s="136" t="str">
        <f>_xlfn.XLOOKUP(D51,'TAZs by City - CCAG Model'!A:A,'TAZs by City - CCAG Model'!B:B,"ERROR")</f>
        <v>San Mateo</v>
      </c>
      <c r="F51" s="117">
        <f>_xlfn.XLOOKUP(C51,'Model Modeshare by TAZ'!$A:$A,'Model Modeshare by TAZ'!$G:$G)</f>
        <v>116.94</v>
      </c>
      <c r="G51" s="117">
        <f>_xlfn.XLOOKUP(D51,'Model Modeshare by TAZ'!$A:$A,'Model Modeshare by TAZ'!$E:$E)+_xlfn.XLOOKUP(D51,'Model Modeshare by TAZ'!$A:$A,'Model Modeshare by TAZ'!$F:$F)</f>
        <v>29110.260000000002</v>
      </c>
      <c r="H51" s="117">
        <f>_xlfn.XLOOKUP(D51,'Model Modeshare by TAZ'!$A:$A,'Model Modeshare by TAZ'!$J:$J)</f>
        <v>32615.9</v>
      </c>
      <c r="I51" t="s">
        <v>1162</v>
      </c>
      <c r="J51" t="s">
        <v>1162</v>
      </c>
      <c r="K51">
        <v>0</v>
      </c>
      <c r="L51">
        <v>21488342</v>
      </c>
      <c r="M51">
        <v>21858.553968</v>
      </c>
      <c r="N51">
        <v>21488256.425338</v>
      </c>
      <c r="O51">
        <f>_xlfn.XLOOKUP(D51, 'Model VMT by TAZ'!A:A, 'Model VMT by TAZ'!J:J, "NO")</f>
        <v>2419</v>
      </c>
      <c r="P51">
        <f>_xlfn.XLOOKUP(D51, 'Model VMT by TAZ'!A:A, 'Model VMT by TAZ'!E:E, "NO")</f>
        <v>204944.53</v>
      </c>
      <c r="R51" s="116" t="s">
        <v>1170</v>
      </c>
      <c r="Z51" s="2" t="s">
        <v>1156</v>
      </c>
      <c r="AA51" s="2" t="s">
        <v>1157</v>
      </c>
      <c r="AB51" s="2" t="s">
        <v>1158</v>
      </c>
      <c r="AC51" s="2" t="s">
        <v>1152</v>
      </c>
      <c r="AD51" s="2" t="s">
        <v>1165</v>
      </c>
    </row>
    <row r="52" spans="1:30" x14ac:dyDescent="0.35">
      <c r="A52">
        <v>49</v>
      </c>
      <c r="B52" t="s">
        <v>1161</v>
      </c>
      <c r="C52">
        <v>2576</v>
      </c>
      <c r="D52">
        <v>1984</v>
      </c>
      <c r="E52" s="136" t="str">
        <f>_xlfn.XLOOKUP(D52,'TAZs by City - CCAG Model'!A:A,'TAZs by City - CCAG Model'!B:B,"ERROR")</f>
        <v>San Mateo</v>
      </c>
      <c r="F52" s="117">
        <f>_xlfn.XLOOKUP(C52,'Model Modeshare by TAZ'!$A:$A,'Model Modeshare by TAZ'!$G:$G)</f>
        <v>462.72</v>
      </c>
      <c r="G52" s="117">
        <f>_xlfn.XLOOKUP(D52,'Model Modeshare by TAZ'!$A:$A,'Model Modeshare by TAZ'!$E:$E)+_xlfn.XLOOKUP(D52,'Model Modeshare by TAZ'!$A:$A,'Model Modeshare by TAZ'!$F:$F)</f>
        <v>23477.08</v>
      </c>
      <c r="H52" s="117">
        <f>_xlfn.XLOOKUP(D52,'Model Modeshare by TAZ'!$A:$A,'Model Modeshare by TAZ'!$J:$J)</f>
        <v>28280.02</v>
      </c>
      <c r="I52" t="s">
        <v>1162</v>
      </c>
      <c r="J52" t="s">
        <v>1162</v>
      </c>
      <c r="K52">
        <v>0</v>
      </c>
      <c r="L52">
        <v>7634558</v>
      </c>
      <c r="M52">
        <v>14954.033952</v>
      </c>
      <c r="N52">
        <v>7634527.0171320001</v>
      </c>
      <c r="O52">
        <f>_xlfn.XLOOKUP(D52, 'Model VMT by TAZ'!A:A, 'Model VMT by TAZ'!J:J, "NO")</f>
        <v>3831</v>
      </c>
      <c r="P52">
        <f>_xlfn.XLOOKUP(D52, 'Model VMT by TAZ'!A:A, 'Model VMT by TAZ'!E:E, "NO")</f>
        <v>237392.56</v>
      </c>
      <c r="R52" s="2" t="s">
        <v>1148</v>
      </c>
      <c r="S52" s="2" t="s">
        <v>1149</v>
      </c>
      <c r="T52" s="2" t="s">
        <v>1150</v>
      </c>
      <c r="U52" s="2" t="s">
        <v>1151</v>
      </c>
      <c r="V52" s="18" t="s">
        <v>409</v>
      </c>
      <c r="W52" s="2" t="s">
        <v>1153</v>
      </c>
      <c r="X52" s="2" t="s">
        <v>1154</v>
      </c>
      <c r="Y52" s="2" t="s">
        <v>1155</v>
      </c>
      <c r="Z52" s="2" t="s">
        <v>1156</v>
      </c>
      <c r="AA52" s="2" t="s">
        <v>1157</v>
      </c>
      <c r="AB52" s="2" t="s">
        <v>1158</v>
      </c>
      <c r="AC52" s="2" t="s">
        <v>1152</v>
      </c>
      <c r="AD52" s="2" t="s">
        <v>1165</v>
      </c>
    </row>
    <row r="53" spans="1:30" x14ac:dyDescent="0.35">
      <c r="A53">
        <v>50</v>
      </c>
      <c r="B53" t="s">
        <v>1161</v>
      </c>
      <c r="C53">
        <v>2578</v>
      </c>
      <c r="D53">
        <v>1981</v>
      </c>
      <c r="E53" s="136" t="str">
        <f>_xlfn.XLOOKUP(D53,'TAZs by City - CCAG Model'!A:A,'TAZs by City - CCAG Model'!B:B,"ERROR")</f>
        <v>San Mateo</v>
      </c>
      <c r="F53" s="117">
        <f>_xlfn.XLOOKUP(C53,'Model Modeshare by TAZ'!$A:$A,'Model Modeshare by TAZ'!$G:$G)</f>
        <v>580.04</v>
      </c>
      <c r="G53" s="117">
        <f>_xlfn.XLOOKUP(D53,'Model Modeshare by TAZ'!$A:$A,'Model Modeshare by TAZ'!$E:$E)+_xlfn.XLOOKUP(D53,'Model Modeshare by TAZ'!$A:$A,'Model Modeshare by TAZ'!$F:$F)</f>
        <v>14133.6</v>
      </c>
      <c r="H53" s="117">
        <f>_xlfn.XLOOKUP(D53,'Model Modeshare by TAZ'!$A:$A,'Model Modeshare by TAZ'!$J:$J)</f>
        <v>16289.4</v>
      </c>
      <c r="I53" t="s">
        <v>1162</v>
      </c>
      <c r="J53" t="s">
        <v>1162</v>
      </c>
      <c r="K53">
        <v>0</v>
      </c>
      <c r="L53">
        <v>5807601</v>
      </c>
      <c r="M53">
        <v>11140.997831999999</v>
      </c>
      <c r="N53">
        <v>5807578.2233279999</v>
      </c>
      <c r="O53">
        <f>_xlfn.XLOOKUP(D53, 'Model VMT by TAZ'!A:A, 'Model VMT by TAZ'!J:J, "NO")</f>
        <v>2008</v>
      </c>
      <c r="P53">
        <f>_xlfn.XLOOKUP(D53, 'Model VMT by TAZ'!A:A, 'Model VMT by TAZ'!E:E, "NO")</f>
        <v>107628.37</v>
      </c>
      <c r="R53">
        <v>43</v>
      </c>
      <c r="S53" t="s">
        <v>1161</v>
      </c>
      <c r="T53">
        <v>2566</v>
      </c>
      <c r="U53">
        <v>1960</v>
      </c>
      <c r="V53" s="136" t="s">
        <v>382</v>
      </c>
      <c r="W53" t="s">
        <v>1162</v>
      </c>
      <c r="X53" t="s">
        <v>1162</v>
      </c>
      <c r="Y53">
        <v>0</v>
      </c>
      <c r="Z53">
        <v>5660824</v>
      </c>
      <c r="AA53">
        <v>9906.9013300000006</v>
      </c>
      <c r="AB53">
        <v>5660801.1967719998</v>
      </c>
      <c r="AC53">
        <v>3171</v>
      </c>
      <c r="AD53">
        <v>104550.46</v>
      </c>
    </row>
    <row r="54" spans="1:30" x14ac:dyDescent="0.35">
      <c r="A54">
        <v>51</v>
      </c>
      <c r="B54" t="s">
        <v>1161</v>
      </c>
      <c r="C54">
        <v>2579</v>
      </c>
      <c r="D54">
        <v>1978</v>
      </c>
      <c r="E54" s="136" t="str">
        <f>_xlfn.XLOOKUP(D54,'TAZs by City - CCAG Model'!A:A,'TAZs by City - CCAG Model'!B:B,"ERROR")</f>
        <v>San Mateo</v>
      </c>
      <c r="F54" s="117">
        <f>_xlfn.XLOOKUP(C54,'Model Modeshare by TAZ'!$A:$A,'Model Modeshare by TAZ'!$G:$G)</f>
        <v>497.48</v>
      </c>
      <c r="G54" s="117">
        <f>_xlfn.XLOOKUP(D54,'Model Modeshare by TAZ'!$A:$A,'Model Modeshare by TAZ'!$E:$E)+_xlfn.XLOOKUP(D54,'Model Modeshare by TAZ'!$A:$A,'Model Modeshare by TAZ'!$F:$F)</f>
        <v>20053.82</v>
      </c>
      <c r="H54" s="117">
        <f>_xlfn.XLOOKUP(D54,'Model Modeshare by TAZ'!$A:$A,'Model Modeshare by TAZ'!$J:$J)</f>
        <v>23019.52</v>
      </c>
      <c r="I54" t="s">
        <v>1162</v>
      </c>
      <c r="J54" t="s">
        <v>1162</v>
      </c>
      <c r="K54">
        <v>0</v>
      </c>
      <c r="L54">
        <v>10055276</v>
      </c>
      <c r="M54">
        <v>16774.657822000001</v>
      </c>
      <c r="N54">
        <v>10055236.083652999</v>
      </c>
      <c r="O54">
        <f>_xlfn.XLOOKUP(D54, 'Model VMT by TAZ'!A:A, 'Model VMT by TAZ'!J:J, "NO")</f>
        <v>4274</v>
      </c>
      <c r="P54">
        <f>_xlfn.XLOOKUP(D54, 'Model VMT by TAZ'!A:A, 'Model VMT by TAZ'!E:E, "NO")</f>
        <v>152500.26999999999</v>
      </c>
      <c r="R54">
        <v>44</v>
      </c>
      <c r="S54" t="s">
        <v>1161</v>
      </c>
      <c r="T54">
        <v>2567</v>
      </c>
      <c r="U54">
        <v>1957</v>
      </c>
      <c r="V54" s="136" t="s">
        <v>382</v>
      </c>
      <c r="W54" t="s">
        <v>1162</v>
      </c>
      <c r="X54" t="s">
        <v>1162</v>
      </c>
      <c r="Y54">
        <v>0</v>
      </c>
      <c r="Z54">
        <v>7091920</v>
      </c>
      <c r="AA54">
        <v>13386.386270000001</v>
      </c>
      <c r="AB54">
        <v>7091891.2487479998</v>
      </c>
      <c r="AC54">
        <v>2398</v>
      </c>
      <c r="AD54">
        <v>370010.94</v>
      </c>
    </row>
    <row r="55" spans="1:30" x14ac:dyDescent="0.35">
      <c r="A55">
        <v>52</v>
      </c>
      <c r="B55" t="s">
        <v>1161</v>
      </c>
      <c r="C55">
        <v>2580</v>
      </c>
      <c r="D55">
        <v>1979</v>
      </c>
      <c r="E55" s="136" t="str">
        <f>_xlfn.XLOOKUP(D55,'TAZs by City - CCAG Model'!A:A,'TAZs by City - CCAG Model'!B:B,"ERROR")</f>
        <v>San Mateo</v>
      </c>
      <c r="F55" s="117">
        <f>_xlfn.XLOOKUP(C55,'Model Modeshare by TAZ'!$A:$A,'Model Modeshare by TAZ'!$G:$G)</f>
        <v>676.46</v>
      </c>
      <c r="G55" s="117">
        <f>_xlfn.XLOOKUP(D55,'Model Modeshare by TAZ'!$A:$A,'Model Modeshare by TAZ'!$E:$E)+_xlfn.XLOOKUP(D55,'Model Modeshare by TAZ'!$A:$A,'Model Modeshare by TAZ'!$F:$F)</f>
        <v>33648.74</v>
      </c>
      <c r="H55" s="117">
        <f>_xlfn.XLOOKUP(D55,'Model Modeshare by TAZ'!$A:$A,'Model Modeshare by TAZ'!$J:$J)</f>
        <v>38359.379999999997</v>
      </c>
      <c r="I55" t="s">
        <v>1162</v>
      </c>
      <c r="J55" t="s">
        <v>1162</v>
      </c>
      <c r="K55">
        <v>0</v>
      </c>
      <c r="L55">
        <v>7293623</v>
      </c>
      <c r="M55">
        <v>11554.573818999999</v>
      </c>
      <c r="N55">
        <v>7293593.9291399997</v>
      </c>
      <c r="O55">
        <f>_xlfn.XLOOKUP(D55, 'Model VMT by TAZ'!A:A, 'Model VMT by TAZ'!J:J, "NO")</f>
        <v>910</v>
      </c>
      <c r="P55">
        <f>_xlfn.XLOOKUP(D55, 'Model VMT by TAZ'!A:A, 'Model VMT by TAZ'!E:E, "NO")</f>
        <v>191094.12</v>
      </c>
      <c r="R55">
        <v>45</v>
      </c>
      <c r="S55" t="s">
        <v>1161</v>
      </c>
      <c r="T55">
        <v>2568</v>
      </c>
      <c r="U55">
        <v>1956</v>
      </c>
      <c r="V55" s="136" t="s">
        <v>382</v>
      </c>
      <c r="W55" t="s">
        <v>1162</v>
      </c>
      <c r="X55" t="s">
        <v>1162</v>
      </c>
      <c r="Y55">
        <v>0</v>
      </c>
      <c r="Z55">
        <v>3936583</v>
      </c>
      <c r="AA55">
        <v>8117.5099250000003</v>
      </c>
      <c r="AB55">
        <v>3936567.7223430001</v>
      </c>
      <c r="AC55">
        <v>1884</v>
      </c>
      <c r="AD55">
        <v>65495.23</v>
      </c>
    </row>
    <row r="56" spans="1:30" x14ac:dyDescent="0.35">
      <c r="A56">
        <v>53</v>
      </c>
      <c r="B56" t="s">
        <v>1161</v>
      </c>
      <c r="C56">
        <v>2594</v>
      </c>
      <c r="D56">
        <v>1977</v>
      </c>
      <c r="E56" s="136" t="str">
        <f>_xlfn.XLOOKUP(D56,'TAZs by City - CCAG Model'!A:A,'TAZs by City - CCAG Model'!B:B,"ERROR")</f>
        <v>San Mateo</v>
      </c>
      <c r="F56" s="117">
        <f>_xlfn.XLOOKUP(C56,'Model Modeshare by TAZ'!$A:$A,'Model Modeshare by TAZ'!$G:$G)</f>
        <v>487.6</v>
      </c>
      <c r="G56" s="117">
        <f>_xlfn.XLOOKUP(D56,'Model Modeshare by TAZ'!$A:$A,'Model Modeshare by TAZ'!$E:$E)+_xlfn.XLOOKUP(D56,'Model Modeshare by TAZ'!$A:$A,'Model Modeshare by TAZ'!$F:$F)</f>
        <v>19223.080000000002</v>
      </c>
      <c r="H56" s="117">
        <f>_xlfn.XLOOKUP(D56,'Model Modeshare by TAZ'!$A:$A,'Model Modeshare by TAZ'!$J:$J)</f>
        <v>23549.439999999999</v>
      </c>
      <c r="I56" t="s">
        <v>1162</v>
      </c>
      <c r="J56" t="s">
        <v>1162</v>
      </c>
      <c r="K56">
        <v>0</v>
      </c>
      <c r="L56">
        <v>13854759</v>
      </c>
      <c r="M56">
        <v>19462.948324000001</v>
      </c>
      <c r="N56">
        <v>13854703.478120999</v>
      </c>
      <c r="O56">
        <f>_xlfn.XLOOKUP(D56, 'Model VMT by TAZ'!A:A, 'Model VMT by TAZ'!J:J, "NO")</f>
        <v>4914</v>
      </c>
      <c r="P56">
        <f>_xlfn.XLOOKUP(D56, 'Model VMT by TAZ'!A:A, 'Model VMT by TAZ'!E:E, "NO")</f>
        <v>110490.02</v>
      </c>
      <c r="R56">
        <v>46</v>
      </c>
      <c r="S56" t="s">
        <v>1161</v>
      </c>
      <c r="T56">
        <v>2569</v>
      </c>
      <c r="U56">
        <v>1955</v>
      </c>
      <c r="V56" s="136" t="s">
        <v>382</v>
      </c>
      <c r="W56" t="s">
        <v>1162</v>
      </c>
      <c r="X56" t="s">
        <v>1162</v>
      </c>
      <c r="Y56">
        <v>0</v>
      </c>
      <c r="Z56">
        <v>14911037</v>
      </c>
      <c r="AA56">
        <v>22778.600794000002</v>
      </c>
      <c r="AB56">
        <v>14910977.392649001</v>
      </c>
      <c r="AC56">
        <v>3619</v>
      </c>
      <c r="AD56">
        <v>110483.84</v>
      </c>
    </row>
    <row r="57" spans="1:30" x14ac:dyDescent="0.35">
      <c r="A57">
        <v>54</v>
      </c>
      <c r="B57" t="s">
        <v>1161</v>
      </c>
      <c r="C57">
        <v>2595</v>
      </c>
      <c r="D57">
        <v>1976</v>
      </c>
      <c r="E57" s="136" t="str">
        <f>_xlfn.XLOOKUP(D57,'TAZs by City - CCAG Model'!A:A,'TAZs by City - CCAG Model'!B:B,"ERROR")</f>
        <v>San Mateo</v>
      </c>
      <c r="F57" s="117">
        <f>_xlfn.XLOOKUP(C57,'Model Modeshare by TAZ'!$A:$A,'Model Modeshare by TAZ'!$G:$G)</f>
        <v>745.4</v>
      </c>
      <c r="G57" s="117">
        <f>_xlfn.XLOOKUP(D57,'Model Modeshare by TAZ'!$A:$A,'Model Modeshare by TAZ'!$E:$E)+_xlfn.XLOOKUP(D57,'Model Modeshare by TAZ'!$A:$A,'Model Modeshare by TAZ'!$F:$F)</f>
        <v>12767.46</v>
      </c>
      <c r="H57" s="117">
        <f>_xlfn.XLOOKUP(D57,'Model Modeshare by TAZ'!$A:$A,'Model Modeshare by TAZ'!$J:$J)</f>
        <v>15730.78</v>
      </c>
      <c r="I57" t="s">
        <v>1162</v>
      </c>
      <c r="J57" t="s">
        <v>1162</v>
      </c>
      <c r="K57">
        <v>0</v>
      </c>
      <c r="L57">
        <v>5200693</v>
      </c>
      <c r="M57">
        <v>11340.996077</v>
      </c>
      <c r="N57">
        <v>5200671.7290540002</v>
      </c>
      <c r="O57">
        <f>_xlfn.XLOOKUP(D57, 'Model VMT by TAZ'!A:A, 'Model VMT by TAZ'!J:J, "NO")</f>
        <v>2709</v>
      </c>
      <c r="P57">
        <f>_xlfn.XLOOKUP(D57, 'Model VMT by TAZ'!A:A, 'Model VMT by TAZ'!E:E, "NO")</f>
        <v>53981.85</v>
      </c>
      <c r="R57">
        <v>47</v>
      </c>
      <c r="S57" t="s">
        <v>1161</v>
      </c>
      <c r="T57">
        <v>2570</v>
      </c>
      <c r="U57">
        <v>1980</v>
      </c>
      <c r="V57" s="136" t="s">
        <v>382</v>
      </c>
      <c r="W57" t="s">
        <v>1162</v>
      </c>
      <c r="X57" t="s">
        <v>1162</v>
      </c>
      <c r="Y57">
        <v>0</v>
      </c>
      <c r="Z57">
        <v>7418614</v>
      </c>
      <c r="AA57">
        <v>12016.210465</v>
      </c>
      <c r="AB57">
        <v>7418584.1845009997</v>
      </c>
      <c r="AC57">
        <v>3178</v>
      </c>
      <c r="AD57">
        <v>141808.15</v>
      </c>
    </row>
    <row r="58" spans="1:30" x14ac:dyDescent="0.35">
      <c r="A58">
        <v>55</v>
      </c>
      <c r="B58" t="s">
        <v>1161</v>
      </c>
      <c r="C58">
        <v>2596</v>
      </c>
      <c r="D58">
        <v>1975</v>
      </c>
      <c r="E58" s="136" t="str">
        <f>_xlfn.XLOOKUP(D58,'TAZs by City - CCAG Model'!A:A,'TAZs by City - CCAG Model'!B:B,"ERROR")</f>
        <v>Belmont</v>
      </c>
      <c r="F58" s="117">
        <f>_xlfn.XLOOKUP(C58,'Model Modeshare by TAZ'!$A:$A,'Model Modeshare by TAZ'!$G:$G)</f>
        <v>852.22</v>
      </c>
      <c r="G58" s="117">
        <f>_xlfn.XLOOKUP(D58,'Model Modeshare by TAZ'!$A:$A,'Model Modeshare by TAZ'!$E:$E)+_xlfn.XLOOKUP(D58,'Model Modeshare by TAZ'!$A:$A,'Model Modeshare by TAZ'!$F:$F)</f>
        <v>20718.32</v>
      </c>
      <c r="H58" s="117">
        <f>_xlfn.XLOOKUP(D58,'Model Modeshare by TAZ'!$A:$A,'Model Modeshare by TAZ'!$J:$J)</f>
        <v>23835.96</v>
      </c>
      <c r="I58" t="s">
        <v>1162</v>
      </c>
      <c r="J58" t="s">
        <v>1162</v>
      </c>
      <c r="K58">
        <v>0</v>
      </c>
      <c r="L58">
        <v>11427520</v>
      </c>
      <c r="M58">
        <v>17078.592231999999</v>
      </c>
      <c r="N58">
        <v>11427474.105072999</v>
      </c>
      <c r="O58">
        <f>_xlfn.XLOOKUP(D58, 'Model VMT by TAZ'!A:A, 'Model VMT by TAZ'!J:J, "NO")</f>
        <v>4193</v>
      </c>
      <c r="P58">
        <f>_xlfn.XLOOKUP(D58, 'Model VMT by TAZ'!A:A, 'Model VMT by TAZ'!E:E, "NO")</f>
        <v>140676.29999999999</v>
      </c>
      <c r="R58">
        <v>48</v>
      </c>
      <c r="S58" t="s">
        <v>1161</v>
      </c>
      <c r="T58">
        <v>2571</v>
      </c>
      <c r="U58">
        <v>1982</v>
      </c>
      <c r="V58" s="136" t="s">
        <v>382</v>
      </c>
      <c r="W58" t="s">
        <v>1162</v>
      </c>
      <c r="X58" t="s">
        <v>1162</v>
      </c>
      <c r="Y58">
        <v>0</v>
      </c>
      <c r="Z58">
        <v>21488342</v>
      </c>
      <c r="AA58">
        <v>21858.553968</v>
      </c>
      <c r="AB58">
        <v>21488256.425338</v>
      </c>
      <c r="AC58">
        <v>2419</v>
      </c>
      <c r="AD58">
        <v>204944.53</v>
      </c>
    </row>
    <row r="59" spans="1:30" x14ac:dyDescent="0.35">
      <c r="A59">
        <v>56</v>
      </c>
      <c r="B59" t="s">
        <v>1161</v>
      </c>
      <c r="C59">
        <v>2597</v>
      </c>
      <c r="D59">
        <v>1614</v>
      </c>
      <c r="E59" s="136" t="str">
        <f>_xlfn.XLOOKUP(D59,'TAZs by City - CCAG Model'!A:A,'TAZs by City - CCAG Model'!B:B,"ERROR")</f>
        <v>Belmont</v>
      </c>
      <c r="F59" s="117">
        <f>_xlfn.XLOOKUP(C59,'Model Modeshare by TAZ'!$A:$A,'Model Modeshare by TAZ'!$G:$G)</f>
        <v>987.58</v>
      </c>
      <c r="G59" s="117">
        <f>_xlfn.XLOOKUP(D59,'Model Modeshare by TAZ'!$A:$A,'Model Modeshare by TAZ'!$E:$E)+_xlfn.XLOOKUP(D59,'Model Modeshare by TAZ'!$A:$A,'Model Modeshare by TAZ'!$F:$F)</f>
        <v>3639.2000000000003</v>
      </c>
      <c r="H59" s="117">
        <f>_xlfn.XLOOKUP(D59,'Model Modeshare by TAZ'!$A:$A,'Model Modeshare by TAZ'!$J:$J)</f>
        <v>4791.4799999999996</v>
      </c>
      <c r="I59" t="s">
        <v>1162</v>
      </c>
      <c r="J59" t="s">
        <v>1162</v>
      </c>
      <c r="K59">
        <v>0</v>
      </c>
      <c r="L59">
        <v>5188987</v>
      </c>
      <c r="M59">
        <v>10006.711739</v>
      </c>
      <c r="N59">
        <v>5188966.3534749998</v>
      </c>
      <c r="O59">
        <f>_xlfn.XLOOKUP(D59, 'Model VMT by TAZ'!A:A, 'Model VMT by TAZ'!J:J, "NO")</f>
        <v>670</v>
      </c>
      <c r="P59">
        <f>_xlfn.XLOOKUP(D59, 'Model VMT by TAZ'!A:A, 'Model VMT by TAZ'!E:E, "NO")</f>
        <v>15227.12</v>
      </c>
      <c r="R59">
        <v>49</v>
      </c>
      <c r="S59" t="s">
        <v>1161</v>
      </c>
      <c r="T59">
        <v>2576</v>
      </c>
      <c r="U59">
        <v>1984</v>
      </c>
      <c r="V59" s="136" t="s">
        <v>382</v>
      </c>
      <c r="W59" t="s">
        <v>1162</v>
      </c>
      <c r="X59" t="s">
        <v>1162</v>
      </c>
      <c r="Y59">
        <v>0</v>
      </c>
      <c r="Z59">
        <v>7634558</v>
      </c>
      <c r="AA59">
        <v>14954.033952</v>
      </c>
      <c r="AB59">
        <v>7634527.0171320001</v>
      </c>
      <c r="AC59">
        <v>3831</v>
      </c>
      <c r="AD59">
        <v>237392.56</v>
      </c>
    </row>
    <row r="60" spans="1:30" x14ac:dyDescent="0.35">
      <c r="A60">
        <v>57</v>
      </c>
      <c r="B60" t="s">
        <v>1161</v>
      </c>
      <c r="C60">
        <v>2614</v>
      </c>
      <c r="D60">
        <v>2014</v>
      </c>
      <c r="E60" s="136" t="str">
        <f>_xlfn.XLOOKUP(D60,'TAZs by City - CCAG Model'!A:A,'TAZs by City - CCAG Model'!B:B,"ERROR")</f>
        <v>Redwood City</v>
      </c>
      <c r="F60" s="117">
        <f>_xlfn.XLOOKUP(C60,'Model Modeshare by TAZ'!$A:$A,'Model Modeshare by TAZ'!$G:$G)</f>
        <v>737.88</v>
      </c>
      <c r="G60" s="117">
        <f>_xlfn.XLOOKUP(D60,'Model Modeshare by TAZ'!$A:$A,'Model Modeshare by TAZ'!$E:$E)+_xlfn.XLOOKUP(D60,'Model Modeshare by TAZ'!$A:$A,'Model Modeshare by TAZ'!$F:$F)</f>
        <v>19524.5</v>
      </c>
      <c r="H60" s="117">
        <f>_xlfn.XLOOKUP(D60,'Model Modeshare by TAZ'!$A:$A,'Model Modeshare by TAZ'!$J:$J)</f>
        <v>21838.6</v>
      </c>
      <c r="I60" t="s">
        <v>1162</v>
      </c>
      <c r="J60" t="s">
        <v>1162</v>
      </c>
      <c r="K60">
        <v>0</v>
      </c>
      <c r="L60">
        <v>8957542</v>
      </c>
      <c r="M60">
        <v>18976.351799</v>
      </c>
      <c r="N60">
        <v>8957505.819751</v>
      </c>
      <c r="O60">
        <f>_xlfn.XLOOKUP(D60, 'Model VMT by TAZ'!A:A, 'Model VMT by TAZ'!J:J, "NO")</f>
        <v>1771</v>
      </c>
      <c r="P60">
        <f>_xlfn.XLOOKUP(D60, 'Model VMT by TAZ'!A:A, 'Model VMT by TAZ'!E:E, "NO")</f>
        <v>178000.35</v>
      </c>
      <c r="R60">
        <v>50</v>
      </c>
      <c r="S60" t="s">
        <v>1161</v>
      </c>
      <c r="T60">
        <v>2578</v>
      </c>
      <c r="U60">
        <v>1981</v>
      </c>
      <c r="V60" s="136" t="s">
        <v>382</v>
      </c>
      <c r="W60" t="s">
        <v>1162</v>
      </c>
      <c r="X60" t="s">
        <v>1162</v>
      </c>
      <c r="Y60">
        <v>0</v>
      </c>
      <c r="Z60">
        <v>5807601</v>
      </c>
      <c r="AA60">
        <v>11140.997831999999</v>
      </c>
      <c r="AB60">
        <v>5807578.2233279999</v>
      </c>
      <c r="AC60">
        <v>2008</v>
      </c>
      <c r="AD60">
        <v>107628.37</v>
      </c>
    </row>
    <row r="61" spans="1:30" x14ac:dyDescent="0.35">
      <c r="A61">
        <v>58</v>
      </c>
      <c r="B61" t="s">
        <v>1161</v>
      </c>
      <c r="C61">
        <v>2616</v>
      </c>
      <c r="D61">
        <v>2026</v>
      </c>
      <c r="E61" s="136" t="str">
        <f>_xlfn.XLOOKUP(D61,'TAZs by City - CCAG Model'!A:A,'TAZs by City - CCAG Model'!B:B,"ERROR")</f>
        <v>Redwood City</v>
      </c>
      <c r="F61" s="117">
        <f>_xlfn.XLOOKUP(C61,'Model Modeshare by TAZ'!$A:$A,'Model Modeshare by TAZ'!$G:$G)</f>
        <v>746.02</v>
      </c>
      <c r="G61" s="117">
        <f>_xlfn.XLOOKUP(D61,'Model Modeshare by TAZ'!$A:$A,'Model Modeshare by TAZ'!$E:$E)+_xlfn.XLOOKUP(D61,'Model Modeshare by TAZ'!$A:$A,'Model Modeshare by TAZ'!$F:$F)</f>
        <v>14830.44</v>
      </c>
      <c r="H61" s="117">
        <f>_xlfn.XLOOKUP(D61,'Model Modeshare by TAZ'!$A:$A,'Model Modeshare by TAZ'!$J:$J)</f>
        <v>18123.64</v>
      </c>
      <c r="I61" t="s">
        <v>1162</v>
      </c>
      <c r="J61" t="s">
        <v>1162</v>
      </c>
      <c r="K61">
        <v>0</v>
      </c>
      <c r="L61">
        <v>3793408</v>
      </c>
      <c r="M61">
        <v>11756.909035000001</v>
      </c>
      <c r="N61">
        <v>3793392.5510709998</v>
      </c>
      <c r="O61">
        <f>_xlfn.XLOOKUP(D61, 'Model VMT by TAZ'!A:A, 'Model VMT by TAZ'!J:J, "NO")</f>
        <v>3111</v>
      </c>
      <c r="P61">
        <f>_xlfn.XLOOKUP(D61, 'Model VMT by TAZ'!A:A, 'Model VMT by TAZ'!E:E, "NO")</f>
        <v>77150.25</v>
      </c>
      <c r="R61">
        <v>51</v>
      </c>
      <c r="S61" t="s">
        <v>1161</v>
      </c>
      <c r="T61">
        <v>2579</v>
      </c>
      <c r="U61">
        <v>1978</v>
      </c>
      <c r="V61" s="136" t="s">
        <v>382</v>
      </c>
      <c r="W61" t="s">
        <v>1162</v>
      </c>
      <c r="X61" t="s">
        <v>1162</v>
      </c>
      <c r="Y61">
        <v>0</v>
      </c>
      <c r="Z61">
        <v>10055276</v>
      </c>
      <c r="AA61">
        <v>16774.657822000001</v>
      </c>
      <c r="AB61">
        <v>10055236.083652999</v>
      </c>
      <c r="AC61">
        <v>4274</v>
      </c>
      <c r="AD61">
        <v>152500.26999999999</v>
      </c>
    </row>
    <row r="62" spans="1:30" x14ac:dyDescent="0.35">
      <c r="A62">
        <v>59</v>
      </c>
      <c r="B62" t="s">
        <v>1161</v>
      </c>
      <c r="C62">
        <v>2621</v>
      </c>
      <c r="D62">
        <v>2029</v>
      </c>
      <c r="E62" s="136" t="str">
        <f>_xlfn.XLOOKUP(D62,'TAZs by City - CCAG Model'!A:A,'TAZs by City - CCAG Model'!B:B,"ERROR")</f>
        <v>Unincorporated</v>
      </c>
      <c r="F62" s="117">
        <f>_xlfn.XLOOKUP(C62,'Model Modeshare by TAZ'!$A:$A,'Model Modeshare by TAZ'!$G:$G)</f>
        <v>191.74</v>
      </c>
      <c r="G62" s="117">
        <f>_xlfn.XLOOKUP(D62,'Model Modeshare by TAZ'!$A:$A,'Model Modeshare by TAZ'!$E:$E)+_xlfn.XLOOKUP(D62,'Model Modeshare by TAZ'!$A:$A,'Model Modeshare by TAZ'!$F:$F)</f>
        <v>31573.340000000004</v>
      </c>
      <c r="H62" s="117">
        <f>_xlfn.XLOOKUP(D62,'Model Modeshare by TAZ'!$A:$A,'Model Modeshare by TAZ'!$J:$J)</f>
        <v>36682.32</v>
      </c>
      <c r="I62" t="s">
        <v>1162</v>
      </c>
      <c r="J62" t="s">
        <v>1162</v>
      </c>
      <c r="K62">
        <v>0</v>
      </c>
      <c r="L62">
        <v>12303509</v>
      </c>
      <c r="M62">
        <v>21692.016652999999</v>
      </c>
      <c r="N62">
        <v>12303460.161805</v>
      </c>
      <c r="O62">
        <f>_xlfn.XLOOKUP(D62, 'Model VMT by TAZ'!A:A, 'Model VMT by TAZ'!J:J, "NO")</f>
        <v>6135</v>
      </c>
      <c r="P62">
        <f>_xlfn.XLOOKUP(D62, 'Model VMT by TAZ'!A:A, 'Model VMT by TAZ'!E:E, "NO")</f>
        <v>201017.36</v>
      </c>
      <c r="R62">
        <v>52</v>
      </c>
      <c r="S62" t="s">
        <v>1161</v>
      </c>
      <c r="T62">
        <v>2580</v>
      </c>
      <c r="U62">
        <v>1979</v>
      </c>
      <c r="V62" s="136" t="s">
        <v>382</v>
      </c>
      <c r="W62" t="s">
        <v>1162</v>
      </c>
      <c r="X62" t="s">
        <v>1162</v>
      </c>
      <c r="Y62">
        <v>0</v>
      </c>
      <c r="Z62">
        <v>7293623</v>
      </c>
      <c r="AA62">
        <v>11554.573818999999</v>
      </c>
      <c r="AB62">
        <v>7293593.9291399997</v>
      </c>
      <c r="AC62">
        <v>910</v>
      </c>
      <c r="AD62">
        <v>191094.12</v>
      </c>
    </row>
    <row r="63" spans="1:30" x14ac:dyDescent="0.35">
      <c r="A63">
        <v>60</v>
      </c>
      <c r="B63" t="s">
        <v>1161</v>
      </c>
      <c r="C63">
        <v>2632</v>
      </c>
      <c r="D63">
        <v>1915</v>
      </c>
      <c r="E63" s="136" t="str">
        <f>_xlfn.XLOOKUP(D63,'TAZs by City - CCAG Model'!A:A,'TAZs by City - CCAG Model'!B:B,"ERROR")</f>
        <v>South San Francisco</v>
      </c>
      <c r="F63" s="117">
        <f>_xlfn.XLOOKUP(C63,'Model Modeshare by TAZ'!$A:$A,'Model Modeshare by TAZ'!$G:$G)</f>
        <v>110.8</v>
      </c>
      <c r="G63" s="117">
        <f>_xlfn.XLOOKUP(D63,'Model Modeshare by TAZ'!$A:$A,'Model Modeshare by TAZ'!$E:$E)+_xlfn.XLOOKUP(D63,'Model Modeshare by TAZ'!$A:$A,'Model Modeshare by TAZ'!$F:$F)</f>
        <v>16888.060000000001</v>
      </c>
      <c r="H63" s="117">
        <f>_xlfn.XLOOKUP(D63,'Model Modeshare by TAZ'!$A:$A,'Model Modeshare by TAZ'!$J:$J)</f>
        <v>20741.099999999999</v>
      </c>
      <c r="I63" t="s">
        <v>1162</v>
      </c>
      <c r="J63" t="s">
        <v>1162</v>
      </c>
      <c r="K63">
        <v>0</v>
      </c>
      <c r="L63">
        <v>6117498</v>
      </c>
      <c r="M63">
        <v>11186.461663</v>
      </c>
      <c r="N63">
        <v>6117473.7160590002</v>
      </c>
      <c r="O63">
        <f>_xlfn.XLOOKUP(D63, 'Model VMT by TAZ'!A:A, 'Model VMT by TAZ'!J:J, "NO")</f>
        <v>4055</v>
      </c>
      <c r="P63">
        <f>_xlfn.XLOOKUP(D63, 'Model VMT by TAZ'!A:A, 'Model VMT by TAZ'!E:E, "NO")</f>
        <v>98216</v>
      </c>
      <c r="R63">
        <v>53</v>
      </c>
      <c r="S63" t="s">
        <v>1161</v>
      </c>
      <c r="T63">
        <v>2594</v>
      </c>
      <c r="U63">
        <v>1977</v>
      </c>
      <c r="V63" s="136" t="s">
        <v>382</v>
      </c>
      <c r="W63" t="s">
        <v>1162</v>
      </c>
      <c r="X63" t="s">
        <v>1162</v>
      </c>
      <c r="Y63">
        <v>0</v>
      </c>
      <c r="Z63">
        <v>13854759</v>
      </c>
      <c r="AA63">
        <v>19462.948324000001</v>
      </c>
      <c r="AB63">
        <v>13854703.478120999</v>
      </c>
      <c r="AC63">
        <v>4914</v>
      </c>
      <c r="AD63">
        <v>110490.02</v>
      </c>
    </row>
    <row r="64" spans="1:30" x14ac:dyDescent="0.35">
      <c r="A64">
        <v>61</v>
      </c>
      <c r="B64" t="s">
        <v>1161</v>
      </c>
      <c r="C64">
        <v>2633</v>
      </c>
      <c r="D64">
        <v>1916</v>
      </c>
      <c r="E64" s="136" t="str">
        <f>_xlfn.XLOOKUP(D64,'TAZs by City - CCAG Model'!A:A,'TAZs by City - CCAG Model'!B:B,"ERROR")</f>
        <v>South San Francisco</v>
      </c>
      <c r="F64" s="117">
        <f>_xlfn.XLOOKUP(C64,'Model Modeshare by TAZ'!$A:$A,'Model Modeshare by TAZ'!$G:$G)</f>
        <v>269.62</v>
      </c>
      <c r="G64" s="117">
        <f>_xlfn.XLOOKUP(D64,'Model Modeshare by TAZ'!$A:$A,'Model Modeshare by TAZ'!$E:$E)+_xlfn.XLOOKUP(D64,'Model Modeshare by TAZ'!$A:$A,'Model Modeshare by TAZ'!$F:$F)</f>
        <v>11688.8</v>
      </c>
      <c r="H64" s="117">
        <f>_xlfn.XLOOKUP(D64,'Model Modeshare by TAZ'!$A:$A,'Model Modeshare by TAZ'!$J:$J)</f>
        <v>14009.82</v>
      </c>
      <c r="I64" t="s">
        <v>1162</v>
      </c>
      <c r="J64" t="s">
        <v>1162</v>
      </c>
      <c r="K64">
        <v>0</v>
      </c>
      <c r="L64">
        <v>6278589</v>
      </c>
      <c r="M64">
        <v>10192.385299</v>
      </c>
      <c r="N64">
        <v>6278563.5421129996</v>
      </c>
      <c r="O64">
        <f>_xlfn.XLOOKUP(D64, 'Model VMT by TAZ'!A:A, 'Model VMT by TAZ'!J:J, "NO")</f>
        <v>1812</v>
      </c>
      <c r="P64">
        <f>_xlfn.XLOOKUP(D64, 'Model VMT by TAZ'!A:A, 'Model VMT by TAZ'!E:E, "NO")</f>
        <v>80222.37</v>
      </c>
      <c r="R64">
        <v>54</v>
      </c>
      <c r="S64" t="s">
        <v>1161</v>
      </c>
      <c r="T64">
        <v>2595</v>
      </c>
      <c r="U64">
        <v>1976</v>
      </c>
      <c r="V64" s="136" t="s">
        <v>382</v>
      </c>
      <c r="W64" t="s">
        <v>1162</v>
      </c>
      <c r="X64" t="s">
        <v>1162</v>
      </c>
      <c r="Y64">
        <v>0</v>
      </c>
      <c r="Z64">
        <v>5200693</v>
      </c>
      <c r="AA64">
        <v>11340.996077</v>
      </c>
      <c r="AB64">
        <v>5200671.7290540002</v>
      </c>
      <c r="AC64">
        <v>2709</v>
      </c>
      <c r="AD64">
        <v>53981.85</v>
      </c>
    </row>
    <row r="65" spans="1:30" x14ac:dyDescent="0.35">
      <c r="A65">
        <v>62</v>
      </c>
      <c r="B65" t="s">
        <v>1161</v>
      </c>
      <c r="C65">
        <v>2644</v>
      </c>
      <c r="D65">
        <v>1909</v>
      </c>
      <c r="E65" s="136" t="str">
        <f>_xlfn.XLOOKUP(D65,'TAZs by City - CCAG Model'!A:A,'TAZs by City - CCAG Model'!B:B,"ERROR")</f>
        <v>South San Francisco</v>
      </c>
      <c r="F65" s="117">
        <f>_xlfn.XLOOKUP(C65,'Model Modeshare by TAZ'!$A:$A,'Model Modeshare by TAZ'!$G:$G)</f>
        <v>0</v>
      </c>
      <c r="G65" s="117">
        <f>_xlfn.XLOOKUP(D65,'Model Modeshare by TAZ'!$A:$A,'Model Modeshare by TAZ'!$E:$E)+_xlfn.XLOOKUP(D65,'Model Modeshare by TAZ'!$A:$A,'Model Modeshare by TAZ'!$F:$F)</f>
        <v>22879.96</v>
      </c>
      <c r="H65" s="117">
        <f>_xlfn.XLOOKUP(D65,'Model Modeshare by TAZ'!$A:$A,'Model Modeshare by TAZ'!$J:$J)</f>
        <v>27709.52</v>
      </c>
      <c r="I65" t="s">
        <v>1162</v>
      </c>
      <c r="J65" t="s">
        <v>1162</v>
      </c>
      <c r="K65">
        <v>0</v>
      </c>
      <c r="L65">
        <v>19456934</v>
      </c>
      <c r="M65">
        <v>17618.764038000001</v>
      </c>
      <c r="N65">
        <v>19456855.678153999</v>
      </c>
      <c r="O65">
        <f>_xlfn.XLOOKUP(D65, 'Model VMT by TAZ'!A:A, 'Model VMT by TAZ'!J:J, "NO")</f>
        <v>6411</v>
      </c>
      <c r="P65">
        <f>_xlfn.XLOOKUP(D65, 'Model VMT by TAZ'!A:A, 'Model VMT by TAZ'!E:E, "NO")</f>
        <v>137946.37</v>
      </c>
      <c r="R65">
        <v>55</v>
      </c>
      <c r="S65" t="s">
        <v>1161</v>
      </c>
      <c r="T65">
        <v>2596</v>
      </c>
      <c r="U65">
        <v>1975</v>
      </c>
      <c r="V65" s="136" t="s">
        <v>359</v>
      </c>
      <c r="W65" t="s">
        <v>1162</v>
      </c>
      <c r="X65" t="s">
        <v>1162</v>
      </c>
      <c r="Y65">
        <v>0</v>
      </c>
      <c r="Z65">
        <v>11427520</v>
      </c>
      <c r="AA65">
        <v>17078.592231999999</v>
      </c>
      <c r="AB65">
        <v>11427474.105072999</v>
      </c>
      <c r="AC65">
        <v>4193</v>
      </c>
      <c r="AD65">
        <v>140676.29999999999</v>
      </c>
    </row>
    <row r="66" spans="1:30" x14ac:dyDescent="0.35">
      <c r="A66">
        <v>63</v>
      </c>
      <c r="B66" t="s">
        <v>1161</v>
      </c>
      <c r="C66">
        <v>2647</v>
      </c>
      <c r="D66">
        <v>1506</v>
      </c>
      <c r="E66" s="136" t="str">
        <f>_xlfn.XLOOKUP(D66,'TAZs by City - CCAG Model'!A:A,'TAZs by City - CCAG Model'!B:B,"ERROR")</f>
        <v>South San Francisco</v>
      </c>
      <c r="F66" s="117">
        <f>_xlfn.XLOOKUP(C66,'Model Modeshare by TAZ'!$A:$A,'Model Modeshare by TAZ'!$G:$G)</f>
        <v>67.42</v>
      </c>
      <c r="G66" s="117">
        <f>_xlfn.XLOOKUP(D66,'Model Modeshare by TAZ'!$A:$A,'Model Modeshare by TAZ'!$E:$E)+_xlfn.XLOOKUP(D66,'Model Modeshare by TAZ'!$A:$A,'Model Modeshare by TAZ'!$F:$F)</f>
        <v>3941.74</v>
      </c>
      <c r="H66" s="117">
        <f>_xlfn.XLOOKUP(D66,'Model Modeshare by TAZ'!$A:$A,'Model Modeshare by TAZ'!$J:$J)</f>
        <v>4887.82</v>
      </c>
      <c r="I66" t="s">
        <v>1162</v>
      </c>
      <c r="J66" t="s">
        <v>1162</v>
      </c>
      <c r="K66">
        <v>0</v>
      </c>
      <c r="L66">
        <v>2404047</v>
      </c>
      <c r="M66">
        <v>6477.0581099999999</v>
      </c>
      <c r="N66">
        <v>2404037.6520460001</v>
      </c>
      <c r="O66">
        <f>_xlfn.XLOOKUP(D66, 'Model VMT by TAZ'!A:A, 'Model VMT by TAZ'!J:J, "NO")</f>
        <v>1315</v>
      </c>
      <c r="P66">
        <f>_xlfn.XLOOKUP(D66, 'Model VMT by TAZ'!A:A, 'Model VMT by TAZ'!E:E, "NO")</f>
        <v>24596.71</v>
      </c>
      <c r="R66">
        <v>56</v>
      </c>
      <c r="S66" t="s">
        <v>1161</v>
      </c>
      <c r="T66">
        <v>2597</v>
      </c>
      <c r="U66">
        <v>1614</v>
      </c>
      <c r="V66" s="136" t="s">
        <v>359</v>
      </c>
      <c r="W66" t="s">
        <v>1162</v>
      </c>
      <c r="X66" t="s">
        <v>1162</v>
      </c>
      <c r="Y66">
        <v>0</v>
      </c>
      <c r="Z66">
        <v>5188987</v>
      </c>
      <c r="AA66">
        <v>10006.711739</v>
      </c>
      <c r="AB66">
        <v>5188966.3534749998</v>
      </c>
      <c r="AC66">
        <v>670</v>
      </c>
      <c r="AD66">
        <v>15227.12</v>
      </c>
    </row>
    <row r="67" spans="1:30" x14ac:dyDescent="0.35">
      <c r="A67">
        <v>64</v>
      </c>
      <c r="B67" t="s">
        <v>1161</v>
      </c>
      <c r="C67">
        <v>2648</v>
      </c>
      <c r="D67">
        <v>1594</v>
      </c>
      <c r="E67" s="136" t="str">
        <f>_xlfn.XLOOKUP(D67,'TAZs by City - CCAG Model'!A:A,'TAZs by City - CCAG Model'!B:B,"ERROR")</f>
        <v>South San Francisco</v>
      </c>
      <c r="F67" s="117">
        <f>_xlfn.XLOOKUP(C67,'Model Modeshare by TAZ'!$A:$A,'Model Modeshare by TAZ'!$G:$G)</f>
        <v>99.44</v>
      </c>
      <c r="G67" s="117">
        <f>_xlfn.XLOOKUP(D67,'Model Modeshare by TAZ'!$A:$A,'Model Modeshare by TAZ'!$E:$E)+_xlfn.XLOOKUP(D67,'Model Modeshare by TAZ'!$A:$A,'Model Modeshare by TAZ'!$F:$F)</f>
        <v>12845.740000000002</v>
      </c>
      <c r="H67" s="117">
        <f>_xlfn.XLOOKUP(D67,'Model Modeshare by TAZ'!$A:$A,'Model Modeshare by TAZ'!$J:$J)</f>
        <v>16311.16</v>
      </c>
      <c r="I67" t="s">
        <v>1162</v>
      </c>
      <c r="J67" t="s">
        <v>1162</v>
      </c>
      <c r="K67">
        <v>0</v>
      </c>
      <c r="L67">
        <v>2996990</v>
      </c>
      <c r="M67">
        <v>7191.9482850000004</v>
      </c>
      <c r="N67">
        <v>2996977.735198</v>
      </c>
      <c r="O67">
        <f>_xlfn.XLOOKUP(D67, 'Model VMT by TAZ'!A:A, 'Model VMT by TAZ'!J:J, "NO")</f>
        <v>3885</v>
      </c>
      <c r="P67">
        <f>_xlfn.XLOOKUP(D67, 'Model VMT by TAZ'!A:A, 'Model VMT by TAZ'!E:E, "NO")</f>
        <v>79157.16</v>
      </c>
      <c r="R67">
        <v>97</v>
      </c>
      <c r="S67" t="s">
        <v>1161</v>
      </c>
      <c r="T67">
        <v>2717</v>
      </c>
      <c r="U67">
        <v>1538</v>
      </c>
      <c r="V67" s="136" t="s">
        <v>382</v>
      </c>
      <c r="W67" t="s">
        <v>1162</v>
      </c>
      <c r="X67" t="s">
        <v>1162</v>
      </c>
      <c r="Y67">
        <v>0</v>
      </c>
      <c r="Z67">
        <v>3470791</v>
      </c>
      <c r="AA67">
        <v>7711.1737069999999</v>
      </c>
      <c r="AB67">
        <v>3470776.8947879998</v>
      </c>
      <c r="AC67">
        <v>2741</v>
      </c>
      <c r="AD67">
        <v>82390.179999999993</v>
      </c>
    </row>
    <row r="68" spans="1:30" x14ac:dyDescent="0.35">
      <c r="A68">
        <v>65</v>
      </c>
      <c r="B68" t="s">
        <v>1161</v>
      </c>
      <c r="C68">
        <v>2652</v>
      </c>
      <c r="D68">
        <v>1643</v>
      </c>
      <c r="E68" s="136" t="str">
        <f>_xlfn.XLOOKUP(D68,'TAZs by City - CCAG Model'!A:A,'TAZs by City - CCAG Model'!B:B,"ERROR")</f>
        <v>South San Francisco</v>
      </c>
      <c r="F68" s="117">
        <f>_xlfn.XLOOKUP(C68,'Model Modeshare by TAZ'!$A:$A,'Model Modeshare by TAZ'!$G:$G)</f>
        <v>1713.4</v>
      </c>
      <c r="G68" s="117">
        <f>_xlfn.XLOOKUP(D68,'Model Modeshare by TAZ'!$A:$A,'Model Modeshare by TAZ'!$E:$E)+_xlfn.XLOOKUP(D68,'Model Modeshare by TAZ'!$A:$A,'Model Modeshare by TAZ'!$F:$F)</f>
        <v>25474.12</v>
      </c>
      <c r="H68" s="117">
        <f>_xlfn.XLOOKUP(D68,'Model Modeshare by TAZ'!$A:$A,'Model Modeshare by TAZ'!$J:$J)</f>
        <v>30823.9</v>
      </c>
      <c r="I68" t="s">
        <v>1162</v>
      </c>
      <c r="J68" t="s">
        <v>1162</v>
      </c>
      <c r="K68">
        <v>0</v>
      </c>
      <c r="L68">
        <v>10612388</v>
      </c>
      <c r="M68">
        <v>16297.028359</v>
      </c>
      <c r="N68">
        <v>10612345.124638001</v>
      </c>
      <c r="O68">
        <f>_xlfn.XLOOKUP(D68, 'Model VMT by TAZ'!A:A, 'Model VMT by TAZ'!J:J, "NO")</f>
        <v>3734</v>
      </c>
      <c r="P68">
        <f>_xlfn.XLOOKUP(D68, 'Model VMT by TAZ'!A:A, 'Model VMT by TAZ'!E:E, "NO")</f>
        <v>168070.19</v>
      </c>
      <c r="R68">
        <v>98</v>
      </c>
      <c r="S68" t="s">
        <v>1161</v>
      </c>
      <c r="T68">
        <v>2718</v>
      </c>
      <c r="U68">
        <v>1540</v>
      </c>
      <c r="V68" s="136" t="s">
        <v>382</v>
      </c>
      <c r="W68" t="s">
        <v>1162</v>
      </c>
      <c r="X68" t="s">
        <v>1162</v>
      </c>
      <c r="Y68">
        <v>0</v>
      </c>
      <c r="Z68">
        <v>1942320</v>
      </c>
      <c r="AA68">
        <v>7860.3532949999999</v>
      </c>
      <c r="AB68">
        <v>1942312.195272</v>
      </c>
      <c r="AC68">
        <v>988</v>
      </c>
      <c r="AD68">
        <v>37084.92</v>
      </c>
    </row>
    <row r="69" spans="1:30" x14ac:dyDescent="0.35">
      <c r="A69">
        <v>66</v>
      </c>
      <c r="B69" t="s">
        <v>1161</v>
      </c>
      <c r="C69">
        <v>2653</v>
      </c>
      <c r="D69">
        <v>1507</v>
      </c>
      <c r="E69" s="136" t="str">
        <f>_xlfn.XLOOKUP(D69,'TAZs by City - CCAG Model'!A:A,'TAZs by City - CCAG Model'!B:B,"ERROR")</f>
        <v>South San Francisco</v>
      </c>
      <c r="F69" s="117">
        <f>_xlfn.XLOOKUP(C69,'Model Modeshare by TAZ'!$A:$A,'Model Modeshare by TAZ'!$G:$G)</f>
        <v>890.8</v>
      </c>
      <c r="G69" s="117">
        <f>_xlfn.XLOOKUP(D69,'Model Modeshare by TAZ'!$A:$A,'Model Modeshare by TAZ'!$E:$E)+_xlfn.XLOOKUP(D69,'Model Modeshare by TAZ'!$A:$A,'Model Modeshare by TAZ'!$F:$F)</f>
        <v>4255</v>
      </c>
      <c r="H69" s="117">
        <f>_xlfn.XLOOKUP(D69,'Model Modeshare by TAZ'!$A:$A,'Model Modeshare by TAZ'!$J:$J)</f>
        <v>4954.96</v>
      </c>
      <c r="I69" t="s">
        <v>1162</v>
      </c>
      <c r="J69" t="s">
        <v>1162</v>
      </c>
      <c r="K69">
        <v>0</v>
      </c>
      <c r="L69">
        <v>1936115</v>
      </c>
      <c r="M69">
        <v>5722.9587929999998</v>
      </c>
      <c r="N69">
        <v>1936107.610388</v>
      </c>
      <c r="O69">
        <f>_xlfn.XLOOKUP(D69, 'Model VMT by TAZ'!A:A, 'Model VMT by TAZ'!J:J, "NO")</f>
        <v>48</v>
      </c>
      <c r="P69">
        <f>_xlfn.XLOOKUP(D69, 'Model VMT by TAZ'!A:A, 'Model VMT by TAZ'!E:E, "NO")</f>
        <v>37477.97</v>
      </c>
      <c r="R69">
        <v>99</v>
      </c>
      <c r="S69" t="s">
        <v>1161</v>
      </c>
      <c r="T69">
        <v>2719</v>
      </c>
      <c r="U69">
        <v>1611</v>
      </c>
      <c r="V69" s="136" t="s">
        <v>382</v>
      </c>
      <c r="W69" t="s">
        <v>1162</v>
      </c>
      <c r="X69" t="s">
        <v>1162</v>
      </c>
      <c r="Y69">
        <v>0</v>
      </c>
      <c r="Z69">
        <v>5584009</v>
      </c>
      <c r="AA69">
        <v>9496.0812979999992</v>
      </c>
      <c r="AB69">
        <v>5583986.2441729996</v>
      </c>
      <c r="AC69">
        <v>4079</v>
      </c>
      <c r="AD69">
        <v>113930</v>
      </c>
    </row>
    <row r="70" spans="1:30" x14ac:dyDescent="0.35">
      <c r="A70">
        <v>67</v>
      </c>
      <c r="B70" t="s">
        <v>1161</v>
      </c>
      <c r="C70">
        <v>2654</v>
      </c>
      <c r="D70">
        <v>1934</v>
      </c>
      <c r="E70" s="136" t="str">
        <f>_xlfn.XLOOKUP(D70,'TAZs by City - CCAG Model'!A:A,'TAZs by City - CCAG Model'!B:B,"ERROR")</f>
        <v>San Bruno</v>
      </c>
      <c r="F70" s="117">
        <f>_xlfn.XLOOKUP(C70,'Model Modeshare by TAZ'!$A:$A,'Model Modeshare by TAZ'!$G:$G)</f>
        <v>722.74</v>
      </c>
      <c r="G70" s="117">
        <f>_xlfn.XLOOKUP(D70,'Model Modeshare by TAZ'!$A:$A,'Model Modeshare by TAZ'!$E:$E)+_xlfn.XLOOKUP(D70,'Model Modeshare by TAZ'!$A:$A,'Model Modeshare by TAZ'!$F:$F)</f>
        <v>40193.199999999997</v>
      </c>
      <c r="H70" s="117">
        <f>_xlfn.XLOOKUP(D70,'Model Modeshare by TAZ'!$A:$A,'Model Modeshare by TAZ'!$J:$J)</f>
        <v>46633.94</v>
      </c>
      <c r="I70" t="s">
        <v>1162</v>
      </c>
      <c r="J70" t="s">
        <v>1162</v>
      </c>
      <c r="K70">
        <v>0</v>
      </c>
      <c r="L70">
        <v>4524836</v>
      </c>
      <c r="M70">
        <v>9459.6854820000008</v>
      </c>
      <c r="N70">
        <v>4524818.3076990005</v>
      </c>
      <c r="O70">
        <f>_xlfn.XLOOKUP(D70, 'Model VMT by TAZ'!A:A, 'Model VMT by TAZ'!J:J, "NO")</f>
        <v>15</v>
      </c>
      <c r="P70">
        <f>_xlfn.XLOOKUP(D70, 'Model VMT by TAZ'!A:A, 'Model VMT by TAZ'!E:E, "NO")</f>
        <v>259642.16</v>
      </c>
      <c r="R70">
        <v>100</v>
      </c>
      <c r="S70" t="s">
        <v>1161</v>
      </c>
      <c r="T70">
        <v>2720</v>
      </c>
      <c r="U70">
        <v>1537</v>
      </c>
      <c r="V70" s="136" t="s">
        <v>382</v>
      </c>
      <c r="W70" t="s">
        <v>1162</v>
      </c>
      <c r="X70" t="s">
        <v>1162</v>
      </c>
      <c r="Y70">
        <v>0</v>
      </c>
      <c r="Z70">
        <v>4050519</v>
      </c>
      <c r="AA70">
        <v>8219.9489749999993</v>
      </c>
      <c r="AB70">
        <v>4050502.7906689998</v>
      </c>
      <c r="AC70">
        <v>1904</v>
      </c>
      <c r="AD70">
        <v>39518.160000000003</v>
      </c>
    </row>
    <row r="71" spans="1:30" x14ac:dyDescent="0.35">
      <c r="A71">
        <v>68</v>
      </c>
      <c r="B71" t="s">
        <v>1161</v>
      </c>
      <c r="C71">
        <v>2657</v>
      </c>
      <c r="D71">
        <v>1525</v>
      </c>
      <c r="E71" s="136" t="str">
        <f>_xlfn.XLOOKUP(D71,'TAZs by City - CCAG Model'!A:A,'TAZs by City - CCAG Model'!B:B,"ERROR")</f>
        <v>San Bruno</v>
      </c>
      <c r="F71" s="117">
        <f>_xlfn.XLOOKUP(C71,'Model Modeshare by TAZ'!$A:$A,'Model Modeshare by TAZ'!$G:$G)</f>
        <v>571.28</v>
      </c>
      <c r="G71" s="117">
        <f>_xlfn.XLOOKUP(D71,'Model Modeshare by TAZ'!$A:$A,'Model Modeshare by TAZ'!$E:$E)+_xlfn.XLOOKUP(D71,'Model Modeshare by TAZ'!$A:$A,'Model Modeshare by TAZ'!$F:$F)</f>
        <v>5152.7999999999993</v>
      </c>
      <c r="H71" s="117">
        <f>_xlfn.XLOOKUP(D71,'Model Modeshare by TAZ'!$A:$A,'Model Modeshare by TAZ'!$J:$J)</f>
        <v>6122.78</v>
      </c>
      <c r="I71" t="s">
        <v>1162</v>
      </c>
      <c r="J71" t="s">
        <v>1162</v>
      </c>
      <c r="K71">
        <v>0</v>
      </c>
      <c r="L71">
        <v>3329192</v>
      </c>
      <c r="M71">
        <v>10173.796066000001</v>
      </c>
      <c r="N71">
        <v>3329178.9766370002</v>
      </c>
      <c r="O71">
        <f>_xlfn.XLOOKUP(D71, 'Model VMT by TAZ'!A:A, 'Model VMT by TAZ'!J:J, "NO")</f>
        <v>1255</v>
      </c>
      <c r="P71">
        <f>_xlfn.XLOOKUP(D71, 'Model VMT by TAZ'!A:A, 'Model VMT by TAZ'!E:E, "NO")</f>
        <v>30616.799999999999</v>
      </c>
      <c r="R71">
        <v>101</v>
      </c>
      <c r="S71" t="s">
        <v>1161</v>
      </c>
      <c r="T71">
        <v>2721</v>
      </c>
      <c r="U71">
        <v>1536</v>
      </c>
      <c r="V71" s="136" t="s">
        <v>382</v>
      </c>
      <c r="W71" t="s">
        <v>1162</v>
      </c>
      <c r="X71" t="s">
        <v>1162</v>
      </c>
      <c r="Y71">
        <v>0</v>
      </c>
      <c r="Z71">
        <v>2747898</v>
      </c>
      <c r="AA71">
        <v>7739.0541949999997</v>
      </c>
      <c r="AB71">
        <v>2747886.6132260002</v>
      </c>
      <c r="AC71">
        <v>1192</v>
      </c>
      <c r="AD71">
        <v>36792.559999999998</v>
      </c>
    </row>
    <row r="72" spans="1:30" x14ac:dyDescent="0.35">
      <c r="A72">
        <v>69</v>
      </c>
      <c r="B72" t="s">
        <v>1161</v>
      </c>
      <c r="C72">
        <v>2658</v>
      </c>
      <c r="D72">
        <v>1650</v>
      </c>
      <c r="E72" s="136" t="str">
        <f>_xlfn.XLOOKUP(D72,'TAZs by City - CCAG Model'!A:A,'TAZs by City - CCAG Model'!B:B,"ERROR")</f>
        <v>Millbrae</v>
      </c>
      <c r="F72" s="117">
        <f>_xlfn.XLOOKUP(C72,'Model Modeshare by TAZ'!$A:$A,'Model Modeshare by TAZ'!$G:$G)</f>
        <v>77.180000000000007</v>
      </c>
      <c r="G72" s="117">
        <f>_xlfn.XLOOKUP(D72,'Model Modeshare by TAZ'!$A:$A,'Model Modeshare by TAZ'!$E:$E)+_xlfn.XLOOKUP(D72,'Model Modeshare by TAZ'!$A:$A,'Model Modeshare by TAZ'!$F:$F)</f>
        <v>10124.34</v>
      </c>
      <c r="H72" s="117">
        <f>_xlfn.XLOOKUP(D72,'Model Modeshare by TAZ'!$A:$A,'Model Modeshare by TAZ'!$J:$J)</f>
        <v>11846.1</v>
      </c>
      <c r="I72" t="s">
        <v>1162</v>
      </c>
      <c r="J72" t="s">
        <v>1162</v>
      </c>
      <c r="K72">
        <v>0</v>
      </c>
      <c r="L72">
        <v>3037322</v>
      </c>
      <c r="M72">
        <v>10169.095488000001</v>
      </c>
      <c r="N72">
        <v>3037309.4708779999</v>
      </c>
      <c r="O72">
        <f>_xlfn.XLOOKUP(D72, 'Model VMT by TAZ'!A:A, 'Model VMT by TAZ'!J:J, "NO")</f>
        <v>1641</v>
      </c>
      <c r="P72">
        <f>_xlfn.XLOOKUP(D72, 'Model VMT by TAZ'!A:A, 'Model VMT by TAZ'!E:E, "NO")</f>
        <v>60735.57</v>
      </c>
      <c r="R72">
        <v>102</v>
      </c>
      <c r="S72" t="s">
        <v>1161</v>
      </c>
      <c r="T72">
        <v>2722</v>
      </c>
      <c r="U72">
        <v>1610</v>
      </c>
      <c r="V72" s="136" t="s">
        <v>382</v>
      </c>
      <c r="W72" t="s">
        <v>1162</v>
      </c>
      <c r="X72" t="s">
        <v>1162</v>
      </c>
      <c r="Y72">
        <v>0</v>
      </c>
      <c r="Z72">
        <v>3317482</v>
      </c>
      <c r="AA72">
        <v>9635.9564279999995</v>
      </c>
      <c r="AB72">
        <v>3317468.8784340001</v>
      </c>
      <c r="AC72">
        <v>1893</v>
      </c>
      <c r="AD72">
        <v>74393.61</v>
      </c>
    </row>
    <row r="73" spans="1:30" x14ac:dyDescent="0.35">
      <c r="A73">
        <v>70</v>
      </c>
      <c r="B73" t="s">
        <v>1161</v>
      </c>
      <c r="C73">
        <v>2659</v>
      </c>
      <c r="D73">
        <v>1651</v>
      </c>
      <c r="E73" s="136" t="str">
        <f>_xlfn.XLOOKUP(D73,'TAZs by City - CCAG Model'!A:A,'TAZs by City - CCAG Model'!B:B,"ERROR")</f>
        <v>Millbrae</v>
      </c>
      <c r="F73" s="117">
        <f>_xlfn.XLOOKUP(C73,'Model Modeshare by TAZ'!$A:$A,'Model Modeshare by TAZ'!$G:$G)</f>
        <v>834.38</v>
      </c>
      <c r="G73" s="117">
        <f>_xlfn.XLOOKUP(D73,'Model Modeshare by TAZ'!$A:$A,'Model Modeshare by TAZ'!$E:$E)+_xlfn.XLOOKUP(D73,'Model Modeshare by TAZ'!$A:$A,'Model Modeshare by TAZ'!$F:$F)</f>
        <v>22715.279999999999</v>
      </c>
      <c r="H73" s="117">
        <f>_xlfn.XLOOKUP(D73,'Model Modeshare by TAZ'!$A:$A,'Model Modeshare by TAZ'!$J:$J)</f>
        <v>27107.18</v>
      </c>
      <c r="I73" t="s">
        <v>1162</v>
      </c>
      <c r="J73" t="s">
        <v>1162</v>
      </c>
      <c r="K73">
        <v>0</v>
      </c>
      <c r="L73">
        <v>6077027</v>
      </c>
      <c r="M73">
        <v>13605.706652000001</v>
      </c>
      <c r="N73">
        <v>6077002.2390010003</v>
      </c>
      <c r="O73">
        <f>_xlfn.XLOOKUP(D73, 'Model VMT by TAZ'!A:A, 'Model VMT by TAZ'!J:J, "NO")</f>
        <v>1672</v>
      </c>
      <c r="P73">
        <f>_xlfn.XLOOKUP(D73, 'Model VMT by TAZ'!A:A, 'Model VMT by TAZ'!E:E, "NO")</f>
        <v>135024.21</v>
      </c>
      <c r="R73">
        <v>103</v>
      </c>
      <c r="S73" t="s">
        <v>1161</v>
      </c>
      <c r="T73">
        <v>2723</v>
      </c>
      <c r="U73">
        <v>1545</v>
      </c>
      <c r="V73" s="136" t="s">
        <v>382</v>
      </c>
      <c r="W73" t="s">
        <v>1162</v>
      </c>
      <c r="X73" t="s">
        <v>1162</v>
      </c>
      <c r="Y73">
        <v>0</v>
      </c>
      <c r="Z73">
        <v>7025361</v>
      </c>
      <c r="AA73">
        <v>10664.683321</v>
      </c>
      <c r="AB73">
        <v>7025332.4708000002</v>
      </c>
      <c r="AC73">
        <v>2508</v>
      </c>
      <c r="AD73">
        <v>73696.11</v>
      </c>
    </row>
    <row r="74" spans="1:30" x14ac:dyDescent="0.35">
      <c r="A74">
        <v>71</v>
      </c>
      <c r="B74" t="s">
        <v>1161</v>
      </c>
      <c r="C74">
        <v>2660</v>
      </c>
      <c r="D74">
        <v>1603</v>
      </c>
      <c r="E74" s="136" t="str">
        <f>_xlfn.XLOOKUP(D74,'TAZs by City - CCAG Model'!A:A,'TAZs by City - CCAG Model'!B:B,"ERROR")</f>
        <v>Millbrae</v>
      </c>
      <c r="F74" s="117">
        <f>_xlfn.XLOOKUP(C74,'Model Modeshare by TAZ'!$A:$A,'Model Modeshare by TAZ'!$G:$G)</f>
        <v>0</v>
      </c>
      <c r="G74" s="117">
        <f>_xlfn.XLOOKUP(D74,'Model Modeshare by TAZ'!$A:$A,'Model Modeshare by TAZ'!$E:$E)+_xlfn.XLOOKUP(D74,'Model Modeshare by TAZ'!$A:$A,'Model Modeshare by TAZ'!$F:$F)</f>
        <v>1692.9</v>
      </c>
      <c r="H74" s="117">
        <f>_xlfn.XLOOKUP(D74,'Model Modeshare by TAZ'!$A:$A,'Model Modeshare by TAZ'!$J:$J)</f>
        <v>2037.58</v>
      </c>
      <c r="I74" t="s">
        <v>1162</v>
      </c>
      <c r="J74" t="s">
        <v>1162</v>
      </c>
      <c r="K74">
        <v>0</v>
      </c>
      <c r="L74">
        <v>2714225</v>
      </c>
      <c r="M74">
        <v>7084.9141049999998</v>
      </c>
      <c r="N74">
        <v>2714213.7152320002</v>
      </c>
      <c r="O74">
        <f>_xlfn.XLOOKUP(D74, 'Model VMT by TAZ'!A:A, 'Model VMT by TAZ'!J:J, "NO")</f>
        <v>596</v>
      </c>
      <c r="P74">
        <f>_xlfn.XLOOKUP(D74, 'Model VMT by TAZ'!A:A, 'Model VMT by TAZ'!E:E, "NO")</f>
        <v>11121.92</v>
      </c>
      <c r="R74">
        <v>104</v>
      </c>
      <c r="S74" t="s">
        <v>1161</v>
      </c>
      <c r="T74">
        <v>2724</v>
      </c>
      <c r="U74">
        <v>1547</v>
      </c>
      <c r="V74" s="136" t="s">
        <v>382</v>
      </c>
      <c r="W74" t="s">
        <v>1162</v>
      </c>
      <c r="X74" t="s">
        <v>1162</v>
      </c>
      <c r="Y74">
        <v>0</v>
      </c>
      <c r="Z74">
        <v>5755123</v>
      </c>
      <c r="AA74">
        <v>10357.083073</v>
      </c>
      <c r="AB74">
        <v>5755100.4733210001</v>
      </c>
      <c r="AC74">
        <v>2545</v>
      </c>
      <c r="AD74">
        <v>123848.92</v>
      </c>
    </row>
    <row r="75" spans="1:30" x14ac:dyDescent="0.35">
      <c r="A75">
        <v>72</v>
      </c>
      <c r="B75" t="s">
        <v>1161</v>
      </c>
      <c r="C75">
        <v>2661</v>
      </c>
      <c r="D75">
        <v>1527</v>
      </c>
      <c r="E75" s="136" t="str">
        <f>_xlfn.XLOOKUP(D75,'TAZs by City - CCAG Model'!A:A,'TAZs by City - CCAG Model'!B:B,"ERROR")</f>
        <v>Millbrae</v>
      </c>
      <c r="F75" s="117">
        <f>_xlfn.XLOOKUP(C75,'Model Modeshare by TAZ'!$A:$A,'Model Modeshare by TAZ'!$G:$G)</f>
        <v>380.42</v>
      </c>
      <c r="G75" s="117">
        <f>_xlfn.XLOOKUP(D75,'Model Modeshare by TAZ'!$A:$A,'Model Modeshare by TAZ'!$E:$E)+_xlfn.XLOOKUP(D75,'Model Modeshare by TAZ'!$A:$A,'Model Modeshare by TAZ'!$F:$F)</f>
        <v>1378.02</v>
      </c>
      <c r="H75" s="117">
        <f>_xlfn.XLOOKUP(D75,'Model Modeshare by TAZ'!$A:$A,'Model Modeshare by TAZ'!$J:$J)</f>
        <v>1492.6</v>
      </c>
      <c r="I75" t="s">
        <v>1162</v>
      </c>
      <c r="J75" t="s">
        <v>1162</v>
      </c>
      <c r="K75">
        <v>0</v>
      </c>
      <c r="L75">
        <v>2363706</v>
      </c>
      <c r="M75">
        <v>6817.3090990000001</v>
      </c>
      <c r="N75">
        <v>2363696.3386229998</v>
      </c>
      <c r="O75">
        <f>_xlfn.XLOOKUP(D75, 'Model VMT by TAZ'!A:A, 'Model VMT by TAZ'!J:J, "NO")</f>
        <v>47</v>
      </c>
      <c r="P75">
        <f>_xlfn.XLOOKUP(D75, 'Model VMT by TAZ'!A:A, 'Model VMT by TAZ'!E:E, "NO")</f>
        <v>10630.82</v>
      </c>
      <c r="R75">
        <v>105</v>
      </c>
      <c r="S75" t="s">
        <v>1161</v>
      </c>
      <c r="T75">
        <v>2725</v>
      </c>
      <c r="U75">
        <v>1546</v>
      </c>
      <c r="V75" s="136" t="s">
        <v>382</v>
      </c>
      <c r="W75" t="s">
        <v>1162</v>
      </c>
      <c r="X75" t="s">
        <v>1162</v>
      </c>
      <c r="Y75">
        <v>0</v>
      </c>
      <c r="Z75">
        <v>4812288</v>
      </c>
      <c r="AA75">
        <v>11058.048036</v>
      </c>
      <c r="AB75">
        <v>4812268.2887260001</v>
      </c>
      <c r="AC75">
        <v>1521</v>
      </c>
      <c r="AD75">
        <v>99569.47</v>
      </c>
    </row>
    <row r="76" spans="1:30" x14ac:dyDescent="0.35">
      <c r="A76">
        <v>73</v>
      </c>
      <c r="B76" t="s">
        <v>1161</v>
      </c>
      <c r="C76">
        <v>2662</v>
      </c>
      <c r="D76">
        <v>1524</v>
      </c>
      <c r="E76" s="136" t="str">
        <f>_xlfn.XLOOKUP(D76,'TAZs by City - CCAG Model'!A:A,'TAZs by City - CCAG Model'!B:B,"ERROR")</f>
        <v>San Bruno</v>
      </c>
      <c r="F76" s="117">
        <f>_xlfn.XLOOKUP(C76,'Model Modeshare by TAZ'!$A:$A,'Model Modeshare by TAZ'!$G:$G)</f>
        <v>429.84</v>
      </c>
      <c r="G76" s="117">
        <f>_xlfn.XLOOKUP(D76,'Model Modeshare by TAZ'!$A:$A,'Model Modeshare by TAZ'!$E:$E)+_xlfn.XLOOKUP(D76,'Model Modeshare by TAZ'!$A:$A,'Model Modeshare by TAZ'!$F:$F)</f>
        <v>6166.4</v>
      </c>
      <c r="H76" s="117">
        <f>_xlfn.XLOOKUP(D76,'Model Modeshare by TAZ'!$A:$A,'Model Modeshare by TAZ'!$J:$J)</f>
        <v>7658.82</v>
      </c>
      <c r="I76" t="s">
        <v>1162</v>
      </c>
      <c r="J76" t="s">
        <v>1162</v>
      </c>
      <c r="K76">
        <v>0</v>
      </c>
      <c r="L76">
        <v>2540662</v>
      </c>
      <c r="M76">
        <v>6259.4063079999996</v>
      </c>
      <c r="N76">
        <v>2540651.5434269998</v>
      </c>
      <c r="O76">
        <f>_xlfn.XLOOKUP(D76, 'Model VMT by TAZ'!A:A, 'Model VMT by TAZ'!J:J, "NO")</f>
        <v>1680</v>
      </c>
      <c r="P76">
        <f>_xlfn.XLOOKUP(D76, 'Model VMT by TAZ'!A:A, 'Model VMT by TAZ'!E:E, "NO")</f>
        <v>37847.75</v>
      </c>
      <c r="R76">
        <v>116</v>
      </c>
      <c r="S76" t="s">
        <v>1161</v>
      </c>
      <c r="T76">
        <v>2775</v>
      </c>
      <c r="U76">
        <v>1986</v>
      </c>
      <c r="V76" s="136" t="s">
        <v>359</v>
      </c>
      <c r="W76" t="s">
        <v>1162</v>
      </c>
      <c r="X76" t="s">
        <v>1162</v>
      </c>
      <c r="Y76">
        <v>0</v>
      </c>
      <c r="Z76">
        <v>10474814</v>
      </c>
      <c r="AA76">
        <v>16200.581681</v>
      </c>
      <c r="AB76">
        <v>10474771.747686001</v>
      </c>
      <c r="AC76">
        <v>3250</v>
      </c>
      <c r="AD76">
        <v>81087.149999999994</v>
      </c>
    </row>
    <row r="77" spans="1:30" x14ac:dyDescent="0.35">
      <c r="A77">
        <v>74</v>
      </c>
      <c r="B77" t="s">
        <v>1161</v>
      </c>
      <c r="C77">
        <v>2663</v>
      </c>
      <c r="D77">
        <v>1600</v>
      </c>
      <c r="E77" s="136" t="str">
        <f>_xlfn.XLOOKUP(D77,'TAZs by City - CCAG Model'!A:A,'TAZs by City - CCAG Model'!B:B,"ERROR")</f>
        <v>San Bruno</v>
      </c>
      <c r="F77" s="117">
        <f>_xlfn.XLOOKUP(C77,'Model Modeshare by TAZ'!$A:$A,'Model Modeshare by TAZ'!$G:$G)</f>
        <v>1136.0999999999999</v>
      </c>
      <c r="G77" s="117">
        <f>_xlfn.XLOOKUP(D77,'Model Modeshare by TAZ'!$A:$A,'Model Modeshare by TAZ'!$E:$E)+_xlfn.XLOOKUP(D77,'Model Modeshare by TAZ'!$A:$A,'Model Modeshare by TAZ'!$F:$F)</f>
        <v>16079.760000000002</v>
      </c>
      <c r="H77" s="117">
        <f>_xlfn.XLOOKUP(D77,'Model Modeshare by TAZ'!$A:$A,'Model Modeshare by TAZ'!$J:$J)</f>
        <v>19112.560000000001</v>
      </c>
      <c r="I77" t="s">
        <v>1162</v>
      </c>
      <c r="J77" t="s">
        <v>1162</v>
      </c>
      <c r="K77">
        <v>0</v>
      </c>
      <c r="L77">
        <v>2748815</v>
      </c>
      <c r="M77">
        <v>8269.2172609999998</v>
      </c>
      <c r="N77">
        <v>2748804.473979</v>
      </c>
      <c r="O77">
        <f>_xlfn.XLOOKUP(D77, 'Model VMT by TAZ'!A:A, 'Model VMT by TAZ'!J:J, "NO")</f>
        <v>1771</v>
      </c>
      <c r="P77">
        <f>_xlfn.XLOOKUP(D77, 'Model VMT by TAZ'!A:A, 'Model VMT by TAZ'!E:E, "NO")</f>
        <v>107162.11</v>
      </c>
      <c r="R77">
        <v>117</v>
      </c>
      <c r="S77" t="s">
        <v>1161</v>
      </c>
      <c r="T77">
        <v>2776</v>
      </c>
      <c r="U77">
        <v>1657</v>
      </c>
      <c r="V77" s="136" t="s">
        <v>359</v>
      </c>
      <c r="W77" t="s">
        <v>1162</v>
      </c>
      <c r="X77" t="s">
        <v>1162</v>
      </c>
      <c r="Y77">
        <v>0</v>
      </c>
      <c r="Z77">
        <v>7033142</v>
      </c>
      <c r="AA77">
        <v>13093.572538</v>
      </c>
      <c r="AB77">
        <v>7033114.151389</v>
      </c>
      <c r="AC77">
        <v>2288</v>
      </c>
      <c r="AD77">
        <v>70504.86</v>
      </c>
    </row>
    <row r="78" spans="1:30" x14ac:dyDescent="0.35">
      <c r="A78">
        <v>75</v>
      </c>
      <c r="B78" t="s">
        <v>1161</v>
      </c>
      <c r="C78">
        <v>2664</v>
      </c>
      <c r="D78">
        <v>1937</v>
      </c>
      <c r="E78" s="136" t="str">
        <f>_xlfn.XLOOKUP(D78,'TAZs by City - CCAG Model'!A:A,'TAZs by City - CCAG Model'!B:B,"ERROR")</f>
        <v>San Bruno</v>
      </c>
      <c r="F78" s="117">
        <f>_xlfn.XLOOKUP(C78,'Model Modeshare by TAZ'!$A:$A,'Model Modeshare by TAZ'!$G:$G)</f>
        <v>1662.56</v>
      </c>
      <c r="G78" s="117">
        <f>_xlfn.XLOOKUP(D78,'Model Modeshare by TAZ'!$A:$A,'Model Modeshare by TAZ'!$E:$E)+_xlfn.XLOOKUP(D78,'Model Modeshare by TAZ'!$A:$A,'Model Modeshare by TAZ'!$F:$F)</f>
        <v>10471.5</v>
      </c>
      <c r="H78" s="117">
        <f>_xlfn.XLOOKUP(D78,'Model Modeshare by TAZ'!$A:$A,'Model Modeshare by TAZ'!$J:$J)</f>
        <v>12847.24</v>
      </c>
      <c r="I78" t="s">
        <v>1162</v>
      </c>
      <c r="J78" t="s">
        <v>1162</v>
      </c>
      <c r="K78">
        <v>0</v>
      </c>
      <c r="L78">
        <v>2978035</v>
      </c>
      <c r="M78">
        <v>8507.4351709999992</v>
      </c>
      <c r="N78">
        <v>2978023.2106599999</v>
      </c>
      <c r="O78">
        <f>_xlfn.XLOOKUP(D78, 'Model VMT by TAZ'!A:A, 'Model VMT by TAZ'!J:J, "NO")</f>
        <v>2885</v>
      </c>
      <c r="P78">
        <f>_xlfn.XLOOKUP(D78, 'Model VMT by TAZ'!A:A, 'Model VMT by TAZ'!E:E, "NO")</f>
        <v>65605.100000000006</v>
      </c>
      <c r="R78">
        <v>118</v>
      </c>
      <c r="S78" t="s">
        <v>1161</v>
      </c>
      <c r="T78">
        <v>2777</v>
      </c>
      <c r="U78">
        <v>1551</v>
      </c>
      <c r="V78" s="136" t="s">
        <v>359</v>
      </c>
      <c r="W78" t="s">
        <v>1162</v>
      </c>
      <c r="X78" t="s">
        <v>1162</v>
      </c>
      <c r="Y78">
        <v>0</v>
      </c>
      <c r="Z78">
        <v>2780369</v>
      </c>
      <c r="AA78">
        <v>9940.7143730000007</v>
      </c>
      <c r="AB78">
        <v>2780358.0578000001</v>
      </c>
      <c r="AC78">
        <v>650</v>
      </c>
      <c r="AD78">
        <v>28313.52</v>
      </c>
    </row>
    <row r="79" spans="1:30" x14ac:dyDescent="0.35">
      <c r="A79">
        <v>76</v>
      </c>
      <c r="B79" t="s">
        <v>1161</v>
      </c>
      <c r="C79">
        <v>2666</v>
      </c>
      <c r="D79">
        <v>1523</v>
      </c>
      <c r="E79" s="136" t="str">
        <f>_xlfn.XLOOKUP(D79,'TAZs by City - CCAG Model'!A:A,'TAZs by City - CCAG Model'!B:B,"ERROR")</f>
        <v>San Bruno</v>
      </c>
      <c r="F79" s="117">
        <f>_xlfn.XLOOKUP(C79,'Model Modeshare by TAZ'!$A:$A,'Model Modeshare by TAZ'!$G:$G)</f>
        <v>891.1</v>
      </c>
      <c r="G79" s="117">
        <f>_xlfn.XLOOKUP(D79,'Model Modeshare by TAZ'!$A:$A,'Model Modeshare by TAZ'!$E:$E)+_xlfn.XLOOKUP(D79,'Model Modeshare by TAZ'!$A:$A,'Model Modeshare by TAZ'!$F:$F)</f>
        <v>8887.44</v>
      </c>
      <c r="H79" s="117">
        <f>_xlfn.XLOOKUP(D79,'Model Modeshare by TAZ'!$A:$A,'Model Modeshare by TAZ'!$J:$J)</f>
        <v>11723.76</v>
      </c>
      <c r="I79" t="s">
        <v>1162</v>
      </c>
      <c r="J79" t="s">
        <v>1162</v>
      </c>
      <c r="K79">
        <v>0</v>
      </c>
      <c r="L79">
        <v>8352107</v>
      </c>
      <c r="M79">
        <v>18708.218725999999</v>
      </c>
      <c r="N79">
        <v>8352073.5159059996</v>
      </c>
      <c r="O79">
        <f>_xlfn.XLOOKUP(D79, 'Model VMT by TAZ'!A:A, 'Model VMT by TAZ'!J:J, "NO")</f>
        <v>2239</v>
      </c>
      <c r="P79">
        <f>_xlfn.XLOOKUP(D79, 'Model VMT by TAZ'!A:A, 'Model VMT by TAZ'!E:E, "NO")</f>
        <v>40236.639999999999</v>
      </c>
      <c r="R79">
        <v>119</v>
      </c>
      <c r="S79" t="s">
        <v>1161</v>
      </c>
      <c r="T79">
        <v>2789</v>
      </c>
      <c r="U79">
        <v>1613</v>
      </c>
      <c r="V79" s="136" t="s">
        <v>382</v>
      </c>
      <c r="W79" t="s">
        <v>1162</v>
      </c>
      <c r="X79" t="s">
        <v>1162</v>
      </c>
      <c r="Y79">
        <v>0</v>
      </c>
      <c r="Z79">
        <v>7960077</v>
      </c>
      <c r="AA79">
        <v>12590.158847999999</v>
      </c>
      <c r="AB79">
        <v>7960044.756058</v>
      </c>
      <c r="AC79">
        <v>35</v>
      </c>
      <c r="AD79">
        <v>116592.42</v>
      </c>
    </row>
    <row r="80" spans="1:30" x14ac:dyDescent="0.35">
      <c r="A80">
        <v>77</v>
      </c>
      <c r="B80" t="s">
        <v>1161</v>
      </c>
      <c r="C80">
        <v>2667</v>
      </c>
      <c r="D80">
        <v>1508</v>
      </c>
      <c r="E80" s="136" t="str">
        <f>_xlfn.XLOOKUP(D80,'TAZs by City - CCAG Model'!A:A,'TAZs by City - CCAG Model'!B:B,"ERROR")</f>
        <v>South San Francisco</v>
      </c>
      <c r="F80" s="117">
        <f>_xlfn.XLOOKUP(C80,'Model Modeshare by TAZ'!$A:$A,'Model Modeshare by TAZ'!$G:$G)</f>
        <v>1399.26</v>
      </c>
      <c r="G80" s="117">
        <f>_xlfn.XLOOKUP(D80,'Model Modeshare by TAZ'!$A:$A,'Model Modeshare by TAZ'!$E:$E)+_xlfn.XLOOKUP(D80,'Model Modeshare by TAZ'!$A:$A,'Model Modeshare by TAZ'!$F:$F)</f>
        <v>8550.16</v>
      </c>
      <c r="H80" s="117">
        <f>_xlfn.XLOOKUP(D80,'Model Modeshare by TAZ'!$A:$A,'Model Modeshare by TAZ'!$J:$J)</f>
        <v>10323.82</v>
      </c>
      <c r="I80" t="s">
        <v>1162</v>
      </c>
      <c r="J80" t="s">
        <v>1162</v>
      </c>
      <c r="K80">
        <v>0</v>
      </c>
      <c r="L80">
        <v>5632082</v>
      </c>
      <c r="M80">
        <v>14679.545545000001</v>
      </c>
      <c r="N80">
        <v>5632059.146071</v>
      </c>
      <c r="O80">
        <f>_xlfn.XLOOKUP(D80, 'Model VMT by TAZ'!A:A, 'Model VMT by TAZ'!J:J, "NO")</f>
        <v>2205</v>
      </c>
      <c r="P80">
        <f>_xlfn.XLOOKUP(D80, 'Model VMT by TAZ'!A:A, 'Model VMT by TAZ'!E:E, "NO")</f>
        <v>48527.040000000001</v>
      </c>
      <c r="R80">
        <v>120</v>
      </c>
      <c r="S80" t="s">
        <v>1161</v>
      </c>
      <c r="T80">
        <v>2790</v>
      </c>
      <c r="U80">
        <v>1544</v>
      </c>
      <c r="V80" s="136" t="s">
        <v>382</v>
      </c>
      <c r="W80" t="s">
        <v>1162</v>
      </c>
      <c r="X80" t="s">
        <v>1162</v>
      </c>
      <c r="Y80">
        <v>0</v>
      </c>
      <c r="Z80">
        <v>2017910</v>
      </c>
      <c r="AA80">
        <v>6948.5966920000001</v>
      </c>
      <c r="AB80">
        <v>2017901.4680310001</v>
      </c>
      <c r="AC80">
        <v>408</v>
      </c>
      <c r="AD80">
        <v>99436.6</v>
      </c>
    </row>
    <row r="81" spans="1:30" x14ac:dyDescent="0.35">
      <c r="A81">
        <v>78</v>
      </c>
      <c r="B81" t="s">
        <v>1161</v>
      </c>
      <c r="C81">
        <v>2668</v>
      </c>
      <c r="D81">
        <v>1645</v>
      </c>
      <c r="E81" s="136" t="str">
        <f>_xlfn.XLOOKUP(D81,'TAZs by City - CCAG Model'!A:A,'TAZs by City - CCAG Model'!B:B,"ERROR")</f>
        <v>San Bruno</v>
      </c>
      <c r="F81" s="117">
        <f>_xlfn.XLOOKUP(C81,'Model Modeshare by TAZ'!$A:$A,'Model Modeshare by TAZ'!$G:$G)</f>
        <v>1804.28</v>
      </c>
      <c r="G81" s="117">
        <f>_xlfn.XLOOKUP(D81,'Model Modeshare by TAZ'!$A:$A,'Model Modeshare by TAZ'!$E:$E)+_xlfn.XLOOKUP(D81,'Model Modeshare by TAZ'!$A:$A,'Model Modeshare by TAZ'!$F:$F)</f>
        <v>409.36</v>
      </c>
      <c r="H81" s="117">
        <f>_xlfn.XLOOKUP(D81,'Model Modeshare by TAZ'!$A:$A,'Model Modeshare by TAZ'!$J:$J)</f>
        <v>455.84</v>
      </c>
      <c r="I81" t="s">
        <v>1162</v>
      </c>
      <c r="J81" t="s">
        <v>1162</v>
      </c>
      <c r="K81">
        <v>0</v>
      </c>
      <c r="L81">
        <v>7081159</v>
      </c>
      <c r="M81">
        <v>14768.581942999999</v>
      </c>
      <c r="N81">
        <v>7081130.2406249996</v>
      </c>
      <c r="O81">
        <f>_xlfn.XLOOKUP(D81, 'Model VMT by TAZ'!A:A, 'Model VMT by TAZ'!J:J, "NO")</f>
        <v>2</v>
      </c>
      <c r="P81">
        <f>_xlfn.XLOOKUP(D81, 'Model VMT by TAZ'!A:A, 'Model VMT by TAZ'!E:E, "NO")</f>
        <v>2889.64</v>
      </c>
      <c r="R81">
        <v>128</v>
      </c>
      <c r="S81" t="s">
        <v>1161</v>
      </c>
      <c r="T81">
        <v>2826</v>
      </c>
      <c r="U81">
        <v>1550</v>
      </c>
      <c r="V81" s="136" t="s">
        <v>382</v>
      </c>
      <c r="W81" t="s">
        <v>1162</v>
      </c>
      <c r="X81" t="s">
        <v>1162</v>
      </c>
      <c r="Y81">
        <v>0</v>
      </c>
      <c r="Z81">
        <v>6759801</v>
      </c>
      <c r="AA81">
        <v>13522.178371</v>
      </c>
      <c r="AB81">
        <v>6759773.9887030004</v>
      </c>
      <c r="AC81">
        <v>1753</v>
      </c>
      <c r="AD81">
        <v>31629.98</v>
      </c>
    </row>
    <row r="82" spans="1:30" x14ac:dyDescent="0.35">
      <c r="A82">
        <v>79</v>
      </c>
      <c r="B82" t="s">
        <v>1161</v>
      </c>
      <c r="C82">
        <v>2669</v>
      </c>
      <c r="D82">
        <v>1646</v>
      </c>
      <c r="E82" s="136" t="str">
        <f>_xlfn.XLOOKUP(D82,'TAZs by City - CCAG Model'!A:A,'TAZs by City - CCAG Model'!B:B,"ERROR")</f>
        <v>San Bruno</v>
      </c>
      <c r="F82" s="117">
        <f>_xlfn.XLOOKUP(C82,'Model Modeshare by TAZ'!$A:$A,'Model Modeshare by TAZ'!$G:$G)</f>
        <v>1124.8</v>
      </c>
      <c r="G82" s="117">
        <f>_xlfn.XLOOKUP(D82,'Model Modeshare by TAZ'!$A:$A,'Model Modeshare by TAZ'!$E:$E)+_xlfn.XLOOKUP(D82,'Model Modeshare by TAZ'!$A:$A,'Model Modeshare by TAZ'!$F:$F)</f>
        <v>13624.46</v>
      </c>
      <c r="H82" s="117">
        <f>_xlfn.XLOOKUP(D82,'Model Modeshare by TAZ'!$A:$A,'Model Modeshare by TAZ'!$J:$J)</f>
        <v>15303.22</v>
      </c>
      <c r="I82" t="s">
        <v>1162</v>
      </c>
      <c r="J82" t="s">
        <v>1162</v>
      </c>
      <c r="K82">
        <v>0</v>
      </c>
      <c r="L82">
        <v>5992428</v>
      </c>
      <c r="M82">
        <v>11503.756969</v>
      </c>
      <c r="N82">
        <v>5992404.4262760002</v>
      </c>
      <c r="O82">
        <f>_xlfn.XLOOKUP(D82, 'Model VMT by TAZ'!A:A, 'Model VMT by TAZ'!J:J, "NO")</f>
        <v>62</v>
      </c>
      <c r="P82">
        <f>_xlfn.XLOOKUP(D82, 'Model VMT by TAZ'!A:A, 'Model VMT by TAZ'!E:E, "NO")</f>
        <v>102440.68</v>
      </c>
      <c r="R82">
        <v>129</v>
      </c>
      <c r="S82" t="s">
        <v>1161</v>
      </c>
      <c r="T82">
        <v>2827</v>
      </c>
      <c r="U82">
        <v>1548</v>
      </c>
      <c r="V82" s="136" t="s">
        <v>382</v>
      </c>
      <c r="W82" t="s">
        <v>1162</v>
      </c>
      <c r="X82" t="s">
        <v>1162</v>
      </c>
      <c r="Y82">
        <v>0</v>
      </c>
      <c r="Z82">
        <v>5468937</v>
      </c>
      <c r="AA82">
        <v>10329.349824000001</v>
      </c>
      <c r="AB82">
        <v>5468915.1437969999</v>
      </c>
      <c r="AC82">
        <v>1646</v>
      </c>
      <c r="AD82">
        <v>31068.65</v>
      </c>
    </row>
    <row r="83" spans="1:30" x14ac:dyDescent="0.35">
      <c r="A83">
        <v>80</v>
      </c>
      <c r="B83" t="s">
        <v>1161</v>
      </c>
      <c r="C83">
        <v>2670</v>
      </c>
      <c r="D83">
        <v>1522</v>
      </c>
      <c r="E83" s="136" t="str">
        <f>_xlfn.XLOOKUP(D83,'TAZs by City - CCAG Model'!A:A,'TAZs by City - CCAG Model'!B:B,"ERROR")</f>
        <v>San Bruno</v>
      </c>
      <c r="F83" s="117">
        <f>_xlfn.XLOOKUP(C83,'Model Modeshare by TAZ'!$A:$A,'Model Modeshare by TAZ'!$G:$G)</f>
        <v>770.8</v>
      </c>
      <c r="G83" s="117">
        <f>_xlfn.XLOOKUP(D83,'Model Modeshare by TAZ'!$A:$A,'Model Modeshare by TAZ'!$E:$E)+_xlfn.XLOOKUP(D83,'Model Modeshare by TAZ'!$A:$A,'Model Modeshare by TAZ'!$F:$F)</f>
        <v>5987.08</v>
      </c>
      <c r="H83" s="117">
        <f>_xlfn.XLOOKUP(D83,'Model Modeshare by TAZ'!$A:$A,'Model Modeshare by TAZ'!$J:$J)</f>
        <v>7072.44</v>
      </c>
      <c r="I83" t="s">
        <v>1162</v>
      </c>
      <c r="J83" t="s">
        <v>1162</v>
      </c>
      <c r="K83">
        <v>0</v>
      </c>
      <c r="L83">
        <v>2432500</v>
      </c>
      <c r="M83">
        <v>6196.0654169999998</v>
      </c>
      <c r="N83">
        <v>2432489.8029990001</v>
      </c>
      <c r="O83">
        <f>_xlfn.XLOOKUP(D83, 'Model VMT by TAZ'!A:A, 'Model VMT by TAZ'!J:J, "NO")</f>
        <v>1421</v>
      </c>
      <c r="P83">
        <f>_xlfn.XLOOKUP(D83, 'Model VMT by TAZ'!A:A, 'Model VMT by TAZ'!E:E, "NO")</f>
        <v>48677.58</v>
      </c>
      <c r="R83">
        <v>130</v>
      </c>
      <c r="S83" t="s">
        <v>1161</v>
      </c>
      <c r="T83">
        <v>2828</v>
      </c>
      <c r="U83">
        <v>1549</v>
      </c>
      <c r="V83" s="136" t="s">
        <v>382</v>
      </c>
      <c r="W83" t="s">
        <v>1162</v>
      </c>
      <c r="X83" t="s">
        <v>1162</v>
      </c>
      <c r="Y83">
        <v>0</v>
      </c>
      <c r="Z83">
        <v>2939134</v>
      </c>
      <c r="AA83">
        <v>9814.4325129999997</v>
      </c>
      <c r="AB83">
        <v>2939122.4957010001</v>
      </c>
      <c r="AC83">
        <v>639</v>
      </c>
      <c r="AD83">
        <v>361223.72</v>
      </c>
    </row>
    <row r="84" spans="1:30" x14ac:dyDescent="0.35">
      <c r="A84">
        <v>81</v>
      </c>
      <c r="B84" t="s">
        <v>1161</v>
      </c>
      <c r="C84">
        <v>2677</v>
      </c>
      <c r="D84">
        <v>1589</v>
      </c>
      <c r="E84" s="136" t="str">
        <f>_xlfn.XLOOKUP(D84,'TAZs by City - CCAG Model'!A:A,'TAZs by City - CCAG Model'!B:B,"ERROR")</f>
        <v>Daly City</v>
      </c>
      <c r="F84" s="117">
        <f>_xlfn.XLOOKUP(C84,'Model Modeshare by TAZ'!$A:$A,'Model Modeshare by TAZ'!$G:$G)</f>
        <v>725.38</v>
      </c>
      <c r="G84" s="117">
        <f>_xlfn.XLOOKUP(D84,'Model Modeshare by TAZ'!$A:$A,'Model Modeshare by TAZ'!$E:$E)+_xlfn.XLOOKUP(D84,'Model Modeshare by TAZ'!$A:$A,'Model Modeshare by TAZ'!$F:$F)</f>
        <v>8318.24</v>
      </c>
      <c r="H84" s="117">
        <f>_xlfn.XLOOKUP(D84,'Model Modeshare by TAZ'!$A:$A,'Model Modeshare by TAZ'!$J:$J)</f>
        <v>10384.879999999999</v>
      </c>
      <c r="I84" t="s">
        <v>1162</v>
      </c>
      <c r="J84" t="s">
        <v>1162</v>
      </c>
      <c r="K84">
        <v>0</v>
      </c>
      <c r="L84">
        <v>3129651</v>
      </c>
      <c r="M84">
        <v>7406.0324899999996</v>
      </c>
      <c r="N84">
        <v>3129638.817336</v>
      </c>
      <c r="O84">
        <f>_xlfn.XLOOKUP(D84, 'Model VMT by TAZ'!A:A, 'Model VMT by TAZ'!J:J, "NO")</f>
        <v>2220</v>
      </c>
      <c r="P84">
        <f>_xlfn.XLOOKUP(D84, 'Model VMT by TAZ'!A:A, 'Model VMT by TAZ'!E:E, "NO")</f>
        <v>58545.32</v>
      </c>
    </row>
    <row r="85" spans="1:30" x14ac:dyDescent="0.35">
      <c r="A85">
        <v>82</v>
      </c>
      <c r="B85" t="s">
        <v>1161</v>
      </c>
      <c r="C85">
        <v>2678</v>
      </c>
      <c r="D85">
        <v>1511</v>
      </c>
      <c r="E85" s="136" t="str">
        <f>_xlfn.XLOOKUP(D85,'TAZs by City - CCAG Model'!A:A,'TAZs by City - CCAG Model'!B:B,"ERROR")</f>
        <v>South San Francisco</v>
      </c>
      <c r="F85" s="117">
        <f>_xlfn.XLOOKUP(C85,'Model Modeshare by TAZ'!$A:$A,'Model Modeshare by TAZ'!$G:$G)</f>
        <v>414.9</v>
      </c>
      <c r="G85" s="117">
        <f>_xlfn.XLOOKUP(D85,'Model Modeshare by TAZ'!$A:$A,'Model Modeshare by TAZ'!$E:$E)+_xlfn.XLOOKUP(D85,'Model Modeshare by TAZ'!$A:$A,'Model Modeshare by TAZ'!$F:$F)</f>
        <v>4864.84</v>
      </c>
      <c r="H85" s="117">
        <f>_xlfn.XLOOKUP(D85,'Model Modeshare by TAZ'!$A:$A,'Model Modeshare by TAZ'!$J:$J)</f>
        <v>6033.38</v>
      </c>
      <c r="I85" t="s">
        <v>1162</v>
      </c>
      <c r="J85" t="s">
        <v>1162</v>
      </c>
      <c r="K85">
        <v>0</v>
      </c>
      <c r="L85">
        <v>4245236</v>
      </c>
      <c r="M85">
        <v>11571.242591</v>
      </c>
      <c r="N85">
        <v>4245219.1632200005</v>
      </c>
      <c r="O85">
        <f>_xlfn.XLOOKUP(D85, 'Model VMT by TAZ'!A:A, 'Model VMT by TAZ'!J:J, "NO")</f>
        <v>1567</v>
      </c>
      <c r="P85">
        <f>_xlfn.XLOOKUP(D85, 'Model VMT by TAZ'!A:A, 'Model VMT by TAZ'!E:E, "NO")</f>
        <v>27640.32</v>
      </c>
    </row>
    <row r="86" spans="1:30" x14ac:dyDescent="0.35">
      <c r="A86">
        <v>83</v>
      </c>
      <c r="B86" t="s">
        <v>1161</v>
      </c>
      <c r="C86">
        <v>2679</v>
      </c>
      <c r="D86">
        <v>1509</v>
      </c>
      <c r="E86" s="136" t="str">
        <f>_xlfn.XLOOKUP(D86,'TAZs by City - CCAG Model'!A:A,'TAZs by City - CCAG Model'!B:B,"ERROR")</f>
        <v>South San Francisco</v>
      </c>
      <c r="F86" s="117">
        <f>_xlfn.XLOOKUP(C86,'Model Modeshare by TAZ'!$A:$A,'Model Modeshare by TAZ'!$G:$G)</f>
        <v>593.9</v>
      </c>
      <c r="G86" s="117">
        <f>_xlfn.XLOOKUP(D86,'Model Modeshare by TAZ'!$A:$A,'Model Modeshare by TAZ'!$E:$E)+_xlfn.XLOOKUP(D86,'Model Modeshare by TAZ'!$A:$A,'Model Modeshare by TAZ'!$F:$F)</f>
        <v>13450.02</v>
      </c>
      <c r="H86" s="117">
        <f>_xlfn.XLOOKUP(D86,'Model Modeshare by TAZ'!$A:$A,'Model Modeshare by TAZ'!$J:$J)</f>
        <v>18126.66</v>
      </c>
      <c r="I86" t="s">
        <v>1162</v>
      </c>
      <c r="J86" t="s">
        <v>1162</v>
      </c>
      <c r="K86">
        <v>0</v>
      </c>
      <c r="L86">
        <v>8513759</v>
      </c>
      <c r="M86">
        <v>14384.965783</v>
      </c>
      <c r="N86">
        <v>8513725.0475570001</v>
      </c>
      <c r="O86">
        <f>_xlfn.XLOOKUP(D86, 'Model VMT by TAZ'!A:A, 'Model VMT by TAZ'!J:J, "NO")</f>
        <v>2901</v>
      </c>
      <c r="P86">
        <f>_xlfn.XLOOKUP(D86, 'Model VMT by TAZ'!A:A, 'Model VMT by TAZ'!E:E, "NO")</f>
        <v>41778.269999999997</v>
      </c>
    </row>
    <row r="87" spans="1:30" x14ac:dyDescent="0.35">
      <c r="A87">
        <v>84</v>
      </c>
      <c r="B87" t="s">
        <v>1161</v>
      </c>
      <c r="C87">
        <v>2681</v>
      </c>
      <c r="D87">
        <v>1498</v>
      </c>
      <c r="E87" s="136" t="str">
        <f>_xlfn.XLOOKUP(D87,'TAZs by City - CCAG Model'!A:A,'TAZs by City - CCAG Model'!B:B,"ERROR")</f>
        <v>Daly City</v>
      </c>
      <c r="F87" s="117">
        <f>_xlfn.XLOOKUP(C87,'Model Modeshare by TAZ'!$A:$A,'Model Modeshare by TAZ'!$G:$G)</f>
        <v>1687.1</v>
      </c>
      <c r="G87" s="117">
        <f>_xlfn.XLOOKUP(D87,'Model Modeshare by TAZ'!$A:$A,'Model Modeshare by TAZ'!$E:$E)+_xlfn.XLOOKUP(D87,'Model Modeshare by TAZ'!$A:$A,'Model Modeshare by TAZ'!$F:$F)</f>
        <v>6462.2</v>
      </c>
      <c r="H87" s="117">
        <f>_xlfn.XLOOKUP(D87,'Model Modeshare by TAZ'!$A:$A,'Model Modeshare by TAZ'!$J:$J)</f>
        <v>8211.9</v>
      </c>
      <c r="I87" t="s">
        <v>1162</v>
      </c>
      <c r="J87" t="s">
        <v>1162</v>
      </c>
      <c r="K87">
        <v>0</v>
      </c>
      <c r="L87">
        <v>3112901</v>
      </c>
      <c r="M87">
        <v>8441.7717749999993</v>
      </c>
      <c r="N87">
        <v>3112888.4643310001</v>
      </c>
      <c r="O87">
        <f>_xlfn.XLOOKUP(D87, 'Model VMT by TAZ'!A:A, 'Model VMT by TAZ'!J:J, "NO")</f>
        <v>1660</v>
      </c>
      <c r="P87">
        <f>_xlfn.XLOOKUP(D87, 'Model VMT by TAZ'!A:A, 'Model VMT by TAZ'!E:E, "NO")</f>
        <v>42367.839999999997</v>
      </c>
    </row>
    <row r="88" spans="1:30" x14ac:dyDescent="0.35">
      <c r="A88">
        <v>85</v>
      </c>
      <c r="B88" t="s">
        <v>1161</v>
      </c>
      <c r="C88">
        <v>2682</v>
      </c>
      <c r="D88">
        <v>1590</v>
      </c>
      <c r="E88" s="136" t="str">
        <f>_xlfn.XLOOKUP(D88,'TAZs by City - CCAG Model'!A:A,'TAZs by City - CCAG Model'!B:B,"ERROR")</f>
        <v>Unincorporated</v>
      </c>
      <c r="F88" s="117">
        <f>_xlfn.XLOOKUP(C88,'Model Modeshare by TAZ'!$A:$A,'Model Modeshare by TAZ'!$G:$G)</f>
        <v>871.36</v>
      </c>
      <c r="G88" s="117">
        <f>_xlfn.XLOOKUP(D88,'Model Modeshare by TAZ'!$A:$A,'Model Modeshare by TAZ'!$E:$E)+_xlfn.XLOOKUP(D88,'Model Modeshare by TAZ'!$A:$A,'Model Modeshare by TAZ'!$F:$F)</f>
        <v>5849.12</v>
      </c>
      <c r="H88" s="117">
        <f>_xlfn.XLOOKUP(D88,'Model Modeshare by TAZ'!$A:$A,'Model Modeshare by TAZ'!$J:$J)</f>
        <v>7162.98</v>
      </c>
      <c r="I88" t="s">
        <v>1162</v>
      </c>
      <c r="J88" t="s">
        <v>1162</v>
      </c>
      <c r="K88">
        <v>0</v>
      </c>
      <c r="L88">
        <v>3809694</v>
      </c>
      <c r="M88">
        <v>9014.2912269999997</v>
      </c>
      <c r="N88">
        <v>3809678.8816610002</v>
      </c>
      <c r="O88">
        <f>_xlfn.XLOOKUP(D88, 'Model VMT by TAZ'!A:A, 'Model VMT by TAZ'!J:J, "NO")</f>
        <v>601</v>
      </c>
      <c r="P88">
        <f>_xlfn.XLOOKUP(D88, 'Model VMT by TAZ'!A:A, 'Model VMT by TAZ'!E:E, "NO")</f>
        <v>34280.28</v>
      </c>
    </row>
    <row r="89" spans="1:30" x14ac:dyDescent="0.35">
      <c r="A89">
        <v>86</v>
      </c>
      <c r="B89" t="s">
        <v>1161</v>
      </c>
      <c r="C89">
        <v>2683</v>
      </c>
      <c r="D89">
        <v>1500</v>
      </c>
      <c r="E89" s="136" t="str">
        <f>_xlfn.XLOOKUP(D89,'TAZs by City - CCAG Model'!A:A,'TAZs by City - CCAG Model'!B:B,"ERROR")</f>
        <v>Daly City</v>
      </c>
      <c r="F89" s="117">
        <f>_xlfn.XLOOKUP(C89,'Model Modeshare by TAZ'!$A:$A,'Model Modeshare by TAZ'!$G:$G)</f>
        <v>523.24</v>
      </c>
      <c r="G89" s="117">
        <f>_xlfn.XLOOKUP(D89,'Model Modeshare by TAZ'!$A:$A,'Model Modeshare by TAZ'!$E:$E)+_xlfn.XLOOKUP(D89,'Model Modeshare by TAZ'!$A:$A,'Model Modeshare by TAZ'!$F:$F)</f>
        <v>13691.98</v>
      </c>
      <c r="H89" s="117">
        <f>_xlfn.XLOOKUP(D89,'Model Modeshare by TAZ'!$A:$A,'Model Modeshare by TAZ'!$J:$J)</f>
        <v>17160.38</v>
      </c>
      <c r="I89" t="s">
        <v>1162</v>
      </c>
      <c r="J89" t="s">
        <v>1162</v>
      </c>
      <c r="K89">
        <v>0</v>
      </c>
      <c r="L89">
        <v>2132208</v>
      </c>
      <c r="M89">
        <v>8812.9721829999999</v>
      </c>
      <c r="N89">
        <v>2132199.8092009998</v>
      </c>
      <c r="O89">
        <f>_xlfn.XLOOKUP(D89, 'Model VMT by TAZ'!A:A, 'Model VMT by TAZ'!J:J, "NO")</f>
        <v>2064</v>
      </c>
      <c r="P89">
        <f>_xlfn.XLOOKUP(D89, 'Model VMT by TAZ'!A:A, 'Model VMT by TAZ'!E:E, "NO")</f>
        <v>68140.600000000006</v>
      </c>
    </row>
    <row r="90" spans="1:30" x14ac:dyDescent="0.35">
      <c r="A90">
        <v>87</v>
      </c>
      <c r="B90" t="s">
        <v>1161</v>
      </c>
      <c r="C90">
        <v>2685</v>
      </c>
      <c r="D90">
        <v>1499</v>
      </c>
      <c r="E90" s="136" t="str">
        <f>_xlfn.XLOOKUP(D90,'TAZs by City - CCAG Model'!A:A,'TAZs by City - CCAG Model'!B:B,"ERROR")</f>
        <v>Daly City</v>
      </c>
      <c r="F90" s="117">
        <f>_xlfn.XLOOKUP(C90,'Model Modeshare by TAZ'!$A:$A,'Model Modeshare by TAZ'!$G:$G)</f>
        <v>598.46</v>
      </c>
      <c r="G90" s="117">
        <f>_xlfn.XLOOKUP(D90,'Model Modeshare by TAZ'!$A:$A,'Model Modeshare by TAZ'!$E:$E)+_xlfn.XLOOKUP(D90,'Model Modeshare by TAZ'!$A:$A,'Model Modeshare by TAZ'!$F:$F)</f>
        <v>12210.759999999998</v>
      </c>
      <c r="H90" s="117">
        <f>_xlfn.XLOOKUP(D90,'Model Modeshare by TAZ'!$A:$A,'Model Modeshare by TAZ'!$J:$J)</f>
        <v>14466.36</v>
      </c>
      <c r="I90" t="s">
        <v>1162</v>
      </c>
      <c r="J90" t="s">
        <v>1162</v>
      </c>
      <c r="K90">
        <v>0</v>
      </c>
      <c r="L90">
        <v>4247716</v>
      </c>
      <c r="M90">
        <v>8993.7027589999998</v>
      </c>
      <c r="N90">
        <v>4247699.4580870001</v>
      </c>
      <c r="O90">
        <f>_xlfn.XLOOKUP(D90, 'Model VMT by TAZ'!A:A, 'Model VMT by TAZ'!J:J, "NO")</f>
        <v>3323</v>
      </c>
      <c r="P90">
        <f>_xlfn.XLOOKUP(D90, 'Model VMT by TAZ'!A:A, 'Model VMT by TAZ'!E:E, "NO")</f>
        <v>71543.23</v>
      </c>
    </row>
    <row r="91" spans="1:30" x14ac:dyDescent="0.35">
      <c r="A91">
        <v>88</v>
      </c>
      <c r="B91" t="s">
        <v>1161</v>
      </c>
      <c r="C91">
        <v>2686</v>
      </c>
      <c r="D91">
        <v>1497</v>
      </c>
      <c r="E91" s="136" t="str">
        <f>_xlfn.XLOOKUP(D91,'TAZs by City - CCAG Model'!A:A,'TAZs by City - CCAG Model'!B:B,"ERROR")</f>
        <v>Colma</v>
      </c>
      <c r="F91" s="117">
        <f>_xlfn.XLOOKUP(C91,'Model Modeshare by TAZ'!$A:$A,'Model Modeshare by TAZ'!$G:$G)</f>
        <v>1255</v>
      </c>
      <c r="G91" s="117">
        <f>_xlfn.XLOOKUP(D91,'Model Modeshare by TAZ'!$A:$A,'Model Modeshare by TAZ'!$E:$E)+_xlfn.XLOOKUP(D91,'Model Modeshare by TAZ'!$A:$A,'Model Modeshare by TAZ'!$F:$F)</f>
        <v>7365.38</v>
      </c>
      <c r="H91" s="117">
        <f>_xlfn.XLOOKUP(D91,'Model Modeshare by TAZ'!$A:$A,'Model Modeshare by TAZ'!$J:$J)</f>
        <v>9270.76</v>
      </c>
      <c r="I91" t="s">
        <v>1162</v>
      </c>
      <c r="J91" t="s">
        <v>1162</v>
      </c>
      <c r="K91">
        <v>0</v>
      </c>
      <c r="L91">
        <v>33148532</v>
      </c>
      <c r="M91">
        <v>25810.650278000001</v>
      </c>
      <c r="N91">
        <v>33148399.795398999</v>
      </c>
      <c r="O91">
        <f>_xlfn.XLOOKUP(D91, 'Model VMT by TAZ'!A:A, 'Model VMT by TAZ'!J:J, "NO")</f>
        <v>1415</v>
      </c>
      <c r="P91">
        <f>_xlfn.XLOOKUP(D91, 'Model VMT by TAZ'!A:A, 'Model VMT by TAZ'!E:E, "NO")</f>
        <v>41054.879999999997</v>
      </c>
    </row>
    <row r="92" spans="1:30" x14ac:dyDescent="0.35">
      <c r="A92">
        <v>89</v>
      </c>
      <c r="B92" t="s">
        <v>1161</v>
      </c>
      <c r="C92">
        <v>2696</v>
      </c>
      <c r="D92">
        <v>1529</v>
      </c>
      <c r="E92" s="136" t="str">
        <f>_xlfn.XLOOKUP(D92,'TAZs by City - CCAG Model'!A:A,'TAZs by City - CCAG Model'!B:B,"ERROR")</f>
        <v>Burlingame</v>
      </c>
      <c r="F92" s="117">
        <f>_xlfn.XLOOKUP(C92,'Model Modeshare by TAZ'!$A:$A,'Model Modeshare by TAZ'!$G:$G)</f>
        <v>1210.24</v>
      </c>
      <c r="G92" s="117">
        <f>_xlfn.XLOOKUP(D92,'Model Modeshare by TAZ'!$A:$A,'Model Modeshare by TAZ'!$E:$E)+_xlfn.XLOOKUP(D92,'Model Modeshare by TAZ'!$A:$A,'Model Modeshare by TAZ'!$F:$F)</f>
        <v>20986.52</v>
      </c>
      <c r="H92" s="117">
        <f>_xlfn.XLOOKUP(D92,'Model Modeshare by TAZ'!$A:$A,'Model Modeshare by TAZ'!$J:$J)</f>
        <v>27044.36</v>
      </c>
      <c r="I92" t="s">
        <v>1162</v>
      </c>
      <c r="J92" t="s">
        <v>1162</v>
      </c>
      <c r="K92">
        <v>0</v>
      </c>
      <c r="L92">
        <v>4898220</v>
      </c>
      <c r="M92">
        <v>10912.931019</v>
      </c>
      <c r="N92">
        <v>4898200.3576339995</v>
      </c>
      <c r="O92">
        <f>_xlfn.XLOOKUP(D92, 'Model VMT by TAZ'!A:A, 'Model VMT by TAZ'!J:J, "NO")</f>
        <v>1430</v>
      </c>
      <c r="P92">
        <f>_xlfn.XLOOKUP(D92, 'Model VMT by TAZ'!A:A, 'Model VMT by TAZ'!E:E, "NO")</f>
        <v>162922.60999999999</v>
      </c>
    </row>
    <row r="93" spans="1:30" x14ac:dyDescent="0.35">
      <c r="A93">
        <v>90</v>
      </c>
      <c r="B93" t="s">
        <v>1161</v>
      </c>
      <c r="C93">
        <v>2698</v>
      </c>
      <c r="D93">
        <v>1528</v>
      </c>
      <c r="E93" s="136" t="str">
        <f>_xlfn.XLOOKUP(D93,'TAZs by City - CCAG Model'!A:A,'TAZs by City - CCAG Model'!B:B,"ERROR")</f>
        <v>Millbrae</v>
      </c>
      <c r="F93" s="117">
        <f>_xlfn.XLOOKUP(C93,'Model Modeshare by TAZ'!$A:$A,'Model Modeshare by TAZ'!$G:$G)</f>
        <v>24.34</v>
      </c>
      <c r="G93" s="117">
        <f>_xlfn.XLOOKUP(D93,'Model Modeshare by TAZ'!$A:$A,'Model Modeshare by TAZ'!$E:$E)+_xlfn.XLOOKUP(D93,'Model Modeshare by TAZ'!$A:$A,'Model Modeshare by TAZ'!$F:$F)</f>
        <v>4975.18</v>
      </c>
      <c r="H93" s="117">
        <f>_xlfn.XLOOKUP(D93,'Model Modeshare by TAZ'!$A:$A,'Model Modeshare by TAZ'!$J:$J)</f>
        <v>6962.08</v>
      </c>
      <c r="I93" t="s">
        <v>1162</v>
      </c>
      <c r="J93" t="s">
        <v>1162</v>
      </c>
      <c r="K93">
        <v>0</v>
      </c>
      <c r="L93">
        <v>4615775</v>
      </c>
      <c r="M93">
        <v>9886.4237240000002</v>
      </c>
      <c r="N93">
        <v>4615756.7737870002</v>
      </c>
      <c r="O93">
        <f>_xlfn.XLOOKUP(D93, 'Model VMT by TAZ'!A:A, 'Model VMT by TAZ'!J:J, "NO")</f>
        <v>896</v>
      </c>
      <c r="P93">
        <f>_xlfn.XLOOKUP(D93, 'Model VMT by TAZ'!A:A, 'Model VMT by TAZ'!E:E, "NO")</f>
        <v>21227.52</v>
      </c>
    </row>
    <row r="94" spans="1:30" x14ac:dyDescent="0.35">
      <c r="A94">
        <v>91</v>
      </c>
      <c r="B94" t="s">
        <v>1161</v>
      </c>
      <c r="C94">
        <v>2708</v>
      </c>
      <c r="D94">
        <v>1530</v>
      </c>
      <c r="E94" s="136" t="str">
        <f>_xlfn.XLOOKUP(D94,'TAZs by City - CCAG Model'!A:A,'TAZs by City - CCAG Model'!B:B,"ERROR")</f>
        <v>Burlingame</v>
      </c>
      <c r="F94" s="117">
        <f>_xlfn.XLOOKUP(C94,'Model Modeshare by TAZ'!$A:$A,'Model Modeshare by TAZ'!$G:$G)</f>
        <v>954.92</v>
      </c>
      <c r="G94" s="117">
        <f>_xlfn.XLOOKUP(D94,'Model Modeshare by TAZ'!$A:$A,'Model Modeshare by TAZ'!$E:$E)+_xlfn.XLOOKUP(D94,'Model Modeshare by TAZ'!$A:$A,'Model Modeshare by TAZ'!$F:$F)</f>
        <v>2420.38</v>
      </c>
      <c r="H94" s="117">
        <f>_xlfn.XLOOKUP(D94,'Model Modeshare by TAZ'!$A:$A,'Model Modeshare by TAZ'!$J:$J)</f>
        <v>2876.34</v>
      </c>
      <c r="I94" t="s">
        <v>1162</v>
      </c>
      <c r="J94" t="s">
        <v>1162</v>
      </c>
      <c r="K94">
        <v>0</v>
      </c>
      <c r="L94">
        <v>2150715</v>
      </c>
      <c r="M94">
        <v>6900.9559060000001</v>
      </c>
      <c r="N94">
        <v>2150706.5352440001</v>
      </c>
      <c r="O94">
        <f>_xlfn.XLOOKUP(D94, 'Model VMT by TAZ'!A:A, 'Model VMT by TAZ'!J:J, "NO")</f>
        <v>775</v>
      </c>
      <c r="P94">
        <f>_xlfn.XLOOKUP(D94, 'Model VMT by TAZ'!A:A, 'Model VMT by TAZ'!E:E, "NO")</f>
        <v>15062.74</v>
      </c>
    </row>
    <row r="95" spans="1:30" x14ac:dyDescent="0.35">
      <c r="A95">
        <v>92</v>
      </c>
      <c r="B95" t="s">
        <v>1161</v>
      </c>
      <c r="C95">
        <v>2709</v>
      </c>
      <c r="D95">
        <v>1605</v>
      </c>
      <c r="E95" s="136" t="str">
        <f>_xlfn.XLOOKUP(D95,'TAZs by City - CCAG Model'!A:A,'TAZs by City - CCAG Model'!B:B,"ERROR")</f>
        <v>Burlingame</v>
      </c>
      <c r="F95" s="117">
        <f>_xlfn.XLOOKUP(C95,'Model Modeshare by TAZ'!$A:$A,'Model Modeshare by TAZ'!$G:$G)</f>
        <v>941.48</v>
      </c>
      <c r="G95" s="117">
        <f>_xlfn.XLOOKUP(D95,'Model Modeshare by TAZ'!$A:$A,'Model Modeshare by TAZ'!$E:$E)+_xlfn.XLOOKUP(D95,'Model Modeshare by TAZ'!$A:$A,'Model Modeshare by TAZ'!$F:$F)</f>
        <v>15514.56</v>
      </c>
      <c r="H95" s="117">
        <f>_xlfn.XLOOKUP(D95,'Model Modeshare by TAZ'!$A:$A,'Model Modeshare by TAZ'!$J:$J)</f>
        <v>18270.16</v>
      </c>
      <c r="I95" t="s">
        <v>1162</v>
      </c>
      <c r="J95" t="s">
        <v>1162</v>
      </c>
      <c r="K95">
        <v>0</v>
      </c>
      <c r="L95">
        <v>4102673</v>
      </c>
      <c r="M95">
        <v>9052.2321589999992</v>
      </c>
      <c r="N95">
        <v>4102656.2757930001</v>
      </c>
      <c r="O95">
        <f>_xlfn.XLOOKUP(D95, 'Model VMT by TAZ'!A:A, 'Model VMT by TAZ'!J:J, "NO")</f>
        <v>2498</v>
      </c>
      <c r="P95">
        <f>_xlfn.XLOOKUP(D95, 'Model VMT by TAZ'!A:A, 'Model VMT by TAZ'!E:E, "NO")</f>
        <v>115171.62</v>
      </c>
    </row>
    <row r="96" spans="1:30" x14ac:dyDescent="0.35">
      <c r="A96">
        <v>93</v>
      </c>
      <c r="B96" t="s">
        <v>1161</v>
      </c>
      <c r="C96">
        <v>2710</v>
      </c>
      <c r="D96">
        <v>1648</v>
      </c>
      <c r="E96" s="136" t="str">
        <f>_xlfn.XLOOKUP(D96,'TAZs by City - CCAG Model'!A:A,'TAZs by City - CCAG Model'!B:B,"ERROR")</f>
        <v>Unincorporated</v>
      </c>
      <c r="F96" s="117">
        <f>_xlfn.XLOOKUP(C96,'Model Modeshare by TAZ'!$A:$A,'Model Modeshare by TAZ'!$G:$G)</f>
        <v>1196.5999999999999</v>
      </c>
      <c r="G96" s="117">
        <f>_xlfn.XLOOKUP(D96,'Model Modeshare by TAZ'!$A:$A,'Model Modeshare by TAZ'!$E:$E)+_xlfn.XLOOKUP(D96,'Model Modeshare by TAZ'!$A:$A,'Model Modeshare by TAZ'!$F:$F)</f>
        <v>49962.86</v>
      </c>
      <c r="H96" s="117">
        <f>_xlfn.XLOOKUP(D96,'Model Modeshare by TAZ'!$A:$A,'Model Modeshare by TAZ'!$J:$J)</f>
        <v>55577.86</v>
      </c>
      <c r="I96" t="s">
        <v>1162</v>
      </c>
      <c r="J96" t="s">
        <v>1162</v>
      </c>
      <c r="K96">
        <v>0</v>
      </c>
      <c r="L96">
        <v>18478079</v>
      </c>
      <c r="M96">
        <v>17109.370154</v>
      </c>
      <c r="N96">
        <v>18478005.119803999</v>
      </c>
      <c r="O96">
        <f>_xlfn.XLOOKUP(D96, 'Model VMT by TAZ'!A:A, 'Model VMT by TAZ'!J:J, "NO")</f>
        <v>0</v>
      </c>
      <c r="P96">
        <f>_xlfn.XLOOKUP(D96, 'Model VMT by TAZ'!A:A, 'Model VMT by TAZ'!E:E, "NO")</f>
        <v>290475.86</v>
      </c>
    </row>
    <row r="97" spans="1:16" x14ac:dyDescent="0.35">
      <c r="A97">
        <v>94</v>
      </c>
      <c r="B97" t="s">
        <v>1161</v>
      </c>
      <c r="C97">
        <v>2711</v>
      </c>
      <c r="D97">
        <v>1526</v>
      </c>
      <c r="E97" s="136" t="str">
        <f>_xlfn.XLOOKUP(D97,'TAZs by City - CCAG Model'!A:A,'TAZs by City - CCAG Model'!B:B,"ERROR")</f>
        <v>Unincorporated</v>
      </c>
      <c r="F97" s="117">
        <f>_xlfn.XLOOKUP(C97,'Model Modeshare by TAZ'!$A:$A,'Model Modeshare by TAZ'!$G:$G)</f>
        <v>639.04</v>
      </c>
      <c r="G97" s="117">
        <f>_xlfn.XLOOKUP(D97,'Model Modeshare by TAZ'!$A:$A,'Model Modeshare by TAZ'!$E:$E)+_xlfn.XLOOKUP(D97,'Model Modeshare by TAZ'!$A:$A,'Model Modeshare by TAZ'!$F:$F)</f>
        <v>30804</v>
      </c>
      <c r="H97" s="117">
        <f>_xlfn.XLOOKUP(D97,'Model Modeshare by TAZ'!$A:$A,'Model Modeshare by TAZ'!$J:$J)</f>
        <v>33553.839999999997</v>
      </c>
      <c r="I97" t="s">
        <v>1162</v>
      </c>
      <c r="J97" t="s">
        <v>1162</v>
      </c>
      <c r="K97">
        <v>0</v>
      </c>
      <c r="L97">
        <v>7430342</v>
      </c>
      <c r="M97">
        <v>12396.168083</v>
      </c>
      <c r="N97">
        <v>7430311.9734159997</v>
      </c>
      <c r="O97">
        <f>_xlfn.XLOOKUP(D97, 'Model VMT by TAZ'!A:A, 'Model VMT by TAZ'!J:J, "NO")</f>
        <v>9</v>
      </c>
      <c r="P97">
        <f>_xlfn.XLOOKUP(D97, 'Model VMT by TAZ'!A:A, 'Model VMT by TAZ'!E:E, "NO")</f>
        <v>72447.009999999995</v>
      </c>
    </row>
    <row r="98" spans="1:16" x14ac:dyDescent="0.35">
      <c r="A98">
        <v>95</v>
      </c>
      <c r="B98" t="s">
        <v>1161</v>
      </c>
      <c r="C98">
        <v>2712</v>
      </c>
      <c r="D98">
        <v>1601</v>
      </c>
      <c r="E98" s="136" t="str">
        <f>_xlfn.XLOOKUP(D98,'TAZs by City - CCAG Model'!A:A,'TAZs by City - CCAG Model'!B:B,"ERROR")</f>
        <v>Unincorporated</v>
      </c>
      <c r="F98" s="117">
        <f>_xlfn.XLOOKUP(C98,'Model Modeshare by TAZ'!$A:$A,'Model Modeshare by TAZ'!$G:$G)</f>
        <v>0</v>
      </c>
      <c r="G98" s="117">
        <f>_xlfn.XLOOKUP(D98,'Model Modeshare by TAZ'!$A:$A,'Model Modeshare by TAZ'!$E:$E)+_xlfn.XLOOKUP(D98,'Model Modeshare by TAZ'!$A:$A,'Model Modeshare by TAZ'!$F:$F)</f>
        <v>0</v>
      </c>
      <c r="H98" s="117">
        <f>_xlfn.XLOOKUP(D98,'Model Modeshare by TAZ'!$A:$A,'Model Modeshare by TAZ'!$J:$J)</f>
        <v>0</v>
      </c>
      <c r="I98" t="s">
        <v>1162</v>
      </c>
      <c r="J98" t="s">
        <v>1162</v>
      </c>
      <c r="K98">
        <v>0</v>
      </c>
      <c r="L98">
        <v>3499982</v>
      </c>
      <c r="M98">
        <v>9674.5698389999998</v>
      </c>
      <c r="N98">
        <v>3499968.135268</v>
      </c>
      <c r="O98">
        <f>_xlfn.XLOOKUP(D98, 'Model VMT by TAZ'!A:A, 'Model VMT by TAZ'!J:J, "NO")</f>
        <v>0</v>
      </c>
      <c r="P98">
        <f>_xlfn.XLOOKUP(D98, 'Model VMT by TAZ'!A:A, 'Model VMT by TAZ'!E:E, "NO")</f>
        <v>0</v>
      </c>
    </row>
    <row r="99" spans="1:16" x14ac:dyDescent="0.35">
      <c r="A99">
        <v>96</v>
      </c>
      <c r="B99" t="s">
        <v>1161</v>
      </c>
      <c r="C99">
        <v>2715</v>
      </c>
      <c r="D99">
        <v>1609</v>
      </c>
      <c r="E99" s="136" t="str">
        <f>_xlfn.XLOOKUP(D99,'TAZs by City - CCAG Model'!A:A,'TAZs by City - CCAG Model'!B:B,"ERROR")</f>
        <v>Hillsborough</v>
      </c>
      <c r="F99" s="117">
        <f>_xlfn.XLOOKUP(C99,'Model Modeshare by TAZ'!$A:$A,'Model Modeshare by TAZ'!$G:$G)</f>
        <v>514.17999999999995</v>
      </c>
      <c r="G99" s="117">
        <f>_xlfn.XLOOKUP(D99,'Model Modeshare by TAZ'!$A:$A,'Model Modeshare by TAZ'!$E:$E)+_xlfn.XLOOKUP(D99,'Model Modeshare by TAZ'!$A:$A,'Model Modeshare by TAZ'!$F:$F)</f>
        <v>11616.34</v>
      </c>
      <c r="H99" s="117">
        <f>_xlfn.XLOOKUP(D99,'Model Modeshare by TAZ'!$A:$A,'Model Modeshare by TAZ'!$J:$J)</f>
        <v>12590.38</v>
      </c>
      <c r="I99" t="s">
        <v>1162</v>
      </c>
      <c r="J99" t="s">
        <v>1162</v>
      </c>
      <c r="K99">
        <v>0</v>
      </c>
      <c r="L99">
        <v>30463812</v>
      </c>
      <c r="M99">
        <v>27216.803886000002</v>
      </c>
      <c r="N99">
        <v>30463690.296495002</v>
      </c>
      <c r="O99">
        <f>_xlfn.XLOOKUP(D99, 'Model VMT by TAZ'!A:A, 'Model VMT by TAZ'!J:J, "NO")</f>
        <v>2253</v>
      </c>
      <c r="P99">
        <f>_xlfn.XLOOKUP(D99, 'Model VMT by TAZ'!A:A, 'Model VMT by TAZ'!E:E, "NO")</f>
        <v>69797.55</v>
      </c>
    </row>
    <row r="100" spans="1:16" x14ac:dyDescent="0.35">
      <c r="A100">
        <v>97</v>
      </c>
      <c r="B100" t="s">
        <v>1161</v>
      </c>
      <c r="C100">
        <v>2717</v>
      </c>
      <c r="D100">
        <v>1538</v>
      </c>
      <c r="E100" s="136" t="str">
        <f>_xlfn.XLOOKUP(D100,'TAZs by City - CCAG Model'!A:A,'TAZs by City - CCAG Model'!B:B,"ERROR")</f>
        <v>San Mateo</v>
      </c>
      <c r="F100" s="117">
        <f>_xlfn.XLOOKUP(C100,'Model Modeshare by TAZ'!$A:$A,'Model Modeshare by TAZ'!$G:$G)</f>
        <v>72.7</v>
      </c>
      <c r="G100" s="117">
        <f>_xlfn.XLOOKUP(D100,'Model Modeshare by TAZ'!$A:$A,'Model Modeshare by TAZ'!$E:$E)+_xlfn.XLOOKUP(D100,'Model Modeshare by TAZ'!$A:$A,'Model Modeshare by TAZ'!$F:$F)</f>
        <v>12856.42</v>
      </c>
      <c r="H100" s="117">
        <f>_xlfn.XLOOKUP(D100,'Model Modeshare by TAZ'!$A:$A,'Model Modeshare by TAZ'!$J:$J)</f>
        <v>15876.58</v>
      </c>
      <c r="I100" t="s">
        <v>1162</v>
      </c>
      <c r="J100" t="s">
        <v>1162</v>
      </c>
      <c r="K100">
        <v>0</v>
      </c>
      <c r="L100">
        <v>3470791</v>
      </c>
      <c r="M100">
        <v>7711.1737069999999</v>
      </c>
      <c r="N100">
        <v>3470776.8947879998</v>
      </c>
      <c r="O100">
        <f>_xlfn.XLOOKUP(D100, 'Model VMT by TAZ'!A:A, 'Model VMT by TAZ'!J:J, "NO")</f>
        <v>2741</v>
      </c>
      <c r="P100">
        <f>_xlfn.XLOOKUP(D100, 'Model VMT by TAZ'!A:A, 'Model VMT by TAZ'!E:E, "NO")</f>
        <v>82390.179999999993</v>
      </c>
    </row>
    <row r="101" spans="1:16" x14ac:dyDescent="0.35">
      <c r="A101">
        <v>98</v>
      </c>
      <c r="B101" t="s">
        <v>1161</v>
      </c>
      <c r="C101">
        <v>2718</v>
      </c>
      <c r="D101">
        <v>1540</v>
      </c>
      <c r="E101" s="136" t="str">
        <f>_xlfn.XLOOKUP(D101,'TAZs by City - CCAG Model'!A:A,'TAZs by City - CCAG Model'!B:B,"ERROR")</f>
        <v>San Mateo</v>
      </c>
      <c r="F101" s="117">
        <f>_xlfn.XLOOKUP(C101,'Model Modeshare by TAZ'!$A:$A,'Model Modeshare by TAZ'!$G:$G)</f>
        <v>109</v>
      </c>
      <c r="G101" s="117">
        <f>_xlfn.XLOOKUP(D101,'Model Modeshare by TAZ'!$A:$A,'Model Modeshare by TAZ'!$E:$E)+_xlfn.XLOOKUP(D101,'Model Modeshare by TAZ'!$A:$A,'Model Modeshare by TAZ'!$F:$F)</f>
        <v>4390.04</v>
      </c>
      <c r="H101" s="117">
        <f>_xlfn.XLOOKUP(D101,'Model Modeshare by TAZ'!$A:$A,'Model Modeshare by TAZ'!$J:$J)</f>
        <v>5367.64</v>
      </c>
      <c r="I101" t="s">
        <v>1162</v>
      </c>
      <c r="J101" t="s">
        <v>1162</v>
      </c>
      <c r="K101">
        <v>0</v>
      </c>
      <c r="L101">
        <v>1942320</v>
      </c>
      <c r="M101">
        <v>7860.3532949999999</v>
      </c>
      <c r="N101">
        <v>1942312.195272</v>
      </c>
      <c r="O101">
        <f>_xlfn.XLOOKUP(D101, 'Model VMT by TAZ'!A:A, 'Model VMT by TAZ'!J:J, "NO")</f>
        <v>988</v>
      </c>
      <c r="P101">
        <f>_xlfn.XLOOKUP(D101, 'Model VMT by TAZ'!A:A, 'Model VMT by TAZ'!E:E, "NO")</f>
        <v>37084.92</v>
      </c>
    </row>
    <row r="102" spans="1:16" x14ac:dyDescent="0.35">
      <c r="A102">
        <v>99</v>
      </c>
      <c r="B102" t="s">
        <v>1161</v>
      </c>
      <c r="C102">
        <v>2719</v>
      </c>
      <c r="D102">
        <v>1611</v>
      </c>
      <c r="E102" s="136" t="str">
        <f>_xlfn.XLOOKUP(D102,'TAZs by City - CCAG Model'!A:A,'TAZs by City - CCAG Model'!B:B,"ERROR")</f>
        <v>San Mateo</v>
      </c>
      <c r="F102" s="117">
        <f>_xlfn.XLOOKUP(C102,'Model Modeshare by TAZ'!$A:$A,'Model Modeshare by TAZ'!$G:$G)</f>
        <v>40.36</v>
      </c>
      <c r="G102" s="117">
        <f>_xlfn.XLOOKUP(D102,'Model Modeshare by TAZ'!$A:$A,'Model Modeshare by TAZ'!$E:$E)+_xlfn.XLOOKUP(D102,'Model Modeshare by TAZ'!$A:$A,'Model Modeshare by TAZ'!$F:$F)</f>
        <v>14911.18</v>
      </c>
      <c r="H102" s="117">
        <f>_xlfn.XLOOKUP(D102,'Model Modeshare by TAZ'!$A:$A,'Model Modeshare by TAZ'!$J:$J)</f>
        <v>18621.72</v>
      </c>
      <c r="I102" t="s">
        <v>1162</v>
      </c>
      <c r="J102" t="s">
        <v>1162</v>
      </c>
      <c r="K102">
        <v>0</v>
      </c>
      <c r="L102">
        <v>5584009</v>
      </c>
      <c r="M102">
        <v>9496.0812979999992</v>
      </c>
      <c r="N102">
        <v>5583986.2441729996</v>
      </c>
      <c r="O102">
        <f>_xlfn.XLOOKUP(D102, 'Model VMT by TAZ'!A:A, 'Model VMT by TAZ'!J:J, "NO")</f>
        <v>4079</v>
      </c>
      <c r="P102">
        <f>_xlfn.XLOOKUP(D102, 'Model VMT by TAZ'!A:A, 'Model VMT by TAZ'!E:E, "NO")</f>
        <v>113930</v>
      </c>
    </row>
    <row r="103" spans="1:16" x14ac:dyDescent="0.35">
      <c r="A103">
        <v>100</v>
      </c>
      <c r="B103" t="s">
        <v>1161</v>
      </c>
      <c r="C103">
        <v>2720</v>
      </c>
      <c r="D103">
        <v>1537</v>
      </c>
      <c r="E103" s="136" t="str">
        <f>_xlfn.XLOOKUP(D103,'TAZs by City - CCAG Model'!A:A,'TAZs by City - CCAG Model'!B:B,"ERROR")</f>
        <v>San Mateo</v>
      </c>
      <c r="F103" s="117">
        <f>_xlfn.XLOOKUP(C103,'Model Modeshare by TAZ'!$A:$A,'Model Modeshare by TAZ'!$G:$G)</f>
        <v>96.86</v>
      </c>
      <c r="G103" s="117">
        <f>_xlfn.XLOOKUP(D103,'Model Modeshare by TAZ'!$A:$A,'Model Modeshare by TAZ'!$E:$E)+_xlfn.XLOOKUP(D103,'Model Modeshare by TAZ'!$A:$A,'Model Modeshare by TAZ'!$F:$F)</f>
        <v>6896.32</v>
      </c>
      <c r="H103" s="117">
        <f>_xlfn.XLOOKUP(D103,'Model Modeshare by TAZ'!$A:$A,'Model Modeshare by TAZ'!$J:$J)</f>
        <v>8315.2000000000007</v>
      </c>
      <c r="I103" t="s">
        <v>1162</v>
      </c>
      <c r="J103" t="s">
        <v>1162</v>
      </c>
      <c r="K103">
        <v>0</v>
      </c>
      <c r="L103">
        <v>4050519</v>
      </c>
      <c r="M103">
        <v>8219.9489749999993</v>
      </c>
      <c r="N103">
        <v>4050502.7906689998</v>
      </c>
      <c r="O103">
        <f>_xlfn.XLOOKUP(D103, 'Model VMT by TAZ'!A:A, 'Model VMT by TAZ'!J:J, "NO")</f>
        <v>1904</v>
      </c>
      <c r="P103">
        <f>_xlfn.XLOOKUP(D103, 'Model VMT by TAZ'!A:A, 'Model VMT by TAZ'!E:E, "NO")</f>
        <v>39518.160000000003</v>
      </c>
    </row>
    <row r="104" spans="1:16" x14ac:dyDescent="0.35">
      <c r="A104">
        <v>101</v>
      </c>
      <c r="B104" t="s">
        <v>1161</v>
      </c>
      <c r="C104">
        <v>2721</v>
      </c>
      <c r="D104">
        <v>1536</v>
      </c>
      <c r="E104" s="136" t="str">
        <f>_xlfn.XLOOKUP(D104,'TAZs by City - CCAG Model'!A:A,'TAZs by City - CCAG Model'!B:B,"ERROR")</f>
        <v>San Mateo</v>
      </c>
      <c r="F104" s="117">
        <f>_xlfn.XLOOKUP(C104,'Model Modeshare by TAZ'!$A:$A,'Model Modeshare by TAZ'!$G:$G)</f>
        <v>79.06</v>
      </c>
      <c r="G104" s="117">
        <f>_xlfn.XLOOKUP(D104,'Model Modeshare by TAZ'!$A:$A,'Model Modeshare by TAZ'!$E:$E)+_xlfn.XLOOKUP(D104,'Model Modeshare by TAZ'!$A:$A,'Model Modeshare by TAZ'!$F:$F)</f>
        <v>5703.74</v>
      </c>
      <c r="H104" s="117">
        <f>_xlfn.XLOOKUP(D104,'Model Modeshare by TAZ'!$A:$A,'Model Modeshare by TAZ'!$J:$J)</f>
        <v>6861.74</v>
      </c>
      <c r="I104" t="s">
        <v>1162</v>
      </c>
      <c r="J104" t="s">
        <v>1162</v>
      </c>
      <c r="K104">
        <v>0</v>
      </c>
      <c r="L104">
        <v>2747898</v>
      </c>
      <c r="M104">
        <v>7739.0541949999997</v>
      </c>
      <c r="N104">
        <v>2747886.6132260002</v>
      </c>
      <c r="O104">
        <f>_xlfn.XLOOKUP(D104, 'Model VMT by TAZ'!A:A, 'Model VMT by TAZ'!J:J, "NO")</f>
        <v>1192</v>
      </c>
      <c r="P104">
        <f>_xlfn.XLOOKUP(D104, 'Model VMT by TAZ'!A:A, 'Model VMT by TAZ'!E:E, "NO")</f>
        <v>36792.559999999998</v>
      </c>
    </row>
    <row r="105" spans="1:16" x14ac:dyDescent="0.35">
      <c r="A105">
        <v>102</v>
      </c>
      <c r="B105" t="s">
        <v>1161</v>
      </c>
      <c r="C105">
        <v>2722</v>
      </c>
      <c r="D105">
        <v>1610</v>
      </c>
      <c r="E105" s="136" t="str">
        <f>_xlfn.XLOOKUP(D105,'TAZs by City - CCAG Model'!A:A,'TAZs by City - CCAG Model'!B:B,"ERROR")</f>
        <v>San Mateo</v>
      </c>
      <c r="F105" s="117">
        <f>_xlfn.XLOOKUP(C105,'Model Modeshare by TAZ'!$A:$A,'Model Modeshare by TAZ'!$G:$G)</f>
        <v>301.04000000000002</v>
      </c>
      <c r="G105" s="117">
        <f>_xlfn.XLOOKUP(D105,'Model Modeshare by TAZ'!$A:$A,'Model Modeshare by TAZ'!$E:$E)+_xlfn.XLOOKUP(D105,'Model Modeshare by TAZ'!$A:$A,'Model Modeshare by TAZ'!$F:$F)</f>
        <v>11908.4</v>
      </c>
      <c r="H105" s="117">
        <f>_xlfn.XLOOKUP(D105,'Model Modeshare by TAZ'!$A:$A,'Model Modeshare by TAZ'!$J:$J)</f>
        <v>13976.4</v>
      </c>
      <c r="I105" t="s">
        <v>1162</v>
      </c>
      <c r="J105" t="s">
        <v>1162</v>
      </c>
      <c r="K105">
        <v>0</v>
      </c>
      <c r="L105">
        <v>3317482</v>
      </c>
      <c r="M105">
        <v>9635.9564279999995</v>
      </c>
      <c r="N105">
        <v>3317468.8784340001</v>
      </c>
      <c r="O105">
        <f>_xlfn.XLOOKUP(D105, 'Model VMT by TAZ'!A:A, 'Model VMT by TAZ'!J:J, "NO")</f>
        <v>1893</v>
      </c>
      <c r="P105">
        <f>_xlfn.XLOOKUP(D105, 'Model VMT by TAZ'!A:A, 'Model VMT by TAZ'!E:E, "NO")</f>
        <v>74393.61</v>
      </c>
    </row>
    <row r="106" spans="1:16" x14ac:dyDescent="0.35">
      <c r="A106">
        <v>103</v>
      </c>
      <c r="B106" t="s">
        <v>1161</v>
      </c>
      <c r="C106">
        <v>2723</v>
      </c>
      <c r="D106">
        <v>1545</v>
      </c>
      <c r="E106" s="136" t="str">
        <f>_xlfn.XLOOKUP(D106,'TAZs by City - CCAG Model'!A:A,'TAZs by City - CCAG Model'!B:B,"ERROR")</f>
        <v>San Mateo</v>
      </c>
      <c r="F106" s="117">
        <f>_xlfn.XLOOKUP(C106,'Model Modeshare by TAZ'!$A:$A,'Model Modeshare by TAZ'!$G:$G)</f>
        <v>353.04</v>
      </c>
      <c r="G106" s="117">
        <f>_xlfn.XLOOKUP(D106,'Model Modeshare by TAZ'!$A:$A,'Model Modeshare by TAZ'!$E:$E)+_xlfn.XLOOKUP(D106,'Model Modeshare by TAZ'!$A:$A,'Model Modeshare by TAZ'!$F:$F)</f>
        <v>10908.36</v>
      </c>
      <c r="H106" s="117">
        <f>_xlfn.XLOOKUP(D106,'Model Modeshare by TAZ'!$A:$A,'Model Modeshare by TAZ'!$J:$J)</f>
        <v>13160.28</v>
      </c>
      <c r="I106" t="s">
        <v>1162</v>
      </c>
      <c r="J106" t="s">
        <v>1162</v>
      </c>
      <c r="K106">
        <v>0</v>
      </c>
      <c r="L106">
        <v>7025361</v>
      </c>
      <c r="M106">
        <v>10664.683321</v>
      </c>
      <c r="N106">
        <v>7025332.4708000002</v>
      </c>
      <c r="O106">
        <f>_xlfn.XLOOKUP(D106, 'Model VMT by TAZ'!A:A, 'Model VMT by TAZ'!J:J, "NO")</f>
        <v>2508</v>
      </c>
      <c r="P106">
        <f>_xlfn.XLOOKUP(D106, 'Model VMT by TAZ'!A:A, 'Model VMT by TAZ'!E:E, "NO")</f>
        <v>73696.11</v>
      </c>
    </row>
    <row r="107" spans="1:16" x14ac:dyDescent="0.35">
      <c r="A107">
        <v>104</v>
      </c>
      <c r="B107" t="s">
        <v>1161</v>
      </c>
      <c r="C107">
        <v>2724</v>
      </c>
      <c r="D107">
        <v>1547</v>
      </c>
      <c r="E107" s="136" t="str">
        <f>_xlfn.XLOOKUP(D107,'TAZs by City - CCAG Model'!A:A,'TAZs by City - CCAG Model'!B:B,"ERROR")</f>
        <v>San Mateo</v>
      </c>
      <c r="F107" s="117">
        <f>_xlfn.XLOOKUP(C107,'Model Modeshare by TAZ'!$A:$A,'Model Modeshare by TAZ'!$G:$G)</f>
        <v>448.2</v>
      </c>
      <c r="G107" s="117">
        <f>_xlfn.XLOOKUP(D107,'Model Modeshare by TAZ'!$A:$A,'Model Modeshare by TAZ'!$E:$E)+_xlfn.XLOOKUP(D107,'Model Modeshare by TAZ'!$A:$A,'Model Modeshare by TAZ'!$F:$F)</f>
        <v>17361.84</v>
      </c>
      <c r="H107" s="117">
        <f>_xlfn.XLOOKUP(D107,'Model Modeshare by TAZ'!$A:$A,'Model Modeshare by TAZ'!$J:$J)</f>
        <v>20491.64</v>
      </c>
      <c r="I107" t="s">
        <v>1162</v>
      </c>
      <c r="J107" t="s">
        <v>1162</v>
      </c>
      <c r="K107">
        <v>0</v>
      </c>
      <c r="L107">
        <v>5755123</v>
      </c>
      <c r="M107">
        <v>10357.083073</v>
      </c>
      <c r="N107">
        <v>5755100.4733210001</v>
      </c>
      <c r="O107">
        <f>_xlfn.XLOOKUP(D107, 'Model VMT by TAZ'!A:A, 'Model VMT by TAZ'!J:J, "NO")</f>
        <v>2545</v>
      </c>
      <c r="P107">
        <f>_xlfn.XLOOKUP(D107, 'Model VMT by TAZ'!A:A, 'Model VMT by TAZ'!E:E, "NO")</f>
        <v>123848.92</v>
      </c>
    </row>
    <row r="108" spans="1:16" x14ac:dyDescent="0.35">
      <c r="A108">
        <v>105</v>
      </c>
      <c r="B108" t="s">
        <v>1161</v>
      </c>
      <c r="C108">
        <v>2725</v>
      </c>
      <c r="D108">
        <v>1546</v>
      </c>
      <c r="E108" s="136" t="str">
        <f>_xlfn.XLOOKUP(D108,'TAZs by City - CCAG Model'!A:A,'TAZs by City - CCAG Model'!B:B,"ERROR")</f>
        <v>San Mateo</v>
      </c>
      <c r="F108" s="117">
        <f>_xlfn.XLOOKUP(C108,'Model Modeshare by TAZ'!$A:$A,'Model Modeshare by TAZ'!$G:$G)</f>
        <v>350.68</v>
      </c>
      <c r="G108" s="117">
        <f>_xlfn.XLOOKUP(D108,'Model Modeshare by TAZ'!$A:$A,'Model Modeshare by TAZ'!$E:$E)+_xlfn.XLOOKUP(D108,'Model Modeshare by TAZ'!$A:$A,'Model Modeshare by TAZ'!$F:$F)</f>
        <v>15648.740000000002</v>
      </c>
      <c r="H108" s="117">
        <f>_xlfn.XLOOKUP(D108,'Model Modeshare by TAZ'!$A:$A,'Model Modeshare by TAZ'!$J:$J)</f>
        <v>18037.240000000002</v>
      </c>
      <c r="I108" t="s">
        <v>1162</v>
      </c>
      <c r="J108" t="s">
        <v>1162</v>
      </c>
      <c r="K108">
        <v>0</v>
      </c>
      <c r="L108">
        <v>4812288</v>
      </c>
      <c r="M108">
        <v>11058.048036</v>
      </c>
      <c r="N108">
        <v>4812268.2887260001</v>
      </c>
      <c r="O108">
        <f>_xlfn.XLOOKUP(D108, 'Model VMT by TAZ'!A:A, 'Model VMT by TAZ'!J:J, "NO")</f>
        <v>1521</v>
      </c>
      <c r="P108">
        <f>_xlfn.XLOOKUP(D108, 'Model VMT by TAZ'!A:A, 'Model VMT by TAZ'!E:E, "NO")</f>
        <v>99569.47</v>
      </c>
    </row>
    <row r="109" spans="1:16" x14ac:dyDescent="0.35">
      <c r="A109">
        <v>106</v>
      </c>
      <c r="B109" t="s">
        <v>1161</v>
      </c>
      <c r="C109">
        <v>2743</v>
      </c>
      <c r="D109">
        <v>1575</v>
      </c>
      <c r="E109" s="136" t="str">
        <f>_xlfn.XLOOKUP(D109,'TAZs by City - CCAG Model'!A:A,'TAZs by City - CCAG Model'!B:B,"ERROR")</f>
        <v>Redwood City</v>
      </c>
      <c r="F109" s="117">
        <f>_xlfn.XLOOKUP(C109,'Model Modeshare by TAZ'!$A:$A,'Model Modeshare by TAZ'!$G:$G)</f>
        <v>295.60000000000002</v>
      </c>
      <c r="G109" s="117">
        <f>_xlfn.XLOOKUP(D109,'Model Modeshare by TAZ'!$A:$A,'Model Modeshare by TAZ'!$E:$E)+_xlfn.XLOOKUP(D109,'Model Modeshare by TAZ'!$A:$A,'Model Modeshare by TAZ'!$F:$F)</f>
        <v>11593.3</v>
      </c>
      <c r="H109" s="117">
        <f>_xlfn.XLOOKUP(D109,'Model Modeshare by TAZ'!$A:$A,'Model Modeshare by TAZ'!$J:$J)</f>
        <v>15412.08</v>
      </c>
      <c r="I109" t="s">
        <v>1162</v>
      </c>
      <c r="J109" t="s">
        <v>1162</v>
      </c>
      <c r="K109">
        <v>0</v>
      </c>
      <c r="L109">
        <v>4615093</v>
      </c>
      <c r="M109">
        <v>10193.396514</v>
      </c>
      <c r="N109">
        <v>4615075.0387519998</v>
      </c>
      <c r="O109">
        <f>_xlfn.XLOOKUP(D109, 'Model VMT by TAZ'!A:A, 'Model VMT by TAZ'!J:J, "NO")</f>
        <v>3592</v>
      </c>
      <c r="P109">
        <f>_xlfn.XLOOKUP(D109, 'Model VMT by TAZ'!A:A, 'Model VMT by TAZ'!E:E, "NO")</f>
        <v>42956.83</v>
      </c>
    </row>
    <row r="110" spans="1:16" x14ac:dyDescent="0.35">
      <c r="A110">
        <v>107</v>
      </c>
      <c r="B110" t="s">
        <v>1161</v>
      </c>
      <c r="C110">
        <v>2745</v>
      </c>
      <c r="D110">
        <v>1627</v>
      </c>
      <c r="E110" s="136" t="str">
        <f>_xlfn.XLOOKUP(D110,'TAZs by City - CCAG Model'!A:A,'TAZs by City - CCAG Model'!B:B,"ERROR")</f>
        <v>Redwood City</v>
      </c>
      <c r="F110" s="117">
        <f>_xlfn.XLOOKUP(C110,'Model Modeshare by TAZ'!$A:$A,'Model Modeshare by TAZ'!$G:$G)</f>
        <v>154.18</v>
      </c>
      <c r="G110" s="117">
        <f>_xlfn.XLOOKUP(D110,'Model Modeshare by TAZ'!$A:$A,'Model Modeshare by TAZ'!$E:$E)+_xlfn.XLOOKUP(D110,'Model Modeshare by TAZ'!$A:$A,'Model Modeshare by TAZ'!$F:$F)</f>
        <v>16197.900000000001</v>
      </c>
      <c r="H110" s="117">
        <f>_xlfn.XLOOKUP(D110,'Model Modeshare by TAZ'!$A:$A,'Model Modeshare by TAZ'!$J:$J)</f>
        <v>19328.759999999998</v>
      </c>
      <c r="I110" t="s">
        <v>1162</v>
      </c>
      <c r="J110" t="s">
        <v>1162</v>
      </c>
      <c r="K110">
        <v>0</v>
      </c>
      <c r="L110">
        <v>2500466</v>
      </c>
      <c r="M110">
        <v>7084.7750880000003</v>
      </c>
      <c r="N110">
        <v>2500456.002694</v>
      </c>
      <c r="O110">
        <f>_xlfn.XLOOKUP(D110, 'Model VMT by TAZ'!A:A, 'Model VMT by TAZ'!J:J, "NO")</f>
        <v>2716</v>
      </c>
      <c r="P110">
        <f>_xlfn.XLOOKUP(D110, 'Model VMT by TAZ'!A:A, 'Model VMT by TAZ'!E:E, "NO")</f>
        <v>121005.88</v>
      </c>
    </row>
    <row r="111" spans="1:16" x14ac:dyDescent="0.35">
      <c r="A111">
        <v>108</v>
      </c>
      <c r="B111" t="s">
        <v>1161</v>
      </c>
      <c r="C111">
        <v>2747</v>
      </c>
      <c r="D111">
        <v>1678</v>
      </c>
      <c r="E111" s="136" t="str">
        <f>_xlfn.XLOOKUP(D111,'TAZs by City - CCAG Model'!A:A,'TAZs by City - CCAG Model'!B:B,"ERROR")</f>
        <v>Redwood City</v>
      </c>
      <c r="F111" s="117">
        <f>_xlfn.XLOOKUP(C111,'Model Modeshare by TAZ'!$A:$A,'Model Modeshare by TAZ'!$G:$G)</f>
        <v>65.540000000000006</v>
      </c>
      <c r="G111" s="117">
        <f>_xlfn.XLOOKUP(D111,'Model Modeshare by TAZ'!$A:$A,'Model Modeshare by TAZ'!$E:$E)+_xlfn.XLOOKUP(D111,'Model Modeshare by TAZ'!$A:$A,'Model Modeshare by TAZ'!$F:$F)</f>
        <v>5633.54</v>
      </c>
      <c r="H111" s="117">
        <f>_xlfn.XLOOKUP(D111,'Model Modeshare by TAZ'!$A:$A,'Model Modeshare by TAZ'!$J:$J)</f>
        <v>6518.34</v>
      </c>
      <c r="I111" t="s">
        <v>1162</v>
      </c>
      <c r="J111" t="s">
        <v>1162</v>
      </c>
      <c r="K111">
        <v>0</v>
      </c>
      <c r="L111">
        <v>2614592</v>
      </c>
      <c r="M111">
        <v>6786.9785039999997</v>
      </c>
      <c r="N111">
        <v>2614581.478044</v>
      </c>
      <c r="O111">
        <f>_xlfn.XLOOKUP(D111, 'Model VMT by TAZ'!A:A, 'Model VMT by TAZ'!J:J, "NO")</f>
        <v>965</v>
      </c>
      <c r="P111">
        <f>_xlfn.XLOOKUP(D111, 'Model VMT by TAZ'!A:A, 'Model VMT by TAZ'!E:E, "NO")</f>
        <v>41001.29</v>
      </c>
    </row>
    <row r="112" spans="1:16" x14ac:dyDescent="0.35">
      <c r="A112">
        <v>109</v>
      </c>
      <c r="B112" t="s">
        <v>1161</v>
      </c>
      <c r="C112">
        <v>2750</v>
      </c>
      <c r="D112">
        <v>1685</v>
      </c>
      <c r="E112" s="136" t="str">
        <f>_xlfn.XLOOKUP(D112,'TAZs by City - CCAG Model'!A:A,'TAZs by City - CCAG Model'!B:B,"ERROR")</f>
        <v>Atherton</v>
      </c>
      <c r="F112" s="117">
        <f>_xlfn.XLOOKUP(C112,'Model Modeshare by TAZ'!$A:$A,'Model Modeshare by TAZ'!$G:$G)</f>
        <v>244.56</v>
      </c>
      <c r="G112" s="117">
        <f>_xlfn.XLOOKUP(D112,'Model Modeshare by TAZ'!$A:$A,'Model Modeshare by TAZ'!$E:$E)+_xlfn.XLOOKUP(D112,'Model Modeshare by TAZ'!$A:$A,'Model Modeshare by TAZ'!$F:$F)</f>
        <v>8111.54</v>
      </c>
      <c r="H112" s="117">
        <f>_xlfn.XLOOKUP(D112,'Model Modeshare by TAZ'!$A:$A,'Model Modeshare by TAZ'!$J:$J)</f>
        <v>9033.92</v>
      </c>
      <c r="I112" t="s">
        <v>1162</v>
      </c>
      <c r="J112" t="s">
        <v>1162</v>
      </c>
      <c r="K112">
        <v>0</v>
      </c>
      <c r="L112">
        <v>23755390</v>
      </c>
      <c r="M112">
        <v>19651.269699</v>
      </c>
      <c r="N112">
        <v>23755295.049943998</v>
      </c>
      <c r="O112">
        <f>_xlfn.XLOOKUP(D112, 'Model VMT by TAZ'!A:A, 'Model VMT by TAZ'!J:J, "NO")</f>
        <v>1291</v>
      </c>
      <c r="P112">
        <f>_xlfn.XLOOKUP(D112, 'Model VMT by TAZ'!A:A, 'Model VMT by TAZ'!E:E, "NO")</f>
        <v>24342.959999999999</v>
      </c>
    </row>
    <row r="113" spans="1:16" x14ac:dyDescent="0.35">
      <c r="A113">
        <v>110</v>
      </c>
      <c r="B113" t="s">
        <v>1161</v>
      </c>
      <c r="C113">
        <v>2751</v>
      </c>
      <c r="D113">
        <v>1686</v>
      </c>
      <c r="E113" s="136" t="str">
        <f>_xlfn.XLOOKUP(D113,'TAZs by City - CCAG Model'!A:A,'TAZs by City - CCAG Model'!B:B,"ERROR")</f>
        <v>Atherton</v>
      </c>
      <c r="F113" s="117">
        <f>_xlfn.XLOOKUP(C113,'Model Modeshare by TAZ'!$A:$A,'Model Modeshare by TAZ'!$G:$G)</f>
        <v>195.04</v>
      </c>
      <c r="G113" s="117">
        <f>_xlfn.XLOOKUP(D113,'Model Modeshare by TAZ'!$A:$A,'Model Modeshare by TAZ'!$E:$E)+_xlfn.XLOOKUP(D113,'Model Modeshare by TAZ'!$A:$A,'Model Modeshare by TAZ'!$F:$F)</f>
        <v>2951.2</v>
      </c>
      <c r="H113" s="117">
        <f>_xlfn.XLOOKUP(D113,'Model Modeshare by TAZ'!$A:$A,'Model Modeshare by TAZ'!$J:$J)</f>
        <v>3432.96</v>
      </c>
      <c r="I113" t="s">
        <v>1162</v>
      </c>
      <c r="J113" t="s">
        <v>1162</v>
      </c>
      <c r="K113">
        <v>0</v>
      </c>
      <c r="L113">
        <v>11520911</v>
      </c>
      <c r="M113">
        <v>14909.457195999999</v>
      </c>
      <c r="N113">
        <v>11520864.608128</v>
      </c>
      <c r="O113">
        <f>_xlfn.XLOOKUP(D113, 'Model VMT by TAZ'!A:A, 'Model VMT by TAZ'!J:J, "NO")</f>
        <v>440</v>
      </c>
      <c r="P113">
        <f>_xlfn.XLOOKUP(D113, 'Model VMT by TAZ'!A:A, 'Model VMT by TAZ'!E:E, "NO")</f>
        <v>15463.5</v>
      </c>
    </row>
    <row r="114" spans="1:16" x14ac:dyDescent="0.35">
      <c r="A114">
        <v>111</v>
      </c>
      <c r="B114" t="s">
        <v>1161</v>
      </c>
      <c r="C114">
        <v>2752</v>
      </c>
      <c r="D114">
        <v>1587</v>
      </c>
      <c r="E114" s="136" t="str">
        <f>_xlfn.XLOOKUP(D114,'TAZs by City - CCAG Model'!A:A,'TAZs by City - CCAG Model'!B:B,"ERROR")</f>
        <v>Atherton</v>
      </c>
      <c r="F114" s="117">
        <f>_xlfn.XLOOKUP(C114,'Model Modeshare by TAZ'!$A:$A,'Model Modeshare by TAZ'!$G:$G)</f>
        <v>367.4</v>
      </c>
      <c r="G114" s="117">
        <f>_xlfn.XLOOKUP(D114,'Model Modeshare by TAZ'!$A:$A,'Model Modeshare by TAZ'!$E:$E)+_xlfn.XLOOKUP(D114,'Model Modeshare by TAZ'!$A:$A,'Model Modeshare by TAZ'!$F:$F)</f>
        <v>4235</v>
      </c>
      <c r="H114" s="117">
        <f>_xlfn.XLOOKUP(D114,'Model Modeshare by TAZ'!$A:$A,'Model Modeshare by TAZ'!$J:$J)</f>
        <v>4631.76</v>
      </c>
      <c r="I114" t="s">
        <v>1162</v>
      </c>
      <c r="J114" t="s">
        <v>1162</v>
      </c>
      <c r="K114">
        <v>0</v>
      </c>
      <c r="L114">
        <v>6534544</v>
      </c>
      <c r="M114">
        <v>12299.801328</v>
      </c>
      <c r="N114">
        <v>6534518.250759</v>
      </c>
      <c r="O114">
        <f>_xlfn.XLOOKUP(D114, 'Model VMT by TAZ'!A:A, 'Model VMT by TAZ'!J:J, "NO")</f>
        <v>332</v>
      </c>
      <c r="P114">
        <f>_xlfn.XLOOKUP(D114, 'Model VMT by TAZ'!A:A, 'Model VMT by TAZ'!E:E, "NO")</f>
        <v>6018</v>
      </c>
    </row>
    <row r="115" spans="1:16" x14ac:dyDescent="0.35">
      <c r="A115">
        <v>112</v>
      </c>
      <c r="B115" t="s">
        <v>1161</v>
      </c>
      <c r="C115">
        <v>2753</v>
      </c>
      <c r="D115">
        <v>1586</v>
      </c>
      <c r="E115" s="136" t="str">
        <f>_xlfn.XLOOKUP(D115,'TAZs by City - CCAG Model'!A:A,'TAZs by City - CCAG Model'!B:B,"ERROR")</f>
        <v>Menlo Park</v>
      </c>
      <c r="F115" s="117">
        <f>_xlfn.XLOOKUP(C115,'Model Modeshare by TAZ'!$A:$A,'Model Modeshare by TAZ'!$G:$G)</f>
        <v>579.54</v>
      </c>
      <c r="G115" s="117">
        <f>_xlfn.XLOOKUP(D115,'Model Modeshare by TAZ'!$A:$A,'Model Modeshare by TAZ'!$E:$E)+_xlfn.XLOOKUP(D115,'Model Modeshare by TAZ'!$A:$A,'Model Modeshare by TAZ'!$F:$F)</f>
        <v>6974.34</v>
      </c>
      <c r="H115" s="117">
        <f>_xlfn.XLOOKUP(D115,'Model Modeshare by TAZ'!$A:$A,'Model Modeshare by TAZ'!$J:$J)</f>
        <v>8760.14</v>
      </c>
      <c r="I115" t="s">
        <v>1162</v>
      </c>
      <c r="J115" t="s">
        <v>1162</v>
      </c>
      <c r="K115">
        <v>0</v>
      </c>
      <c r="L115">
        <v>4001021</v>
      </c>
      <c r="M115">
        <v>8243.7983980000008</v>
      </c>
      <c r="N115">
        <v>4001005.2933740001</v>
      </c>
      <c r="O115">
        <f>_xlfn.XLOOKUP(D115, 'Model VMT by TAZ'!A:A, 'Model VMT by TAZ'!J:J, "NO")</f>
        <v>881</v>
      </c>
      <c r="P115">
        <f>_xlfn.XLOOKUP(D115, 'Model VMT by TAZ'!A:A, 'Model VMT by TAZ'!E:E, "NO")</f>
        <v>53894.12</v>
      </c>
    </row>
    <row r="116" spans="1:16" x14ac:dyDescent="0.35">
      <c r="A116">
        <v>113</v>
      </c>
      <c r="B116" t="s">
        <v>1161</v>
      </c>
      <c r="C116">
        <v>2754</v>
      </c>
      <c r="D116">
        <v>1584</v>
      </c>
      <c r="E116" s="136" t="str">
        <f>_xlfn.XLOOKUP(D116,'TAZs by City - CCAG Model'!A:A,'TAZs by City - CCAG Model'!B:B,"ERROR")</f>
        <v>Atherton</v>
      </c>
      <c r="F116" s="117">
        <f>_xlfn.XLOOKUP(C116,'Model Modeshare by TAZ'!$A:$A,'Model Modeshare by TAZ'!$G:$G)</f>
        <v>537.84</v>
      </c>
      <c r="G116" s="117">
        <f>_xlfn.XLOOKUP(D116,'Model Modeshare by TAZ'!$A:$A,'Model Modeshare by TAZ'!$E:$E)+_xlfn.XLOOKUP(D116,'Model Modeshare by TAZ'!$A:$A,'Model Modeshare by TAZ'!$F:$F)</f>
        <v>3211.6400000000003</v>
      </c>
      <c r="H116" s="117">
        <f>_xlfn.XLOOKUP(D116,'Model Modeshare by TAZ'!$A:$A,'Model Modeshare by TAZ'!$J:$J)</f>
        <v>3586.68</v>
      </c>
      <c r="I116" t="s">
        <v>1162</v>
      </c>
      <c r="J116" t="s">
        <v>1162</v>
      </c>
      <c r="K116">
        <v>0</v>
      </c>
      <c r="L116">
        <v>3997959</v>
      </c>
      <c r="M116">
        <v>9226.3663250000009</v>
      </c>
      <c r="N116">
        <v>3997942.7404240002</v>
      </c>
      <c r="O116">
        <f>_xlfn.XLOOKUP(D116, 'Model VMT by TAZ'!A:A, 'Model VMT by TAZ'!J:J, "NO")</f>
        <v>530</v>
      </c>
      <c r="P116">
        <f>_xlfn.XLOOKUP(D116, 'Model VMT by TAZ'!A:A, 'Model VMT by TAZ'!E:E, "NO")</f>
        <v>15737.96</v>
      </c>
    </row>
    <row r="117" spans="1:16" x14ac:dyDescent="0.35">
      <c r="A117">
        <v>114</v>
      </c>
      <c r="B117" t="s">
        <v>1161</v>
      </c>
      <c r="C117">
        <v>2755</v>
      </c>
      <c r="D117">
        <v>1633</v>
      </c>
      <c r="E117" s="136" t="str">
        <f>_xlfn.XLOOKUP(D117,'TAZs by City - CCAG Model'!A:A,'TAZs by City - CCAG Model'!B:B,"ERROR")</f>
        <v>Atherton</v>
      </c>
      <c r="F117" s="117">
        <f>_xlfn.XLOOKUP(C117,'Model Modeshare by TAZ'!$A:$A,'Model Modeshare by TAZ'!$G:$G)</f>
        <v>364.92</v>
      </c>
      <c r="G117" s="117">
        <f>_xlfn.XLOOKUP(D117,'Model Modeshare by TAZ'!$A:$A,'Model Modeshare by TAZ'!$E:$E)+_xlfn.XLOOKUP(D117,'Model Modeshare by TAZ'!$A:$A,'Model Modeshare by TAZ'!$F:$F)</f>
        <v>2664.08</v>
      </c>
      <c r="H117" s="117">
        <f>_xlfn.XLOOKUP(D117,'Model Modeshare by TAZ'!$A:$A,'Model Modeshare by TAZ'!$J:$J)</f>
        <v>3061.48</v>
      </c>
      <c r="I117" t="s">
        <v>1162</v>
      </c>
      <c r="J117" t="s">
        <v>1162</v>
      </c>
      <c r="K117">
        <v>0</v>
      </c>
      <c r="L117">
        <v>12420049</v>
      </c>
      <c r="M117">
        <v>22114.884805000002</v>
      </c>
      <c r="N117">
        <v>12419998.827493999</v>
      </c>
      <c r="O117">
        <f>_xlfn.XLOOKUP(D117, 'Model VMT by TAZ'!A:A, 'Model VMT by TAZ'!J:J, "NO")</f>
        <v>599</v>
      </c>
      <c r="P117">
        <f>_xlfn.XLOOKUP(D117, 'Model VMT by TAZ'!A:A, 'Model VMT by TAZ'!E:E, "NO")</f>
        <v>13210.43</v>
      </c>
    </row>
    <row r="118" spans="1:16" x14ac:dyDescent="0.35">
      <c r="A118">
        <v>115</v>
      </c>
      <c r="B118" t="s">
        <v>1161</v>
      </c>
      <c r="C118">
        <v>2756</v>
      </c>
      <c r="D118">
        <v>1585</v>
      </c>
      <c r="E118" s="136" t="str">
        <f>_xlfn.XLOOKUP(D118,'TAZs by City - CCAG Model'!A:A,'TAZs by City - CCAG Model'!B:B,"ERROR")</f>
        <v>Menlo Park</v>
      </c>
      <c r="F118" s="117">
        <f>_xlfn.XLOOKUP(C118,'Model Modeshare by TAZ'!$A:$A,'Model Modeshare by TAZ'!$G:$G)</f>
        <v>506.78</v>
      </c>
      <c r="G118" s="117">
        <f>_xlfn.XLOOKUP(D118,'Model Modeshare by TAZ'!$A:$A,'Model Modeshare by TAZ'!$E:$E)+_xlfn.XLOOKUP(D118,'Model Modeshare by TAZ'!$A:$A,'Model Modeshare by TAZ'!$F:$F)</f>
        <v>24005.52</v>
      </c>
      <c r="H118" s="117">
        <f>_xlfn.XLOOKUP(D118,'Model Modeshare by TAZ'!$A:$A,'Model Modeshare by TAZ'!$J:$J)</f>
        <v>28868.880000000001</v>
      </c>
      <c r="I118" t="s">
        <v>1162</v>
      </c>
      <c r="J118" t="s">
        <v>1162</v>
      </c>
      <c r="K118">
        <v>0</v>
      </c>
      <c r="L118">
        <v>9209268</v>
      </c>
      <c r="M118">
        <v>17627.748288999999</v>
      </c>
      <c r="N118">
        <v>9209230.8379919995</v>
      </c>
      <c r="O118">
        <f>_xlfn.XLOOKUP(D118, 'Model VMT by TAZ'!A:A, 'Model VMT by TAZ'!J:J, "NO")</f>
        <v>2573</v>
      </c>
      <c r="P118">
        <f>_xlfn.XLOOKUP(D118, 'Model VMT by TAZ'!A:A, 'Model VMT by TAZ'!E:E, "NO")</f>
        <v>223046.17</v>
      </c>
    </row>
    <row r="119" spans="1:16" x14ac:dyDescent="0.35">
      <c r="A119">
        <v>116</v>
      </c>
      <c r="B119" t="s">
        <v>1161</v>
      </c>
      <c r="C119">
        <v>2775</v>
      </c>
      <c r="D119">
        <v>1986</v>
      </c>
      <c r="E119" s="136" t="str">
        <f>_xlfn.XLOOKUP(D119,'TAZs by City - CCAG Model'!A:A,'TAZs by City - CCAG Model'!B:B,"ERROR")</f>
        <v>Belmont</v>
      </c>
      <c r="F119" s="117">
        <f>_xlfn.XLOOKUP(C119,'Model Modeshare by TAZ'!$A:$A,'Model Modeshare by TAZ'!$G:$G)</f>
        <v>596.38</v>
      </c>
      <c r="G119" s="117">
        <f>_xlfn.XLOOKUP(D119,'Model Modeshare by TAZ'!$A:$A,'Model Modeshare by TAZ'!$E:$E)+_xlfn.XLOOKUP(D119,'Model Modeshare by TAZ'!$A:$A,'Model Modeshare by TAZ'!$F:$F)</f>
        <v>14390.76</v>
      </c>
      <c r="H119" s="117">
        <f>_xlfn.XLOOKUP(D119,'Model Modeshare by TAZ'!$A:$A,'Model Modeshare by TAZ'!$J:$J)</f>
        <v>17130.759999999998</v>
      </c>
      <c r="I119" t="s">
        <v>1162</v>
      </c>
      <c r="J119" t="s">
        <v>1162</v>
      </c>
      <c r="K119">
        <v>0</v>
      </c>
      <c r="L119">
        <v>10474814</v>
      </c>
      <c r="M119">
        <v>16200.581681</v>
      </c>
      <c r="N119">
        <v>10474771.747686001</v>
      </c>
      <c r="O119">
        <f>_xlfn.XLOOKUP(D119, 'Model VMT by TAZ'!A:A, 'Model VMT by TAZ'!J:J, "NO")</f>
        <v>3250</v>
      </c>
      <c r="P119">
        <f>_xlfn.XLOOKUP(D119, 'Model VMT by TAZ'!A:A, 'Model VMT by TAZ'!E:E, "NO")</f>
        <v>81087.149999999994</v>
      </c>
    </row>
    <row r="120" spans="1:16" x14ac:dyDescent="0.35">
      <c r="A120">
        <v>117</v>
      </c>
      <c r="B120" t="s">
        <v>1161</v>
      </c>
      <c r="C120">
        <v>2776</v>
      </c>
      <c r="D120">
        <v>1657</v>
      </c>
      <c r="E120" s="136" t="str">
        <f>_xlfn.XLOOKUP(D120,'TAZs by City - CCAG Model'!A:A,'TAZs by City - CCAG Model'!B:B,"ERROR")</f>
        <v>Belmont</v>
      </c>
      <c r="F120" s="117">
        <f>_xlfn.XLOOKUP(C120,'Model Modeshare by TAZ'!$A:$A,'Model Modeshare by TAZ'!$G:$G)</f>
        <v>622.96</v>
      </c>
      <c r="G120" s="117">
        <f>_xlfn.XLOOKUP(D120,'Model Modeshare by TAZ'!$A:$A,'Model Modeshare by TAZ'!$E:$E)+_xlfn.XLOOKUP(D120,'Model Modeshare by TAZ'!$A:$A,'Model Modeshare by TAZ'!$F:$F)</f>
        <v>13601.48</v>
      </c>
      <c r="H120" s="117">
        <f>_xlfn.XLOOKUP(D120,'Model Modeshare by TAZ'!$A:$A,'Model Modeshare by TAZ'!$J:$J)</f>
        <v>16036.56</v>
      </c>
      <c r="I120" t="s">
        <v>1162</v>
      </c>
      <c r="J120" t="s">
        <v>1162</v>
      </c>
      <c r="K120">
        <v>0</v>
      </c>
      <c r="L120">
        <v>7033142</v>
      </c>
      <c r="M120">
        <v>13093.572538</v>
      </c>
      <c r="N120">
        <v>7033114.151389</v>
      </c>
      <c r="O120">
        <f>_xlfn.XLOOKUP(D120, 'Model VMT by TAZ'!A:A, 'Model VMT by TAZ'!J:J, "NO")</f>
        <v>2288</v>
      </c>
      <c r="P120">
        <f>_xlfn.XLOOKUP(D120, 'Model VMT by TAZ'!A:A, 'Model VMT by TAZ'!E:E, "NO")</f>
        <v>70504.86</v>
      </c>
    </row>
    <row r="121" spans="1:16" x14ac:dyDescent="0.35">
      <c r="A121">
        <v>118</v>
      </c>
      <c r="B121" t="s">
        <v>1161</v>
      </c>
      <c r="C121">
        <v>2777</v>
      </c>
      <c r="D121">
        <v>1551</v>
      </c>
      <c r="E121" s="136" t="str">
        <f>_xlfn.XLOOKUP(D121,'TAZs by City - CCAG Model'!A:A,'TAZs by City - CCAG Model'!B:B,"ERROR")</f>
        <v>Belmont</v>
      </c>
      <c r="F121" s="117">
        <f>_xlfn.XLOOKUP(C121,'Model Modeshare by TAZ'!$A:$A,'Model Modeshare by TAZ'!$G:$G)</f>
        <v>249.32</v>
      </c>
      <c r="G121" s="117">
        <f>_xlfn.XLOOKUP(D121,'Model Modeshare by TAZ'!$A:$A,'Model Modeshare by TAZ'!$E:$E)+_xlfn.XLOOKUP(D121,'Model Modeshare by TAZ'!$A:$A,'Model Modeshare by TAZ'!$F:$F)</f>
        <v>7208.04</v>
      </c>
      <c r="H121" s="117">
        <f>_xlfn.XLOOKUP(D121,'Model Modeshare by TAZ'!$A:$A,'Model Modeshare by TAZ'!$J:$J)</f>
        <v>9470.36</v>
      </c>
      <c r="I121" t="s">
        <v>1162</v>
      </c>
      <c r="J121" t="s">
        <v>1162</v>
      </c>
      <c r="K121">
        <v>0</v>
      </c>
      <c r="L121">
        <v>2780369</v>
      </c>
      <c r="M121">
        <v>9940.7143730000007</v>
      </c>
      <c r="N121">
        <v>2780358.0578000001</v>
      </c>
      <c r="O121">
        <f>_xlfn.XLOOKUP(D121, 'Model VMT by TAZ'!A:A, 'Model VMT by TAZ'!J:J, "NO")</f>
        <v>650</v>
      </c>
      <c r="P121">
        <f>_xlfn.XLOOKUP(D121, 'Model VMT by TAZ'!A:A, 'Model VMT by TAZ'!E:E, "NO")</f>
        <v>28313.52</v>
      </c>
    </row>
    <row r="122" spans="1:16" x14ac:dyDescent="0.35">
      <c r="A122">
        <v>119</v>
      </c>
      <c r="B122" t="s">
        <v>1161</v>
      </c>
      <c r="C122">
        <v>2789</v>
      </c>
      <c r="D122">
        <v>1613</v>
      </c>
      <c r="E122" s="136" t="str">
        <f>_xlfn.XLOOKUP(D122,'TAZs by City - CCAG Model'!A:A,'TAZs by City - CCAG Model'!B:B,"ERROR")</f>
        <v>San Mateo</v>
      </c>
      <c r="F122" s="117">
        <f>_xlfn.XLOOKUP(C122,'Model Modeshare by TAZ'!$A:$A,'Model Modeshare by TAZ'!$G:$G)</f>
        <v>0</v>
      </c>
      <c r="G122" s="117">
        <f>_xlfn.XLOOKUP(D122,'Model Modeshare by TAZ'!$A:$A,'Model Modeshare by TAZ'!$E:$E)+_xlfn.XLOOKUP(D122,'Model Modeshare by TAZ'!$A:$A,'Model Modeshare by TAZ'!$F:$F)</f>
        <v>9509.7999999999993</v>
      </c>
      <c r="H122" s="117">
        <f>_xlfn.XLOOKUP(D122,'Model Modeshare by TAZ'!$A:$A,'Model Modeshare by TAZ'!$J:$J)</f>
        <v>10652.64</v>
      </c>
      <c r="I122" t="s">
        <v>1162</v>
      </c>
      <c r="J122" t="s">
        <v>1162</v>
      </c>
      <c r="K122">
        <v>0</v>
      </c>
      <c r="L122">
        <v>7960077</v>
      </c>
      <c r="M122">
        <v>12590.158847999999</v>
      </c>
      <c r="N122">
        <v>7960044.756058</v>
      </c>
      <c r="O122">
        <f>_xlfn.XLOOKUP(D122, 'Model VMT by TAZ'!A:A, 'Model VMT by TAZ'!J:J, "NO")</f>
        <v>35</v>
      </c>
      <c r="P122">
        <f>_xlfn.XLOOKUP(D122, 'Model VMT by TAZ'!A:A, 'Model VMT by TAZ'!E:E, "NO")</f>
        <v>116592.42</v>
      </c>
    </row>
    <row r="123" spans="1:16" x14ac:dyDescent="0.35">
      <c r="A123">
        <v>120</v>
      </c>
      <c r="B123" t="s">
        <v>1161</v>
      </c>
      <c r="C123">
        <v>2790</v>
      </c>
      <c r="D123">
        <v>1544</v>
      </c>
      <c r="E123" s="136" t="str">
        <f>_xlfn.XLOOKUP(D123,'TAZs by City - CCAG Model'!A:A,'TAZs by City - CCAG Model'!B:B,"ERROR")</f>
        <v>San Mateo</v>
      </c>
      <c r="F123" s="117">
        <f>_xlfn.XLOOKUP(C123,'Model Modeshare by TAZ'!$A:$A,'Model Modeshare by TAZ'!$G:$G)</f>
        <v>0</v>
      </c>
      <c r="G123" s="117">
        <f>_xlfn.XLOOKUP(D123,'Model Modeshare by TAZ'!$A:$A,'Model Modeshare by TAZ'!$E:$E)+_xlfn.XLOOKUP(D123,'Model Modeshare by TAZ'!$A:$A,'Model Modeshare by TAZ'!$F:$F)</f>
        <v>8862.26</v>
      </c>
      <c r="H123" s="117">
        <f>_xlfn.XLOOKUP(D123,'Model Modeshare by TAZ'!$A:$A,'Model Modeshare by TAZ'!$J:$J)</f>
        <v>10040.780000000001</v>
      </c>
      <c r="I123" t="s">
        <v>1162</v>
      </c>
      <c r="J123" t="s">
        <v>1162</v>
      </c>
      <c r="K123">
        <v>0</v>
      </c>
      <c r="L123">
        <v>2017910</v>
      </c>
      <c r="M123">
        <v>6948.5966920000001</v>
      </c>
      <c r="N123">
        <v>2017901.4680310001</v>
      </c>
      <c r="O123">
        <f>_xlfn.XLOOKUP(D123, 'Model VMT by TAZ'!A:A, 'Model VMT by TAZ'!J:J, "NO")</f>
        <v>408</v>
      </c>
      <c r="P123">
        <f>_xlfn.XLOOKUP(D123, 'Model VMT by TAZ'!A:A, 'Model VMT by TAZ'!E:E, "NO")</f>
        <v>99436.6</v>
      </c>
    </row>
    <row r="124" spans="1:16" x14ac:dyDescent="0.35">
      <c r="A124">
        <v>121</v>
      </c>
      <c r="B124" t="s">
        <v>1161</v>
      </c>
      <c r="C124">
        <v>2801</v>
      </c>
      <c r="D124">
        <v>2015</v>
      </c>
      <c r="E124" s="136" t="str">
        <f>_xlfn.XLOOKUP(D124,'TAZs by City - CCAG Model'!A:A,'TAZs by City - CCAG Model'!B:B,"ERROR")</f>
        <v>Redwood City</v>
      </c>
      <c r="F124" s="117">
        <f>_xlfn.XLOOKUP(C124,'Model Modeshare by TAZ'!$A:$A,'Model Modeshare by TAZ'!$G:$G)</f>
        <v>0</v>
      </c>
      <c r="G124" s="117">
        <f>_xlfn.XLOOKUP(D124,'Model Modeshare by TAZ'!$A:$A,'Model Modeshare by TAZ'!$E:$E)+_xlfn.XLOOKUP(D124,'Model Modeshare by TAZ'!$A:$A,'Model Modeshare by TAZ'!$F:$F)</f>
        <v>43229.46</v>
      </c>
      <c r="H124" s="117">
        <f>_xlfn.XLOOKUP(D124,'Model Modeshare by TAZ'!$A:$A,'Model Modeshare by TAZ'!$J:$J)</f>
        <v>50693.34</v>
      </c>
      <c r="I124" t="s">
        <v>1162</v>
      </c>
      <c r="J124" t="s">
        <v>1162</v>
      </c>
      <c r="K124">
        <v>0</v>
      </c>
      <c r="L124">
        <v>5513959</v>
      </c>
      <c r="M124">
        <v>10240.266446</v>
      </c>
      <c r="N124">
        <v>5513937.4154709997</v>
      </c>
      <c r="O124">
        <f>_xlfn.XLOOKUP(D124, 'Model VMT by TAZ'!A:A, 'Model VMT by TAZ'!J:J, "NO")</f>
        <v>1822</v>
      </c>
      <c r="P124">
        <f>_xlfn.XLOOKUP(D124, 'Model VMT by TAZ'!A:A, 'Model VMT by TAZ'!E:E, "NO")</f>
        <v>370563.71</v>
      </c>
    </row>
    <row r="125" spans="1:16" x14ac:dyDescent="0.35">
      <c r="A125">
        <v>122</v>
      </c>
      <c r="B125" t="s">
        <v>1161</v>
      </c>
      <c r="C125">
        <v>2812</v>
      </c>
      <c r="D125">
        <v>1596</v>
      </c>
      <c r="E125" s="136" t="str">
        <f>_xlfn.XLOOKUP(D125,'TAZs by City - CCAG Model'!A:A,'TAZs by City - CCAG Model'!B:B,"ERROR")</f>
        <v>South San Francisco</v>
      </c>
      <c r="F125" s="117">
        <f>_xlfn.XLOOKUP(C125,'Model Modeshare by TAZ'!$A:$A,'Model Modeshare by TAZ'!$G:$G)</f>
        <v>0</v>
      </c>
      <c r="G125" s="117">
        <f>_xlfn.XLOOKUP(D125,'Model Modeshare by TAZ'!$A:$A,'Model Modeshare by TAZ'!$E:$E)+_xlfn.XLOOKUP(D125,'Model Modeshare by TAZ'!$A:$A,'Model Modeshare by TAZ'!$F:$F)</f>
        <v>5436.9400000000005</v>
      </c>
      <c r="H125" s="117">
        <f>_xlfn.XLOOKUP(D125,'Model Modeshare by TAZ'!$A:$A,'Model Modeshare by TAZ'!$J:$J)</f>
        <v>6925.72</v>
      </c>
      <c r="I125" t="s">
        <v>1162</v>
      </c>
      <c r="J125" t="s">
        <v>1162</v>
      </c>
      <c r="K125">
        <v>0</v>
      </c>
      <c r="L125">
        <v>3149371</v>
      </c>
      <c r="M125">
        <v>7499.543154</v>
      </c>
      <c r="N125">
        <v>3149358.7522280002</v>
      </c>
      <c r="O125">
        <f>_xlfn.XLOOKUP(D125, 'Model VMT by TAZ'!A:A, 'Model VMT by TAZ'!J:J, "NO")</f>
        <v>1236</v>
      </c>
      <c r="P125">
        <f>_xlfn.XLOOKUP(D125, 'Model VMT by TAZ'!A:A, 'Model VMT by TAZ'!E:E, "NO")</f>
        <v>29338.38</v>
      </c>
    </row>
    <row r="126" spans="1:16" x14ac:dyDescent="0.35">
      <c r="A126">
        <v>123</v>
      </c>
      <c r="B126" t="s">
        <v>1161</v>
      </c>
      <c r="C126">
        <v>2820</v>
      </c>
      <c r="D126">
        <v>1572</v>
      </c>
      <c r="E126" s="136" t="str">
        <f>_xlfn.XLOOKUP(D126,'TAZs by City - CCAG Model'!A:A,'TAZs by City - CCAG Model'!B:B,"ERROR")</f>
        <v>Redwood City</v>
      </c>
      <c r="F126" s="117">
        <f>_xlfn.XLOOKUP(C126,'Model Modeshare by TAZ'!$A:$A,'Model Modeshare by TAZ'!$G:$G)</f>
        <v>0</v>
      </c>
      <c r="G126" s="117">
        <f>_xlfn.XLOOKUP(D126,'Model Modeshare by TAZ'!$A:$A,'Model Modeshare by TAZ'!$E:$E)+_xlfn.XLOOKUP(D126,'Model Modeshare by TAZ'!$A:$A,'Model Modeshare by TAZ'!$F:$F)</f>
        <v>3442.7599999999998</v>
      </c>
      <c r="H126" s="117">
        <f>_xlfn.XLOOKUP(D126,'Model Modeshare by TAZ'!$A:$A,'Model Modeshare by TAZ'!$J:$J)</f>
        <v>4153.72</v>
      </c>
      <c r="I126" t="s">
        <v>1162</v>
      </c>
      <c r="J126" t="s">
        <v>1162</v>
      </c>
      <c r="K126">
        <v>0</v>
      </c>
      <c r="L126">
        <v>975651</v>
      </c>
      <c r="M126">
        <v>4146.2470320000002</v>
      </c>
      <c r="N126">
        <v>975647.15875399997</v>
      </c>
      <c r="O126">
        <f>_xlfn.XLOOKUP(D126, 'Model VMT by TAZ'!A:A, 'Model VMT by TAZ'!J:J, "NO")</f>
        <v>655</v>
      </c>
      <c r="P126">
        <f>_xlfn.XLOOKUP(D126, 'Model VMT by TAZ'!A:A, 'Model VMT by TAZ'!E:E, "NO")</f>
        <v>22575.14</v>
      </c>
    </row>
    <row r="127" spans="1:16" x14ac:dyDescent="0.35">
      <c r="A127">
        <v>124</v>
      </c>
      <c r="B127" t="s">
        <v>1161</v>
      </c>
      <c r="C127">
        <v>2821</v>
      </c>
      <c r="D127">
        <v>1629</v>
      </c>
      <c r="E127" s="136" t="str">
        <f>_xlfn.XLOOKUP(D127,'TAZs by City - CCAG Model'!A:A,'TAZs by City - CCAG Model'!B:B,"ERROR")</f>
        <v>Redwood City</v>
      </c>
      <c r="F127" s="117">
        <f>_xlfn.XLOOKUP(C127,'Model Modeshare by TAZ'!$A:$A,'Model Modeshare by TAZ'!$G:$G)</f>
        <v>0</v>
      </c>
      <c r="G127" s="117">
        <f>_xlfn.XLOOKUP(D127,'Model Modeshare by TAZ'!$A:$A,'Model Modeshare by TAZ'!$E:$E)+_xlfn.XLOOKUP(D127,'Model Modeshare by TAZ'!$A:$A,'Model Modeshare by TAZ'!$F:$F)</f>
        <v>1874.56</v>
      </c>
      <c r="H127" s="117">
        <f>_xlfn.XLOOKUP(D127,'Model Modeshare by TAZ'!$A:$A,'Model Modeshare by TAZ'!$J:$J)</f>
        <v>2182.8000000000002</v>
      </c>
      <c r="I127" t="s">
        <v>1162</v>
      </c>
      <c r="J127" t="s">
        <v>1162</v>
      </c>
      <c r="K127">
        <v>0</v>
      </c>
      <c r="L127">
        <v>950519</v>
      </c>
      <c r="M127">
        <v>3854.8731640000001</v>
      </c>
      <c r="N127">
        <v>950515.07299599994</v>
      </c>
      <c r="O127">
        <f>_xlfn.XLOOKUP(D127, 'Model VMT by TAZ'!A:A, 'Model VMT by TAZ'!J:J, "NO")</f>
        <v>163</v>
      </c>
      <c r="P127">
        <f>_xlfn.XLOOKUP(D127, 'Model VMT by TAZ'!A:A, 'Model VMT by TAZ'!E:E, "NO")</f>
        <v>8234.0400000000009</v>
      </c>
    </row>
    <row r="128" spans="1:16" x14ac:dyDescent="0.35">
      <c r="A128">
        <v>125</v>
      </c>
      <c r="B128" t="s">
        <v>1161</v>
      </c>
      <c r="C128">
        <v>2822</v>
      </c>
      <c r="D128">
        <v>1680</v>
      </c>
      <c r="E128" s="136" t="str">
        <f>_xlfn.XLOOKUP(D128,'TAZs by City - CCAG Model'!A:A,'TAZs by City - CCAG Model'!B:B,"ERROR")</f>
        <v>Redwood City</v>
      </c>
      <c r="F128" s="117">
        <f>_xlfn.XLOOKUP(C128,'Model Modeshare by TAZ'!$A:$A,'Model Modeshare by TAZ'!$G:$G)</f>
        <v>0</v>
      </c>
      <c r="G128" s="117">
        <f>_xlfn.XLOOKUP(D128,'Model Modeshare by TAZ'!$A:$A,'Model Modeshare by TAZ'!$E:$E)+_xlfn.XLOOKUP(D128,'Model Modeshare by TAZ'!$A:$A,'Model Modeshare by TAZ'!$F:$F)</f>
        <v>2273.2600000000002</v>
      </c>
      <c r="H128" s="117">
        <f>_xlfn.XLOOKUP(D128,'Model Modeshare by TAZ'!$A:$A,'Model Modeshare by TAZ'!$J:$J)</f>
        <v>2659.56</v>
      </c>
      <c r="I128" t="s">
        <v>1162</v>
      </c>
      <c r="J128" t="s">
        <v>1162</v>
      </c>
      <c r="K128">
        <v>0</v>
      </c>
      <c r="L128">
        <v>1058688</v>
      </c>
      <c r="M128">
        <v>4445.6743569999999</v>
      </c>
      <c r="N128">
        <v>1058683.5019990001</v>
      </c>
      <c r="O128">
        <f>_xlfn.XLOOKUP(D128, 'Model VMT by TAZ'!A:A, 'Model VMT by TAZ'!J:J, "NO")</f>
        <v>384</v>
      </c>
      <c r="P128">
        <f>_xlfn.XLOOKUP(D128, 'Model VMT by TAZ'!A:A, 'Model VMT by TAZ'!E:E, "NO")</f>
        <v>10859.55</v>
      </c>
    </row>
    <row r="129" spans="1:16" x14ac:dyDescent="0.35">
      <c r="A129">
        <v>126</v>
      </c>
      <c r="B129" t="s">
        <v>1161</v>
      </c>
      <c r="C129">
        <v>2823</v>
      </c>
      <c r="D129">
        <v>1576</v>
      </c>
      <c r="E129" s="136" t="str">
        <f>_xlfn.XLOOKUP(D129,'TAZs by City - CCAG Model'!A:A,'TAZs by City - CCAG Model'!B:B,"ERROR")</f>
        <v>Redwood City</v>
      </c>
      <c r="F129" s="117">
        <f>_xlfn.XLOOKUP(C129,'Model Modeshare by TAZ'!$A:$A,'Model Modeshare by TAZ'!$G:$G)</f>
        <v>0</v>
      </c>
      <c r="G129" s="117">
        <f>_xlfn.XLOOKUP(D129,'Model Modeshare by TAZ'!$A:$A,'Model Modeshare by TAZ'!$E:$E)+_xlfn.XLOOKUP(D129,'Model Modeshare by TAZ'!$A:$A,'Model Modeshare by TAZ'!$F:$F)</f>
        <v>2822.58</v>
      </c>
      <c r="H129" s="117">
        <f>_xlfn.XLOOKUP(D129,'Model Modeshare by TAZ'!$A:$A,'Model Modeshare by TAZ'!$J:$J)</f>
        <v>3439.56</v>
      </c>
      <c r="I129" t="s">
        <v>1162</v>
      </c>
      <c r="J129" t="s">
        <v>1162</v>
      </c>
      <c r="K129">
        <v>0</v>
      </c>
      <c r="L129">
        <v>458179</v>
      </c>
      <c r="M129">
        <v>2890.6732010000001</v>
      </c>
      <c r="N129">
        <v>458177.315199</v>
      </c>
      <c r="O129">
        <f>_xlfn.XLOOKUP(D129, 'Model VMT by TAZ'!A:A, 'Model VMT by TAZ'!J:J, "NO")</f>
        <v>422</v>
      </c>
      <c r="P129">
        <f>_xlfn.XLOOKUP(D129, 'Model VMT by TAZ'!A:A, 'Model VMT by TAZ'!E:E, "NO")</f>
        <v>12585.82</v>
      </c>
    </row>
    <row r="130" spans="1:16" x14ac:dyDescent="0.35">
      <c r="A130">
        <v>127</v>
      </c>
      <c r="B130" t="s">
        <v>1161</v>
      </c>
      <c r="C130">
        <v>2825</v>
      </c>
      <c r="D130">
        <v>1510</v>
      </c>
      <c r="E130" s="136" t="str">
        <f>_xlfn.XLOOKUP(D130,'TAZs by City - CCAG Model'!A:A,'TAZs by City - CCAG Model'!B:B,"ERROR")</f>
        <v>South San Francisco</v>
      </c>
      <c r="F130" s="117">
        <f>_xlfn.XLOOKUP(C130,'Model Modeshare by TAZ'!$A:$A,'Model Modeshare by TAZ'!$G:$G)</f>
        <v>0</v>
      </c>
      <c r="G130" s="117">
        <f>_xlfn.XLOOKUP(D130,'Model Modeshare by TAZ'!$A:$A,'Model Modeshare by TAZ'!$E:$E)+_xlfn.XLOOKUP(D130,'Model Modeshare by TAZ'!$A:$A,'Model Modeshare by TAZ'!$F:$F)</f>
        <v>4009.88</v>
      </c>
      <c r="H130" s="117">
        <f>_xlfn.XLOOKUP(D130,'Model Modeshare by TAZ'!$A:$A,'Model Modeshare by TAZ'!$J:$J)</f>
        <v>5130.3599999999997</v>
      </c>
      <c r="I130" t="s">
        <v>1162</v>
      </c>
      <c r="J130" t="s">
        <v>1162</v>
      </c>
      <c r="K130">
        <v>0</v>
      </c>
      <c r="L130">
        <v>1632065</v>
      </c>
      <c r="M130">
        <v>5551.2013120000001</v>
      </c>
      <c r="N130">
        <v>1632057.9997169999</v>
      </c>
      <c r="O130">
        <f>_xlfn.XLOOKUP(D130, 'Model VMT by TAZ'!A:A, 'Model VMT by TAZ'!J:J, "NO")</f>
        <v>963</v>
      </c>
      <c r="P130">
        <f>_xlfn.XLOOKUP(D130, 'Model VMT by TAZ'!A:A, 'Model VMT by TAZ'!E:E, "NO")</f>
        <v>25620</v>
      </c>
    </row>
    <row r="131" spans="1:16" x14ac:dyDescent="0.35">
      <c r="A131">
        <v>128</v>
      </c>
      <c r="B131" t="s">
        <v>1161</v>
      </c>
      <c r="C131">
        <v>2826</v>
      </c>
      <c r="D131">
        <v>1550</v>
      </c>
      <c r="E131" s="136" t="str">
        <f>_xlfn.XLOOKUP(D131,'TAZs by City - CCAG Model'!A:A,'TAZs by City - CCAG Model'!B:B,"ERROR")</f>
        <v>San Mateo</v>
      </c>
      <c r="F131" s="117">
        <f>_xlfn.XLOOKUP(C131,'Model Modeshare by TAZ'!$A:$A,'Model Modeshare by TAZ'!$G:$G)</f>
        <v>0</v>
      </c>
      <c r="G131" s="117">
        <f>_xlfn.XLOOKUP(D131,'Model Modeshare by TAZ'!$A:$A,'Model Modeshare by TAZ'!$E:$E)+_xlfn.XLOOKUP(D131,'Model Modeshare by TAZ'!$A:$A,'Model Modeshare by TAZ'!$F:$F)</f>
        <v>6262.76</v>
      </c>
      <c r="H131" s="117">
        <f>_xlfn.XLOOKUP(D131,'Model Modeshare by TAZ'!$A:$A,'Model Modeshare by TAZ'!$J:$J)</f>
        <v>7466.8</v>
      </c>
      <c r="I131" t="s">
        <v>1162</v>
      </c>
      <c r="J131" t="s">
        <v>1162</v>
      </c>
      <c r="K131">
        <v>0</v>
      </c>
      <c r="L131">
        <v>6759801</v>
      </c>
      <c r="M131">
        <v>13522.178371</v>
      </c>
      <c r="N131">
        <v>6759773.9887030004</v>
      </c>
      <c r="O131">
        <f>_xlfn.XLOOKUP(D131, 'Model VMT by TAZ'!A:A, 'Model VMT by TAZ'!J:J, "NO")</f>
        <v>1753</v>
      </c>
      <c r="P131">
        <f>_xlfn.XLOOKUP(D131, 'Model VMT by TAZ'!A:A, 'Model VMT by TAZ'!E:E, "NO")</f>
        <v>31629.98</v>
      </c>
    </row>
    <row r="132" spans="1:16" x14ac:dyDescent="0.35">
      <c r="A132">
        <v>129</v>
      </c>
      <c r="B132" t="s">
        <v>1161</v>
      </c>
      <c r="C132">
        <v>2827</v>
      </c>
      <c r="D132">
        <v>1548</v>
      </c>
      <c r="E132" s="136" t="str">
        <f>_xlfn.XLOOKUP(D132,'TAZs by City - CCAG Model'!A:A,'TAZs by City - CCAG Model'!B:B,"ERROR")</f>
        <v>San Mateo</v>
      </c>
      <c r="F132" s="117">
        <f>_xlfn.XLOOKUP(C132,'Model Modeshare by TAZ'!$A:$A,'Model Modeshare by TAZ'!$G:$G)</f>
        <v>0</v>
      </c>
      <c r="G132" s="117">
        <f>_xlfn.XLOOKUP(D132,'Model Modeshare by TAZ'!$A:$A,'Model Modeshare by TAZ'!$E:$E)+_xlfn.XLOOKUP(D132,'Model Modeshare by TAZ'!$A:$A,'Model Modeshare by TAZ'!$F:$F)</f>
        <v>6619.6399999999994</v>
      </c>
      <c r="H132" s="117">
        <f>_xlfn.XLOOKUP(D132,'Model Modeshare by TAZ'!$A:$A,'Model Modeshare by TAZ'!$J:$J)</f>
        <v>8226</v>
      </c>
      <c r="I132" t="s">
        <v>1162</v>
      </c>
      <c r="J132" t="s">
        <v>1162</v>
      </c>
      <c r="K132">
        <v>0</v>
      </c>
      <c r="L132">
        <v>5468937</v>
      </c>
      <c r="M132">
        <v>10329.349824000001</v>
      </c>
      <c r="N132">
        <v>5468915.1437969999</v>
      </c>
      <c r="O132">
        <f>_xlfn.XLOOKUP(D132, 'Model VMT by TAZ'!A:A, 'Model VMT by TAZ'!J:J, "NO")</f>
        <v>1646</v>
      </c>
      <c r="P132">
        <f>_xlfn.XLOOKUP(D132, 'Model VMT by TAZ'!A:A, 'Model VMT by TAZ'!E:E, "NO")</f>
        <v>31068.65</v>
      </c>
    </row>
    <row r="133" spans="1:16" x14ac:dyDescent="0.35">
      <c r="A133">
        <v>130</v>
      </c>
      <c r="B133" t="s">
        <v>1161</v>
      </c>
      <c r="C133">
        <v>2828</v>
      </c>
      <c r="D133">
        <v>1549</v>
      </c>
      <c r="E133" s="136" t="str">
        <f>_xlfn.XLOOKUP(D133,'TAZs by City - CCAG Model'!A:A,'TAZs by City - CCAG Model'!B:B,"ERROR")</f>
        <v>San Mateo</v>
      </c>
      <c r="F133" s="117">
        <f>_xlfn.XLOOKUP(C133,'Model Modeshare by TAZ'!$A:$A,'Model Modeshare by TAZ'!$G:$G)</f>
        <v>0</v>
      </c>
      <c r="G133" s="117">
        <f>_xlfn.XLOOKUP(D133,'Model Modeshare by TAZ'!$A:$A,'Model Modeshare by TAZ'!$E:$E)+_xlfn.XLOOKUP(D133,'Model Modeshare by TAZ'!$A:$A,'Model Modeshare by TAZ'!$F:$F)</f>
        <v>27599.78</v>
      </c>
      <c r="H133" s="117">
        <f>_xlfn.XLOOKUP(D133,'Model Modeshare by TAZ'!$A:$A,'Model Modeshare by TAZ'!$J:$J)</f>
        <v>32424.46</v>
      </c>
      <c r="I133" t="s">
        <v>1162</v>
      </c>
      <c r="J133" t="s">
        <v>1162</v>
      </c>
      <c r="K133">
        <v>0</v>
      </c>
      <c r="L133">
        <v>2939134</v>
      </c>
      <c r="M133">
        <v>9814.4325129999997</v>
      </c>
      <c r="N133">
        <v>2939122.4957010001</v>
      </c>
      <c r="O133">
        <f>_xlfn.XLOOKUP(D133, 'Model VMT by TAZ'!A:A, 'Model VMT by TAZ'!J:J, "NO")</f>
        <v>639</v>
      </c>
      <c r="P133">
        <f>_xlfn.XLOOKUP(D133, 'Model VMT by TAZ'!A:A, 'Model VMT by TAZ'!E:E, "NO")</f>
        <v>361223.72</v>
      </c>
    </row>
    <row r="134" spans="1:16" x14ac:dyDescent="0.35">
      <c r="A134">
        <v>131</v>
      </c>
      <c r="B134" t="s">
        <v>1161</v>
      </c>
      <c r="C134">
        <v>2829</v>
      </c>
      <c r="D134">
        <v>1687</v>
      </c>
      <c r="E134" s="136" t="str">
        <f>_xlfn.XLOOKUP(D134,'TAZs by City - CCAG Model'!A:A,'TAZs by City - CCAG Model'!B:B,"ERROR")</f>
        <v>South San Francisco</v>
      </c>
      <c r="F134" s="117">
        <f>_xlfn.XLOOKUP(C134,'Model Modeshare by TAZ'!$A:$A,'Model Modeshare by TAZ'!$G:$G)</f>
        <v>0</v>
      </c>
      <c r="G134" s="117">
        <f>_xlfn.XLOOKUP(D134,'Model Modeshare by TAZ'!$A:$A,'Model Modeshare by TAZ'!$E:$E)+_xlfn.XLOOKUP(D134,'Model Modeshare by TAZ'!$A:$A,'Model Modeshare by TAZ'!$F:$F)</f>
        <v>2062.54</v>
      </c>
      <c r="H134" s="117">
        <f>_xlfn.XLOOKUP(D134,'Model Modeshare by TAZ'!$A:$A,'Model Modeshare by TAZ'!$J:$J)</f>
        <v>2438.6799999999998</v>
      </c>
      <c r="I134" t="s">
        <v>1162</v>
      </c>
      <c r="J134" t="s">
        <v>1162</v>
      </c>
      <c r="K134">
        <v>0</v>
      </c>
      <c r="L134">
        <v>2026070</v>
      </c>
      <c r="M134">
        <v>7177.1772579999997</v>
      </c>
      <c r="N134">
        <v>2026062.0833070001</v>
      </c>
      <c r="O134">
        <f>_xlfn.XLOOKUP(D134, 'Model VMT by TAZ'!A:A, 'Model VMT by TAZ'!J:J, "NO")</f>
        <v>312</v>
      </c>
      <c r="P134">
        <f>_xlfn.XLOOKUP(D134, 'Model VMT by TAZ'!A:A, 'Model VMT by TAZ'!E:E, "NO")</f>
        <v>40018.25</v>
      </c>
    </row>
    <row r="135" spans="1:16" x14ac:dyDescent="0.35">
      <c r="A135">
        <v>132</v>
      </c>
      <c r="B135" t="s">
        <v>1161</v>
      </c>
      <c r="C135">
        <v>2831</v>
      </c>
      <c r="D135">
        <v>1656</v>
      </c>
      <c r="E135" s="136" t="str">
        <f>_xlfn.XLOOKUP(D135,'TAZs by City - CCAG Model'!A:A,'TAZs by City - CCAG Model'!B:B,"ERROR")</f>
        <v>South San Francisco</v>
      </c>
      <c r="F135" s="117">
        <f>_xlfn.XLOOKUP(C135,'Model Modeshare by TAZ'!$A:$A,'Model Modeshare by TAZ'!$G:$G)</f>
        <v>0</v>
      </c>
      <c r="G135" s="117">
        <f>_xlfn.XLOOKUP(D135,'Model Modeshare by TAZ'!$A:$A,'Model Modeshare by TAZ'!$E:$E)+_xlfn.XLOOKUP(D135,'Model Modeshare by TAZ'!$A:$A,'Model Modeshare by TAZ'!$F:$F)</f>
        <v>9470.0400000000009</v>
      </c>
      <c r="H135" s="117">
        <f>_xlfn.XLOOKUP(D135,'Model Modeshare by TAZ'!$A:$A,'Model Modeshare by TAZ'!$J:$J)</f>
        <v>11366.36</v>
      </c>
      <c r="I135" t="s">
        <v>1162</v>
      </c>
      <c r="J135" t="s">
        <v>1162</v>
      </c>
      <c r="K135">
        <v>0</v>
      </c>
      <c r="L135">
        <v>3819162</v>
      </c>
      <c r="M135">
        <v>11495.719489999999</v>
      </c>
      <c r="N135">
        <v>3819147.0158390002</v>
      </c>
      <c r="O135">
        <f>_xlfn.XLOOKUP(D135, 'Model VMT by TAZ'!A:A, 'Model VMT by TAZ'!J:J, "NO")</f>
        <v>1891</v>
      </c>
      <c r="P135">
        <f>_xlfn.XLOOKUP(D135, 'Model VMT by TAZ'!A:A, 'Model VMT by TAZ'!E:E, "NO")</f>
        <v>70980.12</v>
      </c>
    </row>
  </sheetData>
  <autoFilter ref="A1:E135" xr:uid="{977E0643-BB51-40A3-9176-F5C043732910}"/>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CA6FD-BFB6-4A72-9FD9-001766C68728}">
  <sheetPr>
    <tabColor theme="2" tint="-0.249977111117893"/>
  </sheetPr>
  <dimension ref="A1:P304"/>
  <sheetViews>
    <sheetView workbookViewId="0">
      <selection activeCell="B25" sqref="B25"/>
    </sheetView>
  </sheetViews>
  <sheetFormatPr defaultRowHeight="14.5" x14ac:dyDescent="0.35"/>
  <cols>
    <col min="7" max="7" width="16.81640625" customWidth="1"/>
    <col min="8" max="8" width="17.54296875" customWidth="1"/>
    <col min="9" max="9" width="17.54296875" style="129" customWidth="1"/>
    <col min="11" max="11" width="18.453125" customWidth="1"/>
    <col min="12" max="12" width="17.453125" customWidth="1"/>
    <col min="13" max="13" width="19.54296875" customWidth="1"/>
    <col min="14" max="14" width="24.7265625" customWidth="1"/>
    <col min="15" max="15" width="12.1796875" customWidth="1"/>
    <col min="16" max="16" width="16.26953125" customWidth="1"/>
  </cols>
  <sheetData>
    <row r="1" spans="1:16" x14ac:dyDescent="0.35">
      <c r="I1"/>
      <c r="K1" s="133" t="s">
        <v>1171</v>
      </c>
      <c r="L1" s="130"/>
      <c r="M1" s="134" t="s">
        <v>1172</v>
      </c>
      <c r="N1" s="131"/>
      <c r="O1" s="132"/>
    </row>
    <row r="2" spans="1:16" ht="26.5" x14ac:dyDescent="0.35">
      <c r="A2" s="125" t="s">
        <v>1173</v>
      </c>
      <c r="B2" s="125" t="s">
        <v>1150</v>
      </c>
      <c r="C2" s="125" t="s">
        <v>1174</v>
      </c>
      <c r="D2" s="125" t="s">
        <v>1175</v>
      </c>
      <c r="E2" s="125" t="s">
        <v>1176</v>
      </c>
      <c r="F2" s="125" t="s">
        <v>1177</v>
      </c>
      <c r="G2" s="125" t="s">
        <v>1178</v>
      </c>
      <c r="H2" s="125" t="s">
        <v>1179</v>
      </c>
      <c r="I2" s="135" t="s">
        <v>1180</v>
      </c>
      <c r="J2" s="125" t="s">
        <v>1181</v>
      </c>
      <c r="K2" s="130" t="s">
        <v>1182</v>
      </c>
      <c r="L2" s="130" t="s">
        <v>1183</v>
      </c>
      <c r="M2" s="131" t="s">
        <v>1184</v>
      </c>
      <c r="N2" s="131" t="s">
        <v>1185</v>
      </c>
      <c r="O2" s="132" t="s">
        <v>1186</v>
      </c>
      <c r="P2" s="125" t="s">
        <v>1157</v>
      </c>
    </row>
    <row r="3" spans="1:16" x14ac:dyDescent="0.35">
      <c r="A3" s="126">
        <v>1</v>
      </c>
      <c r="B3" s="126">
        <v>208</v>
      </c>
      <c r="C3" s="127" t="s">
        <v>1187</v>
      </c>
      <c r="D3" s="127" t="s">
        <v>1187</v>
      </c>
      <c r="E3" s="127" t="s">
        <v>1188</v>
      </c>
      <c r="F3" s="127" t="s">
        <v>1188</v>
      </c>
      <c r="G3" s="127" t="s">
        <v>1189</v>
      </c>
      <c r="H3" s="127" t="s">
        <v>1189</v>
      </c>
      <c r="I3" s="128" t="b">
        <f>G3=H3</f>
        <v>1</v>
      </c>
      <c r="J3" s="126">
        <v>35</v>
      </c>
      <c r="K3" s="126">
        <v>1</v>
      </c>
      <c r="L3" s="126">
        <v>1</v>
      </c>
      <c r="M3" s="126">
        <v>0</v>
      </c>
      <c r="N3" s="126">
        <v>0</v>
      </c>
      <c r="O3" s="126">
        <v>1</v>
      </c>
      <c r="P3" s="127">
        <v>67.208495977483821</v>
      </c>
    </row>
    <row r="4" spans="1:16" x14ac:dyDescent="0.35">
      <c r="A4" s="126">
        <v>2</v>
      </c>
      <c r="B4" s="126">
        <v>6434</v>
      </c>
      <c r="C4" s="127" t="s">
        <v>1190</v>
      </c>
      <c r="D4" s="127" t="s">
        <v>1190</v>
      </c>
      <c r="E4" s="127" t="s">
        <v>1190</v>
      </c>
      <c r="F4" s="127" t="s">
        <v>1190</v>
      </c>
      <c r="G4" s="127" t="s">
        <v>1191</v>
      </c>
      <c r="H4" s="127" t="s">
        <v>1191</v>
      </c>
      <c r="I4" s="128" t="b">
        <f t="shared" ref="I4:I67" si="0">G4=H4</f>
        <v>1</v>
      </c>
      <c r="J4" s="126">
        <v>35</v>
      </c>
      <c r="K4" s="126">
        <v>1</v>
      </c>
      <c r="L4" s="126">
        <v>1</v>
      </c>
      <c r="M4" s="126">
        <v>1</v>
      </c>
      <c r="N4" s="126">
        <v>1</v>
      </c>
      <c r="O4" s="126">
        <v>1</v>
      </c>
      <c r="P4" s="127">
        <v>966.06955261021574</v>
      </c>
    </row>
    <row r="5" spans="1:16" x14ac:dyDescent="0.35">
      <c r="A5" s="126">
        <v>3</v>
      </c>
      <c r="B5" s="126">
        <v>15006</v>
      </c>
      <c r="C5" s="127" t="s">
        <v>1192</v>
      </c>
      <c r="D5" s="127" t="s">
        <v>1192</v>
      </c>
      <c r="E5" s="127" t="s">
        <v>1193</v>
      </c>
      <c r="F5" s="127" t="s">
        <v>1193</v>
      </c>
      <c r="G5" s="127" t="s">
        <v>1194</v>
      </c>
      <c r="H5" s="127" t="s">
        <v>1194</v>
      </c>
      <c r="I5" s="128" t="b">
        <f t="shared" si="0"/>
        <v>1</v>
      </c>
      <c r="J5" s="126">
        <v>30</v>
      </c>
      <c r="K5" s="126">
        <v>0</v>
      </c>
      <c r="L5" s="126">
        <v>1</v>
      </c>
      <c r="M5" s="126">
        <v>0</v>
      </c>
      <c r="N5" s="126">
        <v>0</v>
      </c>
      <c r="O5" s="126">
        <v>1</v>
      </c>
      <c r="P5" s="127">
        <v>322.16090290180284</v>
      </c>
    </row>
    <row r="6" spans="1:16" x14ac:dyDescent="0.35">
      <c r="A6" s="126">
        <v>4</v>
      </c>
      <c r="B6" s="126">
        <v>15388</v>
      </c>
      <c r="C6" s="127" t="s">
        <v>1195</v>
      </c>
      <c r="D6" s="127" t="s">
        <v>1195</v>
      </c>
      <c r="E6" s="127" t="s">
        <v>1196</v>
      </c>
      <c r="F6" s="127" t="s">
        <v>1196</v>
      </c>
      <c r="G6" s="127" t="s">
        <v>1197</v>
      </c>
      <c r="H6" s="127" t="s">
        <v>1197</v>
      </c>
      <c r="I6" s="128" t="b">
        <f t="shared" si="0"/>
        <v>1</v>
      </c>
      <c r="J6" s="126">
        <v>35</v>
      </c>
      <c r="K6" s="126">
        <v>0</v>
      </c>
      <c r="L6" s="126">
        <v>0</v>
      </c>
      <c r="M6" s="126">
        <v>0</v>
      </c>
      <c r="N6" s="126">
        <v>0</v>
      </c>
      <c r="O6" s="127"/>
      <c r="P6" s="127">
        <v>388.23401075107756</v>
      </c>
    </row>
    <row r="7" spans="1:16" x14ac:dyDescent="0.35">
      <c r="A7" s="126">
        <v>5</v>
      </c>
      <c r="B7" s="126">
        <v>5333</v>
      </c>
      <c r="C7" s="127" t="s">
        <v>1187</v>
      </c>
      <c r="D7" s="127" t="s">
        <v>1187</v>
      </c>
      <c r="E7" s="127" t="s">
        <v>1188</v>
      </c>
      <c r="F7" s="127" t="s">
        <v>1188</v>
      </c>
      <c r="G7" s="127" t="s">
        <v>1189</v>
      </c>
      <c r="H7" s="127" t="s">
        <v>1189</v>
      </c>
      <c r="I7" s="128" t="b">
        <f t="shared" si="0"/>
        <v>1</v>
      </c>
      <c r="J7" s="126">
        <v>35</v>
      </c>
      <c r="K7" s="126">
        <v>0</v>
      </c>
      <c r="L7" s="126">
        <v>0</v>
      </c>
      <c r="M7" s="126">
        <v>0</v>
      </c>
      <c r="N7" s="126">
        <v>0</v>
      </c>
      <c r="O7" s="126">
        <v>1</v>
      </c>
      <c r="P7" s="127">
        <v>351.01553760703791</v>
      </c>
    </row>
    <row r="8" spans="1:16" x14ac:dyDescent="0.35">
      <c r="A8" s="126">
        <v>6</v>
      </c>
      <c r="B8" s="126">
        <v>2939</v>
      </c>
      <c r="C8" s="127" t="s">
        <v>1198</v>
      </c>
      <c r="D8" s="127" t="s">
        <v>1198</v>
      </c>
      <c r="E8" s="127" t="s">
        <v>1199</v>
      </c>
      <c r="F8" s="127" t="s">
        <v>1199</v>
      </c>
      <c r="G8" s="127" t="s">
        <v>1200</v>
      </c>
      <c r="H8" s="127" t="s">
        <v>1200</v>
      </c>
      <c r="I8" s="128" t="b">
        <f t="shared" si="0"/>
        <v>1</v>
      </c>
      <c r="J8" s="126">
        <v>35</v>
      </c>
      <c r="K8" s="126">
        <v>0</v>
      </c>
      <c r="L8" s="126">
        <v>0</v>
      </c>
      <c r="M8" s="126">
        <v>0</v>
      </c>
      <c r="N8" s="126">
        <v>0</v>
      </c>
      <c r="O8" s="127"/>
      <c r="P8" s="127">
        <v>281.32183171604316</v>
      </c>
    </row>
    <row r="9" spans="1:16" x14ac:dyDescent="0.35">
      <c r="A9" s="126">
        <v>7</v>
      </c>
      <c r="B9" s="126">
        <v>8921</v>
      </c>
      <c r="C9" s="127" t="s">
        <v>1201</v>
      </c>
      <c r="D9" s="127" t="s">
        <v>1201</v>
      </c>
      <c r="E9" s="127" t="s">
        <v>1202</v>
      </c>
      <c r="F9" s="127" t="s">
        <v>1202</v>
      </c>
      <c r="G9" s="127" t="s">
        <v>1203</v>
      </c>
      <c r="H9" s="127" t="s">
        <v>1203</v>
      </c>
      <c r="I9" s="128" t="b">
        <f t="shared" si="0"/>
        <v>1</v>
      </c>
      <c r="J9" s="126">
        <v>45</v>
      </c>
      <c r="K9" s="126">
        <v>1</v>
      </c>
      <c r="L9" s="126">
        <v>1</v>
      </c>
      <c r="M9" s="126">
        <v>1</v>
      </c>
      <c r="N9" s="126">
        <v>1</v>
      </c>
      <c r="O9" s="127"/>
      <c r="P9" s="127">
        <v>651.64361188306157</v>
      </c>
    </row>
    <row r="10" spans="1:16" x14ac:dyDescent="0.35">
      <c r="A10" s="126">
        <v>8</v>
      </c>
      <c r="B10" s="126">
        <v>15670</v>
      </c>
      <c r="C10" s="127" t="s">
        <v>1204</v>
      </c>
      <c r="D10" s="127" t="s">
        <v>1204</v>
      </c>
      <c r="E10" s="127" t="s">
        <v>1205</v>
      </c>
      <c r="F10" s="127" t="s">
        <v>1205</v>
      </c>
      <c r="G10" s="127" t="s">
        <v>1206</v>
      </c>
      <c r="H10" s="127" t="s">
        <v>1206</v>
      </c>
      <c r="I10" s="128" t="b">
        <f t="shared" si="0"/>
        <v>1</v>
      </c>
      <c r="J10" s="126">
        <v>45</v>
      </c>
      <c r="K10" s="126">
        <v>0</v>
      </c>
      <c r="L10" s="126">
        <v>0</v>
      </c>
      <c r="M10" s="126">
        <v>0</v>
      </c>
      <c r="N10" s="126">
        <v>0</v>
      </c>
      <c r="O10" s="126">
        <v>1</v>
      </c>
      <c r="P10" s="127">
        <v>501.40905714515429</v>
      </c>
    </row>
    <row r="11" spans="1:16" x14ac:dyDescent="0.35">
      <c r="A11" s="126">
        <v>9</v>
      </c>
      <c r="B11" s="126">
        <v>26204</v>
      </c>
      <c r="C11" s="127" t="s">
        <v>1207</v>
      </c>
      <c r="D11" s="127" t="s">
        <v>1207</v>
      </c>
      <c r="E11" s="127" t="s">
        <v>1208</v>
      </c>
      <c r="F11" s="127" t="s">
        <v>1208</v>
      </c>
      <c r="G11" s="127" t="s">
        <v>1209</v>
      </c>
      <c r="H11" s="127" t="s">
        <v>1209</v>
      </c>
      <c r="I11" s="128" t="b">
        <f t="shared" si="0"/>
        <v>1</v>
      </c>
      <c r="J11" s="126">
        <v>35</v>
      </c>
      <c r="K11" s="126">
        <v>1</v>
      </c>
      <c r="L11" s="126">
        <v>1</v>
      </c>
      <c r="M11" s="126">
        <v>1</v>
      </c>
      <c r="N11" s="126">
        <v>1</v>
      </c>
      <c r="O11" s="127"/>
      <c r="P11" s="127">
        <v>357.30911242710937</v>
      </c>
    </row>
    <row r="12" spans="1:16" x14ac:dyDescent="0.35">
      <c r="A12" s="126">
        <v>10</v>
      </c>
      <c r="B12" s="126">
        <v>4317</v>
      </c>
      <c r="C12" s="127" t="s">
        <v>1192</v>
      </c>
      <c r="D12" s="127" t="s">
        <v>1192</v>
      </c>
      <c r="E12" s="127" t="s">
        <v>1193</v>
      </c>
      <c r="F12" s="127" t="s">
        <v>1193</v>
      </c>
      <c r="G12" s="127" t="s">
        <v>1194</v>
      </c>
      <c r="H12" s="127" t="s">
        <v>1194</v>
      </c>
      <c r="I12" s="128" t="b">
        <f t="shared" si="0"/>
        <v>1</v>
      </c>
      <c r="J12" s="126">
        <v>30</v>
      </c>
      <c r="K12" s="126">
        <v>1</v>
      </c>
      <c r="L12" s="126">
        <v>1</v>
      </c>
      <c r="M12" s="126">
        <v>0</v>
      </c>
      <c r="N12" s="126">
        <v>0</v>
      </c>
      <c r="O12" s="126">
        <v>1</v>
      </c>
      <c r="P12" s="127">
        <v>512.99061521571423</v>
      </c>
    </row>
    <row r="13" spans="1:16" x14ac:dyDescent="0.35">
      <c r="A13" s="126">
        <v>11</v>
      </c>
      <c r="B13" s="126">
        <v>26849</v>
      </c>
      <c r="C13" s="127" t="s">
        <v>1210</v>
      </c>
      <c r="D13" s="127" t="s">
        <v>1210</v>
      </c>
      <c r="E13" s="127" t="s">
        <v>1208</v>
      </c>
      <c r="F13" s="127" t="s">
        <v>1208</v>
      </c>
      <c r="G13" s="127" t="s">
        <v>1211</v>
      </c>
      <c r="H13" s="127" t="s">
        <v>1211</v>
      </c>
      <c r="I13" s="128" t="b">
        <f t="shared" si="0"/>
        <v>1</v>
      </c>
      <c r="J13" s="126">
        <v>35</v>
      </c>
      <c r="K13" s="126">
        <v>1</v>
      </c>
      <c r="L13" s="126">
        <v>1</v>
      </c>
      <c r="M13" s="126">
        <v>1</v>
      </c>
      <c r="N13" s="126">
        <v>1</v>
      </c>
      <c r="O13" s="126">
        <v>1</v>
      </c>
      <c r="P13" s="127">
        <v>249.27753574585122</v>
      </c>
    </row>
    <row r="14" spans="1:16" x14ac:dyDescent="0.35">
      <c r="A14" s="126">
        <v>12</v>
      </c>
      <c r="B14" s="126">
        <v>18563</v>
      </c>
      <c r="C14" s="127" t="s">
        <v>1192</v>
      </c>
      <c r="D14" s="127" t="s">
        <v>1192</v>
      </c>
      <c r="E14" s="127" t="s">
        <v>1193</v>
      </c>
      <c r="F14" s="127" t="s">
        <v>1193</v>
      </c>
      <c r="G14" s="127" t="s">
        <v>1194</v>
      </c>
      <c r="H14" s="127" t="s">
        <v>1194</v>
      </c>
      <c r="I14" s="128" t="b">
        <f t="shared" si="0"/>
        <v>1</v>
      </c>
      <c r="J14" s="126">
        <v>30</v>
      </c>
      <c r="K14" s="126">
        <v>1</v>
      </c>
      <c r="L14" s="126">
        <v>1</v>
      </c>
      <c r="M14" s="126">
        <v>0</v>
      </c>
      <c r="N14" s="126">
        <v>0</v>
      </c>
      <c r="O14" s="126">
        <v>1</v>
      </c>
      <c r="P14" s="127">
        <v>135.91146423945418</v>
      </c>
    </row>
    <row r="15" spans="1:16" x14ac:dyDescent="0.35">
      <c r="A15" s="126">
        <v>13</v>
      </c>
      <c r="B15" s="126">
        <v>7438</v>
      </c>
      <c r="C15" s="127" t="s">
        <v>1201</v>
      </c>
      <c r="D15" s="127" t="s">
        <v>1201</v>
      </c>
      <c r="E15" s="127" t="s">
        <v>1202</v>
      </c>
      <c r="F15" s="127" t="s">
        <v>1202</v>
      </c>
      <c r="G15" s="127" t="s">
        <v>1203</v>
      </c>
      <c r="H15" s="127" t="s">
        <v>1203</v>
      </c>
      <c r="I15" s="128" t="b">
        <f t="shared" si="0"/>
        <v>1</v>
      </c>
      <c r="J15" s="126">
        <v>45</v>
      </c>
      <c r="K15" s="126">
        <v>1</v>
      </c>
      <c r="L15" s="126">
        <v>1</v>
      </c>
      <c r="M15" s="126">
        <v>0</v>
      </c>
      <c r="N15" s="126">
        <v>1</v>
      </c>
      <c r="O15" s="127"/>
      <c r="P15" s="127">
        <v>333.40983000063693</v>
      </c>
    </row>
    <row r="16" spans="1:16" x14ac:dyDescent="0.35">
      <c r="A16" s="126">
        <v>14</v>
      </c>
      <c r="B16" s="126">
        <v>119</v>
      </c>
      <c r="C16" s="127" t="s">
        <v>1195</v>
      </c>
      <c r="D16" s="127" t="s">
        <v>1195</v>
      </c>
      <c r="E16" s="127" t="s">
        <v>1196</v>
      </c>
      <c r="F16" s="127" t="s">
        <v>1196</v>
      </c>
      <c r="G16" s="127" t="s">
        <v>1197</v>
      </c>
      <c r="H16" s="127" t="s">
        <v>1197</v>
      </c>
      <c r="I16" s="128" t="b">
        <f t="shared" si="0"/>
        <v>1</v>
      </c>
      <c r="J16" s="126">
        <v>35</v>
      </c>
      <c r="K16" s="126">
        <v>0</v>
      </c>
      <c r="L16" s="126">
        <v>0</v>
      </c>
      <c r="M16" s="126">
        <v>0</v>
      </c>
      <c r="N16" s="126">
        <v>0</v>
      </c>
      <c r="O16" s="127"/>
      <c r="P16" s="127">
        <v>338.29710736146535</v>
      </c>
    </row>
    <row r="17" spans="1:16" x14ac:dyDescent="0.35">
      <c r="A17" s="126">
        <v>15</v>
      </c>
      <c r="B17" s="126">
        <v>18064</v>
      </c>
      <c r="C17" s="127" t="s">
        <v>1201</v>
      </c>
      <c r="D17" s="127" t="s">
        <v>1201</v>
      </c>
      <c r="E17" s="127" t="s">
        <v>1202</v>
      </c>
      <c r="F17" s="127" t="s">
        <v>1202</v>
      </c>
      <c r="G17" s="127" t="s">
        <v>1203</v>
      </c>
      <c r="H17" s="127" t="s">
        <v>1203</v>
      </c>
      <c r="I17" s="128" t="b">
        <f t="shared" si="0"/>
        <v>1</v>
      </c>
      <c r="J17" s="126">
        <v>45</v>
      </c>
      <c r="K17" s="126">
        <v>0</v>
      </c>
      <c r="L17" s="126">
        <v>0</v>
      </c>
      <c r="M17" s="126">
        <v>0</v>
      </c>
      <c r="N17" s="126">
        <v>0</v>
      </c>
      <c r="O17" s="127"/>
      <c r="P17" s="127">
        <v>311.73333078140899</v>
      </c>
    </row>
    <row r="18" spans="1:16" x14ac:dyDescent="0.35">
      <c r="A18" s="126">
        <v>16</v>
      </c>
      <c r="B18" s="126">
        <v>6227</v>
      </c>
      <c r="C18" s="127" t="s">
        <v>1201</v>
      </c>
      <c r="D18" s="127" t="s">
        <v>1201</v>
      </c>
      <c r="E18" s="127" t="s">
        <v>1202</v>
      </c>
      <c r="F18" s="127" t="s">
        <v>1202</v>
      </c>
      <c r="G18" s="127" t="s">
        <v>1203</v>
      </c>
      <c r="H18" s="127" t="s">
        <v>1203</v>
      </c>
      <c r="I18" s="128" t="b">
        <f t="shared" si="0"/>
        <v>1</v>
      </c>
      <c r="J18" s="126">
        <v>45</v>
      </c>
      <c r="K18" s="126">
        <v>1</v>
      </c>
      <c r="L18" s="126">
        <v>1</v>
      </c>
      <c r="M18" s="126">
        <v>1</v>
      </c>
      <c r="N18" s="126">
        <v>1</v>
      </c>
      <c r="O18" s="127"/>
      <c r="P18" s="127">
        <v>124.06798778803285</v>
      </c>
    </row>
    <row r="19" spans="1:16" x14ac:dyDescent="0.35">
      <c r="A19" s="126">
        <v>17</v>
      </c>
      <c r="B19" s="126">
        <v>3843</v>
      </c>
      <c r="C19" s="127" t="s">
        <v>1198</v>
      </c>
      <c r="D19" s="127" t="s">
        <v>1198</v>
      </c>
      <c r="E19" s="127" t="s">
        <v>1199</v>
      </c>
      <c r="F19" s="127" t="s">
        <v>1199</v>
      </c>
      <c r="G19" s="127" t="s">
        <v>1200</v>
      </c>
      <c r="H19" s="127" t="s">
        <v>1200</v>
      </c>
      <c r="I19" s="128" t="b">
        <f t="shared" si="0"/>
        <v>1</v>
      </c>
      <c r="J19" s="126">
        <v>35</v>
      </c>
      <c r="K19" s="126">
        <v>0</v>
      </c>
      <c r="L19" s="126">
        <v>0</v>
      </c>
      <c r="M19" s="126">
        <v>0</v>
      </c>
      <c r="N19" s="126">
        <v>0</v>
      </c>
      <c r="O19" s="127"/>
      <c r="P19" s="127">
        <v>368.60828365782152</v>
      </c>
    </row>
    <row r="20" spans="1:16" x14ac:dyDescent="0.35">
      <c r="A20" s="126">
        <v>18</v>
      </c>
      <c r="B20" s="126">
        <v>9290</v>
      </c>
      <c r="C20" s="127" t="s">
        <v>1187</v>
      </c>
      <c r="D20" s="127" t="s">
        <v>1187</v>
      </c>
      <c r="E20" s="127" t="s">
        <v>1188</v>
      </c>
      <c r="F20" s="127" t="s">
        <v>1188</v>
      </c>
      <c r="G20" s="127" t="s">
        <v>1189</v>
      </c>
      <c r="H20" s="127" t="s">
        <v>1189</v>
      </c>
      <c r="I20" s="128" t="b">
        <f t="shared" si="0"/>
        <v>1</v>
      </c>
      <c r="J20" s="126">
        <v>35</v>
      </c>
      <c r="K20" s="126">
        <v>0</v>
      </c>
      <c r="L20" s="126">
        <v>0</v>
      </c>
      <c r="M20" s="126">
        <v>0</v>
      </c>
      <c r="N20" s="126">
        <v>0</v>
      </c>
      <c r="O20" s="126">
        <v>1</v>
      </c>
      <c r="P20" s="127">
        <v>321.05870331569503</v>
      </c>
    </row>
    <row r="21" spans="1:16" x14ac:dyDescent="0.35">
      <c r="A21" s="126">
        <v>19</v>
      </c>
      <c r="B21" s="126">
        <v>12337</v>
      </c>
      <c r="C21" s="127" t="s">
        <v>1187</v>
      </c>
      <c r="D21" s="127" t="s">
        <v>1187</v>
      </c>
      <c r="E21" s="127" t="s">
        <v>1188</v>
      </c>
      <c r="F21" s="127" t="s">
        <v>1188</v>
      </c>
      <c r="G21" s="127" t="s">
        <v>1189</v>
      </c>
      <c r="H21" s="127" t="s">
        <v>1189</v>
      </c>
      <c r="I21" s="128" t="b">
        <f t="shared" si="0"/>
        <v>1</v>
      </c>
      <c r="J21" s="126">
        <v>35</v>
      </c>
      <c r="K21" s="126">
        <v>1</v>
      </c>
      <c r="L21" s="126">
        <v>1</v>
      </c>
      <c r="M21" s="126">
        <v>0</v>
      </c>
      <c r="N21" s="126">
        <v>0</v>
      </c>
      <c r="O21" s="126">
        <v>1</v>
      </c>
      <c r="P21" s="127">
        <v>183.12269611190783</v>
      </c>
    </row>
    <row r="22" spans="1:16" x14ac:dyDescent="0.35">
      <c r="A22" s="126">
        <v>20</v>
      </c>
      <c r="B22" s="126">
        <v>7332</v>
      </c>
      <c r="C22" s="127" t="s">
        <v>1201</v>
      </c>
      <c r="D22" s="127" t="s">
        <v>1201</v>
      </c>
      <c r="E22" s="127" t="s">
        <v>1202</v>
      </c>
      <c r="F22" s="127" t="s">
        <v>1202</v>
      </c>
      <c r="G22" s="127" t="s">
        <v>1203</v>
      </c>
      <c r="H22" s="127" t="s">
        <v>1203</v>
      </c>
      <c r="I22" s="128" t="b">
        <f t="shared" si="0"/>
        <v>1</v>
      </c>
      <c r="J22" s="126">
        <v>45</v>
      </c>
      <c r="K22" s="126">
        <v>1</v>
      </c>
      <c r="L22" s="126">
        <v>1</v>
      </c>
      <c r="M22" s="126">
        <v>1</v>
      </c>
      <c r="N22" s="126">
        <v>1</v>
      </c>
      <c r="O22" s="127"/>
      <c r="P22" s="127">
        <v>207.38800657630435</v>
      </c>
    </row>
    <row r="23" spans="1:16" x14ac:dyDescent="0.35">
      <c r="A23" s="126">
        <v>21</v>
      </c>
      <c r="B23" s="126">
        <v>26973</v>
      </c>
      <c r="C23" s="127" t="s">
        <v>1210</v>
      </c>
      <c r="D23" s="127" t="s">
        <v>1210</v>
      </c>
      <c r="E23" s="127" t="s">
        <v>1212</v>
      </c>
      <c r="F23" s="127" t="s">
        <v>1212</v>
      </c>
      <c r="G23" s="127" t="s">
        <v>1211</v>
      </c>
      <c r="H23" s="127" t="s">
        <v>1211</v>
      </c>
      <c r="I23" s="128" t="b">
        <f t="shared" si="0"/>
        <v>1</v>
      </c>
      <c r="J23" s="126">
        <v>35</v>
      </c>
      <c r="K23" s="126">
        <v>1</v>
      </c>
      <c r="L23" s="126">
        <v>1</v>
      </c>
      <c r="M23" s="126">
        <v>1</v>
      </c>
      <c r="N23" s="126">
        <v>1</v>
      </c>
      <c r="O23" s="126">
        <v>1</v>
      </c>
      <c r="P23" s="127">
        <v>303.30534452775152</v>
      </c>
    </row>
    <row r="24" spans="1:16" x14ac:dyDescent="0.35">
      <c r="A24" s="126">
        <v>22</v>
      </c>
      <c r="B24" s="126">
        <v>4642</v>
      </c>
      <c r="C24" s="127" t="s">
        <v>1198</v>
      </c>
      <c r="D24" s="127" t="s">
        <v>1198</v>
      </c>
      <c r="E24" s="127" t="s">
        <v>1199</v>
      </c>
      <c r="F24" s="127" t="s">
        <v>1199</v>
      </c>
      <c r="G24" s="127" t="s">
        <v>1200</v>
      </c>
      <c r="H24" s="127" t="s">
        <v>1200</v>
      </c>
      <c r="I24" s="128" t="b">
        <f t="shared" si="0"/>
        <v>1</v>
      </c>
      <c r="J24" s="126">
        <v>35</v>
      </c>
      <c r="K24" s="126">
        <v>0</v>
      </c>
      <c r="L24" s="126">
        <v>0</v>
      </c>
      <c r="M24" s="126">
        <v>0</v>
      </c>
      <c r="N24" s="126">
        <v>0</v>
      </c>
      <c r="O24" s="127"/>
      <c r="P24" s="127">
        <v>460.02375455845015</v>
      </c>
    </row>
    <row r="25" spans="1:16" x14ac:dyDescent="0.35">
      <c r="A25" s="126">
        <v>23</v>
      </c>
      <c r="B25" s="126">
        <v>17649</v>
      </c>
      <c r="C25" s="127" t="s">
        <v>1192</v>
      </c>
      <c r="D25" s="127" t="s">
        <v>1192</v>
      </c>
      <c r="E25" s="127" t="s">
        <v>1193</v>
      </c>
      <c r="F25" s="127" t="s">
        <v>1193</v>
      </c>
      <c r="G25" s="127" t="s">
        <v>1194</v>
      </c>
      <c r="H25" s="127" t="s">
        <v>1194</v>
      </c>
      <c r="I25" s="128" t="b">
        <f t="shared" si="0"/>
        <v>1</v>
      </c>
      <c r="J25" s="126">
        <v>30</v>
      </c>
      <c r="K25" s="126">
        <v>1</v>
      </c>
      <c r="L25" s="126">
        <v>1</v>
      </c>
      <c r="M25" s="126">
        <v>0</v>
      </c>
      <c r="N25" s="126">
        <v>0</v>
      </c>
      <c r="O25" s="126">
        <v>1</v>
      </c>
      <c r="P25" s="127">
        <v>347.12548406346076</v>
      </c>
    </row>
    <row r="26" spans="1:16" x14ac:dyDescent="0.35">
      <c r="A26" s="126">
        <v>24</v>
      </c>
      <c r="B26" s="126">
        <v>2437</v>
      </c>
      <c r="C26" s="127" t="s">
        <v>1187</v>
      </c>
      <c r="D26" s="127" t="s">
        <v>1187</v>
      </c>
      <c r="E26" s="127" t="s">
        <v>1188</v>
      </c>
      <c r="F26" s="127" t="s">
        <v>1188</v>
      </c>
      <c r="G26" s="127" t="s">
        <v>1189</v>
      </c>
      <c r="H26" s="127" t="s">
        <v>1189</v>
      </c>
      <c r="I26" s="128" t="b">
        <f t="shared" si="0"/>
        <v>1</v>
      </c>
      <c r="J26" s="126">
        <v>35</v>
      </c>
      <c r="K26" s="126">
        <v>0</v>
      </c>
      <c r="L26" s="126">
        <v>0</v>
      </c>
      <c r="M26" s="126">
        <v>0</v>
      </c>
      <c r="N26" s="126">
        <v>0</v>
      </c>
      <c r="O26" s="126">
        <v>1</v>
      </c>
      <c r="P26" s="127">
        <v>454.35309700026329</v>
      </c>
    </row>
    <row r="27" spans="1:16" x14ac:dyDescent="0.35">
      <c r="A27" s="126">
        <v>25</v>
      </c>
      <c r="B27" s="126">
        <v>15859</v>
      </c>
      <c r="C27" s="127" t="s">
        <v>1213</v>
      </c>
      <c r="D27" s="127" t="s">
        <v>1213</v>
      </c>
      <c r="E27" s="127" t="s">
        <v>1214</v>
      </c>
      <c r="F27" s="127" t="s">
        <v>1214</v>
      </c>
      <c r="G27" s="127" t="s">
        <v>1215</v>
      </c>
      <c r="H27" s="127" t="s">
        <v>1215</v>
      </c>
      <c r="I27" s="128" t="b">
        <f t="shared" si="0"/>
        <v>1</v>
      </c>
      <c r="J27" s="126">
        <v>35</v>
      </c>
      <c r="K27" s="126">
        <v>0</v>
      </c>
      <c r="L27" s="126">
        <v>1</v>
      </c>
      <c r="M27" s="126">
        <v>0</v>
      </c>
      <c r="N27" s="126">
        <v>0</v>
      </c>
      <c r="O27" s="126">
        <v>1</v>
      </c>
      <c r="P27" s="127">
        <v>440.24992698817113</v>
      </c>
    </row>
    <row r="28" spans="1:16" x14ac:dyDescent="0.35">
      <c r="A28" s="126">
        <v>26</v>
      </c>
      <c r="B28" s="126">
        <v>11014</v>
      </c>
      <c r="C28" s="127" t="s">
        <v>1190</v>
      </c>
      <c r="D28" s="127" t="s">
        <v>1190</v>
      </c>
      <c r="E28" s="127" t="s">
        <v>1190</v>
      </c>
      <c r="F28" s="127" t="s">
        <v>1190</v>
      </c>
      <c r="G28" s="127" t="s">
        <v>1191</v>
      </c>
      <c r="H28" s="127" t="s">
        <v>1191</v>
      </c>
      <c r="I28" s="128" t="b">
        <f t="shared" si="0"/>
        <v>1</v>
      </c>
      <c r="J28" s="126">
        <v>35</v>
      </c>
      <c r="K28" s="126">
        <v>1</v>
      </c>
      <c r="L28" s="126">
        <v>1</v>
      </c>
      <c r="M28" s="126">
        <v>1</v>
      </c>
      <c r="N28" s="126">
        <v>1</v>
      </c>
      <c r="O28" s="126">
        <v>1</v>
      </c>
      <c r="P28" s="127">
        <v>264.42869135452548</v>
      </c>
    </row>
    <row r="29" spans="1:16" x14ac:dyDescent="0.35">
      <c r="A29" s="126">
        <v>27</v>
      </c>
      <c r="B29" s="126">
        <v>16054</v>
      </c>
      <c r="C29" s="127" t="s">
        <v>1187</v>
      </c>
      <c r="D29" s="127" t="s">
        <v>1187</v>
      </c>
      <c r="E29" s="127" t="s">
        <v>1188</v>
      </c>
      <c r="F29" s="127" t="s">
        <v>1188</v>
      </c>
      <c r="G29" s="127" t="s">
        <v>1189</v>
      </c>
      <c r="H29" s="127" t="s">
        <v>1189</v>
      </c>
      <c r="I29" s="128" t="b">
        <f t="shared" si="0"/>
        <v>1</v>
      </c>
      <c r="J29" s="126">
        <v>35</v>
      </c>
      <c r="K29" s="126">
        <v>1</v>
      </c>
      <c r="L29" s="126">
        <v>1</v>
      </c>
      <c r="M29" s="126">
        <v>0</v>
      </c>
      <c r="N29" s="126">
        <v>0</v>
      </c>
      <c r="O29" s="126">
        <v>1</v>
      </c>
      <c r="P29" s="127">
        <v>177.63836692740517</v>
      </c>
    </row>
    <row r="30" spans="1:16" x14ac:dyDescent="0.35">
      <c r="A30" s="126">
        <v>28</v>
      </c>
      <c r="B30" s="126">
        <v>26883</v>
      </c>
      <c r="C30" s="127" t="s">
        <v>1207</v>
      </c>
      <c r="D30" s="127" t="s">
        <v>1207</v>
      </c>
      <c r="E30" s="127" t="s">
        <v>1208</v>
      </c>
      <c r="F30" s="127" t="s">
        <v>1208</v>
      </c>
      <c r="G30" s="127" t="s">
        <v>1209</v>
      </c>
      <c r="H30" s="127" t="s">
        <v>1209</v>
      </c>
      <c r="I30" s="128" t="b">
        <f t="shared" si="0"/>
        <v>1</v>
      </c>
      <c r="J30" s="126">
        <v>35</v>
      </c>
      <c r="K30" s="126">
        <v>1</v>
      </c>
      <c r="L30" s="126">
        <v>1</v>
      </c>
      <c r="M30" s="126">
        <v>1</v>
      </c>
      <c r="N30" s="126">
        <v>1</v>
      </c>
      <c r="O30" s="127"/>
      <c r="P30" s="127">
        <v>724.63955046152807</v>
      </c>
    </row>
    <row r="31" spans="1:16" x14ac:dyDescent="0.35">
      <c r="A31" s="126">
        <v>29</v>
      </c>
      <c r="B31" s="126">
        <v>5519</v>
      </c>
      <c r="C31" s="127" t="s">
        <v>1187</v>
      </c>
      <c r="D31" s="127" t="s">
        <v>1187</v>
      </c>
      <c r="E31" s="127" t="s">
        <v>1188</v>
      </c>
      <c r="F31" s="127" t="s">
        <v>1188</v>
      </c>
      <c r="G31" s="127" t="s">
        <v>1189</v>
      </c>
      <c r="H31" s="127" t="s">
        <v>1189</v>
      </c>
      <c r="I31" s="128" t="b">
        <f t="shared" si="0"/>
        <v>1</v>
      </c>
      <c r="J31" s="126">
        <v>35</v>
      </c>
      <c r="K31" s="126">
        <v>0</v>
      </c>
      <c r="L31" s="126">
        <v>0</v>
      </c>
      <c r="M31" s="126">
        <v>0</v>
      </c>
      <c r="N31" s="126">
        <v>0</v>
      </c>
      <c r="O31" s="126">
        <v>1</v>
      </c>
      <c r="P31" s="127">
        <v>415.64968954173492</v>
      </c>
    </row>
    <row r="32" spans="1:16" x14ac:dyDescent="0.35">
      <c r="A32" s="126">
        <v>30</v>
      </c>
      <c r="B32" s="126">
        <v>13880</v>
      </c>
      <c r="C32" s="127" t="s">
        <v>1198</v>
      </c>
      <c r="D32" s="127" t="s">
        <v>1198</v>
      </c>
      <c r="E32" s="127" t="s">
        <v>1199</v>
      </c>
      <c r="F32" s="127" t="s">
        <v>1199</v>
      </c>
      <c r="G32" s="127" t="s">
        <v>1200</v>
      </c>
      <c r="H32" s="127" t="s">
        <v>1200</v>
      </c>
      <c r="I32" s="128" t="b">
        <f t="shared" si="0"/>
        <v>1</v>
      </c>
      <c r="J32" s="126">
        <v>35</v>
      </c>
      <c r="K32" s="126">
        <v>0</v>
      </c>
      <c r="L32" s="126">
        <v>0</v>
      </c>
      <c r="M32" s="126">
        <v>0</v>
      </c>
      <c r="N32" s="126">
        <v>0</v>
      </c>
      <c r="O32" s="127"/>
      <c r="P32" s="127">
        <v>1132.9843097152043</v>
      </c>
    </row>
    <row r="33" spans="1:16" x14ac:dyDescent="0.35">
      <c r="A33" s="126">
        <v>31</v>
      </c>
      <c r="B33" s="126">
        <v>18254</v>
      </c>
      <c r="C33" s="127" t="s">
        <v>1198</v>
      </c>
      <c r="D33" s="127" t="s">
        <v>1198</v>
      </c>
      <c r="E33" s="127" t="s">
        <v>1199</v>
      </c>
      <c r="F33" s="127" t="s">
        <v>1199</v>
      </c>
      <c r="G33" s="127" t="s">
        <v>1200</v>
      </c>
      <c r="H33" s="127" t="s">
        <v>1200</v>
      </c>
      <c r="I33" s="128" t="b">
        <f t="shared" si="0"/>
        <v>1</v>
      </c>
      <c r="J33" s="126">
        <v>35</v>
      </c>
      <c r="K33" s="126">
        <v>0</v>
      </c>
      <c r="L33" s="126">
        <v>0</v>
      </c>
      <c r="M33" s="126">
        <v>0</v>
      </c>
      <c r="N33" s="126">
        <v>0</v>
      </c>
      <c r="O33" s="127"/>
      <c r="P33" s="127">
        <v>559.66720931481973</v>
      </c>
    </row>
    <row r="34" spans="1:16" x14ac:dyDescent="0.35">
      <c r="A34" s="126">
        <v>32</v>
      </c>
      <c r="B34" s="126">
        <v>15038</v>
      </c>
      <c r="C34" s="127" t="s">
        <v>1198</v>
      </c>
      <c r="D34" s="127" t="s">
        <v>1198</v>
      </c>
      <c r="E34" s="127" t="s">
        <v>1199</v>
      </c>
      <c r="F34" s="127" t="s">
        <v>1199</v>
      </c>
      <c r="G34" s="127" t="s">
        <v>1200</v>
      </c>
      <c r="H34" s="127" t="s">
        <v>1200</v>
      </c>
      <c r="I34" s="128" t="b">
        <f t="shared" si="0"/>
        <v>1</v>
      </c>
      <c r="J34" s="126">
        <v>35</v>
      </c>
      <c r="K34" s="126">
        <v>3</v>
      </c>
      <c r="L34" s="126">
        <v>3</v>
      </c>
      <c r="M34" s="126">
        <v>0</v>
      </c>
      <c r="N34" s="126">
        <v>0</v>
      </c>
      <c r="O34" s="127"/>
      <c r="P34" s="127">
        <v>22.354244449313004</v>
      </c>
    </row>
    <row r="35" spans="1:16" x14ac:dyDescent="0.35">
      <c r="A35" s="126">
        <v>33</v>
      </c>
      <c r="B35" s="126">
        <v>14680</v>
      </c>
      <c r="C35" s="127" t="s">
        <v>1190</v>
      </c>
      <c r="D35" s="127" t="s">
        <v>1190</v>
      </c>
      <c r="E35" s="127" t="s">
        <v>1190</v>
      </c>
      <c r="F35" s="127" t="s">
        <v>1190</v>
      </c>
      <c r="G35" s="127" t="s">
        <v>1191</v>
      </c>
      <c r="H35" s="127" t="s">
        <v>1191</v>
      </c>
      <c r="I35" s="128" t="b">
        <f t="shared" si="0"/>
        <v>1</v>
      </c>
      <c r="J35" s="126">
        <v>35</v>
      </c>
      <c r="K35" s="126">
        <v>1</v>
      </c>
      <c r="L35" s="126">
        <v>1</v>
      </c>
      <c r="M35" s="126">
        <v>1</v>
      </c>
      <c r="N35" s="126">
        <v>1</v>
      </c>
      <c r="O35" s="126">
        <v>1</v>
      </c>
      <c r="P35" s="127">
        <v>652.9936468440319</v>
      </c>
    </row>
    <row r="36" spans="1:16" x14ac:dyDescent="0.35">
      <c r="A36" s="126">
        <v>34</v>
      </c>
      <c r="B36" s="126">
        <v>20667</v>
      </c>
      <c r="C36" s="127" t="s">
        <v>1216</v>
      </c>
      <c r="D36" s="127" t="s">
        <v>1216</v>
      </c>
      <c r="E36" s="127" t="s">
        <v>1193</v>
      </c>
      <c r="F36" s="127" t="s">
        <v>1193</v>
      </c>
      <c r="G36" s="127" t="s">
        <v>1162</v>
      </c>
      <c r="H36" s="127" t="s">
        <v>1162</v>
      </c>
      <c r="I36" s="128" t="b">
        <f t="shared" si="0"/>
        <v>1</v>
      </c>
      <c r="J36" s="126">
        <v>35</v>
      </c>
      <c r="K36" s="126">
        <v>1</v>
      </c>
      <c r="L36" s="126">
        <v>1</v>
      </c>
      <c r="M36" s="126">
        <v>0</v>
      </c>
      <c r="N36" s="126">
        <v>0</v>
      </c>
      <c r="O36" s="126">
        <v>1</v>
      </c>
      <c r="P36" s="127">
        <v>303.3016611355269</v>
      </c>
    </row>
    <row r="37" spans="1:16" x14ac:dyDescent="0.35">
      <c r="A37" s="126">
        <v>35</v>
      </c>
      <c r="B37" s="126">
        <v>2283</v>
      </c>
      <c r="C37" s="127" t="s">
        <v>1192</v>
      </c>
      <c r="D37" s="127" t="s">
        <v>1192</v>
      </c>
      <c r="E37" s="127" t="s">
        <v>1193</v>
      </c>
      <c r="F37" s="127" t="s">
        <v>1193</v>
      </c>
      <c r="G37" s="127" t="s">
        <v>1194</v>
      </c>
      <c r="H37" s="127" t="s">
        <v>1194</v>
      </c>
      <c r="I37" s="128" t="b">
        <f t="shared" si="0"/>
        <v>1</v>
      </c>
      <c r="J37" s="126">
        <v>30</v>
      </c>
      <c r="K37" s="126">
        <v>1</v>
      </c>
      <c r="L37" s="126">
        <v>1</v>
      </c>
      <c r="M37" s="126">
        <v>0</v>
      </c>
      <c r="N37" s="126">
        <v>0</v>
      </c>
      <c r="O37" s="126">
        <v>1</v>
      </c>
      <c r="P37" s="127">
        <v>385.34166136633974</v>
      </c>
    </row>
    <row r="38" spans="1:16" x14ac:dyDescent="0.35">
      <c r="A38" s="126">
        <v>36</v>
      </c>
      <c r="B38" s="126">
        <v>3864</v>
      </c>
      <c r="C38" s="127" t="s">
        <v>1192</v>
      </c>
      <c r="D38" s="127" t="s">
        <v>1192</v>
      </c>
      <c r="E38" s="127" t="s">
        <v>1193</v>
      </c>
      <c r="F38" s="127" t="s">
        <v>1193</v>
      </c>
      <c r="G38" s="127" t="s">
        <v>1194</v>
      </c>
      <c r="H38" s="127" t="s">
        <v>1194</v>
      </c>
      <c r="I38" s="128" t="b">
        <f t="shared" si="0"/>
        <v>1</v>
      </c>
      <c r="J38" s="126">
        <v>30</v>
      </c>
      <c r="K38" s="126">
        <v>1</v>
      </c>
      <c r="L38" s="126">
        <v>1</v>
      </c>
      <c r="M38" s="126">
        <v>0</v>
      </c>
      <c r="N38" s="126">
        <v>0</v>
      </c>
      <c r="O38" s="126">
        <v>1</v>
      </c>
      <c r="P38" s="127">
        <v>231.11900971404594</v>
      </c>
    </row>
    <row r="39" spans="1:16" x14ac:dyDescent="0.35">
      <c r="A39" s="126">
        <v>37</v>
      </c>
      <c r="B39" s="126">
        <v>13967</v>
      </c>
      <c r="C39" s="127" t="s">
        <v>1204</v>
      </c>
      <c r="D39" s="127" t="s">
        <v>1204</v>
      </c>
      <c r="E39" s="127" t="s">
        <v>1205</v>
      </c>
      <c r="F39" s="127" t="s">
        <v>1205</v>
      </c>
      <c r="G39" s="127" t="s">
        <v>1206</v>
      </c>
      <c r="H39" s="127" t="s">
        <v>1206</v>
      </c>
      <c r="I39" s="128" t="b">
        <f t="shared" si="0"/>
        <v>1</v>
      </c>
      <c r="J39" s="126">
        <v>45</v>
      </c>
      <c r="K39" s="126">
        <v>0</v>
      </c>
      <c r="L39" s="126">
        <v>1</v>
      </c>
      <c r="M39" s="126">
        <v>0</v>
      </c>
      <c r="N39" s="126">
        <v>1</v>
      </c>
      <c r="O39" s="126">
        <v>1</v>
      </c>
      <c r="P39" s="127">
        <v>647.28881723896222</v>
      </c>
    </row>
    <row r="40" spans="1:16" x14ac:dyDescent="0.35">
      <c r="A40" s="126">
        <v>38</v>
      </c>
      <c r="B40" s="126">
        <v>917</v>
      </c>
      <c r="C40" s="127" t="s">
        <v>1201</v>
      </c>
      <c r="D40" s="127" t="s">
        <v>1201</v>
      </c>
      <c r="E40" s="127" t="s">
        <v>1202</v>
      </c>
      <c r="F40" s="127" t="s">
        <v>1202</v>
      </c>
      <c r="G40" s="127" t="s">
        <v>1203</v>
      </c>
      <c r="H40" s="127" t="s">
        <v>1203</v>
      </c>
      <c r="I40" s="128" t="b">
        <f t="shared" si="0"/>
        <v>1</v>
      </c>
      <c r="J40" s="126">
        <v>45</v>
      </c>
      <c r="K40" s="126">
        <v>1</v>
      </c>
      <c r="L40" s="126">
        <v>1</v>
      </c>
      <c r="M40" s="126">
        <v>1</v>
      </c>
      <c r="N40" s="126">
        <v>1</v>
      </c>
      <c r="O40" s="127"/>
      <c r="P40" s="127">
        <v>131.49473332541848</v>
      </c>
    </row>
    <row r="41" spans="1:16" x14ac:dyDescent="0.35">
      <c r="A41" s="126">
        <v>39</v>
      </c>
      <c r="B41" s="126">
        <v>25661</v>
      </c>
      <c r="C41" s="127" t="s">
        <v>1195</v>
      </c>
      <c r="D41" s="127" t="s">
        <v>1195</v>
      </c>
      <c r="E41" s="127" t="s">
        <v>1196</v>
      </c>
      <c r="F41" s="127" t="s">
        <v>1196</v>
      </c>
      <c r="G41" s="127" t="s">
        <v>1197</v>
      </c>
      <c r="H41" s="127" t="s">
        <v>1197</v>
      </c>
      <c r="I41" s="128" t="b">
        <f t="shared" si="0"/>
        <v>1</v>
      </c>
      <c r="J41" s="126">
        <v>35</v>
      </c>
      <c r="K41" s="126">
        <v>0</v>
      </c>
      <c r="L41" s="126">
        <v>0</v>
      </c>
      <c r="M41" s="126">
        <v>0</v>
      </c>
      <c r="N41" s="126">
        <v>0</v>
      </c>
      <c r="O41" s="127"/>
      <c r="P41" s="127">
        <v>665.09993868566926</v>
      </c>
    </row>
    <row r="42" spans="1:16" x14ac:dyDescent="0.35">
      <c r="A42" s="126">
        <v>40</v>
      </c>
      <c r="B42" s="126">
        <v>23388</v>
      </c>
      <c r="C42" s="127" t="s">
        <v>1216</v>
      </c>
      <c r="D42" s="127" t="s">
        <v>1216</v>
      </c>
      <c r="E42" s="127" t="s">
        <v>1217</v>
      </c>
      <c r="F42" s="127" t="s">
        <v>1217</v>
      </c>
      <c r="G42" s="127" t="s">
        <v>1162</v>
      </c>
      <c r="H42" s="127" t="s">
        <v>1162</v>
      </c>
      <c r="I42" s="128" t="b">
        <f t="shared" si="0"/>
        <v>1</v>
      </c>
      <c r="J42" s="126">
        <v>35</v>
      </c>
      <c r="K42" s="126">
        <v>1</v>
      </c>
      <c r="L42" s="126">
        <v>1</v>
      </c>
      <c r="M42" s="126">
        <v>0</v>
      </c>
      <c r="N42" s="126">
        <v>0</v>
      </c>
      <c r="O42" s="127"/>
      <c r="P42" s="127">
        <v>279.04634982367486</v>
      </c>
    </row>
    <row r="43" spans="1:16" x14ac:dyDescent="0.35">
      <c r="A43" s="126">
        <v>41</v>
      </c>
      <c r="B43" s="126">
        <v>11603</v>
      </c>
      <c r="C43" s="127" t="s">
        <v>1201</v>
      </c>
      <c r="D43" s="127" t="s">
        <v>1201</v>
      </c>
      <c r="E43" s="127" t="s">
        <v>1202</v>
      </c>
      <c r="F43" s="127" t="s">
        <v>1202</v>
      </c>
      <c r="G43" s="127" t="s">
        <v>1203</v>
      </c>
      <c r="H43" s="127" t="s">
        <v>1203</v>
      </c>
      <c r="I43" s="128" t="b">
        <f t="shared" si="0"/>
        <v>1</v>
      </c>
      <c r="J43" s="126">
        <v>45</v>
      </c>
      <c r="K43" s="126">
        <v>1</v>
      </c>
      <c r="L43" s="126">
        <v>1</v>
      </c>
      <c r="M43" s="126">
        <v>1</v>
      </c>
      <c r="N43" s="126">
        <v>1</v>
      </c>
      <c r="O43" s="127"/>
      <c r="P43" s="127">
        <v>364.71365631134847</v>
      </c>
    </row>
    <row r="44" spans="1:16" x14ac:dyDescent="0.35">
      <c r="A44" s="126">
        <v>42</v>
      </c>
      <c r="B44" s="126">
        <v>20151</v>
      </c>
      <c r="C44" s="127" t="s">
        <v>1204</v>
      </c>
      <c r="D44" s="127" t="s">
        <v>1204</v>
      </c>
      <c r="E44" s="127" t="s">
        <v>1205</v>
      </c>
      <c r="F44" s="127" t="s">
        <v>1205</v>
      </c>
      <c r="G44" s="127" t="s">
        <v>1206</v>
      </c>
      <c r="H44" s="127" t="s">
        <v>1206</v>
      </c>
      <c r="I44" s="128" t="b">
        <f t="shared" si="0"/>
        <v>1</v>
      </c>
      <c r="J44" s="126">
        <v>45</v>
      </c>
      <c r="K44" s="126">
        <v>0</v>
      </c>
      <c r="L44" s="126">
        <v>1</v>
      </c>
      <c r="M44" s="126">
        <v>0</v>
      </c>
      <c r="N44" s="126">
        <v>1</v>
      </c>
      <c r="O44" s="126">
        <v>1</v>
      </c>
      <c r="P44" s="127">
        <v>617.79836032476476</v>
      </c>
    </row>
    <row r="45" spans="1:16" x14ac:dyDescent="0.35">
      <c r="A45" s="126">
        <v>43</v>
      </c>
      <c r="B45" s="126">
        <v>6754</v>
      </c>
      <c r="C45" s="127" t="s">
        <v>1201</v>
      </c>
      <c r="D45" s="127" t="s">
        <v>1201</v>
      </c>
      <c r="E45" s="127" t="s">
        <v>1202</v>
      </c>
      <c r="F45" s="127" t="s">
        <v>1202</v>
      </c>
      <c r="G45" s="127" t="s">
        <v>1203</v>
      </c>
      <c r="H45" s="127" t="s">
        <v>1203</v>
      </c>
      <c r="I45" s="128" t="b">
        <f t="shared" si="0"/>
        <v>1</v>
      </c>
      <c r="J45" s="126">
        <v>45</v>
      </c>
      <c r="K45" s="126">
        <v>1</v>
      </c>
      <c r="L45" s="126">
        <v>1</v>
      </c>
      <c r="M45" s="126">
        <v>1</v>
      </c>
      <c r="N45" s="126">
        <v>1</v>
      </c>
      <c r="O45" s="127"/>
      <c r="P45" s="127">
        <v>330.4634905990855</v>
      </c>
    </row>
    <row r="46" spans="1:16" x14ac:dyDescent="0.35">
      <c r="A46" s="126">
        <v>44</v>
      </c>
      <c r="B46" s="126">
        <v>12310</v>
      </c>
      <c r="C46" s="127" t="s">
        <v>1204</v>
      </c>
      <c r="D46" s="127" t="s">
        <v>1204</v>
      </c>
      <c r="E46" s="127" t="s">
        <v>1205</v>
      </c>
      <c r="F46" s="127" t="s">
        <v>1205</v>
      </c>
      <c r="G46" s="127" t="s">
        <v>1206</v>
      </c>
      <c r="H46" s="127" t="s">
        <v>1206</v>
      </c>
      <c r="I46" s="128" t="b">
        <f t="shared" si="0"/>
        <v>1</v>
      </c>
      <c r="J46" s="126">
        <v>45</v>
      </c>
      <c r="K46" s="126">
        <v>0</v>
      </c>
      <c r="L46" s="126">
        <v>0</v>
      </c>
      <c r="M46" s="126">
        <v>0</v>
      </c>
      <c r="N46" s="126">
        <v>0</v>
      </c>
      <c r="O46" s="126">
        <v>1</v>
      </c>
      <c r="P46" s="127">
        <v>323.87032136571111</v>
      </c>
    </row>
    <row r="47" spans="1:16" x14ac:dyDescent="0.35">
      <c r="A47" s="126">
        <v>45</v>
      </c>
      <c r="B47" s="126">
        <v>26502</v>
      </c>
      <c r="C47" s="127" t="s">
        <v>1210</v>
      </c>
      <c r="D47" s="127" t="s">
        <v>1210</v>
      </c>
      <c r="E47" s="127" t="s">
        <v>1212</v>
      </c>
      <c r="F47" s="127" t="s">
        <v>1212</v>
      </c>
      <c r="G47" s="127" t="s">
        <v>1211</v>
      </c>
      <c r="H47" s="127" t="s">
        <v>1211</v>
      </c>
      <c r="I47" s="128" t="b">
        <f t="shared" si="0"/>
        <v>1</v>
      </c>
      <c r="J47" s="126">
        <v>35</v>
      </c>
      <c r="K47" s="126">
        <v>1</v>
      </c>
      <c r="L47" s="126">
        <v>1</v>
      </c>
      <c r="M47" s="126">
        <v>1</v>
      </c>
      <c r="N47" s="126">
        <v>1</v>
      </c>
      <c r="O47" s="126">
        <v>1</v>
      </c>
      <c r="P47" s="127">
        <v>440.33494642836348</v>
      </c>
    </row>
    <row r="48" spans="1:16" x14ac:dyDescent="0.35">
      <c r="A48" s="126">
        <v>46</v>
      </c>
      <c r="B48" s="126">
        <v>16424</v>
      </c>
      <c r="C48" s="127" t="s">
        <v>1218</v>
      </c>
      <c r="D48" s="127" t="s">
        <v>1218</v>
      </c>
      <c r="E48" s="127" t="s">
        <v>1219</v>
      </c>
      <c r="F48" s="127" t="s">
        <v>1219</v>
      </c>
      <c r="G48" s="127" t="s">
        <v>1220</v>
      </c>
      <c r="H48" s="127" t="s">
        <v>1220</v>
      </c>
      <c r="I48" s="128" t="b">
        <f t="shared" si="0"/>
        <v>1</v>
      </c>
      <c r="J48" s="126">
        <v>35</v>
      </c>
      <c r="K48" s="126">
        <v>0</v>
      </c>
      <c r="L48" s="126">
        <v>0</v>
      </c>
      <c r="M48" s="126">
        <v>0</v>
      </c>
      <c r="N48" s="126">
        <v>0</v>
      </c>
      <c r="O48" s="127"/>
      <c r="P48" s="127">
        <v>411.43418490056717</v>
      </c>
    </row>
    <row r="49" spans="1:16" x14ac:dyDescent="0.35">
      <c r="A49" s="126">
        <v>47</v>
      </c>
      <c r="B49" s="126">
        <v>3726</v>
      </c>
      <c r="C49" s="127" t="s">
        <v>1187</v>
      </c>
      <c r="D49" s="127" t="s">
        <v>1187</v>
      </c>
      <c r="E49" s="127" t="s">
        <v>1188</v>
      </c>
      <c r="F49" s="127" t="s">
        <v>1188</v>
      </c>
      <c r="G49" s="127" t="s">
        <v>1189</v>
      </c>
      <c r="H49" s="127" t="s">
        <v>1189</v>
      </c>
      <c r="I49" s="128" t="b">
        <f t="shared" si="0"/>
        <v>1</v>
      </c>
      <c r="J49" s="126">
        <v>35</v>
      </c>
      <c r="K49" s="126">
        <v>0</v>
      </c>
      <c r="L49" s="126">
        <v>1</v>
      </c>
      <c r="M49" s="126">
        <v>0</v>
      </c>
      <c r="N49" s="126">
        <v>1</v>
      </c>
      <c r="O49" s="126">
        <v>1</v>
      </c>
      <c r="P49" s="127">
        <v>371.64270145614921</v>
      </c>
    </row>
    <row r="50" spans="1:16" x14ac:dyDescent="0.35">
      <c r="A50" s="126">
        <v>48</v>
      </c>
      <c r="B50" s="126">
        <v>25790</v>
      </c>
      <c r="C50" s="127" t="s">
        <v>1210</v>
      </c>
      <c r="D50" s="127" t="s">
        <v>1210</v>
      </c>
      <c r="E50" s="127" t="s">
        <v>1212</v>
      </c>
      <c r="F50" s="127" t="s">
        <v>1212</v>
      </c>
      <c r="G50" s="127" t="s">
        <v>1211</v>
      </c>
      <c r="H50" s="127" t="s">
        <v>1211</v>
      </c>
      <c r="I50" s="128" t="b">
        <f t="shared" si="0"/>
        <v>1</v>
      </c>
      <c r="J50" s="126">
        <v>35</v>
      </c>
      <c r="K50" s="126">
        <v>1</v>
      </c>
      <c r="L50" s="126">
        <v>1</v>
      </c>
      <c r="M50" s="126">
        <v>1</v>
      </c>
      <c r="N50" s="126">
        <v>1</v>
      </c>
      <c r="O50" s="126">
        <v>1</v>
      </c>
      <c r="P50" s="127">
        <v>262.81669341453897</v>
      </c>
    </row>
    <row r="51" spans="1:16" x14ac:dyDescent="0.35">
      <c r="A51" s="126">
        <v>49</v>
      </c>
      <c r="B51" s="126">
        <v>19257</v>
      </c>
      <c r="C51" s="127" t="s">
        <v>1195</v>
      </c>
      <c r="D51" s="127" t="s">
        <v>1195</v>
      </c>
      <c r="E51" s="127" t="s">
        <v>1196</v>
      </c>
      <c r="F51" s="127" t="s">
        <v>1196</v>
      </c>
      <c r="G51" s="127" t="s">
        <v>1197</v>
      </c>
      <c r="H51" s="127" t="s">
        <v>1197</v>
      </c>
      <c r="I51" s="128" t="b">
        <f t="shared" si="0"/>
        <v>1</v>
      </c>
      <c r="J51" s="126">
        <v>35</v>
      </c>
      <c r="K51" s="126">
        <v>0</v>
      </c>
      <c r="L51" s="126">
        <v>0</v>
      </c>
      <c r="M51" s="126">
        <v>0</v>
      </c>
      <c r="N51" s="126">
        <v>0</v>
      </c>
      <c r="O51" s="127"/>
      <c r="P51" s="127">
        <v>360.59608381395219</v>
      </c>
    </row>
    <row r="52" spans="1:16" x14ac:dyDescent="0.35">
      <c r="A52" s="126">
        <v>50</v>
      </c>
      <c r="B52" s="126">
        <v>13658</v>
      </c>
      <c r="C52" s="127" t="s">
        <v>1192</v>
      </c>
      <c r="D52" s="127" t="s">
        <v>1192</v>
      </c>
      <c r="E52" s="127" t="s">
        <v>1193</v>
      </c>
      <c r="F52" s="127" t="s">
        <v>1193</v>
      </c>
      <c r="G52" s="127" t="s">
        <v>1194</v>
      </c>
      <c r="H52" s="127" t="s">
        <v>1194</v>
      </c>
      <c r="I52" s="128" t="b">
        <f t="shared" si="0"/>
        <v>1</v>
      </c>
      <c r="J52" s="126">
        <v>30</v>
      </c>
      <c r="K52" s="126">
        <v>1</v>
      </c>
      <c r="L52" s="126">
        <v>1</v>
      </c>
      <c r="M52" s="126">
        <v>0</v>
      </c>
      <c r="N52" s="126">
        <v>0</v>
      </c>
      <c r="O52" s="126">
        <v>1</v>
      </c>
      <c r="P52" s="127">
        <v>93.047575650118674</v>
      </c>
    </row>
    <row r="53" spans="1:16" x14ac:dyDescent="0.35">
      <c r="A53" s="126">
        <v>51</v>
      </c>
      <c r="B53" s="126">
        <v>111</v>
      </c>
      <c r="C53" s="127" t="s">
        <v>1213</v>
      </c>
      <c r="D53" s="127" t="s">
        <v>1213</v>
      </c>
      <c r="E53" s="127" t="s">
        <v>1214</v>
      </c>
      <c r="F53" s="127" t="s">
        <v>1214</v>
      </c>
      <c r="G53" s="127" t="s">
        <v>1215</v>
      </c>
      <c r="H53" s="127" t="s">
        <v>1215</v>
      </c>
      <c r="I53" s="128" t="b">
        <f t="shared" si="0"/>
        <v>1</v>
      </c>
      <c r="J53" s="126">
        <v>35</v>
      </c>
      <c r="K53" s="126">
        <v>0</v>
      </c>
      <c r="L53" s="126">
        <v>1</v>
      </c>
      <c r="M53" s="126">
        <v>0</v>
      </c>
      <c r="N53" s="126">
        <v>0</v>
      </c>
      <c r="O53" s="126">
        <v>1</v>
      </c>
      <c r="P53" s="127">
        <v>1095.828664639746</v>
      </c>
    </row>
    <row r="54" spans="1:16" x14ac:dyDescent="0.35">
      <c r="A54" s="126">
        <v>52</v>
      </c>
      <c r="B54" s="126">
        <v>25683</v>
      </c>
      <c r="C54" s="127" t="s">
        <v>1210</v>
      </c>
      <c r="D54" s="127" t="s">
        <v>1210</v>
      </c>
      <c r="E54" s="127" t="s">
        <v>1212</v>
      </c>
      <c r="F54" s="127" t="s">
        <v>1212</v>
      </c>
      <c r="G54" s="127" t="s">
        <v>1211</v>
      </c>
      <c r="H54" s="127" t="s">
        <v>1211</v>
      </c>
      <c r="I54" s="128" t="b">
        <f t="shared" si="0"/>
        <v>1</v>
      </c>
      <c r="J54" s="126">
        <v>35</v>
      </c>
      <c r="K54" s="126">
        <v>1</v>
      </c>
      <c r="L54" s="126">
        <v>1</v>
      </c>
      <c r="M54" s="126">
        <v>1</v>
      </c>
      <c r="N54" s="126">
        <v>1</v>
      </c>
      <c r="O54" s="126">
        <v>1</v>
      </c>
      <c r="P54" s="127">
        <v>142.60455560699887</v>
      </c>
    </row>
    <row r="55" spans="1:16" x14ac:dyDescent="0.35">
      <c r="A55" s="126">
        <v>53</v>
      </c>
      <c r="B55" s="126">
        <v>17967</v>
      </c>
      <c r="C55" s="127" t="s">
        <v>1201</v>
      </c>
      <c r="D55" s="127" t="s">
        <v>1201</v>
      </c>
      <c r="E55" s="127" t="s">
        <v>1202</v>
      </c>
      <c r="F55" s="127" t="s">
        <v>1202</v>
      </c>
      <c r="G55" s="127" t="s">
        <v>1203</v>
      </c>
      <c r="H55" s="127" t="s">
        <v>1203</v>
      </c>
      <c r="I55" s="128" t="b">
        <f t="shared" si="0"/>
        <v>1</v>
      </c>
      <c r="J55" s="126">
        <v>45</v>
      </c>
      <c r="K55" s="126">
        <v>0</v>
      </c>
      <c r="L55" s="126">
        <v>0</v>
      </c>
      <c r="M55" s="126">
        <v>0</v>
      </c>
      <c r="N55" s="126">
        <v>0</v>
      </c>
      <c r="O55" s="127"/>
      <c r="P55" s="127">
        <v>474.79972322790962</v>
      </c>
    </row>
    <row r="56" spans="1:16" x14ac:dyDescent="0.35">
      <c r="A56" s="126">
        <v>54</v>
      </c>
      <c r="B56" s="126">
        <v>27072</v>
      </c>
      <c r="C56" s="127" t="s">
        <v>1195</v>
      </c>
      <c r="D56" s="127" t="s">
        <v>1195</v>
      </c>
      <c r="E56" s="127" t="s">
        <v>1196</v>
      </c>
      <c r="F56" s="127" t="s">
        <v>1196</v>
      </c>
      <c r="G56" s="127" t="s">
        <v>1197</v>
      </c>
      <c r="H56" s="127" t="s">
        <v>1197</v>
      </c>
      <c r="I56" s="128" t="b">
        <f t="shared" si="0"/>
        <v>1</v>
      </c>
      <c r="J56" s="126">
        <v>35</v>
      </c>
      <c r="K56" s="126">
        <v>0</v>
      </c>
      <c r="L56" s="126">
        <v>0</v>
      </c>
      <c r="M56" s="126">
        <v>0</v>
      </c>
      <c r="N56" s="126">
        <v>0</v>
      </c>
      <c r="O56" s="127"/>
      <c r="P56" s="127">
        <v>111.75984314699699</v>
      </c>
    </row>
    <row r="57" spans="1:16" x14ac:dyDescent="0.35">
      <c r="A57" s="126">
        <v>55</v>
      </c>
      <c r="B57" s="126">
        <v>10673</v>
      </c>
      <c r="C57" s="127" t="s">
        <v>1213</v>
      </c>
      <c r="D57" s="127" t="s">
        <v>1213</v>
      </c>
      <c r="E57" s="127" t="s">
        <v>1214</v>
      </c>
      <c r="F57" s="127" t="s">
        <v>1214</v>
      </c>
      <c r="G57" s="127" t="s">
        <v>1215</v>
      </c>
      <c r="H57" s="127" t="s">
        <v>1215</v>
      </c>
      <c r="I57" s="128" t="b">
        <f t="shared" si="0"/>
        <v>1</v>
      </c>
      <c r="J57" s="126">
        <v>35</v>
      </c>
      <c r="K57" s="126">
        <v>1</v>
      </c>
      <c r="L57" s="126">
        <v>1</v>
      </c>
      <c r="M57" s="126">
        <v>0</v>
      </c>
      <c r="N57" s="126">
        <v>0</v>
      </c>
      <c r="O57" s="126">
        <v>1</v>
      </c>
      <c r="P57" s="127">
        <v>83.100600074140786</v>
      </c>
    </row>
    <row r="58" spans="1:16" x14ac:dyDescent="0.35">
      <c r="A58" s="126">
        <v>56</v>
      </c>
      <c r="B58" s="126">
        <v>7950</v>
      </c>
      <c r="C58" s="127" t="s">
        <v>1207</v>
      </c>
      <c r="D58" s="127" t="s">
        <v>1207</v>
      </c>
      <c r="E58" s="127" t="s">
        <v>1208</v>
      </c>
      <c r="F58" s="127" t="s">
        <v>1208</v>
      </c>
      <c r="G58" s="127" t="s">
        <v>1209</v>
      </c>
      <c r="H58" s="127" t="s">
        <v>1209</v>
      </c>
      <c r="I58" s="128" t="b">
        <f t="shared" si="0"/>
        <v>1</v>
      </c>
      <c r="J58" s="126">
        <v>35</v>
      </c>
      <c r="K58" s="126">
        <v>1</v>
      </c>
      <c r="L58" s="126">
        <v>1</v>
      </c>
      <c r="M58" s="126">
        <v>1</v>
      </c>
      <c r="N58" s="126">
        <v>1</v>
      </c>
      <c r="O58" s="127"/>
      <c r="P58" s="127">
        <v>287.1505937841747</v>
      </c>
    </row>
    <row r="59" spans="1:16" x14ac:dyDescent="0.35">
      <c r="A59" s="126">
        <v>57</v>
      </c>
      <c r="B59" s="126">
        <v>25267</v>
      </c>
      <c r="C59" s="127" t="s">
        <v>1195</v>
      </c>
      <c r="D59" s="127" t="s">
        <v>1195</v>
      </c>
      <c r="E59" s="127" t="s">
        <v>1196</v>
      </c>
      <c r="F59" s="127" t="s">
        <v>1196</v>
      </c>
      <c r="G59" s="127" t="s">
        <v>1197</v>
      </c>
      <c r="H59" s="127" t="s">
        <v>1197</v>
      </c>
      <c r="I59" s="128" t="b">
        <f t="shared" si="0"/>
        <v>1</v>
      </c>
      <c r="J59" s="126">
        <v>35</v>
      </c>
      <c r="K59" s="126">
        <v>0</v>
      </c>
      <c r="L59" s="126">
        <v>0</v>
      </c>
      <c r="M59" s="126">
        <v>0</v>
      </c>
      <c r="N59" s="126">
        <v>0</v>
      </c>
      <c r="O59" s="127"/>
      <c r="P59" s="127">
        <v>277.69813473523936</v>
      </c>
    </row>
    <row r="60" spans="1:16" x14ac:dyDescent="0.35">
      <c r="A60" s="126">
        <v>58</v>
      </c>
      <c r="B60" s="126">
        <v>16830</v>
      </c>
      <c r="C60" s="127" t="s">
        <v>1187</v>
      </c>
      <c r="D60" s="127" t="s">
        <v>1187</v>
      </c>
      <c r="E60" s="127" t="s">
        <v>1188</v>
      </c>
      <c r="F60" s="127" t="s">
        <v>1188</v>
      </c>
      <c r="G60" s="127" t="s">
        <v>1189</v>
      </c>
      <c r="H60" s="127" t="s">
        <v>1189</v>
      </c>
      <c r="I60" s="128" t="b">
        <f t="shared" si="0"/>
        <v>1</v>
      </c>
      <c r="J60" s="126">
        <v>35</v>
      </c>
      <c r="K60" s="126">
        <v>0</v>
      </c>
      <c r="L60" s="126">
        <v>0</v>
      </c>
      <c r="M60" s="126">
        <v>0</v>
      </c>
      <c r="N60" s="126">
        <v>1</v>
      </c>
      <c r="O60" s="126">
        <v>1</v>
      </c>
      <c r="P60" s="127">
        <v>373.9447257264377</v>
      </c>
    </row>
    <row r="61" spans="1:16" x14ac:dyDescent="0.35">
      <c r="A61" s="126">
        <v>59</v>
      </c>
      <c r="B61" s="126">
        <v>17760</v>
      </c>
      <c r="C61" s="127" t="s">
        <v>1204</v>
      </c>
      <c r="D61" s="127" t="s">
        <v>1204</v>
      </c>
      <c r="E61" s="127" t="s">
        <v>1205</v>
      </c>
      <c r="F61" s="127" t="s">
        <v>1205</v>
      </c>
      <c r="G61" s="127" t="s">
        <v>1206</v>
      </c>
      <c r="H61" s="127" t="s">
        <v>1206</v>
      </c>
      <c r="I61" s="128" t="b">
        <f t="shared" si="0"/>
        <v>1</v>
      </c>
      <c r="J61" s="126">
        <v>45</v>
      </c>
      <c r="K61" s="126">
        <v>0</v>
      </c>
      <c r="L61" s="126">
        <v>1</v>
      </c>
      <c r="M61" s="126">
        <v>0</v>
      </c>
      <c r="N61" s="126">
        <v>1</v>
      </c>
      <c r="O61" s="126">
        <v>1</v>
      </c>
      <c r="P61" s="127">
        <v>314.95832005602267</v>
      </c>
    </row>
    <row r="62" spans="1:16" x14ac:dyDescent="0.35">
      <c r="A62" s="126">
        <v>60</v>
      </c>
      <c r="B62" s="126">
        <v>12507</v>
      </c>
      <c r="C62" s="127" t="s">
        <v>1201</v>
      </c>
      <c r="D62" s="127" t="s">
        <v>1201</v>
      </c>
      <c r="E62" s="127" t="s">
        <v>1202</v>
      </c>
      <c r="F62" s="127" t="s">
        <v>1202</v>
      </c>
      <c r="G62" s="127" t="s">
        <v>1203</v>
      </c>
      <c r="H62" s="127" t="s">
        <v>1203</v>
      </c>
      <c r="I62" s="128" t="b">
        <f t="shared" si="0"/>
        <v>1</v>
      </c>
      <c r="J62" s="126">
        <v>45</v>
      </c>
      <c r="K62" s="126">
        <v>1</v>
      </c>
      <c r="L62" s="126">
        <v>1</v>
      </c>
      <c r="M62" s="126">
        <v>1</v>
      </c>
      <c r="N62" s="126">
        <v>1</v>
      </c>
      <c r="O62" s="127"/>
      <c r="P62" s="127">
        <v>575.72364403011466</v>
      </c>
    </row>
    <row r="63" spans="1:16" x14ac:dyDescent="0.35">
      <c r="A63" s="126">
        <v>61</v>
      </c>
      <c r="B63" s="126">
        <v>25682</v>
      </c>
      <c r="C63" s="127" t="s">
        <v>1207</v>
      </c>
      <c r="D63" s="127" t="s">
        <v>1207</v>
      </c>
      <c r="E63" s="127" t="s">
        <v>1208</v>
      </c>
      <c r="F63" s="127" t="s">
        <v>1208</v>
      </c>
      <c r="G63" s="127" t="s">
        <v>1209</v>
      </c>
      <c r="H63" s="127" t="s">
        <v>1209</v>
      </c>
      <c r="I63" s="128" t="b">
        <f t="shared" si="0"/>
        <v>1</v>
      </c>
      <c r="J63" s="126">
        <v>35</v>
      </c>
      <c r="K63" s="126">
        <v>1</v>
      </c>
      <c r="L63" s="126">
        <v>1</v>
      </c>
      <c r="M63" s="126">
        <v>1</v>
      </c>
      <c r="N63" s="126">
        <v>1</v>
      </c>
      <c r="O63" s="127"/>
      <c r="P63" s="127">
        <v>332.63620373354479</v>
      </c>
    </row>
    <row r="64" spans="1:16" x14ac:dyDescent="0.35">
      <c r="A64" s="126">
        <v>62</v>
      </c>
      <c r="B64" s="126">
        <v>4422</v>
      </c>
      <c r="C64" s="127" t="s">
        <v>1201</v>
      </c>
      <c r="D64" s="127" t="s">
        <v>1201</v>
      </c>
      <c r="E64" s="127" t="s">
        <v>1202</v>
      </c>
      <c r="F64" s="127" t="s">
        <v>1202</v>
      </c>
      <c r="G64" s="127" t="s">
        <v>1203</v>
      </c>
      <c r="H64" s="127" t="s">
        <v>1203</v>
      </c>
      <c r="I64" s="128" t="b">
        <f t="shared" si="0"/>
        <v>1</v>
      </c>
      <c r="J64" s="126">
        <v>45</v>
      </c>
      <c r="K64" s="126">
        <v>0</v>
      </c>
      <c r="L64" s="126">
        <v>0</v>
      </c>
      <c r="M64" s="126">
        <v>0</v>
      </c>
      <c r="N64" s="126">
        <v>0</v>
      </c>
      <c r="O64" s="127"/>
      <c r="P64" s="127">
        <v>407.47994475542794</v>
      </c>
    </row>
    <row r="65" spans="1:16" x14ac:dyDescent="0.35">
      <c r="A65" s="126">
        <v>63</v>
      </c>
      <c r="B65" s="126">
        <v>8511</v>
      </c>
      <c r="C65" s="127" t="s">
        <v>1195</v>
      </c>
      <c r="D65" s="127" t="s">
        <v>1195</v>
      </c>
      <c r="E65" s="127" t="s">
        <v>1196</v>
      </c>
      <c r="F65" s="127" t="s">
        <v>1196</v>
      </c>
      <c r="G65" s="127" t="s">
        <v>1197</v>
      </c>
      <c r="H65" s="127" t="s">
        <v>1197</v>
      </c>
      <c r="I65" s="128" t="b">
        <f t="shared" si="0"/>
        <v>1</v>
      </c>
      <c r="J65" s="126">
        <v>45</v>
      </c>
      <c r="K65" s="126">
        <v>0</v>
      </c>
      <c r="L65" s="126">
        <v>0</v>
      </c>
      <c r="M65" s="126">
        <v>0</v>
      </c>
      <c r="N65" s="126">
        <v>0</v>
      </c>
      <c r="O65" s="127"/>
      <c r="P65" s="127">
        <v>271.51472934622484</v>
      </c>
    </row>
    <row r="66" spans="1:16" x14ac:dyDescent="0.35">
      <c r="A66" s="126">
        <v>64</v>
      </c>
      <c r="B66" s="126">
        <v>26028</v>
      </c>
      <c r="C66" s="127" t="s">
        <v>1210</v>
      </c>
      <c r="D66" s="127" t="s">
        <v>1210</v>
      </c>
      <c r="E66" s="127" t="s">
        <v>1212</v>
      </c>
      <c r="F66" s="127" t="s">
        <v>1212</v>
      </c>
      <c r="G66" s="127" t="s">
        <v>1211</v>
      </c>
      <c r="H66" s="127" t="s">
        <v>1211</v>
      </c>
      <c r="I66" s="128" t="b">
        <f t="shared" si="0"/>
        <v>1</v>
      </c>
      <c r="J66" s="126">
        <v>35</v>
      </c>
      <c r="K66" s="126">
        <v>1</v>
      </c>
      <c r="L66" s="126">
        <v>1</v>
      </c>
      <c r="M66" s="126">
        <v>1</v>
      </c>
      <c r="N66" s="126">
        <v>1</v>
      </c>
      <c r="O66" s="126">
        <v>1</v>
      </c>
      <c r="P66" s="127">
        <v>236.51145188222108</v>
      </c>
    </row>
    <row r="67" spans="1:16" x14ac:dyDescent="0.35">
      <c r="A67" s="126">
        <v>65</v>
      </c>
      <c r="B67" s="126">
        <v>7178</v>
      </c>
      <c r="C67" s="127" t="s">
        <v>1207</v>
      </c>
      <c r="D67" s="127" t="s">
        <v>1207</v>
      </c>
      <c r="E67" s="127" t="s">
        <v>1208</v>
      </c>
      <c r="F67" s="127" t="s">
        <v>1208</v>
      </c>
      <c r="G67" s="127" t="s">
        <v>1209</v>
      </c>
      <c r="H67" s="127" t="s">
        <v>1209</v>
      </c>
      <c r="I67" s="128" t="b">
        <f t="shared" si="0"/>
        <v>1</v>
      </c>
      <c r="J67" s="126">
        <v>35</v>
      </c>
      <c r="K67" s="126">
        <v>1</v>
      </c>
      <c r="L67" s="126">
        <v>1</v>
      </c>
      <c r="M67" s="126">
        <v>1</v>
      </c>
      <c r="N67" s="126">
        <v>1</v>
      </c>
      <c r="O67" s="127"/>
      <c r="P67" s="127">
        <v>58.234323508205634</v>
      </c>
    </row>
    <row r="68" spans="1:16" x14ac:dyDescent="0.35">
      <c r="A68" s="126">
        <v>66</v>
      </c>
      <c r="B68" s="126">
        <v>17208</v>
      </c>
      <c r="C68" s="127" t="s">
        <v>1213</v>
      </c>
      <c r="D68" s="127" t="s">
        <v>1213</v>
      </c>
      <c r="E68" s="127" t="s">
        <v>1214</v>
      </c>
      <c r="F68" s="127" t="s">
        <v>1214</v>
      </c>
      <c r="G68" s="127" t="s">
        <v>1215</v>
      </c>
      <c r="H68" s="127" t="s">
        <v>1215</v>
      </c>
      <c r="I68" s="128" t="b">
        <f t="shared" ref="I68:I131" si="1">G68=H68</f>
        <v>1</v>
      </c>
      <c r="J68" s="126">
        <v>35</v>
      </c>
      <c r="K68" s="126">
        <v>1</v>
      </c>
      <c r="L68" s="126">
        <v>1</v>
      </c>
      <c r="M68" s="126">
        <v>0</v>
      </c>
      <c r="N68" s="126">
        <v>0</v>
      </c>
      <c r="O68" s="126">
        <v>1</v>
      </c>
      <c r="P68" s="127">
        <v>408.76399614848799</v>
      </c>
    </row>
    <row r="69" spans="1:16" x14ac:dyDescent="0.35">
      <c r="A69" s="126">
        <v>67</v>
      </c>
      <c r="B69" s="126">
        <v>15639</v>
      </c>
      <c r="C69" s="127" t="s">
        <v>1201</v>
      </c>
      <c r="D69" s="127" t="s">
        <v>1201</v>
      </c>
      <c r="E69" s="127" t="s">
        <v>1202</v>
      </c>
      <c r="F69" s="127" t="s">
        <v>1202</v>
      </c>
      <c r="G69" s="127" t="s">
        <v>1203</v>
      </c>
      <c r="H69" s="127" t="s">
        <v>1203</v>
      </c>
      <c r="I69" s="128" t="b">
        <f t="shared" si="1"/>
        <v>1</v>
      </c>
      <c r="J69" s="126">
        <v>45</v>
      </c>
      <c r="K69" s="126">
        <v>1</v>
      </c>
      <c r="L69" s="126">
        <v>0</v>
      </c>
      <c r="M69" s="126">
        <v>0</v>
      </c>
      <c r="N69" s="126">
        <v>0</v>
      </c>
      <c r="O69" s="127"/>
      <c r="P69" s="127">
        <v>446.83201644906751</v>
      </c>
    </row>
    <row r="70" spans="1:16" x14ac:dyDescent="0.35">
      <c r="A70" s="126">
        <v>68</v>
      </c>
      <c r="B70" s="126">
        <v>17748</v>
      </c>
      <c r="C70" s="127" t="s">
        <v>1187</v>
      </c>
      <c r="D70" s="127" t="s">
        <v>1187</v>
      </c>
      <c r="E70" s="127" t="s">
        <v>1188</v>
      </c>
      <c r="F70" s="127" t="s">
        <v>1188</v>
      </c>
      <c r="G70" s="127" t="s">
        <v>1189</v>
      </c>
      <c r="H70" s="127" t="s">
        <v>1189</v>
      </c>
      <c r="I70" s="128" t="b">
        <f t="shared" si="1"/>
        <v>1</v>
      </c>
      <c r="J70" s="126">
        <v>35</v>
      </c>
      <c r="K70" s="126">
        <v>0</v>
      </c>
      <c r="L70" s="126">
        <v>0</v>
      </c>
      <c r="M70" s="126">
        <v>0</v>
      </c>
      <c r="N70" s="126">
        <v>0</v>
      </c>
      <c r="O70" s="126">
        <v>1</v>
      </c>
      <c r="P70" s="127">
        <v>254.69271907835503</v>
      </c>
    </row>
    <row r="71" spans="1:16" x14ac:dyDescent="0.35">
      <c r="A71" s="126">
        <v>69</v>
      </c>
      <c r="B71" s="126">
        <v>25680</v>
      </c>
      <c r="C71" s="127" t="s">
        <v>1195</v>
      </c>
      <c r="D71" s="127" t="s">
        <v>1195</v>
      </c>
      <c r="E71" s="127" t="s">
        <v>1196</v>
      </c>
      <c r="F71" s="127" t="s">
        <v>1196</v>
      </c>
      <c r="G71" s="127" t="s">
        <v>1197</v>
      </c>
      <c r="H71" s="127" t="s">
        <v>1197</v>
      </c>
      <c r="I71" s="128" t="b">
        <f t="shared" si="1"/>
        <v>1</v>
      </c>
      <c r="J71" s="126">
        <v>35</v>
      </c>
      <c r="K71" s="126">
        <v>0</v>
      </c>
      <c r="L71" s="126">
        <v>0</v>
      </c>
      <c r="M71" s="126">
        <v>0</v>
      </c>
      <c r="N71" s="126">
        <v>0</v>
      </c>
      <c r="O71" s="127"/>
      <c r="P71" s="127">
        <v>435.8672213417596</v>
      </c>
    </row>
    <row r="72" spans="1:16" x14ac:dyDescent="0.35">
      <c r="A72" s="126">
        <v>70</v>
      </c>
      <c r="B72" s="126">
        <v>25999</v>
      </c>
      <c r="C72" s="127" t="s">
        <v>1210</v>
      </c>
      <c r="D72" s="127" t="s">
        <v>1210</v>
      </c>
      <c r="E72" s="127" t="s">
        <v>1212</v>
      </c>
      <c r="F72" s="127" t="s">
        <v>1212</v>
      </c>
      <c r="G72" s="127" t="s">
        <v>1211</v>
      </c>
      <c r="H72" s="127" t="s">
        <v>1211</v>
      </c>
      <c r="I72" s="128" t="b">
        <f t="shared" si="1"/>
        <v>1</v>
      </c>
      <c r="J72" s="126">
        <v>35</v>
      </c>
      <c r="K72" s="126">
        <v>1</v>
      </c>
      <c r="L72" s="126">
        <v>1</v>
      </c>
      <c r="M72" s="126">
        <v>1</v>
      </c>
      <c r="N72" s="126">
        <v>1</v>
      </c>
      <c r="O72" s="126">
        <v>1</v>
      </c>
      <c r="P72" s="127">
        <v>234.90762391624622</v>
      </c>
    </row>
    <row r="73" spans="1:16" x14ac:dyDescent="0.35">
      <c r="A73" s="126">
        <v>71</v>
      </c>
      <c r="B73" s="126">
        <v>27161</v>
      </c>
      <c r="C73" s="127" t="s">
        <v>1195</v>
      </c>
      <c r="D73" s="127" t="s">
        <v>1195</v>
      </c>
      <c r="E73" s="127" t="s">
        <v>1196</v>
      </c>
      <c r="F73" s="127" t="s">
        <v>1196</v>
      </c>
      <c r="G73" s="127" t="s">
        <v>1197</v>
      </c>
      <c r="H73" s="127" t="s">
        <v>1197</v>
      </c>
      <c r="I73" s="128" t="b">
        <f t="shared" si="1"/>
        <v>1</v>
      </c>
      <c r="J73" s="126">
        <v>35</v>
      </c>
      <c r="K73" s="126">
        <v>0</v>
      </c>
      <c r="L73" s="126">
        <v>0</v>
      </c>
      <c r="M73" s="126">
        <v>0</v>
      </c>
      <c r="N73" s="126">
        <v>0</v>
      </c>
      <c r="O73" s="127"/>
      <c r="P73" s="127">
        <v>217.88098267308123</v>
      </c>
    </row>
    <row r="74" spans="1:16" x14ac:dyDescent="0.35">
      <c r="A74" s="126">
        <v>72</v>
      </c>
      <c r="B74" s="126">
        <v>3304</v>
      </c>
      <c r="C74" s="127" t="s">
        <v>1201</v>
      </c>
      <c r="D74" s="127" t="s">
        <v>1201</v>
      </c>
      <c r="E74" s="127" t="s">
        <v>1196</v>
      </c>
      <c r="F74" s="127" t="s">
        <v>1196</v>
      </c>
      <c r="G74" s="127" t="s">
        <v>1203</v>
      </c>
      <c r="H74" s="127" t="s">
        <v>1203</v>
      </c>
      <c r="I74" s="128" t="b">
        <f t="shared" si="1"/>
        <v>1</v>
      </c>
      <c r="J74" s="126">
        <v>45</v>
      </c>
      <c r="K74" s="126">
        <v>0</v>
      </c>
      <c r="L74" s="126">
        <v>0</v>
      </c>
      <c r="M74" s="126">
        <v>0</v>
      </c>
      <c r="N74" s="126">
        <v>0</v>
      </c>
      <c r="O74" s="127"/>
      <c r="P74" s="127">
        <v>0.86321823552554833</v>
      </c>
    </row>
    <row r="75" spans="1:16" x14ac:dyDescent="0.35">
      <c r="A75" s="126">
        <v>73</v>
      </c>
      <c r="B75" s="126">
        <v>15590</v>
      </c>
      <c r="C75" s="127" t="s">
        <v>1187</v>
      </c>
      <c r="D75" s="127" t="s">
        <v>1187</v>
      </c>
      <c r="E75" s="127" t="s">
        <v>1188</v>
      </c>
      <c r="F75" s="127" t="s">
        <v>1188</v>
      </c>
      <c r="G75" s="127" t="s">
        <v>1189</v>
      </c>
      <c r="H75" s="127" t="s">
        <v>1189</v>
      </c>
      <c r="I75" s="128" t="b">
        <f t="shared" si="1"/>
        <v>1</v>
      </c>
      <c r="J75" s="126">
        <v>35</v>
      </c>
      <c r="K75" s="126">
        <v>1</v>
      </c>
      <c r="L75" s="126">
        <v>1</v>
      </c>
      <c r="M75" s="126">
        <v>0</v>
      </c>
      <c r="N75" s="126">
        <v>0</v>
      </c>
      <c r="O75" s="126">
        <v>1</v>
      </c>
      <c r="P75" s="127">
        <v>331.11820211647927</v>
      </c>
    </row>
    <row r="76" spans="1:16" x14ac:dyDescent="0.35">
      <c r="A76" s="126">
        <v>74</v>
      </c>
      <c r="B76" s="126">
        <v>27134</v>
      </c>
      <c r="C76" s="127" t="s">
        <v>1210</v>
      </c>
      <c r="D76" s="127" t="s">
        <v>1210</v>
      </c>
      <c r="E76" s="127" t="s">
        <v>1212</v>
      </c>
      <c r="F76" s="127" t="s">
        <v>1212</v>
      </c>
      <c r="G76" s="127" t="s">
        <v>1211</v>
      </c>
      <c r="H76" s="127" t="s">
        <v>1211</v>
      </c>
      <c r="I76" s="128" t="b">
        <f t="shared" si="1"/>
        <v>1</v>
      </c>
      <c r="J76" s="126">
        <v>35</v>
      </c>
      <c r="K76" s="126">
        <v>1</v>
      </c>
      <c r="L76" s="126">
        <v>1</v>
      </c>
      <c r="M76" s="126">
        <v>1</v>
      </c>
      <c r="N76" s="126">
        <v>1</v>
      </c>
      <c r="O76" s="126">
        <v>1</v>
      </c>
      <c r="P76" s="127">
        <v>265.01371942009087</v>
      </c>
    </row>
    <row r="77" spans="1:16" x14ac:dyDescent="0.35">
      <c r="A77" s="126">
        <v>75</v>
      </c>
      <c r="B77" s="126">
        <v>19820</v>
      </c>
      <c r="C77" s="127" t="s">
        <v>1204</v>
      </c>
      <c r="D77" s="127" t="s">
        <v>1204</v>
      </c>
      <c r="E77" s="127" t="s">
        <v>1205</v>
      </c>
      <c r="F77" s="127" t="s">
        <v>1205</v>
      </c>
      <c r="G77" s="127" t="s">
        <v>1206</v>
      </c>
      <c r="H77" s="127" t="s">
        <v>1206</v>
      </c>
      <c r="I77" s="128" t="b">
        <f t="shared" si="1"/>
        <v>1</v>
      </c>
      <c r="J77" s="126">
        <v>45</v>
      </c>
      <c r="K77" s="126">
        <v>0</v>
      </c>
      <c r="L77" s="126">
        <v>1</v>
      </c>
      <c r="M77" s="126">
        <v>0</v>
      </c>
      <c r="N77" s="126">
        <v>1</v>
      </c>
      <c r="O77" s="126">
        <v>1</v>
      </c>
      <c r="P77" s="127">
        <v>388.65850764657574</v>
      </c>
    </row>
    <row r="78" spans="1:16" x14ac:dyDescent="0.35">
      <c r="A78" s="126">
        <v>76</v>
      </c>
      <c r="B78" s="126">
        <v>27067</v>
      </c>
      <c r="C78" s="127" t="s">
        <v>1210</v>
      </c>
      <c r="D78" s="127" t="s">
        <v>1210</v>
      </c>
      <c r="E78" s="127" t="s">
        <v>1212</v>
      </c>
      <c r="F78" s="127" t="s">
        <v>1212</v>
      </c>
      <c r="G78" s="127" t="s">
        <v>1211</v>
      </c>
      <c r="H78" s="127" t="s">
        <v>1211</v>
      </c>
      <c r="I78" s="128" t="b">
        <f t="shared" si="1"/>
        <v>1</v>
      </c>
      <c r="J78" s="126">
        <v>35</v>
      </c>
      <c r="K78" s="126">
        <v>1</v>
      </c>
      <c r="L78" s="126">
        <v>1</v>
      </c>
      <c r="M78" s="126">
        <v>1</v>
      </c>
      <c r="N78" s="126">
        <v>1</v>
      </c>
      <c r="O78" s="126">
        <v>1</v>
      </c>
      <c r="P78" s="127">
        <v>484.81228338253192</v>
      </c>
    </row>
    <row r="79" spans="1:16" x14ac:dyDescent="0.35">
      <c r="A79" s="126">
        <v>77</v>
      </c>
      <c r="B79" s="126">
        <v>12906</v>
      </c>
      <c r="C79" s="127" t="s">
        <v>1213</v>
      </c>
      <c r="D79" s="127" t="s">
        <v>1213</v>
      </c>
      <c r="E79" s="127" t="s">
        <v>1214</v>
      </c>
      <c r="F79" s="127" t="s">
        <v>1214</v>
      </c>
      <c r="G79" s="127" t="s">
        <v>1215</v>
      </c>
      <c r="H79" s="127" t="s">
        <v>1215</v>
      </c>
      <c r="I79" s="128" t="b">
        <f t="shared" si="1"/>
        <v>1</v>
      </c>
      <c r="J79" s="126">
        <v>35</v>
      </c>
      <c r="K79" s="126">
        <v>1</v>
      </c>
      <c r="L79" s="126">
        <v>1</v>
      </c>
      <c r="M79" s="126">
        <v>0</v>
      </c>
      <c r="N79" s="126">
        <v>0</v>
      </c>
      <c r="O79" s="126">
        <v>1</v>
      </c>
      <c r="P79" s="127">
        <v>338.14016883469037</v>
      </c>
    </row>
    <row r="80" spans="1:16" x14ac:dyDescent="0.35">
      <c r="A80" s="126">
        <v>78</v>
      </c>
      <c r="B80" s="126">
        <v>26889</v>
      </c>
      <c r="C80" s="127" t="s">
        <v>1210</v>
      </c>
      <c r="D80" s="127" t="s">
        <v>1210</v>
      </c>
      <c r="E80" s="127" t="s">
        <v>1212</v>
      </c>
      <c r="F80" s="127" t="s">
        <v>1212</v>
      </c>
      <c r="G80" s="127" t="s">
        <v>1211</v>
      </c>
      <c r="H80" s="127" t="s">
        <v>1211</v>
      </c>
      <c r="I80" s="128" t="b">
        <f t="shared" si="1"/>
        <v>1</v>
      </c>
      <c r="J80" s="126">
        <v>35</v>
      </c>
      <c r="K80" s="126">
        <v>1</v>
      </c>
      <c r="L80" s="126">
        <v>1</v>
      </c>
      <c r="M80" s="126">
        <v>1</v>
      </c>
      <c r="N80" s="126">
        <v>1</v>
      </c>
      <c r="O80" s="126">
        <v>1</v>
      </c>
      <c r="P80" s="127">
        <v>824.19736232979062</v>
      </c>
    </row>
    <row r="81" spans="1:16" x14ac:dyDescent="0.35">
      <c r="A81" s="126">
        <v>79</v>
      </c>
      <c r="B81" s="126">
        <v>23797</v>
      </c>
      <c r="C81" s="127" t="s">
        <v>1221</v>
      </c>
      <c r="D81" s="127" t="s">
        <v>1221</v>
      </c>
      <c r="E81" s="127" t="s">
        <v>1222</v>
      </c>
      <c r="F81" s="127" t="s">
        <v>1222</v>
      </c>
      <c r="G81" s="127" t="s">
        <v>1223</v>
      </c>
      <c r="H81" s="127" t="s">
        <v>1223</v>
      </c>
      <c r="I81" s="128" t="b">
        <f t="shared" si="1"/>
        <v>1</v>
      </c>
      <c r="J81" s="126">
        <v>40</v>
      </c>
      <c r="K81" s="126">
        <v>1</v>
      </c>
      <c r="L81" s="126">
        <v>1</v>
      </c>
      <c r="M81" s="126">
        <v>0</v>
      </c>
      <c r="N81" s="126">
        <v>0</v>
      </c>
      <c r="O81" s="126">
        <v>1</v>
      </c>
      <c r="P81" s="127">
        <v>935.97825907917763</v>
      </c>
    </row>
    <row r="82" spans="1:16" x14ac:dyDescent="0.35">
      <c r="A82" s="126">
        <v>80</v>
      </c>
      <c r="B82" s="126">
        <v>2342</v>
      </c>
      <c r="C82" s="127" t="s">
        <v>1192</v>
      </c>
      <c r="D82" s="127" t="s">
        <v>1192</v>
      </c>
      <c r="E82" s="127" t="s">
        <v>1193</v>
      </c>
      <c r="F82" s="127" t="s">
        <v>1193</v>
      </c>
      <c r="G82" s="127" t="s">
        <v>1194</v>
      </c>
      <c r="H82" s="127" t="s">
        <v>1194</v>
      </c>
      <c r="I82" s="128" t="b">
        <f t="shared" si="1"/>
        <v>1</v>
      </c>
      <c r="J82" s="126">
        <v>30</v>
      </c>
      <c r="K82" s="126">
        <v>1</v>
      </c>
      <c r="L82" s="126">
        <v>1</v>
      </c>
      <c r="M82" s="126">
        <v>0</v>
      </c>
      <c r="N82" s="126">
        <v>0</v>
      </c>
      <c r="O82" s="126">
        <v>1</v>
      </c>
      <c r="P82" s="127">
        <v>329.79065700971762</v>
      </c>
    </row>
    <row r="83" spans="1:16" x14ac:dyDescent="0.35">
      <c r="A83" s="126">
        <v>81</v>
      </c>
      <c r="B83" s="126">
        <v>9681</v>
      </c>
      <c r="C83" s="127" t="s">
        <v>1187</v>
      </c>
      <c r="D83" s="127" t="s">
        <v>1187</v>
      </c>
      <c r="E83" s="127" t="s">
        <v>1188</v>
      </c>
      <c r="F83" s="127" t="s">
        <v>1188</v>
      </c>
      <c r="G83" s="127" t="s">
        <v>1189</v>
      </c>
      <c r="H83" s="127" t="s">
        <v>1189</v>
      </c>
      <c r="I83" s="128" t="b">
        <f t="shared" si="1"/>
        <v>1</v>
      </c>
      <c r="J83" s="126">
        <v>35</v>
      </c>
      <c r="K83" s="126">
        <v>1</v>
      </c>
      <c r="L83" s="126">
        <v>1</v>
      </c>
      <c r="M83" s="126">
        <v>0</v>
      </c>
      <c r="N83" s="126">
        <v>0</v>
      </c>
      <c r="O83" s="126">
        <v>1</v>
      </c>
      <c r="P83" s="127">
        <v>244.91339808860403</v>
      </c>
    </row>
    <row r="84" spans="1:16" x14ac:dyDescent="0.35">
      <c r="A84" s="126">
        <v>82</v>
      </c>
      <c r="B84" s="126">
        <v>17114</v>
      </c>
      <c r="C84" s="127" t="s">
        <v>1201</v>
      </c>
      <c r="D84" s="127" t="s">
        <v>1201</v>
      </c>
      <c r="E84" s="127" t="s">
        <v>1202</v>
      </c>
      <c r="F84" s="127" t="s">
        <v>1202</v>
      </c>
      <c r="G84" s="127" t="s">
        <v>1203</v>
      </c>
      <c r="H84" s="127" t="s">
        <v>1203</v>
      </c>
      <c r="I84" s="128" t="b">
        <f t="shared" si="1"/>
        <v>1</v>
      </c>
      <c r="J84" s="126">
        <v>45</v>
      </c>
      <c r="K84" s="126">
        <v>0</v>
      </c>
      <c r="L84" s="126">
        <v>0</v>
      </c>
      <c r="M84" s="126">
        <v>0</v>
      </c>
      <c r="N84" s="126">
        <v>0</v>
      </c>
      <c r="O84" s="127"/>
      <c r="P84" s="127">
        <v>329.64728548609378</v>
      </c>
    </row>
    <row r="85" spans="1:16" x14ac:dyDescent="0.35">
      <c r="A85" s="126">
        <v>83</v>
      </c>
      <c r="B85" s="126">
        <v>25872</v>
      </c>
      <c r="C85" s="127" t="s">
        <v>1195</v>
      </c>
      <c r="D85" s="127" t="s">
        <v>1195</v>
      </c>
      <c r="E85" s="127" t="s">
        <v>1196</v>
      </c>
      <c r="F85" s="127" t="s">
        <v>1196</v>
      </c>
      <c r="G85" s="127" t="s">
        <v>1197</v>
      </c>
      <c r="H85" s="127" t="s">
        <v>1197</v>
      </c>
      <c r="I85" s="128" t="b">
        <f t="shared" si="1"/>
        <v>1</v>
      </c>
      <c r="J85" s="126">
        <v>35</v>
      </c>
      <c r="K85" s="126">
        <v>0</v>
      </c>
      <c r="L85" s="126">
        <v>0</v>
      </c>
      <c r="M85" s="126">
        <v>0</v>
      </c>
      <c r="N85" s="126">
        <v>0</v>
      </c>
      <c r="O85" s="126">
        <v>1</v>
      </c>
      <c r="P85" s="127">
        <v>960.58112505458439</v>
      </c>
    </row>
    <row r="86" spans="1:16" x14ac:dyDescent="0.35">
      <c r="A86" s="126">
        <v>84</v>
      </c>
      <c r="B86" s="126">
        <v>20143</v>
      </c>
      <c r="C86" s="127" t="s">
        <v>1201</v>
      </c>
      <c r="D86" s="127" t="s">
        <v>1201</v>
      </c>
      <c r="E86" s="127" t="s">
        <v>1202</v>
      </c>
      <c r="F86" s="127" t="s">
        <v>1202</v>
      </c>
      <c r="G86" s="127" t="s">
        <v>1203</v>
      </c>
      <c r="H86" s="127" t="s">
        <v>1203</v>
      </c>
      <c r="I86" s="128" t="b">
        <f t="shared" si="1"/>
        <v>1</v>
      </c>
      <c r="J86" s="126">
        <v>45</v>
      </c>
      <c r="K86" s="126">
        <v>1</v>
      </c>
      <c r="L86" s="126">
        <v>1</v>
      </c>
      <c r="M86" s="126">
        <v>1</v>
      </c>
      <c r="N86" s="126">
        <v>1</v>
      </c>
      <c r="O86" s="127"/>
      <c r="P86" s="127">
        <v>300.16609649450254</v>
      </c>
    </row>
    <row r="87" spans="1:16" x14ac:dyDescent="0.35">
      <c r="A87" s="126">
        <v>85</v>
      </c>
      <c r="B87" s="126">
        <v>15982</v>
      </c>
      <c r="C87" s="127" t="s">
        <v>1213</v>
      </c>
      <c r="D87" s="127" t="s">
        <v>1213</v>
      </c>
      <c r="E87" s="127" t="s">
        <v>1214</v>
      </c>
      <c r="F87" s="127" t="s">
        <v>1214</v>
      </c>
      <c r="G87" s="127" t="s">
        <v>1215</v>
      </c>
      <c r="H87" s="127" t="s">
        <v>1215</v>
      </c>
      <c r="I87" s="128" t="b">
        <f t="shared" si="1"/>
        <v>1</v>
      </c>
      <c r="J87" s="126">
        <v>35</v>
      </c>
      <c r="K87" s="126">
        <v>1</v>
      </c>
      <c r="L87" s="126">
        <v>1</v>
      </c>
      <c r="M87" s="126">
        <v>0</v>
      </c>
      <c r="N87" s="126">
        <v>0</v>
      </c>
      <c r="O87" s="126">
        <v>1</v>
      </c>
      <c r="P87" s="127">
        <v>375.39663130508205</v>
      </c>
    </row>
    <row r="88" spans="1:16" x14ac:dyDescent="0.35">
      <c r="A88" s="126">
        <v>86</v>
      </c>
      <c r="B88" s="126">
        <v>19204</v>
      </c>
      <c r="C88" s="127" t="s">
        <v>1201</v>
      </c>
      <c r="D88" s="127" t="s">
        <v>1201</v>
      </c>
      <c r="E88" s="127" t="s">
        <v>1202</v>
      </c>
      <c r="F88" s="127" t="s">
        <v>1202</v>
      </c>
      <c r="G88" s="127" t="s">
        <v>1203</v>
      </c>
      <c r="H88" s="127" t="s">
        <v>1203</v>
      </c>
      <c r="I88" s="128" t="b">
        <f t="shared" si="1"/>
        <v>1</v>
      </c>
      <c r="J88" s="126">
        <v>45</v>
      </c>
      <c r="K88" s="126">
        <v>1</v>
      </c>
      <c r="L88" s="126">
        <v>1</v>
      </c>
      <c r="M88" s="126">
        <v>1</v>
      </c>
      <c r="N88" s="126">
        <v>1</v>
      </c>
      <c r="O88" s="127"/>
      <c r="P88" s="127">
        <v>258.05856338660374</v>
      </c>
    </row>
    <row r="89" spans="1:16" x14ac:dyDescent="0.35">
      <c r="A89" s="126">
        <v>87</v>
      </c>
      <c r="B89" s="126">
        <v>17415</v>
      </c>
      <c r="C89" s="127" t="s">
        <v>1201</v>
      </c>
      <c r="D89" s="127" t="s">
        <v>1201</v>
      </c>
      <c r="E89" s="127" t="s">
        <v>1202</v>
      </c>
      <c r="F89" s="127" t="s">
        <v>1202</v>
      </c>
      <c r="G89" s="127" t="s">
        <v>1203</v>
      </c>
      <c r="H89" s="127" t="s">
        <v>1203</v>
      </c>
      <c r="I89" s="128" t="b">
        <f t="shared" si="1"/>
        <v>1</v>
      </c>
      <c r="J89" s="126">
        <v>45</v>
      </c>
      <c r="K89" s="126">
        <v>0</v>
      </c>
      <c r="L89" s="126">
        <v>0</v>
      </c>
      <c r="M89" s="126">
        <v>0</v>
      </c>
      <c r="N89" s="126">
        <v>0</v>
      </c>
      <c r="O89" s="127"/>
      <c r="P89" s="127">
        <v>342.77055950768187</v>
      </c>
    </row>
    <row r="90" spans="1:16" x14ac:dyDescent="0.35">
      <c r="A90" s="126">
        <v>88</v>
      </c>
      <c r="B90" s="126">
        <v>30</v>
      </c>
      <c r="C90" s="127" t="s">
        <v>1198</v>
      </c>
      <c r="D90" s="127" t="s">
        <v>1198</v>
      </c>
      <c r="E90" s="127" t="s">
        <v>1199</v>
      </c>
      <c r="F90" s="127" t="s">
        <v>1199</v>
      </c>
      <c r="G90" s="127" t="s">
        <v>1200</v>
      </c>
      <c r="H90" s="127" t="s">
        <v>1200</v>
      </c>
      <c r="I90" s="128" t="b">
        <f t="shared" si="1"/>
        <v>1</v>
      </c>
      <c r="J90" s="126">
        <v>35</v>
      </c>
      <c r="K90" s="126">
        <v>0</v>
      </c>
      <c r="L90" s="126">
        <v>0</v>
      </c>
      <c r="M90" s="126">
        <v>0</v>
      </c>
      <c r="N90" s="126">
        <v>0</v>
      </c>
      <c r="O90" s="127"/>
      <c r="P90" s="127">
        <v>280.94872178528203</v>
      </c>
    </row>
    <row r="91" spans="1:16" x14ac:dyDescent="0.35">
      <c r="A91" s="126">
        <v>89</v>
      </c>
      <c r="B91" s="126">
        <v>5638</v>
      </c>
      <c r="C91" s="127" t="s">
        <v>1201</v>
      </c>
      <c r="D91" s="127" t="s">
        <v>1201</v>
      </c>
      <c r="E91" s="127" t="s">
        <v>1202</v>
      </c>
      <c r="F91" s="127" t="s">
        <v>1202</v>
      </c>
      <c r="G91" s="127" t="s">
        <v>1203</v>
      </c>
      <c r="H91" s="127" t="s">
        <v>1203</v>
      </c>
      <c r="I91" s="128" t="b">
        <f t="shared" si="1"/>
        <v>1</v>
      </c>
      <c r="J91" s="126">
        <v>45</v>
      </c>
      <c r="K91" s="126">
        <v>0</v>
      </c>
      <c r="L91" s="126">
        <v>0</v>
      </c>
      <c r="M91" s="126">
        <v>0</v>
      </c>
      <c r="N91" s="126">
        <v>0</v>
      </c>
      <c r="O91" s="127"/>
      <c r="P91" s="127">
        <v>292.68101866153967</v>
      </c>
    </row>
    <row r="92" spans="1:16" x14ac:dyDescent="0.35">
      <c r="A92" s="126">
        <v>90</v>
      </c>
      <c r="B92" s="126">
        <v>24163</v>
      </c>
      <c r="C92" s="127" t="s">
        <v>1195</v>
      </c>
      <c r="D92" s="127" t="s">
        <v>1195</v>
      </c>
      <c r="E92" s="127" t="s">
        <v>1196</v>
      </c>
      <c r="F92" s="127" t="s">
        <v>1196</v>
      </c>
      <c r="G92" s="127" t="s">
        <v>1197</v>
      </c>
      <c r="H92" s="127" t="s">
        <v>1197</v>
      </c>
      <c r="I92" s="128" t="b">
        <f t="shared" si="1"/>
        <v>1</v>
      </c>
      <c r="J92" s="126">
        <v>35</v>
      </c>
      <c r="K92" s="126">
        <v>0</v>
      </c>
      <c r="L92" s="126">
        <v>0</v>
      </c>
      <c r="M92" s="126">
        <v>0</v>
      </c>
      <c r="N92" s="126">
        <v>0</v>
      </c>
      <c r="O92" s="127"/>
      <c r="P92" s="127">
        <v>197.55216910469201</v>
      </c>
    </row>
    <row r="93" spans="1:16" x14ac:dyDescent="0.35">
      <c r="A93" s="126">
        <v>91</v>
      </c>
      <c r="B93" s="126">
        <v>987</v>
      </c>
      <c r="C93" s="127" t="s">
        <v>1195</v>
      </c>
      <c r="D93" s="127" t="s">
        <v>1195</v>
      </c>
      <c r="E93" s="127" t="s">
        <v>1196</v>
      </c>
      <c r="F93" s="127" t="s">
        <v>1196</v>
      </c>
      <c r="G93" s="127" t="s">
        <v>1197</v>
      </c>
      <c r="H93" s="127" t="s">
        <v>1197</v>
      </c>
      <c r="I93" s="128" t="b">
        <f t="shared" si="1"/>
        <v>1</v>
      </c>
      <c r="J93" s="126">
        <v>35</v>
      </c>
      <c r="K93" s="126">
        <v>0</v>
      </c>
      <c r="L93" s="126">
        <v>0</v>
      </c>
      <c r="M93" s="126">
        <v>0</v>
      </c>
      <c r="N93" s="126">
        <v>0</v>
      </c>
      <c r="O93" s="127"/>
      <c r="P93" s="127">
        <v>378.11066914517039</v>
      </c>
    </row>
    <row r="94" spans="1:16" x14ac:dyDescent="0.35">
      <c r="A94" s="126">
        <v>92</v>
      </c>
      <c r="B94" s="126">
        <v>15674</v>
      </c>
      <c r="C94" s="127" t="s">
        <v>1187</v>
      </c>
      <c r="D94" s="127" t="s">
        <v>1187</v>
      </c>
      <c r="E94" s="127" t="s">
        <v>1188</v>
      </c>
      <c r="F94" s="127" t="s">
        <v>1188</v>
      </c>
      <c r="G94" s="127" t="s">
        <v>1189</v>
      </c>
      <c r="H94" s="127" t="s">
        <v>1189</v>
      </c>
      <c r="I94" s="128" t="b">
        <f t="shared" si="1"/>
        <v>1</v>
      </c>
      <c r="J94" s="126">
        <v>35</v>
      </c>
      <c r="K94" s="126">
        <v>0</v>
      </c>
      <c r="L94" s="126">
        <v>0</v>
      </c>
      <c r="M94" s="126">
        <v>0</v>
      </c>
      <c r="N94" s="126">
        <v>0</v>
      </c>
      <c r="O94" s="126">
        <v>1</v>
      </c>
      <c r="P94" s="127">
        <v>70.7423492804039</v>
      </c>
    </row>
    <row r="95" spans="1:16" x14ac:dyDescent="0.35">
      <c r="A95" s="126">
        <v>93</v>
      </c>
      <c r="B95" s="126">
        <v>1253</v>
      </c>
      <c r="C95" s="127" t="s">
        <v>1187</v>
      </c>
      <c r="D95" s="127" t="s">
        <v>1187</v>
      </c>
      <c r="E95" s="127" t="s">
        <v>1188</v>
      </c>
      <c r="F95" s="127" t="s">
        <v>1188</v>
      </c>
      <c r="G95" s="127" t="s">
        <v>1189</v>
      </c>
      <c r="H95" s="127" t="s">
        <v>1189</v>
      </c>
      <c r="I95" s="128" t="b">
        <f t="shared" si="1"/>
        <v>1</v>
      </c>
      <c r="J95" s="126">
        <v>35</v>
      </c>
      <c r="K95" s="126">
        <v>0</v>
      </c>
      <c r="L95" s="126">
        <v>0</v>
      </c>
      <c r="M95" s="126">
        <v>0</v>
      </c>
      <c r="N95" s="126">
        <v>0</v>
      </c>
      <c r="O95" s="126">
        <v>1</v>
      </c>
      <c r="P95" s="127">
        <v>623.2400569905767</v>
      </c>
    </row>
    <row r="96" spans="1:16" x14ac:dyDescent="0.35">
      <c r="A96" s="126">
        <v>94</v>
      </c>
      <c r="B96" s="126">
        <v>12776</v>
      </c>
      <c r="C96" s="127" t="s">
        <v>1201</v>
      </c>
      <c r="D96" s="127" t="s">
        <v>1201</v>
      </c>
      <c r="E96" s="127" t="s">
        <v>1202</v>
      </c>
      <c r="F96" s="127" t="s">
        <v>1202</v>
      </c>
      <c r="G96" s="127" t="s">
        <v>1203</v>
      </c>
      <c r="H96" s="127" t="s">
        <v>1203</v>
      </c>
      <c r="I96" s="128" t="b">
        <f t="shared" si="1"/>
        <v>1</v>
      </c>
      <c r="J96" s="126">
        <v>45</v>
      </c>
      <c r="K96" s="126">
        <v>1</v>
      </c>
      <c r="L96" s="126">
        <v>1</v>
      </c>
      <c r="M96" s="126">
        <v>1</v>
      </c>
      <c r="N96" s="126">
        <v>1</v>
      </c>
      <c r="O96" s="127"/>
      <c r="P96" s="127">
        <v>300.02305559412582</v>
      </c>
    </row>
    <row r="97" spans="1:16" x14ac:dyDescent="0.35">
      <c r="A97" s="126">
        <v>95</v>
      </c>
      <c r="B97" s="126">
        <v>24658</v>
      </c>
      <c r="C97" s="127" t="s">
        <v>1190</v>
      </c>
      <c r="D97" s="127" t="s">
        <v>1190</v>
      </c>
      <c r="E97" s="127" t="s">
        <v>1190</v>
      </c>
      <c r="F97" s="127" t="s">
        <v>1190</v>
      </c>
      <c r="G97" s="127" t="s">
        <v>1191</v>
      </c>
      <c r="H97" s="127" t="s">
        <v>1191</v>
      </c>
      <c r="I97" s="128" t="b">
        <f t="shared" si="1"/>
        <v>1</v>
      </c>
      <c r="J97" s="126">
        <v>35</v>
      </c>
      <c r="K97" s="126">
        <v>0</v>
      </c>
      <c r="L97" s="126">
        <v>0</v>
      </c>
      <c r="M97" s="126">
        <v>0</v>
      </c>
      <c r="N97" s="126">
        <v>0</v>
      </c>
      <c r="O97" s="126">
        <v>1</v>
      </c>
      <c r="P97" s="127">
        <v>1097.2896219964066</v>
      </c>
    </row>
    <row r="98" spans="1:16" x14ac:dyDescent="0.35">
      <c r="A98" s="126">
        <v>96</v>
      </c>
      <c r="B98" s="126">
        <v>18567</v>
      </c>
      <c r="C98" s="127" t="s">
        <v>1201</v>
      </c>
      <c r="D98" s="127" t="s">
        <v>1201</v>
      </c>
      <c r="E98" s="127" t="s">
        <v>1202</v>
      </c>
      <c r="F98" s="127" t="s">
        <v>1202</v>
      </c>
      <c r="G98" s="127" t="s">
        <v>1203</v>
      </c>
      <c r="H98" s="127" t="s">
        <v>1203</v>
      </c>
      <c r="I98" s="128" t="b">
        <f t="shared" si="1"/>
        <v>1</v>
      </c>
      <c r="J98" s="126">
        <v>45</v>
      </c>
      <c r="K98" s="126">
        <v>0</v>
      </c>
      <c r="L98" s="126">
        <v>0</v>
      </c>
      <c r="M98" s="126">
        <v>0</v>
      </c>
      <c r="N98" s="126">
        <v>0</v>
      </c>
      <c r="O98" s="127"/>
      <c r="P98" s="127">
        <v>186.57165300571415</v>
      </c>
    </row>
    <row r="99" spans="1:16" x14ac:dyDescent="0.35">
      <c r="A99" s="126">
        <v>97</v>
      </c>
      <c r="B99" s="126">
        <v>15172</v>
      </c>
      <c r="C99" s="127" t="s">
        <v>1190</v>
      </c>
      <c r="D99" s="127" t="s">
        <v>1190</v>
      </c>
      <c r="E99" s="127" t="s">
        <v>1190</v>
      </c>
      <c r="F99" s="127" t="s">
        <v>1190</v>
      </c>
      <c r="G99" s="127" t="s">
        <v>1191</v>
      </c>
      <c r="H99" s="127" t="s">
        <v>1191</v>
      </c>
      <c r="I99" s="128" t="b">
        <f t="shared" si="1"/>
        <v>1</v>
      </c>
      <c r="J99" s="126">
        <v>35</v>
      </c>
      <c r="K99" s="126">
        <v>1</v>
      </c>
      <c r="L99" s="126">
        <v>1</v>
      </c>
      <c r="M99" s="126">
        <v>1</v>
      </c>
      <c r="N99" s="126">
        <v>1</v>
      </c>
      <c r="O99" s="126">
        <v>1</v>
      </c>
      <c r="P99" s="127">
        <v>2954.380347911479</v>
      </c>
    </row>
    <row r="100" spans="1:16" x14ac:dyDescent="0.35">
      <c r="A100" s="126">
        <v>98</v>
      </c>
      <c r="B100" s="126">
        <v>26068</v>
      </c>
      <c r="C100" s="127" t="s">
        <v>1210</v>
      </c>
      <c r="D100" s="127" t="s">
        <v>1210</v>
      </c>
      <c r="E100" s="127" t="s">
        <v>1212</v>
      </c>
      <c r="F100" s="127" t="s">
        <v>1212</v>
      </c>
      <c r="G100" s="127" t="s">
        <v>1211</v>
      </c>
      <c r="H100" s="127" t="s">
        <v>1211</v>
      </c>
      <c r="I100" s="128" t="b">
        <f t="shared" si="1"/>
        <v>1</v>
      </c>
      <c r="J100" s="126">
        <v>35</v>
      </c>
      <c r="K100" s="126">
        <v>1</v>
      </c>
      <c r="L100" s="126">
        <v>1</v>
      </c>
      <c r="M100" s="126">
        <v>1</v>
      </c>
      <c r="N100" s="126">
        <v>1</v>
      </c>
      <c r="O100" s="126">
        <v>1</v>
      </c>
      <c r="P100" s="127">
        <v>910.20164256949693</v>
      </c>
    </row>
    <row r="101" spans="1:16" x14ac:dyDescent="0.35">
      <c r="A101" s="126">
        <v>99</v>
      </c>
      <c r="B101" s="126">
        <v>528</v>
      </c>
      <c r="C101" s="127" t="s">
        <v>1213</v>
      </c>
      <c r="D101" s="127" t="s">
        <v>1213</v>
      </c>
      <c r="E101" s="127" t="s">
        <v>1214</v>
      </c>
      <c r="F101" s="127" t="s">
        <v>1214</v>
      </c>
      <c r="G101" s="127" t="s">
        <v>1215</v>
      </c>
      <c r="H101" s="127" t="s">
        <v>1215</v>
      </c>
      <c r="I101" s="128" t="b">
        <f t="shared" si="1"/>
        <v>1</v>
      </c>
      <c r="J101" s="126">
        <v>35</v>
      </c>
      <c r="K101" s="126">
        <v>1</v>
      </c>
      <c r="L101" s="126">
        <v>1</v>
      </c>
      <c r="M101" s="126">
        <v>0</v>
      </c>
      <c r="N101" s="126">
        <v>0</v>
      </c>
      <c r="O101" s="126">
        <v>1</v>
      </c>
      <c r="P101" s="127">
        <v>38.971265708375327</v>
      </c>
    </row>
    <row r="102" spans="1:16" x14ac:dyDescent="0.35">
      <c r="A102" s="126">
        <v>100</v>
      </c>
      <c r="B102" s="126">
        <v>12718</v>
      </c>
      <c r="C102" s="127" t="s">
        <v>1198</v>
      </c>
      <c r="D102" s="127" t="s">
        <v>1198</v>
      </c>
      <c r="E102" s="127" t="s">
        <v>1199</v>
      </c>
      <c r="F102" s="127" t="s">
        <v>1199</v>
      </c>
      <c r="G102" s="127" t="s">
        <v>1200</v>
      </c>
      <c r="H102" s="127" t="s">
        <v>1200</v>
      </c>
      <c r="I102" s="128" t="b">
        <f t="shared" si="1"/>
        <v>1</v>
      </c>
      <c r="J102" s="126">
        <v>35</v>
      </c>
      <c r="K102" s="126">
        <v>0</v>
      </c>
      <c r="L102" s="126">
        <v>0</v>
      </c>
      <c r="M102" s="126">
        <v>0</v>
      </c>
      <c r="N102" s="126">
        <v>0</v>
      </c>
      <c r="O102" s="127"/>
      <c r="P102" s="127">
        <v>387.86551312832501</v>
      </c>
    </row>
    <row r="103" spans="1:16" x14ac:dyDescent="0.35">
      <c r="A103" s="126">
        <v>101</v>
      </c>
      <c r="B103" s="126">
        <v>8405</v>
      </c>
      <c r="C103" s="127" t="s">
        <v>1201</v>
      </c>
      <c r="D103" s="127" t="s">
        <v>1201</v>
      </c>
      <c r="E103" s="127" t="s">
        <v>1202</v>
      </c>
      <c r="F103" s="127" t="s">
        <v>1202</v>
      </c>
      <c r="G103" s="127" t="s">
        <v>1203</v>
      </c>
      <c r="H103" s="127" t="s">
        <v>1203</v>
      </c>
      <c r="I103" s="128" t="b">
        <f t="shared" si="1"/>
        <v>1</v>
      </c>
      <c r="J103" s="126">
        <v>45</v>
      </c>
      <c r="K103" s="126">
        <v>0</v>
      </c>
      <c r="L103" s="126">
        <v>0</v>
      </c>
      <c r="M103" s="126">
        <v>0</v>
      </c>
      <c r="N103" s="126">
        <v>0</v>
      </c>
      <c r="O103" s="127"/>
      <c r="P103" s="127">
        <v>328.2229171710178</v>
      </c>
    </row>
    <row r="104" spans="1:16" x14ac:dyDescent="0.35">
      <c r="A104" s="126">
        <v>102</v>
      </c>
      <c r="B104" s="126">
        <v>26112</v>
      </c>
      <c r="C104" s="127" t="s">
        <v>1195</v>
      </c>
      <c r="D104" s="127" t="s">
        <v>1195</v>
      </c>
      <c r="E104" s="127" t="s">
        <v>1196</v>
      </c>
      <c r="F104" s="127" t="s">
        <v>1196</v>
      </c>
      <c r="G104" s="127" t="s">
        <v>1197</v>
      </c>
      <c r="H104" s="127" t="s">
        <v>1197</v>
      </c>
      <c r="I104" s="128" t="b">
        <f t="shared" si="1"/>
        <v>1</v>
      </c>
      <c r="J104" s="126">
        <v>35</v>
      </c>
      <c r="K104" s="126">
        <v>0</v>
      </c>
      <c r="L104" s="126">
        <v>0</v>
      </c>
      <c r="M104" s="126">
        <v>0</v>
      </c>
      <c r="N104" s="126">
        <v>0</v>
      </c>
      <c r="O104" s="127"/>
      <c r="P104" s="127">
        <v>292.77239070679138</v>
      </c>
    </row>
    <row r="105" spans="1:16" x14ac:dyDescent="0.35">
      <c r="A105" s="126">
        <v>103</v>
      </c>
      <c r="B105" s="126">
        <v>7502</v>
      </c>
      <c r="C105" s="127" t="s">
        <v>1201</v>
      </c>
      <c r="D105" s="127" t="s">
        <v>1201</v>
      </c>
      <c r="E105" s="127" t="s">
        <v>1202</v>
      </c>
      <c r="F105" s="127" t="s">
        <v>1202</v>
      </c>
      <c r="G105" s="127" t="s">
        <v>1203</v>
      </c>
      <c r="H105" s="127" t="s">
        <v>1203</v>
      </c>
      <c r="I105" s="128" t="b">
        <f t="shared" si="1"/>
        <v>1</v>
      </c>
      <c r="J105" s="126">
        <v>45</v>
      </c>
      <c r="K105" s="126">
        <v>1</v>
      </c>
      <c r="L105" s="126">
        <v>1</v>
      </c>
      <c r="M105" s="126">
        <v>1</v>
      </c>
      <c r="N105" s="126">
        <v>1</v>
      </c>
      <c r="O105" s="127"/>
      <c r="P105" s="127">
        <v>87.129398793796426</v>
      </c>
    </row>
    <row r="106" spans="1:16" x14ac:dyDescent="0.35">
      <c r="A106" s="126">
        <v>104</v>
      </c>
      <c r="B106" s="126">
        <v>14247</v>
      </c>
      <c r="C106" s="127" t="s">
        <v>1201</v>
      </c>
      <c r="D106" s="127" t="s">
        <v>1201</v>
      </c>
      <c r="E106" s="127" t="s">
        <v>1202</v>
      </c>
      <c r="F106" s="127" t="s">
        <v>1202</v>
      </c>
      <c r="G106" s="127" t="s">
        <v>1203</v>
      </c>
      <c r="H106" s="127" t="s">
        <v>1203</v>
      </c>
      <c r="I106" s="128" t="b">
        <f t="shared" si="1"/>
        <v>1</v>
      </c>
      <c r="J106" s="126">
        <v>45</v>
      </c>
      <c r="K106" s="126">
        <v>1</v>
      </c>
      <c r="L106" s="126">
        <v>1</v>
      </c>
      <c r="M106" s="126">
        <v>1</v>
      </c>
      <c r="N106" s="126">
        <v>1</v>
      </c>
      <c r="O106" s="127"/>
      <c r="P106" s="127">
        <v>156.42989594581377</v>
      </c>
    </row>
    <row r="107" spans="1:16" x14ac:dyDescent="0.35">
      <c r="A107" s="126">
        <v>105</v>
      </c>
      <c r="B107" s="126">
        <v>25060</v>
      </c>
      <c r="C107" s="127" t="s">
        <v>1221</v>
      </c>
      <c r="D107" s="127" t="s">
        <v>1221</v>
      </c>
      <c r="E107" s="127" t="s">
        <v>1222</v>
      </c>
      <c r="F107" s="127" t="s">
        <v>1222</v>
      </c>
      <c r="G107" s="127" t="s">
        <v>1223</v>
      </c>
      <c r="H107" s="127" t="s">
        <v>1223</v>
      </c>
      <c r="I107" s="128" t="b">
        <f t="shared" si="1"/>
        <v>1</v>
      </c>
      <c r="J107" s="126">
        <v>40</v>
      </c>
      <c r="K107" s="126">
        <v>1</v>
      </c>
      <c r="L107" s="126">
        <v>1</v>
      </c>
      <c r="M107" s="126">
        <v>0</v>
      </c>
      <c r="N107" s="126">
        <v>0</v>
      </c>
      <c r="O107" s="127"/>
      <c r="P107" s="127">
        <v>292.1008804001429</v>
      </c>
    </row>
    <row r="108" spans="1:16" x14ac:dyDescent="0.35">
      <c r="A108" s="126">
        <v>106</v>
      </c>
      <c r="B108" s="126">
        <v>3318</v>
      </c>
      <c r="C108" s="127" t="s">
        <v>1187</v>
      </c>
      <c r="D108" s="127" t="s">
        <v>1187</v>
      </c>
      <c r="E108" s="127" t="s">
        <v>1188</v>
      </c>
      <c r="F108" s="127" t="s">
        <v>1188</v>
      </c>
      <c r="G108" s="127" t="s">
        <v>1189</v>
      </c>
      <c r="H108" s="127" t="s">
        <v>1189</v>
      </c>
      <c r="I108" s="128" t="b">
        <f t="shared" si="1"/>
        <v>1</v>
      </c>
      <c r="J108" s="126">
        <v>35</v>
      </c>
      <c r="K108" s="126">
        <v>0</v>
      </c>
      <c r="L108" s="126">
        <v>0</v>
      </c>
      <c r="M108" s="126">
        <v>0</v>
      </c>
      <c r="N108" s="126">
        <v>0</v>
      </c>
      <c r="O108" s="126">
        <v>1</v>
      </c>
      <c r="P108" s="127">
        <v>198.09175408851968</v>
      </c>
    </row>
    <row r="109" spans="1:16" x14ac:dyDescent="0.35">
      <c r="A109" s="126">
        <v>107</v>
      </c>
      <c r="B109" s="126">
        <v>22878</v>
      </c>
      <c r="C109" s="127" t="s">
        <v>1216</v>
      </c>
      <c r="D109" s="127" t="s">
        <v>1216</v>
      </c>
      <c r="E109" s="127" t="s">
        <v>1217</v>
      </c>
      <c r="F109" s="127" t="s">
        <v>1217</v>
      </c>
      <c r="G109" s="127" t="s">
        <v>1162</v>
      </c>
      <c r="H109" s="127" t="s">
        <v>1162</v>
      </c>
      <c r="I109" s="128" t="b">
        <f t="shared" si="1"/>
        <v>1</v>
      </c>
      <c r="J109" s="126">
        <v>35</v>
      </c>
      <c r="K109" s="126">
        <v>1</v>
      </c>
      <c r="L109" s="126">
        <v>1</v>
      </c>
      <c r="M109" s="126">
        <v>0</v>
      </c>
      <c r="N109" s="126">
        <v>0</v>
      </c>
      <c r="O109" s="127"/>
      <c r="P109" s="127">
        <v>140.76559512482325</v>
      </c>
    </row>
    <row r="110" spans="1:16" x14ac:dyDescent="0.35">
      <c r="A110" s="126">
        <v>108</v>
      </c>
      <c r="B110" s="126">
        <v>19390</v>
      </c>
      <c r="C110" s="127" t="s">
        <v>1201</v>
      </c>
      <c r="D110" s="127" t="s">
        <v>1201</v>
      </c>
      <c r="E110" s="127" t="s">
        <v>1202</v>
      </c>
      <c r="F110" s="127" t="s">
        <v>1202</v>
      </c>
      <c r="G110" s="127" t="s">
        <v>1203</v>
      </c>
      <c r="H110" s="127" t="s">
        <v>1203</v>
      </c>
      <c r="I110" s="128" t="b">
        <f t="shared" si="1"/>
        <v>1</v>
      </c>
      <c r="J110" s="126">
        <v>45</v>
      </c>
      <c r="K110" s="126">
        <v>1</v>
      </c>
      <c r="L110" s="126">
        <v>1</v>
      </c>
      <c r="M110" s="126">
        <v>0</v>
      </c>
      <c r="N110" s="126">
        <v>1</v>
      </c>
      <c r="O110" s="127"/>
      <c r="P110" s="127">
        <v>329.81853097188599</v>
      </c>
    </row>
    <row r="111" spans="1:16" x14ac:dyDescent="0.35">
      <c r="A111" s="126">
        <v>109</v>
      </c>
      <c r="B111" s="126">
        <v>27152</v>
      </c>
      <c r="C111" s="127" t="s">
        <v>1195</v>
      </c>
      <c r="D111" s="127" t="s">
        <v>1195</v>
      </c>
      <c r="E111" s="127" t="s">
        <v>1196</v>
      </c>
      <c r="F111" s="127" t="s">
        <v>1196</v>
      </c>
      <c r="G111" s="127" t="s">
        <v>1197</v>
      </c>
      <c r="H111" s="127" t="s">
        <v>1197</v>
      </c>
      <c r="I111" s="128" t="b">
        <f t="shared" si="1"/>
        <v>1</v>
      </c>
      <c r="J111" s="126">
        <v>35</v>
      </c>
      <c r="K111" s="126">
        <v>0</v>
      </c>
      <c r="L111" s="126">
        <v>0</v>
      </c>
      <c r="M111" s="126">
        <v>0</v>
      </c>
      <c r="N111" s="126">
        <v>0</v>
      </c>
      <c r="O111" s="127"/>
      <c r="P111" s="127">
        <v>534.93870476734594</v>
      </c>
    </row>
    <row r="112" spans="1:16" x14ac:dyDescent="0.35">
      <c r="A112" s="126">
        <v>110</v>
      </c>
      <c r="B112" s="126">
        <v>24469</v>
      </c>
      <c r="C112" s="127" t="s">
        <v>1210</v>
      </c>
      <c r="D112" s="127" t="s">
        <v>1210</v>
      </c>
      <c r="E112" s="127" t="s">
        <v>1212</v>
      </c>
      <c r="F112" s="127" t="s">
        <v>1212</v>
      </c>
      <c r="G112" s="127" t="s">
        <v>1211</v>
      </c>
      <c r="H112" s="127" t="s">
        <v>1211</v>
      </c>
      <c r="I112" s="128" t="b">
        <f t="shared" si="1"/>
        <v>1</v>
      </c>
      <c r="J112" s="126">
        <v>35</v>
      </c>
      <c r="K112" s="126">
        <v>1</v>
      </c>
      <c r="L112" s="126">
        <v>1</v>
      </c>
      <c r="M112" s="126">
        <v>1</v>
      </c>
      <c r="N112" s="126">
        <v>1</v>
      </c>
      <c r="O112" s="127"/>
      <c r="P112" s="127">
        <v>544.22776452426172</v>
      </c>
    </row>
    <row r="113" spans="1:16" x14ac:dyDescent="0.35">
      <c r="A113" s="126">
        <v>111</v>
      </c>
      <c r="B113" s="126">
        <v>12455</v>
      </c>
      <c r="C113" s="127" t="s">
        <v>1187</v>
      </c>
      <c r="D113" s="127" t="s">
        <v>1187</v>
      </c>
      <c r="E113" s="127" t="s">
        <v>1188</v>
      </c>
      <c r="F113" s="127" t="s">
        <v>1188</v>
      </c>
      <c r="G113" s="127" t="s">
        <v>1189</v>
      </c>
      <c r="H113" s="127" t="s">
        <v>1189</v>
      </c>
      <c r="I113" s="128" t="b">
        <f t="shared" si="1"/>
        <v>1</v>
      </c>
      <c r="J113" s="126">
        <v>35</v>
      </c>
      <c r="K113" s="126">
        <v>1</v>
      </c>
      <c r="L113" s="126">
        <v>1</v>
      </c>
      <c r="M113" s="126">
        <v>0</v>
      </c>
      <c r="N113" s="126">
        <v>0</v>
      </c>
      <c r="O113" s="126">
        <v>1</v>
      </c>
      <c r="P113" s="127">
        <v>100.10627485172888</v>
      </c>
    </row>
    <row r="114" spans="1:16" x14ac:dyDescent="0.35">
      <c r="A114" s="126">
        <v>112</v>
      </c>
      <c r="B114" s="126">
        <v>5008</v>
      </c>
      <c r="C114" s="127" t="s">
        <v>1216</v>
      </c>
      <c r="D114" s="127" t="s">
        <v>1216</v>
      </c>
      <c r="E114" s="127" t="s">
        <v>1193</v>
      </c>
      <c r="F114" s="127" t="s">
        <v>1193</v>
      </c>
      <c r="G114" s="127" t="s">
        <v>1162</v>
      </c>
      <c r="H114" s="127" t="s">
        <v>1162</v>
      </c>
      <c r="I114" s="128" t="b">
        <f t="shared" si="1"/>
        <v>1</v>
      </c>
      <c r="J114" s="126">
        <v>35</v>
      </c>
      <c r="K114" s="126">
        <v>1</v>
      </c>
      <c r="L114" s="126">
        <v>1</v>
      </c>
      <c r="M114" s="126">
        <v>0</v>
      </c>
      <c r="N114" s="126">
        <v>0</v>
      </c>
      <c r="O114" s="126">
        <v>1</v>
      </c>
      <c r="P114" s="127">
        <v>271.24820144578962</v>
      </c>
    </row>
    <row r="115" spans="1:16" x14ac:dyDescent="0.35">
      <c r="A115" s="126">
        <v>113</v>
      </c>
      <c r="B115" s="126">
        <v>15820</v>
      </c>
      <c r="C115" s="127" t="s">
        <v>1204</v>
      </c>
      <c r="D115" s="127" t="s">
        <v>1204</v>
      </c>
      <c r="E115" s="127" t="s">
        <v>1205</v>
      </c>
      <c r="F115" s="127" t="s">
        <v>1205</v>
      </c>
      <c r="G115" s="127" t="s">
        <v>1206</v>
      </c>
      <c r="H115" s="127" t="s">
        <v>1206</v>
      </c>
      <c r="I115" s="128" t="b">
        <f t="shared" si="1"/>
        <v>1</v>
      </c>
      <c r="J115" s="126">
        <v>45</v>
      </c>
      <c r="K115" s="126">
        <v>0</v>
      </c>
      <c r="L115" s="126">
        <v>1</v>
      </c>
      <c r="M115" s="126">
        <v>0</v>
      </c>
      <c r="N115" s="126">
        <v>1</v>
      </c>
      <c r="O115" s="126">
        <v>1</v>
      </c>
      <c r="P115" s="127">
        <v>468.03513692494857</v>
      </c>
    </row>
    <row r="116" spans="1:16" x14ac:dyDescent="0.35">
      <c r="A116" s="126">
        <v>114</v>
      </c>
      <c r="B116" s="126">
        <v>10447</v>
      </c>
      <c r="C116" s="127" t="s">
        <v>1201</v>
      </c>
      <c r="D116" s="127" t="s">
        <v>1201</v>
      </c>
      <c r="E116" s="127" t="s">
        <v>1202</v>
      </c>
      <c r="F116" s="127" t="s">
        <v>1202</v>
      </c>
      <c r="G116" s="127" t="s">
        <v>1203</v>
      </c>
      <c r="H116" s="127" t="s">
        <v>1203</v>
      </c>
      <c r="I116" s="128" t="b">
        <f t="shared" si="1"/>
        <v>1</v>
      </c>
      <c r="J116" s="126">
        <v>45</v>
      </c>
      <c r="K116" s="126">
        <v>1</v>
      </c>
      <c r="L116" s="126">
        <v>1</v>
      </c>
      <c r="M116" s="126">
        <v>1</v>
      </c>
      <c r="N116" s="126">
        <v>1</v>
      </c>
      <c r="O116" s="127"/>
      <c r="P116" s="127">
        <v>165.23172469947752</v>
      </c>
    </row>
    <row r="117" spans="1:16" x14ac:dyDescent="0.35">
      <c r="A117" s="126">
        <v>115</v>
      </c>
      <c r="B117" s="126">
        <v>5261</v>
      </c>
      <c r="C117" s="127" t="s">
        <v>1216</v>
      </c>
      <c r="D117" s="127" t="s">
        <v>1216</v>
      </c>
      <c r="E117" s="127" t="s">
        <v>1193</v>
      </c>
      <c r="F117" s="127" t="s">
        <v>1193</v>
      </c>
      <c r="G117" s="127" t="s">
        <v>1162</v>
      </c>
      <c r="H117" s="127" t="s">
        <v>1162</v>
      </c>
      <c r="I117" s="128" t="b">
        <f t="shared" si="1"/>
        <v>1</v>
      </c>
      <c r="J117" s="126">
        <v>35</v>
      </c>
      <c r="K117" s="126">
        <v>1</v>
      </c>
      <c r="L117" s="126">
        <v>1</v>
      </c>
      <c r="M117" s="126">
        <v>0</v>
      </c>
      <c r="N117" s="126">
        <v>0</v>
      </c>
      <c r="O117" s="126">
        <v>1</v>
      </c>
      <c r="P117" s="127">
        <v>423.46179922378298</v>
      </c>
    </row>
    <row r="118" spans="1:16" x14ac:dyDescent="0.35">
      <c r="A118" s="126">
        <v>116</v>
      </c>
      <c r="B118" s="126">
        <v>26185</v>
      </c>
      <c r="C118" s="127" t="s">
        <v>1210</v>
      </c>
      <c r="D118" s="127" t="s">
        <v>1210</v>
      </c>
      <c r="E118" s="127" t="s">
        <v>1212</v>
      </c>
      <c r="F118" s="127" t="s">
        <v>1212</v>
      </c>
      <c r="G118" s="127" t="s">
        <v>1211</v>
      </c>
      <c r="H118" s="127" t="s">
        <v>1211</v>
      </c>
      <c r="I118" s="128" t="b">
        <f t="shared" si="1"/>
        <v>1</v>
      </c>
      <c r="J118" s="126">
        <v>35</v>
      </c>
      <c r="K118" s="126">
        <v>1</v>
      </c>
      <c r="L118" s="126">
        <v>1</v>
      </c>
      <c r="M118" s="126">
        <v>1</v>
      </c>
      <c r="N118" s="126">
        <v>1</v>
      </c>
      <c r="O118" s="126">
        <v>1</v>
      </c>
      <c r="P118" s="127">
        <v>285.65350271159127</v>
      </c>
    </row>
    <row r="119" spans="1:16" x14ac:dyDescent="0.35">
      <c r="A119" s="126">
        <v>117</v>
      </c>
      <c r="B119" s="126">
        <v>23144</v>
      </c>
      <c r="C119" s="127" t="s">
        <v>1221</v>
      </c>
      <c r="D119" s="127" t="s">
        <v>1221</v>
      </c>
      <c r="E119" s="127" t="s">
        <v>1222</v>
      </c>
      <c r="F119" s="127" t="s">
        <v>1222</v>
      </c>
      <c r="G119" s="127" t="s">
        <v>1223</v>
      </c>
      <c r="H119" s="127" t="s">
        <v>1223</v>
      </c>
      <c r="I119" s="128" t="b">
        <f t="shared" si="1"/>
        <v>1</v>
      </c>
      <c r="J119" s="126">
        <v>40</v>
      </c>
      <c r="K119" s="126">
        <v>1</v>
      </c>
      <c r="L119" s="126">
        <v>1</v>
      </c>
      <c r="M119" s="126">
        <v>0</v>
      </c>
      <c r="N119" s="126">
        <v>0</v>
      </c>
      <c r="O119" s="127"/>
      <c r="P119" s="127">
        <v>263.57643028885195</v>
      </c>
    </row>
    <row r="120" spans="1:16" x14ac:dyDescent="0.35">
      <c r="A120" s="126">
        <v>118</v>
      </c>
      <c r="B120" s="126">
        <v>26647</v>
      </c>
      <c r="C120" s="127" t="s">
        <v>1187</v>
      </c>
      <c r="D120" s="127" t="s">
        <v>1187</v>
      </c>
      <c r="E120" s="127" t="s">
        <v>1188</v>
      </c>
      <c r="F120" s="127" t="s">
        <v>1188</v>
      </c>
      <c r="G120" s="127" t="s">
        <v>1189</v>
      </c>
      <c r="H120" s="127" t="s">
        <v>1189</v>
      </c>
      <c r="I120" s="128" t="b">
        <f t="shared" si="1"/>
        <v>1</v>
      </c>
      <c r="J120" s="126">
        <v>35</v>
      </c>
      <c r="K120" s="126">
        <v>1</v>
      </c>
      <c r="L120" s="126">
        <v>1</v>
      </c>
      <c r="M120" s="126">
        <v>0</v>
      </c>
      <c r="N120" s="126">
        <v>0</v>
      </c>
      <c r="O120" s="126">
        <v>1</v>
      </c>
      <c r="P120" s="127">
        <v>205.11944056335903</v>
      </c>
    </row>
    <row r="121" spans="1:16" x14ac:dyDescent="0.35">
      <c r="A121" s="126">
        <v>119</v>
      </c>
      <c r="B121" s="126">
        <v>16084</v>
      </c>
      <c r="C121" s="127" t="s">
        <v>1213</v>
      </c>
      <c r="D121" s="127" t="s">
        <v>1213</v>
      </c>
      <c r="E121" s="127" t="s">
        <v>1214</v>
      </c>
      <c r="F121" s="127" t="s">
        <v>1214</v>
      </c>
      <c r="G121" s="127" t="s">
        <v>1215</v>
      </c>
      <c r="H121" s="127" t="s">
        <v>1215</v>
      </c>
      <c r="I121" s="128" t="b">
        <f t="shared" si="1"/>
        <v>1</v>
      </c>
      <c r="J121" s="126">
        <v>35</v>
      </c>
      <c r="K121" s="126">
        <v>1</v>
      </c>
      <c r="L121" s="126">
        <v>0</v>
      </c>
      <c r="M121" s="126">
        <v>0</v>
      </c>
      <c r="N121" s="126">
        <v>0</v>
      </c>
      <c r="O121" s="126">
        <v>1</v>
      </c>
      <c r="P121" s="127">
        <v>393.31333719129748</v>
      </c>
    </row>
    <row r="122" spans="1:16" x14ac:dyDescent="0.35">
      <c r="A122" s="126">
        <v>120</v>
      </c>
      <c r="B122" s="126">
        <v>9189</v>
      </c>
      <c r="C122" s="127" t="s">
        <v>1207</v>
      </c>
      <c r="D122" s="127" t="s">
        <v>1207</v>
      </c>
      <c r="E122" s="127" t="s">
        <v>1208</v>
      </c>
      <c r="F122" s="127" t="s">
        <v>1208</v>
      </c>
      <c r="G122" s="127" t="s">
        <v>1209</v>
      </c>
      <c r="H122" s="127" t="s">
        <v>1209</v>
      </c>
      <c r="I122" s="128" t="b">
        <f t="shared" si="1"/>
        <v>1</v>
      </c>
      <c r="J122" s="126">
        <v>35</v>
      </c>
      <c r="K122" s="126">
        <v>1</v>
      </c>
      <c r="L122" s="126">
        <v>1</v>
      </c>
      <c r="M122" s="126">
        <v>1</v>
      </c>
      <c r="N122" s="126">
        <v>1</v>
      </c>
      <c r="O122" s="127"/>
      <c r="P122" s="127">
        <v>694.46228384461051</v>
      </c>
    </row>
    <row r="123" spans="1:16" x14ac:dyDescent="0.35">
      <c r="A123" s="126">
        <v>121</v>
      </c>
      <c r="B123" s="126">
        <v>26821</v>
      </c>
      <c r="C123" s="127" t="s">
        <v>1210</v>
      </c>
      <c r="D123" s="127" t="s">
        <v>1210</v>
      </c>
      <c r="E123" s="127" t="s">
        <v>1212</v>
      </c>
      <c r="F123" s="127" t="s">
        <v>1212</v>
      </c>
      <c r="G123" s="127" t="s">
        <v>1211</v>
      </c>
      <c r="H123" s="127" t="s">
        <v>1211</v>
      </c>
      <c r="I123" s="128" t="b">
        <f t="shared" si="1"/>
        <v>1</v>
      </c>
      <c r="J123" s="126">
        <v>35</v>
      </c>
      <c r="K123" s="126">
        <v>1</v>
      </c>
      <c r="L123" s="126">
        <v>1</v>
      </c>
      <c r="M123" s="126">
        <v>1</v>
      </c>
      <c r="N123" s="126">
        <v>1</v>
      </c>
      <c r="O123" s="126">
        <v>1</v>
      </c>
      <c r="P123" s="127">
        <v>860.98775484445468</v>
      </c>
    </row>
    <row r="124" spans="1:16" x14ac:dyDescent="0.35">
      <c r="A124" s="126">
        <v>122</v>
      </c>
      <c r="B124" s="126">
        <v>27496</v>
      </c>
      <c r="C124" s="127" t="s">
        <v>1201</v>
      </c>
      <c r="D124" s="127" t="s">
        <v>1201</v>
      </c>
      <c r="E124" s="127" t="s">
        <v>1202</v>
      </c>
      <c r="F124" s="127" t="s">
        <v>1202</v>
      </c>
      <c r="G124" s="127" t="s">
        <v>1203</v>
      </c>
      <c r="H124" s="127" t="s">
        <v>1203</v>
      </c>
      <c r="I124" s="128" t="b">
        <f t="shared" si="1"/>
        <v>1</v>
      </c>
      <c r="J124" s="126">
        <v>45</v>
      </c>
      <c r="K124" s="126">
        <v>1</v>
      </c>
      <c r="L124" s="126">
        <v>1</v>
      </c>
      <c r="M124" s="126">
        <v>1</v>
      </c>
      <c r="N124" s="126">
        <v>1</v>
      </c>
      <c r="O124" s="127"/>
      <c r="P124" s="127">
        <v>33.823900331585541</v>
      </c>
    </row>
    <row r="125" spans="1:16" x14ac:dyDescent="0.35">
      <c r="A125" s="126">
        <v>123</v>
      </c>
      <c r="B125" s="126">
        <v>22899</v>
      </c>
      <c r="C125" s="127" t="s">
        <v>1221</v>
      </c>
      <c r="D125" s="127" t="s">
        <v>1221</v>
      </c>
      <c r="E125" s="127" t="s">
        <v>1222</v>
      </c>
      <c r="F125" s="127" t="s">
        <v>1222</v>
      </c>
      <c r="G125" s="127" t="s">
        <v>1223</v>
      </c>
      <c r="H125" s="127" t="s">
        <v>1223</v>
      </c>
      <c r="I125" s="128" t="b">
        <f t="shared" si="1"/>
        <v>1</v>
      </c>
      <c r="J125" s="126">
        <v>40</v>
      </c>
      <c r="K125" s="126">
        <v>1</v>
      </c>
      <c r="L125" s="126">
        <v>1</v>
      </c>
      <c r="M125" s="126">
        <v>0</v>
      </c>
      <c r="N125" s="126">
        <v>0</v>
      </c>
      <c r="O125" s="126">
        <v>1</v>
      </c>
      <c r="P125" s="127">
        <v>649.57365588105495</v>
      </c>
    </row>
    <row r="126" spans="1:16" x14ac:dyDescent="0.35">
      <c r="A126" s="126">
        <v>124</v>
      </c>
      <c r="B126" s="126">
        <v>25386</v>
      </c>
      <c r="C126" s="127" t="s">
        <v>1207</v>
      </c>
      <c r="D126" s="127" t="s">
        <v>1207</v>
      </c>
      <c r="E126" s="127" t="s">
        <v>1208</v>
      </c>
      <c r="F126" s="127" t="s">
        <v>1208</v>
      </c>
      <c r="G126" s="127" t="s">
        <v>1209</v>
      </c>
      <c r="H126" s="127" t="s">
        <v>1209</v>
      </c>
      <c r="I126" s="128" t="b">
        <f t="shared" si="1"/>
        <v>1</v>
      </c>
      <c r="J126" s="126">
        <v>35</v>
      </c>
      <c r="K126" s="126">
        <v>1</v>
      </c>
      <c r="L126" s="126">
        <v>1</v>
      </c>
      <c r="M126" s="126">
        <v>1</v>
      </c>
      <c r="N126" s="126">
        <v>1</v>
      </c>
      <c r="O126" s="127"/>
      <c r="P126" s="127">
        <v>93.202633429721971</v>
      </c>
    </row>
    <row r="127" spans="1:16" x14ac:dyDescent="0.35">
      <c r="A127" s="126">
        <v>125</v>
      </c>
      <c r="B127" s="126">
        <v>26279</v>
      </c>
      <c r="C127" s="127" t="s">
        <v>1195</v>
      </c>
      <c r="D127" s="127" t="s">
        <v>1195</v>
      </c>
      <c r="E127" s="127" t="s">
        <v>1196</v>
      </c>
      <c r="F127" s="127" t="s">
        <v>1196</v>
      </c>
      <c r="G127" s="127" t="s">
        <v>1197</v>
      </c>
      <c r="H127" s="127" t="s">
        <v>1197</v>
      </c>
      <c r="I127" s="128" t="b">
        <f t="shared" si="1"/>
        <v>1</v>
      </c>
      <c r="J127" s="126">
        <v>35</v>
      </c>
      <c r="K127" s="126">
        <v>0</v>
      </c>
      <c r="L127" s="126">
        <v>0</v>
      </c>
      <c r="M127" s="126">
        <v>0</v>
      </c>
      <c r="N127" s="126">
        <v>0</v>
      </c>
      <c r="O127" s="127"/>
      <c r="P127" s="127">
        <v>404.88298916199165</v>
      </c>
    </row>
    <row r="128" spans="1:16" x14ac:dyDescent="0.35">
      <c r="A128" s="126">
        <v>126</v>
      </c>
      <c r="B128" s="126">
        <v>26475</v>
      </c>
      <c r="C128" s="127" t="s">
        <v>1207</v>
      </c>
      <c r="D128" s="127" t="s">
        <v>1207</v>
      </c>
      <c r="E128" s="127" t="s">
        <v>1208</v>
      </c>
      <c r="F128" s="127" t="s">
        <v>1208</v>
      </c>
      <c r="G128" s="127" t="s">
        <v>1209</v>
      </c>
      <c r="H128" s="127" t="s">
        <v>1209</v>
      </c>
      <c r="I128" s="128" t="b">
        <f t="shared" si="1"/>
        <v>1</v>
      </c>
      <c r="J128" s="126">
        <v>35</v>
      </c>
      <c r="K128" s="126">
        <v>1</v>
      </c>
      <c r="L128" s="126">
        <v>1</v>
      </c>
      <c r="M128" s="126">
        <v>1</v>
      </c>
      <c r="N128" s="126">
        <v>1</v>
      </c>
      <c r="O128" s="127"/>
      <c r="P128" s="127">
        <v>99.815404603554242</v>
      </c>
    </row>
    <row r="129" spans="1:16" x14ac:dyDescent="0.35">
      <c r="A129" s="126">
        <v>127</v>
      </c>
      <c r="B129" s="126">
        <v>27008</v>
      </c>
      <c r="C129" s="127" t="s">
        <v>1210</v>
      </c>
      <c r="D129" s="127" t="s">
        <v>1210</v>
      </c>
      <c r="E129" s="127" t="s">
        <v>1212</v>
      </c>
      <c r="F129" s="127" t="s">
        <v>1212</v>
      </c>
      <c r="G129" s="127" t="s">
        <v>1211</v>
      </c>
      <c r="H129" s="127" t="s">
        <v>1211</v>
      </c>
      <c r="I129" s="128" t="b">
        <f t="shared" si="1"/>
        <v>1</v>
      </c>
      <c r="J129" s="126">
        <v>35</v>
      </c>
      <c r="K129" s="126">
        <v>1</v>
      </c>
      <c r="L129" s="126">
        <v>1</v>
      </c>
      <c r="M129" s="126">
        <v>1</v>
      </c>
      <c r="N129" s="126">
        <v>1</v>
      </c>
      <c r="O129" s="126">
        <v>1</v>
      </c>
      <c r="P129" s="127">
        <v>257.07389141367861</v>
      </c>
    </row>
    <row r="130" spans="1:16" x14ac:dyDescent="0.35">
      <c r="A130" s="126">
        <v>128</v>
      </c>
      <c r="B130" s="126">
        <v>11309</v>
      </c>
      <c r="C130" s="127" t="s">
        <v>1207</v>
      </c>
      <c r="D130" s="127" t="s">
        <v>1207</v>
      </c>
      <c r="E130" s="127" t="s">
        <v>1208</v>
      </c>
      <c r="F130" s="127" t="s">
        <v>1208</v>
      </c>
      <c r="G130" s="127" t="s">
        <v>1209</v>
      </c>
      <c r="H130" s="127" t="s">
        <v>1209</v>
      </c>
      <c r="I130" s="128" t="b">
        <f t="shared" si="1"/>
        <v>1</v>
      </c>
      <c r="J130" s="126">
        <v>35</v>
      </c>
      <c r="K130" s="126">
        <v>1</v>
      </c>
      <c r="L130" s="126">
        <v>1</v>
      </c>
      <c r="M130" s="126">
        <v>1</v>
      </c>
      <c r="N130" s="126">
        <v>1</v>
      </c>
      <c r="O130" s="127"/>
      <c r="P130" s="127">
        <v>290.19245882772714</v>
      </c>
    </row>
    <row r="131" spans="1:16" x14ac:dyDescent="0.35">
      <c r="A131" s="126">
        <v>129</v>
      </c>
      <c r="B131" s="126">
        <v>13480</v>
      </c>
      <c r="C131" s="127" t="s">
        <v>1213</v>
      </c>
      <c r="D131" s="127" t="s">
        <v>1213</v>
      </c>
      <c r="E131" s="127" t="s">
        <v>1214</v>
      </c>
      <c r="F131" s="127" t="s">
        <v>1214</v>
      </c>
      <c r="G131" s="127" t="s">
        <v>1215</v>
      </c>
      <c r="H131" s="127" t="s">
        <v>1215</v>
      </c>
      <c r="I131" s="128" t="b">
        <f t="shared" si="1"/>
        <v>1</v>
      </c>
      <c r="J131" s="126">
        <v>35</v>
      </c>
      <c r="K131" s="126">
        <v>1</v>
      </c>
      <c r="L131" s="126">
        <v>1</v>
      </c>
      <c r="M131" s="126">
        <v>0</v>
      </c>
      <c r="N131" s="126">
        <v>0</v>
      </c>
      <c r="O131" s="126">
        <v>1</v>
      </c>
      <c r="P131" s="127">
        <v>925.68922579864341</v>
      </c>
    </row>
    <row r="132" spans="1:16" x14ac:dyDescent="0.35">
      <c r="A132" s="126">
        <v>130</v>
      </c>
      <c r="B132" s="126">
        <v>26269</v>
      </c>
      <c r="C132" s="127" t="s">
        <v>1207</v>
      </c>
      <c r="D132" s="127" t="s">
        <v>1207</v>
      </c>
      <c r="E132" s="127" t="s">
        <v>1208</v>
      </c>
      <c r="F132" s="127" t="s">
        <v>1208</v>
      </c>
      <c r="G132" s="127" t="s">
        <v>1209</v>
      </c>
      <c r="H132" s="127" t="s">
        <v>1209</v>
      </c>
      <c r="I132" s="128" t="b">
        <f t="shared" ref="I132:I195" si="2">G132=H132</f>
        <v>1</v>
      </c>
      <c r="J132" s="126">
        <v>35</v>
      </c>
      <c r="K132" s="126">
        <v>1</v>
      </c>
      <c r="L132" s="126">
        <v>1</v>
      </c>
      <c r="M132" s="126">
        <v>1</v>
      </c>
      <c r="N132" s="126">
        <v>1</v>
      </c>
      <c r="O132" s="127"/>
      <c r="P132" s="127">
        <v>185.00385290557327</v>
      </c>
    </row>
    <row r="133" spans="1:16" x14ac:dyDescent="0.35">
      <c r="A133" s="126">
        <v>131</v>
      </c>
      <c r="B133" s="126">
        <v>4442</v>
      </c>
      <c r="C133" s="127" t="s">
        <v>1201</v>
      </c>
      <c r="D133" s="127" t="s">
        <v>1201</v>
      </c>
      <c r="E133" s="127" t="s">
        <v>1202</v>
      </c>
      <c r="F133" s="127" t="s">
        <v>1202</v>
      </c>
      <c r="G133" s="127" t="s">
        <v>1203</v>
      </c>
      <c r="H133" s="127" t="s">
        <v>1203</v>
      </c>
      <c r="I133" s="128" t="b">
        <f t="shared" si="2"/>
        <v>1</v>
      </c>
      <c r="J133" s="126">
        <v>45</v>
      </c>
      <c r="K133" s="126">
        <v>1</v>
      </c>
      <c r="L133" s="126">
        <v>1</v>
      </c>
      <c r="M133" s="126">
        <v>1</v>
      </c>
      <c r="N133" s="126">
        <v>1</v>
      </c>
      <c r="O133" s="127"/>
      <c r="P133" s="127">
        <v>1209.6327408737545</v>
      </c>
    </row>
    <row r="134" spans="1:16" x14ac:dyDescent="0.35">
      <c r="A134" s="126">
        <v>132</v>
      </c>
      <c r="B134" s="126">
        <v>4448</v>
      </c>
      <c r="C134" s="127" t="s">
        <v>1213</v>
      </c>
      <c r="D134" s="127" t="s">
        <v>1213</v>
      </c>
      <c r="E134" s="127" t="s">
        <v>1214</v>
      </c>
      <c r="F134" s="127" t="s">
        <v>1214</v>
      </c>
      <c r="G134" s="127" t="s">
        <v>1215</v>
      </c>
      <c r="H134" s="127" t="s">
        <v>1215</v>
      </c>
      <c r="I134" s="128" t="b">
        <f t="shared" si="2"/>
        <v>1</v>
      </c>
      <c r="J134" s="126">
        <v>35</v>
      </c>
      <c r="K134" s="126">
        <v>1</v>
      </c>
      <c r="L134" s="126">
        <v>0</v>
      </c>
      <c r="M134" s="126">
        <v>0</v>
      </c>
      <c r="N134" s="126">
        <v>0</v>
      </c>
      <c r="O134" s="126">
        <v>1</v>
      </c>
      <c r="P134" s="127">
        <v>431.65604023307003</v>
      </c>
    </row>
    <row r="135" spans="1:16" x14ac:dyDescent="0.35">
      <c r="A135" s="126">
        <v>133</v>
      </c>
      <c r="B135" s="126">
        <v>25774</v>
      </c>
      <c r="C135" s="127" t="s">
        <v>1195</v>
      </c>
      <c r="D135" s="127" t="s">
        <v>1195</v>
      </c>
      <c r="E135" s="127" t="s">
        <v>1196</v>
      </c>
      <c r="F135" s="127" t="s">
        <v>1196</v>
      </c>
      <c r="G135" s="127" t="s">
        <v>1197</v>
      </c>
      <c r="H135" s="127" t="s">
        <v>1197</v>
      </c>
      <c r="I135" s="128" t="b">
        <f t="shared" si="2"/>
        <v>1</v>
      </c>
      <c r="J135" s="126">
        <v>35</v>
      </c>
      <c r="K135" s="126">
        <v>1</v>
      </c>
      <c r="L135" s="126">
        <v>1</v>
      </c>
      <c r="M135" s="126">
        <v>1</v>
      </c>
      <c r="N135" s="126">
        <v>1</v>
      </c>
      <c r="O135" s="127"/>
      <c r="P135" s="127">
        <v>134.7382268421722</v>
      </c>
    </row>
    <row r="136" spans="1:16" x14ac:dyDescent="0.35">
      <c r="A136" s="126">
        <v>134</v>
      </c>
      <c r="B136" s="126">
        <v>26580</v>
      </c>
      <c r="C136" s="127" t="s">
        <v>1210</v>
      </c>
      <c r="D136" s="127" t="s">
        <v>1210</v>
      </c>
      <c r="E136" s="127" t="s">
        <v>1212</v>
      </c>
      <c r="F136" s="127" t="s">
        <v>1212</v>
      </c>
      <c r="G136" s="127" t="s">
        <v>1211</v>
      </c>
      <c r="H136" s="127" t="s">
        <v>1211</v>
      </c>
      <c r="I136" s="128" t="b">
        <f t="shared" si="2"/>
        <v>1</v>
      </c>
      <c r="J136" s="126">
        <v>35</v>
      </c>
      <c r="K136" s="126">
        <v>1</v>
      </c>
      <c r="L136" s="126">
        <v>1</v>
      </c>
      <c r="M136" s="126">
        <v>1</v>
      </c>
      <c r="N136" s="126">
        <v>1</v>
      </c>
      <c r="O136" s="126">
        <v>1</v>
      </c>
      <c r="P136" s="127">
        <v>507.727008748098</v>
      </c>
    </row>
    <row r="137" spans="1:16" x14ac:dyDescent="0.35">
      <c r="A137" s="126">
        <v>135</v>
      </c>
      <c r="B137" s="126">
        <v>2965</v>
      </c>
      <c r="C137" s="127" t="s">
        <v>1187</v>
      </c>
      <c r="D137" s="127" t="s">
        <v>1187</v>
      </c>
      <c r="E137" s="127" t="s">
        <v>1188</v>
      </c>
      <c r="F137" s="127" t="s">
        <v>1188</v>
      </c>
      <c r="G137" s="127" t="s">
        <v>1189</v>
      </c>
      <c r="H137" s="127" t="s">
        <v>1189</v>
      </c>
      <c r="I137" s="128" t="b">
        <f t="shared" si="2"/>
        <v>1</v>
      </c>
      <c r="J137" s="126">
        <v>35</v>
      </c>
      <c r="K137" s="126">
        <v>1</v>
      </c>
      <c r="L137" s="126">
        <v>1</v>
      </c>
      <c r="M137" s="126">
        <v>0</v>
      </c>
      <c r="N137" s="126">
        <v>0</v>
      </c>
      <c r="O137" s="126">
        <v>1</v>
      </c>
      <c r="P137" s="127">
        <v>79.416857604342283</v>
      </c>
    </row>
    <row r="138" spans="1:16" x14ac:dyDescent="0.35">
      <c r="A138" s="126">
        <v>136</v>
      </c>
      <c r="B138" s="126">
        <v>24726</v>
      </c>
      <c r="C138" s="127" t="s">
        <v>1216</v>
      </c>
      <c r="D138" s="127" t="s">
        <v>1216</v>
      </c>
      <c r="E138" s="127" t="s">
        <v>1217</v>
      </c>
      <c r="F138" s="127" t="s">
        <v>1217</v>
      </c>
      <c r="G138" s="127" t="s">
        <v>1162</v>
      </c>
      <c r="H138" s="127" t="s">
        <v>1162</v>
      </c>
      <c r="I138" s="128" t="b">
        <f t="shared" si="2"/>
        <v>1</v>
      </c>
      <c r="J138" s="126">
        <v>35</v>
      </c>
      <c r="K138" s="126">
        <v>1</v>
      </c>
      <c r="L138" s="126">
        <v>1</v>
      </c>
      <c r="M138" s="126">
        <v>0</v>
      </c>
      <c r="N138" s="126">
        <v>0</v>
      </c>
      <c r="O138" s="127"/>
      <c r="P138" s="127">
        <v>124.97984467879922</v>
      </c>
    </row>
    <row r="139" spans="1:16" x14ac:dyDescent="0.35">
      <c r="A139" s="126">
        <v>137</v>
      </c>
      <c r="B139" s="126">
        <v>8166</v>
      </c>
      <c r="C139" s="127" t="s">
        <v>1213</v>
      </c>
      <c r="D139" s="127" t="s">
        <v>1213</v>
      </c>
      <c r="E139" s="127" t="s">
        <v>1214</v>
      </c>
      <c r="F139" s="127" t="s">
        <v>1214</v>
      </c>
      <c r="G139" s="127" t="s">
        <v>1215</v>
      </c>
      <c r="H139" s="127" t="s">
        <v>1215</v>
      </c>
      <c r="I139" s="128" t="b">
        <f t="shared" si="2"/>
        <v>1</v>
      </c>
      <c r="J139" s="126">
        <v>35</v>
      </c>
      <c r="K139" s="126">
        <v>1</v>
      </c>
      <c r="L139" s="126">
        <v>1</v>
      </c>
      <c r="M139" s="126">
        <v>0</v>
      </c>
      <c r="N139" s="126">
        <v>0</v>
      </c>
      <c r="O139" s="126">
        <v>1</v>
      </c>
      <c r="P139" s="127">
        <v>373.07506718911714</v>
      </c>
    </row>
    <row r="140" spans="1:16" x14ac:dyDescent="0.35">
      <c r="A140" s="126">
        <v>138</v>
      </c>
      <c r="B140" s="126">
        <v>8312</v>
      </c>
      <c r="C140" s="127" t="s">
        <v>1207</v>
      </c>
      <c r="D140" s="127" t="s">
        <v>1207</v>
      </c>
      <c r="E140" s="127" t="s">
        <v>1208</v>
      </c>
      <c r="F140" s="127" t="s">
        <v>1208</v>
      </c>
      <c r="G140" s="127" t="s">
        <v>1209</v>
      </c>
      <c r="H140" s="127" t="s">
        <v>1209</v>
      </c>
      <c r="I140" s="128" t="b">
        <f t="shared" si="2"/>
        <v>1</v>
      </c>
      <c r="J140" s="126">
        <v>35</v>
      </c>
      <c r="K140" s="126">
        <v>1</v>
      </c>
      <c r="L140" s="126">
        <v>1</v>
      </c>
      <c r="M140" s="126">
        <v>1</v>
      </c>
      <c r="N140" s="126">
        <v>1</v>
      </c>
      <c r="O140" s="127"/>
      <c r="P140" s="127">
        <v>311.96636700428752</v>
      </c>
    </row>
    <row r="141" spans="1:16" x14ac:dyDescent="0.35">
      <c r="A141" s="126">
        <v>139</v>
      </c>
      <c r="B141" s="126">
        <v>13782</v>
      </c>
      <c r="C141" s="127" t="s">
        <v>1204</v>
      </c>
      <c r="D141" s="127" t="s">
        <v>1204</v>
      </c>
      <c r="E141" s="127" t="s">
        <v>1205</v>
      </c>
      <c r="F141" s="127" t="s">
        <v>1205</v>
      </c>
      <c r="G141" s="127" t="s">
        <v>1206</v>
      </c>
      <c r="H141" s="127" t="s">
        <v>1206</v>
      </c>
      <c r="I141" s="128" t="b">
        <f t="shared" si="2"/>
        <v>1</v>
      </c>
      <c r="J141" s="126">
        <v>45</v>
      </c>
      <c r="K141" s="126">
        <v>0</v>
      </c>
      <c r="L141" s="126">
        <v>0</v>
      </c>
      <c r="M141" s="126">
        <v>0</v>
      </c>
      <c r="N141" s="126">
        <v>0</v>
      </c>
      <c r="O141" s="126">
        <v>1</v>
      </c>
      <c r="P141" s="127">
        <v>515.9551809776159</v>
      </c>
    </row>
    <row r="142" spans="1:16" x14ac:dyDescent="0.35">
      <c r="A142" s="126">
        <v>140</v>
      </c>
      <c r="B142" s="126">
        <v>4088</v>
      </c>
      <c r="C142" s="127" t="s">
        <v>1204</v>
      </c>
      <c r="D142" s="127" t="s">
        <v>1204</v>
      </c>
      <c r="E142" s="127" t="s">
        <v>1205</v>
      </c>
      <c r="F142" s="127" t="s">
        <v>1205</v>
      </c>
      <c r="G142" s="127" t="s">
        <v>1206</v>
      </c>
      <c r="H142" s="127" t="s">
        <v>1206</v>
      </c>
      <c r="I142" s="128" t="b">
        <f t="shared" si="2"/>
        <v>1</v>
      </c>
      <c r="J142" s="126">
        <v>45</v>
      </c>
      <c r="K142" s="126">
        <v>0</v>
      </c>
      <c r="L142" s="126">
        <v>1</v>
      </c>
      <c r="M142" s="126">
        <v>0</v>
      </c>
      <c r="N142" s="126">
        <v>1</v>
      </c>
      <c r="O142" s="126">
        <v>1</v>
      </c>
      <c r="P142" s="127">
        <v>661.89177873709912</v>
      </c>
    </row>
    <row r="143" spans="1:16" x14ac:dyDescent="0.35">
      <c r="A143" s="126">
        <v>141</v>
      </c>
      <c r="B143" s="126">
        <v>25480</v>
      </c>
      <c r="C143" s="127" t="s">
        <v>1195</v>
      </c>
      <c r="D143" s="127" t="s">
        <v>1195</v>
      </c>
      <c r="E143" s="127" t="s">
        <v>1196</v>
      </c>
      <c r="F143" s="127" t="s">
        <v>1196</v>
      </c>
      <c r="G143" s="127" t="s">
        <v>1197</v>
      </c>
      <c r="H143" s="127" t="s">
        <v>1197</v>
      </c>
      <c r="I143" s="128" t="b">
        <f t="shared" si="2"/>
        <v>1</v>
      </c>
      <c r="J143" s="126">
        <v>35</v>
      </c>
      <c r="K143" s="126">
        <v>0</v>
      </c>
      <c r="L143" s="126">
        <v>0</v>
      </c>
      <c r="M143" s="126">
        <v>0</v>
      </c>
      <c r="N143" s="126">
        <v>0</v>
      </c>
      <c r="O143" s="127"/>
      <c r="P143" s="127">
        <v>293.89948024708229</v>
      </c>
    </row>
    <row r="144" spans="1:16" x14ac:dyDescent="0.35">
      <c r="A144" s="126">
        <v>142</v>
      </c>
      <c r="B144" s="126">
        <v>12016</v>
      </c>
      <c r="C144" s="127" t="s">
        <v>1216</v>
      </c>
      <c r="D144" s="127" t="s">
        <v>1216</v>
      </c>
      <c r="E144" s="127" t="s">
        <v>1193</v>
      </c>
      <c r="F144" s="127" t="s">
        <v>1193</v>
      </c>
      <c r="G144" s="127" t="s">
        <v>1162</v>
      </c>
      <c r="H144" s="127" t="s">
        <v>1162</v>
      </c>
      <c r="I144" s="128" t="b">
        <f t="shared" si="2"/>
        <v>1</v>
      </c>
      <c r="J144" s="126">
        <v>30</v>
      </c>
      <c r="K144" s="126">
        <v>1</v>
      </c>
      <c r="L144" s="126">
        <v>1</v>
      </c>
      <c r="M144" s="126">
        <v>0</v>
      </c>
      <c r="N144" s="126">
        <v>0</v>
      </c>
      <c r="O144" s="126">
        <v>1</v>
      </c>
      <c r="P144" s="127">
        <v>306.22516210063839</v>
      </c>
    </row>
    <row r="145" spans="1:16" x14ac:dyDescent="0.35">
      <c r="A145" s="126">
        <v>143</v>
      </c>
      <c r="B145" s="126">
        <v>12361</v>
      </c>
      <c r="C145" s="127" t="s">
        <v>1195</v>
      </c>
      <c r="D145" s="127" t="s">
        <v>1195</v>
      </c>
      <c r="E145" s="127" t="s">
        <v>1196</v>
      </c>
      <c r="F145" s="127" t="s">
        <v>1196</v>
      </c>
      <c r="G145" s="127" t="s">
        <v>1197</v>
      </c>
      <c r="H145" s="127" t="s">
        <v>1197</v>
      </c>
      <c r="I145" s="128" t="b">
        <f t="shared" si="2"/>
        <v>1</v>
      </c>
      <c r="J145" s="126">
        <v>35</v>
      </c>
      <c r="K145" s="126">
        <v>0</v>
      </c>
      <c r="L145" s="126">
        <v>0</v>
      </c>
      <c r="M145" s="126">
        <v>0</v>
      </c>
      <c r="N145" s="126">
        <v>0</v>
      </c>
      <c r="O145" s="127"/>
      <c r="P145" s="127">
        <v>727.68884913522186</v>
      </c>
    </row>
    <row r="146" spans="1:16" x14ac:dyDescent="0.35">
      <c r="A146" s="126">
        <v>144</v>
      </c>
      <c r="B146" s="126">
        <v>12181</v>
      </c>
      <c r="C146" s="127" t="s">
        <v>1201</v>
      </c>
      <c r="D146" s="127" t="s">
        <v>1201</v>
      </c>
      <c r="E146" s="127" t="s">
        <v>1202</v>
      </c>
      <c r="F146" s="127" t="s">
        <v>1202</v>
      </c>
      <c r="G146" s="127" t="s">
        <v>1203</v>
      </c>
      <c r="H146" s="127" t="s">
        <v>1203</v>
      </c>
      <c r="I146" s="128" t="b">
        <f t="shared" si="2"/>
        <v>1</v>
      </c>
      <c r="J146" s="126">
        <v>45</v>
      </c>
      <c r="K146" s="126">
        <v>1</v>
      </c>
      <c r="L146" s="126">
        <v>1</v>
      </c>
      <c r="M146" s="126">
        <v>1</v>
      </c>
      <c r="N146" s="126">
        <v>1</v>
      </c>
      <c r="O146" s="127"/>
      <c r="P146" s="127">
        <v>169.00362092358117</v>
      </c>
    </row>
    <row r="147" spans="1:16" x14ac:dyDescent="0.35">
      <c r="A147" s="126">
        <v>145</v>
      </c>
      <c r="B147" s="126">
        <v>12771</v>
      </c>
      <c r="C147" s="127" t="s">
        <v>1216</v>
      </c>
      <c r="D147" s="127" t="s">
        <v>1216</v>
      </c>
      <c r="E147" s="127" t="s">
        <v>1193</v>
      </c>
      <c r="F147" s="127" t="s">
        <v>1193</v>
      </c>
      <c r="G147" s="127" t="s">
        <v>1162</v>
      </c>
      <c r="H147" s="127" t="s">
        <v>1162</v>
      </c>
      <c r="I147" s="128" t="b">
        <f t="shared" si="2"/>
        <v>1</v>
      </c>
      <c r="J147" s="126">
        <v>30</v>
      </c>
      <c r="K147" s="126">
        <v>1</v>
      </c>
      <c r="L147" s="126">
        <v>1</v>
      </c>
      <c r="M147" s="126">
        <v>0</v>
      </c>
      <c r="N147" s="126">
        <v>0</v>
      </c>
      <c r="O147" s="126">
        <v>1</v>
      </c>
      <c r="P147" s="127">
        <v>120.36845597697713</v>
      </c>
    </row>
    <row r="148" spans="1:16" x14ac:dyDescent="0.35">
      <c r="A148" s="126">
        <v>146</v>
      </c>
      <c r="B148" s="126">
        <v>8035</v>
      </c>
      <c r="C148" s="127" t="s">
        <v>1204</v>
      </c>
      <c r="D148" s="127" t="s">
        <v>1204</v>
      </c>
      <c r="E148" s="127" t="s">
        <v>1205</v>
      </c>
      <c r="F148" s="127" t="s">
        <v>1205</v>
      </c>
      <c r="G148" s="127" t="s">
        <v>1206</v>
      </c>
      <c r="H148" s="127" t="s">
        <v>1206</v>
      </c>
      <c r="I148" s="128" t="b">
        <f t="shared" si="2"/>
        <v>1</v>
      </c>
      <c r="J148" s="126">
        <v>45</v>
      </c>
      <c r="K148" s="126">
        <v>0</v>
      </c>
      <c r="L148" s="126">
        <v>0</v>
      </c>
      <c r="M148" s="126">
        <v>0</v>
      </c>
      <c r="N148" s="126">
        <v>0</v>
      </c>
      <c r="O148" s="126">
        <v>1</v>
      </c>
      <c r="P148" s="127">
        <v>705.17991076667295</v>
      </c>
    </row>
    <row r="149" spans="1:16" x14ac:dyDescent="0.35">
      <c r="A149" s="126">
        <v>147</v>
      </c>
      <c r="B149" s="126">
        <v>16955</v>
      </c>
      <c r="C149" s="127" t="s">
        <v>1187</v>
      </c>
      <c r="D149" s="127" t="s">
        <v>1187</v>
      </c>
      <c r="E149" s="127" t="s">
        <v>1188</v>
      </c>
      <c r="F149" s="127" t="s">
        <v>1188</v>
      </c>
      <c r="G149" s="127" t="s">
        <v>1189</v>
      </c>
      <c r="H149" s="127" t="s">
        <v>1189</v>
      </c>
      <c r="I149" s="128" t="b">
        <f t="shared" si="2"/>
        <v>1</v>
      </c>
      <c r="J149" s="126">
        <v>35</v>
      </c>
      <c r="K149" s="126">
        <v>0</v>
      </c>
      <c r="L149" s="126">
        <v>0</v>
      </c>
      <c r="M149" s="126">
        <v>0</v>
      </c>
      <c r="N149" s="126">
        <v>0</v>
      </c>
      <c r="O149" s="126">
        <v>1</v>
      </c>
      <c r="P149" s="127">
        <v>763.03218458603783</v>
      </c>
    </row>
    <row r="150" spans="1:16" x14ac:dyDescent="0.35">
      <c r="A150" s="126">
        <v>148</v>
      </c>
      <c r="B150" s="126">
        <v>25811</v>
      </c>
      <c r="C150" s="127" t="s">
        <v>1218</v>
      </c>
      <c r="D150" s="127" t="s">
        <v>1218</v>
      </c>
      <c r="E150" s="127" t="s">
        <v>1219</v>
      </c>
      <c r="F150" s="127" t="s">
        <v>1219</v>
      </c>
      <c r="G150" s="127" t="s">
        <v>1220</v>
      </c>
      <c r="H150" s="127" t="s">
        <v>1220</v>
      </c>
      <c r="I150" s="128" t="b">
        <f t="shared" si="2"/>
        <v>1</v>
      </c>
      <c r="J150" s="126">
        <v>35</v>
      </c>
      <c r="K150" s="126">
        <v>0</v>
      </c>
      <c r="L150" s="126">
        <v>0</v>
      </c>
      <c r="M150" s="126">
        <v>0</v>
      </c>
      <c r="N150" s="126">
        <v>0</v>
      </c>
      <c r="O150" s="127"/>
      <c r="P150" s="127">
        <v>108.86737731728401</v>
      </c>
    </row>
    <row r="151" spans="1:16" x14ac:dyDescent="0.35">
      <c r="A151" s="126">
        <v>149</v>
      </c>
      <c r="B151" s="126">
        <v>19395</v>
      </c>
      <c r="C151" s="127" t="s">
        <v>1201</v>
      </c>
      <c r="D151" s="127" t="s">
        <v>1201</v>
      </c>
      <c r="E151" s="127" t="s">
        <v>1202</v>
      </c>
      <c r="F151" s="127" t="s">
        <v>1202</v>
      </c>
      <c r="G151" s="127" t="s">
        <v>1203</v>
      </c>
      <c r="H151" s="127" t="s">
        <v>1203</v>
      </c>
      <c r="I151" s="128" t="b">
        <f t="shared" si="2"/>
        <v>1</v>
      </c>
      <c r="J151" s="126">
        <v>45</v>
      </c>
      <c r="K151" s="126">
        <v>1</v>
      </c>
      <c r="L151" s="126">
        <v>1</v>
      </c>
      <c r="M151" s="126">
        <v>1</v>
      </c>
      <c r="N151" s="126">
        <v>1</v>
      </c>
      <c r="O151" s="127"/>
      <c r="P151" s="127">
        <v>319.74042318734843</v>
      </c>
    </row>
    <row r="152" spans="1:16" x14ac:dyDescent="0.35">
      <c r="A152" s="126">
        <v>150</v>
      </c>
      <c r="B152" s="126">
        <v>23302</v>
      </c>
      <c r="C152" s="127" t="s">
        <v>1221</v>
      </c>
      <c r="D152" s="127" t="s">
        <v>1221</v>
      </c>
      <c r="E152" s="127" t="s">
        <v>1222</v>
      </c>
      <c r="F152" s="127" t="s">
        <v>1222</v>
      </c>
      <c r="G152" s="127" t="s">
        <v>1223</v>
      </c>
      <c r="H152" s="127" t="s">
        <v>1223</v>
      </c>
      <c r="I152" s="128" t="b">
        <f t="shared" si="2"/>
        <v>1</v>
      </c>
      <c r="J152" s="126">
        <v>40</v>
      </c>
      <c r="K152" s="126">
        <v>1</v>
      </c>
      <c r="L152" s="126">
        <v>1</v>
      </c>
      <c r="M152" s="126">
        <v>0</v>
      </c>
      <c r="N152" s="126">
        <v>0</v>
      </c>
      <c r="O152" s="127"/>
      <c r="P152" s="127">
        <v>1045.3495606434544</v>
      </c>
    </row>
    <row r="153" spans="1:16" x14ac:dyDescent="0.35">
      <c r="A153" s="126">
        <v>151</v>
      </c>
      <c r="B153" s="126">
        <v>8085</v>
      </c>
      <c r="C153" s="127" t="s">
        <v>1213</v>
      </c>
      <c r="D153" s="127" t="s">
        <v>1213</v>
      </c>
      <c r="E153" s="127" t="s">
        <v>1214</v>
      </c>
      <c r="F153" s="127" t="s">
        <v>1214</v>
      </c>
      <c r="G153" s="127" t="s">
        <v>1215</v>
      </c>
      <c r="H153" s="127" t="s">
        <v>1215</v>
      </c>
      <c r="I153" s="128" t="b">
        <f t="shared" si="2"/>
        <v>1</v>
      </c>
      <c r="J153" s="126">
        <v>35</v>
      </c>
      <c r="K153" s="126">
        <v>0</v>
      </c>
      <c r="L153" s="126">
        <v>0</v>
      </c>
      <c r="M153" s="126">
        <v>0</v>
      </c>
      <c r="N153" s="126">
        <v>0</v>
      </c>
      <c r="O153" s="126">
        <v>1</v>
      </c>
      <c r="P153" s="127">
        <v>1076.1858627548609</v>
      </c>
    </row>
    <row r="154" spans="1:16" x14ac:dyDescent="0.35">
      <c r="A154" s="126">
        <v>152</v>
      </c>
      <c r="B154" s="126">
        <v>6448</v>
      </c>
      <c r="C154" s="127" t="s">
        <v>1192</v>
      </c>
      <c r="D154" s="127" t="s">
        <v>1192</v>
      </c>
      <c r="E154" s="127" t="s">
        <v>1193</v>
      </c>
      <c r="F154" s="127" t="s">
        <v>1193</v>
      </c>
      <c r="G154" s="127" t="s">
        <v>1194</v>
      </c>
      <c r="H154" s="127" t="s">
        <v>1194</v>
      </c>
      <c r="I154" s="128" t="b">
        <f t="shared" si="2"/>
        <v>1</v>
      </c>
      <c r="J154" s="126">
        <v>35</v>
      </c>
      <c r="K154" s="126">
        <v>0</v>
      </c>
      <c r="L154" s="126">
        <v>1</v>
      </c>
      <c r="M154" s="126">
        <v>0</v>
      </c>
      <c r="N154" s="126">
        <v>0</v>
      </c>
      <c r="O154" s="126">
        <v>1</v>
      </c>
      <c r="P154" s="127">
        <v>208.16463591545195</v>
      </c>
    </row>
    <row r="155" spans="1:16" x14ac:dyDescent="0.35">
      <c r="A155" s="126">
        <v>153</v>
      </c>
      <c r="B155" s="126">
        <v>957</v>
      </c>
      <c r="C155" s="127" t="s">
        <v>1201</v>
      </c>
      <c r="D155" s="127" t="s">
        <v>1201</v>
      </c>
      <c r="E155" s="127" t="s">
        <v>1202</v>
      </c>
      <c r="F155" s="127" t="s">
        <v>1202</v>
      </c>
      <c r="G155" s="127" t="s">
        <v>1203</v>
      </c>
      <c r="H155" s="127" t="s">
        <v>1203</v>
      </c>
      <c r="I155" s="128" t="b">
        <f t="shared" si="2"/>
        <v>1</v>
      </c>
      <c r="J155" s="126">
        <v>45</v>
      </c>
      <c r="K155" s="126">
        <v>1</v>
      </c>
      <c r="L155" s="126">
        <v>1</v>
      </c>
      <c r="M155" s="126">
        <v>0</v>
      </c>
      <c r="N155" s="126">
        <v>1</v>
      </c>
      <c r="O155" s="127"/>
      <c r="P155" s="127">
        <v>481.91732580705889</v>
      </c>
    </row>
    <row r="156" spans="1:16" x14ac:dyDescent="0.35">
      <c r="A156" s="126">
        <v>154</v>
      </c>
      <c r="B156" s="126">
        <v>19602</v>
      </c>
      <c r="C156" s="127" t="s">
        <v>1201</v>
      </c>
      <c r="D156" s="127" t="s">
        <v>1201</v>
      </c>
      <c r="E156" s="127" t="s">
        <v>1202</v>
      </c>
      <c r="F156" s="127" t="s">
        <v>1202</v>
      </c>
      <c r="G156" s="127" t="s">
        <v>1203</v>
      </c>
      <c r="H156" s="127" t="s">
        <v>1203</v>
      </c>
      <c r="I156" s="128" t="b">
        <f t="shared" si="2"/>
        <v>1</v>
      </c>
      <c r="J156" s="126">
        <v>45</v>
      </c>
      <c r="K156" s="126">
        <v>0</v>
      </c>
      <c r="L156" s="126">
        <v>0</v>
      </c>
      <c r="M156" s="126">
        <v>0</v>
      </c>
      <c r="N156" s="126">
        <v>0</v>
      </c>
      <c r="O156" s="127"/>
      <c r="P156" s="127">
        <v>446.37019672508211</v>
      </c>
    </row>
    <row r="157" spans="1:16" x14ac:dyDescent="0.35">
      <c r="A157" s="126">
        <v>155</v>
      </c>
      <c r="B157" s="126">
        <v>19316</v>
      </c>
      <c r="C157" s="127" t="s">
        <v>1201</v>
      </c>
      <c r="D157" s="127" t="s">
        <v>1201</v>
      </c>
      <c r="E157" s="127" t="s">
        <v>1202</v>
      </c>
      <c r="F157" s="127" t="s">
        <v>1202</v>
      </c>
      <c r="G157" s="127" t="s">
        <v>1203</v>
      </c>
      <c r="H157" s="127" t="s">
        <v>1203</v>
      </c>
      <c r="I157" s="128" t="b">
        <f t="shared" si="2"/>
        <v>1</v>
      </c>
      <c r="J157" s="126">
        <v>45</v>
      </c>
      <c r="K157" s="126">
        <v>1</v>
      </c>
      <c r="L157" s="126">
        <v>1</v>
      </c>
      <c r="M157" s="126">
        <v>1</v>
      </c>
      <c r="N157" s="126">
        <v>1</v>
      </c>
      <c r="O157" s="127"/>
      <c r="P157" s="127">
        <v>41.068648372306313</v>
      </c>
    </row>
    <row r="158" spans="1:16" x14ac:dyDescent="0.35">
      <c r="A158" s="126">
        <v>156</v>
      </c>
      <c r="B158" s="126">
        <v>791</v>
      </c>
      <c r="C158" s="127" t="s">
        <v>1213</v>
      </c>
      <c r="D158" s="127" t="s">
        <v>1213</v>
      </c>
      <c r="E158" s="127" t="s">
        <v>1214</v>
      </c>
      <c r="F158" s="127" t="s">
        <v>1214</v>
      </c>
      <c r="G158" s="127" t="s">
        <v>1215</v>
      </c>
      <c r="H158" s="127" t="s">
        <v>1215</v>
      </c>
      <c r="I158" s="128" t="b">
        <f t="shared" si="2"/>
        <v>1</v>
      </c>
      <c r="J158" s="126">
        <v>35</v>
      </c>
      <c r="K158" s="126">
        <v>1</v>
      </c>
      <c r="L158" s="126">
        <v>1</v>
      </c>
      <c r="M158" s="126">
        <v>0</v>
      </c>
      <c r="N158" s="126">
        <v>0</v>
      </c>
      <c r="O158" s="126">
        <v>1</v>
      </c>
      <c r="P158" s="127">
        <v>90.312520285281423</v>
      </c>
    </row>
    <row r="159" spans="1:16" x14ac:dyDescent="0.35">
      <c r="A159" s="126">
        <v>157</v>
      </c>
      <c r="B159" s="126">
        <v>17111</v>
      </c>
      <c r="C159" s="127" t="s">
        <v>1190</v>
      </c>
      <c r="D159" s="127" t="s">
        <v>1190</v>
      </c>
      <c r="E159" s="127" t="s">
        <v>1190</v>
      </c>
      <c r="F159" s="127" t="s">
        <v>1190</v>
      </c>
      <c r="G159" s="127" t="s">
        <v>1191</v>
      </c>
      <c r="H159" s="127" t="s">
        <v>1191</v>
      </c>
      <c r="I159" s="128" t="b">
        <f t="shared" si="2"/>
        <v>1</v>
      </c>
      <c r="J159" s="126">
        <v>35</v>
      </c>
      <c r="K159" s="126">
        <v>1</v>
      </c>
      <c r="L159" s="126">
        <v>1</v>
      </c>
      <c r="M159" s="126">
        <v>1</v>
      </c>
      <c r="N159" s="126">
        <v>1</v>
      </c>
      <c r="O159" s="126">
        <v>1</v>
      </c>
      <c r="P159" s="127">
        <v>651.05481409532888</v>
      </c>
    </row>
    <row r="160" spans="1:16" x14ac:dyDescent="0.35">
      <c r="A160" s="126">
        <v>158</v>
      </c>
      <c r="B160" s="126">
        <v>8723</v>
      </c>
      <c r="C160" s="127" t="s">
        <v>1204</v>
      </c>
      <c r="D160" s="127" t="s">
        <v>1204</v>
      </c>
      <c r="E160" s="127" t="s">
        <v>1205</v>
      </c>
      <c r="F160" s="127" t="s">
        <v>1205</v>
      </c>
      <c r="G160" s="127" t="s">
        <v>1206</v>
      </c>
      <c r="H160" s="127" t="s">
        <v>1206</v>
      </c>
      <c r="I160" s="128" t="b">
        <f t="shared" si="2"/>
        <v>1</v>
      </c>
      <c r="J160" s="126">
        <v>45</v>
      </c>
      <c r="K160" s="126">
        <v>0</v>
      </c>
      <c r="L160" s="126">
        <v>1</v>
      </c>
      <c r="M160" s="126">
        <v>0</v>
      </c>
      <c r="N160" s="126">
        <v>1</v>
      </c>
      <c r="O160" s="126">
        <v>1</v>
      </c>
      <c r="P160" s="127">
        <v>486.37703095096845</v>
      </c>
    </row>
    <row r="161" spans="1:16" x14ac:dyDescent="0.35">
      <c r="A161" s="126">
        <v>159</v>
      </c>
      <c r="B161" s="126">
        <v>5925</v>
      </c>
      <c r="C161" s="127" t="s">
        <v>1198</v>
      </c>
      <c r="D161" s="127" t="s">
        <v>1198</v>
      </c>
      <c r="E161" s="127" t="s">
        <v>1199</v>
      </c>
      <c r="F161" s="127" t="s">
        <v>1199</v>
      </c>
      <c r="G161" s="127" t="s">
        <v>1200</v>
      </c>
      <c r="H161" s="127" t="s">
        <v>1200</v>
      </c>
      <c r="I161" s="128" t="b">
        <f t="shared" si="2"/>
        <v>1</v>
      </c>
      <c r="J161" s="126">
        <v>35</v>
      </c>
      <c r="K161" s="126">
        <v>0</v>
      </c>
      <c r="L161" s="126">
        <v>0</v>
      </c>
      <c r="M161" s="126">
        <v>0</v>
      </c>
      <c r="N161" s="126">
        <v>0</v>
      </c>
      <c r="O161" s="127"/>
      <c r="P161" s="127">
        <v>2322.7846616568654</v>
      </c>
    </row>
    <row r="162" spans="1:16" x14ac:dyDescent="0.35">
      <c r="A162" s="126">
        <v>160</v>
      </c>
      <c r="B162" s="126">
        <v>16881</v>
      </c>
      <c r="C162" s="127" t="s">
        <v>1207</v>
      </c>
      <c r="D162" s="127" t="s">
        <v>1207</v>
      </c>
      <c r="E162" s="127" t="s">
        <v>1208</v>
      </c>
      <c r="F162" s="127" t="s">
        <v>1208</v>
      </c>
      <c r="G162" s="127" t="s">
        <v>1209</v>
      </c>
      <c r="H162" s="127" t="s">
        <v>1209</v>
      </c>
      <c r="I162" s="128" t="b">
        <f t="shared" si="2"/>
        <v>1</v>
      </c>
      <c r="J162" s="126">
        <v>35</v>
      </c>
      <c r="K162" s="126">
        <v>1</v>
      </c>
      <c r="L162" s="126">
        <v>1</v>
      </c>
      <c r="M162" s="126">
        <v>1</v>
      </c>
      <c r="N162" s="126">
        <v>1</v>
      </c>
      <c r="O162" s="127"/>
      <c r="P162" s="127">
        <v>437.51271457607368</v>
      </c>
    </row>
    <row r="163" spans="1:16" x14ac:dyDescent="0.35">
      <c r="A163" s="126">
        <v>161</v>
      </c>
      <c r="B163" s="126">
        <v>2251</v>
      </c>
      <c r="C163" s="127" t="s">
        <v>1187</v>
      </c>
      <c r="D163" s="127" t="s">
        <v>1187</v>
      </c>
      <c r="E163" s="127" t="s">
        <v>1193</v>
      </c>
      <c r="F163" s="127" t="s">
        <v>1193</v>
      </c>
      <c r="G163" s="127" t="s">
        <v>1189</v>
      </c>
      <c r="H163" s="127" t="s">
        <v>1189</v>
      </c>
      <c r="I163" s="128" t="b">
        <f t="shared" si="2"/>
        <v>1</v>
      </c>
      <c r="J163" s="126">
        <v>35</v>
      </c>
      <c r="K163" s="126">
        <v>1</v>
      </c>
      <c r="L163" s="126">
        <v>1</v>
      </c>
      <c r="M163" s="126">
        <v>0</v>
      </c>
      <c r="N163" s="126">
        <v>0</v>
      </c>
      <c r="O163" s="126">
        <v>1</v>
      </c>
      <c r="P163" s="127">
        <v>148.73103104615728</v>
      </c>
    </row>
    <row r="164" spans="1:16" x14ac:dyDescent="0.35">
      <c r="A164" s="126">
        <v>162</v>
      </c>
      <c r="B164" s="126">
        <v>20027</v>
      </c>
      <c r="C164" s="127" t="s">
        <v>1201</v>
      </c>
      <c r="D164" s="127" t="s">
        <v>1201</v>
      </c>
      <c r="E164" s="127" t="s">
        <v>1202</v>
      </c>
      <c r="F164" s="127" t="s">
        <v>1202</v>
      </c>
      <c r="G164" s="127" t="s">
        <v>1203</v>
      </c>
      <c r="H164" s="127" t="s">
        <v>1203</v>
      </c>
      <c r="I164" s="128" t="b">
        <f t="shared" si="2"/>
        <v>1</v>
      </c>
      <c r="J164" s="126">
        <v>45</v>
      </c>
      <c r="K164" s="126">
        <v>1</v>
      </c>
      <c r="L164" s="126">
        <v>1</v>
      </c>
      <c r="M164" s="126">
        <v>1</v>
      </c>
      <c r="N164" s="126">
        <v>1</v>
      </c>
      <c r="O164" s="127"/>
      <c r="P164" s="127">
        <v>418.84449780724054</v>
      </c>
    </row>
    <row r="165" spans="1:16" x14ac:dyDescent="0.35">
      <c r="A165" s="126">
        <v>163</v>
      </c>
      <c r="B165" s="126">
        <v>10215</v>
      </c>
      <c r="C165" s="127" t="s">
        <v>1204</v>
      </c>
      <c r="D165" s="127" t="s">
        <v>1204</v>
      </c>
      <c r="E165" s="127" t="s">
        <v>1205</v>
      </c>
      <c r="F165" s="127" t="s">
        <v>1205</v>
      </c>
      <c r="G165" s="127" t="s">
        <v>1206</v>
      </c>
      <c r="H165" s="127" t="s">
        <v>1206</v>
      </c>
      <c r="I165" s="128" t="b">
        <f t="shared" si="2"/>
        <v>1</v>
      </c>
      <c r="J165" s="126">
        <v>45</v>
      </c>
      <c r="K165" s="126">
        <v>0</v>
      </c>
      <c r="L165" s="126">
        <v>1</v>
      </c>
      <c r="M165" s="126">
        <v>0</v>
      </c>
      <c r="N165" s="126">
        <v>1</v>
      </c>
      <c r="O165" s="126">
        <v>1</v>
      </c>
      <c r="P165" s="127">
        <v>625.96362747779472</v>
      </c>
    </row>
    <row r="166" spans="1:16" x14ac:dyDescent="0.35">
      <c r="A166" s="126">
        <v>164</v>
      </c>
      <c r="B166" s="126">
        <v>5695</v>
      </c>
      <c r="C166" s="127" t="s">
        <v>1187</v>
      </c>
      <c r="D166" s="127" t="s">
        <v>1187</v>
      </c>
      <c r="E166" s="127" t="s">
        <v>1188</v>
      </c>
      <c r="F166" s="127" t="s">
        <v>1188</v>
      </c>
      <c r="G166" s="127" t="s">
        <v>1189</v>
      </c>
      <c r="H166" s="127" t="s">
        <v>1189</v>
      </c>
      <c r="I166" s="128" t="b">
        <f t="shared" si="2"/>
        <v>1</v>
      </c>
      <c r="J166" s="126">
        <v>35</v>
      </c>
      <c r="K166" s="126">
        <v>1</v>
      </c>
      <c r="L166" s="126">
        <v>1</v>
      </c>
      <c r="M166" s="126">
        <v>0</v>
      </c>
      <c r="N166" s="126">
        <v>0</v>
      </c>
      <c r="O166" s="126">
        <v>1</v>
      </c>
      <c r="P166" s="127">
        <v>652.21084914688834</v>
      </c>
    </row>
    <row r="167" spans="1:16" x14ac:dyDescent="0.35">
      <c r="A167" s="126">
        <v>165</v>
      </c>
      <c r="B167" s="126">
        <v>7633</v>
      </c>
      <c r="C167" s="127" t="s">
        <v>1187</v>
      </c>
      <c r="D167" s="127" t="s">
        <v>1187</v>
      </c>
      <c r="E167" s="127" t="s">
        <v>1193</v>
      </c>
      <c r="F167" s="127" t="s">
        <v>1193</v>
      </c>
      <c r="G167" s="127" t="s">
        <v>1189</v>
      </c>
      <c r="H167" s="127" t="s">
        <v>1189</v>
      </c>
      <c r="I167" s="128" t="b">
        <f t="shared" si="2"/>
        <v>1</v>
      </c>
      <c r="J167" s="126">
        <v>30</v>
      </c>
      <c r="K167" s="126">
        <v>1</v>
      </c>
      <c r="L167" s="126">
        <v>1</v>
      </c>
      <c r="M167" s="126">
        <v>0</v>
      </c>
      <c r="N167" s="126">
        <v>0</v>
      </c>
      <c r="O167" s="126">
        <v>1</v>
      </c>
      <c r="P167" s="127">
        <v>232.46480210739634</v>
      </c>
    </row>
    <row r="168" spans="1:16" x14ac:dyDescent="0.35">
      <c r="A168" s="126">
        <v>166</v>
      </c>
      <c r="B168" s="126">
        <v>17554</v>
      </c>
      <c r="C168" s="127" t="s">
        <v>1201</v>
      </c>
      <c r="D168" s="127" t="s">
        <v>1201</v>
      </c>
      <c r="E168" s="127" t="s">
        <v>1202</v>
      </c>
      <c r="F168" s="127" t="s">
        <v>1202</v>
      </c>
      <c r="G168" s="127" t="s">
        <v>1203</v>
      </c>
      <c r="H168" s="127" t="s">
        <v>1203</v>
      </c>
      <c r="I168" s="128" t="b">
        <f t="shared" si="2"/>
        <v>1</v>
      </c>
      <c r="J168" s="126">
        <v>45</v>
      </c>
      <c r="K168" s="126">
        <v>0</v>
      </c>
      <c r="L168" s="126">
        <v>0</v>
      </c>
      <c r="M168" s="126">
        <v>0</v>
      </c>
      <c r="N168" s="126">
        <v>0</v>
      </c>
      <c r="O168" s="127"/>
      <c r="P168" s="127">
        <v>335.68877783023589</v>
      </c>
    </row>
    <row r="169" spans="1:16" x14ac:dyDescent="0.35">
      <c r="A169" s="126">
        <v>167</v>
      </c>
      <c r="B169" s="126">
        <v>207</v>
      </c>
      <c r="C169" s="127" t="s">
        <v>1187</v>
      </c>
      <c r="D169" s="127" t="s">
        <v>1187</v>
      </c>
      <c r="E169" s="127" t="s">
        <v>1188</v>
      </c>
      <c r="F169" s="127" t="s">
        <v>1188</v>
      </c>
      <c r="G169" s="127" t="s">
        <v>1189</v>
      </c>
      <c r="H169" s="127" t="s">
        <v>1189</v>
      </c>
      <c r="I169" s="128" t="b">
        <f t="shared" si="2"/>
        <v>1</v>
      </c>
      <c r="J169" s="126">
        <v>35</v>
      </c>
      <c r="K169" s="126">
        <v>0</v>
      </c>
      <c r="L169" s="126">
        <v>1</v>
      </c>
      <c r="M169" s="126">
        <v>0</v>
      </c>
      <c r="N169" s="126">
        <v>1</v>
      </c>
      <c r="O169" s="126">
        <v>1</v>
      </c>
      <c r="P169" s="127">
        <v>246.5400305050639</v>
      </c>
    </row>
    <row r="170" spans="1:16" x14ac:dyDescent="0.35">
      <c r="A170" s="126">
        <v>168</v>
      </c>
      <c r="B170" s="126">
        <v>25861</v>
      </c>
      <c r="C170" s="127" t="s">
        <v>1210</v>
      </c>
      <c r="D170" s="127" t="s">
        <v>1210</v>
      </c>
      <c r="E170" s="127" t="s">
        <v>1212</v>
      </c>
      <c r="F170" s="127" t="s">
        <v>1212</v>
      </c>
      <c r="G170" s="127" t="s">
        <v>1211</v>
      </c>
      <c r="H170" s="127" t="s">
        <v>1211</v>
      </c>
      <c r="I170" s="128" t="b">
        <f t="shared" si="2"/>
        <v>1</v>
      </c>
      <c r="J170" s="126">
        <v>35</v>
      </c>
      <c r="K170" s="126">
        <v>1</v>
      </c>
      <c r="L170" s="126">
        <v>1</v>
      </c>
      <c r="M170" s="126">
        <v>1</v>
      </c>
      <c r="N170" s="126">
        <v>1</v>
      </c>
      <c r="O170" s="126">
        <v>1</v>
      </c>
      <c r="P170" s="127">
        <v>155.56295204427673</v>
      </c>
    </row>
    <row r="171" spans="1:16" x14ac:dyDescent="0.35">
      <c r="A171" s="126">
        <v>169</v>
      </c>
      <c r="B171" s="126">
        <v>26370</v>
      </c>
      <c r="C171" s="127" t="s">
        <v>1210</v>
      </c>
      <c r="D171" s="127" t="s">
        <v>1210</v>
      </c>
      <c r="E171" s="127" t="s">
        <v>1212</v>
      </c>
      <c r="F171" s="127" t="s">
        <v>1212</v>
      </c>
      <c r="G171" s="127" t="s">
        <v>1211</v>
      </c>
      <c r="H171" s="127" t="s">
        <v>1211</v>
      </c>
      <c r="I171" s="128" t="b">
        <f t="shared" si="2"/>
        <v>1</v>
      </c>
      <c r="J171" s="126">
        <v>35</v>
      </c>
      <c r="K171" s="126">
        <v>1</v>
      </c>
      <c r="L171" s="126">
        <v>1</v>
      </c>
      <c r="M171" s="126">
        <v>1</v>
      </c>
      <c r="N171" s="126">
        <v>1</v>
      </c>
      <c r="O171" s="126">
        <v>1</v>
      </c>
      <c r="P171" s="127">
        <v>164.63807273799119</v>
      </c>
    </row>
    <row r="172" spans="1:16" x14ac:dyDescent="0.35">
      <c r="A172" s="126">
        <v>170</v>
      </c>
      <c r="B172" s="126">
        <v>21112</v>
      </c>
      <c r="C172" s="127" t="s">
        <v>1216</v>
      </c>
      <c r="D172" s="127" t="s">
        <v>1216</v>
      </c>
      <c r="E172" s="127" t="s">
        <v>1193</v>
      </c>
      <c r="F172" s="127" t="s">
        <v>1193</v>
      </c>
      <c r="G172" s="127" t="s">
        <v>1162</v>
      </c>
      <c r="H172" s="127" t="s">
        <v>1162</v>
      </c>
      <c r="I172" s="128" t="b">
        <f t="shared" si="2"/>
        <v>1</v>
      </c>
      <c r="J172" s="126">
        <v>30</v>
      </c>
      <c r="K172" s="126">
        <v>1</v>
      </c>
      <c r="L172" s="126">
        <v>1</v>
      </c>
      <c r="M172" s="126">
        <v>0</v>
      </c>
      <c r="N172" s="126">
        <v>0</v>
      </c>
      <c r="O172" s="126">
        <v>1</v>
      </c>
      <c r="P172" s="127">
        <v>434.59275107468687</v>
      </c>
    </row>
    <row r="173" spans="1:16" x14ac:dyDescent="0.35">
      <c r="A173" s="126">
        <v>171</v>
      </c>
      <c r="B173" s="126">
        <v>27059</v>
      </c>
      <c r="C173" s="127" t="s">
        <v>1195</v>
      </c>
      <c r="D173" s="127" t="s">
        <v>1195</v>
      </c>
      <c r="E173" s="127" t="s">
        <v>1196</v>
      </c>
      <c r="F173" s="127" t="s">
        <v>1196</v>
      </c>
      <c r="G173" s="127" t="s">
        <v>1197</v>
      </c>
      <c r="H173" s="127" t="s">
        <v>1197</v>
      </c>
      <c r="I173" s="128" t="b">
        <f t="shared" si="2"/>
        <v>1</v>
      </c>
      <c r="J173" s="126">
        <v>35</v>
      </c>
      <c r="K173" s="126">
        <v>0</v>
      </c>
      <c r="L173" s="126">
        <v>0</v>
      </c>
      <c r="M173" s="126">
        <v>0</v>
      </c>
      <c r="N173" s="126">
        <v>0</v>
      </c>
      <c r="O173" s="126">
        <v>1</v>
      </c>
      <c r="P173" s="127">
        <v>1073.1365236959011</v>
      </c>
    </row>
    <row r="174" spans="1:16" x14ac:dyDescent="0.35">
      <c r="A174" s="126">
        <v>172</v>
      </c>
      <c r="B174" s="126">
        <v>5199</v>
      </c>
      <c r="C174" s="127" t="s">
        <v>1204</v>
      </c>
      <c r="D174" s="127" t="s">
        <v>1204</v>
      </c>
      <c r="E174" s="127" t="s">
        <v>1205</v>
      </c>
      <c r="F174" s="127" t="s">
        <v>1205</v>
      </c>
      <c r="G174" s="127" t="s">
        <v>1206</v>
      </c>
      <c r="H174" s="127" t="s">
        <v>1206</v>
      </c>
      <c r="I174" s="128" t="b">
        <f t="shared" si="2"/>
        <v>1</v>
      </c>
      <c r="J174" s="126">
        <v>45</v>
      </c>
      <c r="K174" s="126">
        <v>0</v>
      </c>
      <c r="L174" s="126">
        <v>1</v>
      </c>
      <c r="M174" s="126">
        <v>0</v>
      </c>
      <c r="N174" s="126">
        <v>1</v>
      </c>
      <c r="O174" s="126">
        <v>1</v>
      </c>
      <c r="P174" s="127">
        <v>583.42360459193947</v>
      </c>
    </row>
    <row r="175" spans="1:16" x14ac:dyDescent="0.35">
      <c r="A175" s="126">
        <v>173</v>
      </c>
      <c r="B175" s="126">
        <v>26308</v>
      </c>
      <c r="C175" s="127" t="s">
        <v>1210</v>
      </c>
      <c r="D175" s="127" t="s">
        <v>1210</v>
      </c>
      <c r="E175" s="127" t="s">
        <v>1212</v>
      </c>
      <c r="F175" s="127" t="s">
        <v>1212</v>
      </c>
      <c r="G175" s="127" t="s">
        <v>1211</v>
      </c>
      <c r="H175" s="127" t="s">
        <v>1211</v>
      </c>
      <c r="I175" s="128" t="b">
        <f t="shared" si="2"/>
        <v>1</v>
      </c>
      <c r="J175" s="126">
        <v>35</v>
      </c>
      <c r="K175" s="126">
        <v>1</v>
      </c>
      <c r="L175" s="126">
        <v>1</v>
      </c>
      <c r="M175" s="126">
        <v>1</v>
      </c>
      <c r="N175" s="126">
        <v>1</v>
      </c>
      <c r="O175" s="126">
        <v>1</v>
      </c>
      <c r="P175" s="127">
        <v>369.75163642479055</v>
      </c>
    </row>
    <row r="176" spans="1:16" x14ac:dyDescent="0.35">
      <c r="A176" s="126">
        <v>174</v>
      </c>
      <c r="B176" s="126">
        <v>25669</v>
      </c>
      <c r="C176" s="127" t="s">
        <v>1207</v>
      </c>
      <c r="D176" s="127" t="s">
        <v>1207</v>
      </c>
      <c r="E176" s="127" t="s">
        <v>1208</v>
      </c>
      <c r="F176" s="127" t="s">
        <v>1208</v>
      </c>
      <c r="G176" s="127" t="s">
        <v>1209</v>
      </c>
      <c r="H176" s="127" t="s">
        <v>1209</v>
      </c>
      <c r="I176" s="128" t="b">
        <f t="shared" si="2"/>
        <v>1</v>
      </c>
      <c r="J176" s="126">
        <v>35</v>
      </c>
      <c r="K176" s="126">
        <v>1</v>
      </c>
      <c r="L176" s="126">
        <v>1</v>
      </c>
      <c r="M176" s="126">
        <v>1</v>
      </c>
      <c r="N176" s="126">
        <v>1</v>
      </c>
      <c r="O176" s="127"/>
      <c r="P176" s="127">
        <v>379.27164635791144</v>
      </c>
    </row>
    <row r="177" spans="1:16" x14ac:dyDescent="0.35">
      <c r="A177" s="126">
        <v>175</v>
      </c>
      <c r="B177" s="126">
        <v>14093</v>
      </c>
      <c r="C177" s="127" t="s">
        <v>1201</v>
      </c>
      <c r="D177" s="127" t="s">
        <v>1201</v>
      </c>
      <c r="E177" s="127" t="s">
        <v>1202</v>
      </c>
      <c r="F177" s="127" t="s">
        <v>1202</v>
      </c>
      <c r="G177" s="127" t="s">
        <v>1203</v>
      </c>
      <c r="H177" s="127" t="s">
        <v>1203</v>
      </c>
      <c r="I177" s="128" t="b">
        <f t="shared" si="2"/>
        <v>1</v>
      </c>
      <c r="J177" s="126">
        <v>45</v>
      </c>
      <c r="K177" s="126">
        <v>1</v>
      </c>
      <c r="L177" s="126">
        <v>1</v>
      </c>
      <c r="M177" s="126">
        <v>1</v>
      </c>
      <c r="N177" s="126">
        <v>1</v>
      </c>
      <c r="O177" s="127"/>
      <c r="P177" s="127">
        <v>369.61098119194327</v>
      </c>
    </row>
    <row r="178" spans="1:16" x14ac:dyDescent="0.35">
      <c r="A178" s="126">
        <v>176</v>
      </c>
      <c r="B178" s="126">
        <v>26912</v>
      </c>
      <c r="C178" s="127" t="s">
        <v>1210</v>
      </c>
      <c r="D178" s="127" t="s">
        <v>1210</v>
      </c>
      <c r="E178" s="127" t="s">
        <v>1212</v>
      </c>
      <c r="F178" s="127" t="s">
        <v>1212</v>
      </c>
      <c r="G178" s="127" t="s">
        <v>1211</v>
      </c>
      <c r="H178" s="127" t="s">
        <v>1211</v>
      </c>
      <c r="I178" s="128" t="b">
        <f t="shared" si="2"/>
        <v>1</v>
      </c>
      <c r="J178" s="126">
        <v>35</v>
      </c>
      <c r="K178" s="126">
        <v>1</v>
      </c>
      <c r="L178" s="126">
        <v>1</v>
      </c>
      <c r="M178" s="126">
        <v>1</v>
      </c>
      <c r="N178" s="126">
        <v>1</v>
      </c>
      <c r="O178" s="126">
        <v>1</v>
      </c>
      <c r="P178" s="127">
        <v>173.08317079103074</v>
      </c>
    </row>
    <row r="179" spans="1:16" x14ac:dyDescent="0.35">
      <c r="A179" s="126">
        <v>177</v>
      </c>
      <c r="B179" s="126">
        <v>3156</v>
      </c>
      <c r="C179" s="127" t="s">
        <v>1192</v>
      </c>
      <c r="D179" s="127" t="s">
        <v>1192</v>
      </c>
      <c r="E179" s="127" t="s">
        <v>1193</v>
      </c>
      <c r="F179" s="127" t="s">
        <v>1193</v>
      </c>
      <c r="G179" s="127" t="s">
        <v>1194</v>
      </c>
      <c r="H179" s="127" t="s">
        <v>1194</v>
      </c>
      <c r="I179" s="128" t="b">
        <f t="shared" si="2"/>
        <v>1</v>
      </c>
      <c r="J179" s="126">
        <v>30</v>
      </c>
      <c r="K179" s="126">
        <v>0</v>
      </c>
      <c r="L179" s="126">
        <v>1</v>
      </c>
      <c r="M179" s="126">
        <v>0</v>
      </c>
      <c r="N179" s="126">
        <v>0</v>
      </c>
      <c r="O179" s="126">
        <v>1</v>
      </c>
      <c r="P179" s="127">
        <v>372.98637260479302</v>
      </c>
    </row>
    <row r="180" spans="1:16" x14ac:dyDescent="0.35">
      <c r="A180" s="126">
        <v>178</v>
      </c>
      <c r="B180" s="126">
        <v>17231</v>
      </c>
      <c r="C180" s="127" t="s">
        <v>1187</v>
      </c>
      <c r="D180" s="127" t="s">
        <v>1187</v>
      </c>
      <c r="E180" s="127" t="s">
        <v>1188</v>
      </c>
      <c r="F180" s="127" t="s">
        <v>1188</v>
      </c>
      <c r="G180" s="127" t="s">
        <v>1189</v>
      </c>
      <c r="H180" s="127" t="s">
        <v>1189</v>
      </c>
      <c r="I180" s="128" t="b">
        <f t="shared" si="2"/>
        <v>1</v>
      </c>
      <c r="J180" s="126">
        <v>35</v>
      </c>
      <c r="K180" s="126">
        <v>0</v>
      </c>
      <c r="L180" s="126">
        <v>0</v>
      </c>
      <c r="M180" s="126">
        <v>0</v>
      </c>
      <c r="N180" s="126">
        <v>0</v>
      </c>
      <c r="O180" s="126">
        <v>1</v>
      </c>
      <c r="P180" s="127">
        <v>275.8159917794776</v>
      </c>
    </row>
    <row r="181" spans="1:16" x14ac:dyDescent="0.35">
      <c r="A181" s="126">
        <v>179</v>
      </c>
      <c r="B181" s="126">
        <v>866</v>
      </c>
      <c r="C181" s="127" t="s">
        <v>1204</v>
      </c>
      <c r="D181" s="127" t="s">
        <v>1204</v>
      </c>
      <c r="E181" s="127" t="s">
        <v>1205</v>
      </c>
      <c r="F181" s="127" t="s">
        <v>1205</v>
      </c>
      <c r="G181" s="127" t="s">
        <v>1206</v>
      </c>
      <c r="H181" s="127" t="s">
        <v>1206</v>
      </c>
      <c r="I181" s="128" t="b">
        <f t="shared" si="2"/>
        <v>1</v>
      </c>
      <c r="J181" s="126">
        <v>45</v>
      </c>
      <c r="K181" s="126">
        <v>0</v>
      </c>
      <c r="L181" s="126">
        <v>1</v>
      </c>
      <c r="M181" s="126">
        <v>0</v>
      </c>
      <c r="N181" s="126">
        <v>1</v>
      </c>
      <c r="O181" s="126">
        <v>1</v>
      </c>
      <c r="P181" s="127">
        <v>748.05996513214438</v>
      </c>
    </row>
    <row r="182" spans="1:16" x14ac:dyDescent="0.35">
      <c r="A182" s="126">
        <v>180</v>
      </c>
      <c r="B182" s="126">
        <v>18840</v>
      </c>
      <c r="C182" s="127" t="s">
        <v>1187</v>
      </c>
      <c r="D182" s="127" t="s">
        <v>1187</v>
      </c>
      <c r="E182" s="127" t="s">
        <v>1188</v>
      </c>
      <c r="F182" s="127" t="s">
        <v>1188</v>
      </c>
      <c r="G182" s="127" t="s">
        <v>1189</v>
      </c>
      <c r="H182" s="127" t="s">
        <v>1189</v>
      </c>
      <c r="I182" s="128" t="b">
        <f t="shared" si="2"/>
        <v>1</v>
      </c>
      <c r="J182" s="126">
        <v>45</v>
      </c>
      <c r="K182" s="126">
        <v>0</v>
      </c>
      <c r="L182" s="126">
        <v>1</v>
      </c>
      <c r="M182" s="126">
        <v>0</v>
      </c>
      <c r="N182" s="126">
        <v>1</v>
      </c>
      <c r="O182" s="126">
        <v>1</v>
      </c>
      <c r="P182" s="127">
        <v>143.0579910879577</v>
      </c>
    </row>
    <row r="183" spans="1:16" x14ac:dyDescent="0.35">
      <c r="A183" s="126">
        <v>181</v>
      </c>
      <c r="B183" s="126">
        <v>23561</v>
      </c>
      <c r="C183" s="127" t="s">
        <v>1216</v>
      </c>
      <c r="D183" s="127" t="s">
        <v>1216</v>
      </c>
      <c r="E183" s="127" t="s">
        <v>1217</v>
      </c>
      <c r="F183" s="127" t="s">
        <v>1217</v>
      </c>
      <c r="G183" s="127" t="s">
        <v>1162</v>
      </c>
      <c r="H183" s="127" t="s">
        <v>1162</v>
      </c>
      <c r="I183" s="128" t="b">
        <f t="shared" si="2"/>
        <v>1</v>
      </c>
      <c r="J183" s="126">
        <v>35</v>
      </c>
      <c r="K183" s="126">
        <v>1</v>
      </c>
      <c r="L183" s="126">
        <v>1</v>
      </c>
      <c r="M183" s="126">
        <v>0</v>
      </c>
      <c r="N183" s="126">
        <v>0</v>
      </c>
      <c r="O183" s="127"/>
      <c r="P183" s="127">
        <v>190.55456355435834</v>
      </c>
    </row>
    <row r="184" spans="1:16" x14ac:dyDescent="0.35">
      <c r="A184" s="126">
        <v>182</v>
      </c>
      <c r="B184" s="126">
        <v>1748</v>
      </c>
      <c r="C184" s="127" t="s">
        <v>1201</v>
      </c>
      <c r="D184" s="127" t="s">
        <v>1201</v>
      </c>
      <c r="E184" s="127" t="s">
        <v>1202</v>
      </c>
      <c r="F184" s="127" t="s">
        <v>1202</v>
      </c>
      <c r="G184" s="127" t="s">
        <v>1203</v>
      </c>
      <c r="H184" s="127" t="s">
        <v>1203</v>
      </c>
      <c r="I184" s="128" t="b">
        <f t="shared" si="2"/>
        <v>1</v>
      </c>
      <c r="J184" s="126">
        <v>45</v>
      </c>
      <c r="K184" s="126">
        <v>1</v>
      </c>
      <c r="L184" s="126">
        <v>1</v>
      </c>
      <c r="M184" s="126">
        <v>1</v>
      </c>
      <c r="N184" s="126">
        <v>1</v>
      </c>
      <c r="O184" s="127"/>
      <c r="P184" s="127">
        <v>457.09518635554133</v>
      </c>
    </row>
    <row r="185" spans="1:16" x14ac:dyDescent="0.35">
      <c r="A185" s="126">
        <v>183</v>
      </c>
      <c r="B185" s="126">
        <v>1804</v>
      </c>
      <c r="C185" s="127" t="s">
        <v>1187</v>
      </c>
      <c r="D185" s="127" t="s">
        <v>1187</v>
      </c>
      <c r="E185" s="127" t="s">
        <v>1188</v>
      </c>
      <c r="F185" s="127" t="s">
        <v>1188</v>
      </c>
      <c r="G185" s="127" t="s">
        <v>1189</v>
      </c>
      <c r="H185" s="127" t="s">
        <v>1189</v>
      </c>
      <c r="I185" s="128" t="b">
        <f t="shared" si="2"/>
        <v>1</v>
      </c>
      <c r="J185" s="126">
        <v>35</v>
      </c>
      <c r="K185" s="126">
        <v>0</v>
      </c>
      <c r="L185" s="126">
        <v>0</v>
      </c>
      <c r="M185" s="126">
        <v>0</v>
      </c>
      <c r="N185" s="126">
        <v>0</v>
      </c>
      <c r="O185" s="126">
        <v>1</v>
      </c>
      <c r="P185" s="127">
        <v>177.34222516025866</v>
      </c>
    </row>
    <row r="186" spans="1:16" x14ac:dyDescent="0.35">
      <c r="A186" s="126">
        <v>184</v>
      </c>
      <c r="B186" s="126">
        <v>5672</v>
      </c>
      <c r="C186" s="127" t="s">
        <v>1187</v>
      </c>
      <c r="D186" s="127" t="s">
        <v>1187</v>
      </c>
      <c r="E186" s="127" t="s">
        <v>1188</v>
      </c>
      <c r="F186" s="127" t="s">
        <v>1188</v>
      </c>
      <c r="G186" s="127" t="s">
        <v>1189</v>
      </c>
      <c r="H186" s="127" t="s">
        <v>1189</v>
      </c>
      <c r="I186" s="128" t="b">
        <f t="shared" si="2"/>
        <v>1</v>
      </c>
      <c r="J186" s="126">
        <v>35</v>
      </c>
      <c r="K186" s="126">
        <v>0</v>
      </c>
      <c r="L186" s="126">
        <v>0</v>
      </c>
      <c r="M186" s="126">
        <v>0</v>
      </c>
      <c r="N186" s="126">
        <v>0</v>
      </c>
      <c r="O186" s="126">
        <v>1</v>
      </c>
      <c r="P186" s="127">
        <v>840.78315454279561</v>
      </c>
    </row>
    <row r="187" spans="1:16" x14ac:dyDescent="0.35">
      <c r="A187" s="126">
        <v>185</v>
      </c>
      <c r="B187" s="126">
        <v>858</v>
      </c>
      <c r="C187" s="127" t="s">
        <v>1187</v>
      </c>
      <c r="D187" s="127" t="s">
        <v>1187</v>
      </c>
      <c r="E187" s="127" t="s">
        <v>1188</v>
      </c>
      <c r="F187" s="127" t="s">
        <v>1188</v>
      </c>
      <c r="G187" s="127" t="s">
        <v>1189</v>
      </c>
      <c r="H187" s="127" t="s">
        <v>1189</v>
      </c>
      <c r="I187" s="128" t="b">
        <f t="shared" si="2"/>
        <v>1</v>
      </c>
      <c r="J187" s="126">
        <v>35</v>
      </c>
      <c r="K187" s="126">
        <v>0</v>
      </c>
      <c r="L187" s="126">
        <v>0</v>
      </c>
      <c r="M187" s="126">
        <v>0</v>
      </c>
      <c r="N187" s="126">
        <v>0</v>
      </c>
      <c r="O187" s="126">
        <v>1</v>
      </c>
      <c r="P187" s="127">
        <v>272.53901627333494</v>
      </c>
    </row>
    <row r="188" spans="1:16" x14ac:dyDescent="0.35">
      <c r="A188" s="126">
        <v>186</v>
      </c>
      <c r="B188" s="126">
        <v>10406</v>
      </c>
      <c r="C188" s="127" t="s">
        <v>1201</v>
      </c>
      <c r="D188" s="127" t="s">
        <v>1201</v>
      </c>
      <c r="E188" s="127" t="s">
        <v>1202</v>
      </c>
      <c r="F188" s="127" t="s">
        <v>1202</v>
      </c>
      <c r="G188" s="127" t="s">
        <v>1203</v>
      </c>
      <c r="H188" s="127" t="s">
        <v>1203</v>
      </c>
      <c r="I188" s="128" t="b">
        <f t="shared" si="2"/>
        <v>1</v>
      </c>
      <c r="J188" s="126">
        <v>45</v>
      </c>
      <c r="K188" s="126">
        <v>0</v>
      </c>
      <c r="L188" s="126">
        <v>0</v>
      </c>
      <c r="M188" s="126">
        <v>0</v>
      </c>
      <c r="N188" s="126">
        <v>0</v>
      </c>
      <c r="O188" s="127"/>
      <c r="P188" s="127">
        <v>217.83691241973889</v>
      </c>
    </row>
    <row r="189" spans="1:16" x14ac:dyDescent="0.35">
      <c r="A189" s="126">
        <v>187</v>
      </c>
      <c r="B189" s="126">
        <v>2158</v>
      </c>
      <c r="C189" s="127" t="s">
        <v>1204</v>
      </c>
      <c r="D189" s="127" t="s">
        <v>1204</v>
      </c>
      <c r="E189" s="127" t="s">
        <v>1205</v>
      </c>
      <c r="F189" s="127" t="s">
        <v>1205</v>
      </c>
      <c r="G189" s="127" t="s">
        <v>1206</v>
      </c>
      <c r="H189" s="127" t="s">
        <v>1206</v>
      </c>
      <c r="I189" s="128" t="b">
        <f t="shared" si="2"/>
        <v>1</v>
      </c>
      <c r="J189" s="126">
        <v>45</v>
      </c>
      <c r="K189" s="126">
        <v>0</v>
      </c>
      <c r="L189" s="126">
        <v>0</v>
      </c>
      <c r="M189" s="126">
        <v>0</v>
      </c>
      <c r="N189" s="126">
        <v>0</v>
      </c>
      <c r="O189" s="126">
        <v>1</v>
      </c>
      <c r="P189" s="127">
        <v>757.43568035476164</v>
      </c>
    </row>
    <row r="190" spans="1:16" x14ac:dyDescent="0.35">
      <c r="A190" s="126">
        <v>188</v>
      </c>
      <c r="B190" s="126">
        <v>27239</v>
      </c>
      <c r="C190" s="127" t="s">
        <v>1207</v>
      </c>
      <c r="D190" s="127" t="s">
        <v>1207</v>
      </c>
      <c r="E190" s="127" t="s">
        <v>1208</v>
      </c>
      <c r="F190" s="127" t="s">
        <v>1208</v>
      </c>
      <c r="G190" s="127" t="s">
        <v>1209</v>
      </c>
      <c r="H190" s="127" t="s">
        <v>1209</v>
      </c>
      <c r="I190" s="128" t="b">
        <f t="shared" si="2"/>
        <v>1</v>
      </c>
      <c r="J190" s="126">
        <v>35</v>
      </c>
      <c r="K190" s="126">
        <v>1</v>
      </c>
      <c r="L190" s="126">
        <v>1</v>
      </c>
      <c r="M190" s="126">
        <v>1</v>
      </c>
      <c r="N190" s="126">
        <v>1</v>
      </c>
      <c r="O190" s="127"/>
      <c r="P190" s="127">
        <v>319.73501432380078</v>
      </c>
    </row>
    <row r="191" spans="1:16" x14ac:dyDescent="0.35">
      <c r="A191" s="126">
        <v>189</v>
      </c>
      <c r="B191" s="126">
        <v>8683</v>
      </c>
      <c r="C191" s="127" t="s">
        <v>1187</v>
      </c>
      <c r="D191" s="127" t="s">
        <v>1187</v>
      </c>
      <c r="E191" s="127" t="s">
        <v>1188</v>
      </c>
      <c r="F191" s="127" t="s">
        <v>1188</v>
      </c>
      <c r="G191" s="127" t="s">
        <v>1189</v>
      </c>
      <c r="H191" s="127" t="s">
        <v>1189</v>
      </c>
      <c r="I191" s="128" t="b">
        <f t="shared" si="2"/>
        <v>1</v>
      </c>
      <c r="J191" s="126">
        <v>35</v>
      </c>
      <c r="K191" s="126">
        <v>0</v>
      </c>
      <c r="L191" s="126">
        <v>1</v>
      </c>
      <c r="M191" s="126">
        <v>0</v>
      </c>
      <c r="N191" s="126">
        <v>1</v>
      </c>
      <c r="O191" s="126">
        <v>1</v>
      </c>
      <c r="P191" s="127">
        <v>349.52600304909521</v>
      </c>
    </row>
    <row r="192" spans="1:16" x14ac:dyDescent="0.35">
      <c r="A192" s="126">
        <v>190</v>
      </c>
      <c r="B192" s="126">
        <v>18539</v>
      </c>
      <c r="C192" s="127" t="s">
        <v>1198</v>
      </c>
      <c r="D192" s="127" t="s">
        <v>1198</v>
      </c>
      <c r="E192" s="127" t="s">
        <v>1199</v>
      </c>
      <c r="F192" s="127" t="s">
        <v>1199</v>
      </c>
      <c r="G192" s="127" t="s">
        <v>1200</v>
      </c>
      <c r="H192" s="127" t="s">
        <v>1200</v>
      </c>
      <c r="I192" s="128" t="b">
        <f t="shared" si="2"/>
        <v>1</v>
      </c>
      <c r="J192" s="126">
        <v>35</v>
      </c>
      <c r="K192" s="126">
        <v>0</v>
      </c>
      <c r="L192" s="126">
        <v>0</v>
      </c>
      <c r="M192" s="126">
        <v>0</v>
      </c>
      <c r="N192" s="126">
        <v>0</v>
      </c>
      <c r="O192" s="127"/>
      <c r="P192" s="127">
        <v>330.75123506236059</v>
      </c>
    </row>
    <row r="193" spans="1:16" x14ac:dyDescent="0.35">
      <c r="A193" s="126">
        <v>191</v>
      </c>
      <c r="B193" s="126">
        <v>24133</v>
      </c>
      <c r="C193" s="127" t="s">
        <v>1210</v>
      </c>
      <c r="D193" s="127" t="s">
        <v>1210</v>
      </c>
      <c r="E193" s="127" t="s">
        <v>1212</v>
      </c>
      <c r="F193" s="127" t="s">
        <v>1212</v>
      </c>
      <c r="G193" s="127" t="s">
        <v>1211</v>
      </c>
      <c r="H193" s="127" t="s">
        <v>1211</v>
      </c>
      <c r="I193" s="128" t="b">
        <f t="shared" si="2"/>
        <v>1</v>
      </c>
      <c r="J193" s="126">
        <v>35</v>
      </c>
      <c r="K193" s="126">
        <v>1</v>
      </c>
      <c r="L193" s="126">
        <v>1</v>
      </c>
      <c r="M193" s="126">
        <v>1</v>
      </c>
      <c r="N193" s="126">
        <v>1</v>
      </c>
      <c r="O193" s="126">
        <v>1</v>
      </c>
      <c r="P193" s="127">
        <v>367.41104205739606</v>
      </c>
    </row>
    <row r="194" spans="1:16" x14ac:dyDescent="0.35">
      <c r="A194" s="126">
        <v>192</v>
      </c>
      <c r="B194" s="126">
        <v>11490</v>
      </c>
      <c r="C194" s="127" t="s">
        <v>1207</v>
      </c>
      <c r="D194" s="127" t="s">
        <v>1207</v>
      </c>
      <c r="E194" s="127" t="s">
        <v>1208</v>
      </c>
      <c r="F194" s="127" t="s">
        <v>1208</v>
      </c>
      <c r="G194" s="127" t="s">
        <v>1209</v>
      </c>
      <c r="H194" s="127" t="s">
        <v>1209</v>
      </c>
      <c r="I194" s="128" t="b">
        <f t="shared" si="2"/>
        <v>1</v>
      </c>
      <c r="J194" s="126">
        <v>35</v>
      </c>
      <c r="K194" s="126">
        <v>1</v>
      </c>
      <c r="L194" s="126">
        <v>1</v>
      </c>
      <c r="M194" s="126">
        <v>1</v>
      </c>
      <c r="N194" s="126">
        <v>1</v>
      </c>
      <c r="O194" s="127"/>
      <c r="P194" s="127">
        <v>423.73010741452759</v>
      </c>
    </row>
    <row r="195" spans="1:16" x14ac:dyDescent="0.35">
      <c r="A195" s="126">
        <v>193</v>
      </c>
      <c r="B195" s="126">
        <v>9894</v>
      </c>
      <c r="C195" s="127" t="s">
        <v>1201</v>
      </c>
      <c r="D195" s="127" t="s">
        <v>1201</v>
      </c>
      <c r="E195" s="127" t="s">
        <v>1202</v>
      </c>
      <c r="F195" s="127" t="s">
        <v>1202</v>
      </c>
      <c r="G195" s="127" t="s">
        <v>1203</v>
      </c>
      <c r="H195" s="127" t="s">
        <v>1203</v>
      </c>
      <c r="I195" s="128" t="b">
        <f t="shared" si="2"/>
        <v>1</v>
      </c>
      <c r="J195" s="126">
        <v>45</v>
      </c>
      <c r="K195" s="126">
        <v>0</v>
      </c>
      <c r="L195" s="126">
        <v>0</v>
      </c>
      <c r="M195" s="126">
        <v>0</v>
      </c>
      <c r="N195" s="126">
        <v>0</v>
      </c>
      <c r="O195" s="127"/>
      <c r="P195" s="127">
        <v>196.87475226002036</v>
      </c>
    </row>
    <row r="196" spans="1:16" x14ac:dyDescent="0.35">
      <c r="A196" s="126">
        <v>194</v>
      </c>
      <c r="B196" s="126">
        <v>7125</v>
      </c>
      <c r="C196" s="127" t="s">
        <v>1187</v>
      </c>
      <c r="D196" s="127" t="s">
        <v>1187</v>
      </c>
      <c r="E196" s="127" t="s">
        <v>1188</v>
      </c>
      <c r="F196" s="127" t="s">
        <v>1188</v>
      </c>
      <c r="G196" s="127" t="s">
        <v>1189</v>
      </c>
      <c r="H196" s="127" t="s">
        <v>1189</v>
      </c>
      <c r="I196" s="128" t="b">
        <f t="shared" ref="I196:I259" si="3">G196=H196</f>
        <v>1</v>
      </c>
      <c r="J196" s="126">
        <v>35</v>
      </c>
      <c r="K196" s="126">
        <v>0</v>
      </c>
      <c r="L196" s="126">
        <v>0</v>
      </c>
      <c r="M196" s="126">
        <v>0</v>
      </c>
      <c r="N196" s="126">
        <v>0</v>
      </c>
      <c r="O196" s="126">
        <v>1</v>
      </c>
      <c r="P196" s="127">
        <v>538.97179144513859</v>
      </c>
    </row>
    <row r="197" spans="1:16" x14ac:dyDescent="0.35">
      <c r="A197" s="126">
        <v>195</v>
      </c>
      <c r="B197" s="126">
        <v>3895</v>
      </c>
      <c r="C197" s="127" t="s">
        <v>1187</v>
      </c>
      <c r="D197" s="127" t="s">
        <v>1187</v>
      </c>
      <c r="E197" s="127" t="s">
        <v>1188</v>
      </c>
      <c r="F197" s="127" t="s">
        <v>1188</v>
      </c>
      <c r="G197" s="127" t="s">
        <v>1189</v>
      </c>
      <c r="H197" s="127" t="s">
        <v>1189</v>
      </c>
      <c r="I197" s="128" t="b">
        <f t="shared" si="3"/>
        <v>1</v>
      </c>
      <c r="J197" s="126">
        <v>35</v>
      </c>
      <c r="K197" s="126">
        <v>0</v>
      </c>
      <c r="L197" s="126">
        <v>0</v>
      </c>
      <c r="M197" s="126">
        <v>0</v>
      </c>
      <c r="N197" s="126">
        <v>0</v>
      </c>
      <c r="O197" s="126">
        <v>1</v>
      </c>
      <c r="P197" s="127">
        <v>86.508858314354129</v>
      </c>
    </row>
    <row r="198" spans="1:16" x14ac:dyDescent="0.35">
      <c r="A198" s="126">
        <v>196</v>
      </c>
      <c r="B198" s="126">
        <v>1641</v>
      </c>
      <c r="C198" s="127" t="s">
        <v>1187</v>
      </c>
      <c r="D198" s="127" t="s">
        <v>1187</v>
      </c>
      <c r="E198" s="127" t="s">
        <v>1188</v>
      </c>
      <c r="F198" s="127" t="s">
        <v>1188</v>
      </c>
      <c r="G198" s="127" t="s">
        <v>1189</v>
      </c>
      <c r="H198" s="127" t="s">
        <v>1189</v>
      </c>
      <c r="I198" s="128" t="b">
        <f t="shared" si="3"/>
        <v>1</v>
      </c>
      <c r="J198" s="126">
        <v>35</v>
      </c>
      <c r="K198" s="126">
        <v>0</v>
      </c>
      <c r="L198" s="126">
        <v>0</v>
      </c>
      <c r="M198" s="126">
        <v>0</v>
      </c>
      <c r="N198" s="126">
        <v>0</v>
      </c>
      <c r="O198" s="126">
        <v>1</v>
      </c>
      <c r="P198" s="127">
        <v>285.26173330720263</v>
      </c>
    </row>
    <row r="199" spans="1:16" x14ac:dyDescent="0.35">
      <c r="A199" s="126">
        <v>197</v>
      </c>
      <c r="B199" s="126">
        <v>5658</v>
      </c>
      <c r="C199" s="127" t="s">
        <v>1187</v>
      </c>
      <c r="D199" s="127" t="s">
        <v>1187</v>
      </c>
      <c r="E199" s="127" t="s">
        <v>1188</v>
      </c>
      <c r="F199" s="127" t="s">
        <v>1188</v>
      </c>
      <c r="G199" s="127" t="s">
        <v>1189</v>
      </c>
      <c r="H199" s="127" t="s">
        <v>1189</v>
      </c>
      <c r="I199" s="128" t="b">
        <f t="shared" si="3"/>
        <v>1</v>
      </c>
      <c r="J199" s="126">
        <v>35</v>
      </c>
      <c r="K199" s="126">
        <v>1</v>
      </c>
      <c r="L199" s="126">
        <v>1</v>
      </c>
      <c r="M199" s="126">
        <v>0</v>
      </c>
      <c r="N199" s="126">
        <v>0</v>
      </c>
      <c r="O199" s="126">
        <v>1</v>
      </c>
      <c r="P199" s="127">
        <v>186.50514816531549</v>
      </c>
    </row>
    <row r="200" spans="1:16" x14ac:dyDescent="0.35">
      <c r="A200" s="126">
        <v>198</v>
      </c>
      <c r="B200" s="126">
        <v>4057</v>
      </c>
      <c r="C200" s="127" t="s">
        <v>1192</v>
      </c>
      <c r="D200" s="127" t="s">
        <v>1192</v>
      </c>
      <c r="E200" s="127" t="s">
        <v>1193</v>
      </c>
      <c r="F200" s="127" t="s">
        <v>1193</v>
      </c>
      <c r="G200" s="127" t="s">
        <v>1194</v>
      </c>
      <c r="H200" s="127" t="s">
        <v>1194</v>
      </c>
      <c r="I200" s="128" t="b">
        <f t="shared" si="3"/>
        <v>1</v>
      </c>
      <c r="J200" s="126">
        <v>30</v>
      </c>
      <c r="K200" s="126">
        <v>1</v>
      </c>
      <c r="L200" s="126">
        <v>1</v>
      </c>
      <c r="M200" s="126">
        <v>0</v>
      </c>
      <c r="N200" s="126">
        <v>0</v>
      </c>
      <c r="O200" s="126">
        <v>1</v>
      </c>
      <c r="P200" s="127">
        <v>573.1629084899422</v>
      </c>
    </row>
    <row r="201" spans="1:16" x14ac:dyDescent="0.35">
      <c r="A201" s="126">
        <v>199</v>
      </c>
      <c r="B201" s="126">
        <v>6770</v>
      </c>
      <c r="C201" s="127" t="s">
        <v>1198</v>
      </c>
      <c r="D201" s="127" t="s">
        <v>1198</v>
      </c>
      <c r="E201" s="127" t="s">
        <v>1199</v>
      </c>
      <c r="F201" s="127" t="s">
        <v>1199</v>
      </c>
      <c r="G201" s="127" t="s">
        <v>1200</v>
      </c>
      <c r="H201" s="127" t="s">
        <v>1200</v>
      </c>
      <c r="I201" s="128" t="b">
        <f t="shared" si="3"/>
        <v>1</v>
      </c>
      <c r="J201" s="126">
        <v>45</v>
      </c>
      <c r="K201" s="126">
        <v>0</v>
      </c>
      <c r="L201" s="126">
        <v>0</v>
      </c>
      <c r="M201" s="126">
        <v>0</v>
      </c>
      <c r="N201" s="126">
        <v>0</v>
      </c>
      <c r="O201" s="127"/>
      <c r="P201" s="127">
        <v>258.93759550730397</v>
      </c>
    </row>
    <row r="202" spans="1:16" x14ac:dyDescent="0.35">
      <c r="A202" s="126">
        <v>200</v>
      </c>
      <c r="B202" s="126">
        <v>22664</v>
      </c>
      <c r="C202" s="127" t="s">
        <v>1190</v>
      </c>
      <c r="D202" s="127" t="s">
        <v>1190</v>
      </c>
      <c r="E202" s="127" t="s">
        <v>1190</v>
      </c>
      <c r="F202" s="127" t="s">
        <v>1190</v>
      </c>
      <c r="G202" s="127" t="s">
        <v>1191</v>
      </c>
      <c r="H202" s="127" t="s">
        <v>1191</v>
      </c>
      <c r="I202" s="128" t="b">
        <f t="shared" si="3"/>
        <v>1</v>
      </c>
      <c r="J202" s="126">
        <v>35</v>
      </c>
      <c r="K202" s="126">
        <v>1</v>
      </c>
      <c r="L202" s="126">
        <v>1</v>
      </c>
      <c r="M202" s="126">
        <v>0</v>
      </c>
      <c r="N202" s="126">
        <v>0</v>
      </c>
      <c r="O202" s="126">
        <v>1</v>
      </c>
      <c r="P202" s="127">
        <v>1950.8623838846922</v>
      </c>
    </row>
    <row r="203" spans="1:16" x14ac:dyDescent="0.35">
      <c r="A203" s="126">
        <v>201</v>
      </c>
      <c r="B203" s="126">
        <v>15159</v>
      </c>
      <c r="C203" s="127" t="s">
        <v>1195</v>
      </c>
      <c r="D203" s="127" t="s">
        <v>1195</v>
      </c>
      <c r="E203" s="127" t="s">
        <v>1196</v>
      </c>
      <c r="F203" s="127" t="s">
        <v>1196</v>
      </c>
      <c r="G203" s="127" t="s">
        <v>1197</v>
      </c>
      <c r="H203" s="127" t="s">
        <v>1197</v>
      </c>
      <c r="I203" s="128" t="b">
        <f t="shared" si="3"/>
        <v>1</v>
      </c>
      <c r="J203" s="126">
        <v>35</v>
      </c>
      <c r="K203" s="126">
        <v>0</v>
      </c>
      <c r="L203" s="126">
        <v>0</v>
      </c>
      <c r="M203" s="126">
        <v>0</v>
      </c>
      <c r="N203" s="126">
        <v>0</v>
      </c>
      <c r="O203" s="127"/>
      <c r="P203" s="127">
        <v>382.34023576062322</v>
      </c>
    </row>
    <row r="204" spans="1:16" x14ac:dyDescent="0.35">
      <c r="A204" s="126">
        <v>202</v>
      </c>
      <c r="B204" s="126">
        <v>27191</v>
      </c>
      <c r="C204" s="127" t="s">
        <v>1195</v>
      </c>
      <c r="D204" s="127" t="s">
        <v>1195</v>
      </c>
      <c r="E204" s="127" t="s">
        <v>1196</v>
      </c>
      <c r="F204" s="127" t="s">
        <v>1196</v>
      </c>
      <c r="G204" s="127" t="s">
        <v>1197</v>
      </c>
      <c r="H204" s="127" t="s">
        <v>1197</v>
      </c>
      <c r="I204" s="128" t="b">
        <f t="shared" si="3"/>
        <v>1</v>
      </c>
      <c r="J204" s="126">
        <v>35</v>
      </c>
      <c r="K204" s="126">
        <v>1</v>
      </c>
      <c r="L204" s="126">
        <v>1</v>
      </c>
      <c r="M204" s="126">
        <v>1</v>
      </c>
      <c r="N204" s="126">
        <v>1</v>
      </c>
      <c r="O204" s="127"/>
      <c r="P204" s="127">
        <v>935.03380512111471</v>
      </c>
    </row>
    <row r="205" spans="1:16" x14ac:dyDescent="0.35">
      <c r="A205" s="126">
        <v>203</v>
      </c>
      <c r="B205" s="126">
        <v>25788</v>
      </c>
      <c r="C205" s="127" t="s">
        <v>1210</v>
      </c>
      <c r="D205" s="127" t="s">
        <v>1210</v>
      </c>
      <c r="E205" s="127" t="s">
        <v>1212</v>
      </c>
      <c r="F205" s="127" t="s">
        <v>1212</v>
      </c>
      <c r="G205" s="127" t="s">
        <v>1211</v>
      </c>
      <c r="H205" s="127" t="s">
        <v>1211</v>
      </c>
      <c r="I205" s="128" t="b">
        <f t="shared" si="3"/>
        <v>1</v>
      </c>
      <c r="J205" s="126">
        <v>35</v>
      </c>
      <c r="K205" s="126">
        <v>1</v>
      </c>
      <c r="L205" s="126">
        <v>1</v>
      </c>
      <c r="M205" s="126">
        <v>1</v>
      </c>
      <c r="N205" s="126">
        <v>1</v>
      </c>
      <c r="O205" s="126">
        <v>1</v>
      </c>
      <c r="P205" s="127">
        <v>255.21340107398683</v>
      </c>
    </row>
    <row r="206" spans="1:16" x14ac:dyDescent="0.35">
      <c r="A206" s="126">
        <v>204</v>
      </c>
      <c r="B206" s="126">
        <v>18753</v>
      </c>
      <c r="C206" s="127" t="s">
        <v>1201</v>
      </c>
      <c r="D206" s="127" t="s">
        <v>1201</v>
      </c>
      <c r="E206" s="127" t="s">
        <v>1202</v>
      </c>
      <c r="F206" s="127" t="s">
        <v>1202</v>
      </c>
      <c r="G206" s="127" t="s">
        <v>1203</v>
      </c>
      <c r="H206" s="127" t="s">
        <v>1203</v>
      </c>
      <c r="I206" s="128" t="b">
        <f t="shared" si="3"/>
        <v>1</v>
      </c>
      <c r="J206" s="126">
        <v>45</v>
      </c>
      <c r="K206" s="126">
        <v>0</v>
      </c>
      <c r="L206" s="126">
        <v>0</v>
      </c>
      <c r="M206" s="126">
        <v>0</v>
      </c>
      <c r="N206" s="126">
        <v>0</v>
      </c>
      <c r="O206" s="127"/>
      <c r="P206" s="127">
        <v>464.33229208917788</v>
      </c>
    </row>
    <row r="207" spans="1:16" x14ac:dyDescent="0.35">
      <c r="A207" s="126">
        <v>205</v>
      </c>
      <c r="B207" s="126">
        <v>7032</v>
      </c>
      <c r="C207" s="127" t="s">
        <v>1207</v>
      </c>
      <c r="D207" s="127" t="s">
        <v>1207</v>
      </c>
      <c r="E207" s="127" t="s">
        <v>1208</v>
      </c>
      <c r="F207" s="127" t="s">
        <v>1208</v>
      </c>
      <c r="G207" s="127" t="s">
        <v>1209</v>
      </c>
      <c r="H207" s="127" t="s">
        <v>1209</v>
      </c>
      <c r="I207" s="128" t="b">
        <f t="shared" si="3"/>
        <v>1</v>
      </c>
      <c r="J207" s="126">
        <v>35</v>
      </c>
      <c r="K207" s="126">
        <v>1</v>
      </c>
      <c r="L207" s="126">
        <v>1</v>
      </c>
      <c r="M207" s="126">
        <v>1</v>
      </c>
      <c r="N207" s="126">
        <v>1</v>
      </c>
      <c r="O207" s="127"/>
      <c r="P207" s="127">
        <v>516.31869630342555</v>
      </c>
    </row>
    <row r="208" spans="1:16" x14ac:dyDescent="0.35">
      <c r="A208" s="126">
        <v>206</v>
      </c>
      <c r="B208" s="126">
        <v>15615</v>
      </c>
      <c r="C208" s="127" t="s">
        <v>1190</v>
      </c>
      <c r="D208" s="127" t="s">
        <v>1190</v>
      </c>
      <c r="E208" s="127" t="s">
        <v>1190</v>
      </c>
      <c r="F208" s="127" t="s">
        <v>1190</v>
      </c>
      <c r="G208" s="127" t="s">
        <v>1191</v>
      </c>
      <c r="H208" s="127" t="s">
        <v>1191</v>
      </c>
      <c r="I208" s="128" t="b">
        <f t="shared" si="3"/>
        <v>1</v>
      </c>
      <c r="J208" s="126">
        <v>35</v>
      </c>
      <c r="K208" s="126">
        <v>1</v>
      </c>
      <c r="L208" s="126">
        <v>1</v>
      </c>
      <c r="M208" s="126">
        <v>1</v>
      </c>
      <c r="N208" s="126">
        <v>1</v>
      </c>
      <c r="O208" s="126">
        <v>1</v>
      </c>
      <c r="P208" s="127">
        <v>633.37645933779288</v>
      </c>
    </row>
    <row r="209" spans="1:16" x14ac:dyDescent="0.35">
      <c r="A209" s="126">
        <v>207</v>
      </c>
      <c r="B209" s="126">
        <v>24164</v>
      </c>
      <c r="C209" s="127" t="s">
        <v>1195</v>
      </c>
      <c r="D209" s="127" t="s">
        <v>1195</v>
      </c>
      <c r="E209" s="127" t="s">
        <v>1196</v>
      </c>
      <c r="F209" s="127" t="s">
        <v>1196</v>
      </c>
      <c r="G209" s="127" t="s">
        <v>1197</v>
      </c>
      <c r="H209" s="127" t="s">
        <v>1197</v>
      </c>
      <c r="I209" s="128" t="b">
        <f t="shared" si="3"/>
        <v>1</v>
      </c>
      <c r="J209" s="126">
        <v>35</v>
      </c>
      <c r="K209" s="126">
        <v>0</v>
      </c>
      <c r="L209" s="126">
        <v>0</v>
      </c>
      <c r="M209" s="126">
        <v>0</v>
      </c>
      <c r="N209" s="126">
        <v>0</v>
      </c>
      <c r="O209" s="127"/>
      <c r="P209" s="127">
        <v>76.057802746637833</v>
      </c>
    </row>
    <row r="210" spans="1:16" x14ac:dyDescent="0.35">
      <c r="A210" s="126">
        <v>208</v>
      </c>
      <c r="B210" s="126">
        <v>25852</v>
      </c>
      <c r="C210" s="127" t="s">
        <v>1210</v>
      </c>
      <c r="D210" s="127" t="s">
        <v>1210</v>
      </c>
      <c r="E210" s="127" t="s">
        <v>1212</v>
      </c>
      <c r="F210" s="127" t="s">
        <v>1212</v>
      </c>
      <c r="G210" s="127" t="s">
        <v>1211</v>
      </c>
      <c r="H210" s="127" t="s">
        <v>1211</v>
      </c>
      <c r="I210" s="128" t="b">
        <f t="shared" si="3"/>
        <v>1</v>
      </c>
      <c r="J210" s="126">
        <v>35</v>
      </c>
      <c r="K210" s="126">
        <v>1</v>
      </c>
      <c r="L210" s="126">
        <v>1</v>
      </c>
      <c r="M210" s="126">
        <v>1</v>
      </c>
      <c r="N210" s="126">
        <v>1</v>
      </c>
      <c r="O210" s="126">
        <v>1</v>
      </c>
      <c r="P210" s="127">
        <v>298.20594379145848</v>
      </c>
    </row>
    <row r="211" spans="1:16" x14ac:dyDescent="0.35">
      <c r="A211" s="126">
        <v>209</v>
      </c>
      <c r="B211" s="126">
        <v>18237</v>
      </c>
      <c r="C211" s="127" t="s">
        <v>1201</v>
      </c>
      <c r="D211" s="127" t="s">
        <v>1201</v>
      </c>
      <c r="E211" s="127" t="s">
        <v>1202</v>
      </c>
      <c r="F211" s="127" t="s">
        <v>1202</v>
      </c>
      <c r="G211" s="127" t="s">
        <v>1203</v>
      </c>
      <c r="H211" s="127" t="s">
        <v>1203</v>
      </c>
      <c r="I211" s="128" t="b">
        <f t="shared" si="3"/>
        <v>1</v>
      </c>
      <c r="J211" s="126">
        <v>45</v>
      </c>
      <c r="K211" s="126">
        <v>1</v>
      </c>
      <c r="L211" s="126">
        <v>1</v>
      </c>
      <c r="M211" s="126">
        <v>1</v>
      </c>
      <c r="N211" s="126">
        <v>1</v>
      </c>
      <c r="O211" s="127"/>
      <c r="P211" s="127">
        <v>491.21323596825039</v>
      </c>
    </row>
    <row r="212" spans="1:16" x14ac:dyDescent="0.35">
      <c r="A212" s="126">
        <v>210</v>
      </c>
      <c r="B212" s="126">
        <v>26911</v>
      </c>
      <c r="C212" s="127" t="s">
        <v>1210</v>
      </c>
      <c r="D212" s="127" t="s">
        <v>1210</v>
      </c>
      <c r="E212" s="127" t="s">
        <v>1212</v>
      </c>
      <c r="F212" s="127" t="s">
        <v>1212</v>
      </c>
      <c r="G212" s="127" t="s">
        <v>1211</v>
      </c>
      <c r="H212" s="127" t="s">
        <v>1211</v>
      </c>
      <c r="I212" s="128" t="b">
        <f t="shared" si="3"/>
        <v>1</v>
      </c>
      <c r="J212" s="126">
        <v>35</v>
      </c>
      <c r="K212" s="126">
        <v>1</v>
      </c>
      <c r="L212" s="126">
        <v>1</v>
      </c>
      <c r="M212" s="126">
        <v>1</v>
      </c>
      <c r="N212" s="126">
        <v>1</v>
      </c>
      <c r="O212" s="126">
        <v>1</v>
      </c>
      <c r="P212" s="127">
        <v>314.86211090132929</v>
      </c>
    </row>
    <row r="213" spans="1:16" x14ac:dyDescent="0.35">
      <c r="A213" s="126">
        <v>211</v>
      </c>
      <c r="B213" s="126">
        <v>20461</v>
      </c>
      <c r="C213" s="127" t="s">
        <v>1201</v>
      </c>
      <c r="D213" s="127" t="s">
        <v>1201</v>
      </c>
      <c r="E213" s="127" t="s">
        <v>1202</v>
      </c>
      <c r="F213" s="127" t="s">
        <v>1202</v>
      </c>
      <c r="G213" s="127" t="s">
        <v>1203</v>
      </c>
      <c r="H213" s="127" t="s">
        <v>1203</v>
      </c>
      <c r="I213" s="128" t="b">
        <f t="shared" si="3"/>
        <v>1</v>
      </c>
      <c r="J213" s="126">
        <v>45</v>
      </c>
      <c r="K213" s="126">
        <v>0</v>
      </c>
      <c r="L213" s="126">
        <v>0</v>
      </c>
      <c r="M213" s="126">
        <v>0</v>
      </c>
      <c r="N213" s="126">
        <v>0</v>
      </c>
      <c r="O213" s="127"/>
      <c r="P213" s="127">
        <v>542.54614424991621</v>
      </c>
    </row>
    <row r="214" spans="1:16" x14ac:dyDescent="0.35">
      <c r="A214" s="126">
        <v>212</v>
      </c>
      <c r="B214" s="126">
        <v>1961</v>
      </c>
      <c r="C214" s="127" t="s">
        <v>1192</v>
      </c>
      <c r="D214" s="127" t="s">
        <v>1192</v>
      </c>
      <c r="E214" s="127" t="s">
        <v>1193</v>
      </c>
      <c r="F214" s="127" t="s">
        <v>1193</v>
      </c>
      <c r="G214" s="127" t="s">
        <v>1194</v>
      </c>
      <c r="H214" s="127" t="s">
        <v>1194</v>
      </c>
      <c r="I214" s="128" t="b">
        <f t="shared" si="3"/>
        <v>1</v>
      </c>
      <c r="J214" s="126">
        <v>30</v>
      </c>
      <c r="K214" s="126">
        <v>1</v>
      </c>
      <c r="L214" s="126">
        <v>1</v>
      </c>
      <c r="M214" s="126">
        <v>0</v>
      </c>
      <c r="N214" s="126">
        <v>0</v>
      </c>
      <c r="O214" s="126">
        <v>1</v>
      </c>
      <c r="P214" s="127">
        <v>280.41698498290373</v>
      </c>
    </row>
    <row r="215" spans="1:16" x14ac:dyDescent="0.35">
      <c r="A215" s="126">
        <v>213</v>
      </c>
      <c r="B215" s="126">
        <v>17827</v>
      </c>
      <c r="C215" s="127" t="s">
        <v>1187</v>
      </c>
      <c r="D215" s="127" t="s">
        <v>1187</v>
      </c>
      <c r="E215" s="127" t="s">
        <v>1188</v>
      </c>
      <c r="F215" s="127" t="s">
        <v>1188</v>
      </c>
      <c r="G215" s="127" t="s">
        <v>1189</v>
      </c>
      <c r="H215" s="127" t="s">
        <v>1189</v>
      </c>
      <c r="I215" s="128" t="b">
        <f t="shared" si="3"/>
        <v>1</v>
      </c>
      <c r="J215" s="126">
        <v>35</v>
      </c>
      <c r="K215" s="126">
        <v>0</v>
      </c>
      <c r="L215" s="126">
        <v>0</v>
      </c>
      <c r="M215" s="126">
        <v>0</v>
      </c>
      <c r="N215" s="126">
        <v>0</v>
      </c>
      <c r="O215" s="126">
        <v>1</v>
      </c>
      <c r="P215" s="127">
        <v>172.87652680725051</v>
      </c>
    </row>
    <row r="216" spans="1:16" x14ac:dyDescent="0.35">
      <c r="A216" s="126">
        <v>214</v>
      </c>
      <c r="B216" s="126">
        <v>23203</v>
      </c>
      <c r="C216" s="127" t="s">
        <v>1216</v>
      </c>
      <c r="D216" s="127" t="s">
        <v>1216</v>
      </c>
      <c r="E216" s="127" t="s">
        <v>1217</v>
      </c>
      <c r="F216" s="127" t="s">
        <v>1217</v>
      </c>
      <c r="G216" s="127" t="s">
        <v>1162</v>
      </c>
      <c r="H216" s="127" t="s">
        <v>1162</v>
      </c>
      <c r="I216" s="128" t="b">
        <f t="shared" si="3"/>
        <v>1</v>
      </c>
      <c r="J216" s="126">
        <v>40</v>
      </c>
      <c r="K216" s="126">
        <v>1</v>
      </c>
      <c r="L216" s="126">
        <v>1</v>
      </c>
      <c r="M216" s="126">
        <v>0</v>
      </c>
      <c r="N216" s="126">
        <v>0</v>
      </c>
      <c r="O216" s="127"/>
      <c r="P216" s="127">
        <v>251.81401998292449</v>
      </c>
    </row>
    <row r="217" spans="1:16" x14ac:dyDescent="0.35">
      <c r="A217" s="126">
        <v>215</v>
      </c>
      <c r="B217" s="126">
        <v>20917</v>
      </c>
      <c r="C217" s="127" t="s">
        <v>1198</v>
      </c>
      <c r="D217" s="127" t="s">
        <v>1198</v>
      </c>
      <c r="E217" s="127" t="s">
        <v>1199</v>
      </c>
      <c r="F217" s="127" t="s">
        <v>1199</v>
      </c>
      <c r="G217" s="127" t="s">
        <v>1200</v>
      </c>
      <c r="H217" s="127" t="s">
        <v>1200</v>
      </c>
      <c r="I217" s="128" t="b">
        <f t="shared" si="3"/>
        <v>1</v>
      </c>
      <c r="J217" s="126">
        <v>35</v>
      </c>
      <c r="K217" s="126">
        <v>0</v>
      </c>
      <c r="L217" s="126">
        <v>0</v>
      </c>
      <c r="M217" s="126">
        <v>0</v>
      </c>
      <c r="N217" s="126">
        <v>0</v>
      </c>
      <c r="O217" s="127"/>
      <c r="P217" s="127">
        <v>420.75279305857822</v>
      </c>
    </row>
    <row r="218" spans="1:16" x14ac:dyDescent="0.35">
      <c r="A218" s="126">
        <v>216</v>
      </c>
      <c r="B218" s="126">
        <v>4937</v>
      </c>
      <c r="C218" s="127" t="s">
        <v>1201</v>
      </c>
      <c r="D218" s="127" t="s">
        <v>1201</v>
      </c>
      <c r="E218" s="127" t="s">
        <v>1196</v>
      </c>
      <c r="F218" s="127" t="s">
        <v>1196</v>
      </c>
      <c r="G218" s="127" t="s">
        <v>1203</v>
      </c>
      <c r="H218" s="127" t="s">
        <v>1203</v>
      </c>
      <c r="I218" s="128" t="b">
        <f t="shared" si="3"/>
        <v>1</v>
      </c>
      <c r="J218" s="126">
        <v>45</v>
      </c>
      <c r="K218" s="126">
        <v>0</v>
      </c>
      <c r="L218" s="126">
        <v>0</v>
      </c>
      <c r="M218" s="126">
        <v>0</v>
      </c>
      <c r="N218" s="126">
        <v>0</v>
      </c>
      <c r="O218" s="127"/>
      <c r="P218" s="127">
        <v>239.76987761491671</v>
      </c>
    </row>
    <row r="219" spans="1:16" x14ac:dyDescent="0.35">
      <c r="A219" s="126">
        <v>217</v>
      </c>
      <c r="B219" s="126">
        <v>16800</v>
      </c>
      <c r="C219" s="127" t="s">
        <v>1201</v>
      </c>
      <c r="D219" s="127" t="s">
        <v>1201</v>
      </c>
      <c r="E219" s="127" t="s">
        <v>1202</v>
      </c>
      <c r="F219" s="127" t="s">
        <v>1202</v>
      </c>
      <c r="G219" s="127" t="s">
        <v>1203</v>
      </c>
      <c r="H219" s="127" t="s">
        <v>1203</v>
      </c>
      <c r="I219" s="128" t="b">
        <f t="shared" si="3"/>
        <v>1</v>
      </c>
      <c r="J219" s="126">
        <v>45</v>
      </c>
      <c r="K219" s="126">
        <v>1</v>
      </c>
      <c r="L219" s="126">
        <v>1</v>
      </c>
      <c r="M219" s="126">
        <v>1</v>
      </c>
      <c r="N219" s="126">
        <v>1</v>
      </c>
      <c r="O219" s="127"/>
      <c r="P219" s="127">
        <v>336.89853524668519</v>
      </c>
    </row>
    <row r="220" spans="1:16" x14ac:dyDescent="0.35">
      <c r="A220" s="126">
        <v>218</v>
      </c>
      <c r="B220" s="126">
        <v>11731</v>
      </c>
      <c r="C220" s="127" t="s">
        <v>1204</v>
      </c>
      <c r="D220" s="127" t="s">
        <v>1204</v>
      </c>
      <c r="E220" s="127" t="s">
        <v>1205</v>
      </c>
      <c r="F220" s="127" t="s">
        <v>1205</v>
      </c>
      <c r="G220" s="127" t="s">
        <v>1206</v>
      </c>
      <c r="H220" s="127" t="s">
        <v>1206</v>
      </c>
      <c r="I220" s="128" t="b">
        <f t="shared" si="3"/>
        <v>1</v>
      </c>
      <c r="J220" s="126">
        <v>45</v>
      </c>
      <c r="K220" s="126">
        <v>0</v>
      </c>
      <c r="L220" s="126">
        <v>1</v>
      </c>
      <c r="M220" s="126">
        <v>0</v>
      </c>
      <c r="N220" s="126">
        <v>1</v>
      </c>
      <c r="O220" s="126">
        <v>1</v>
      </c>
      <c r="P220" s="127">
        <v>652.96807310218458</v>
      </c>
    </row>
    <row r="221" spans="1:16" x14ac:dyDescent="0.35">
      <c r="A221" s="126">
        <v>219</v>
      </c>
      <c r="B221" s="126">
        <v>12044</v>
      </c>
      <c r="C221" s="127" t="s">
        <v>1207</v>
      </c>
      <c r="D221" s="127" t="s">
        <v>1207</v>
      </c>
      <c r="E221" s="127" t="s">
        <v>1208</v>
      </c>
      <c r="F221" s="127" t="s">
        <v>1208</v>
      </c>
      <c r="G221" s="127" t="s">
        <v>1209</v>
      </c>
      <c r="H221" s="127" t="s">
        <v>1209</v>
      </c>
      <c r="I221" s="128" t="b">
        <f t="shared" si="3"/>
        <v>1</v>
      </c>
      <c r="J221" s="126">
        <v>35</v>
      </c>
      <c r="K221" s="126">
        <v>1</v>
      </c>
      <c r="L221" s="126">
        <v>1</v>
      </c>
      <c r="M221" s="126">
        <v>1</v>
      </c>
      <c r="N221" s="126">
        <v>1</v>
      </c>
      <c r="O221" s="127"/>
      <c r="P221" s="127">
        <v>668.07001051250586</v>
      </c>
    </row>
    <row r="222" spans="1:16" x14ac:dyDescent="0.35">
      <c r="A222" s="126">
        <v>220</v>
      </c>
      <c r="B222" s="126">
        <v>12964</v>
      </c>
      <c r="C222" s="127" t="s">
        <v>1207</v>
      </c>
      <c r="D222" s="127" t="s">
        <v>1207</v>
      </c>
      <c r="E222" s="127" t="s">
        <v>1208</v>
      </c>
      <c r="F222" s="127" t="s">
        <v>1208</v>
      </c>
      <c r="G222" s="127" t="s">
        <v>1209</v>
      </c>
      <c r="H222" s="127" t="s">
        <v>1209</v>
      </c>
      <c r="I222" s="128" t="b">
        <f t="shared" si="3"/>
        <v>1</v>
      </c>
      <c r="J222" s="126">
        <v>35</v>
      </c>
      <c r="K222" s="126">
        <v>1</v>
      </c>
      <c r="L222" s="126">
        <v>1</v>
      </c>
      <c r="M222" s="126">
        <v>1</v>
      </c>
      <c r="N222" s="126">
        <v>1</v>
      </c>
      <c r="O222" s="127"/>
      <c r="P222" s="127">
        <v>673.5371795773458</v>
      </c>
    </row>
    <row r="223" spans="1:16" x14ac:dyDescent="0.35">
      <c r="A223" s="126">
        <v>221</v>
      </c>
      <c r="B223" s="126">
        <v>26313</v>
      </c>
      <c r="C223" s="127" t="s">
        <v>1207</v>
      </c>
      <c r="D223" s="127" t="s">
        <v>1207</v>
      </c>
      <c r="E223" s="127" t="s">
        <v>1208</v>
      </c>
      <c r="F223" s="127" t="s">
        <v>1208</v>
      </c>
      <c r="G223" s="127" t="s">
        <v>1209</v>
      </c>
      <c r="H223" s="127" t="s">
        <v>1209</v>
      </c>
      <c r="I223" s="128" t="b">
        <f t="shared" si="3"/>
        <v>1</v>
      </c>
      <c r="J223" s="126">
        <v>35</v>
      </c>
      <c r="K223" s="126">
        <v>1</v>
      </c>
      <c r="L223" s="126">
        <v>1</v>
      </c>
      <c r="M223" s="126">
        <v>1</v>
      </c>
      <c r="N223" s="126">
        <v>1</v>
      </c>
      <c r="O223" s="127"/>
      <c r="P223" s="127">
        <v>273.70412920978453</v>
      </c>
    </row>
    <row r="224" spans="1:16" x14ac:dyDescent="0.35">
      <c r="A224" s="126">
        <v>222</v>
      </c>
      <c r="B224" s="126">
        <v>13860</v>
      </c>
      <c r="C224" s="127" t="s">
        <v>1198</v>
      </c>
      <c r="D224" s="127" t="s">
        <v>1198</v>
      </c>
      <c r="E224" s="127" t="s">
        <v>1199</v>
      </c>
      <c r="F224" s="127" t="s">
        <v>1199</v>
      </c>
      <c r="G224" s="127" t="s">
        <v>1200</v>
      </c>
      <c r="H224" s="127" t="s">
        <v>1200</v>
      </c>
      <c r="I224" s="128" t="b">
        <f t="shared" si="3"/>
        <v>1</v>
      </c>
      <c r="J224" s="126">
        <v>35</v>
      </c>
      <c r="K224" s="126">
        <v>0</v>
      </c>
      <c r="L224" s="126">
        <v>0</v>
      </c>
      <c r="M224" s="126">
        <v>0</v>
      </c>
      <c r="N224" s="126">
        <v>0</v>
      </c>
      <c r="O224" s="127"/>
      <c r="P224" s="127">
        <v>197.59360934757052</v>
      </c>
    </row>
    <row r="225" spans="1:16" x14ac:dyDescent="0.35">
      <c r="A225" s="126">
        <v>223</v>
      </c>
      <c r="B225" s="126">
        <v>17976</v>
      </c>
      <c r="C225" s="127" t="s">
        <v>1218</v>
      </c>
      <c r="D225" s="127" t="s">
        <v>1218</v>
      </c>
      <c r="E225" s="127" t="s">
        <v>1219</v>
      </c>
      <c r="F225" s="127" t="s">
        <v>1219</v>
      </c>
      <c r="G225" s="127" t="s">
        <v>1220</v>
      </c>
      <c r="H225" s="127" t="s">
        <v>1220</v>
      </c>
      <c r="I225" s="128" t="b">
        <f t="shared" si="3"/>
        <v>1</v>
      </c>
      <c r="J225" s="126">
        <v>35</v>
      </c>
      <c r="K225" s="126">
        <v>0</v>
      </c>
      <c r="L225" s="126">
        <v>0</v>
      </c>
      <c r="M225" s="126">
        <v>0</v>
      </c>
      <c r="N225" s="126">
        <v>0</v>
      </c>
      <c r="O225" s="127"/>
      <c r="P225" s="127">
        <v>895.22887995311009</v>
      </c>
    </row>
    <row r="226" spans="1:16" x14ac:dyDescent="0.35">
      <c r="A226" s="126">
        <v>224</v>
      </c>
      <c r="B226" s="126">
        <v>5744</v>
      </c>
      <c r="C226" s="127" t="s">
        <v>1187</v>
      </c>
      <c r="D226" s="127" t="s">
        <v>1187</v>
      </c>
      <c r="E226" s="127" t="s">
        <v>1188</v>
      </c>
      <c r="F226" s="127" t="s">
        <v>1188</v>
      </c>
      <c r="G226" s="127" t="s">
        <v>1189</v>
      </c>
      <c r="H226" s="127" t="s">
        <v>1189</v>
      </c>
      <c r="I226" s="128" t="b">
        <f t="shared" si="3"/>
        <v>1</v>
      </c>
      <c r="J226" s="126">
        <v>35</v>
      </c>
      <c r="K226" s="126">
        <v>0</v>
      </c>
      <c r="L226" s="126">
        <v>0</v>
      </c>
      <c r="M226" s="126">
        <v>0</v>
      </c>
      <c r="N226" s="126">
        <v>0</v>
      </c>
      <c r="O226" s="126">
        <v>1</v>
      </c>
      <c r="P226" s="127">
        <v>479.48578960695988</v>
      </c>
    </row>
    <row r="227" spans="1:16" x14ac:dyDescent="0.35">
      <c r="A227" s="126">
        <v>225</v>
      </c>
      <c r="B227" s="126">
        <v>12724</v>
      </c>
      <c r="C227" s="127" t="s">
        <v>1201</v>
      </c>
      <c r="D227" s="127" t="s">
        <v>1201</v>
      </c>
      <c r="E227" s="127" t="s">
        <v>1202</v>
      </c>
      <c r="F227" s="127" t="s">
        <v>1202</v>
      </c>
      <c r="G227" s="127" t="s">
        <v>1203</v>
      </c>
      <c r="H227" s="127" t="s">
        <v>1203</v>
      </c>
      <c r="I227" s="128" t="b">
        <f t="shared" si="3"/>
        <v>1</v>
      </c>
      <c r="J227" s="126">
        <v>45</v>
      </c>
      <c r="K227" s="126">
        <v>1</v>
      </c>
      <c r="L227" s="126">
        <v>1</v>
      </c>
      <c r="M227" s="126">
        <v>1</v>
      </c>
      <c r="N227" s="126">
        <v>1</v>
      </c>
      <c r="O227" s="127"/>
      <c r="P227" s="127">
        <v>831.63112874175022</v>
      </c>
    </row>
    <row r="228" spans="1:16" x14ac:dyDescent="0.35">
      <c r="A228" s="126">
        <v>226</v>
      </c>
      <c r="B228" s="126">
        <v>11271</v>
      </c>
      <c r="C228" s="127" t="s">
        <v>1190</v>
      </c>
      <c r="D228" s="127" t="s">
        <v>1190</v>
      </c>
      <c r="E228" s="127" t="s">
        <v>1190</v>
      </c>
      <c r="F228" s="127" t="s">
        <v>1190</v>
      </c>
      <c r="G228" s="127" t="s">
        <v>1191</v>
      </c>
      <c r="H228" s="127" t="s">
        <v>1191</v>
      </c>
      <c r="I228" s="128" t="b">
        <f t="shared" si="3"/>
        <v>1</v>
      </c>
      <c r="J228" s="126">
        <v>35</v>
      </c>
      <c r="K228" s="126">
        <v>1</v>
      </c>
      <c r="L228" s="126">
        <v>1</v>
      </c>
      <c r="M228" s="126">
        <v>1</v>
      </c>
      <c r="N228" s="126">
        <v>1</v>
      </c>
      <c r="O228" s="126">
        <v>1</v>
      </c>
      <c r="P228" s="127">
        <v>1424.591540402371</v>
      </c>
    </row>
    <row r="229" spans="1:16" x14ac:dyDescent="0.35">
      <c r="A229" s="126">
        <v>227</v>
      </c>
      <c r="B229" s="126">
        <v>11263</v>
      </c>
      <c r="C229" s="127" t="s">
        <v>1201</v>
      </c>
      <c r="D229" s="127" t="s">
        <v>1201</v>
      </c>
      <c r="E229" s="127" t="s">
        <v>1202</v>
      </c>
      <c r="F229" s="127" t="s">
        <v>1202</v>
      </c>
      <c r="G229" s="127" t="s">
        <v>1203</v>
      </c>
      <c r="H229" s="127" t="s">
        <v>1203</v>
      </c>
      <c r="I229" s="128" t="b">
        <f t="shared" si="3"/>
        <v>1</v>
      </c>
      <c r="J229" s="126">
        <v>45</v>
      </c>
      <c r="K229" s="126">
        <v>1</v>
      </c>
      <c r="L229" s="126">
        <v>1</v>
      </c>
      <c r="M229" s="126">
        <v>1</v>
      </c>
      <c r="N229" s="126">
        <v>1</v>
      </c>
      <c r="O229" s="127"/>
      <c r="P229" s="127">
        <v>395.85899440838421</v>
      </c>
    </row>
    <row r="230" spans="1:16" x14ac:dyDescent="0.35">
      <c r="A230" s="126">
        <v>228</v>
      </c>
      <c r="B230" s="126">
        <v>22566</v>
      </c>
      <c r="C230" s="127" t="s">
        <v>1216</v>
      </c>
      <c r="D230" s="127" t="s">
        <v>1216</v>
      </c>
      <c r="E230" s="127" t="s">
        <v>1217</v>
      </c>
      <c r="F230" s="127" t="s">
        <v>1217</v>
      </c>
      <c r="G230" s="127" t="s">
        <v>1162</v>
      </c>
      <c r="H230" s="127" t="s">
        <v>1162</v>
      </c>
      <c r="I230" s="128" t="b">
        <f t="shared" si="3"/>
        <v>1</v>
      </c>
      <c r="J230" s="126">
        <v>35</v>
      </c>
      <c r="K230" s="126">
        <v>1</v>
      </c>
      <c r="L230" s="126">
        <v>1</v>
      </c>
      <c r="M230" s="126">
        <v>0</v>
      </c>
      <c r="N230" s="126">
        <v>0</v>
      </c>
      <c r="O230" s="127"/>
      <c r="P230" s="127">
        <v>87.785329036770634</v>
      </c>
    </row>
    <row r="231" spans="1:16" x14ac:dyDescent="0.35">
      <c r="A231" s="126">
        <v>229</v>
      </c>
      <c r="B231" s="126">
        <v>4204</v>
      </c>
      <c r="C231" s="127" t="s">
        <v>1192</v>
      </c>
      <c r="D231" s="127" t="s">
        <v>1192</v>
      </c>
      <c r="E231" s="127" t="s">
        <v>1193</v>
      </c>
      <c r="F231" s="127" t="s">
        <v>1193</v>
      </c>
      <c r="G231" s="127" t="s">
        <v>1194</v>
      </c>
      <c r="H231" s="127" t="s">
        <v>1194</v>
      </c>
      <c r="I231" s="128" t="b">
        <f t="shared" si="3"/>
        <v>1</v>
      </c>
      <c r="J231" s="126">
        <v>30</v>
      </c>
      <c r="K231" s="126">
        <v>1</v>
      </c>
      <c r="L231" s="126">
        <v>1</v>
      </c>
      <c r="M231" s="126">
        <v>0</v>
      </c>
      <c r="N231" s="126">
        <v>0</v>
      </c>
      <c r="O231" s="126">
        <v>1</v>
      </c>
      <c r="P231" s="127">
        <v>322.09272833622731</v>
      </c>
    </row>
    <row r="232" spans="1:16" x14ac:dyDescent="0.35">
      <c r="A232" s="126">
        <v>230</v>
      </c>
      <c r="B232" s="126">
        <v>17845</v>
      </c>
      <c r="C232" s="127" t="s">
        <v>1201</v>
      </c>
      <c r="D232" s="127" t="s">
        <v>1201</v>
      </c>
      <c r="E232" s="127" t="s">
        <v>1202</v>
      </c>
      <c r="F232" s="127" t="s">
        <v>1202</v>
      </c>
      <c r="G232" s="127" t="s">
        <v>1203</v>
      </c>
      <c r="H232" s="127" t="s">
        <v>1203</v>
      </c>
      <c r="I232" s="128" t="b">
        <f t="shared" si="3"/>
        <v>1</v>
      </c>
      <c r="J232" s="126">
        <v>45</v>
      </c>
      <c r="K232" s="126">
        <v>1</v>
      </c>
      <c r="L232" s="126">
        <v>1</v>
      </c>
      <c r="M232" s="126">
        <v>1</v>
      </c>
      <c r="N232" s="126">
        <v>1</v>
      </c>
      <c r="O232" s="127"/>
      <c r="P232" s="127">
        <v>164.81539690081729</v>
      </c>
    </row>
    <row r="233" spans="1:16" x14ac:dyDescent="0.35">
      <c r="A233" s="126">
        <v>231</v>
      </c>
      <c r="B233" s="126">
        <v>27289</v>
      </c>
      <c r="C233" s="127" t="s">
        <v>1210</v>
      </c>
      <c r="D233" s="127" t="s">
        <v>1210</v>
      </c>
      <c r="E233" s="127" t="s">
        <v>1212</v>
      </c>
      <c r="F233" s="127" t="s">
        <v>1212</v>
      </c>
      <c r="G233" s="127" t="s">
        <v>1211</v>
      </c>
      <c r="H233" s="127" t="s">
        <v>1211</v>
      </c>
      <c r="I233" s="128" t="b">
        <f t="shared" si="3"/>
        <v>1</v>
      </c>
      <c r="J233" s="126">
        <v>35</v>
      </c>
      <c r="K233" s="126">
        <v>1</v>
      </c>
      <c r="L233" s="126">
        <v>1</v>
      </c>
      <c r="M233" s="126">
        <v>1</v>
      </c>
      <c r="N233" s="126">
        <v>1</v>
      </c>
      <c r="O233" s="126">
        <v>1</v>
      </c>
      <c r="P233" s="127">
        <v>388.27325207013962</v>
      </c>
    </row>
    <row r="234" spans="1:16" x14ac:dyDescent="0.35">
      <c r="A234" s="126">
        <v>232</v>
      </c>
      <c r="B234" s="126">
        <v>6539</v>
      </c>
      <c r="C234" s="127" t="s">
        <v>1187</v>
      </c>
      <c r="D234" s="127" t="s">
        <v>1187</v>
      </c>
      <c r="E234" s="127" t="s">
        <v>1188</v>
      </c>
      <c r="F234" s="127" t="s">
        <v>1188</v>
      </c>
      <c r="G234" s="127" t="s">
        <v>1189</v>
      </c>
      <c r="H234" s="127" t="s">
        <v>1189</v>
      </c>
      <c r="I234" s="128" t="b">
        <f t="shared" si="3"/>
        <v>1</v>
      </c>
      <c r="J234" s="126">
        <v>35</v>
      </c>
      <c r="K234" s="126">
        <v>1</v>
      </c>
      <c r="L234" s="126">
        <v>1</v>
      </c>
      <c r="M234" s="126">
        <v>0</v>
      </c>
      <c r="N234" s="126">
        <v>0</v>
      </c>
      <c r="O234" s="126">
        <v>1</v>
      </c>
      <c r="P234" s="127">
        <v>278.32723177149319</v>
      </c>
    </row>
    <row r="235" spans="1:16" x14ac:dyDescent="0.35">
      <c r="A235" s="126">
        <v>233</v>
      </c>
      <c r="B235" s="126">
        <v>15400</v>
      </c>
      <c r="C235" s="127" t="s">
        <v>1213</v>
      </c>
      <c r="D235" s="127" t="s">
        <v>1213</v>
      </c>
      <c r="E235" s="127" t="s">
        <v>1214</v>
      </c>
      <c r="F235" s="127" t="s">
        <v>1214</v>
      </c>
      <c r="G235" s="127" t="s">
        <v>1215</v>
      </c>
      <c r="H235" s="127" t="s">
        <v>1215</v>
      </c>
      <c r="I235" s="128" t="b">
        <f t="shared" si="3"/>
        <v>1</v>
      </c>
      <c r="J235" s="126">
        <v>35</v>
      </c>
      <c r="K235" s="126">
        <v>1</v>
      </c>
      <c r="L235" s="126">
        <v>1</v>
      </c>
      <c r="M235" s="126">
        <v>0</v>
      </c>
      <c r="N235" s="126">
        <v>0</v>
      </c>
      <c r="O235" s="126">
        <v>1</v>
      </c>
      <c r="P235" s="127">
        <v>464.93302018609648</v>
      </c>
    </row>
    <row r="236" spans="1:16" x14ac:dyDescent="0.35">
      <c r="A236" s="126">
        <v>234</v>
      </c>
      <c r="B236" s="126">
        <v>25092</v>
      </c>
      <c r="C236" s="127" t="s">
        <v>1190</v>
      </c>
      <c r="D236" s="127" t="s">
        <v>1190</v>
      </c>
      <c r="E236" s="127" t="s">
        <v>1222</v>
      </c>
      <c r="F236" s="127" t="s">
        <v>1222</v>
      </c>
      <c r="G236" s="127" t="s">
        <v>1191</v>
      </c>
      <c r="H236" s="127" t="s">
        <v>1191</v>
      </c>
      <c r="I236" s="128" t="b">
        <f t="shared" si="3"/>
        <v>1</v>
      </c>
      <c r="J236" s="126">
        <v>40</v>
      </c>
      <c r="K236" s="126">
        <v>0</v>
      </c>
      <c r="L236" s="126">
        <v>0</v>
      </c>
      <c r="M236" s="126">
        <v>0</v>
      </c>
      <c r="N236" s="126">
        <v>0</v>
      </c>
      <c r="O236" s="126">
        <v>1</v>
      </c>
      <c r="P236" s="127">
        <v>745.85289836588095</v>
      </c>
    </row>
    <row r="237" spans="1:16" x14ac:dyDescent="0.35">
      <c r="A237" s="126">
        <v>235</v>
      </c>
      <c r="B237" s="126">
        <v>22114</v>
      </c>
      <c r="C237" s="127" t="s">
        <v>1221</v>
      </c>
      <c r="D237" s="127" t="s">
        <v>1221</v>
      </c>
      <c r="E237" s="127" t="s">
        <v>1222</v>
      </c>
      <c r="F237" s="127" t="s">
        <v>1222</v>
      </c>
      <c r="G237" s="127" t="s">
        <v>1223</v>
      </c>
      <c r="H237" s="127" t="s">
        <v>1223</v>
      </c>
      <c r="I237" s="128" t="b">
        <f t="shared" si="3"/>
        <v>1</v>
      </c>
      <c r="J237" s="126">
        <v>40</v>
      </c>
      <c r="K237" s="126">
        <v>0</v>
      </c>
      <c r="L237" s="126">
        <v>0</v>
      </c>
      <c r="M237" s="126">
        <v>0</v>
      </c>
      <c r="N237" s="126">
        <v>0</v>
      </c>
      <c r="O237" s="126">
        <v>1</v>
      </c>
      <c r="P237" s="127">
        <v>987.43800701746022</v>
      </c>
    </row>
    <row r="238" spans="1:16" x14ac:dyDescent="0.35">
      <c r="A238" s="126">
        <v>236</v>
      </c>
      <c r="B238" s="126">
        <v>12625</v>
      </c>
      <c r="C238" s="127" t="s">
        <v>1204</v>
      </c>
      <c r="D238" s="127" t="s">
        <v>1204</v>
      </c>
      <c r="E238" s="127" t="s">
        <v>1205</v>
      </c>
      <c r="F238" s="127" t="s">
        <v>1205</v>
      </c>
      <c r="G238" s="127" t="s">
        <v>1206</v>
      </c>
      <c r="H238" s="127" t="s">
        <v>1206</v>
      </c>
      <c r="I238" s="128" t="b">
        <f t="shared" si="3"/>
        <v>1</v>
      </c>
      <c r="J238" s="126">
        <v>45</v>
      </c>
      <c r="K238" s="126">
        <v>0</v>
      </c>
      <c r="L238" s="126">
        <v>1</v>
      </c>
      <c r="M238" s="126">
        <v>0</v>
      </c>
      <c r="N238" s="126">
        <v>0</v>
      </c>
      <c r="O238" s="126">
        <v>1</v>
      </c>
      <c r="P238" s="127">
        <v>162.96422929235399</v>
      </c>
    </row>
    <row r="239" spans="1:16" x14ac:dyDescent="0.35">
      <c r="A239" s="126">
        <v>237</v>
      </c>
      <c r="B239" s="126">
        <v>24369</v>
      </c>
      <c r="C239" s="127" t="s">
        <v>1195</v>
      </c>
      <c r="D239" s="127" t="s">
        <v>1195</v>
      </c>
      <c r="E239" s="127" t="s">
        <v>1196</v>
      </c>
      <c r="F239" s="127" t="s">
        <v>1196</v>
      </c>
      <c r="G239" s="127" t="s">
        <v>1197</v>
      </c>
      <c r="H239" s="127" t="s">
        <v>1197</v>
      </c>
      <c r="I239" s="128" t="b">
        <f t="shared" si="3"/>
        <v>1</v>
      </c>
      <c r="J239" s="126">
        <v>35</v>
      </c>
      <c r="K239" s="126">
        <v>0</v>
      </c>
      <c r="L239" s="126">
        <v>0</v>
      </c>
      <c r="M239" s="126">
        <v>0</v>
      </c>
      <c r="N239" s="126">
        <v>0</v>
      </c>
      <c r="O239" s="127"/>
      <c r="P239" s="127">
        <v>372.27588729526468</v>
      </c>
    </row>
    <row r="240" spans="1:16" x14ac:dyDescent="0.35">
      <c r="A240" s="126">
        <v>238</v>
      </c>
      <c r="B240" s="126">
        <v>17451</v>
      </c>
      <c r="C240" s="127" t="s">
        <v>1207</v>
      </c>
      <c r="D240" s="127" t="s">
        <v>1207</v>
      </c>
      <c r="E240" s="127" t="s">
        <v>1208</v>
      </c>
      <c r="F240" s="127" t="s">
        <v>1208</v>
      </c>
      <c r="G240" s="127" t="s">
        <v>1209</v>
      </c>
      <c r="H240" s="127" t="s">
        <v>1209</v>
      </c>
      <c r="I240" s="128" t="b">
        <f t="shared" si="3"/>
        <v>1</v>
      </c>
      <c r="J240" s="126">
        <v>35</v>
      </c>
      <c r="K240" s="126">
        <v>1</v>
      </c>
      <c r="L240" s="126">
        <v>1</v>
      </c>
      <c r="M240" s="126">
        <v>1</v>
      </c>
      <c r="N240" s="126">
        <v>1</v>
      </c>
      <c r="O240" s="127"/>
      <c r="P240" s="127">
        <v>92.62051278185163</v>
      </c>
    </row>
    <row r="241" spans="1:16" x14ac:dyDescent="0.35">
      <c r="A241" s="126">
        <v>239</v>
      </c>
      <c r="B241" s="126">
        <v>7884</v>
      </c>
      <c r="C241" s="127" t="s">
        <v>1187</v>
      </c>
      <c r="D241" s="127" t="s">
        <v>1187</v>
      </c>
      <c r="E241" s="127" t="s">
        <v>1188</v>
      </c>
      <c r="F241" s="127" t="s">
        <v>1188</v>
      </c>
      <c r="G241" s="127" t="s">
        <v>1189</v>
      </c>
      <c r="H241" s="127" t="s">
        <v>1189</v>
      </c>
      <c r="I241" s="128" t="b">
        <f t="shared" si="3"/>
        <v>1</v>
      </c>
      <c r="J241" s="126">
        <v>35</v>
      </c>
      <c r="K241" s="126">
        <v>0</v>
      </c>
      <c r="L241" s="126">
        <v>0</v>
      </c>
      <c r="M241" s="126">
        <v>0</v>
      </c>
      <c r="N241" s="126">
        <v>0</v>
      </c>
      <c r="O241" s="126">
        <v>1</v>
      </c>
      <c r="P241" s="127">
        <v>144.31187301929455</v>
      </c>
    </row>
    <row r="242" spans="1:16" x14ac:dyDescent="0.35">
      <c r="A242" s="126">
        <v>240</v>
      </c>
      <c r="B242" s="126">
        <v>11751</v>
      </c>
      <c r="C242" s="127" t="s">
        <v>1207</v>
      </c>
      <c r="D242" s="127" t="s">
        <v>1207</v>
      </c>
      <c r="E242" s="127" t="s">
        <v>1208</v>
      </c>
      <c r="F242" s="127" t="s">
        <v>1208</v>
      </c>
      <c r="G242" s="127" t="s">
        <v>1209</v>
      </c>
      <c r="H242" s="127" t="s">
        <v>1209</v>
      </c>
      <c r="I242" s="128" t="b">
        <f t="shared" si="3"/>
        <v>1</v>
      </c>
      <c r="J242" s="126">
        <v>35</v>
      </c>
      <c r="K242" s="126">
        <v>1</v>
      </c>
      <c r="L242" s="126">
        <v>1</v>
      </c>
      <c r="M242" s="126">
        <v>1</v>
      </c>
      <c r="N242" s="126">
        <v>1</v>
      </c>
      <c r="O242" s="127"/>
      <c r="P242" s="127">
        <v>207.52402658996144</v>
      </c>
    </row>
    <row r="243" spans="1:16" x14ac:dyDescent="0.35">
      <c r="A243" s="126">
        <v>241</v>
      </c>
      <c r="B243" s="126">
        <v>24367</v>
      </c>
      <c r="C243" s="127" t="s">
        <v>1195</v>
      </c>
      <c r="D243" s="127" t="s">
        <v>1195</v>
      </c>
      <c r="E243" s="127" t="s">
        <v>1196</v>
      </c>
      <c r="F243" s="127" t="s">
        <v>1196</v>
      </c>
      <c r="G243" s="127" t="s">
        <v>1197</v>
      </c>
      <c r="H243" s="127" t="s">
        <v>1197</v>
      </c>
      <c r="I243" s="128" t="b">
        <f t="shared" si="3"/>
        <v>1</v>
      </c>
      <c r="J243" s="126">
        <v>35</v>
      </c>
      <c r="K243" s="126">
        <v>0</v>
      </c>
      <c r="L243" s="126">
        <v>0</v>
      </c>
      <c r="M243" s="126">
        <v>0</v>
      </c>
      <c r="N243" s="126">
        <v>0</v>
      </c>
      <c r="O243" s="127"/>
      <c r="P243" s="127">
        <v>469.0672871741055</v>
      </c>
    </row>
    <row r="244" spans="1:16" x14ac:dyDescent="0.35">
      <c r="A244" s="126">
        <v>242</v>
      </c>
      <c r="B244" s="126">
        <v>26362</v>
      </c>
      <c r="C244" s="127" t="s">
        <v>1210</v>
      </c>
      <c r="D244" s="127" t="s">
        <v>1210</v>
      </c>
      <c r="E244" s="127" t="s">
        <v>1212</v>
      </c>
      <c r="F244" s="127" t="s">
        <v>1212</v>
      </c>
      <c r="G244" s="127" t="s">
        <v>1211</v>
      </c>
      <c r="H244" s="127" t="s">
        <v>1211</v>
      </c>
      <c r="I244" s="128" t="b">
        <f t="shared" si="3"/>
        <v>1</v>
      </c>
      <c r="J244" s="126">
        <v>35</v>
      </c>
      <c r="K244" s="126">
        <v>1</v>
      </c>
      <c r="L244" s="126">
        <v>1</v>
      </c>
      <c r="M244" s="126">
        <v>1</v>
      </c>
      <c r="N244" s="126">
        <v>1</v>
      </c>
      <c r="O244" s="126">
        <v>1</v>
      </c>
      <c r="P244" s="127">
        <v>165.9901407168006</v>
      </c>
    </row>
    <row r="245" spans="1:16" x14ac:dyDescent="0.35">
      <c r="A245" s="126">
        <v>243</v>
      </c>
      <c r="B245" s="126">
        <v>7589</v>
      </c>
      <c r="C245" s="127" t="s">
        <v>1201</v>
      </c>
      <c r="D245" s="127" t="s">
        <v>1201</v>
      </c>
      <c r="E245" s="127" t="s">
        <v>1202</v>
      </c>
      <c r="F245" s="127" t="s">
        <v>1202</v>
      </c>
      <c r="G245" s="127" t="s">
        <v>1203</v>
      </c>
      <c r="H245" s="127" t="s">
        <v>1203</v>
      </c>
      <c r="I245" s="128" t="b">
        <f t="shared" si="3"/>
        <v>1</v>
      </c>
      <c r="J245" s="126">
        <v>45</v>
      </c>
      <c r="K245" s="126">
        <v>1</v>
      </c>
      <c r="L245" s="126">
        <v>1</v>
      </c>
      <c r="M245" s="126">
        <v>1</v>
      </c>
      <c r="N245" s="126">
        <v>1</v>
      </c>
      <c r="O245" s="127"/>
      <c r="P245" s="127">
        <v>348.10654099989819</v>
      </c>
    </row>
    <row r="246" spans="1:16" x14ac:dyDescent="0.35">
      <c r="A246" s="126">
        <v>244</v>
      </c>
      <c r="B246" s="126">
        <v>7104</v>
      </c>
      <c r="C246" s="127" t="s">
        <v>1201</v>
      </c>
      <c r="D246" s="127" t="s">
        <v>1201</v>
      </c>
      <c r="E246" s="127" t="s">
        <v>1202</v>
      </c>
      <c r="F246" s="127" t="s">
        <v>1202</v>
      </c>
      <c r="G246" s="127" t="s">
        <v>1203</v>
      </c>
      <c r="H246" s="127" t="s">
        <v>1203</v>
      </c>
      <c r="I246" s="128" t="b">
        <f t="shared" si="3"/>
        <v>1</v>
      </c>
      <c r="J246" s="126">
        <v>45</v>
      </c>
      <c r="K246" s="126">
        <v>1</v>
      </c>
      <c r="L246" s="126">
        <v>1</v>
      </c>
      <c r="M246" s="126">
        <v>1</v>
      </c>
      <c r="N246" s="126">
        <v>1</v>
      </c>
      <c r="O246" s="127"/>
      <c r="P246" s="127">
        <v>594.63744310814513</v>
      </c>
    </row>
    <row r="247" spans="1:16" x14ac:dyDescent="0.35">
      <c r="A247" s="126">
        <v>245</v>
      </c>
      <c r="B247" s="126">
        <v>27495</v>
      </c>
      <c r="C247" s="127" t="s">
        <v>1201</v>
      </c>
      <c r="D247" s="127" t="s">
        <v>1201</v>
      </c>
      <c r="E247" s="127" t="s">
        <v>1202</v>
      </c>
      <c r="F247" s="127" t="s">
        <v>1202</v>
      </c>
      <c r="G247" s="127" t="s">
        <v>1203</v>
      </c>
      <c r="H247" s="127" t="s">
        <v>1203</v>
      </c>
      <c r="I247" s="128" t="b">
        <f t="shared" si="3"/>
        <v>1</v>
      </c>
      <c r="J247" s="126">
        <v>45</v>
      </c>
      <c r="K247" s="126">
        <v>1</v>
      </c>
      <c r="L247" s="126">
        <v>1</v>
      </c>
      <c r="M247" s="126">
        <v>1</v>
      </c>
      <c r="N247" s="126">
        <v>1</v>
      </c>
      <c r="O247" s="127"/>
      <c r="P247" s="127">
        <v>40.086148814098365</v>
      </c>
    </row>
    <row r="248" spans="1:16" x14ac:dyDescent="0.35">
      <c r="A248" s="126">
        <v>246</v>
      </c>
      <c r="B248" s="126">
        <v>19401</v>
      </c>
      <c r="C248" s="127" t="s">
        <v>1216</v>
      </c>
      <c r="D248" s="127" t="s">
        <v>1216</v>
      </c>
      <c r="E248" s="127" t="s">
        <v>1193</v>
      </c>
      <c r="F248" s="127" t="s">
        <v>1193</v>
      </c>
      <c r="G248" s="127" t="s">
        <v>1162</v>
      </c>
      <c r="H248" s="127" t="s">
        <v>1162</v>
      </c>
      <c r="I248" s="128" t="b">
        <f t="shared" si="3"/>
        <v>1</v>
      </c>
      <c r="J248" s="126">
        <v>30</v>
      </c>
      <c r="K248" s="126">
        <v>1</v>
      </c>
      <c r="L248" s="126">
        <v>1</v>
      </c>
      <c r="M248" s="126">
        <v>0</v>
      </c>
      <c r="N248" s="126">
        <v>0</v>
      </c>
      <c r="O248" s="126">
        <v>1</v>
      </c>
      <c r="P248" s="127">
        <v>378.96428598463717</v>
      </c>
    </row>
    <row r="249" spans="1:16" x14ac:dyDescent="0.35">
      <c r="A249" s="126">
        <v>247</v>
      </c>
      <c r="B249" s="126">
        <v>20663</v>
      </c>
      <c r="C249" s="127" t="s">
        <v>1187</v>
      </c>
      <c r="D249" s="127" t="s">
        <v>1187</v>
      </c>
      <c r="E249" s="127" t="s">
        <v>1188</v>
      </c>
      <c r="F249" s="127" t="s">
        <v>1188</v>
      </c>
      <c r="G249" s="127" t="s">
        <v>1189</v>
      </c>
      <c r="H249" s="127" t="s">
        <v>1189</v>
      </c>
      <c r="I249" s="128" t="b">
        <f t="shared" si="3"/>
        <v>1</v>
      </c>
      <c r="J249" s="126">
        <v>35</v>
      </c>
      <c r="K249" s="126">
        <v>0</v>
      </c>
      <c r="L249" s="126">
        <v>0</v>
      </c>
      <c r="M249" s="126">
        <v>0</v>
      </c>
      <c r="N249" s="126">
        <v>0</v>
      </c>
      <c r="O249" s="126">
        <v>1</v>
      </c>
      <c r="P249" s="127">
        <v>124.18207726173388</v>
      </c>
    </row>
    <row r="250" spans="1:16" x14ac:dyDescent="0.35">
      <c r="A250" s="126">
        <v>248</v>
      </c>
      <c r="B250" s="126">
        <v>26063</v>
      </c>
      <c r="C250" s="127" t="s">
        <v>1195</v>
      </c>
      <c r="D250" s="127" t="s">
        <v>1195</v>
      </c>
      <c r="E250" s="127" t="s">
        <v>1196</v>
      </c>
      <c r="F250" s="127" t="s">
        <v>1196</v>
      </c>
      <c r="G250" s="127" t="s">
        <v>1197</v>
      </c>
      <c r="H250" s="127" t="s">
        <v>1197</v>
      </c>
      <c r="I250" s="128" t="b">
        <f t="shared" si="3"/>
        <v>1</v>
      </c>
      <c r="J250" s="126">
        <v>35</v>
      </c>
      <c r="K250" s="126">
        <v>0</v>
      </c>
      <c r="L250" s="126">
        <v>0</v>
      </c>
      <c r="M250" s="126">
        <v>0</v>
      </c>
      <c r="N250" s="126">
        <v>0</v>
      </c>
      <c r="O250" s="127"/>
      <c r="P250" s="127">
        <v>157.336157965213</v>
      </c>
    </row>
    <row r="251" spans="1:16" x14ac:dyDescent="0.35">
      <c r="A251" s="126">
        <v>249</v>
      </c>
      <c r="B251" s="126">
        <v>4334</v>
      </c>
      <c r="C251" s="127" t="s">
        <v>1213</v>
      </c>
      <c r="D251" s="127" t="s">
        <v>1213</v>
      </c>
      <c r="E251" s="127" t="s">
        <v>1214</v>
      </c>
      <c r="F251" s="127" t="s">
        <v>1214</v>
      </c>
      <c r="G251" s="127" t="s">
        <v>1215</v>
      </c>
      <c r="H251" s="127" t="s">
        <v>1215</v>
      </c>
      <c r="I251" s="128" t="b">
        <f t="shared" si="3"/>
        <v>1</v>
      </c>
      <c r="J251" s="126">
        <v>35</v>
      </c>
      <c r="K251" s="126">
        <v>0</v>
      </c>
      <c r="L251" s="126">
        <v>0</v>
      </c>
      <c r="M251" s="126">
        <v>0</v>
      </c>
      <c r="N251" s="126">
        <v>0</v>
      </c>
      <c r="O251" s="126">
        <v>1</v>
      </c>
      <c r="P251" s="127">
        <v>481.16622106318431</v>
      </c>
    </row>
    <row r="252" spans="1:16" x14ac:dyDescent="0.35">
      <c r="A252" s="126">
        <v>250</v>
      </c>
      <c r="B252" s="126">
        <v>397</v>
      </c>
      <c r="C252" s="127" t="s">
        <v>1207</v>
      </c>
      <c r="D252" s="127" t="s">
        <v>1207</v>
      </c>
      <c r="E252" s="127" t="s">
        <v>1208</v>
      </c>
      <c r="F252" s="127" t="s">
        <v>1208</v>
      </c>
      <c r="G252" s="127" t="s">
        <v>1209</v>
      </c>
      <c r="H252" s="127" t="s">
        <v>1209</v>
      </c>
      <c r="I252" s="128" t="b">
        <f t="shared" si="3"/>
        <v>1</v>
      </c>
      <c r="J252" s="126">
        <v>35</v>
      </c>
      <c r="K252" s="126">
        <v>1</v>
      </c>
      <c r="L252" s="126">
        <v>1</v>
      </c>
      <c r="M252" s="126">
        <v>1</v>
      </c>
      <c r="N252" s="126">
        <v>1</v>
      </c>
      <c r="O252" s="127"/>
      <c r="P252" s="127">
        <v>243.5280354577024</v>
      </c>
    </row>
    <row r="253" spans="1:16" x14ac:dyDescent="0.35">
      <c r="A253" s="126">
        <v>251</v>
      </c>
      <c r="B253" s="126">
        <v>16884</v>
      </c>
      <c r="C253" s="127" t="s">
        <v>1201</v>
      </c>
      <c r="D253" s="127" t="s">
        <v>1201</v>
      </c>
      <c r="E253" s="127" t="s">
        <v>1202</v>
      </c>
      <c r="F253" s="127" t="s">
        <v>1202</v>
      </c>
      <c r="G253" s="127" t="s">
        <v>1203</v>
      </c>
      <c r="H253" s="127" t="s">
        <v>1203</v>
      </c>
      <c r="I253" s="128" t="b">
        <f t="shared" si="3"/>
        <v>1</v>
      </c>
      <c r="J253" s="126">
        <v>45</v>
      </c>
      <c r="K253" s="126">
        <v>1</v>
      </c>
      <c r="L253" s="126">
        <v>1</v>
      </c>
      <c r="M253" s="126">
        <v>0</v>
      </c>
      <c r="N253" s="126">
        <v>1</v>
      </c>
      <c r="O253" s="127"/>
      <c r="P253" s="127">
        <v>1024.0900376229245</v>
      </c>
    </row>
    <row r="254" spans="1:16" x14ac:dyDescent="0.35">
      <c r="A254" s="126">
        <v>252</v>
      </c>
      <c r="B254" s="126">
        <v>15146</v>
      </c>
      <c r="C254" s="127" t="s">
        <v>1187</v>
      </c>
      <c r="D254" s="127" t="s">
        <v>1187</v>
      </c>
      <c r="E254" s="127" t="s">
        <v>1188</v>
      </c>
      <c r="F254" s="127" t="s">
        <v>1188</v>
      </c>
      <c r="G254" s="127" t="s">
        <v>1189</v>
      </c>
      <c r="H254" s="127" t="s">
        <v>1189</v>
      </c>
      <c r="I254" s="128" t="b">
        <f t="shared" si="3"/>
        <v>1</v>
      </c>
      <c r="J254" s="126">
        <v>35</v>
      </c>
      <c r="K254" s="126">
        <v>1</v>
      </c>
      <c r="L254" s="126">
        <v>1</v>
      </c>
      <c r="M254" s="126">
        <v>0</v>
      </c>
      <c r="N254" s="126">
        <v>0</v>
      </c>
      <c r="O254" s="126">
        <v>1</v>
      </c>
      <c r="P254" s="127">
        <v>357.69540652055548</v>
      </c>
    </row>
    <row r="255" spans="1:16" x14ac:dyDescent="0.35">
      <c r="A255" s="126">
        <v>253</v>
      </c>
      <c r="B255" s="126">
        <v>6922</v>
      </c>
      <c r="C255" s="127" t="s">
        <v>1190</v>
      </c>
      <c r="D255" s="127" t="s">
        <v>1190</v>
      </c>
      <c r="E255" s="127" t="s">
        <v>1190</v>
      </c>
      <c r="F255" s="127" t="s">
        <v>1190</v>
      </c>
      <c r="G255" s="127" t="s">
        <v>1191</v>
      </c>
      <c r="H255" s="127" t="s">
        <v>1191</v>
      </c>
      <c r="I255" s="128" t="b">
        <f t="shared" si="3"/>
        <v>1</v>
      </c>
      <c r="J255" s="126">
        <v>35</v>
      </c>
      <c r="K255" s="126">
        <v>1</v>
      </c>
      <c r="L255" s="126">
        <v>1</v>
      </c>
      <c r="M255" s="126">
        <v>1</v>
      </c>
      <c r="N255" s="126">
        <v>1</v>
      </c>
      <c r="O255" s="126">
        <v>1</v>
      </c>
      <c r="P255" s="127">
        <v>475.01617338897489</v>
      </c>
    </row>
    <row r="256" spans="1:16" x14ac:dyDescent="0.35">
      <c r="A256" s="126">
        <v>254</v>
      </c>
      <c r="B256" s="126">
        <v>4746</v>
      </c>
      <c r="C256" s="127" t="s">
        <v>1201</v>
      </c>
      <c r="D256" s="127" t="s">
        <v>1201</v>
      </c>
      <c r="E256" s="127" t="s">
        <v>1202</v>
      </c>
      <c r="F256" s="127" t="s">
        <v>1202</v>
      </c>
      <c r="G256" s="127" t="s">
        <v>1203</v>
      </c>
      <c r="H256" s="127" t="s">
        <v>1203</v>
      </c>
      <c r="I256" s="128" t="b">
        <f t="shared" si="3"/>
        <v>1</v>
      </c>
      <c r="J256" s="126">
        <v>45</v>
      </c>
      <c r="K256" s="126">
        <v>1</v>
      </c>
      <c r="L256" s="126">
        <v>1</v>
      </c>
      <c r="M256" s="126">
        <v>1</v>
      </c>
      <c r="N256" s="126">
        <v>1</v>
      </c>
      <c r="O256" s="127"/>
      <c r="P256" s="127">
        <v>1045.1730008268992</v>
      </c>
    </row>
    <row r="257" spans="1:16" x14ac:dyDescent="0.35">
      <c r="A257" s="126">
        <v>255</v>
      </c>
      <c r="B257" s="126">
        <v>7773</v>
      </c>
      <c r="C257" s="127" t="s">
        <v>1204</v>
      </c>
      <c r="D257" s="127" t="s">
        <v>1204</v>
      </c>
      <c r="E257" s="127" t="s">
        <v>1205</v>
      </c>
      <c r="F257" s="127" t="s">
        <v>1205</v>
      </c>
      <c r="G257" s="127" t="s">
        <v>1206</v>
      </c>
      <c r="H257" s="127" t="s">
        <v>1206</v>
      </c>
      <c r="I257" s="128" t="b">
        <f t="shared" si="3"/>
        <v>1</v>
      </c>
      <c r="J257" s="126">
        <v>45</v>
      </c>
      <c r="K257" s="126">
        <v>0</v>
      </c>
      <c r="L257" s="126">
        <v>1</v>
      </c>
      <c r="M257" s="126">
        <v>0</v>
      </c>
      <c r="N257" s="126">
        <v>1</v>
      </c>
      <c r="O257" s="126">
        <v>1</v>
      </c>
      <c r="P257" s="127">
        <v>464.07887370792764</v>
      </c>
    </row>
    <row r="258" spans="1:16" x14ac:dyDescent="0.35">
      <c r="A258" s="126">
        <v>256</v>
      </c>
      <c r="B258" s="126">
        <v>23373</v>
      </c>
      <c r="C258" s="127" t="s">
        <v>1221</v>
      </c>
      <c r="D258" s="127" t="s">
        <v>1221</v>
      </c>
      <c r="E258" s="127" t="s">
        <v>1222</v>
      </c>
      <c r="F258" s="127" t="s">
        <v>1222</v>
      </c>
      <c r="G258" s="127" t="s">
        <v>1223</v>
      </c>
      <c r="H258" s="127" t="s">
        <v>1223</v>
      </c>
      <c r="I258" s="128" t="b">
        <f t="shared" si="3"/>
        <v>1</v>
      </c>
      <c r="J258" s="126">
        <v>40</v>
      </c>
      <c r="K258" s="126">
        <v>1</v>
      </c>
      <c r="L258" s="126">
        <v>1</v>
      </c>
      <c r="M258" s="126">
        <v>0</v>
      </c>
      <c r="N258" s="126">
        <v>0</v>
      </c>
      <c r="O258" s="127"/>
      <c r="P258" s="127">
        <v>629.7405014653466</v>
      </c>
    </row>
    <row r="259" spans="1:16" x14ac:dyDescent="0.35">
      <c r="A259" s="126">
        <v>257</v>
      </c>
      <c r="B259" s="126">
        <v>308</v>
      </c>
      <c r="C259" s="127" t="s">
        <v>1207</v>
      </c>
      <c r="D259" s="127" t="s">
        <v>1207</v>
      </c>
      <c r="E259" s="127" t="s">
        <v>1208</v>
      </c>
      <c r="F259" s="127" t="s">
        <v>1208</v>
      </c>
      <c r="G259" s="127" t="s">
        <v>1209</v>
      </c>
      <c r="H259" s="127" t="s">
        <v>1209</v>
      </c>
      <c r="I259" s="128" t="b">
        <f t="shared" si="3"/>
        <v>1</v>
      </c>
      <c r="J259" s="126">
        <v>35</v>
      </c>
      <c r="K259" s="126">
        <v>1</v>
      </c>
      <c r="L259" s="126">
        <v>1</v>
      </c>
      <c r="M259" s="126">
        <v>1</v>
      </c>
      <c r="N259" s="126">
        <v>1</v>
      </c>
      <c r="O259" s="127"/>
      <c r="P259" s="127">
        <v>72.743406652604477</v>
      </c>
    </row>
    <row r="260" spans="1:16" x14ac:dyDescent="0.35">
      <c r="A260" s="126">
        <v>258</v>
      </c>
      <c r="B260" s="126">
        <v>10427</v>
      </c>
      <c r="C260" s="127" t="s">
        <v>1198</v>
      </c>
      <c r="D260" s="127" t="s">
        <v>1198</v>
      </c>
      <c r="E260" s="127" t="s">
        <v>1199</v>
      </c>
      <c r="F260" s="127" t="s">
        <v>1199</v>
      </c>
      <c r="G260" s="127" t="s">
        <v>1200</v>
      </c>
      <c r="H260" s="127" t="s">
        <v>1200</v>
      </c>
      <c r="I260" s="128" t="b">
        <f t="shared" ref="I260:I304" si="4">G260=H260</f>
        <v>1</v>
      </c>
      <c r="J260" s="126">
        <v>35</v>
      </c>
      <c r="K260" s="126">
        <v>0</v>
      </c>
      <c r="L260" s="126">
        <v>0</v>
      </c>
      <c r="M260" s="126">
        <v>0</v>
      </c>
      <c r="N260" s="126">
        <v>0</v>
      </c>
      <c r="O260" s="127"/>
      <c r="P260" s="127">
        <v>246.49919980427629</v>
      </c>
    </row>
    <row r="261" spans="1:16" x14ac:dyDescent="0.35">
      <c r="A261" s="126">
        <v>259</v>
      </c>
      <c r="B261" s="126">
        <v>19387</v>
      </c>
      <c r="C261" s="127" t="s">
        <v>1187</v>
      </c>
      <c r="D261" s="127" t="s">
        <v>1187</v>
      </c>
      <c r="E261" s="127" t="s">
        <v>1188</v>
      </c>
      <c r="F261" s="127" t="s">
        <v>1188</v>
      </c>
      <c r="G261" s="127" t="s">
        <v>1189</v>
      </c>
      <c r="H261" s="127" t="s">
        <v>1189</v>
      </c>
      <c r="I261" s="128" t="b">
        <f t="shared" si="4"/>
        <v>1</v>
      </c>
      <c r="J261" s="126">
        <v>35</v>
      </c>
      <c r="K261" s="126">
        <v>0</v>
      </c>
      <c r="L261" s="126">
        <v>0</v>
      </c>
      <c r="M261" s="126">
        <v>0</v>
      </c>
      <c r="N261" s="126">
        <v>0</v>
      </c>
      <c r="O261" s="126">
        <v>1</v>
      </c>
      <c r="P261" s="127">
        <v>140.85780288674411</v>
      </c>
    </row>
    <row r="262" spans="1:16" x14ac:dyDescent="0.35">
      <c r="A262" s="126">
        <v>260</v>
      </c>
      <c r="B262" s="126">
        <v>13280</v>
      </c>
      <c r="C262" s="127" t="s">
        <v>1207</v>
      </c>
      <c r="D262" s="127" t="s">
        <v>1207</v>
      </c>
      <c r="E262" s="127" t="s">
        <v>1208</v>
      </c>
      <c r="F262" s="127" t="s">
        <v>1208</v>
      </c>
      <c r="G262" s="127" t="s">
        <v>1209</v>
      </c>
      <c r="H262" s="127" t="s">
        <v>1209</v>
      </c>
      <c r="I262" s="128" t="b">
        <f t="shared" si="4"/>
        <v>1</v>
      </c>
      <c r="J262" s="126">
        <v>35</v>
      </c>
      <c r="K262" s="126">
        <v>1</v>
      </c>
      <c r="L262" s="126">
        <v>1</v>
      </c>
      <c r="M262" s="126">
        <v>1</v>
      </c>
      <c r="N262" s="126">
        <v>1</v>
      </c>
      <c r="O262" s="127"/>
      <c r="P262" s="127">
        <v>586.45621311824141</v>
      </c>
    </row>
    <row r="263" spans="1:16" x14ac:dyDescent="0.35">
      <c r="A263" s="126">
        <v>261</v>
      </c>
      <c r="B263" s="126">
        <v>1443</v>
      </c>
      <c r="C263" s="127" t="s">
        <v>1190</v>
      </c>
      <c r="D263" s="127" t="s">
        <v>1190</v>
      </c>
      <c r="E263" s="127" t="s">
        <v>1190</v>
      </c>
      <c r="F263" s="127" t="s">
        <v>1190</v>
      </c>
      <c r="G263" s="127" t="s">
        <v>1191</v>
      </c>
      <c r="H263" s="127" t="s">
        <v>1191</v>
      </c>
      <c r="I263" s="128" t="b">
        <f t="shared" si="4"/>
        <v>1</v>
      </c>
      <c r="J263" s="126">
        <v>35</v>
      </c>
      <c r="K263" s="126">
        <v>1</v>
      </c>
      <c r="L263" s="126">
        <v>1</v>
      </c>
      <c r="M263" s="126">
        <v>1</v>
      </c>
      <c r="N263" s="126">
        <v>1</v>
      </c>
      <c r="O263" s="126">
        <v>1</v>
      </c>
      <c r="P263" s="127">
        <v>957.37862343314669</v>
      </c>
    </row>
    <row r="264" spans="1:16" x14ac:dyDescent="0.35">
      <c r="A264" s="126">
        <v>262</v>
      </c>
      <c r="B264" s="126">
        <v>6955</v>
      </c>
      <c r="C264" s="127" t="s">
        <v>1192</v>
      </c>
      <c r="D264" s="127" t="s">
        <v>1192</v>
      </c>
      <c r="E264" s="127" t="s">
        <v>1193</v>
      </c>
      <c r="F264" s="127" t="s">
        <v>1193</v>
      </c>
      <c r="G264" s="127" t="s">
        <v>1194</v>
      </c>
      <c r="H264" s="127" t="s">
        <v>1194</v>
      </c>
      <c r="I264" s="128" t="b">
        <f t="shared" si="4"/>
        <v>1</v>
      </c>
      <c r="J264" s="126">
        <v>30</v>
      </c>
      <c r="K264" s="126">
        <v>1</v>
      </c>
      <c r="L264" s="126">
        <v>1</v>
      </c>
      <c r="M264" s="126">
        <v>0</v>
      </c>
      <c r="N264" s="126">
        <v>0</v>
      </c>
      <c r="O264" s="126">
        <v>1</v>
      </c>
      <c r="P264" s="127">
        <v>214.0956147591192</v>
      </c>
    </row>
    <row r="265" spans="1:16" x14ac:dyDescent="0.35">
      <c r="A265" s="126">
        <v>263</v>
      </c>
      <c r="B265" s="126">
        <v>3723</v>
      </c>
      <c r="C265" s="127" t="s">
        <v>1201</v>
      </c>
      <c r="D265" s="127" t="s">
        <v>1201</v>
      </c>
      <c r="E265" s="127" t="s">
        <v>1202</v>
      </c>
      <c r="F265" s="127" t="s">
        <v>1202</v>
      </c>
      <c r="G265" s="127" t="s">
        <v>1203</v>
      </c>
      <c r="H265" s="127" t="s">
        <v>1203</v>
      </c>
      <c r="I265" s="128" t="b">
        <f t="shared" si="4"/>
        <v>1</v>
      </c>
      <c r="J265" s="126">
        <v>45</v>
      </c>
      <c r="K265" s="126">
        <v>0</v>
      </c>
      <c r="L265" s="126">
        <v>0</v>
      </c>
      <c r="M265" s="126">
        <v>0</v>
      </c>
      <c r="N265" s="126">
        <v>0</v>
      </c>
      <c r="O265" s="127"/>
      <c r="P265" s="127">
        <v>671.34797114585297</v>
      </c>
    </row>
    <row r="266" spans="1:16" x14ac:dyDescent="0.35">
      <c r="A266" s="126">
        <v>264</v>
      </c>
      <c r="B266" s="126">
        <v>9777</v>
      </c>
      <c r="C266" s="127" t="s">
        <v>1201</v>
      </c>
      <c r="D266" s="127" t="s">
        <v>1201</v>
      </c>
      <c r="E266" s="127" t="s">
        <v>1202</v>
      </c>
      <c r="F266" s="127" t="s">
        <v>1202</v>
      </c>
      <c r="G266" s="127" t="s">
        <v>1203</v>
      </c>
      <c r="H266" s="127" t="s">
        <v>1203</v>
      </c>
      <c r="I266" s="128" t="b">
        <f t="shared" si="4"/>
        <v>1</v>
      </c>
      <c r="J266" s="126">
        <v>45</v>
      </c>
      <c r="K266" s="126">
        <v>1</v>
      </c>
      <c r="L266" s="126">
        <v>1</v>
      </c>
      <c r="M266" s="126">
        <v>1</v>
      </c>
      <c r="N266" s="126">
        <v>1</v>
      </c>
      <c r="O266" s="127"/>
      <c r="P266" s="127">
        <v>190.39260363926383</v>
      </c>
    </row>
    <row r="267" spans="1:16" x14ac:dyDescent="0.35">
      <c r="A267" s="126">
        <v>265</v>
      </c>
      <c r="B267" s="126">
        <v>12417</v>
      </c>
      <c r="C267" s="127" t="s">
        <v>1187</v>
      </c>
      <c r="D267" s="127" t="s">
        <v>1187</v>
      </c>
      <c r="E267" s="127" t="s">
        <v>1188</v>
      </c>
      <c r="F267" s="127" t="s">
        <v>1188</v>
      </c>
      <c r="G267" s="127" t="s">
        <v>1189</v>
      </c>
      <c r="H267" s="127" t="s">
        <v>1189</v>
      </c>
      <c r="I267" s="128" t="b">
        <f t="shared" si="4"/>
        <v>1</v>
      </c>
      <c r="J267" s="126">
        <v>35</v>
      </c>
      <c r="K267" s="126">
        <v>0</v>
      </c>
      <c r="L267" s="126">
        <v>0</v>
      </c>
      <c r="M267" s="126">
        <v>0</v>
      </c>
      <c r="N267" s="126">
        <v>0</v>
      </c>
      <c r="O267" s="126">
        <v>1</v>
      </c>
      <c r="P267" s="127">
        <v>511.16000455452343</v>
      </c>
    </row>
    <row r="268" spans="1:16" x14ac:dyDescent="0.35">
      <c r="A268" s="126">
        <v>266</v>
      </c>
      <c r="B268" s="126">
        <v>20353</v>
      </c>
      <c r="C268" s="127" t="s">
        <v>1207</v>
      </c>
      <c r="D268" s="127" t="s">
        <v>1207</v>
      </c>
      <c r="E268" s="127" t="s">
        <v>1208</v>
      </c>
      <c r="F268" s="127" t="s">
        <v>1208</v>
      </c>
      <c r="G268" s="127" t="s">
        <v>1209</v>
      </c>
      <c r="H268" s="127" t="s">
        <v>1209</v>
      </c>
      <c r="I268" s="128" t="b">
        <f t="shared" si="4"/>
        <v>1</v>
      </c>
      <c r="J268" s="126">
        <v>35</v>
      </c>
      <c r="K268" s="126">
        <v>1</v>
      </c>
      <c r="L268" s="126">
        <v>1</v>
      </c>
      <c r="M268" s="126">
        <v>1</v>
      </c>
      <c r="N268" s="126">
        <v>1</v>
      </c>
      <c r="O268" s="127"/>
      <c r="P268" s="127">
        <v>143.22380589433848</v>
      </c>
    </row>
    <row r="269" spans="1:16" x14ac:dyDescent="0.35">
      <c r="A269" s="126">
        <v>267</v>
      </c>
      <c r="B269" s="126">
        <v>24734</v>
      </c>
      <c r="C269" s="127" t="s">
        <v>1190</v>
      </c>
      <c r="D269" s="127" t="s">
        <v>1190</v>
      </c>
      <c r="E269" s="127" t="s">
        <v>1190</v>
      </c>
      <c r="F269" s="127" t="s">
        <v>1190</v>
      </c>
      <c r="G269" s="127" t="s">
        <v>1191</v>
      </c>
      <c r="H269" s="127" t="s">
        <v>1191</v>
      </c>
      <c r="I269" s="128" t="b">
        <f t="shared" si="4"/>
        <v>1</v>
      </c>
      <c r="J269" s="126">
        <v>35</v>
      </c>
      <c r="K269" s="126">
        <v>1</v>
      </c>
      <c r="L269" s="126">
        <v>1</v>
      </c>
      <c r="M269" s="126">
        <v>0</v>
      </c>
      <c r="N269" s="126">
        <v>0</v>
      </c>
      <c r="O269" s="126">
        <v>1</v>
      </c>
      <c r="P269" s="127">
        <v>608.62198351521658</v>
      </c>
    </row>
    <row r="270" spans="1:16" x14ac:dyDescent="0.35">
      <c r="A270" s="126">
        <v>268</v>
      </c>
      <c r="B270" s="126">
        <v>24447</v>
      </c>
      <c r="C270" s="127" t="s">
        <v>1195</v>
      </c>
      <c r="D270" s="127" t="s">
        <v>1195</v>
      </c>
      <c r="E270" s="127" t="s">
        <v>1196</v>
      </c>
      <c r="F270" s="127" t="s">
        <v>1196</v>
      </c>
      <c r="G270" s="127" t="s">
        <v>1197</v>
      </c>
      <c r="H270" s="127" t="s">
        <v>1197</v>
      </c>
      <c r="I270" s="128" t="b">
        <f t="shared" si="4"/>
        <v>1</v>
      </c>
      <c r="J270" s="126">
        <v>35</v>
      </c>
      <c r="K270" s="126">
        <v>0</v>
      </c>
      <c r="L270" s="126">
        <v>0</v>
      </c>
      <c r="M270" s="126">
        <v>0</v>
      </c>
      <c r="N270" s="126">
        <v>0</v>
      </c>
      <c r="O270" s="127"/>
      <c r="P270" s="127">
        <v>174.02551210582374</v>
      </c>
    </row>
    <row r="271" spans="1:16" x14ac:dyDescent="0.35">
      <c r="A271" s="126">
        <v>269</v>
      </c>
      <c r="B271" s="126">
        <v>809</v>
      </c>
      <c r="C271" s="127" t="s">
        <v>1190</v>
      </c>
      <c r="D271" s="127" t="s">
        <v>1190</v>
      </c>
      <c r="E271" s="127" t="s">
        <v>1208</v>
      </c>
      <c r="F271" s="127" t="s">
        <v>1208</v>
      </c>
      <c r="G271" s="127" t="s">
        <v>1191</v>
      </c>
      <c r="H271" s="127" t="s">
        <v>1191</v>
      </c>
      <c r="I271" s="128" t="b">
        <f t="shared" si="4"/>
        <v>1</v>
      </c>
      <c r="J271" s="126">
        <v>35</v>
      </c>
      <c r="K271" s="126">
        <v>1</v>
      </c>
      <c r="L271" s="126">
        <v>1</v>
      </c>
      <c r="M271" s="126">
        <v>1</v>
      </c>
      <c r="N271" s="126">
        <v>1</v>
      </c>
      <c r="O271" s="127"/>
      <c r="P271" s="127">
        <v>1450.1390592823541</v>
      </c>
    </row>
    <row r="272" spans="1:16" x14ac:dyDescent="0.35">
      <c r="A272" s="126">
        <v>270</v>
      </c>
      <c r="B272" s="126">
        <v>5924</v>
      </c>
      <c r="C272" s="127" t="s">
        <v>1201</v>
      </c>
      <c r="D272" s="127" t="s">
        <v>1201</v>
      </c>
      <c r="E272" s="127" t="s">
        <v>1202</v>
      </c>
      <c r="F272" s="127" t="s">
        <v>1202</v>
      </c>
      <c r="G272" s="127" t="s">
        <v>1203</v>
      </c>
      <c r="H272" s="127" t="s">
        <v>1203</v>
      </c>
      <c r="I272" s="128" t="b">
        <f t="shared" si="4"/>
        <v>1</v>
      </c>
      <c r="J272" s="126">
        <v>45</v>
      </c>
      <c r="K272" s="126">
        <v>0</v>
      </c>
      <c r="L272" s="126">
        <v>0</v>
      </c>
      <c r="M272" s="126">
        <v>0</v>
      </c>
      <c r="N272" s="126">
        <v>0</v>
      </c>
      <c r="O272" s="127"/>
      <c r="P272" s="127">
        <v>140.05244756616625</v>
      </c>
    </row>
    <row r="273" spans="1:16" x14ac:dyDescent="0.35">
      <c r="A273" s="126">
        <v>271</v>
      </c>
      <c r="B273" s="126">
        <v>20568</v>
      </c>
      <c r="C273" s="127" t="s">
        <v>1201</v>
      </c>
      <c r="D273" s="127" t="s">
        <v>1201</v>
      </c>
      <c r="E273" s="127" t="s">
        <v>1202</v>
      </c>
      <c r="F273" s="127" t="s">
        <v>1202</v>
      </c>
      <c r="G273" s="127" t="s">
        <v>1203</v>
      </c>
      <c r="H273" s="127" t="s">
        <v>1203</v>
      </c>
      <c r="I273" s="128" t="b">
        <f t="shared" si="4"/>
        <v>1</v>
      </c>
      <c r="J273" s="126">
        <v>45</v>
      </c>
      <c r="K273" s="126">
        <v>1</v>
      </c>
      <c r="L273" s="126">
        <v>1</v>
      </c>
      <c r="M273" s="126">
        <v>1</v>
      </c>
      <c r="N273" s="126">
        <v>1</v>
      </c>
      <c r="O273" s="127"/>
      <c r="P273" s="127">
        <v>71.188679956869308</v>
      </c>
    </row>
    <row r="274" spans="1:16" x14ac:dyDescent="0.35">
      <c r="A274" s="126">
        <v>272</v>
      </c>
      <c r="B274" s="126">
        <v>20614</v>
      </c>
      <c r="C274" s="127" t="s">
        <v>1187</v>
      </c>
      <c r="D274" s="127" t="s">
        <v>1187</v>
      </c>
      <c r="E274" s="127" t="s">
        <v>1188</v>
      </c>
      <c r="F274" s="127" t="s">
        <v>1188</v>
      </c>
      <c r="G274" s="127" t="s">
        <v>1189</v>
      </c>
      <c r="H274" s="127" t="s">
        <v>1189</v>
      </c>
      <c r="I274" s="128" t="b">
        <f t="shared" si="4"/>
        <v>1</v>
      </c>
      <c r="J274" s="126">
        <v>35</v>
      </c>
      <c r="K274" s="126">
        <v>1</v>
      </c>
      <c r="L274" s="126">
        <v>1</v>
      </c>
      <c r="M274" s="126">
        <v>0</v>
      </c>
      <c r="N274" s="126">
        <v>0</v>
      </c>
      <c r="O274" s="126">
        <v>1</v>
      </c>
      <c r="P274" s="127">
        <v>209.87403810606963</v>
      </c>
    </row>
    <row r="275" spans="1:16" x14ac:dyDescent="0.35">
      <c r="A275" s="126">
        <v>273</v>
      </c>
      <c r="B275" s="126">
        <v>16652</v>
      </c>
      <c r="C275" s="127" t="s">
        <v>1187</v>
      </c>
      <c r="D275" s="127" t="s">
        <v>1187</v>
      </c>
      <c r="E275" s="127" t="s">
        <v>1188</v>
      </c>
      <c r="F275" s="127" t="s">
        <v>1188</v>
      </c>
      <c r="G275" s="127" t="s">
        <v>1189</v>
      </c>
      <c r="H275" s="127" t="s">
        <v>1189</v>
      </c>
      <c r="I275" s="128" t="b">
        <f t="shared" si="4"/>
        <v>1</v>
      </c>
      <c r="J275" s="126">
        <v>35</v>
      </c>
      <c r="K275" s="126">
        <v>1</v>
      </c>
      <c r="L275" s="126">
        <v>1</v>
      </c>
      <c r="M275" s="126">
        <v>0</v>
      </c>
      <c r="N275" s="126">
        <v>0</v>
      </c>
      <c r="O275" s="126">
        <v>1</v>
      </c>
      <c r="P275" s="127">
        <v>461.61398746657113</v>
      </c>
    </row>
    <row r="276" spans="1:16" x14ac:dyDescent="0.35">
      <c r="A276" s="126">
        <v>274</v>
      </c>
      <c r="B276" s="126">
        <v>26990</v>
      </c>
      <c r="C276" s="127" t="s">
        <v>1195</v>
      </c>
      <c r="D276" s="127" t="s">
        <v>1195</v>
      </c>
      <c r="E276" s="127" t="s">
        <v>1196</v>
      </c>
      <c r="F276" s="127" t="s">
        <v>1196</v>
      </c>
      <c r="G276" s="127" t="s">
        <v>1197</v>
      </c>
      <c r="H276" s="127" t="s">
        <v>1197</v>
      </c>
      <c r="I276" s="128" t="b">
        <f t="shared" si="4"/>
        <v>1</v>
      </c>
      <c r="J276" s="126">
        <v>35</v>
      </c>
      <c r="K276" s="126">
        <v>1</v>
      </c>
      <c r="L276" s="126">
        <v>1</v>
      </c>
      <c r="M276" s="126">
        <v>1</v>
      </c>
      <c r="N276" s="126">
        <v>1</v>
      </c>
      <c r="O276" s="127"/>
      <c r="P276" s="127">
        <v>530.42567135151194</v>
      </c>
    </row>
    <row r="277" spans="1:16" x14ac:dyDescent="0.35">
      <c r="A277" s="126">
        <v>275</v>
      </c>
      <c r="B277" s="126">
        <v>4353</v>
      </c>
      <c r="C277" s="127" t="s">
        <v>1198</v>
      </c>
      <c r="D277" s="127" t="s">
        <v>1198</v>
      </c>
      <c r="E277" s="127" t="s">
        <v>1199</v>
      </c>
      <c r="F277" s="127" t="s">
        <v>1199</v>
      </c>
      <c r="G277" s="127" t="s">
        <v>1200</v>
      </c>
      <c r="H277" s="127" t="s">
        <v>1200</v>
      </c>
      <c r="I277" s="128" t="b">
        <f t="shared" si="4"/>
        <v>1</v>
      </c>
      <c r="J277" s="126">
        <v>35</v>
      </c>
      <c r="K277" s="126">
        <v>0</v>
      </c>
      <c r="L277" s="126">
        <v>0</v>
      </c>
      <c r="M277" s="126">
        <v>0</v>
      </c>
      <c r="N277" s="126">
        <v>0</v>
      </c>
      <c r="O277" s="127"/>
      <c r="P277" s="127">
        <v>259.17492243237825</v>
      </c>
    </row>
    <row r="278" spans="1:16" x14ac:dyDescent="0.35">
      <c r="A278" s="126">
        <v>276</v>
      </c>
      <c r="B278" s="126">
        <v>3134</v>
      </c>
      <c r="C278" s="127" t="s">
        <v>1198</v>
      </c>
      <c r="D278" s="127" t="s">
        <v>1198</v>
      </c>
      <c r="E278" s="127" t="s">
        <v>1199</v>
      </c>
      <c r="F278" s="127" t="s">
        <v>1199</v>
      </c>
      <c r="G278" s="127" t="s">
        <v>1200</v>
      </c>
      <c r="H278" s="127" t="s">
        <v>1200</v>
      </c>
      <c r="I278" s="128" t="b">
        <f t="shared" si="4"/>
        <v>1</v>
      </c>
      <c r="J278" s="126">
        <v>45</v>
      </c>
      <c r="K278" s="126">
        <v>1</v>
      </c>
      <c r="L278" s="126">
        <v>0</v>
      </c>
      <c r="M278" s="126">
        <v>0</v>
      </c>
      <c r="N278" s="126">
        <v>0</v>
      </c>
      <c r="O278" s="127"/>
      <c r="P278" s="127">
        <v>184.72263196145258</v>
      </c>
    </row>
    <row r="279" spans="1:16" x14ac:dyDescent="0.35">
      <c r="A279" s="126">
        <v>277</v>
      </c>
      <c r="B279" s="126">
        <v>16752</v>
      </c>
      <c r="C279" s="127" t="s">
        <v>1201</v>
      </c>
      <c r="D279" s="127" t="s">
        <v>1201</v>
      </c>
      <c r="E279" s="127" t="s">
        <v>1202</v>
      </c>
      <c r="F279" s="127" t="s">
        <v>1202</v>
      </c>
      <c r="G279" s="127" t="s">
        <v>1203</v>
      </c>
      <c r="H279" s="127" t="s">
        <v>1203</v>
      </c>
      <c r="I279" s="128" t="b">
        <f t="shared" si="4"/>
        <v>1</v>
      </c>
      <c r="J279" s="126">
        <v>45</v>
      </c>
      <c r="K279" s="126">
        <v>0</v>
      </c>
      <c r="L279" s="126">
        <v>1</v>
      </c>
      <c r="M279" s="126">
        <v>0</v>
      </c>
      <c r="N279" s="126">
        <v>1</v>
      </c>
      <c r="O279" s="127"/>
      <c r="P279" s="127">
        <v>306.26724304373965</v>
      </c>
    </row>
    <row r="280" spans="1:16" x14ac:dyDescent="0.35">
      <c r="A280" s="126">
        <v>278</v>
      </c>
      <c r="B280" s="126">
        <v>7193</v>
      </c>
      <c r="C280" s="127" t="s">
        <v>1201</v>
      </c>
      <c r="D280" s="127" t="s">
        <v>1201</v>
      </c>
      <c r="E280" s="127" t="s">
        <v>1202</v>
      </c>
      <c r="F280" s="127" t="s">
        <v>1202</v>
      </c>
      <c r="G280" s="127" t="s">
        <v>1203</v>
      </c>
      <c r="H280" s="127" t="s">
        <v>1203</v>
      </c>
      <c r="I280" s="128" t="b">
        <f t="shared" si="4"/>
        <v>1</v>
      </c>
      <c r="J280" s="126">
        <v>45</v>
      </c>
      <c r="K280" s="126">
        <v>1</v>
      </c>
      <c r="L280" s="126">
        <v>1</v>
      </c>
      <c r="M280" s="126">
        <v>1</v>
      </c>
      <c r="N280" s="126">
        <v>1</v>
      </c>
      <c r="O280" s="127"/>
      <c r="P280" s="127">
        <v>141.25837839085304</v>
      </c>
    </row>
    <row r="281" spans="1:16" x14ac:dyDescent="0.35">
      <c r="A281" s="126">
        <v>279</v>
      </c>
      <c r="B281" s="126">
        <v>14024</v>
      </c>
      <c r="C281" s="127" t="s">
        <v>1201</v>
      </c>
      <c r="D281" s="127" t="s">
        <v>1201</v>
      </c>
      <c r="E281" s="127" t="s">
        <v>1202</v>
      </c>
      <c r="F281" s="127" t="s">
        <v>1202</v>
      </c>
      <c r="G281" s="127" t="s">
        <v>1203</v>
      </c>
      <c r="H281" s="127" t="s">
        <v>1203</v>
      </c>
      <c r="I281" s="128" t="b">
        <f t="shared" si="4"/>
        <v>1</v>
      </c>
      <c r="J281" s="126">
        <v>45</v>
      </c>
      <c r="K281" s="126">
        <v>1</v>
      </c>
      <c r="L281" s="126">
        <v>1</v>
      </c>
      <c r="M281" s="126">
        <v>1</v>
      </c>
      <c r="N281" s="126">
        <v>1</v>
      </c>
      <c r="O281" s="127"/>
      <c r="P281" s="127">
        <v>181.26906882875633</v>
      </c>
    </row>
    <row r="282" spans="1:16" x14ac:dyDescent="0.35">
      <c r="A282" s="126">
        <v>280</v>
      </c>
      <c r="B282" s="126">
        <v>19333</v>
      </c>
      <c r="C282" s="127" t="s">
        <v>1201</v>
      </c>
      <c r="D282" s="127" t="s">
        <v>1201</v>
      </c>
      <c r="E282" s="127" t="s">
        <v>1202</v>
      </c>
      <c r="F282" s="127" t="s">
        <v>1202</v>
      </c>
      <c r="G282" s="127" t="s">
        <v>1203</v>
      </c>
      <c r="H282" s="127" t="s">
        <v>1203</v>
      </c>
      <c r="I282" s="128" t="b">
        <f t="shared" si="4"/>
        <v>1</v>
      </c>
      <c r="J282" s="126">
        <v>45</v>
      </c>
      <c r="K282" s="126">
        <v>1</v>
      </c>
      <c r="L282" s="126">
        <v>1</v>
      </c>
      <c r="M282" s="126">
        <v>1</v>
      </c>
      <c r="N282" s="126">
        <v>1</v>
      </c>
      <c r="O282" s="127"/>
      <c r="P282" s="127">
        <v>463.92706752078777</v>
      </c>
    </row>
    <row r="283" spans="1:16" x14ac:dyDescent="0.35">
      <c r="A283" s="126">
        <v>281</v>
      </c>
      <c r="B283" s="126">
        <v>2558</v>
      </c>
      <c r="C283" s="127" t="s">
        <v>1201</v>
      </c>
      <c r="D283" s="127" t="s">
        <v>1201</v>
      </c>
      <c r="E283" s="127" t="s">
        <v>1202</v>
      </c>
      <c r="F283" s="127" t="s">
        <v>1202</v>
      </c>
      <c r="G283" s="127" t="s">
        <v>1203</v>
      </c>
      <c r="H283" s="127" t="s">
        <v>1203</v>
      </c>
      <c r="I283" s="128" t="b">
        <f t="shared" si="4"/>
        <v>1</v>
      </c>
      <c r="J283" s="126">
        <v>45</v>
      </c>
      <c r="K283" s="126">
        <v>1</v>
      </c>
      <c r="L283" s="126">
        <v>1</v>
      </c>
      <c r="M283" s="126">
        <v>1</v>
      </c>
      <c r="N283" s="126">
        <v>1</v>
      </c>
      <c r="O283" s="127"/>
      <c r="P283" s="127">
        <v>970.26594306050697</v>
      </c>
    </row>
    <row r="284" spans="1:16" x14ac:dyDescent="0.35">
      <c r="A284" s="126">
        <v>282</v>
      </c>
      <c r="B284" s="126">
        <v>10776</v>
      </c>
      <c r="C284" s="127" t="s">
        <v>1187</v>
      </c>
      <c r="D284" s="127" t="s">
        <v>1187</v>
      </c>
      <c r="E284" s="127" t="s">
        <v>1188</v>
      </c>
      <c r="F284" s="127" t="s">
        <v>1188</v>
      </c>
      <c r="G284" s="127" t="s">
        <v>1189</v>
      </c>
      <c r="H284" s="127" t="s">
        <v>1189</v>
      </c>
      <c r="I284" s="128" t="b">
        <f t="shared" si="4"/>
        <v>1</v>
      </c>
      <c r="J284" s="126">
        <v>35</v>
      </c>
      <c r="K284" s="126">
        <v>0</v>
      </c>
      <c r="L284" s="126">
        <v>0</v>
      </c>
      <c r="M284" s="126">
        <v>0</v>
      </c>
      <c r="N284" s="126">
        <v>0</v>
      </c>
      <c r="O284" s="126">
        <v>1</v>
      </c>
      <c r="P284" s="127">
        <v>20.82140525632926</v>
      </c>
    </row>
    <row r="285" spans="1:16" x14ac:dyDescent="0.35">
      <c r="A285" s="126">
        <v>283</v>
      </c>
      <c r="B285" s="126">
        <v>20362</v>
      </c>
      <c r="C285" s="127" t="s">
        <v>1213</v>
      </c>
      <c r="D285" s="127" t="s">
        <v>1213</v>
      </c>
      <c r="E285" s="127" t="s">
        <v>1214</v>
      </c>
      <c r="F285" s="127" t="s">
        <v>1214</v>
      </c>
      <c r="G285" s="127" t="s">
        <v>1215</v>
      </c>
      <c r="H285" s="127" t="s">
        <v>1215</v>
      </c>
      <c r="I285" s="128" t="b">
        <f t="shared" si="4"/>
        <v>1</v>
      </c>
      <c r="J285" s="126">
        <v>35</v>
      </c>
      <c r="K285" s="126">
        <v>1</v>
      </c>
      <c r="L285" s="126">
        <v>1</v>
      </c>
      <c r="M285" s="126">
        <v>0</v>
      </c>
      <c r="N285" s="126">
        <v>0</v>
      </c>
      <c r="O285" s="126">
        <v>1</v>
      </c>
      <c r="P285" s="127">
        <v>284.50956371127103</v>
      </c>
    </row>
    <row r="286" spans="1:16" x14ac:dyDescent="0.35">
      <c r="A286" s="126">
        <v>284</v>
      </c>
      <c r="B286" s="126">
        <v>25180</v>
      </c>
      <c r="C286" s="127" t="s">
        <v>1218</v>
      </c>
      <c r="D286" s="127" t="s">
        <v>1218</v>
      </c>
      <c r="E286" s="127" t="s">
        <v>1219</v>
      </c>
      <c r="F286" s="127" t="s">
        <v>1219</v>
      </c>
      <c r="G286" s="127" t="s">
        <v>1220</v>
      </c>
      <c r="H286" s="127" t="s">
        <v>1220</v>
      </c>
      <c r="I286" s="128" t="b">
        <f t="shared" si="4"/>
        <v>1</v>
      </c>
      <c r="J286" s="126">
        <v>35</v>
      </c>
      <c r="K286" s="126">
        <v>0</v>
      </c>
      <c r="L286" s="126">
        <v>0</v>
      </c>
      <c r="M286" s="126">
        <v>0</v>
      </c>
      <c r="N286" s="126">
        <v>0</v>
      </c>
      <c r="O286" s="127"/>
      <c r="P286" s="127">
        <v>205.33241686151939</v>
      </c>
    </row>
    <row r="287" spans="1:16" x14ac:dyDescent="0.35">
      <c r="A287" s="126">
        <v>285</v>
      </c>
      <c r="B287" s="126">
        <v>2706</v>
      </c>
      <c r="C287" s="127" t="s">
        <v>1207</v>
      </c>
      <c r="D287" s="127" t="s">
        <v>1207</v>
      </c>
      <c r="E287" s="127" t="s">
        <v>1208</v>
      </c>
      <c r="F287" s="127" t="s">
        <v>1208</v>
      </c>
      <c r="G287" s="127" t="s">
        <v>1209</v>
      </c>
      <c r="H287" s="127" t="s">
        <v>1209</v>
      </c>
      <c r="I287" s="128" t="b">
        <f t="shared" si="4"/>
        <v>1</v>
      </c>
      <c r="J287" s="126">
        <v>35</v>
      </c>
      <c r="K287" s="126">
        <v>1</v>
      </c>
      <c r="L287" s="126">
        <v>1</v>
      </c>
      <c r="M287" s="126">
        <v>1</v>
      </c>
      <c r="N287" s="126">
        <v>1</v>
      </c>
      <c r="O287" s="127"/>
      <c r="P287" s="127">
        <v>405.49073101053335</v>
      </c>
    </row>
    <row r="288" spans="1:16" x14ac:dyDescent="0.35">
      <c r="A288" s="126">
        <v>286</v>
      </c>
      <c r="B288" s="126">
        <v>10287</v>
      </c>
      <c r="C288" s="127" t="s">
        <v>1192</v>
      </c>
      <c r="D288" s="127" t="s">
        <v>1192</v>
      </c>
      <c r="E288" s="127" t="s">
        <v>1193</v>
      </c>
      <c r="F288" s="127" t="s">
        <v>1193</v>
      </c>
      <c r="G288" s="127" t="s">
        <v>1194</v>
      </c>
      <c r="H288" s="127" t="s">
        <v>1194</v>
      </c>
      <c r="I288" s="128" t="b">
        <f t="shared" si="4"/>
        <v>1</v>
      </c>
      <c r="J288" s="126">
        <v>30</v>
      </c>
      <c r="K288" s="126">
        <v>1</v>
      </c>
      <c r="L288" s="126">
        <v>1</v>
      </c>
      <c r="M288" s="126">
        <v>0</v>
      </c>
      <c r="N288" s="126">
        <v>0</v>
      </c>
      <c r="O288" s="126">
        <v>1</v>
      </c>
      <c r="P288" s="127">
        <v>332.32295309964985</v>
      </c>
    </row>
    <row r="289" spans="1:16" x14ac:dyDescent="0.35">
      <c r="A289" s="126">
        <v>287</v>
      </c>
      <c r="B289" s="126">
        <v>15800</v>
      </c>
      <c r="C289" s="127" t="s">
        <v>1198</v>
      </c>
      <c r="D289" s="127" t="s">
        <v>1198</v>
      </c>
      <c r="E289" s="127" t="s">
        <v>1199</v>
      </c>
      <c r="F289" s="127" t="s">
        <v>1199</v>
      </c>
      <c r="G289" s="127" t="s">
        <v>1200</v>
      </c>
      <c r="H289" s="127" t="s">
        <v>1200</v>
      </c>
      <c r="I289" s="128" t="b">
        <f t="shared" si="4"/>
        <v>1</v>
      </c>
      <c r="J289" s="126">
        <v>35</v>
      </c>
      <c r="K289" s="126">
        <v>0</v>
      </c>
      <c r="L289" s="126">
        <v>0</v>
      </c>
      <c r="M289" s="126">
        <v>0</v>
      </c>
      <c r="N289" s="126">
        <v>0</v>
      </c>
      <c r="O289" s="127"/>
      <c r="P289" s="127">
        <v>202.84397941694854</v>
      </c>
    </row>
    <row r="290" spans="1:16" x14ac:dyDescent="0.35">
      <c r="A290" s="126">
        <v>288</v>
      </c>
      <c r="B290" s="126">
        <v>6058</v>
      </c>
      <c r="C290" s="127" t="s">
        <v>1201</v>
      </c>
      <c r="D290" s="127" t="s">
        <v>1201</v>
      </c>
      <c r="E290" s="127" t="s">
        <v>1202</v>
      </c>
      <c r="F290" s="127" t="s">
        <v>1202</v>
      </c>
      <c r="G290" s="127" t="s">
        <v>1203</v>
      </c>
      <c r="H290" s="127" t="s">
        <v>1203</v>
      </c>
      <c r="I290" s="128" t="b">
        <f t="shared" si="4"/>
        <v>1</v>
      </c>
      <c r="J290" s="126">
        <v>45</v>
      </c>
      <c r="K290" s="126">
        <v>1</v>
      </c>
      <c r="L290" s="126">
        <v>1</v>
      </c>
      <c r="M290" s="126">
        <v>1</v>
      </c>
      <c r="N290" s="126">
        <v>1</v>
      </c>
      <c r="O290" s="127"/>
      <c r="P290" s="127">
        <v>426.29720677756848</v>
      </c>
    </row>
    <row r="291" spans="1:16" x14ac:dyDescent="0.35">
      <c r="A291" s="126">
        <v>289</v>
      </c>
      <c r="B291" s="126">
        <v>1834</v>
      </c>
      <c r="C291" s="127" t="s">
        <v>1187</v>
      </c>
      <c r="D291" s="127" t="s">
        <v>1187</v>
      </c>
      <c r="E291" s="127" t="s">
        <v>1188</v>
      </c>
      <c r="F291" s="127" t="s">
        <v>1188</v>
      </c>
      <c r="G291" s="127" t="s">
        <v>1189</v>
      </c>
      <c r="H291" s="127" t="s">
        <v>1189</v>
      </c>
      <c r="I291" s="128" t="b">
        <f t="shared" si="4"/>
        <v>1</v>
      </c>
      <c r="J291" s="126">
        <v>35</v>
      </c>
      <c r="K291" s="126">
        <v>1</v>
      </c>
      <c r="L291" s="126">
        <v>1</v>
      </c>
      <c r="M291" s="126">
        <v>0</v>
      </c>
      <c r="N291" s="126">
        <v>0</v>
      </c>
      <c r="O291" s="126">
        <v>1</v>
      </c>
      <c r="P291" s="127">
        <v>173.12810900937859</v>
      </c>
    </row>
    <row r="292" spans="1:16" x14ac:dyDescent="0.35">
      <c r="A292" s="126">
        <v>290</v>
      </c>
      <c r="B292" s="126">
        <v>1373</v>
      </c>
      <c r="C292" s="127" t="s">
        <v>1198</v>
      </c>
      <c r="D292" s="127" t="s">
        <v>1198</v>
      </c>
      <c r="E292" s="127" t="s">
        <v>1199</v>
      </c>
      <c r="F292" s="127" t="s">
        <v>1199</v>
      </c>
      <c r="G292" s="127" t="s">
        <v>1200</v>
      </c>
      <c r="H292" s="127" t="s">
        <v>1200</v>
      </c>
      <c r="I292" s="128" t="b">
        <f t="shared" si="4"/>
        <v>1</v>
      </c>
      <c r="J292" s="126">
        <v>45</v>
      </c>
      <c r="K292" s="126">
        <v>0</v>
      </c>
      <c r="L292" s="126">
        <v>0</v>
      </c>
      <c r="M292" s="126">
        <v>0</v>
      </c>
      <c r="N292" s="126">
        <v>0</v>
      </c>
      <c r="O292" s="126">
        <v>1</v>
      </c>
      <c r="P292" s="127">
        <v>281.52772900952641</v>
      </c>
    </row>
    <row r="293" spans="1:16" x14ac:dyDescent="0.35">
      <c r="A293" s="126">
        <v>291</v>
      </c>
      <c r="B293" s="126">
        <v>5305</v>
      </c>
      <c r="C293" s="127" t="s">
        <v>1201</v>
      </c>
      <c r="D293" s="127" t="s">
        <v>1201</v>
      </c>
      <c r="E293" s="127" t="s">
        <v>1202</v>
      </c>
      <c r="F293" s="127" t="s">
        <v>1202</v>
      </c>
      <c r="G293" s="127" t="s">
        <v>1203</v>
      </c>
      <c r="H293" s="127" t="s">
        <v>1203</v>
      </c>
      <c r="I293" s="128" t="b">
        <f t="shared" si="4"/>
        <v>1</v>
      </c>
      <c r="J293" s="126">
        <v>45</v>
      </c>
      <c r="K293" s="126">
        <v>1</v>
      </c>
      <c r="L293" s="126">
        <v>1</v>
      </c>
      <c r="M293" s="126">
        <v>1</v>
      </c>
      <c r="N293" s="126">
        <v>1</v>
      </c>
      <c r="O293" s="127"/>
      <c r="P293" s="127">
        <v>297.20563081736259</v>
      </c>
    </row>
    <row r="294" spans="1:16" x14ac:dyDescent="0.35">
      <c r="A294" s="126">
        <v>292</v>
      </c>
      <c r="B294" s="126">
        <v>26012</v>
      </c>
      <c r="C294" s="127" t="s">
        <v>1210</v>
      </c>
      <c r="D294" s="127" t="s">
        <v>1210</v>
      </c>
      <c r="E294" s="127" t="s">
        <v>1208</v>
      </c>
      <c r="F294" s="127" t="s">
        <v>1208</v>
      </c>
      <c r="G294" s="127" t="s">
        <v>1211</v>
      </c>
      <c r="H294" s="127" t="s">
        <v>1211</v>
      </c>
      <c r="I294" s="128" t="b">
        <f t="shared" si="4"/>
        <v>1</v>
      </c>
      <c r="J294" s="126">
        <v>35</v>
      </c>
      <c r="K294" s="126">
        <v>1</v>
      </c>
      <c r="L294" s="126">
        <v>1</v>
      </c>
      <c r="M294" s="126">
        <v>1</v>
      </c>
      <c r="N294" s="126">
        <v>1</v>
      </c>
      <c r="O294" s="127"/>
      <c r="P294" s="127">
        <v>40.33005246331426</v>
      </c>
    </row>
    <row r="295" spans="1:16" x14ac:dyDescent="0.35">
      <c r="A295" s="126">
        <v>293</v>
      </c>
      <c r="B295" s="126">
        <v>24333</v>
      </c>
      <c r="C295" s="127" t="s">
        <v>1195</v>
      </c>
      <c r="D295" s="127" t="s">
        <v>1195</v>
      </c>
      <c r="E295" s="127" t="s">
        <v>1196</v>
      </c>
      <c r="F295" s="127" t="s">
        <v>1196</v>
      </c>
      <c r="G295" s="127" t="s">
        <v>1197</v>
      </c>
      <c r="H295" s="127" t="s">
        <v>1197</v>
      </c>
      <c r="I295" s="128" t="b">
        <f t="shared" si="4"/>
        <v>1</v>
      </c>
      <c r="J295" s="126">
        <v>35</v>
      </c>
      <c r="K295" s="126">
        <v>0</v>
      </c>
      <c r="L295" s="126">
        <v>0</v>
      </c>
      <c r="M295" s="126">
        <v>0</v>
      </c>
      <c r="N295" s="126">
        <v>0</v>
      </c>
      <c r="O295" s="127"/>
      <c r="P295" s="127">
        <v>779.43589530520615</v>
      </c>
    </row>
    <row r="296" spans="1:16" x14ac:dyDescent="0.35">
      <c r="A296" s="126">
        <v>294</v>
      </c>
      <c r="B296" s="126">
        <v>21494</v>
      </c>
      <c r="C296" s="127" t="s">
        <v>1216</v>
      </c>
      <c r="D296" s="127" t="s">
        <v>1216</v>
      </c>
      <c r="E296" s="127" t="s">
        <v>1193</v>
      </c>
      <c r="F296" s="127" t="s">
        <v>1193</v>
      </c>
      <c r="G296" s="127" t="s">
        <v>1162</v>
      </c>
      <c r="H296" s="127" t="s">
        <v>1162</v>
      </c>
      <c r="I296" s="128" t="b">
        <f t="shared" si="4"/>
        <v>1</v>
      </c>
      <c r="J296" s="126">
        <v>30</v>
      </c>
      <c r="K296" s="126">
        <v>1</v>
      </c>
      <c r="L296" s="126">
        <v>1</v>
      </c>
      <c r="M296" s="126">
        <v>0</v>
      </c>
      <c r="N296" s="126">
        <v>0</v>
      </c>
      <c r="O296" s="126">
        <v>1</v>
      </c>
      <c r="P296" s="127">
        <v>170.01048048212616</v>
      </c>
    </row>
    <row r="297" spans="1:16" x14ac:dyDescent="0.35">
      <c r="A297" s="126">
        <v>295</v>
      </c>
      <c r="B297" s="126">
        <v>16876</v>
      </c>
      <c r="C297" s="127" t="s">
        <v>1207</v>
      </c>
      <c r="D297" s="127" t="s">
        <v>1207</v>
      </c>
      <c r="E297" s="127" t="s">
        <v>1208</v>
      </c>
      <c r="F297" s="127" t="s">
        <v>1208</v>
      </c>
      <c r="G297" s="127" t="s">
        <v>1209</v>
      </c>
      <c r="H297" s="127" t="s">
        <v>1209</v>
      </c>
      <c r="I297" s="128" t="b">
        <f t="shared" si="4"/>
        <v>1</v>
      </c>
      <c r="J297" s="126">
        <v>35</v>
      </c>
      <c r="K297" s="126">
        <v>1</v>
      </c>
      <c r="L297" s="126">
        <v>1</v>
      </c>
      <c r="M297" s="126">
        <v>1</v>
      </c>
      <c r="N297" s="126">
        <v>1</v>
      </c>
      <c r="O297" s="127"/>
      <c r="P297" s="127">
        <v>226.75099892204418</v>
      </c>
    </row>
    <row r="298" spans="1:16" x14ac:dyDescent="0.35">
      <c r="A298" s="126">
        <v>296</v>
      </c>
      <c r="B298" s="126">
        <v>26688</v>
      </c>
      <c r="C298" s="127" t="s">
        <v>1195</v>
      </c>
      <c r="D298" s="127" t="s">
        <v>1195</v>
      </c>
      <c r="E298" s="127" t="s">
        <v>1196</v>
      </c>
      <c r="F298" s="127" t="s">
        <v>1196</v>
      </c>
      <c r="G298" s="127" t="s">
        <v>1197</v>
      </c>
      <c r="H298" s="127" t="s">
        <v>1197</v>
      </c>
      <c r="I298" s="128" t="b">
        <f t="shared" si="4"/>
        <v>1</v>
      </c>
      <c r="J298" s="126">
        <v>35</v>
      </c>
      <c r="K298" s="126">
        <v>0</v>
      </c>
      <c r="L298" s="126">
        <v>0</v>
      </c>
      <c r="M298" s="126">
        <v>0</v>
      </c>
      <c r="N298" s="126">
        <v>0</v>
      </c>
      <c r="O298" s="127"/>
      <c r="P298" s="127">
        <v>517.91294412401328</v>
      </c>
    </row>
    <row r="299" spans="1:16" x14ac:dyDescent="0.35">
      <c r="A299" s="126">
        <v>297</v>
      </c>
      <c r="B299" s="126">
        <v>15678</v>
      </c>
      <c r="C299" s="127" t="s">
        <v>1201</v>
      </c>
      <c r="D299" s="127" t="s">
        <v>1201</v>
      </c>
      <c r="E299" s="127" t="s">
        <v>1202</v>
      </c>
      <c r="F299" s="127" t="s">
        <v>1202</v>
      </c>
      <c r="G299" s="127" t="s">
        <v>1203</v>
      </c>
      <c r="H299" s="127" t="s">
        <v>1203</v>
      </c>
      <c r="I299" s="128" t="b">
        <f t="shared" si="4"/>
        <v>1</v>
      </c>
      <c r="J299" s="126">
        <v>45</v>
      </c>
      <c r="K299" s="126">
        <v>1</v>
      </c>
      <c r="L299" s="126">
        <v>1</v>
      </c>
      <c r="M299" s="126">
        <v>1</v>
      </c>
      <c r="N299" s="126">
        <v>1</v>
      </c>
      <c r="O299" s="127"/>
      <c r="P299" s="127">
        <v>169.23299760501152</v>
      </c>
    </row>
    <row r="300" spans="1:16" x14ac:dyDescent="0.35">
      <c r="A300" s="126">
        <v>298</v>
      </c>
      <c r="B300" s="126">
        <v>17438</v>
      </c>
      <c r="C300" s="127" t="s">
        <v>1190</v>
      </c>
      <c r="D300" s="127" t="s">
        <v>1190</v>
      </c>
      <c r="E300" s="127" t="s">
        <v>1190</v>
      </c>
      <c r="F300" s="127" t="s">
        <v>1190</v>
      </c>
      <c r="G300" s="127" t="s">
        <v>1191</v>
      </c>
      <c r="H300" s="127" t="s">
        <v>1191</v>
      </c>
      <c r="I300" s="128" t="b">
        <f t="shared" si="4"/>
        <v>1</v>
      </c>
      <c r="J300" s="126">
        <v>35</v>
      </c>
      <c r="K300" s="126">
        <v>1</v>
      </c>
      <c r="L300" s="126">
        <v>1</v>
      </c>
      <c r="M300" s="126">
        <v>1</v>
      </c>
      <c r="N300" s="126">
        <v>1</v>
      </c>
      <c r="O300" s="126">
        <v>1</v>
      </c>
      <c r="P300" s="127">
        <v>1152.3680882114256</v>
      </c>
    </row>
    <row r="301" spans="1:16" x14ac:dyDescent="0.35">
      <c r="A301" s="126">
        <v>299</v>
      </c>
      <c r="B301" s="126">
        <v>25677</v>
      </c>
      <c r="C301" s="127" t="s">
        <v>1195</v>
      </c>
      <c r="D301" s="127" t="s">
        <v>1195</v>
      </c>
      <c r="E301" s="127" t="s">
        <v>1196</v>
      </c>
      <c r="F301" s="127" t="s">
        <v>1196</v>
      </c>
      <c r="G301" s="127" t="s">
        <v>1197</v>
      </c>
      <c r="H301" s="127" t="s">
        <v>1197</v>
      </c>
      <c r="I301" s="128" t="b">
        <f t="shared" si="4"/>
        <v>1</v>
      </c>
      <c r="J301" s="126">
        <v>35</v>
      </c>
      <c r="K301" s="126">
        <v>0</v>
      </c>
      <c r="L301" s="126">
        <v>0</v>
      </c>
      <c r="M301" s="126">
        <v>0</v>
      </c>
      <c r="N301" s="126">
        <v>0</v>
      </c>
      <c r="O301" s="127"/>
      <c r="P301" s="127">
        <v>630.48437916388821</v>
      </c>
    </row>
    <row r="302" spans="1:16" x14ac:dyDescent="0.35">
      <c r="A302" s="126">
        <v>300</v>
      </c>
      <c r="B302" s="126">
        <v>5318</v>
      </c>
      <c r="C302" s="127" t="s">
        <v>1190</v>
      </c>
      <c r="D302" s="127" t="s">
        <v>1190</v>
      </c>
      <c r="E302" s="127" t="s">
        <v>1190</v>
      </c>
      <c r="F302" s="127" t="s">
        <v>1190</v>
      </c>
      <c r="G302" s="127" t="s">
        <v>1191</v>
      </c>
      <c r="H302" s="127" t="s">
        <v>1191</v>
      </c>
      <c r="I302" s="128" t="b">
        <f t="shared" si="4"/>
        <v>1</v>
      </c>
      <c r="J302" s="126">
        <v>35</v>
      </c>
      <c r="K302" s="126">
        <v>0</v>
      </c>
      <c r="L302" s="126">
        <v>1</v>
      </c>
      <c r="M302" s="126">
        <v>1</v>
      </c>
      <c r="N302" s="126">
        <v>1</v>
      </c>
      <c r="O302" s="126">
        <v>1</v>
      </c>
      <c r="P302" s="127">
        <v>739.99222529985377</v>
      </c>
    </row>
    <row r="303" spans="1:16" x14ac:dyDescent="0.35">
      <c r="A303" s="126">
        <v>301</v>
      </c>
      <c r="B303" s="126">
        <v>22929</v>
      </c>
      <c r="C303" s="127" t="s">
        <v>1190</v>
      </c>
      <c r="D303" s="127" t="s">
        <v>1190</v>
      </c>
      <c r="E303" s="127" t="s">
        <v>1222</v>
      </c>
      <c r="F303" s="127" t="s">
        <v>1222</v>
      </c>
      <c r="G303" s="127" t="s">
        <v>1191</v>
      </c>
      <c r="H303" s="127" t="s">
        <v>1191</v>
      </c>
      <c r="I303" s="128" t="b">
        <f t="shared" si="4"/>
        <v>1</v>
      </c>
      <c r="J303" s="126">
        <v>35</v>
      </c>
      <c r="K303" s="126">
        <v>0</v>
      </c>
      <c r="L303" s="126">
        <v>0</v>
      </c>
      <c r="M303" s="126">
        <v>0</v>
      </c>
      <c r="N303" s="126">
        <v>0</v>
      </c>
      <c r="O303" s="126">
        <v>1</v>
      </c>
      <c r="P303" s="127">
        <v>105.72618684669267</v>
      </c>
    </row>
    <row r="304" spans="1:16" x14ac:dyDescent="0.35">
      <c r="A304" s="126">
        <v>302</v>
      </c>
      <c r="B304" s="126">
        <v>13227</v>
      </c>
      <c r="C304" s="127" t="s">
        <v>1198</v>
      </c>
      <c r="D304" s="127" t="s">
        <v>1198</v>
      </c>
      <c r="E304" s="127" t="s">
        <v>1199</v>
      </c>
      <c r="F304" s="127" t="s">
        <v>1199</v>
      </c>
      <c r="G304" s="127" t="s">
        <v>1200</v>
      </c>
      <c r="H304" s="127" t="s">
        <v>1200</v>
      </c>
      <c r="I304" s="128" t="b">
        <f t="shared" si="4"/>
        <v>1</v>
      </c>
      <c r="J304" s="126">
        <v>35</v>
      </c>
      <c r="K304" s="126">
        <v>0</v>
      </c>
      <c r="L304" s="126">
        <v>0</v>
      </c>
      <c r="M304" s="126">
        <v>0</v>
      </c>
      <c r="N304" s="126">
        <v>0</v>
      </c>
      <c r="O304" s="127"/>
      <c r="P304" s="127">
        <v>300.96046283550498</v>
      </c>
    </row>
  </sheetData>
  <autoFilter ref="A2:P2" xr:uid="{DA0CA6FD-BFB6-4A72-9FD9-001766C68728}"/>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4B664-CC1D-415D-B3BC-E526E14BD9D5}">
  <sheetPr>
    <tabColor theme="6"/>
  </sheetPr>
  <dimension ref="B1:M43"/>
  <sheetViews>
    <sheetView workbookViewId="0">
      <selection activeCell="B25" sqref="B25"/>
    </sheetView>
  </sheetViews>
  <sheetFormatPr defaultRowHeight="14.5" x14ac:dyDescent="0.35"/>
  <cols>
    <col min="2" max="2" width="37.54296875" customWidth="1"/>
    <col min="3" max="3" width="23.81640625" customWidth="1"/>
    <col min="4" max="4" width="16.81640625" customWidth="1"/>
    <col min="5" max="5" width="12" bestFit="1" customWidth="1"/>
    <col min="6" max="6" width="12" customWidth="1"/>
    <col min="7" max="7" width="14" customWidth="1"/>
    <col min="8" max="8" width="12.453125" customWidth="1"/>
    <col min="9" max="9" width="12.7265625" customWidth="1"/>
    <col min="10" max="10" width="10.7265625" customWidth="1"/>
    <col min="11" max="11" width="13" customWidth="1"/>
    <col min="12" max="12" width="87.54296875" customWidth="1"/>
  </cols>
  <sheetData>
    <row r="1" spans="2:12" x14ac:dyDescent="0.35">
      <c r="D1" s="54"/>
      <c r="E1" s="54"/>
    </row>
    <row r="2" spans="2:12" x14ac:dyDescent="0.35">
      <c r="B2" s="103" t="s">
        <v>789</v>
      </c>
      <c r="C2" s="104"/>
      <c r="D2" s="109" t="s">
        <v>790</v>
      </c>
      <c r="E2" s="110"/>
      <c r="F2" s="110"/>
      <c r="G2" s="110"/>
      <c r="H2" s="110"/>
      <c r="I2" s="110"/>
      <c r="J2" s="111" t="s">
        <v>791</v>
      </c>
      <c r="K2" s="107"/>
      <c r="L2" s="54"/>
    </row>
    <row r="3" spans="2:12" ht="43.5" x14ac:dyDescent="0.35">
      <c r="B3" s="105" t="s">
        <v>799</v>
      </c>
      <c r="C3" s="105" t="s">
        <v>409</v>
      </c>
      <c r="D3" s="106" t="s">
        <v>408</v>
      </c>
      <c r="E3" s="147" t="s">
        <v>813</v>
      </c>
      <c r="F3" s="106" t="s">
        <v>435</v>
      </c>
      <c r="G3" s="106" t="s">
        <v>801</v>
      </c>
      <c r="H3" s="106" t="s">
        <v>802</v>
      </c>
      <c r="I3" s="106" t="s">
        <v>803</v>
      </c>
      <c r="J3" s="108" t="s">
        <v>437</v>
      </c>
      <c r="K3" s="108" t="s">
        <v>804</v>
      </c>
      <c r="L3" s="85" t="s">
        <v>1224</v>
      </c>
    </row>
    <row r="4" spans="2:12" x14ac:dyDescent="0.35">
      <c r="B4" s="102" t="s">
        <v>833</v>
      </c>
      <c r="C4" s="102" t="s">
        <v>299</v>
      </c>
      <c r="D4" s="145">
        <v>1914</v>
      </c>
      <c r="E4" s="6">
        <v>255.299170054782</v>
      </c>
      <c r="F4" s="146">
        <f>_xlfn.XLOOKUP(D4,'Model VMT by TAZ'!A:A,'Other Model Data by TAZ'!G:G)</f>
        <v>4324</v>
      </c>
      <c r="G4" s="40">
        <f>_xlfn.XLOOKUP(D4,'Other Model Data by TAZ'!$A:$A,'Other Model Data by TAZ'!$E:$E)</f>
        <v>1225</v>
      </c>
      <c r="H4" s="40">
        <f>_xlfn.XLOOKUP(D4,'Other Model Data by TAZ'!A:A,'Other Model Data by TAZ'!I:I)</f>
        <v>1087</v>
      </c>
      <c r="I4" s="40">
        <f>_xlfn.XLOOKUP(D4,'Other Model Data by TAZ'!A:A,'Other Model Data by TAZ'!J:J)</f>
        <v>138</v>
      </c>
      <c r="J4" s="34">
        <f>_xlfn.XLOOKUP(D4,'Model VMT by TAZ'!$A:$A,'Model VMT by TAZ'!$L:$L)</f>
        <v>8.320061264271791</v>
      </c>
      <c r="K4" s="34">
        <f>_xlfn.XLOOKUP(D4,'Model VMT by TAZ'!$A:$A,'Model VMT by TAZ'!$G:$G)/G4</f>
        <v>24.389665306122449</v>
      </c>
      <c r="L4" s="6" t="s">
        <v>1225</v>
      </c>
    </row>
    <row r="5" spans="2:12" x14ac:dyDescent="0.35">
      <c r="B5" s="102" t="s">
        <v>834</v>
      </c>
      <c r="C5" s="102" t="s">
        <v>299</v>
      </c>
      <c r="D5" s="145">
        <v>1914</v>
      </c>
      <c r="E5" s="6">
        <v>255.299170054782</v>
      </c>
      <c r="F5" s="146">
        <f>_xlfn.XLOOKUP(D5,'Model VMT by TAZ'!A:A,'Other Model Data by TAZ'!G:G)</f>
        <v>4324</v>
      </c>
      <c r="G5" s="40">
        <f>_xlfn.XLOOKUP(D5,'Other Model Data by TAZ'!$A:$A,'Other Model Data by TAZ'!$E:$E)</f>
        <v>1225</v>
      </c>
      <c r="H5" s="40">
        <f>_xlfn.XLOOKUP(D5,'Other Model Data by TAZ'!A:A,'Other Model Data by TAZ'!I:I)</f>
        <v>1087</v>
      </c>
      <c r="I5" s="40">
        <f>_xlfn.XLOOKUP(D5,'Other Model Data by TAZ'!A:A,'Other Model Data by TAZ'!J:J)</f>
        <v>138</v>
      </c>
      <c r="J5" s="34">
        <f>_xlfn.XLOOKUP(D5,'Model VMT by TAZ'!$A:$A,'Model VMT by TAZ'!$L:$L)</f>
        <v>8.320061264271791</v>
      </c>
      <c r="K5" s="34">
        <f>_xlfn.XLOOKUP(D5,'Model VMT by TAZ'!$A:$A,'Model VMT by TAZ'!$G:$G)/G5</f>
        <v>24.389665306122449</v>
      </c>
      <c r="L5" s="6" t="s">
        <v>1225</v>
      </c>
    </row>
    <row r="6" spans="2:12" x14ac:dyDescent="0.35">
      <c r="B6" s="102" t="s">
        <v>1226</v>
      </c>
      <c r="C6" s="102" t="s">
        <v>372</v>
      </c>
      <c r="D6" s="145">
        <v>1967</v>
      </c>
      <c r="E6" s="6">
        <v>270.82185074201197</v>
      </c>
      <c r="F6" s="146">
        <f>_xlfn.XLOOKUP(D6,'Model VMT by TAZ'!A:A,'Other Model Data by TAZ'!G:G)</f>
        <v>3530</v>
      </c>
      <c r="G6" s="40">
        <f>_xlfn.XLOOKUP(D6,'Other Model Data by TAZ'!$A:$A,'Other Model Data by TAZ'!$E:$E)</f>
        <v>1306</v>
      </c>
      <c r="H6" s="40">
        <f>_xlfn.XLOOKUP(D6,'Other Model Data by TAZ'!A:A,'Other Model Data by TAZ'!I:I)</f>
        <v>1123</v>
      </c>
      <c r="I6" s="40">
        <f>_xlfn.XLOOKUP(D6,'Other Model Data by TAZ'!A:A,'Other Model Data by TAZ'!J:J)</f>
        <v>183</v>
      </c>
      <c r="J6" s="34">
        <f>_xlfn.XLOOKUP(D6,'Model VMT by TAZ'!$A:$A,'Model VMT by TAZ'!$L:$L)</f>
        <v>16.404576411960132</v>
      </c>
      <c r="K6" s="34">
        <f>_xlfn.XLOOKUP(D6,'Model VMT by TAZ'!$A:$A,'Model VMT by TAZ'!$G:$G)/G6</f>
        <v>45.370084226646249</v>
      </c>
      <c r="L6" s="6" t="s">
        <v>1227</v>
      </c>
    </row>
    <row r="7" spans="2:12" x14ac:dyDescent="0.35">
      <c r="B7" s="102" t="s">
        <v>835</v>
      </c>
      <c r="C7" s="102" t="s">
        <v>380</v>
      </c>
      <c r="D7" s="145">
        <v>1600</v>
      </c>
      <c r="E7" s="6">
        <v>63.112790701453399</v>
      </c>
      <c r="F7" s="146">
        <f>_xlfn.XLOOKUP(D7,'Model VMT by TAZ'!A:A,'Other Model Data by TAZ'!G:G)</f>
        <v>2312</v>
      </c>
      <c r="G7" s="40">
        <f>_xlfn.XLOOKUP(D7,'Other Model Data by TAZ'!$A:$A,'Other Model Data by TAZ'!$E:$E)</f>
        <v>532</v>
      </c>
      <c r="H7" s="40">
        <f>_xlfn.XLOOKUP(D7,'Other Model Data by TAZ'!A:A,'Other Model Data by TAZ'!I:I)</f>
        <v>235</v>
      </c>
      <c r="I7" s="40">
        <f>_xlfn.XLOOKUP(D7,'Other Model Data by TAZ'!A:A,'Other Model Data by TAZ'!J:J)</f>
        <v>298</v>
      </c>
      <c r="J7" s="34">
        <f>_xlfn.XLOOKUP(D7,'Model VMT by TAZ'!$A:$A,'Model VMT by TAZ'!$L:$L)</f>
        <v>9.3786561264822126</v>
      </c>
      <c r="K7" s="34">
        <f>_xlfn.XLOOKUP(D7,'Model VMT by TAZ'!$A:$A,'Model VMT by TAZ'!$G:$G)/G7</f>
        <v>31.221052631578946</v>
      </c>
      <c r="L7" s="6" t="s">
        <v>1228</v>
      </c>
    </row>
    <row r="8" spans="2:12" x14ac:dyDescent="0.35">
      <c r="B8" s="102" t="s">
        <v>837</v>
      </c>
      <c r="C8" s="102" t="s">
        <v>380</v>
      </c>
      <c r="D8" s="145">
        <v>1646</v>
      </c>
      <c r="E8" s="6">
        <v>137.58533545453199</v>
      </c>
      <c r="F8" s="146">
        <f>_xlfn.XLOOKUP(D8,'Model VMT by TAZ'!A:A,'Other Model Data by TAZ'!G:G)</f>
        <v>2823</v>
      </c>
      <c r="G8" s="40">
        <f>_xlfn.XLOOKUP(D8,'Other Model Data by TAZ'!$A:$A,'Other Model Data by TAZ'!$E:$E)</f>
        <v>33</v>
      </c>
      <c r="H8" s="40">
        <f>_xlfn.XLOOKUP(D8,'Other Model Data by TAZ'!A:A,'Other Model Data by TAZ'!I:I)</f>
        <v>8</v>
      </c>
      <c r="I8" s="40">
        <f>_xlfn.XLOOKUP(D8,'Other Model Data by TAZ'!A:A,'Other Model Data by TAZ'!J:J)</f>
        <v>25</v>
      </c>
      <c r="J8" s="34">
        <f>_xlfn.XLOOKUP(D8,'Model VMT by TAZ'!$A:$A,'Model VMT by TAZ'!$L:$L)</f>
        <v>13.100967741935484</v>
      </c>
      <c r="K8" s="34">
        <f>_xlfn.XLOOKUP(D8,'Model VMT by TAZ'!$A:$A,'Model VMT by TAZ'!$G:$G)/G8</f>
        <v>24.613939393939393</v>
      </c>
      <c r="L8" s="6" t="s">
        <v>1229</v>
      </c>
    </row>
    <row r="9" spans="2:12" x14ac:dyDescent="0.35">
      <c r="B9" s="102" t="s">
        <v>838</v>
      </c>
      <c r="C9" s="102" t="s">
        <v>364</v>
      </c>
      <c r="D9" s="145">
        <v>1529</v>
      </c>
      <c r="E9" s="6">
        <v>112.46256627546001</v>
      </c>
      <c r="F9" s="146">
        <f>_xlfn.XLOOKUP(D9,'Model VMT by TAZ'!A:A,'Other Model Data by TAZ'!G:G)</f>
        <v>4342</v>
      </c>
      <c r="G9" s="40">
        <f>_xlfn.XLOOKUP(D9,'Other Model Data by TAZ'!$A:$A,'Other Model Data by TAZ'!$E:$E)</f>
        <v>559</v>
      </c>
      <c r="H9" s="40">
        <f>_xlfn.XLOOKUP(D9,'Other Model Data by TAZ'!A:A,'Other Model Data by TAZ'!I:I)</f>
        <v>391</v>
      </c>
      <c r="I9" s="40">
        <f>_xlfn.XLOOKUP(D9,'Other Model Data by TAZ'!A:A,'Other Model Data by TAZ'!J:J)</f>
        <v>168</v>
      </c>
      <c r="J9" s="34">
        <f>_xlfn.XLOOKUP(D9,'Model VMT by TAZ'!$A:$A,'Model VMT by TAZ'!$L:$L)</f>
        <v>7.9743146853146856</v>
      </c>
      <c r="K9" s="34">
        <f>_xlfn.XLOOKUP(D9,'Model VMT by TAZ'!$A:$A,'Model VMT by TAZ'!$G:$G)/G9</f>
        <v>20.399409660107334</v>
      </c>
      <c r="L9" s="6" t="s">
        <v>1230</v>
      </c>
    </row>
    <row r="10" spans="2:12" x14ac:dyDescent="0.35">
      <c r="B10" s="102" t="s">
        <v>839</v>
      </c>
      <c r="C10" s="102" t="s">
        <v>370</v>
      </c>
      <c r="D10" s="145">
        <v>1682</v>
      </c>
      <c r="E10" s="6">
        <v>240.46242550672599</v>
      </c>
      <c r="F10" s="146">
        <f>_xlfn.XLOOKUP(D10,'Model VMT by TAZ'!A:A,'Other Model Data by TAZ'!G:G)</f>
        <v>4759</v>
      </c>
      <c r="G10" s="40">
        <f>_xlfn.XLOOKUP(D10,'Other Model Data by TAZ'!$A:$A,'Other Model Data by TAZ'!$E:$E)</f>
        <v>886</v>
      </c>
      <c r="H10" s="40">
        <f>_xlfn.XLOOKUP(D10,'Other Model Data by TAZ'!A:A,'Other Model Data by TAZ'!I:I)</f>
        <v>696</v>
      </c>
      <c r="I10" s="40">
        <f>_xlfn.XLOOKUP(D10,'Other Model Data by TAZ'!A:A,'Other Model Data by TAZ'!J:J)</f>
        <v>190</v>
      </c>
      <c r="J10" s="34">
        <f>_xlfn.XLOOKUP(D10,'Model VMT by TAZ'!$A:$A,'Model VMT by TAZ'!$L:$L)</f>
        <v>9.7088195569962199</v>
      </c>
      <c r="K10" s="34">
        <f>_xlfn.XLOOKUP(D10,'Model VMT by TAZ'!$A:$A,'Model VMT by TAZ'!$G:$G)/G10</f>
        <v>40.566647855530476</v>
      </c>
      <c r="L10" s="6" t="s">
        <v>1231</v>
      </c>
    </row>
    <row r="11" spans="2:12" x14ac:dyDescent="0.35">
      <c r="B11" s="102" t="s">
        <v>840</v>
      </c>
      <c r="C11" s="102" t="s">
        <v>372</v>
      </c>
      <c r="D11" s="145">
        <v>1655</v>
      </c>
      <c r="E11" s="6">
        <v>166.49442390899</v>
      </c>
      <c r="F11" s="146">
        <f>_xlfn.XLOOKUP(D11,'Model VMT by TAZ'!A:A,'Other Model Data by TAZ'!G:G)</f>
        <v>7059</v>
      </c>
      <c r="G11" s="40">
        <f>_xlfn.XLOOKUP(D11,'Other Model Data by TAZ'!$A:$A,'Other Model Data by TAZ'!$E:$E)</f>
        <v>868</v>
      </c>
      <c r="H11" s="40">
        <f>_xlfn.XLOOKUP(D11,'Other Model Data by TAZ'!A:A,'Other Model Data by TAZ'!I:I)</f>
        <v>348</v>
      </c>
      <c r="I11" s="40">
        <f>_xlfn.XLOOKUP(D11,'Other Model Data by TAZ'!A:A,'Other Model Data by TAZ'!J:J)</f>
        <v>520</v>
      </c>
      <c r="J11" s="34">
        <f>_xlfn.XLOOKUP(D11,'Model VMT by TAZ'!$A:$A,'Model VMT by TAZ'!$L:$L)</f>
        <v>15.03125</v>
      </c>
      <c r="K11" s="34">
        <f>_xlfn.XLOOKUP(D11,'Model VMT by TAZ'!$A:$A,'Model VMT by TAZ'!$G:$G)/G11</f>
        <v>40.452764976958527</v>
      </c>
      <c r="L11" s="6" t="s">
        <v>1232</v>
      </c>
    </row>
    <row r="12" spans="2:12" x14ac:dyDescent="0.35">
      <c r="K12" s="50"/>
    </row>
    <row r="15" spans="2:12" x14ac:dyDescent="0.35">
      <c r="B15" s="112" t="s">
        <v>1233</v>
      </c>
      <c r="C15" s="112"/>
      <c r="D15" s="112"/>
    </row>
    <row r="16" spans="2:12" ht="29" x14ac:dyDescent="0.35">
      <c r="B16" s="113" t="s">
        <v>1234</v>
      </c>
      <c r="C16" s="113" t="s">
        <v>437</v>
      </c>
      <c r="D16" s="114" t="s">
        <v>804</v>
      </c>
    </row>
    <row r="17" spans="2:11" x14ac:dyDescent="0.35">
      <c r="B17" s="24" t="s">
        <v>1235</v>
      </c>
      <c r="C17" s="115">
        <f>'VMT by City'!B3</f>
        <v>12.246712611175075</v>
      </c>
      <c r="D17" s="115">
        <f>SUMIFS('Model VMT by TAZ'!G4:G2983,'Model VMT by TAZ'!C4:C2983,"YES")/SUMIFS('Other Model Data by TAZ'!E4:E2834,'Other Model Data by TAZ'!C4:C2834,"YES")</f>
        <v>34.431230649832486</v>
      </c>
    </row>
    <row r="18" spans="2:11" x14ac:dyDescent="0.35">
      <c r="B18" s="6" t="s">
        <v>364</v>
      </c>
      <c r="C18" s="27">
        <f>_xlfn.XLOOKUP(B18,'VMT by City'!A:A,'VMT by City'!B:B)</f>
        <v>13.047674919993264</v>
      </c>
      <c r="D18" s="27">
        <f>SUMIFS('Model VMT by TAZ'!G4:G2983,'Model VMT by TAZ'!B4:B2983,'Action 4 Model Data'!B18)/SUMIFS('Other Model Data by TAZ'!E4:E2834,'Other Model Data by TAZ'!B4:B2834,'Action 4 Model Data'!B18)</f>
        <v>32.145425346501789</v>
      </c>
    </row>
    <row r="19" spans="2:11" x14ac:dyDescent="0.35">
      <c r="B19" s="6" t="s">
        <v>370</v>
      </c>
      <c r="C19" s="27">
        <f>_xlfn.XLOOKUP(B19,'VMT by City'!A:A,'VMT by City'!B:B)</f>
        <v>10.053226034388002</v>
      </c>
      <c r="D19" s="27">
        <f>SUMIFS('Model VMT by TAZ'!G5:G2984,'Model VMT by TAZ'!B5:B2984,'Action 4 Model Data'!B19)/SUMIFS('Other Model Data by TAZ'!E5:E2835,'Other Model Data by TAZ'!B5:B2835,'Action 4 Model Data'!B19)</f>
        <v>36.992038133757035</v>
      </c>
    </row>
    <row r="20" spans="2:11" x14ac:dyDescent="0.35">
      <c r="B20" s="6" t="s">
        <v>372</v>
      </c>
      <c r="C20" s="27">
        <f>_xlfn.XLOOKUP(B20,'VMT by City'!A:A,'VMT by City'!B:B)</f>
        <v>14.930674667009846</v>
      </c>
      <c r="D20" s="27">
        <f>SUMIFS('Model VMT by TAZ'!G6:G2985,'Model VMT by TAZ'!B6:B2985,'Action 4 Model Data'!B20)/SUMIFS('Other Model Data by TAZ'!E6:E2836,'Other Model Data by TAZ'!B6:B2836,'Action 4 Model Data'!B20)</f>
        <v>36.157010518114532</v>
      </c>
    </row>
    <row r="21" spans="2:11" x14ac:dyDescent="0.35">
      <c r="B21" s="6" t="s">
        <v>380</v>
      </c>
      <c r="C21" s="27">
        <f>_xlfn.XLOOKUP(B21,'VMT by City'!A:A,'VMT by City'!B:B)</f>
        <v>11.005564008575973</v>
      </c>
      <c r="D21" s="27">
        <f>SUMIFS('Model VMT by TAZ'!G7:G2986,'Model VMT by TAZ'!B7:B2986,'Action 4 Model Data'!B21)/SUMIFS('Other Model Data by TAZ'!E7:E2837,'Other Model Data by TAZ'!B7:B2837,'Action 4 Model Data'!B21)</f>
        <v>32.158191310205453</v>
      </c>
    </row>
    <row r="22" spans="2:11" x14ac:dyDescent="0.35">
      <c r="B22" s="6" t="s">
        <v>299</v>
      </c>
      <c r="C22" s="27">
        <f>_xlfn.XLOOKUP(B22,'VMT by City'!A:A,'VMT by City'!B:B)</f>
        <v>10.148034885273136</v>
      </c>
      <c r="D22" s="27">
        <f>SUMIFS('Model VMT by TAZ'!G8:G2987,'Model VMT by TAZ'!B8:B2987,'Action 4 Model Data'!B22)/SUMIFS('Other Model Data by TAZ'!E8:E2838,'Other Model Data by TAZ'!B8:B2838,'Action 4 Model Data'!B22)</f>
        <v>31.442585477941179</v>
      </c>
    </row>
    <row r="25" spans="2:11" x14ac:dyDescent="0.35">
      <c r="B25" s="113" t="s">
        <v>1236</v>
      </c>
      <c r="C25" s="61" t="s">
        <v>1168</v>
      </c>
      <c r="D25" s="62"/>
      <c r="E25" s="62"/>
      <c r="F25" s="62"/>
      <c r="G25" s="63"/>
      <c r="H25" s="154" t="s">
        <v>1237</v>
      </c>
      <c r="I25" s="155"/>
      <c r="J25" s="155"/>
      <c r="K25" s="156"/>
    </row>
    <row r="26" spans="2:11" ht="58" x14ac:dyDescent="0.35">
      <c r="B26" s="113" t="s">
        <v>1238</v>
      </c>
      <c r="C26" s="108" t="s">
        <v>1239</v>
      </c>
      <c r="D26" s="153" t="s">
        <v>1240</v>
      </c>
      <c r="E26" s="153" t="s">
        <v>1241</v>
      </c>
      <c r="F26" s="153" t="s">
        <v>1242</v>
      </c>
      <c r="G26" s="153" t="s">
        <v>384</v>
      </c>
      <c r="H26" s="36" t="s">
        <v>1239</v>
      </c>
      <c r="I26" s="35" t="s">
        <v>1240</v>
      </c>
      <c r="J26" s="35" t="s">
        <v>1241</v>
      </c>
      <c r="K26" s="35" t="s">
        <v>1242</v>
      </c>
    </row>
    <row r="27" spans="2:11" x14ac:dyDescent="0.35">
      <c r="B27" s="24" t="s">
        <v>1235</v>
      </c>
      <c r="C27" s="56">
        <f>SUMIFS('Model Modeshare by TAZ'!E4:E2983,'Model Modeshare by TAZ'!$D$4:$D$2983,"YES")+SUMIFS('Model Modeshare by TAZ'!F4:F2983,'Model Modeshare by TAZ'!$D$4:$D$2983,"YES")</f>
        <v>4469771.5599999968</v>
      </c>
      <c r="D27" s="56">
        <f>SUMIFS('Model Modeshare by TAZ'!G4:G2983,'Model Modeshare by TAZ'!$D$4:$D$2983,"YES")</f>
        <v>135543.64000000001</v>
      </c>
      <c r="E27" s="56">
        <f>SUMIFS('Model Modeshare by TAZ'!H4:H2983,'Model Modeshare by TAZ'!$D$4:$D$2983,"YES")</f>
        <v>66170.040000000008</v>
      </c>
      <c r="F27" s="56">
        <f>SUMIFS('Model Modeshare by TAZ'!I4:I2983,'Model Modeshare by TAZ'!$D$4:$D$2983,"YES")</f>
        <v>432951.41999999993</v>
      </c>
      <c r="G27" s="56">
        <f>SUMIFS('Model Modeshare by TAZ'!J4:J2983,'Model Modeshare by TAZ'!$D$4:$D$2983,"YES")</f>
        <v>5251937.3199999984</v>
      </c>
      <c r="H27" s="47">
        <f t="shared" ref="H27:K32" si="0">C27/$G27</f>
        <v>0.85107100250008283</v>
      </c>
      <c r="I27" s="47">
        <f t="shared" si="0"/>
        <v>2.5808312579023707E-2</v>
      </c>
      <c r="J27" s="47">
        <f t="shared" si="0"/>
        <v>1.2599167881919815E-2</v>
      </c>
      <c r="K27" s="47">
        <f t="shared" si="0"/>
        <v>8.2436516968942053E-2</v>
      </c>
    </row>
    <row r="28" spans="2:11" x14ac:dyDescent="0.35">
      <c r="B28" s="6" t="s">
        <v>364</v>
      </c>
      <c r="C28" s="56">
        <f>SUMIFS('Model Modeshare by TAZ'!E4:E2983,'Model Modeshare by TAZ'!$B$4:$B$2983,'Action 4 Model Data'!B28)+SUMIFS('Model Modeshare by TAZ'!F4:F2983,'Model Modeshare by TAZ'!$B$4:$B$2983,'Action 4 Model Data'!B28)</f>
        <v>256873.52000000005</v>
      </c>
      <c r="D28" s="56">
        <f>SUMIFS('Model Modeshare by TAZ'!$G$4:$G$2983,'Model Modeshare by TAZ'!$B$4:$B$2983,'Action 4 Model Data'!$B28)</f>
        <v>7803</v>
      </c>
      <c r="E28" s="56">
        <f>SUMIFS('Model Modeshare by TAZ'!$H$4:$H$2983,'Model Modeshare by TAZ'!$B$4:$B$2983,'Action 4 Model Data'!$B28)</f>
        <v>3060.76</v>
      </c>
      <c r="F28" s="56">
        <f>SUMIFS('Model Modeshare by TAZ'!$I$4:$I$2983,'Model Modeshare by TAZ'!$B$4:$B$2983,'Action 4 Model Data'!$B28)</f>
        <v>21232.16</v>
      </c>
      <c r="G28" s="56">
        <f>SUMIFS('Model Modeshare by TAZ'!$J$4:$J$2983,'Model Modeshare by TAZ'!$B$4:$B$2983,'Action 4 Model Data'!$B28)</f>
        <v>297346.44</v>
      </c>
      <c r="H28" s="47">
        <f t="shared" si="0"/>
        <v>0.86388631389028925</v>
      </c>
      <c r="I28" s="47">
        <f t="shared" si="0"/>
        <v>2.6242116771265193E-2</v>
      </c>
      <c r="J28" s="47">
        <f t="shared" si="0"/>
        <v>1.0293582125953821E-2</v>
      </c>
      <c r="K28" s="47">
        <f t="shared" si="0"/>
        <v>7.1405462261461744E-2</v>
      </c>
    </row>
    <row r="29" spans="2:11" x14ac:dyDescent="0.35">
      <c r="B29" s="6" t="s">
        <v>370</v>
      </c>
      <c r="C29" s="56">
        <f>SUMIFS('Model Modeshare by TAZ'!E5:E2984,'Model Modeshare by TAZ'!$B$4:$B$2983,'Action 4 Model Data'!B29)+SUMIFS('Model Modeshare by TAZ'!F5:F2984,'Model Modeshare by TAZ'!$B$4:$B$2983,'Action 4 Model Data'!B29)</f>
        <v>74309.140000000014</v>
      </c>
      <c r="D29" s="56">
        <f>SUMIFS('Model Modeshare by TAZ'!$G$4:$G$2983,'Model Modeshare by TAZ'!$B$4:$B$2983,'Action 4 Model Data'!$B29)</f>
        <v>2540.4400000000005</v>
      </c>
      <c r="E29" s="56">
        <f>SUMIFS('Model Modeshare by TAZ'!$H$4:$H$2983,'Model Modeshare by TAZ'!$B$4:$B$2983,'Action 4 Model Data'!$B29)</f>
        <v>2721.64</v>
      </c>
      <c r="F29" s="56">
        <f>SUMIFS('Model Modeshare by TAZ'!$I$4:$I$2983,'Model Modeshare by TAZ'!$B$4:$B$2983,'Action 4 Model Data'!$B29)</f>
        <v>11734.779999999999</v>
      </c>
      <c r="G29" s="56">
        <f>SUMIFS('Model Modeshare by TAZ'!$J$4:$J$2983,'Model Modeshare by TAZ'!$B$4:$B$2983,'Action 4 Model Data'!$B29)</f>
        <v>113036.28</v>
      </c>
      <c r="H29" s="47">
        <f t="shared" si="0"/>
        <v>0.65739194531171774</v>
      </c>
      <c r="I29" s="47">
        <f t="shared" si="0"/>
        <v>2.2474554187381261E-2</v>
      </c>
      <c r="J29" s="47">
        <f t="shared" si="0"/>
        <v>2.4077579340013665E-2</v>
      </c>
      <c r="K29" s="47">
        <f t="shared" si="0"/>
        <v>0.10381427980467862</v>
      </c>
    </row>
    <row r="30" spans="2:11" x14ac:dyDescent="0.35">
      <c r="B30" s="6" t="s">
        <v>372</v>
      </c>
      <c r="C30" s="56">
        <f>SUMIFS('Model Modeshare by TAZ'!E6:E2985,'Model Modeshare by TAZ'!$B$4:$B$2983,'Action 4 Model Data'!B30)+SUMIFS('Model Modeshare by TAZ'!F6:F2985,'Model Modeshare by TAZ'!$B$4:$B$2983,'Action 4 Model Data'!B30)</f>
        <v>164586.98000000001</v>
      </c>
      <c r="D30" s="56">
        <f>SUMIFS('Model Modeshare by TAZ'!$G$4:$G$2983,'Model Modeshare by TAZ'!$B$4:$B$2983,'Action 4 Model Data'!$B30)</f>
        <v>3550.22</v>
      </c>
      <c r="E30" s="56">
        <f>SUMIFS('Model Modeshare by TAZ'!$H$4:$H$2983,'Model Modeshare by TAZ'!$B$4:$B$2983,'Action 4 Model Data'!$B30)</f>
        <v>2294.8399999999997</v>
      </c>
      <c r="F30" s="56">
        <f>SUMIFS('Model Modeshare by TAZ'!$I$4:$I$2983,'Model Modeshare by TAZ'!$B$4:$B$2983,'Action 4 Model Data'!$B30)</f>
        <v>14325.94</v>
      </c>
      <c r="G30" s="56">
        <f>SUMIFS('Model Modeshare by TAZ'!$J$4:$J$2983,'Model Modeshare by TAZ'!$B$4:$B$2983,'Action 4 Model Data'!$B30)</f>
        <v>207529.44</v>
      </c>
      <c r="H30" s="47">
        <f t="shared" si="0"/>
        <v>0.79307774357218908</v>
      </c>
      <c r="I30" s="47">
        <f t="shared" si="0"/>
        <v>1.7107066833505644E-2</v>
      </c>
      <c r="J30" s="47">
        <f t="shared" si="0"/>
        <v>1.1057900989854739E-2</v>
      </c>
      <c r="K30" s="47">
        <f t="shared" si="0"/>
        <v>6.9030880630719188E-2</v>
      </c>
    </row>
    <row r="31" spans="2:11" x14ac:dyDescent="0.35">
      <c r="B31" s="6" t="s">
        <v>380</v>
      </c>
      <c r="C31" s="56">
        <f>SUMIFS('Model Modeshare by TAZ'!E7:E2986,'Model Modeshare by TAZ'!$B$4:$B$2983,'Action 4 Model Data'!B31)+SUMIFS('Model Modeshare by TAZ'!F7:F2986,'Model Modeshare by TAZ'!$B$4:$B$2983,'Action 4 Model Data'!B31)</f>
        <v>232309.38</v>
      </c>
      <c r="D31" s="56">
        <f>SUMIFS('Model Modeshare by TAZ'!$G$4:$G$2983,'Model Modeshare by TAZ'!$B$4:$B$2983,'Action 4 Model Data'!$B31)</f>
        <v>10178.179999999998</v>
      </c>
      <c r="E31" s="56">
        <f>SUMIFS('Model Modeshare by TAZ'!$H$4:$H$2983,'Model Modeshare by TAZ'!$B$4:$B$2983,'Action 4 Model Data'!$B31)</f>
        <v>3876.86</v>
      </c>
      <c r="F31" s="56">
        <f>SUMIFS('Model Modeshare by TAZ'!$I$4:$I$2983,'Model Modeshare by TAZ'!$B$4:$B$2983,'Action 4 Model Data'!$B31)</f>
        <v>27887.039999999997</v>
      </c>
      <c r="G31" s="56">
        <f>SUMIFS('Model Modeshare by TAZ'!$J$4:$J$2983,'Model Modeshare by TAZ'!$B$4:$B$2983,'Action 4 Model Data'!$B31)</f>
        <v>309646.62</v>
      </c>
      <c r="H31" s="47">
        <f t="shared" si="0"/>
        <v>0.75024032233905869</v>
      </c>
      <c r="I31" s="47">
        <f t="shared" si="0"/>
        <v>3.2870308740977051E-2</v>
      </c>
      <c r="J31" s="47">
        <f t="shared" si="0"/>
        <v>1.2520272302665536E-2</v>
      </c>
      <c r="K31" s="47">
        <f t="shared" si="0"/>
        <v>9.0060857115120449E-2</v>
      </c>
    </row>
    <row r="32" spans="2:11" x14ac:dyDescent="0.35">
      <c r="B32" s="6" t="s">
        <v>299</v>
      </c>
      <c r="C32" s="56">
        <f>SUMIFS('Model Modeshare by TAZ'!E8:E2987,'Model Modeshare by TAZ'!$B$4:$B$2983,'Action 4 Model Data'!B32)+SUMIFS('Model Modeshare by TAZ'!F8:F2987,'Model Modeshare by TAZ'!$B$4:$B$2983,'Action 4 Model Data'!B32)</f>
        <v>392940.66000000003</v>
      </c>
      <c r="D32" s="56">
        <f>SUMIFS('Model Modeshare by TAZ'!$G$4:$G$2983,'Model Modeshare by TAZ'!$B$4:$B$2983,'Action 4 Model Data'!$B32)</f>
        <v>15049.96</v>
      </c>
      <c r="E32" s="56">
        <f>SUMIFS('Model Modeshare by TAZ'!$H$4:$H$2983,'Model Modeshare by TAZ'!$B$4:$B$2983,'Action 4 Model Data'!$B32)</f>
        <v>6176.2400000000007</v>
      </c>
      <c r="F32" s="56">
        <f>SUMIFS('Model Modeshare by TAZ'!$I$4:$I$2983,'Model Modeshare by TAZ'!$B$4:$B$2983,'Action 4 Model Data'!$B32)</f>
        <v>35907.400000000009</v>
      </c>
      <c r="G32" s="56">
        <f>SUMIFS('Model Modeshare by TAZ'!$J$4:$J$2983,'Model Modeshare by TAZ'!$B$4:$B$2983,'Action 4 Model Data'!$B32)</f>
        <v>467298.60000000003</v>
      </c>
      <c r="H32" s="47">
        <f t="shared" si="0"/>
        <v>0.84087703237287681</v>
      </c>
      <c r="I32" s="47">
        <f t="shared" si="0"/>
        <v>3.2206302351430106E-2</v>
      </c>
      <c r="J32" s="47">
        <f t="shared" si="0"/>
        <v>1.3216902425986297E-2</v>
      </c>
      <c r="K32" s="47">
        <f t="shared" si="0"/>
        <v>7.6840375725499732E-2</v>
      </c>
    </row>
    <row r="34" spans="2:13" x14ac:dyDescent="0.35">
      <c r="B34" s="105" t="s">
        <v>1243</v>
      </c>
      <c r="E34" s="61" t="s">
        <v>1168</v>
      </c>
      <c r="F34" s="62"/>
      <c r="G34" s="62"/>
      <c r="H34" s="62"/>
      <c r="I34" s="63"/>
      <c r="J34" s="154" t="s">
        <v>1237</v>
      </c>
      <c r="K34" s="154"/>
      <c r="L34" s="155"/>
      <c r="M34" s="156"/>
    </row>
    <row r="35" spans="2:13" ht="72.5" x14ac:dyDescent="0.35">
      <c r="B35" s="105" t="s">
        <v>799</v>
      </c>
      <c r="C35" s="105" t="s">
        <v>409</v>
      </c>
      <c r="D35" s="106" t="s">
        <v>408</v>
      </c>
      <c r="E35" s="157" t="s">
        <v>1239</v>
      </c>
      <c r="F35" s="158" t="s">
        <v>1240</v>
      </c>
      <c r="G35" s="158" t="s">
        <v>1241</v>
      </c>
      <c r="H35" s="158" t="s">
        <v>1242</v>
      </c>
      <c r="I35" s="158" t="s">
        <v>384</v>
      </c>
      <c r="J35" s="36" t="s">
        <v>1239</v>
      </c>
      <c r="K35" s="159" t="s">
        <v>1240</v>
      </c>
      <c r="L35" s="159" t="s">
        <v>1241</v>
      </c>
      <c r="M35" s="159" t="s">
        <v>1242</v>
      </c>
    </row>
    <row r="36" spans="2:13" x14ac:dyDescent="0.35">
      <c r="B36" s="102" t="s">
        <v>833</v>
      </c>
      <c r="C36" s="6" t="str">
        <f>C4</f>
        <v>South San Francisco</v>
      </c>
      <c r="D36" s="6">
        <f>D4</f>
        <v>1914</v>
      </c>
      <c r="E36" s="56">
        <f>SUMIFS('Model Modeshare by TAZ'!$E$4:$E$2983,'Model Modeshare by TAZ'!$A$4:$A$2983,'Action 4 Model Data'!D36)+SUMIFS('Model Modeshare by TAZ'!$F$4:$F$2983,'Model Modeshare by TAZ'!$A$4:$A$2983,'Action 4 Model Data'!D36)</f>
        <v>13916.48</v>
      </c>
      <c r="F36" s="40">
        <f>SUMIFS('Model Modeshare by TAZ'!G$4:G$2983,'Model Modeshare by TAZ'!$A$4:$A$2983,'Action 4 Model Data'!$D36)</f>
        <v>555.14</v>
      </c>
      <c r="G36" s="40">
        <f>SUMIFS('Model Modeshare by TAZ'!H$4:H$2983,'Model Modeshare by TAZ'!$A$4:$A$2983,'Action 4 Model Data'!$D36)</f>
        <v>229.74</v>
      </c>
      <c r="H36" s="40">
        <f>SUMIFS('Model Modeshare by TAZ'!I$4:I$2983,'Model Modeshare by TAZ'!$A$4:$A$2983,'Action 4 Model Data'!$D36)</f>
        <v>3100.08</v>
      </c>
      <c r="I36" s="56">
        <f>SUMIFS('Model Modeshare by TAZ'!J$4:J$2983,'Model Modeshare by TAZ'!$A$4:$A$2983,'Action 4 Model Data'!$D36)</f>
        <v>18394.72</v>
      </c>
      <c r="J36" s="47">
        <f>E36/$I36</f>
        <v>0.75654753103064354</v>
      </c>
      <c r="K36" s="47">
        <f>F36/$I36</f>
        <v>3.017931232440613E-2</v>
      </c>
      <c r="L36" s="47">
        <f>G36/$I36</f>
        <v>1.248945349535084E-2</v>
      </c>
      <c r="M36" s="47">
        <f>H36/$I36</f>
        <v>0.16853096975653881</v>
      </c>
    </row>
    <row r="37" spans="2:13" x14ac:dyDescent="0.35">
      <c r="B37" s="102" t="s">
        <v>834</v>
      </c>
      <c r="C37" s="6" t="str">
        <f t="shared" ref="C37:C43" si="1">C5</f>
        <v>South San Francisco</v>
      </c>
      <c r="D37" s="6">
        <f t="shared" ref="D37:D43" si="2">D5</f>
        <v>1914</v>
      </c>
      <c r="E37" s="56">
        <f>SUMIFS('Model Modeshare by TAZ'!$E$4:$E$2983,'Model Modeshare by TAZ'!$A$4:$A$2983,'Action 4 Model Data'!D37)+SUMIFS('Model Modeshare by TAZ'!$F$4:$F$2983,'Model Modeshare by TAZ'!$A$4:$A$2983,'Action 4 Model Data'!D37)</f>
        <v>13916.48</v>
      </c>
      <c r="F37" s="40">
        <f>SUMIFS('Model Modeshare by TAZ'!G$4:G$2983,'Model Modeshare by TAZ'!$A$4:$A$2983,'Action 4 Model Data'!$D37)</f>
        <v>555.14</v>
      </c>
      <c r="G37" s="40">
        <f>SUMIFS('Model Modeshare by TAZ'!H$4:H$2983,'Model Modeshare by TAZ'!$A$4:$A$2983,'Action 4 Model Data'!$D37)</f>
        <v>229.74</v>
      </c>
      <c r="H37" s="40">
        <f>SUMIFS('Model Modeshare by TAZ'!I$4:I$2983,'Model Modeshare by TAZ'!$A$4:$A$2983,'Action 4 Model Data'!$D37)</f>
        <v>3100.08</v>
      </c>
      <c r="I37" s="56">
        <f>SUMIFS('Model Modeshare by TAZ'!J$4:J$2983,'Model Modeshare by TAZ'!$A$4:$A$2983,'Action 4 Model Data'!$D37)</f>
        <v>18394.72</v>
      </c>
      <c r="J37" s="47">
        <f t="shared" ref="J37:J42" si="3">E37/$I37</f>
        <v>0.75654753103064354</v>
      </c>
      <c r="K37" s="47">
        <f t="shared" ref="K37:K43" si="4">F37/$I37</f>
        <v>3.017931232440613E-2</v>
      </c>
      <c r="L37" s="47">
        <f t="shared" ref="L37:L43" si="5">G37/$I37</f>
        <v>1.248945349535084E-2</v>
      </c>
      <c r="M37" s="47">
        <f t="shared" ref="M37:M43" si="6">H37/$I37</f>
        <v>0.16853096975653881</v>
      </c>
    </row>
    <row r="38" spans="2:13" x14ac:dyDescent="0.35">
      <c r="B38" s="102" t="s">
        <v>1226</v>
      </c>
      <c r="C38" s="6" t="str">
        <f t="shared" si="1"/>
        <v>Foster City</v>
      </c>
      <c r="D38" s="6">
        <f t="shared" si="2"/>
        <v>1967</v>
      </c>
      <c r="E38" s="56">
        <f>SUMIFS('Model Modeshare by TAZ'!$E$4:$E$2983,'Model Modeshare by TAZ'!$A$4:$A$2983,'Action 4 Model Data'!D38)+SUMIFS('Model Modeshare by TAZ'!$F$4:$F$2983,'Model Modeshare by TAZ'!$A$4:$A$2983,'Action 4 Model Data'!D38)</f>
        <v>16751.760000000002</v>
      </c>
      <c r="F38" s="40">
        <f>SUMIFS('Model Modeshare by TAZ'!G$4:G$2983,'Model Modeshare by TAZ'!$A$4:$A$2983,'Action 4 Model Data'!$D38)</f>
        <v>345.34</v>
      </c>
      <c r="G38" s="40">
        <f>SUMIFS('Model Modeshare by TAZ'!H$4:H$2983,'Model Modeshare by TAZ'!$A$4:$A$2983,'Action 4 Model Data'!$D38)</f>
        <v>213.88</v>
      </c>
      <c r="H38" s="40">
        <f>SUMIFS('Model Modeshare by TAZ'!I$4:I$2983,'Model Modeshare by TAZ'!$A$4:$A$2983,'Action 4 Model Data'!$D38)</f>
        <v>1038.8800000000001</v>
      </c>
      <c r="I38" s="56">
        <f>SUMIFS('Model Modeshare by TAZ'!J$4:J$2983,'Model Modeshare by TAZ'!$A$4:$A$2983,'Action 4 Model Data'!$D38)</f>
        <v>18730.88</v>
      </c>
      <c r="J38" s="47">
        <f>E38/$I38</f>
        <v>0.89433918748078045</v>
      </c>
      <c r="K38" s="47">
        <f t="shared" si="4"/>
        <v>1.8436934089588953E-2</v>
      </c>
      <c r="L38" s="47">
        <f t="shared" si="5"/>
        <v>1.1418577237161307E-2</v>
      </c>
      <c r="M38" s="47">
        <f t="shared" si="6"/>
        <v>5.5463491304199274E-2</v>
      </c>
    </row>
    <row r="39" spans="2:13" x14ac:dyDescent="0.35">
      <c r="B39" s="102" t="s">
        <v>835</v>
      </c>
      <c r="C39" s="6" t="str">
        <f t="shared" si="1"/>
        <v>San Bruno</v>
      </c>
      <c r="D39" s="6">
        <f t="shared" si="2"/>
        <v>1600</v>
      </c>
      <c r="E39" s="56">
        <f>SUMIFS('Model Modeshare by TAZ'!$E$4:$E$2983,'Model Modeshare by TAZ'!$A$4:$A$2983,'Action 4 Model Data'!D39)+SUMIFS('Model Modeshare by TAZ'!$F$4:$F$2983,'Model Modeshare by TAZ'!$A$4:$A$2983,'Action 4 Model Data'!D39)</f>
        <v>16079.760000000002</v>
      </c>
      <c r="F39" s="40">
        <f>SUMIFS('Model Modeshare by TAZ'!G$4:G$2983,'Model Modeshare by TAZ'!$A$4:$A$2983,'Action 4 Model Data'!$D39)</f>
        <v>697.78</v>
      </c>
      <c r="G39" s="40">
        <f>SUMIFS('Model Modeshare by TAZ'!H$4:H$2983,'Model Modeshare by TAZ'!$A$4:$A$2983,'Action 4 Model Data'!$D39)</f>
        <v>246.24</v>
      </c>
      <c r="H39" s="40">
        <f>SUMIFS('Model Modeshare by TAZ'!I$4:I$2983,'Model Modeshare by TAZ'!$A$4:$A$2983,'Action 4 Model Data'!$D39)</f>
        <v>1348.38</v>
      </c>
      <c r="I39" s="56">
        <f>SUMIFS('Model Modeshare by TAZ'!J$4:J$2983,'Model Modeshare by TAZ'!$A$4:$A$2983,'Action 4 Model Data'!$D39)</f>
        <v>19112.560000000001</v>
      </c>
      <c r="J39" s="47">
        <f t="shared" si="3"/>
        <v>0.84131900697761053</v>
      </c>
      <c r="K39" s="47">
        <f t="shared" si="4"/>
        <v>3.6508976296215676E-2</v>
      </c>
      <c r="L39" s="47">
        <f t="shared" si="5"/>
        <v>1.2883674400498939E-2</v>
      </c>
      <c r="M39" s="47">
        <f t="shared" si="6"/>
        <v>7.0549418811504061E-2</v>
      </c>
    </row>
    <row r="40" spans="2:13" x14ac:dyDescent="0.35">
      <c r="B40" s="102" t="s">
        <v>837</v>
      </c>
      <c r="C40" s="6" t="str">
        <f t="shared" si="1"/>
        <v>San Bruno</v>
      </c>
      <c r="D40" s="6">
        <f t="shared" si="2"/>
        <v>1646</v>
      </c>
      <c r="E40" s="56">
        <f>SUMIFS('Model Modeshare by TAZ'!$E$4:$E$2983,'Model Modeshare by TAZ'!$A$4:$A$2983,'Action 4 Model Data'!D40)+SUMIFS('Model Modeshare by TAZ'!$F$4:$F$2983,'Model Modeshare by TAZ'!$A$4:$A$2983,'Action 4 Model Data'!D40)</f>
        <v>13624.46</v>
      </c>
      <c r="F40" s="40">
        <f>SUMIFS('Model Modeshare by TAZ'!G$4:G$2983,'Model Modeshare by TAZ'!$A$4:$A$2983,'Action 4 Model Data'!$D40)</f>
        <v>355.16</v>
      </c>
      <c r="G40" s="40">
        <f>SUMIFS('Model Modeshare by TAZ'!H$4:H$2983,'Model Modeshare by TAZ'!$A$4:$A$2983,'Action 4 Model Data'!$D40)</f>
        <v>152.80000000000001</v>
      </c>
      <c r="H40" s="40">
        <f>SUMIFS('Model Modeshare by TAZ'!I$4:I$2983,'Model Modeshare by TAZ'!$A$4:$A$2983,'Action 4 Model Data'!$D40)</f>
        <v>782.44</v>
      </c>
      <c r="I40" s="56">
        <f>SUMIFS('Model Modeshare by TAZ'!J$4:J$2983,'Model Modeshare by TAZ'!$A$4:$A$2983,'Action 4 Model Data'!$D40)</f>
        <v>15303.22</v>
      </c>
      <c r="J40" s="47">
        <f t="shared" si="3"/>
        <v>0.89030021132807347</v>
      </c>
      <c r="K40" s="47">
        <f t="shared" si="4"/>
        <v>2.3208187557912652E-2</v>
      </c>
      <c r="L40" s="47">
        <f t="shared" si="5"/>
        <v>9.9848267227420125E-3</v>
      </c>
      <c r="M40" s="47">
        <f t="shared" si="6"/>
        <v>5.1129108775800132E-2</v>
      </c>
    </row>
    <row r="41" spans="2:13" x14ac:dyDescent="0.35">
      <c r="B41" s="102" t="s">
        <v>838</v>
      </c>
      <c r="C41" s="6" t="str">
        <f t="shared" si="1"/>
        <v>Burlingame</v>
      </c>
      <c r="D41" s="6">
        <f t="shared" si="2"/>
        <v>1529</v>
      </c>
      <c r="E41" s="56">
        <f>SUMIFS('Model Modeshare by TAZ'!$E$4:$E$2983,'Model Modeshare by TAZ'!$A$4:$A$2983,'Action 4 Model Data'!D41)+SUMIFS('Model Modeshare by TAZ'!$F$4:$F$2983,'Model Modeshare by TAZ'!$A$4:$A$2983,'Action 4 Model Data'!D41)</f>
        <v>20986.52</v>
      </c>
      <c r="F41" s="40">
        <f>SUMIFS('Model Modeshare by TAZ'!G$4:G$2983,'Model Modeshare by TAZ'!$A$4:$A$2983,'Action 4 Model Data'!$D41)</f>
        <v>1040.08</v>
      </c>
      <c r="G41" s="40">
        <f>SUMIFS('Model Modeshare by TAZ'!H$4:H$2983,'Model Modeshare by TAZ'!$A$4:$A$2983,'Action 4 Model Data'!$D41)</f>
        <v>248.38</v>
      </c>
      <c r="H41" s="40">
        <f>SUMIFS('Model Modeshare by TAZ'!I$4:I$2983,'Model Modeshare by TAZ'!$A$4:$A$2983,'Action 4 Model Data'!$D41)</f>
        <v>3689</v>
      </c>
      <c r="I41" s="56">
        <f>SUMIFS('Model Modeshare by TAZ'!J$4:J$2983,'Model Modeshare by TAZ'!$A$4:$A$2983,'Action 4 Model Data'!$D41)</f>
        <v>27044.36</v>
      </c>
      <c r="J41" s="47">
        <f t="shared" si="3"/>
        <v>0.7760035733883146</v>
      </c>
      <c r="K41" s="47">
        <f t="shared" si="4"/>
        <v>3.8458295925656957E-2</v>
      </c>
      <c r="L41" s="47">
        <f t="shared" si="5"/>
        <v>9.1841700080904105E-3</v>
      </c>
      <c r="M41" s="47">
        <f t="shared" si="6"/>
        <v>0.13640552041164961</v>
      </c>
    </row>
    <row r="42" spans="2:13" x14ac:dyDescent="0.35">
      <c r="B42" s="102" t="s">
        <v>839</v>
      </c>
      <c r="C42" s="6" t="str">
        <f t="shared" si="1"/>
        <v>East Palo Alto</v>
      </c>
      <c r="D42" s="6">
        <f t="shared" si="2"/>
        <v>1682</v>
      </c>
      <c r="E42" s="56">
        <f>SUMIFS('Model Modeshare by TAZ'!$E$4:$E$2983,'Model Modeshare by TAZ'!$A$4:$A$2983,'Action 4 Model Data'!D42)+SUMIFS('Model Modeshare by TAZ'!$F$4:$F$2983,'Model Modeshare by TAZ'!$A$4:$A$2983,'Action 4 Model Data'!D42)</f>
        <v>10355.459999999999</v>
      </c>
      <c r="F42" s="40">
        <f>SUMIFS('Model Modeshare by TAZ'!G$4:G$2983,'Model Modeshare by TAZ'!$A$4:$A$2983,'Action 4 Model Data'!$D42)</f>
        <v>255.26</v>
      </c>
      <c r="G42" s="40">
        <f>SUMIFS('Model Modeshare by TAZ'!H$4:H$2983,'Model Modeshare by TAZ'!$A$4:$A$2983,'Action 4 Model Data'!$D42)</f>
        <v>290</v>
      </c>
      <c r="H42" s="40">
        <f>SUMIFS('Model Modeshare by TAZ'!I$4:I$2983,'Model Modeshare by TAZ'!$A$4:$A$2983,'Action 4 Model Data'!$D42)</f>
        <v>1377.86</v>
      </c>
      <c r="I42" s="56">
        <f>SUMIFS('Model Modeshare by TAZ'!J$4:J$2983,'Model Modeshare by TAZ'!$A$4:$A$2983,'Action 4 Model Data'!$D42)</f>
        <v>12567.92</v>
      </c>
      <c r="J42" s="47">
        <f t="shared" si="3"/>
        <v>0.82395973239804188</v>
      </c>
      <c r="K42" s="47">
        <f t="shared" si="4"/>
        <v>2.0310441186767579E-2</v>
      </c>
      <c r="L42" s="47">
        <f t="shared" si="5"/>
        <v>2.3074621735338863E-2</v>
      </c>
      <c r="M42" s="47">
        <f t="shared" si="6"/>
        <v>0.10963309760087588</v>
      </c>
    </row>
    <row r="43" spans="2:13" x14ac:dyDescent="0.35">
      <c r="B43" s="102" t="s">
        <v>840</v>
      </c>
      <c r="C43" s="6" t="str">
        <f t="shared" si="1"/>
        <v>Foster City</v>
      </c>
      <c r="D43" s="6">
        <f t="shared" si="2"/>
        <v>1655</v>
      </c>
      <c r="E43" s="56">
        <f>SUMIFS('Model Modeshare by TAZ'!$E$4:$E$2983,'Model Modeshare by TAZ'!$A$4:$A$2983,'Action 4 Model Data'!D43)+SUMIFS('Model Modeshare by TAZ'!$F$4:$F$2983,'Model Modeshare by TAZ'!$A$4:$A$2983,'Action 4 Model Data'!D43)</f>
        <v>31979.78</v>
      </c>
      <c r="F43" s="40">
        <f>SUMIFS('Model Modeshare by TAZ'!G$4:G$2983,'Model Modeshare by TAZ'!$A$4:$A$2983,'Action 4 Model Data'!$D43)</f>
        <v>512.74</v>
      </c>
      <c r="G43" s="40">
        <f>SUMIFS('Model Modeshare by TAZ'!H$4:H$2983,'Model Modeshare by TAZ'!$A$4:$A$2983,'Action 4 Model Data'!$D43)</f>
        <v>376.96</v>
      </c>
      <c r="H43" s="40">
        <f>SUMIFS('Model Modeshare by TAZ'!I$4:I$2983,'Model Modeshare by TAZ'!$A$4:$A$2983,'Action 4 Model Data'!$D43)</f>
        <v>2280.6</v>
      </c>
      <c r="I43" s="56">
        <f>SUMIFS('Model Modeshare by TAZ'!J$4:J$2983,'Model Modeshare by TAZ'!$A$4:$A$2983,'Action 4 Model Data'!$D43)</f>
        <v>35692.92</v>
      </c>
      <c r="J43" s="47">
        <f>E43/$I43</f>
        <v>0.89596984500007282</v>
      </c>
      <c r="K43" s="47">
        <f t="shared" si="4"/>
        <v>1.4365313905390762E-2</v>
      </c>
      <c r="L43" s="47">
        <f t="shared" si="5"/>
        <v>1.0561198131169991E-2</v>
      </c>
      <c r="M43" s="47">
        <f t="shared" si="6"/>
        <v>6.3895024559492475E-2</v>
      </c>
    </row>
  </sheetData>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0084C-C27B-4C5B-A5EF-4B9667E9A14B}">
  <sheetPr>
    <tabColor theme="6"/>
  </sheetPr>
  <dimension ref="A1:N27"/>
  <sheetViews>
    <sheetView workbookViewId="0">
      <selection activeCell="B25" sqref="B25"/>
    </sheetView>
  </sheetViews>
  <sheetFormatPr defaultRowHeight="14.5" x14ac:dyDescent="0.35"/>
  <cols>
    <col min="4" max="4" width="8.453125" customWidth="1"/>
    <col min="5" max="5" width="20.54296875" bestFit="1" customWidth="1"/>
    <col min="6" max="6" width="20.54296875" customWidth="1"/>
    <col min="10" max="10" width="12" bestFit="1" customWidth="1"/>
    <col min="11" max="11" width="13.54296875" bestFit="1" customWidth="1"/>
    <col min="12" max="12" width="12" bestFit="1" customWidth="1"/>
    <col min="14" max="14" width="18.81640625" bestFit="1" customWidth="1"/>
    <col min="18" max="18" width="20.54296875" bestFit="1" customWidth="1"/>
  </cols>
  <sheetData>
    <row r="1" spans="1:14" s="2" customFormat="1" x14ac:dyDescent="0.35">
      <c r="A1" s="116" t="s">
        <v>1244</v>
      </c>
    </row>
    <row r="2" spans="1:14" s="2" customFormat="1" x14ac:dyDescent="0.35">
      <c r="A2" s="116" t="s">
        <v>1245</v>
      </c>
    </row>
    <row r="3" spans="1:14" x14ac:dyDescent="0.35">
      <c r="A3" s="2" t="s">
        <v>1148</v>
      </c>
      <c r="B3" s="2" t="s">
        <v>1149</v>
      </c>
      <c r="C3" s="2" t="s">
        <v>1150</v>
      </c>
      <c r="D3" s="2" t="s">
        <v>1151</v>
      </c>
      <c r="E3" s="2" t="s">
        <v>498</v>
      </c>
      <c r="F3" s="2" t="s">
        <v>1152</v>
      </c>
      <c r="G3" s="2" t="s">
        <v>1153</v>
      </c>
      <c r="H3" s="2" t="s">
        <v>1154</v>
      </c>
      <c r="I3" s="2" t="s">
        <v>1155</v>
      </c>
      <c r="J3" s="2" t="s">
        <v>1156</v>
      </c>
      <c r="K3" s="2" t="s">
        <v>1157</v>
      </c>
      <c r="L3" s="2" t="s">
        <v>1158</v>
      </c>
      <c r="M3" s="2" t="s">
        <v>1165</v>
      </c>
      <c r="N3" s="2" t="s">
        <v>1246</v>
      </c>
    </row>
    <row r="4" spans="1:14" x14ac:dyDescent="0.35">
      <c r="A4" s="149">
        <v>1</v>
      </c>
      <c r="B4" s="10" t="s">
        <v>1161</v>
      </c>
      <c r="C4" s="10">
        <v>1109</v>
      </c>
      <c r="D4" s="389">
        <v>1864</v>
      </c>
      <c r="E4" s="150" t="s">
        <v>368</v>
      </c>
      <c r="F4" s="365">
        <f>_xlfn.XLOOKUP(D4,'Other Model Data by TAZ'!$A:$A,'Other Model Data by TAZ'!$G:$G)</f>
        <v>7687</v>
      </c>
      <c r="G4" s="10">
        <v>6130</v>
      </c>
      <c r="H4" s="10">
        <v>2206</v>
      </c>
      <c r="I4" s="10">
        <v>26200</v>
      </c>
      <c r="J4" s="10">
        <v>7998884</v>
      </c>
      <c r="K4" s="10">
        <v>6676.5815679999996</v>
      </c>
      <c r="L4" s="10">
        <v>1189574.775038</v>
      </c>
      <c r="M4" s="11">
        <f>_xlfn.XLOOKUP(D4, 'Model VMT by TAZ'!A:A, 'Model VMT by TAZ'!E:E,"0")</f>
        <v>133366.09</v>
      </c>
    </row>
    <row r="5" spans="1:14" x14ac:dyDescent="0.35">
      <c r="A5" s="12">
        <v>2</v>
      </c>
      <c r="B5" t="s">
        <v>1161</v>
      </c>
      <c r="C5">
        <v>1132</v>
      </c>
      <c r="D5" s="374">
        <v>1868</v>
      </c>
      <c r="E5" s="117" t="s">
        <v>368</v>
      </c>
      <c r="F5" s="365">
        <f>_xlfn.XLOOKUP(D5,'Other Model Data by TAZ'!$A:$A,'Other Model Data by TAZ'!$G:$G)</f>
        <v>10466</v>
      </c>
      <c r="G5">
        <v>6130</v>
      </c>
      <c r="H5">
        <v>2206</v>
      </c>
      <c r="I5">
        <v>31300</v>
      </c>
      <c r="J5">
        <v>11849125</v>
      </c>
      <c r="K5">
        <v>5998.2402899999997</v>
      </c>
      <c r="L5">
        <v>1762387.74382</v>
      </c>
      <c r="M5" s="13">
        <f>_xlfn.XLOOKUP(D5, 'Model VMT by TAZ'!A:A, 'Model VMT by TAZ'!E:E,"0")</f>
        <v>216458.85</v>
      </c>
    </row>
    <row r="6" spans="1:14" x14ac:dyDescent="0.35">
      <c r="A6" s="12">
        <v>4</v>
      </c>
      <c r="B6" t="s">
        <v>1161</v>
      </c>
      <c r="C6">
        <v>1189</v>
      </c>
      <c r="D6" s="374">
        <v>1890</v>
      </c>
      <c r="E6" s="117" t="s">
        <v>368</v>
      </c>
      <c r="F6" s="365">
        <f>_xlfn.XLOOKUP(D6,'Other Model Data by TAZ'!$A:$A,'Other Model Data by TAZ'!$G:$G)</f>
        <v>1662</v>
      </c>
      <c r="G6">
        <v>6130</v>
      </c>
      <c r="H6">
        <v>2206</v>
      </c>
      <c r="I6">
        <v>60400</v>
      </c>
      <c r="J6">
        <v>64716189</v>
      </c>
      <c r="K6">
        <v>24537.794848000001</v>
      </c>
      <c r="L6">
        <v>9626290.8109719995</v>
      </c>
      <c r="M6" s="13">
        <f>_xlfn.XLOOKUP(D6, 'Model VMT by TAZ'!A:A, 'Model VMT by TAZ'!E:E,"0")</f>
        <v>75637.25</v>
      </c>
    </row>
    <row r="7" spans="1:14" x14ac:dyDescent="0.35">
      <c r="A7" s="12">
        <v>8</v>
      </c>
      <c r="B7" t="s">
        <v>1161</v>
      </c>
      <c r="C7">
        <v>2508</v>
      </c>
      <c r="D7" s="374">
        <v>1904</v>
      </c>
      <c r="E7" s="117" t="s">
        <v>368</v>
      </c>
      <c r="F7" s="365">
        <f>_xlfn.XLOOKUP(D7,'Other Model Data by TAZ'!$A:$A,'Other Model Data by TAZ'!$G:$G)</f>
        <v>2997</v>
      </c>
      <c r="G7" t="s">
        <v>1162</v>
      </c>
      <c r="H7" t="s">
        <v>1162</v>
      </c>
      <c r="I7">
        <v>0</v>
      </c>
      <c r="J7">
        <v>4124157</v>
      </c>
      <c r="K7">
        <v>4340.7515629999998</v>
      </c>
      <c r="L7">
        <v>613261.76962100004</v>
      </c>
      <c r="M7" s="13">
        <f>_xlfn.XLOOKUP(D7, 'Model VMT by TAZ'!A:A, 'Model VMT by TAZ'!E:E,"0")</f>
        <v>78480.92</v>
      </c>
    </row>
    <row r="8" spans="1:14" x14ac:dyDescent="0.35">
      <c r="A8" s="12">
        <v>9</v>
      </c>
      <c r="B8" t="s">
        <v>1161</v>
      </c>
      <c r="C8">
        <v>2509</v>
      </c>
      <c r="D8" s="374">
        <v>1892</v>
      </c>
      <c r="E8" s="117" t="s">
        <v>368</v>
      </c>
      <c r="F8" s="365">
        <f>_xlfn.XLOOKUP(D8,'Other Model Data by TAZ'!$A:$A,'Other Model Data by TAZ'!$G:$G)</f>
        <v>7375</v>
      </c>
      <c r="G8" t="s">
        <v>1162</v>
      </c>
      <c r="H8" t="s">
        <v>1162</v>
      </c>
      <c r="I8">
        <v>0</v>
      </c>
      <c r="J8">
        <v>6237822</v>
      </c>
      <c r="K8">
        <v>6049.3364380000003</v>
      </c>
      <c r="L8">
        <v>927393.288191</v>
      </c>
      <c r="M8" s="13">
        <f>_xlfn.XLOOKUP(D8, 'Model VMT by TAZ'!A:A, 'Model VMT by TAZ'!E:E,"0")</f>
        <v>227882.79</v>
      </c>
    </row>
    <row r="9" spans="1:14" x14ac:dyDescent="0.35">
      <c r="A9" s="12">
        <v>18</v>
      </c>
      <c r="B9" t="s">
        <v>1161</v>
      </c>
      <c r="C9">
        <v>2634</v>
      </c>
      <c r="D9" s="374">
        <v>1491</v>
      </c>
      <c r="E9" s="117" t="s">
        <v>368</v>
      </c>
      <c r="F9" s="365">
        <f>_xlfn.XLOOKUP(D9,'Other Model Data by TAZ'!$A:$A,'Other Model Data by TAZ'!$G:$G)</f>
        <v>2085</v>
      </c>
      <c r="G9" t="s">
        <v>1162</v>
      </c>
      <c r="H9" t="s">
        <v>1162</v>
      </c>
      <c r="I9">
        <v>0</v>
      </c>
      <c r="J9">
        <v>8462557</v>
      </c>
      <c r="K9">
        <v>5148.888535</v>
      </c>
      <c r="L9">
        <v>1258336.597759</v>
      </c>
      <c r="M9" s="13">
        <f>_xlfn.XLOOKUP(D9, 'Model VMT by TAZ'!A:A, 'Model VMT by TAZ'!E:E,"0")</f>
        <v>66046.710000000006</v>
      </c>
    </row>
    <row r="10" spans="1:14" x14ac:dyDescent="0.35">
      <c r="A10" s="12">
        <v>20</v>
      </c>
      <c r="B10" t="s">
        <v>1161</v>
      </c>
      <c r="C10">
        <v>2636</v>
      </c>
      <c r="D10" s="374">
        <v>1591</v>
      </c>
      <c r="E10" s="117" t="s">
        <v>368</v>
      </c>
      <c r="F10" s="365">
        <f>_xlfn.XLOOKUP(D10,'Other Model Data by TAZ'!$A:$A,'Other Model Data by TAZ'!$G:$G)</f>
        <v>2571</v>
      </c>
      <c r="G10" t="s">
        <v>1162</v>
      </c>
      <c r="H10" t="s">
        <v>1162</v>
      </c>
      <c r="I10">
        <v>0</v>
      </c>
      <c r="J10">
        <v>3105787</v>
      </c>
      <c r="K10">
        <v>2950.2065170000001</v>
      </c>
      <c r="L10">
        <v>461785.37807600002</v>
      </c>
      <c r="M10" s="13">
        <f>_xlfn.XLOOKUP(D10, 'Model VMT by TAZ'!A:A, 'Model VMT by TAZ'!E:E,"0")</f>
        <v>55079.37</v>
      </c>
      <c r="N10">
        <f>SUM(M4:M10)</f>
        <v>852951.98</v>
      </c>
    </row>
    <row r="11" spans="1:14" x14ac:dyDescent="0.35">
      <c r="A11" s="149">
        <v>12</v>
      </c>
      <c r="B11" s="10" t="s">
        <v>1161</v>
      </c>
      <c r="C11" s="10">
        <v>2549</v>
      </c>
      <c r="D11" s="389">
        <v>1940</v>
      </c>
      <c r="E11" s="150" t="s">
        <v>376</v>
      </c>
      <c r="F11" s="365">
        <f>_xlfn.XLOOKUP(D11,'Other Model Data by TAZ'!$A:$A,'Other Model Data by TAZ'!$G:$G)</f>
        <v>1236</v>
      </c>
      <c r="G11" s="10" t="s">
        <v>1162</v>
      </c>
      <c r="H11" s="10">
        <v>0</v>
      </c>
      <c r="I11" s="10">
        <v>7406502</v>
      </c>
      <c r="J11" s="10">
        <v>4677.759548</v>
      </c>
      <c r="K11" s="10">
        <v>1098325.1356560001</v>
      </c>
      <c r="L11" s="10"/>
      <c r="M11" s="11">
        <f>_xlfn.XLOOKUP(D11, 'Model VMT by TAZ'!A:A, 'Model VMT by TAZ'!E:E,"0")</f>
        <v>92330.2</v>
      </c>
      <c r="N11" s="2"/>
    </row>
    <row r="12" spans="1:14" x14ac:dyDescent="0.35">
      <c r="A12" s="12">
        <v>13</v>
      </c>
      <c r="B12" t="s">
        <v>1161</v>
      </c>
      <c r="C12">
        <v>2553</v>
      </c>
      <c r="D12" s="374">
        <v>1944</v>
      </c>
      <c r="E12" s="117" t="s">
        <v>376</v>
      </c>
      <c r="F12" s="365">
        <f>_xlfn.XLOOKUP(D12,'Other Model Data by TAZ'!$A:$A,'Other Model Data by TAZ'!$G:$G)</f>
        <v>4970</v>
      </c>
      <c r="G12" t="s">
        <v>1162</v>
      </c>
      <c r="H12">
        <v>0</v>
      </c>
      <c r="I12">
        <v>11373766</v>
      </c>
      <c r="J12">
        <v>5756.3543909999999</v>
      </c>
      <c r="K12">
        <v>1686437.872094</v>
      </c>
      <c r="M12" s="13">
        <f>_xlfn.XLOOKUP(D12, 'Model VMT by TAZ'!A:A, 'Model VMT by TAZ'!E:E,"0")</f>
        <v>206906.67</v>
      </c>
      <c r="N12" s="2"/>
    </row>
    <row r="13" spans="1:14" x14ac:dyDescent="0.35">
      <c r="A13" s="12">
        <v>14</v>
      </c>
      <c r="B13" t="s">
        <v>1161</v>
      </c>
      <c r="C13">
        <v>2556</v>
      </c>
      <c r="D13" s="374">
        <v>1652</v>
      </c>
      <c r="E13" s="117" t="s">
        <v>376</v>
      </c>
      <c r="F13" s="365">
        <f>_xlfn.XLOOKUP(D13,'Other Model Data by TAZ'!$A:$A,'Other Model Data by TAZ'!$G:$G)</f>
        <v>4</v>
      </c>
      <c r="G13" t="s">
        <v>1162</v>
      </c>
      <c r="H13">
        <v>0</v>
      </c>
      <c r="I13">
        <v>12136629</v>
      </c>
      <c r="J13">
        <v>7098.0452050000004</v>
      </c>
      <c r="K13">
        <v>1799255.0997530001</v>
      </c>
      <c r="M13" s="13">
        <f>_xlfn.XLOOKUP(D13, 'Model VMT by TAZ'!A:A, 'Model VMT by TAZ'!E:E,"0")</f>
        <v>151832.92000000001</v>
      </c>
      <c r="N13" s="2"/>
    </row>
    <row r="14" spans="1:14" x14ac:dyDescent="0.35">
      <c r="A14" s="12">
        <v>21</v>
      </c>
      <c r="B14" t="s">
        <v>1161</v>
      </c>
      <c r="C14">
        <v>2659</v>
      </c>
      <c r="D14" s="374">
        <v>1651</v>
      </c>
      <c r="E14" s="117" t="s">
        <v>376</v>
      </c>
      <c r="F14" s="365">
        <f>_xlfn.XLOOKUP(D14,'Other Model Data by TAZ'!$A:$A,'Other Model Data by TAZ'!$G:$G)</f>
        <v>1585</v>
      </c>
      <c r="G14" t="s">
        <v>1162</v>
      </c>
      <c r="H14">
        <v>0</v>
      </c>
      <c r="I14">
        <v>6077027</v>
      </c>
      <c r="J14">
        <v>5240.4283740000001</v>
      </c>
      <c r="K14">
        <v>901118.92828899994</v>
      </c>
      <c r="M14" s="13">
        <f>_xlfn.XLOOKUP(D14, 'Model VMT by TAZ'!A:A, 'Model VMT by TAZ'!E:E,"0")</f>
        <v>135024.21</v>
      </c>
      <c r="N14" s="2"/>
    </row>
    <row r="15" spans="1:14" x14ac:dyDescent="0.35">
      <c r="A15" s="12">
        <v>26</v>
      </c>
      <c r="B15" t="s">
        <v>1161</v>
      </c>
      <c r="C15">
        <v>2696</v>
      </c>
      <c r="D15" s="374">
        <v>1529</v>
      </c>
      <c r="E15" s="117" t="s">
        <v>376</v>
      </c>
      <c r="F15" s="365">
        <f>_xlfn.XLOOKUP(D15,'Other Model Data by TAZ'!$A:$A,'Other Model Data by TAZ'!$G:$G)</f>
        <v>1628</v>
      </c>
      <c r="G15" t="s">
        <v>1162</v>
      </c>
      <c r="H15">
        <v>0</v>
      </c>
      <c r="I15">
        <v>4898220</v>
      </c>
      <c r="J15">
        <v>4200.8149700000004</v>
      </c>
      <c r="K15">
        <v>726164.17138900002</v>
      </c>
      <c r="M15" s="13">
        <f>_xlfn.XLOOKUP(D15, 'Model VMT by TAZ'!A:A, 'Model VMT by TAZ'!E:E,"0")</f>
        <v>162922.60999999999</v>
      </c>
      <c r="N15" s="2"/>
    </row>
    <row r="16" spans="1:14" x14ac:dyDescent="0.35">
      <c r="A16" s="12">
        <v>27</v>
      </c>
      <c r="B16" t="s">
        <v>1161</v>
      </c>
      <c r="C16">
        <v>2698</v>
      </c>
      <c r="D16" s="374">
        <v>1528</v>
      </c>
      <c r="E16" s="117" t="s">
        <v>376</v>
      </c>
      <c r="F16" s="365">
        <f>_xlfn.XLOOKUP(D16,'Other Model Data by TAZ'!$A:$A,'Other Model Data by TAZ'!$G:$G)</f>
        <v>874</v>
      </c>
      <c r="G16" t="s">
        <v>1162</v>
      </c>
      <c r="H16">
        <v>0</v>
      </c>
      <c r="I16">
        <v>4615775</v>
      </c>
      <c r="J16">
        <v>3807.0897960000002</v>
      </c>
      <c r="K16">
        <v>684280.98038600001</v>
      </c>
      <c r="M16" s="13">
        <f>_xlfn.XLOOKUP(D16, 'Model VMT by TAZ'!A:A, 'Model VMT by TAZ'!E:E,"0")</f>
        <v>21227.52</v>
      </c>
      <c r="N16" s="2">
        <f>SUM(M11:M16)</f>
        <v>770244.13</v>
      </c>
    </row>
    <row r="17" spans="1:14" x14ac:dyDescent="0.35">
      <c r="A17" s="149">
        <v>15</v>
      </c>
      <c r="B17" s="10" t="s">
        <v>1161</v>
      </c>
      <c r="C17" s="10">
        <v>2571</v>
      </c>
      <c r="D17" s="389">
        <v>1982</v>
      </c>
      <c r="E17" s="150" t="s">
        <v>382</v>
      </c>
      <c r="F17" s="365">
        <f>_xlfn.XLOOKUP(D17,'Other Model Data by TAZ'!$A:$A,'Other Model Data by TAZ'!$G:$G)</f>
        <v>2374</v>
      </c>
      <c r="G17" t="s">
        <v>1162</v>
      </c>
      <c r="H17">
        <v>0</v>
      </c>
      <c r="I17">
        <v>21488342</v>
      </c>
      <c r="J17">
        <v>8409.5739909999993</v>
      </c>
      <c r="K17">
        <v>3181113.8264009999</v>
      </c>
      <c r="M17" s="13">
        <f>_xlfn.XLOOKUP(D17, 'Model VMT by TAZ'!A:A, 'Model VMT by TAZ'!E:E,"0")</f>
        <v>204944.53</v>
      </c>
      <c r="N17" s="2"/>
    </row>
    <row r="18" spans="1:14" x14ac:dyDescent="0.35">
      <c r="A18" s="12">
        <v>16</v>
      </c>
      <c r="B18" t="s">
        <v>1161</v>
      </c>
      <c r="C18">
        <v>2572</v>
      </c>
      <c r="D18" s="374">
        <v>1991</v>
      </c>
      <c r="E18" s="117" t="s">
        <v>382</v>
      </c>
      <c r="F18" s="365">
        <f>_xlfn.XLOOKUP(D18,'Other Model Data by TAZ'!$A:$A,'Other Model Data by TAZ'!$G:$G)</f>
        <v>3371</v>
      </c>
      <c r="G18" t="s">
        <v>1162</v>
      </c>
      <c r="H18">
        <v>0</v>
      </c>
      <c r="I18">
        <v>23961839</v>
      </c>
      <c r="J18">
        <v>11525.139202</v>
      </c>
      <c r="K18">
        <v>3545994.7497760002</v>
      </c>
      <c r="M18" s="13">
        <f>_xlfn.XLOOKUP(D18, 'Model VMT by TAZ'!A:A, 'Model VMT by TAZ'!E:E,"0")</f>
        <v>127957.62</v>
      </c>
      <c r="N18" s="2"/>
    </row>
    <row r="19" spans="1:14" x14ac:dyDescent="0.35">
      <c r="A19" s="14">
        <v>35</v>
      </c>
      <c r="B19" s="15" t="s">
        <v>1161</v>
      </c>
      <c r="C19" s="15">
        <v>2819</v>
      </c>
      <c r="D19" s="390">
        <v>1554</v>
      </c>
      <c r="E19" s="148" t="s">
        <v>382</v>
      </c>
      <c r="F19" s="366">
        <f>_xlfn.XLOOKUP(D19,'Other Model Data by TAZ'!$A:$A,'Other Model Data by TAZ'!$G:$G)</f>
        <v>0</v>
      </c>
      <c r="G19" s="15" t="s">
        <v>1162</v>
      </c>
      <c r="H19" s="15">
        <v>0</v>
      </c>
      <c r="I19" s="15">
        <v>7668118</v>
      </c>
      <c r="J19" s="15">
        <v>5743.2065009999997</v>
      </c>
      <c r="K19" s="15">
        <v>1135031.546233</v>
      </c>
      <c r="L19" s="15"/>
      <c r="M19" s="16">
        <f>_xlfn.XLOOKUP(D19, 'Model VMT by TAZ'!A:A, 'Model VMT by TAZ'!E:E,"0")</f>
        <v>100536.61</v>
      </c>
      <c r="N19" s="2">
        <f>SUM(M17:M19)</f>
        <v>433438.76</v>
      </c>
    </row>
    <row r="20" spans="1:14" x14ac:dyDescent="0.35">
      <c r="A20" s="149">
        <v>5</v>
      </c>
      <c r="B20" s="10" t="s">
        <v>1161</v>
      </c>
      <c r="C20" s="10">
        <v>2491</v>
      </c>
      <c r="D20" s="389">
        <v>2031</v>
      </c>
      <c r="E20" s="150" t="s">
        <v>375</v>
      </c>
      <c r="F20" s="365">
        <f>_xlfn.XLOOKUP(D20,'Other Model Data by TAZ'!$A:$A,'Other Model Data by TAZ'!$G:$G)</f>
        <v>70</v>
      </c>
      <c r="G20" s="10" t="s">
        <v>1162</v>
      </c>
      <c r="H20" s="10">
        <v>0</v>
      </c>
      <c r="I20" s="10">
        <v>100905141</v>
      </c>
      <c r="J20" s="10">
        <v>18078.783360000001</v>
      </c>
      <c r="K20" s="10">
        <v>14918634.646455999</v>
      </c>
      <c r="L20" s="10"/>
      <c r="M20" s="11">
        <f>_xlfn.XLOOKUP(D20, 'Model VMT by TAZ'!A:A, 'Model VMT by TAZ'!E:E,"0")</f>
        <v>256793.44</v>
      </c>
      <c r="N20" s="2"/>
    </row>
    <row r="21" spans="1:14" x14ac:dyDescent="0.35">
      <c r="A21" s="12">
        <v>32</v>
      </c>
      <c r="B21" t="s">
        <v>1161</v>
      </c>
      <c r="C21">
        <v>2763</v>
      </c>
      <c r="D21" s="374">
        <v>1578</v>
      </c>
      <c r="E21" s="117" t="s">
        <v>375</v>
      </c>
      <c r="F21" s="365">
        <f>_xlfn.XLOOKUP(D21,'Other Model Data by TAZ'!$A:$A,'Other Model Data by TAZ'!$G:$G)</f>
        <v>0</v>
      </c>
      <c r="G21" t="s">
        <v>1162</v>
      </c>
      <c r="H21">
        <v>0</v>
      </c>
      <c r="I21">
        <v>2698880</v>
      </c>
      <c r="J21">
        <v>3099.0826189999998</v>
      </c>
      <c r="K21">
        <v>398938.52846300002</v>
      </c>
      <c r="M21" s="13">
        <f>_xlfn.XLOOKUP(D21, 'Model VMT by TAZ'!A:A, 'Model VMT by TAZ'!E:E,"0")</f>
        <v>0.75</v>
      </c>
      <c r="N21" s="2"/>
    </row>
    <row r="22" spans="1:14" x14ac:dyDescent="0.35">
      <c r="A22" s="12">
        <v>34</v>
      </c>
      <c r="B22" t="s">
        <v>1161</v>
      </c>
      <c r="C22">
        <v>2767</v>
      </c>
      <c r="D22" s="374">
        <v>1681</v>
      </c>
      <c r="E22" s="117" t="s">
        <v>375</v>
      </c>
      <c r="F22" s="365">
        <f>_xlfn.XLOOKUP(D22,'Other Model Data by TAZ'!$A:$A,'Other Model Data by TAZ'!$G:$G)</f>
        <v>3373</v>
      </c>
      <c r="G22" t="s">
        <v>1162</v>
      </c>
      <c r="H22">
        <v>0</v>
      </c>
      <c r="I22">
        <v>6840618</v>
      </c>
      <c r="J22">
        <v>4414.2463950000001</v>
      </c>
      <c r="K22">
        <v>1010928.600368</v>
      </c>
      <c r="M22" s="13">
        <f>_xlfn.XLOOKUP(D22, 'Model VMT by TAZ'!A:A, 'Model VMT by TAZ'!E:E,"0")</f>
        <v>77679.55</v>
      </c>
      <c r="N22" s="2"/>
    </row>
    <row r="23" spans="1:14" x14ac:dyDescent="0.35">
      <c r="A23" s="14">
        <v>36</v>
      </c>
      <c r="B23" s="15" t="s">
        <v>1161</v>
      </c>
      <c r="C23" s="15">
        <v>2824</v>
      </c>
      <c r="D23" s="390">
        <v>1631</v>
      </c>
      <c r="E23" s="148" t="s">
        <v>375</v>
      </c>
      <c r="F23" s="366">
        <f>_xlfn.XLOOKUP(D23,'Other Model Data by TAZ'!$A:$A,'Other Model Data by TAZ'!$G:$G)</f>
        <v>1493</v>
      </c>
      <c r="G23" s="15" t="s">
        <v>1162</v>
      </c>
      <c r="H23" s="15">
        <v>0</v>
      </c>
      <c r="I23" s="15">
        <v>11401137</v>
      </c>
      <c r="J23" s="15">
        <v>5577.7442680000004</v>
      </c>
      <c r="K23" s="15">
        <v>1684924.2142040001</v>
      </c>
      <c r="L23" s="15"/>
      <c r="M23" s="16">
        <f>_xlfn.XLOOKUP(D23, 'Model VMT by TAZ'!A:A, 'Model VMT by TAZ'!E:E,"0")</f>
        <v>163492.35999999999</v>
      </c>
      <c r="N23" s="2">
        <f>SUM(M20:M23)</f>
        <v>497966.1</v>
      </c>
    </row>
    <row r="24" spans="1:14" x14ac:dyDescent="0.35">
      <c r="A24" s="149">
        <v>24</v>
      </c>
      <c r="B24" s="10" t="s">
        <v>1161</v>
      </c>
      <c r="C24" s="10">
        <v>2689</v>
      </c>
      <c r="D24" s="389">
        <v>1557</v>
      </c>
      <c r="E24" s="150" t="s">
        <v>373</v>
      </c>
      <c r="F24" s="365">
        <f>_xlfn.XLOOKUP(D24,'Other Model Data by TAZ'!$A:$A,'Other Model Data by TAZ'!$G:$G)</f>
        <v>3222</v>
      </c>
      <c r="G24" s="10" t="s">
        <v>1162</v>
      </c>
      <c r="H24" s="10">
        <v>0</v>
      </c>
      <c r="I24" s="10">
        <v>72555506</v>
      </c>
      <c r="J24" s="10">
        <v>23207.25302</v>
      </c>
      <c r="K24" s="10">
        <v>10724830.656657999</v>
      </c>
      <c r="L24" s="10"/>
      <c r="M24" s="11">
        <f>_xlfn.XLOOKUP(D24, 'Model VMT by TAZ'!A:A, 'Model VMT by TAZ'!E:E,"0")</f>
        <v>164230.44</v>
      </c>
      <c r="N24" s="2">
        <f>M24</f>
        <v>164230.44</v>
      </c>
    </row>
    <row r="25" spans="1:14" x14ac:dyDescent="0.35">
      <c r="M25" s="2"/>
    </row>
    <row r="27" spans="1:14" x14ac:dyDescent="0.35">
      <c r="A27" s="2"/>
    </row>
  </sheetData>
  <pageMargins left="0.7" right="0.7" top="0.75" bottom="0.75" header="0.3" footer="0.3"/>
  <pageSetup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5C369-92B5-47FC-A547-5DCBE58C923F}">
  <sheetPr>
    <tabColor theme="6"/>
  </sheetPr>
  <dimension ref="A1:D14"/>
  <sheetViews>
    <sheetView workbookViewId="0">
      <selection activeCell="B25" sqref="B25"/>
    </sheetView>
  </sheetViews>
  <sheetFormatPr defaultRowHeight="14.5" x14ac:dyDescent="0.35"/>
  <cols>
    <col min="1" max="1" width="16" customWidth="1"/>
    <col min="3" max="3" width="14.1796875" customWidth="1"/>
    <col min="4" max="4" width="13.26953125" customWidth="1"/>
  </cols>
  <sheetData>
    <row r="1" spans="1:4" x14ac:dyDescent="0.35">
      <c r="A1" s="54" t="s">
        <v>1247</v>
      </c>
      <c r="B1" s="54" t="s">
        <v>1248</v>
      </c>
    </row>
    <row r="2" spans="1:4" x14ac:dyDescent="0.35">
      <c r="A2" s="54" t="s">
        <v>1249</v>
      </c>
      <c r="B2" s="54"/>
    </row>
    <row r="3" spans="1:4" s="2" customFormat="1" x14ac:dyDescent="0.35">
      <c r="A3" s="125" t="s">
        <v>1151</v>
      </c>
      <c r="B3" s="291" t="s">
        <v>1165</v>
      </c>
      <c r="C3" s="292" t="s">
        <v>1166</v>
      </c>
      <c r="D3" s="292" t="s">
        <v>1168</v>
      </c>
    </row>
    <row r="4" spans="1:4" s="2" customFormat="1" x14ac:dyDescent="0.35">
      <c r="A4" s="127">
        <v>2032</v>
      </c>
      <c r="B4">
        <f>_xlfn.XLOOKUP(A4,'Model VMT by TAZ'!$A:$A,'Model VMT by TAZ'!$E:$E)</f>
        <v>33314.57</v>
      </c>
      <c r="C4">
        <f>_xlfn.XLOOKUP(A4,'Model Modeshare by TAZ'!$A:$A,'Model Modeshare by TAZ'!$G:$G)</f>
        <v>234.8</v>
      </c>
      <c r="D4">
        <f>_xlfn.XLOOKUP(A4,'Model Modeshare by TAZ'!$A:$A,'Model Modeshare by TAZ'!$J:$J)</f>
        <v>8920.24</v>
      </c>
    </row>
    <row r="5" spans="1:4" x14ac:dyDescent="0.35">
      <c r="A5" s="127">
        <v>1632</v>
      </c>
      <c r="B5">
        <f>_xlfn.XLOOKUP(A5,'Model VMT by TAZ'!$A:$A,'Model VMT by TAZ'!$E:$E)</f>
        <v>55107.5</v>
      </c>
      <c r="C5">
        <f>_xlfn.XLOOKUP(A5,'Model Modeshare by TAZ'!$A:$A,'Model Modeshare by TAZ'!$G:$G)</f>
        <v>190.98</v>
      </c>
      <c r="D5">
        <f>_xlfn.XLOOKUP(A5,'Model Modeshare by TAZ'!$A:$A,'Model Modeshare by TAZ'!$J:$J)</f>
        <v>9219.64</v>
      </c>
    </row>
    <row r="6" spans="1:4" x14ac:dyDescent="0.35">
      <c r="A6" s="127">
        <v>2034</v>
      </c>
      <c r="B6">
        <f>_xlfn.XLOOKUP(A6,'Model VMT by TAZ'!$A:$A,'Model VMT by TAZ'!$E:$E)</f>
        <v>59375.31</v>
      </c>
      <c r="C6">
        <f>_xlfn.XLOOKUP(A6,'Model Modeshare by TAZ'!$A:$A,'Model Modeshare by TAZ'!$G:$G)</f>
        <v>281.10000000000002</v>
      </c>
      <c r="D6">
        <f>_xlfn.XLOOKUP(A6,'Model Modeshare by TAZ'!$A:$A,'Model Modeshare by TAZ'!$J:$J)</f>
        <v>14586.24</v>
      </c>
    </row>
    <row r="7" spans="1:4" x14ac:dyDescent="0.35">
      <c r="A7" s="127">
        <v>2035</v>
      </c>
      <c r="B7">
        <f>_xlfn.XLOOKUP(A7,'Model VMT by TAZ'!$A:$A,'Model VMT by TAZ'!$E:$E)</f>
        <v>324470.39</v>
      </c>
      <c r="C7">
        <f>_xlfn.XLOOKUP(A7,'Model Modeshare by TAZ'!$A:$A,'Model Modeshare by TAZ'!$G:$G)</f>
        <v>1177.82</v>
      </c>
      <c r="D7">
        <f>_xlfn.XLOOKUP(A7,'Model Modeshare by TAZ'!$A:$A,'Model Modeshare by TAZ'!$J:$J)</f>
        <v>34019.14</v>
      </c>
    </row>
    <row r="8" spans="1:4" x14ac:dyDescent="0.35">
      <c r="A8" s="127">
        <v>1581</v>
      </c>
      <c r="B8">
        <f>_xlfn.XLOOKUP(A8,'Model VMT by TAZ'!$A:$A,'Model VMT by TAZ'!$E:$E)</f>
        <v>33982.720000000001</v>
      </c>
      <c r="C8">
        <f>_xlfn.XLOOKUP(A8,'Model Modeshare by TAZ'!$A:$A,'Model Modeshare by TAZ'!$G:$G)</f>
        <v>124.7</v>
      </c>
      <c r="D8">
        <f>_xlfn.XLOOKUP(A8,'Model Modeshare by TAZ'!$A:$A,'Model Modeshare by TAZ'!$J:$J)</f>
        <v>5493.82</v>
      </c>
    </row>
    <row r="9" spans="1:4" x14ac:dyDescent="0.35">
      <c r="A9" s="127">
        <v>1580</v>
      </c>
      <c r="B9">
        <f>_xlfn.XLOOKUP(A9,'Model VMT by TAZ'!$A:$A,'Model VMT by TAZ'!$E:$E)</f>
        <v>74732.100000000006</v>
      </c>
      <c r="C9">
        <f>_xlfn.XLOOKUP(A9,'Model Modeshare by TAZ'!$A:$A,'Model Modeshare by TAZ'!$G:$G)</f>
        <v>269.22000000000003</v>
      </c>
      <c r="D9">
        <f>_xlfn.XLOOKUP(A9,'Model Modeshare by TAZ'!$A:$A,'Model Modeshare by TAZ'!$J:$J)</f>
        <v>15364.28</v>
      </c>
    </row>
    <row r="10" spans="1:4" x14ac:dyDescent="0.35">
      <c r="A10" s="127">
        <v>1682</v>
      </c>
      <c r="B10">
        <f>_xlfn.XLOOKUP(A10,'Model VMT by TAZ'!$A:$A,'Model VMT by TAZ'!$E:$E)</f>
        <v>59059.4</v>
      </c>
      <c r="C10">
        <f>_xlfn.XLOOKUP(A10,'Model Modeshare by TAZ'!$A:$A,'Model Modeshare by TAZ'!$G:$G)</f>
        <v>255.26</v>
      </c>
      <c r="D10">
        <f>_xlfn.XLOOKUP(A10,'Model Modeshare by TAZ'!$A:$A,'Model Modeshare by TAZ'!$J:$J)</f>
        <v>12567.92</v>
      </c>
    </row>
    <row r="11" spans="1:4" x14ac:dyDescent="0.35">
      <c r="A11" s="127">
        <v>1579</v>
      </c>
      <c r="B11">
        <f>_xlfn.XLOOKUP(A11,'Model VMT by TAZ'!$A:$A,'Model VMT by TAZ'!$E:$E)</f>
        <v>157691.56</v>
      </c>
      <c r="C11">
        <f>_xlfn.XLOOKUP(A11,'Model Modeshare by TAZ'!$A:$A,'Model Modeshare by TAZ'!$G:$G)</f>
        <v>263.16000000000003</v>
      </c>
      <c r="D11">
        <f>_xlfn.XLOOKUP(A11,'Model Modeshare by TAZ'!$A:$A,'Model Modeshare by TAZ'!$J:$J)</f>
        <v>20674.900000000001</v>
      </c>
    </row>
    <row r="12" spans="1:4" x14ac:dyDescent="0.35">
      <c r="A12" s="127">
        <v>1630</v>
      </c>
      <c r="B12">
        <f>_xlfn.XLOOKUP(A12,'Model VMT by TAZ'!$A:$A,'Model VMT by TAZ'!$E:$E)</f>
        <v>47449.39</v>
      </c>
      <c r="C12">
        <f>_xlfn.XLOOKUP(A12,'Model Modeshare by TAZ'!$A:$A,'Model Modeshare by TAZ'!$G:$G)</f>
        <v>194.28</v>
      </c>
      <c r="D12">
        <f>_xlfn.XLOOKUP(A12,'Model Modeshare by TAZ'!$A:$A,'Model Modeshare by TAZ'!$J:$J)</f>
        <v>8069.16</v>
      </c>
    </row>
    <row r="13" spans="1:4" x14ac:dyDescent="0.35">
      <c r="A13" s="127">
        <v>1681</v>
      </c>
      <c r="B13">
        <f>_xlfn.XLOOKUP(A13,'Model VMT by TAZ'!$A:$A,'Model VMT by TAZ'!$E:$E)</f>
        <v>77679.55</v>
      </c>
      <c r="C13">
        <f>_xlfn.XLOOKUP(A13,'Model Modeshare by TAZ'!$A:$A,'Model Modeshare by TAZ'!$G:$G)</f>
        <v>359.4</v>
      </c>
      <c r="D13">
        <f>_xlfn.XLOOKUP(A13,'Model Modeshare by TAZ'!$A:$A,'Model Modeshare by TAZ'!$J:$J)</f>
        <v>14536.44</v>
      </c>
    </row>
    <row r="14" spans="1:4" x14ac:dyDescent="0.35">
      <c r="A14" s="127">
        <v>1631</v>
      </c>
      <c r="B14">
        <f>_xlfn.XLOOKUP(A14,'Model VMT by TAZ'!$A:$A,'Model VMT by TAZ'!$E:$E)</f>
        <v>163492.35999999999</v>
      </c>
      <c r="C14">
        <f>_xlfn.XLOOKUP(A14,'Model Modeshare by TAZ'!$A:$A,'Model Modeshare by TAZ'!$G:$G)</f>
        <v>457.74</v>
      </c>
      <c r="D14">
        <f>_xlfn.XLOOKUP(A14,'Model Modeshare by TAZ'!$A:$A,'Model Modeshare by TAZ'!$J:$J)</f>
        <v>23042.34</v>
      </c>
    </row>
  </sheetData>
  <pageMargins left="0.7" right="0.7" top="0.75" bottom="0.75" header="0.3" footer="0.3"/>
  <pageSetup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76D7-D54D-44D1-A9DF-913458408A72}">
  <sheetPr>
    <tabColor theme="6"/>
  </sheetPr>
  <dimension ref="A1:D9"/>
  <sheetViews>
    <sheetView workbookViewId="0">
      <selection activeCell="B25" sqref="B25"/>
    </sheetView>
  </sheetViews>
  <sheetFormatPr defaultRowHeight="14.5" x14ac:dyDescent="0.35"/>
  <cols>
    <col min="1" max="1" width="16" customWidth="1"/>
    <col min="3" max="3" width="14.453125" customWidth="1"/>
    <col min="4" max="4" width="19.26953125" customWidth="1"/>
  </cols>
  <sheetData>
    <row r="1" spans="1:4" x14ac:dyDescent="0.35">
      <c r="A1" s="54" t="s">
        <v>1247</v>
      </c>
      <c r="B1" s="54" t="s">
        <v>1250</v>
      </c>
    </row>
    <row r="2" spans="1:4" x14ac:dyDescent="0.35">
      <c r="A2" s="293" t="s">
        <v>1251</v>
      </c>
      <c r="B2" s="54"/>
    </row>
    <row r="3" spans="1:4" x14ac:dyDescent="0.35">
      <c r="A3" s="125" t="s">
        <v>1151</v>
      </c>
      <c r="B3" s="291" t="s">
        <v>1165</v>
      </c>
      <c r="C3" s="292" t="s">
        <v>1166</v>
      </c>
      <c r="D3" s="292" t="s">
        <v>1168</v>
      </c>
    </row>
    <row r="4" spans="1:4" s="2" customFormat="1" x14ac:dyDescent="0.35">
      <c r="A4" s="127">
        <v>1994</v>
      </c>
      <c r="B4">
        <f>_xlfn.XLOOKUP(A4,'Model VMT by TAZ'!$A:$A,'Model VMT by TAZ'!$E:$E)</f>
        <v>103737.05</v>
      </c>
      <c r="C4">
        <f>_xlfn.XLOOKUP(A4,'Model Modeshare by TAZ'!$A:$A,'Model Modeshare by TAZ'!$G:$G)</f>
        <v>0</v>
      </c>
      <c r="D4">
        <f>_xlfn.XLOOKUP(A4,'Model Modeshare by TAZ'!$A:$A,'Model Modeshare by TAZ'!$J:$J)</f>
        <v>7011.24</v>
      </c>
    </row>
    <row r="5" spans="1:4" s="2" customFormat="1" x14ac:dyDescent="0.35">
      <c r="A5" s="127">
        <v>1557</v>
      </c>
      <c r="B5">
        <f>_xlfn.XLOOKUP(A5,'Model VMT by TAZ'!$A:$A,'Model VMT by TAZ'!$E:$E)</f>
        <v>164230.44</v>
      </c>
      <c r="C5">
        <f>_xlfn.XLOOKUP(A5,'Model Modeshare by TAZ'!$A:$A,'Model Modeshare by TAZ'!$G:$G)</f>
        <v>283.02</v>
      </c>
      <c r="D5">
        <f>_xlfn.XLOOKUP(A5,'Model Modeshare by TAZ'!$A:$A,'Model Modeshare by TAZ'!$J:$J)</f>
        <v>26122.3</v>
      </c>
    </row>
    <row r="6" spans="1:4" x14ac:dyDescent="0.35">
      <c r="A6" s="127">
        <v>1616</v>
      </c>
      <c r="B6">
        <f>_xlfn.XLOOKUP(A6,'Model VMT by TAZ'!$A:$A,'Model VMT by TAZ'!$E:$E)</f>
        <v>192498.22</v>
      </c>
      <c r="C6">
        <f>_xlfn.XLOOKUP(A6,'Model Modeshare by TAZ'!$A:$A,'Model Modeshare by TAZ'!$G:$G)</f>
        <v>279.89999999999998</v>
      </c>
      <c r="D6">
        <f>_xlfn.XLOOKUP(A6,'Model Modeshare by TAZ'!$A:$A,'Model Modeshare by TAZ'!$J:$J)</f>
        <v>23979.02</v>
      </c>
    </row>
    <row r="7" spans="1:4" x14ac:dyDescent="0.35">
      <c r="A7" s="127">
        <v>1558</v>
      </c>
      <c r="B7">
        <f>_xlfn.XLOOKUP(A7,'Model VMT by TAZ'!$A:$A,'Model VMT by TAZ'!$E:$E)</f>
        <v>499241.36</v>
      </c>
      <c r="C7">
        <f>_xlfn.XLOOKUP(A7,'Model Modeshare by TAZ'!$A:$A,'Model Modeshare by TAZ'!$G:$G)</f>
        <v>451.6</v>
      </c>
      <c r="D7">
        <f>_xlfn.XLOOKUP(A7,'Model Modeshare by TAZ'!$A:$A,'Model Modeshare by TAZ'!$J:$J)</f>
        <v>60749.66</v>
      </c>
    </row>
    <row r="8" spans="1:4" x14ac:dyDescent="0.35">
      <c r="A8" s="127">
        <v>1618</v>
      </c>
      <c r="B8">
        <f>_xlfn.XLOOKUP(A8,'Model VMT by TAZ'!$A:$A,'Model VMT by TAZ'!$E:$E)</f>
        <v>25426.89</v>
      </c>
      <c r="C8">
        <f>_xlfn.XLOOKUP(A8,'Model Modeshare by TAZ'!$A:$A,'Model Modeshare by TAZ'!$G:$G)</f>
        <v>18.28</v>
      </c>
      <c r="D8">
        <f>_xlfn.XLOOKUP(A8,'Model Modeshare by TAZ'!$A:$A,'Model Modeshare by TAZ'!$J:$J)</f>
        <v>3674.24</v>
      </c>
    </row>
    <row r="9" spans="1:4" x14ac:dyDescent="0.35">
      <c r="A9" s="127">
        <v>1556</v>
      </c>
      <c r="B9">
        <f>_xlfn.XLOOKUP(A9,'Model VMT by TAZ'!$A:$A,'Model VMT by TAZ'!$E:$E)</f>
        <v>30565.24</v>
      </c>
      <c r="C9">
        <f>_xlfn.XLOOKUP(A9,'Model Modeshare by TAZ'!$A:$A,'Model Modeshare by TAZ'!$G:$G)</f>
        <v>45.52</v>
      </c>
      <c r="D9">
        <f>_xlfn.XLOOKUP(A9,'Model Modeshare by TAZ'!$A:$A,'Model Modeshare by TAZ'!$J:$J)</f>
        <v>4162.9399999999996</v>
      </c>
    </row>
  </sheetData>
  <pageMargins left="0.7" right="0.7" top="0.75" bottom="0.75" header="0.3" footer="0.3"/>
  <pageSetup orientation="portrait" horizontalDpi="1200" verticalDpi="1200"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2F4DA-3F08-40D2-880A-8B8B1EBCF544}">
  <sheetPr>
    <tabColor theme="6"/>
  </sheetPr>
  <dimension ref="A1:AD29"/>
  <sheetViews>
    <sheetView workbookViewId="0">
      <selection activeCell="B25" sqref="B25"/>
    </sheetView>
  </sheetViews>
  <sheetFormatPr defaultRowHeight="14.5" x14ac:dyDescent="0.35"/>
  <cols>
    <col min="1" max="1" width="11.7265625" customWidth="1"/>
    <col min="2" max="2" width="10.7265625" bestFit="1" customWidth="1"/>
    <col min="3" max="3" width="26.26953125" customWidth="1"/>
    <col min="4" max="4" width="14.1796875" customWidth="1"/>
    <col min="5" max="5" width="17.81640625" customWidth="1"/>
    <col min="6" max="6" width="12.7265625" customWidth="1"/>
    <col min="7" max="7" width="9.1796875" customWidth="1"/>
    <col min="8" max="8" width="13.7265625" customWidth="1"/>
    <col min="9" max="9" width="24.7265625" customWidth="1"/>
    <col min="10" max="10" width="9.1796875" customWidth="1"/>
    <col min="12" max="12" width="19.81640625" customWidth="1"/>
    <col min="13" max="13" width="11.54296875" customWidth="1"/>
    <col min="14" max="14" width="14.1796875" customWidth="1"/>
    <col min="16" max="16" width="40.26953125" customWidth="1"/>
    <col min="17" max="17" width="28" bestFit="1" customWidth="1"/>
    <col min="20" max="20" width="18.1796875" customWidth="1"/>
    <col min="21" max="21" width="16.7265625" customWidth="1"/>
    <col min="23" max="23" width="15.54296875" customWidth="1"/>
    <col min="24" max="24" width="15" customWidth="1"/>
    <col min="25" max="25" width="13.1796875" customWidth="1"/>
  </cols>
  <sheetData>
    <row r="1" spans="1:30" x14ac:dyDescent="0.35">
      <c r="A1" s="54" t="s">
        <v>1252</v>
      </c>
    </row>
    <row r="3" spans="1:30" x14ac:dyDescent="0.35">
      <c r="A3" s="2" t="s">
        <v>1253</v>
      </c>
      <c r="D3" s="54" t="s">
        <v>1254</v>
      </c>
    </row>
    <row r="4" spans="1:30" ht="26.5" x14ac:dyDescent="0.35">
      <c r="A4" s="237" t="s">
        <v>1255</v>
      </c>
      <c r="B4" s="237" t="s">
        <v>1256</v>
      </c>
      <c r="C4" s="238" t="s">
        <v>1168</v>
      </c>
      <c r="D4" s="238" t="s">
        <v>1257</v>
      </c>
      <c r="E4" s="238" t="s">
        <v>1258</v>
      </c>
      <c r="F4" s="238" t="s">
        <v>411</v>
      </c>
      <c r="H4" s="238" t="s">
        <v>1259</v>
      </c>
      <c r="I4" s="238" t="s">
        <v>1260</v>
      </c>
    </row>
    <row r="5" spans="1:30" x14ac:dyDescent="0.35">
      <c r="A5">
        <v>1892</v>
      </c>
      <c r="B5" s="51">
        <f>_xlfn.XLOOKUP(A5, 'Model VMT by TAZ'!A:A, 'Model VMT by TAZ'!G:G, "N/A")</f>
        <v>65549.75</v>
      </c>
      <c r="C5" s="51">
        <f>_xlfn.XLOOKUP(A5, 'Model VMT by TAZ'!$A:$A, 'Model VMT by TAZ'!$J:$J, "N/A")</f>
        <v>6845</v>
      </c>
      <c r="D5" s="51">
        <f>_xlfn.XLOOKUP(A5,'Model Modeshare by TAZ'!$A:$A,'Model Modeshare by TAZ'!$E:$E,0)+_xlfn.XLOOKUP(A5,'Model Modeshare by TAZ'!$A:$A,'Model Modeshare by TAZ'!$F:$F,0)</f>
        <v>29473.56</v>
      </c>
      <c r="E5" s="51">
        <f>_xlfn.XLOOKUP(A5, 'Model VMT by TAZ'!$A:$A, 'Model Modeshare by TAZ'!$H:$H, "N/A")</f>
        <v>667.28</v>
      </c>
      <c r="F5" s="2" t="str">
        <f>_xlfn.XLOOKUP(A5, 'Model VMT by TAZ'!A:A, 'Model VMT by TAZ'!C:C)</f>
        <v>YES</v>
      </c>
      <c r="H5" s="33">
        <f>(SUM(D5:D78))/(SUM(C5:C78))</f>
        <v>4.4650352968814246</v>
      </c>
      <c r="I5" s="33">
        <f>(SUM(E5:E78))/(SUM(C5:C78))</f>
        <v>7.3762612321606871E-2</v>
      </c>
    </row>
    <row r="6" spans="1:30" x14ac:dyDescent="0.35">
      <c r="A6">
        <v>1896</v>
      </c>
      <c r="B6" s="51">
        <f>_xlfn.XLOOKUP(A6, 'Model VMT by TAZ'!A:A, 'Model VMT by TAZ'!G:G, "N/A")</f>
        <v>81658.320000000007</v>
      </c>
      <c r="C6" s="51">
        <f>_xlfn.XLOOKUP(A6, 'Model VMT by TAZ'!$A:$A, 'Model VMT by TAZ'!$J:$J, "N/A")</f>
        <v>6967</v>
      </c>
      <c r="D6" s="51">
        <f>_xlfn.XLOOKUP(A6,'Model Modeshare by TAZ'!$A:$A,'Model Modeshare by TAZ'!$E:$E,0)+_xlfn.XLOOKUP(A6,'Model Modeshare by TAZ'!$A:$A,'Model Modeshare by TAZ'!$F:$F,0)</f>
        <v>26518.22</v>
      </c>
      <c r="E6" s="51">
        <f>_xlfn.XLOOKUP(A6, 'Model VMT by TAZ'!$A:$A, 'Model Modeshare by TAZ'!$H:$H, "N/A")</f>
        <v>404.56</v>
      </c>
      <c r="F6" s="2" t="str">
        <f>_xlfn.XLOOKUP(A6, 'Model VMT by TAZ'!A:A, 'Model VMT by TAZ'!C:C)</f>
        <v>YES</v>
      </c>
    </row>
    <row r="7" spans="1:30" x14ac:dyDescent="0.35">
      <c r="A7">
        <v>1895</v>
      </c>
      <c r="B7" s="51">
        <f>_xlfn.XLOOKUP(A7, 'Model VMT by TAZ'!A:A, 'Model VMT by TAZ'!G:G, "N/A")</f>
        <v>60141.18</v>
      </c>
      <c r="C7" s="51">
        <f>_xlfn.XLOOKUP(A7, 'Model VMT by TAZ'!$A:$A, 'Model VMT by TAZ'!$J:$J, "N/A")</f>
        <v>5775</v>
      </c>
      <c r="D7" s="51">
        <f>_xlfn.XLOOKUP(A7,'Model Modeshare by TAZ'!$A:$A,'Model Modeshare by TAZ'!$E:$E,0)+_xlfn.XLOOKUP(A7,'Model Modeshare by TAZ'!$A:$A,'Model Modeshare by TAZ'!$F:$F,0)</f>
        <v>19015.800000000003</v>
      </c>
      <c r="E7" s="51">
        <f>_xlfn.XLOOKUP(A7, 'Model VMT by TAZ'!$A:$A, 'Model Modeshare by TAZ'!$H:$H, "N/A")</f>
        <v>317.3</v>
      </c>
      <c r="F7" s="2" t="str">
        <f>_xlfn.XLOOKUP(A7, 'Model VMT by TAZ'!A:A, 'Model VMT by TAZ'!C:C)</f>
        <v>YES</v>
      </c>
    </row>
    <row r="8" spans="1:30" ht="39.5" x14ac:dyDescent="0.35">
      <c r="A8">
        <v>1894</v>
      </c>
      <c r="B8" s="51">
        <f>_xlfn.XLOOKUP(A8, 'Model VMT by TAZ'!A:A, 'Model VMT by TAZ'!G:G, "N/A")</f>
        <v>27964.91</v>
      </c>
      <c r="C8" s="51">
        <f>_xlfn.XLOOKUP(A8, 'Model VMT by TAZ'!$A:$A, 'Model VMT by TAZ'!$J:$J, "N/A")</f>
        <v>3300</v>
      </c>
      <c r="D8" s="51">
        <f>_xlfn.XLOOKUP(A8,'Model Modeshare by TAZ'!$A:$A,'Model Modeshare by TAZ'!$E:$E,0)+_xlfn.XLOOKUP(A8,'Model Modeshare by TAZ'!$A:$A,'Model Modeshare by TAZ'!$F:$F,0)</f>
        <v>20381.78</v>
      </c>
      <c r="E8" s="51">
        <f>_xlfn.XLOOKUP(A8, 'Model VMT by TAZ'!$A:$A, 'Model Modeshare by TAZ'!$H:$H, "N/A")</f>
        <v>318.24</v>
      </c>
      <c r="F8" s="2" t="str">
        <f>_xlfn.XLOOKUP(A8, 'Model VMT by TAZ'!A:A, 'Model VMT by TAZ'!C:C)</f>
        <v>YES</v>
      </c>
      <c r="H8" s="240" t="s">
        <v>1261</v>
      </c>
      <c r="I8" s="240" t="s">
        <v>1262</v>
      </c>
      <c r="J8" s="240" t="s">
        <v>1263</v>
      </c>
      <c r="K8" s="240" t="s">
        <v>1264</v>
      </c>
      <c r="L8" s="240" t="s">
        <v>1265</v>
      </c>
      <c r="M8" s="240" t="s">
        <v>1266</v>
      </c>
      <c r="N8" s="240" t="s">
        <v>1267</v>
      </c>
      <c r="O8" s="240" t="s">
        <v>1268</v>
      </c>
      <c r="P8" s="240" t="s">
        <v>1269</v>
      </c>
      <c r="Q8" s="240" t="s">
        <v>1270</v>
      </c>
      <c r="R8" s="240" t="s">
        <v>1271</v>
      </c>
      <c r="S8" s="240" t="s">
        <v>1272</v>
      </c>
      <c r="T8" s="240" t="s">
        <v>1273</v>
      </c>
      <c r="U8" s="240" t="s">
        <v>1274</v>
      </c>
      <c r="V8" s="240" t="s">
        <v>1275</v>
      </c>
      <c r="W8" s="240" t="s">
        <v>1276</v>
      </c>
      <c r="X8" s="240" t="s">
        <v>1277</v>
      </c>
      <c r="Y8" s="240" t="s">
        <v>1278</v>
      </c>
      <c r="Z8" s="240" t="s">
        <v>1279</v>
      </c>
      <c r="AA8" s="240" t="s">
        <v>1280</v>
      </c>
      <c r="AB8" s="240" t="s">
        <v>1281</v>
      </c>
      <c r="AC8" s="240" t="s">
        <v>1282</v>
      </c>
      <c r="AD8" s="240" t="s">
        <v>1283</v>
      </c>
    </row>
    <row r="9" spans="1:30" ht="29" x14ac:dyDescent="0.35">
      <c r="A9">
        <v>1897</v>
      </c>
      <c r="B9" s="51">
        <f>_xlfn.XLOOKUP(A9, 'Model VMT by TAZ'!A:A, 'Model VMT by TAZ'!G:G, "N/A")</f>
        <v>53960.92</v>
      </c>
      <c r="C9" s="51">
        <f>_xlfn.XLOOKUP(A9, 'Model VMT by TAZ'!$A:$A, 'Model VMT by TAZ'!$J:$J, "N/A")</f>
        <v>5102</v>
      </c>
      <c r="D9" s="51">
        <f>_xlfn.XLOOKUP(A9,'Model Modeshare by TAZ'!$A:$A,'Model Modeshare by TAZ'!$E:$E,0)+_xlfn.XLOOKUP(A9,'Model Modeshare by TAZ'!$A:$A,'Model Modeshare by TAZ'!$F:$F,0)</f>
        <v>14998.96</v>
      </c>
      <c r="E9" s="51">
        <f>_xlfn.XLOOKUP(A9, 'Model VMT by TAZ'!$A:$A, 'Model Modeshare by TAZ'!$H:$H, "N/A")</f>
        <v>257.89999999999998</v>
      </c>
      <c r="F9" s="2" t="str">
        <f>_xlfn.XLOOKUP(A9, 'Model VMT by TAZ'!A:A, 'Model VMT by TAZ'!C:C)</f>
        <v>YES</v>
      </c>
      <c r="H9">
        <v>2.0099999999999998</v>
      </c>
      <c r="I9" t="s">
        <v>368</v>
      </c>
      <c r="J9" t="s">
        <v>1284</v>
      </c>
      <c r="K9" t="s">
        <v>1285</v>
      </c>
      <c r="L9" s="28" t="s">
        <v>1286</v>
      </c>
      <c r="M9" s="28" t="s">
        <v>1287</v>
      </c>
      <c r="N9" s="28" t="s">
        <v>1288</v>
      </c>
      <c r="O9">
        <v>1.8191999999999999</v>
      </c>
      <c r="P9" t="s">
        <v>1289</v>
      </c>
      <c r="Q9" t="s">
        <v>1290</v>
      </c>
      <c r="R9" t="s">
        <v>1291</v>
      </c>
      <c r="S9">
        <v>0</v>
      </c>
      <c r="T9">
        <v>240000</v>
      </c>
      <c r="U9">
        <v>130000</v>
      </c>
      <c r="V9" t="s">
        <v>1292</v>
      </c>
      <c r="W9">
        <v>8</v>
      </c>
      <c r="X9">
        <v>7.7480000000000002</v>
      </c>
      <c r="Y9">
        <v>3</v>
      </c>
      <c r="Z9">
        <v>0.40200000000000002</v>
      </c>
      <c r="AA9">
        <v>0.55800000000000005</v>
      </c>
      <c r="AB9">
        <v>1.589</v>
      </c>
      <c r="AC9">
        <v>1.2</v>
      </c>
      <c r="AD9">
        <v>1</v>
      </c>
    </row>
    <row r="10" spans="1:30" ht="29" x14ac:dyDescent="0.35">
      <c r="A10">
        <v>1898</v>
      </c>
      <c r="B10" s="51">
        <f>_xlfn.XLOOKUP(A10, 'Model VMT by TAZ'!A:A, 'Model VMT by TAZ'!G:G, "N/A")</f>
        <v>17460.09</v>
      </c>
      <c r="C10" s="51">
        <f>_xlfn.XLOOKUP(A10, 'Model VMT by TAZ'!$A:$A, 'Model VMT by TAZ'!$J:$J, "N/A")</f>
        <v>1218</v>
      </c>
      <c r="D10" s="51">
        <f>_xlfn.XLOOKUP(A10,'Model Modeshare by TAZ'!$A:$A,'Model Modeshare by TAZ'!$E:$E,0)+_xlfn.XLOOKUP(A10,'Model Modeshare by TAZ'!$A:$A,'Model Modeshare by TAZ'!$F:$F,0)</f>
        <v>8356.5600000000013</v>
      </c>
      <c r="E10" s="51">
        <f>_xlfn.XLOOKUP(A10, 'Model VMT by TAZ'!$A:$A, 'Model Modeshare by TAZ'!$H:$H, "N/A")</f>
        <v>139.80000000000001</v>
      </c>
      <c r="F10" s="2" t="str">
        <f>_xlfn.XLOOKUP(A10, 'Model VMT by TAZ'!A:A, 'Model VMT by TAZ'!C:C)</f>
        <v>YES</v>
      </c>
      <c r="H10">
        <v>2.02</v>
      </c>
      <c r="I10" t="s">
        <v>368</v>
      </c>
      <c r="J10" t="s">
        <v>1284</v>
      </c>
      <c r="K10" t="s">
        <v>1285</v>
      </c>
      <c r="L10" s="28" t="s">
        <v>1293</v>
      </c>
      <c r="M10" s="28" t="s">
        <v>1288</v>
      </c>
      <c r="N10" s="28" t="s">
        <v>1294</v>
      </c>
      <c r="O10">
        <v>0.4108</v>
      </c>
      <c r="P10" t="s">
        <v>1295</v>
      </c>
      <c r="Q10" t="s">
        <v>1296</v>
      </c>
      <c r="R10" t="s">
        <v>1291</v>
      </c>
      <c r="S10">
        <v>0</v>
      </c>
      <c r="T10">
        <v>1340000</v>
      </c>
      <c r="U10">
        <v>3270000</v>
      </c>
      <c r="V10" t="s">
        <v>1292</v>
      </c>
      <c r="W10">
        <v>8</v>
      </c>
      <c r="X10">
        <v>9.1170000000000009</v>
      </c>
      <c r="Y10">
        <v>3</v>
      </c>
      <c r="Z10">
        <v>0.74399999999999999</v>
      </c>
      <c r="AA10">
        <v>0.61299999999999999</v>
      </c>
      <c r="AB10">
        <v>1.76</v>
      </c>
      <c r="AC10">
        <v>2</v>
      </c>
      <c r="AD10">
        <v>1</v>
      </c>
    </row>
    <row r="11" spans="1:30" ht="43.5" x14ac:dyDescent="0.35">
      <c r="A11">
        <v>1900</v>
      </c>
      <c r="B11" s="51">
        <f>_xlfn.XLOOKUP(A11, 'Model VMT by TAZ'!A:A, 'Model VMT by TAZ'!G:G, "N/A")</f>
        <v>13076.43</v>
      </c>
      <c r="C11" s="51">
        <f>_xlfn.XLOOKUP(A11, 'Model VMT by TAZ'!$A:$A, 'Model VMT by TAZ'!$J:$J, "N/A")</f>
        <v>1740</v>
      </c>
      <c r="D11" s="51">
        <f>_xlfn.XLOOKUP(A11,'Model Modeshare by TAZ'!$A:$A,'Model Modeshare by TAZ'!$E:$E,0)+_xlfn.XLOOKUP(A11,'Model Modeshare by TAZ'!$A:$A,'Model Modeshare by TAZ'!$F:$F,0)</f>
        <v>24018.560000000001</v>
      </c>
      <c r="E11" s="51">
        <f>_xlfn.XLOOKUP(A11, 'Model VMT by TAZ'!$A:$A, 'Model Modeshare by TAZ'!$H:$H, "N/A")</f>
        <v>311.86</v>
      </c>
      <c r="F11" s="2" t="str">
        <f>_xlfn.XLOOKUP(A11, 'Model VMT by TAZ'!A:A, 'Model VMT by TAZ'!C:C)</f>
        <v>YES</v>
      </c>
      <c r="H11">
        <v>5.01</v>
      </c>
      <c r="I11" s="28" t="s">
        <v>1297</v>
      </c>
      <c r="J11" t="s">
        <v>1284</v>
      </c>
      <c r="K11" t="s">
        <v>1285</v>
      </c>
      <c r="L11" s="28" t="s">
        <v>1294</v>
      </c>
      <c r="M11" s="28" t="s">
        <v>1293</v>
      </c>
      <c r="N11" s="28" t="s">
        <v>1298</v>
      </c>
      <c r="O11">
        <v>2.3504</v>
      </c>
      <c r="P11" t="s">
        <v>1299</v>
      </c>
      <c r="Q11" t="s">
        <v>1296</v>
      </c>
      <c r="R11" t="s">
        <v>1291</v>
      </c>
      <c r="S11">
        <v>0</v>
      </c>
      <c r="T11">
        <v>7690000</v>
      </c>
      <c r="U11">
        <v>3270000</v>
      </c>
      <c r="V11" t="s">
        <v>1292</v>
      </c>
      <c r="W11">
        <v>7.359</v>
      </c>
      <c r="X11">
        <v>7.359</v>
      </c>
      <c r="Y11">
        <v>3</v>
      </c>
      <c r="Z11">
        <v>0.41699999999999998</v>
      </c>
      <c r="AA11">
        <v>0.33700000000000002</v>
      </c>
      <c r="AB11">
        <v>1.006</v>
      </c>
      <c r="AC11">
        <v>2</v>
      </c>
      <c r="AD11">
        <v>0.6</v>
      </c>
    </row>
    <row r="12" spans="1:30" x14ac:dyDescent="0.35">
      <c r="A12">
        <v>1918</v>
      </c>
      <c r="B12" s="51">
        <f>_xlfn.XLOOKUP(A12, 'Model VMT by TAZ'!A:A, 'Model VMT by TAZ'!G:G, "N/A")</f>
        <v>86155.94</v>
      </c>
      <c r="C12" s="51">
        <f>_xlfn.XLOOKUP(A12, 'Model VMT by TAZ'!$A:$A, 'Model VMT by TAZ'!$J:$J, "N/A")</f>
        <v>5861</v>
      </c>
      <c r="D12" s="51">
        <f>_xlfn.XLOOKUP(A12,'Model Modeshare by TAZ'!$A:$A,'Model Modeshare by TAZ'!$E:$E,0)+_xlfn.XLOOKUP(A12,'Model Modeshare by TAZ'!$A:$A,'Model Modeshare by TAZ'!$F:$F,0)</f>
        <v>32786.080000000002</v>
      </c>
      <c r="E12" s="51">
        <f>_xlfn.XLOOKUP(A12, 'Model VMT by TAZ'!$A:$A, 'Model Modeshare by TAZ'!$H:$H, "N/A")</f>
        <v>524.96</v>
      </c>
      <c r="F12" s="2" t="str">
        <f>_xlfn.XLOOKUP(A12, 'Model VMT by TAZ'!A:A, 'Model VMT by TAZ'!C:C)</f>
        <v>YES</v>
      </c>
    </row>
    <row r="13" spans="1:30" x14ac:dyDescent="0.35">
      <c r="A13">
        <v>1899</v>
      </c>
      <c r="B13" s="51">
        <f>_xlfn.XLOOKUP(A13, 'Model VMT by TAZ'!A:A, 'Model VMT by TAZ'!G:G, "N/A")</f>
        <v>2282.29</v>
      </c>
      <c r="C13" s="51">
        <f>_xlfn.XLOOKUP(A13, 'Model VMT by TAZ'!$A:$A, 'Model VMT by TAZ'!$J:$J, "N/A")</f>
        <v>189</v>
      </c>
      <c r="D13" s="51">
        <f>_xlfn.XLOOKUP(A13,'Model Modeshare by TAZ'!$A:$A,'Model Modeshare by TAZ'!$E:$E,0)+_xlfn.XLOOKUP(A13,'Model Modeshare by TAZ'!$A:$A,'Model Modeshare by TAZ'!$F:$F,0)</f>
        <v>19361.599999999999</v>
      </c>
      <c r="E13" s="51">
        <f>_xlfn.XLOOKUP(A13, 'Model VMT by TAZ'!$A:$A, 'Model Modeshare by TAZ'!$H:$H, "N/A")</f>
        <v>233.84</v>
      </c>
      <c r="F13" s="2" t="str">
        <f>_xlfn.XLOOKUP(A13, 'Model VMT by TAZ'!A:A, 'Model VMT by TAZ'!C:C)</f>
        <v>YES</v>
      </c>
      <c r="H13" s="2" t="s">
        <v>1268</v>
      </c>
    </row>
    <row r="14" spans="1:30" x14ac:dyDescent="0.35">
      <c r="A14">
        <v>1919</v>
      </c>
      <c r="B14" s="51">
        <f>_xlfn.XLOOKUP(A14, 'Model VMT by TAZ'!A:A, 'Model VMT by TAZ'!G:G, "N/A")</f>
        <v>47939.73</v>
      </c>
      <c r="C14" s="51">
        <f>_xlfn.XLOOKUP(A14, 'Model VMT by TAZ'!$A:$A, 'Model VMT by TAZ'!$J:$J, "N/A")</f>
        <v>3927</v>
      </c>
      <c r="D14" s="51">
        <f>_xlfn.XLOOKUP(A14,'Model Modeshare by TAZ'!$A:$A,'Model Modeshare by TAZ'!$E:$E,0)+_xlfn.XLOOKUP(A14,'Model Modeshare by TAZ'!$A:$A,'Model Modeshare by TAZ'!$F:$F,0)</f>
        <v>14098.98</v>
      </c>
      <c r="E14" s="51">
        <f>_xlfn.XLOOKUP(A14, 'Model VMT by TAZ'!$A:$A, 'Model Modeshare by TAZ'!$H:$H, "N/A")</f>
        <v>232.32</v>
      </c>
      <c r="F14" s="2" t="str">
        <f>_xlfn.XLOOKUP(A14, 'Model VMT by TAZ'!A:A, 'Model VMT by TAZ'!C:C)</f>
        <v>YES</v>
      </c>
      <c r="H14" t="s">
        <v>1300</v>
      </c>
      <c r="I14" s="30">
        <f>O9</f>
        <v>1.8191999999999999</v>
      </c>
    </row>
    <row r="15" spans="1:30" x14ac:dyDescent="0.35">
      <c r="A15">
        <v>1917</v>
      </c>
      <c r="B15" s="51">
        <f>_xlfn.XLOOKUP(A15, 'Model VMT by TAZ'!A:A, 'Model VMT by TAZ'!G:G, "N/A")</f>
        <v>26210.57</v>
      </c>
      <c r="C15" s="51">
        <f>_xlfn.XLOOKUP(A15, 'Model VMT by TAZ'!$A:$A, 'Model VMT by TAZ'!$J:$J, "N/A")</f>
        <v>2908</v>
      </c>
      <c r="D15" s="51">
        <f>_xlfn.XLOOKUP(A15,'Model Modeshare by TAZ'!$A:$A,'Model Modeshare by TAZ'!$E:$E,0)+_xlfn.XLOOKUP(A15,'Model Modeshare by TAZ'!$A:$A,'Model Modeshare by TAZ'!$F:$F,0)</f>
        <v>10123.02</v>
      </c>
      <c r="E15" s="51">
        <f>_xlfn.XLOOKUP(A15, 'Model VMT by TAZ'!$A:$A, 'Model Modeshare by TAZ'!$H:$H, "N/A")</f>
        <v>181.06</v>
      </c>
      <c r="F15" s="2" t="str">
        <f>_xlfn.XLOOKUP(A15, 'Model VMT by TAZ'!A:A, 'Model VMT by TAZ'!C:C)</f>
        <v>YES</v>
      </c>
      <c r="H15" t="s">
        <v>1301</v>
      </c>
      <c r="I15" s="30">
        <f>O10</f>
        <v>0.4108</v>
      </c>
    </row>
    <row r="16" spans="1:30" x14ac:dyDescent="0.35">
      <c r="A16">
        <v>1914</v>
      </c>
      <c r="B16" s="51">
        <f>_xlfn.XLOOKUP(A16, 'Model VMT by TAZ'!A:A, 'Model VMT by TAZ'!G:G, "N/A")</f>
        <v>29877.34</v>
      </c>
      <c r="C16" s="51">
        <f>_xlfn.XLOOKUP(A16, 'Model VMT by TAZ'!$A:$A, 'Model VMT by TAZ'!$J:$J, "N/A")</f>
        <v>3591</v>
      </c>
      <c r="D16" s="51">
        <f>_xlfn.XLOOKUP(A16,'Model Modeshare by TAZ'!$A:$A,'Model Modeshare by TAZ'!$E:$E,0)+_xlfn.XLOOKUP(A16,'Model Modeshare by TAZ'!$A:$A,'Model Modeshare by TAZ'!$F:$F,0)</f>
        <v>13916.48</v>
      </c>
      <c r="E16" s="51">
        <f>_xlfn.XLOOKUP(A16, 'Model VMT by TAZ'!$A:$A, 'Model Modeshare by TAZ'!$H:$H, "N/A")</f>
        <v>229.74</v>
      </c>
      <c r="F16" s="2" t="str">
        <f>_xlfn.XLOOKUP(A16, 'Model VMT by TAZ'!A:A, 'Model VMT by TAZ'!C:C)</f>
        <v>YES</v>
      </c>
      <c r="H16" t="s">
        <v>1302</v>
      </c>
      <c r="I16">
        <f>O11</f>
        <v>2.3504</v>
      </c>
    </row>
    <row r="17" spans="1:9" x14ac:dyDescent="0.35">
      <c r="A17">
        <v>1913</v>
      </c>
      <c r="B17" s="51">
        <f>_xlfn.XLOOKUP(A17, 'Model VMT by TAZ'!A:A, 'Model VMT by TAZ'!G:G, "N/A")</f>
        <v>50577.34</v>
      </c>
      <c r="C17" s="51">
        <f>_xlfn.XLOOKUP(A17, 'Model VMT by TAZ'!$A:$A, 'Model VMT by TAZ'!$J:$J, "N/A")</f>
        <v>4875</v>
      </c>
      <c r="D17" s="51">
        <f>_xlfn.XLOOKUP(A17,'Model Modeshare by TAZ'!$A:$A,'Model Modeshare by TAZ'!$E:$E,0)+_xlfn.XLOOKUP(A17,'Model Modeshare by TAZ'!$A:$A,'Model Modeshare by TAZ'!$F:$F,0)</f>
        <v>21518.84</v>
      </c>
      <c r="E17" s="51">
        <f>_xlfn.XLOOKUP(A17, 'Model VMT by TAZ'!$A:$A, 'Model Modeshare by TAZ'!$H:$H, "N/A")</f>
        <v>333</v>
      </c>
      <c r="F17" s="2" t="str">
        <f>_xlfn.XLOOKUP(A17, 'Model VMT by TAZ'!A:A, 'Model VMT by TAZ'!C:C)</f>
        <v>YES</v>
      </c>
      <c r="H17" s="2" t="s">
        <v>601</v>
      </c>
      <c r="I17" s="239">
        <f>SUM(I14:I16)</f>
        <v>4.5804</v>
      </c>
    </row>
    <row r="18" spans="1:9" x14ac:dyDescent="0.35">
      <c r="A18">
        <v>1931</v>
      </c>
      <c r="B18" s="51">
        <f>_xlfn.XLOOKUP(A18, 'Model VMT by TAZ'!A:A, 'Model VMT by TAZ'!G:G, "N/A")</f>
        <v>62508.13</v>
      </c>
      <c r="C18" s="51">
        <f>_xlfn.XLOOKUP(A18, 'Model VMT by TAZ'!$A:$A, 'Model VMT by TAZ'!$J:$J, "N/A")</f>
        <v>5057</v>
      </c>
      <c r="D18" s="51">
        <f>_xlfn.XLOOKUP(A18,'Model Modeshare by TAZ'!$A:$A,'Model Modeshare by TAZ'!$E:$E,0)+_xlfn.XLOOKUP(A18,'Model Modeshare by TAZ'!$A:$A,'Model Modeshare by TAZ'!$F:$F,0)</f>
        <v>16298.119999999999</v>
      </c>
      <c r="E18" s="51">
        <f>_xlfn.XLOOKUP(A18, 'Model VMT by TAZ'!$A:$A, 'Model Modeshare by TAZ'!$H:$H, "N/A")</f>
        <v>239.36</v>
      </c>
      <c r="F18" s="2" t="str">
        <f>_xlfn.XLOOKUP(A18, 'Model VMT by TAZ'!A:A, 'Model VMT by TAZ'!C:C)</f>
        <v>YES</v>
      </c>
    </row>
    <row r="19" spans="1:9" x14ac:dyDescent="0.35">
      <c r="A19">
        <v>1930</v>
      </c>
      <c r="B19" s="51">
        <f>_xlfn.XLOOKUP(A19, 'Model VMT by TAZ'!A:A, 'Model VMT by TAZ'!G:G, "N/A")</f>
        <v>91415.4</v>
      </c>
      <c r="C19" s="51">
        <f>_xlfn.XLOOKUP(A19, 'Model VMT by TAZ'!$A:$A, 'Model VMT by TAZ'!$J:$J, "N/A")</f>
        <v>8249</v>
      </c>
      <c r="D19" s="51">
        <f>_xlfn.XLOOKUP(A19,'Model Modeshare by TAZ'!$A:$A,'Model Modeshare by TAZ'!$E:$E,0)+_xlfn.XLOOKUP(A19,'Model Modeshare by TAZ'!$A:$A,'Model Modeshare by TAZ'!$F:$F,0)</f>
        <v>32063.14</v>
      </c>
      <c r="E19" s="51">
        <f>_xlfn.XLOOKUP(A19, 'Model VMT by TAZ'!$A:$A, 'Model Modeshare by TAZ'!$H:$H, "N/A")</f>
        <v>540.79999999999995</v>
      </c>
      <c r="F19" s="2" t="str">
        <f>_xlfn.XLOOKUP(A19, 'Model VMT by TAZ'!A:A, 'Model VMT by TAZ'!C:C)</f>
        <v>YES</v>
      </c>
    </row>
    <row r="20" spans="1:9" x14ac:dyDescent="0.35">
      <c r="A20">
        <v>1589</v>
      </c>
      <c r="B20" s="51">
        <f>_xlfn.XLOOKUP(A20, 'Model VMT by TAZ'!A:A, 'Model VMT by TAZ'!G:G, "N/A")</f>
        <v>28642.23</v>
      </c>
      <c r="C20" s="51">
        <f>_xlfn.XLOOKUP(A20, 'Model VMT by TAZ'!$A:$A, 'Model VMT by TAZ'!$J:$J, "N/A")</f>
        <v>2220</v>
      </c>
      <c r="D20" s="51">
        <f>_xlfn.XLOOKUP(A20,'Model Modeshare by TAZ'!$A:$A,'Model Modeshare by TAZ'!$E:$E,0)+_xlfn.XLOOKUP(A20,'Model Modeshare by TAZ'!$A:$A,'Model Modeshare by TAZ'!$F:$F,0)</f>
        <v>8318.24</v>
      </c>
      <c r="E20" s="51">
        <f>_xlfn.XLOOKUP(A20, 'Model VMT by TAZ'!$A:$A, 'Model Modeshare by TAZ'!$H:$H, "N/A")</f>
        <v>146.80000000000001</v>
      </c>
      <c r="F20" s="2" t="str">
        <f>_xlfn.XLOOKUP(A20, 'Model VMT by TAZ'!A:A, 'Model VMT by TAZ'!C:C)</f>
        <v>YES</v>
      </c>
    </row>
    <row r="21" spans="1:9" x14ac:dyDescent="0.35">
      <c r="A21">
        <v>1511</v>
      </c>
      <c r="B21" s="51">
        <f>_xlfn.XLOOKUP(A21, 'Model VMT by TAZ'!A:A, 'Model VMT by TAZ'!G:G, "N/A")</f>
        <v>15393.84</v>
      </c>
      <c r="C21" s="51">
        <f>_xlfn.XLOOKUP(A21, 'Model VMT by TAZ'!$A:$A, 'Model VMT by TAZ'!$J:$J, "N/A")</f>
        <v>1567</v>
      </c>
      <c r="D21" s="51">
        <f>_xlfn.XLOOKUP(A21,'Model Modeshare by TAZ'!$A:$A,'Model Modeshare by TAZ'!$E:$E,0)+_xlfn.XLOOKUP(A21,'Model Modeshare by TAZ'!$A:$A,'Model Modeshare by TAZ'!$F:$F,0)</f>
        <v>4864.84</v>
      </c>
      <c r="E21" s="51">
        <f>_xlfn.XLOOKUP(A21, 'Model VMT by TAZ'!$A:$A, 'Model Modeshare by TAZ'!$H:$H, "N/A")</f>
        <v>82.26</v>
      </c>
      <c r="F21" s="2" t="str">
        <f>_xlfn.XLOOKUP(A21, 'Model VMT by TAZ'!A:A, 'Model VMT by TAZ'!C:C)</f>
        <v>YES</v>
      </c>
    </row>
    <row r="22" spans="1:9" x14ac:dyDescent="0.35">
      <c r="A22">
        <v>1509</v>
      </c>
      <c r="B22" s="51">
        <f>_xlfn.XLOOKUP(A22, 'Model VMT by TAZ'!A:A, 'Model VMT by TAZ'!G:G, "N/A")</f>
        <v>19879.560000000001</v>
      </c>
      <c r="C22" s="51">
        <f>_xlfn.XLOOKUP(A22, 'Model VMT by TAZ'!$A:$A, 'Model VMT by TAZ'!$J:$J, "N/A")</f>
        <v>2901</v>
      </c>
      <c r="D22" s="51">
        <f>_xlfn.XLOOKUP(A22,'Model Modeshare by TAZ'!$A:$A,'Model Modeshare by TAZ'!$E:$E,0)+_xlfn.XLOOKUP(A22,'Model Modeshare by TAZ'!$A:$A,'Model Modeshare by TAZ'!$F:$F,0)</f>
        <v>13450.02</v>
      </c>
      <c r="E22" s="51">
        <f>_xlfn.XLOOKUP(A22, 'Model VMT by TAZ'!$A:$A, 'Model Modeshare by TAZ'!$H:$H, "N/A")</f>
        <v>198.24</v>
      </c>
      <c r="F22" s="2" t="str">
        <f>_xlfn.XLOOKUP(A22, 'Model VMT by TAZ'!A:A, 'Model VMT by TAZ'!C:C)</f>
        <v>YES</v>
      </c>
    </row>
    <row r="23" spans="1:9" x14ac:dyDescent="0.35">
      <c r="A23">
        <v>1493</v>
      </c>
      <c r="B23" s="51">
        <f>_xlfn.XLOOKUP(A23, 'Model VMT by TAZ'!A:A, 'Model VMT by TAZ'!G:G, "N/A")</f>
        <v>23907.66</v>
      </c>
      <c r="C23" s="51">
        <f>_xlfn.XLOOKUP(A23, 'Model VMT by TAZ'!$A:$A, 'Model VMT by TAZ'!$J:$J, "N/A")</f>
        <v>3363</v>
      </c>
      <c r="D23" s="51">
        <f>_xlfn.XLOOKUP(A23,'Model Modeshare by TAZ'!$A:$A,'Model Modeshare by TAZ'!$E:$E,0)+_xlfn.XLOOKUP(A23,'Model Modeshare by TAZ'!$A:$A,'Model Modeshare by TAZ'!$F:$F,0)</f>
        <v>10033.880000000001</v>
      </c>
      <c r="E23" s="51">
        <f>_xlfn.XLOOKUP(A23, 'Model VMT by TAZ'!$A:$A, 'Model Modeshare by TAZ'!$H:$H, "N/A")</f>
        <v>178.86</v>
      </c>
      <c r="F23" s="2" t="str">
        <f>_xlfn.XLOOKUP(A23, 'Model VMT by TAZ'!A:A, 'Model VMT by TAZ'!C:C)</f>
        <v>YES</v>
      </c>
    </row>
    <row r="24" spans="1:9" x14ac:dyDescent="0.35">
      <c r="A24">
        <v>1590</v>
      </c>
      <c r="B24" s="51">
        <f>_xlfn.XLOOKUP(A24, 'Model VMT by TAZ'!A:A, 'Model VMT by TAZ'!G:G, "N/A")</f>
        <v>6146.96</v>
      </c>
      <c r="C24" s="51">
        <f>_xlfn.XLOOKUP(A24, 'Model VMT by TAZ'!$A:$A, 'Model VMT by TAZ'!$J:$J, "N/A")</f>
        <v>601</v>
      </c>
      <c r="D24" s="51">
        <f>_xlfn.XLOOKUP(A24,'Model Modeshare by TAZ'!$A:$A,'Model Modeshare by TAZ'!$E:$E,0)+_xlfn.XLOOKUP(A24,'Model Modeshare by TAZ'!$A:$A,'Model Modeshare by TAZ'!$F:$F,0)</f>
        <v>5849.12</v>
      </c>
      <c r="E24" s="51">
        <f>_xlfn.XLOOKUP(A24, 'Model VMT by TAZ'!$A:$A, 'Model Modeshare by TAZ'!$H:$H, "N/A")</f>
        <v>95.86</v>
      </c>
      <c r="F24" s="2" t="str">
        <f>_xlfn.XLOOKUP(A24, 'Model VMT by TAZ'!A:A, 'Model VMT by TAZ'!C:C)</f>
        <v>YES</v>
      </c>
    </row>
    <row r="25" spans="1:9" x14ac:dyDescent="0.35">
      <c r="A25">
        <v>1492</v>
      </c>
      <c r="B25" s="51">
        <f>_xlfn.XLOOKUP(A25, 'Model VMT by TAZ'!A:A, 'Model VMT by TAZ'!G:G, "N/A")</f>
        <v>30128.85</v>
      </c>
      <c r="C25" s="51">
        <f>_xlfn.XLOOKUP(A25, 'Model VMT by TAZ'!$A:$A, 'Model VMT by TAZ'!$J:$J, "N/A")</f>
        <v>3216</v>
      </c>
      <c r="D25" s="51">
        <f>_xlfn.XLOOKUP(A25,'Model Modeshare by TAZ'!$A:$A,'Model Modeshare by TAZ'!$E:$E,0)+_xlfn.XLOOKUP(A25,'Model Modeshare by TAZ'!$A:$A,'Model Modeshare by TAZ'!$F:$F,0)</f>
        <v>10205.279999999999</v>
      </c>
      <c r="E25" s="51">
        <f>_xlfn.XLOOKUP(A25, 'Model VMT by TAZ'!$A:$A, 'Model Modeshare by TAZ'!$H:$H, "N/A")</f>
        <v>166.56</v>
      </c>
      <c r="F25" s="2" t="str">
        <f>_xlfn.XLOOKUP(A25, 'Model VMT by TAZ'!A:A, 'Model VMT by TAZ'!C:C)</f>
        <v>YES</v>
      </c>
    </row>
    <row r="26" spans="1:9" x14ac:dyDescent="0.35">
      <c r="A26">
        <v>1495</v>
      </c>
      <c r="B26" s="51">
        <f>_xlfn.XLOOKUP(A26, 'Model VMT by TAZ'!A:A, 'Model VMT by TAZ'!G:G, "N/A")</f>
        <v>25922.73</v>
      </c>
      <c r="C26" s="51">
        <f>_xlfn.XLOOKUP(A26, 'Model VMT by TAZ'!$A:$A, 'Model VMT by TAZ'!$J:$J, "N/A")</f>
        <v>2318</v>
      </c>
      <c r="D26" s="51">
        <f>_xlfn.XLOOKUP(A26,'Model Modeshare by TAZ'!$A:$A,'Model Modeshare by TAZ'!$E:$E,0)+_xlfn.XLOOKUP(A26,'Model Modeshare by TAZ'!$A:$A,'Model Modeshare by TAZ'!$F:$F,0)</f>
        <v>8848.34</v>
      </c>
      <c r="E26" s="51">
        <f>_xlfn.XLOOKUP(A26, 'Model VMT by TAZ'!$A:$A, 'Model Modeshare by TAZ'!$H:$H, "N/A")</f>
        <v>187.28</v>
      </c>
      <c r="F26" s="2" t="str">
        <f>_xlfn.XLOOKUP(A26, 'Model VMT by TAZ'!A:A, 'Model VMT by TAZ'!C:C)</f>
        <v>YES</v>
      </c>
    </row>
    <row r="27" spans="1:9" x14ac:dyDescent="0.35">
      <c r="A27">
        <v>1496</v>
      </c>
      <c r="B27" s="51">
        <f>_xlfn.XLOOKUP(A27, 'Model VMT by TAZ'!A:A, 'Model VMT by TAZ'!G:G, "N/A")</f>
        <v>0</v>
      </c>
      <c r="C27" s="51">
        <f>_xlfn.XLOOKUP(A27, 'Model VMT by TAZ'!$A:$A, 'Model VMT by TAZ'!$J:$J, "N/A")</f>
        <v>6</v>
      </c>
      <c r="D27" s="51">
        <f>_xlfn.XLOOKUP(A27,'Model Modeshare by TAZ'!$A:$A,'Model Modeshare by TAZ'!$E:$E,0)+_xlfn.XLOOKUP(A27,'Model Modeshare by TAZ'!$A:$A,'Model Modeshare by TAZ'!$F:$F,0)</f>
        <v>564.84</v>
      </c>
      <c r="E27" s="51">
        <f>_xlfn.XLOOKUP(A27, 'Model VMT by TAZ'!$A:$A, 'Model Modeshare by TAZ'!$H:$H, "N/A")</f>
        <v>5.26</v>
      </c>
      <c r="F27" s="2" t="str">
        <f>_xlfn.XLOOKUP(A27, 'Model VMT by TAZ'!A:A, 'Model VMT by TAZ'!C:C)</f>
        <v>YES</v>
      </c>
    </row>
    <row r="28" spans="1:9" x14ac:dyDescent="0.35">
      <c r="A28">
        <v>1494</v>
      </c>
      <c r="B28" s="51">
        <f>_xlfn.XLOOKUP(A28, 'Model VMT by TAZ'!A:A, 'Model VMT by TAZ'!G:G, "N/A")</f>
        <v>14647.33</v>
      </c>
      <c r="C28" s="51">
        <f>_xlfn.XLOOKUP(A28, 'Model VMT by TAZ'!$A:$A, 'Model VMT by TAZ'!$J:$J, "N/A")</f>
        <v>1448</v>
      </c>
      <c r="D28" s="51">
        <f>_xlfn.XLOOKUP(A28,'Model Modeshare by TAZ'!$A:$A,'Model Modeshare by TAZ'!$E:$E,0)+_xlfn.XLOOKUP(A28,'Model Modeshare by TAZ'!$A:$A,'Model Modeshare by TAZ'!$F:$F,0)</f>
        <v>5596.48</v>
      </c>
      <c r="E28" s="51">
        <f>_xlfn.XLOOKUP(A28, 'Model VMT by TAZ'!$A:$A, 'Model Modeshare by TAZ'!$H:$H, "N/A")</f>
        <v>107.52</v>
      </c>
      <c r="F28" s="2" t="str">
        <f>_xlfn.XLOOKUP(A28, 'Model VMT by TAZ'!A:A, 'Model VMT by TAZ'!C:C)</f>
        <v>YES</v>
      </c>
    </row>
    <row r="29" spans="1:9" x14ac:dyDescent="0.35">
      <c r="A29">
        <v>1656</v>
      </c>
      <c r="B29" s="51">
        <f>_xlfn.XLOOKUP(A29, 'Model VMT by TAZ'!A:A, 'Model VMT by TAZ'!G:G, "N/A")</f>
        <v>25283.72</v>
      </c>
      <c r="C29" s="51">
        <f>_xlfn.XLOOKUP(A29, 'Model VMT by TAZ'!$A:$A, 'Model VMT by TAZ'!$J:$J, "N/A")</f>
        <v>1891</v>
      </c>
      <c r="D29" s="51">
        <f>_xlfn.XLOOKUP(A29,'Model Modeshare by TAZ'!$A:$A,'Model Modeshare by TAZ'!$E:$E,0)+_xlfn.XLOOKUP(A29,'Model Modeshare by TAZ'!$A:$A,'Model Modeshare by TAZ'!$F:$F,0)</f>
        <v>9470.0400000000009</v>
      </c>
      <c r="E29" s="51">
        <f>_xlfn.XLOOKUP(A29, 'Model VMT by TAZ'!$A:$A, 'Model Modeshare by TAZ'!$H:$H, "N/A")</f>
        <v>179.12</v>
      </c>
      <c r="F29" s="2" t="str">
        <f>_xlfn.XLOOKUP(A29, 'Model VMT by TAZ'!A:A, 'Model VMT by TAZ'!C:C)</f>
        <v>YES</v>
      </c>
    </row>
  </sheetData>
  <autoFilter ref="A4:F29" xr:uid="{EFF2F4DA-3F08-40D2-880A-8B8B1EBCF544}"/>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79B8-6CF0-40EB-B408-A36C3D0F6DE1}">
  <sheetPr>
    <tabColor theme="6"/>
  </sheetPr>
  <dimension ref="A1:AD37"/>
  <sheetViews>
    <sheetView workbookViewId="0">
      <selection activeCell="B25" sqref="B25"/>
    </sheetView>
  </sheetViews>
  <sheetFormatPr defaultRowHeight="14.5" x14ac:dyDescent="0.35"/>
  <cols>
    <col min="1" max="1" width="11.7265625" customWidth="1"/>
    <col min="2" max="2" width="10.7265625" bestFit="1" customWidth="1"/>
    <col min="3" max="3" width="26.26953125" customWidth="1"/>
    <col min="4" max="4" width="14.1796875" customWidth="1"/>
    <col min="5" max="5" width="17.81640625" customWidth="1"/>
    <col min="6" max="6" width="12.7265625" customWidth="1"/>
    <col min="9" max="9" width="12.54296875" customWidth="1"/>
    <col min="12" max="12" width="13.453125" customWidth="1"/>
    <col min="13" max="13" width="15.81640625" customWidth="1"/>
    <col min="14" max="14" width="18.54296875" customWidth="1"/>
    <col min="15" max="15" width="10.7265625" customWidth="1"/>
    <col min="17" max="17" width="28" bestFit="1" customWidth="1"/>
    <col min="18" max="18" width="18.26953125" customWidth="1"/>
    <col min="22" max="22" width="13.7265625" customWidth="1"/>
    <col min="23" max="23" width="16.1796875" customWidth="1"/>
    <col min="24" max="24" width="18.1796875" customWidth="1"/>
    <col min="25" max="25" width="12.453125" customWidth="1"/>
  </cols>
  <sheetData>
    <row r="1" spans="1:30" x14ac:dyDescent="0.35">
      <c r="A1" s="54" t="s">
        <v>1252</v>
      </c>
    </row>
    <row r="3" spans="1:30" x14ac:dyDescent="0.35">
      <c r="A3" s="2" t="s">
        <v>1303</v>
      </c>
      <c r="D3" s="54" t="s">
        <v>1254</v>
      </c>
    </row>
    <row r="4" spans="1:30" ht="39.5" x14ac:dyDescent="0.35">
      <c r="A4" s="237" t="s">
        <v>1255</v>
      </c>
      <c r="B4" s="237" t="s">
        <v>1256</v>
      </c>
      <c r="C4" s="238" t="s">
        <v>1168</v>
      </c>
      <c r="D4" s="238" t="s">
        <v>1257</v>
      </c>
      <c r="E4" s="238" t="s">
        <v>1258</v>
      </c>
      <c r="F4" s="238" t="s">
        <v>411</v>
      </c>
      <c r="H4" s="238" t="s">
        <v>1259</v>
      </c>
      <c r="I4" s="238" t="s">
        <v>1260</v>
      </c>
    </row>
    <row r="5" spans="1:30" x14ac:dyDescent="0.35">
      <c r="A5">
        <v>1892</v>
      </c>
      <c r="B5" s="51">
        <f>_xlfn.XLOOKUP(A5, 'Model VMT by TAZ'!A:A, 'Model VMT by TAZ'!G:G, "N/A")</f>
        <v>65549.75</v>
      </c>
      <c r="C5" s="51">
        <f>_xlfn.XLOOKUP(A5, 'Model VMT by TAZ'!$A:$A, 'Model VMT by TAZ'!$J:$J, "N/A")</f>
        <v>6845</v>
      </c>
      <c r="D5" s="51">
        <f>_xlfn.XLOOKUP(A5,'Model Modeshare by TAZ'!$A:$A,'Model Modeshare by TAZ'!$E:$E,0)+_xlfn.XLOOKUP(A5,'Model Modeshare by TAZ'!$A:$A,'Model Modeshare by TAZ'!$F:$F,0)</f>
        <v>29473.56</v>
      </c>
      <c r="E5" s="51">
        <f>_xlfn.XLOOKUP(A5, 'Model VMT by TAZ'!$A:$A, 'Model Modeshare by TAZ'!$H:$H, "N/A")</f>
        <v>667.28</v>
      </c>
      <c r="F5" s="2" t="str">
        <f>_xlfn.XLOOKUP(A5, 'Model VMT by TAZ'!A:A, 'Model VMT by TAZ'!C:C)</f>
        <v>YES</v>
      </c>
      <c r="H5" s="33">
        <f>(SUM(D5:D78))/(SUM(C5:C78))</f>
        <v>4.2795544843429321</v>
      </c>
      <c r="I5" s="33">
        <f>(SUM(E5:E78))/(SUM(C5:C78))</f>
        <v>6.911838364057471E-2</v>
      </c>
    </row>
    <row r="6" spans="1:30" x14ac:dyDescent="0.35">
      <c r="A6">
        <v>1891</v>
      </c>
      <c r="B6" s="51">
        <f>_xlfn.XLOOKUP(A6, 'Model VMT by TAZ'!A:A, 'Model VMT by TAZ'!G:G, "N/A")</f>
        <v>21454.21</v>
      </c>
      <c r="C6" s="51">
        <f>_xlfn.XLOOKUP(A6, 'Model VMT by TAZ'!$A:$A, 'Model VMT by TAZ'!$J:$J, "N/A")</f>
        <v>1910</v>
      </c>
      <c r="D6" s="51">
        <f>_xlfn.XLOOKUP(A6,'Model Modeshare by TAZ'!$A:$A,'Model Modeshare by TAZ'!$E:$E,0)+_xlfn.XLOOKUP(A6,'Model Modeshare by TAZ'!$A:$A,'Model Modeshare by TAZ'!$F:$F,0)</f>
        <v>10503.7</v>
      </c>
      <c r="E6" s="51">
        <f>_xlfn.XLOOKUP(A6, 'Model VMT by TAZ'!$A:$A, 'Model Modeshare by TAZ'!$H:$H, "N/A")</f>
        <v>164.6</v>
      </c>
      <c r="F6" s="2" t="str">
        <f>_xlfn.XLOOKUP(A6, 'Model VMT by TAZ'!A:A, 'Model VMT by TAZ'!C:C)</f>
        <v>YES</v>
      </c>
    </row>
    <row r="7" spans="1:30" ht="39.5" x14ac:dyDescent="0.35">
      <c r="A7">
        <v>1896</v>
      </c>
      <c r="B7" s="51">
        <f>_xlfn.XLOOKUP(A7, 'Model VMT by TAZ'!A:A, 'Model VMT by TAZ'!G:G, "N/A")</f>
        <v>81658.320000000007</v>
      </c>
      <c r="C7" s="51">
        <f>_xlfn.XLOOKUP(A7, 'Model VMT by TAZ'!$A:$A, 'Model VMT by TAZ'!$J:$J, "N/A")</f>
        <v>6967</v>
      </c>
      <c r="D7" s="51">
        <f>_xlfn.XLOOKUP(A7,'Model Modeshare by TAZ'!$A:$A,'Model Modeshare by TAZ'!$E:$E,0)+_xlfn.XLOOKUP(A7,'Model Modeshare by TAZ'!$A:$A,'Model Modeshare by TAZ'!$F:$F,0)</f>
        <v>26518.22</v>
      </c>
      <c r="E7" s="51">
        <f>_xlfn.XLOOKUP(A7, 'Model VMT by TAZ'!$A:$A, 'Model Modeshare by TAZ'!$H:$H, "N/A")</f>
        <v>404.56</v>
      </c>
      <c r="F7" s="2" t="str">
        <f>_xlfn.XLOOKUP(A7, 'Model VMT by TAZ'!A:A, 'Model VMT by TAZ'!C:C)</f>
        <v>YES</v>
      </c>
      <c r="H7" s="240" t="s">
        <v>1261</v>
      </c>
      <c r="I7" s="240" t="s">
        <v>1304</v>
      </c>
      <c r="J7" s="240" t="s">
        <v>1263</v>
      </c>
      <c r="K7" s="240" t="s">
        <v>1264</v>
      </c>
      <c r="L7" s="240" t="s">
        <v>1265</v>
      </c>
      <c r="M7" s="240" t="s">
        <v>1266</v>
      </c>
      <c r="N7" s="240" t="s">
        <v>1267</v>
      </c>
      <c r="O7" s="240" t="s">
        <v>1268</v>
      </c>
      <c r="P7" s="240" t="s">
        <v>1269</v>
      </c>
      <c r="Q7" s="240" t="s">
        <v>1270</v>
      </c>
      <c r="R7" s="240" t="s">
        <v>1271</v>
      </c>
      <c r="S7" s="240" t="s">
        <v>1272</v>
      </c>
      <c r="T7" s="240" t="s">
        <v>1273</v>
      </c>
      <c r="U7" s="240" t="s">
        <v>1274</v>
      </c>
      <c r="V7" s="240" t="s">
        <v>1275</v>
      </c>
      <c r="W7" s="240" t="s">
        <v>1276</v>
      </c>
      <c r="X7" s="240" t="s">
        <v>1305</v>
      </c>
      <c r="Y7" s="240" t="s">
        <v>1278</v>
      </c>
      <c r="Z7" s="240" t="s">
        <v>1279</v>
      </c>
      <c r="AA7" s="240" t="s">
        <v>1280</v>
      </c>
      <c r="AB7" s="240" t="s">
        <v>1281</v>
      </c>
      <c r="AC7" s="240" t="s">
        <v>1282</v>
      </c>
      <c r="AD7" s="240" t="s">
        <v>1283</v>
      </c>
    </row>
    <row r="8" spans="1:30" x14ac:dyDescent="0.35">
      <c r="A8">
        <v>1895</v>
      </c>
      <c r="B8" s="51">
        <f>_xlfn.XLOOKUP(A8, 'Model VMT by TAZ'!A:A, 'Model VMT by TAZ'!G:G, "N/A")</f>
        <v>60141.18</v>
      </c>
      <c r="C8" s="51">
        <f>_xlfn.XLOOKUP(A8, 'Model VMT by TAZ'!$A:$A, 'Model VMT by TAZ'!$J:$J, "N/A")</f>
        <v>5775</v>
      </c>
      <c r="D8" s="51">
        <f>_xlfn.XLOOKUP(A8,'Model Modeshare by TAZ'!$A:$A,'Model Modeshare by TAZ'!$E:$E,0)+_xlfn.XLOOKUP(A8,'Model Modeshare by TAZ'!$A:$A,'Model Modeshare by TAZ'!$F:$F,0)</f>
        <v>19015.800000000003</v>
      </c>
      <c r="E8" s="51">
        <f>_xlfn.XLOOKUP(A8, 'Model VMT by TAZ'!$A:$A, 'Model Modeshare by TAZ'!$H:$H, "N/A")</f>
        <v>317.3</v>
      </c>
      <c r="F8" s="2" t="str">
        <f>_xlfn.XLOOKUP(A8, 'Model VMT by TAZ'!A:A, 'Model VMT by TAZ'!C:C)</f>
        <v>YES</v>
      </c>
      <c r="H8">
        <v>1.01</v>
      </c>
      <c r="I8" t="s">
        <v>1306</v>
      </c>
      <c r="J8" t="s">
        <v>1284</v>
      </c>
      <c r="K8" t="s">
        <v>1285</v>
      </c>
      <c r="L8" t="s">
        <v>1287</v>
      </c>
      <c r="M8" t="s">
        <v>1307</v>
      </c>
      <c r="N8" t="s">
        <v>1308</v>
      </c>
      <c r="O8">
        <v>0.50980000000000003</v>
      </c>
      <c r="P8" t="s">
        <v>1309</v>
      </c>
      <c r="Q8" t="s">
        <v>1296</v>
      </c>
      <c r="R8" t="s">
        <v>1310</v>
      </c>
      <c r="S8">
        <v>0</v>
      </c>
      <c r="T8">
        <v>1670000</v>
      </c>
      <c r="U8">
        <v>3270000</v>
      </c>
      <c r="V8" t="s">
        <v>1311</v>
      </c>
      <c r="W8">
        <v>6.8339999999999996</v>
      </c>
      <c r="X8">
        <v>5.2809999999999997</v>
      </c>
      <c r="Y8">
        <v>3</v>
      </c>
      <c r="Z8">
        <v>0.28100000000000003</v>
      </c>
      <c r="AA8">
        <v>0</v>
      </c>
      <c r="AB8">
        <v>0</v>
      </c>
      <c r="AC8">
        <v>2</v>
      </c>
      <c r="AD8">
        <v>0</v>
      </c>
    </row>
    <row r="9" spans="1:30" x14ac:dyDescent="0.35">
      <c r="A9">
        <v>1894</v>
      </c>
      <c r="B9" s="51">
        <f>_xlfn.XLOOKUP(A9, 'Model VMT by TAZ'!A:A, 'Model VMT by TAZ'!G:G, "N/A")</f>
        <v>27964.91</v>
      </c>
      <c r="C9" s="51">
        <f>_xlfn.XLOOKUP(A9, 'Model VMT by TAZ'!$A:$A, 'Model VMT by TAZ'!$J:$J, "N/A")</f>
        <v>3300</v>
      </c>
      <c r="D9" s="51">
        <f>_xlfn.XLOOKUP(A9,'Model Modeshare by TAZ'!$A:$A,'Model Modeshare by TAZ'!$E:$E,0)+_xlfn.XLOOKUP(A9,'Model Modeshare by TAZ'!$A:$A,'Model Modeshare by TAZ'!$F:$F,0)</f>
        <v>20381.78</v>
      </c>
      <c r="E9" s="51">
        <f>_xlfn.XLOOKUP(A9, 'Model VMT by TAZ'!$A:$A, 'Model Modeshare by TAZ'!$H:$H, "N/A")</f>
        <v>318.24</v>
      </c>
      <c r="F9" s="2" t="str">
        <f>_xlfn.XLOOKUP(A9, 'Model VMT by TAZ'!A:A, 'Model VMT by TAZ'!C:C)</f>
        <v>YES</v>
      </c>
      <c r="H9">
        <v>1.02</v>
      </c>
      <c r="I9" t="s">
        <v>368</v>
      </c>
      <c r="J9" t="s">
        <v>1284</v>
      </c>
      <c r="K9" t="s">
        <v>1285</v>
      </c>
      <c r="L9" t="s">
        <v>1287</v>
      </c>
      <c r="M9" t="s">
        <v>1312</v>
      </c>
      <c r="N9" t="s">
        <v>1313</v>
      </c>
      <c r="O9">
        <v>3.1815000000000002</v>
      </c>
      <c r="P9" t="s">
        <v>1309</v>
      </c>
      <c r="Q9" t="s">
        <v>1290</v>
      </c>
      <c r="R9" t="s">
        <v>1310</v>
      </c>
      <c r="S9">
        <v>0</v>
      </c>
      <c r="T9">
        <v>410000</v>
      </c>
      <c r="U9">
        <v>130000</v>
      </c>
      <c r="V9" t="s">
        <v>1311</v>
      </c>
      <c r="W9">
        <v>6.8339999999999996</v>
      </c>
      <c r="X9">
        <v>7.0830000000000002</v>
      </c>
      <c r="Y9">
        <v>3</v>
      </c>
      <c r="Z9">
        <v>0.27100000000000002</v>
      </c>
      <c r="AA9">
        <v>0.45700000000000002</v>
      </c>
      <c r="AB9">
        <v>1.1539999999999999</v>
      </c>
      <c r="AC9">
        <v>1.2</v>
      </c>
      <c r="AD9">
        <v>1</v>
      </c>
    </row>
    <row r="10" spans="1:30" x14ac:dyDescent="0.35">
      <c r="A10">
        <v>1897</v>
      </c>
      <c r="B10" s="51">
        <f>_xlfn.XLOOKUP(A10, 'Model VMT by TAZ'!A:A, 'Model VMT by TAZ'!G:G, "N/A")</f>
        <v>53960.92</v>
      </c>
      <c r="C10" s="51">
        <f>_xlfn.XLOOKUP(A10, 'Model VMT by TAZ'!$A:$A, 'Model VMT by TAZ'!$J:$J, "N/A")</f>
        <v>5102</v>
      </c>
      <c r="D10" s="51">
        <f>_xlfn.XLOOKUP(A10,'Model Modeshare by TAZ'!$A:$A,'Model Modeshare by TAZ'!$E:$E,0)+_xlfn.XLOOKUP(A10,'Model Modeshare by TAZ'!$A:$A,'Model Modeshare by TAZ'!$F:$F,0)</f>
        <v>14998.96</v>
      </c>
      <c r="E10" s="51">
        <f>_xlfn.XLOOKUP(A10, 'Model VMT by TAZ'!$A:$A, 'Model Modeshare by TAZ'!$H:$H, "N/A")</f>
        <v>257.89999999999998</v>
      </c>
      <c r="F10" s="2" t="str">
        <f>_xlfn.XLOOKUP(A10, 'Model VMT by TAZ'!A:A, 'Model VMT by TAZ'!C:C)</f>
        <v>YES</v>
      </c>
      <c r="H10">
        <v>1.03</v>
      </c>
      <c r="I10" t="s">
        <v>1314</v>
      </c>
      <c r="J10" t="s">
        <v>1284</v>
      </c>
      <c r="K10" t="s">
        <v>1285</v>
      </c>
      <c r="L10" t="s">
        <v>1287</v>
      </c>
      <c r="M10" t="s">
        <v>1312</v>
      </c>
      <c r="N10" t="s">
        <v>1315</v>
      </c>
      <c r="O10">
        <v>3.5771000000000002</v>
      </c>
      <c r="P10" t="s">
        <v>1309</v>
      </c>
      <c r="Q10" t="s">
        <v>1316</v>
      </c>
      <c r="R10" t="s">
        <v>1310</v>
      </c>
      <c r="S10">
        <v>1</v>
      </c>
      <c r="T10">
        <v>7870000</v>
      </c>
      <c r="U10">
        <v>2200000</v>
      </c>
      <c r="V10" t="s">
        <v>1292</v>
      </c>
      <c r="W10">
        <v>4.1879999999999997</v>
      </c>
      <c r="X10">
        <v>4.1879999999999997</v>
      </c>
      <c r="Y10">
        <v>3</v>
      </c>
      <c r="Z10">
        <v>0.23100000000000001</v>
      </c>
      <c r="AA10">
        <v>0.35699999999999998</v>
      </c>
      <c r="AB10">
        <v>0</v>
      </c>
      <c r="AC10">
        <v>0</v>
      </c>
      <c r="AD10">
        <v>0.6</v>
      </c>
    </row>
    <row r="11" spans="1:30" x14ac:dyDescent="0.35">
      <c r="A11">
        <v>1898</v>
      </c>
      <c r="B11" s="51">
        <f>_xlfn.XLOOKUP(A11, 'Model VMT by TAZ'!A:A, 'Model VMT by TAZ'!G:G, "N/A")</f>
        <v>17460.09</v>
      </c>
      <c r="C11" s="51">
        <f>_xlfn.XLOOKUP(A11, 'Model VMT by TAZ'!$A:$A, 'Model VMT by TAZ'!$J:$J, "N/A")</f>
        <v>1218</v>
      </c>
      <c r="D11" s="51">
        <f>_xlfn.XLOOKUP(A11,'Model Modeshare by TAZ'!$A:$A,'Model Modeshare by TAZ'!$E:$E,0)+_xlfn.XLOOKUP(A11,'Model Modeshare by TAZ'!$A:$A,'Model Modeshare by TAZ'!$F:$F,0)</f>
        <v>8356.5600000000013</v>
      </c>
      <c r="E11" s="51">
        <f>_xlfn.XLOOKUP(A11, 'Model VMT by TAZ'!$A:$A, 'Model Modeshare by TAZ'!$H:$H, "N/A")</f>
        <v>139.80000000000001</v>
      </c>
      <c r="F11" s="2" t="str">
        <f>_xlfn.XLOOKUP(A11, 'Model VMT by TAZ'!A:A, 'Model VMT by TAZ'!C:C)</f>
        <v>YES</v>
      </c>
    </row>
    <row r="12" spans="1:30" x14ac:dyDescent="0.35">
      <c r="A12">
        <v>1918</v>
      </c>
      <c r="B12" s="51">
        <f>_xlfn.XLOOKUP(A12, 'Model VMT by TAZ'!A:A, 'Model VMT by TAZ'!G:G, "N/A")</f>
        <v>86155.94</v>
      </c>
      <c r="C12" s="51">
        <f>_xlfn.XLOOKUP(A12, 'Model VMT by TAZ'!$A:$A, 'Model VMT by TAZ'!$J:$J, "N/A")</f>
        <v>5861</v>
      </c>
      <c r="D12" s="51">
        <f>_xlfn.XLOOKUP(A12,'Model Modeshare by TAZ'!$A:$A,'Model Modeshare by TAZ'!$E:$E,0)+_xlfn.XLOOKUP(A12,'Model Modeshare by TAZ'!$A:$A,'Model Modeshare by TAZ'!$F:$F,0)</f>
        <v>32786.080000000002</v>
      </c>
      <c r="E12" s="51">
        <f>_xlfn.XLOOKUP(A12, 'Model VMT by TAZ'!$A:$A, 'Model Modeshare by TAZ'!$H:$H, "N/A")</f>
        <v>524.96</v>
      </c>
      <c r="F12" s="2" t="str">
        <f>_xlfn.XLOOKUP(A12, 'Model VMT by TAZ'!A:A, 'Model VMT by TAZ'!C:C)</f>
        <v>YES</v>
      </c>
      <c r="H12" s="2" t="s">
        <v>1268</v>
      </c>
    </row>
    <row r="13" spans="1:30" x14ac:dyDescent="0.35">
      <c r="A13">
        <v>1899</v>
      </c>
      <c r="B13" s="51">
        <f>_xlfn.XLOOKUP(A13, 'Model VMT by TAZ'!A:A, 'Model VMT by TAZ'!G:G, "N/A")</f>
        <v>2282.29</v>
      </c>
      <c r="C13" s="51">
        <f>_xlfn.XLOOKUP(A13, 'Model VMT by TAZ'!$A:$A, 'Model VMT by TAZ'!$J:$J, "N/A")</f>
        <v>189</v>
      </c>
      <c r="D13" s="51">
        <f>_xlfn.XLOOKUP(A13,'Model Modeshare by TAZ'!$A:$A,'Model Modeshare by TAZ'!$E:$E,0)+_xlfn.XLOOKUP(A13,'Model Modeshare by TAZ'!$A:$A,'Model Modeshare by TAZ'!$F:$F,0)</f>
        <v>19361.599999999999</v>
      </c>
      <c r="E13" s="51">
        <f>_xlfn.XLOOKUP(A13, 'Model VMT by TAZ'!$A:$A, 'Model Modeshare by TAZ'!$H:$H, "N/A")</f>
        <v>233.84</v>
      </c>
      <c r="F13" s="2" t="str">
        <f>_xlfn.XLOOKUP(A13, 'Model VMT by TAZ'!A:A, 'Model VMT by TAZ'!C:C)</f>
        <v>YES</v>
      </c>
      <c r="H13" t="s">
        <v>1301</v>
      </c>
      <c r="I13" s="30">
        <f>O8</f>
        <v>0.50980000000000003</v>
      </c>
    </row>
    <row r="14" spans="1:30" x14ac:dyDescent="0.35">
      <c r="A14">
        <v>1919</v>
      </c>
      <c r="B14" s="51">
        <f>_xlfn.XLOOKUP(A14, 'Model VMT by TAZ'!A:A, 'Model VMT by TAZ'!G:G, "N/A")</f>
        <v>47939.73</v>
      </c>
      <c r="C14" s="51">
        <f>_xlfn.XLOOKUP(A14, 'Model VMT by TAZ'!$A:$A, 'Model VMT by TAZ'!$J:$J, "N/A")</f>
        <v>3927</v>
      </c>
      <c r="D14" s="51">
        <f>_xlfn.XLOOKUP(A14,'Model Modeshare by TAZ'!$A:$A,'Model Modeshare by TAZ'!$E:$E,0)+_xlfn.XLOOKUP(A14,'Model Modeshare by TAZ'!$A:$A,'Model Modeshare by TAZ'!$F:$F,0)</f>
        <v>14098.98</v>
      </c>
      <c r="E14" s="51">
        <f>_xlfn.XLOOKUP(A14, 'Model VMT by TAZ'!$A:$A, 'Model Modeshare by TAZ'!$H:$H, "N/A")</f>
        <v>232.32</v>
      </c>
      <c r="F14" s="2" t="str">
        <f>_xlfn.XLOOKUP(A14, 'Model VMT by TAZ'!A:A, 'Model VMT by TAZ'!C:C)</f>
        <v>YES</v>
      </c>
      <c r="H14" t="s">
        <v>1300</v>
      </c>
      <c r="I14" s="30">
        <f>O9</f>
        <v>3.1815000000000002</v>
      </c>
    </row>
    <row r="15" spans="1:30" x14ac:dyDescent="0.35">
      <c r="A15">
        <v>1931</v>
      </c>
      <c r="B15" s="51">
        <f>_xlfn.XLOOKUP(A15, 'Model VMT by TAZ'!A:A, 'Model VMT by TAZ'!G:G, "N/A")</f>
        <v>62508.13</v>
      </c>
      <c r="C15" s="51">
        <f>_xlfn.XLOOKUP(A15, 'Model VMT by TAZ'!$A:$A, 'Model VMT by TAZ'!$J:$J, "N/A")</f>
        <v>5057</v>
      </c>
      <c r="D15" s="51">
        <f>_xlfn.XLOOKUP(A15,'Model Modeshare by TAZ'!$A:$A,'Model Modeshare by TAZ'!$E:$E,0)+_xlfn.XLOOKUP(A15,'Model Modeshare by TAZ'!$A:$A,'Model Modeshare by TAZ'!$F:$F,0)</f>
        <v>16298.119999999999</v>
      </c>
      <c r="E15" s="51">
        <f>_xlfn.XLOOKUP(A15, 'Model VMT by TAZ'!$A:$A, 'Model Modeshare by TAZ'!$H:$H, "N/A")</f>
        <v>239.36</v>
      </c>
      <c r="F15" s="2" t="str">
        <f>_xlfn.XLOOKUP(A15, 'Model VMT by TAZ'!A:A, 'Model VMT by TAZ'!C:C)</f>
        <v>YES</v>
      </c>
      <c r="H15" t="s">
        <v>1317</v>
      </c>
      <c r="I15">
        <f>O10</f>
        <v>3.5771000000000002</v>
      </c>
    </row>
    <row r="16" spans="1:30" x14ac:dyDescent="0.35">
      <c r="A16">
        <v>1930</v>
      </c>
      <c r="B16" s="51">
        <f>_xlfn.XLOOKUP(A16, 'Model VMT by TAZ'!A:A, 'Model VMT by TAZ'!G:G, "N/A")</f>
        <v>91415.4</v>
      </c>
      <c r="C16" s="51">
        <f>_xlfn.XLOOKUP(A16, 'Model VMT by TAZ'!$A:$A, 'Model VMT by TAZ'!$J:$J, "N/A")</f>
        <v>8249</v>
      </c>
      <c r="D16" s="51">
        <f>_xlfn.XLOOKUP(A16,'Model Modeshare by TAZ'!$A:$A,'Model Modeshare by TAZ'!$E:$E,0)+_xlfn.XLOOKUP(A16,'Model Modeshare by TAZ'!$A:$A,'Model Modeshare by TAZ'!$F:$F,0)</f>
        <v>32063.14</v>
      </c>
      <c r="E16" s="51">
        <f>_xlfn.XLOOKUP(A16, 'Model VMT by TAZ'!$A:$A, 'Model Modeshare by TAZ'!$H:$H, "N/A")</f>
        <v>540.79999999999995</v>
      </c>
      <c r="F16" s="2" t="str">
        <f>_xlfn.XLOOKUP(A16, 'Model VMT by TAZ'!A:A, 'Model VMT by TAZ'!C:C)</f>
        <v>YES</v>
      </c>
      <c r="H16" s="2" t="s">
        <v>601</v>
      </c>
      <c r="I16" s="239">
        <f>SUM(I13:I15)</f>
        <v>7.2683999999999997</v>
      </c>
    </row>
    <row r="17" spans="1:6" x14ac:dyDescent="0.35">
      <c r="A17">
        <v>1920</v>
      </c>
      <c r="B17" s="51">
        <f>_xlfn.XLOOKUP(A17, 'Model VMT by TAZ'!A:A, 'Model VMT by TAZ'!G:G, "N/A")</f>
        <v>71057.31</v>
      </c>
      <c r="C17" s="51">
        <f>_xlfn.XLOOKUP(A17, 'Model VMT by TAZ'!$A:$A, 'Model VMT by TAZ'!$J:$J, "N/A")</f>
        <v>5847</v>
      </c>
      <c r="D17" s="51">
        <f>_xlfn.XLOOKUP(A17,'Model Modeshare by TAZ'!$A:$A,'Model Modeshare by TAZ'!$E:$E,0)+_xlfn.XLOOKUP(A17,'Model Modeshare by TAZ'!$A:$A,'Model Modeshare by TAZ'!$F:$F,0)</f>
        <v>20880.72</v>
      </c>
      <c r="E17" s="51">
        <f>_xlfn.XLOOKUP(A17, 'Model VMT by TAZ'!$A:$A, 'Model Modeshare by TAZ'!$H:$H, "N/A")</f>
        <v>326.54000000000002</v>
      </c>
      <c r="F17" s="2" t="str">
        <f>_xlfn.XLOOKUP(A17, 'Model VMT by TAZ'!A:A, 'Model VMT by TAZ'!C:C)</f>
        <v>YES</v>
      </c>
    </row>
    <row r="18" spans="1:6" x14ac:dyDescent="0.35">
      <c r="A18">
        <v>1921</v>
      </c>
      <c r="B18" s="51">
        <f>_xlfn.XLOOKUP(A18, 'Model VMT by TAZ'!A:A, 'Model VMT by TAZ'!G:G, "N/A")</f>
        <v>45218.45</v>
      </c>
      <c r="C18" s="51">
        <f>_xlfn.XLOOKUP(A18, 'Model VMT by TAZ'!$A:$A, 'Model VMT by TAZ'!$J:$J, "N/A")</f>
        <v>3514</v>
      </c>
      <c r="D18" s="51">
        <f>_xlfn.XLOOKUP(A18,'Model Modeshare by TAZ'!$A:$A,'Model Modeshare by TAZ'!$E:$E,0)+_xlfn.XLOOKUP(A18,'Model Modeshare by TAZ'!$A:$A,'Model Modeshare by TAZ'!$F:$F,0)</f>
        <v>14835.779999999999</v>
      </c>
      <c r="E18" s="51">
        <f>_xlfn.XLOOKUP(A18, 'Model VMT by TAZ'!$A:$A, 'Model Modeshare by TAZ'!$H:$H, "N/A")</f>
        <v>217.46</v>
      </c>
      <c r="F18" s="2" t="str">
        <f>_xlfn.XLOOKUP(A18, 'Model VMT by TAZ'!A:A, 'Model VMT by TAZ'!C:C)</f>
        <v>YES</v>
      </c>
    </row>
    <row r="19" spans="1:6" x14ac:dyDescent="0.35">
      <c r="A19">
        <v>1922</v>
      </c>
      <c r="B19" s="51">
        <f>_xlfn.XLOOKUP(A19, 'Model VMT by TAZ'!A:A, 'Model VMT by TAZ'!G:G, "N/A")</f>
        <v>36600.78</v>
      </c>
      <c r="C19" s="51">
        <f>_xlfn.XLOOKUP(A19, 'Model VMT by TAZ'!$A:$A, 'Model VMT by TAZ'!$J:$J, "N/A")</f>
        <v>2630</v>
      </c>
      <c r="D19" s="51">
        <f>_xlfn.XLOOKUP(A19,'Model Modeshare by TAZ'!$A:$A,'Model Modeshare by TAZ'!$E:$E,0)+_xlfn.XLOOKUP(A19,'Model Modeshare by TAZ'!$A:$A,'Model Modeshare by TAZ'!$F:$F,0)</f>
        <v>12438.72</v>
      </c>
      <c r="E19" s="51">
        <f>_xlfn.XLOOKUP(A19, 'Model VMT by TAZ'!$A:$A, 'Model Modeshare by TAZ'!$H:$H, "N/A")</f>
        <v>184.84</v>
      </c>
      <c r="F19" s="2" t="str">
        <f>_xlfn.XLOOKUP(A19, 'Model VMT by TAZ'!A:A, 'Model VMT by TAZ'!C:C)</f>
        <v>YES</v>
      </c>
    </row>
    <row r="20" spans="1:6" x14ac:dyDescent="0.35">
      <c r="A20">
        <v>1923</v>
      </c>
      <c r="B20" s="51">
        <f>_xlfn.XLOOKUP(A20, 'Model VMT by TAZ'!A:A, 'Model VMT by TAZ'!G:G, "N/A")</f>
        <v>21639.95</v>
      </c>
      <c r="C20" s="51">
        <f>_xlfn.XLOOKUP(A20, 'Model VMT by TAZ'!$A:$A, 'Model VMT by TAZ'!$J:$J, "N/A")</f>
        <v>2131</v>
      </c>
      <c r="D20" s="51">
        <f>_xlfn.XLOOKUP(A20,'Model Modeshare by TAZ'!$A:$A,'Model Modeshare by TAZ'!$E:$E,0)+_xlfn.XLOOKUP(A20,'Model Modeshare by TAZ'!$A:$A,'Model Modeshare by TAZ'!$F:$F,0)</f>
        <v>10883.98</v>
      </c>
      <c r="E20" s="51">
        <f>_xlfn.XLOOKUP(A20, 'Model VMT by TAZ'!$A:$A, 'Model Modeshare by TAZ'!$H:$H, "N/A")</f>
        <v>163.52000000000001</v>
      </c>
      <c r="F20" s="2" t="str">
        <f>_xlfn.XLOOKUP(A20, 'Model VMT by TAZ'!A:A, 'Model VMT by TAZ'!C:C)</f>
        <v>YES</v>
      </c>
    </row>
    <row r="21" spans="1:6" x14ac:dyDescent="0.35">
      <c r="A21">
        <v>1927</v>
      </c>
      <c r="B21" s="51">
        <f>_xlfn.XLOOKUP(A21, 'Model VMT by TAZ'!A:A, 'Model VMT by TAZ'!G:G, "N/A")</f>
        <v>99086.22</v>
      </c>
      <c r="C21" s="51">
        <f>_xlfn.XLOOKUP(A21, 'Model VMT by TAZ'!$A:$A, 'Model VMT by TAZ'!$J:$J, "N/A")</f>
        <v>5543</v>
      </c>
      <c r="D21" s="51">
        <f>_xlfn.XLOOKUP(A21,'Model Modeshare by TAZ'!$A:$A,'Model Modeshare by TAZ'!$E:$E,0)+_xlfn.XLOOKUP(A21,'Model Modeshare by TAZ'!$A:$A,'Model Modeshare by TAZ'!$F:$F,0)</f>
        <v>25579.239999999998</v>
      </c>
      <c r="E21" s="51">
        <f>_xlfn.XLOOKUP(A21, 'Model VMT by TAZ'!$A:$A, 'Model Modeshare by TAZ'!$H:$H, "N/A")</f>
        <v>305</v>
      </c>
      <c r="F21" s="2" t="str">
        <f>_xlfn.XLOOKUP(A21, 'Model VMT by TAZ'!A:A, 'Model VMT by TAZ'!C:C)</f>
        <v>YES</v>
      </c>
    </row>
    <row r="22" spans="1:6" x14ac:dyDescent="0.35">
      <c r="A22">
        <v>1928</v>
      </c>
      <c r="B22" s="51">
        <f>_xlfn.XLOOKUP(A22, 'Model VMT by TAZ'!A:A, 'Model VMT by TAZ'!G:G, "N/A")</f>
        <v>274.8</v>
      </c>
      <c r="C22" s="51">
        <f>_xlfn.XLOOKUP(A22, 'Model VMT by TAZ'!$A:$A, 'Model VMT by TAZ'!$J:$J, "N/A")</f>
        <v>39</v>
      </c>
      <c r="D22" s="51">
        <f>_xlfn.XLOOKUP(A22,'Model Modeshare by TAZ'!$A:$A,'Model Modeshare by TAZ'!$E:$E,0)+_xlfn.XLOOKUP(A22,'Model Modeshare by TAZ'!$A:$A,'Model Modeshare by TAZ'!$F:$F,0)</f>
        <v>1186.52</v>
      </c>
      <c r="E22" s="51">
        <f>_xlfn.XLOOKUP(A22, 'Model VMT by TAZ'!$A:$A, 'Model Modeshare by TAZ'!$H:$H, "N/A")</f>
        <v>14.36</v>
      </c>
      <c r="F22" s="2" t="str">
        <f>_xlfn.XLOOKUP(A22, 'Model VMT by TAZ'!A:A, 'Model VMT by TAZ'!C:C)</f>
        <v>YES</v>
      </c>
    </row>
    <row r="23" spans="1:6" x14ac:dyDescent="0.35">
      <c r="A23">
        <v>1598</v>
      </c>
      <c r="B23" s="51">
        <f>_xlfn.XLOOKUP(A23, 'Model VMT by TAZ'!A:A, 'Model VMT by TAZ'!G:G, "N/A")</f>
        <v>19233.13</v>
      </c>
      <c r="C23" s="51">
        <f>_xlfn.XLOOKUP(A23, 'Model VMT by TAZ'!$A:$A, 'Model VMT by TAZ'!$J:$J, "N/A")</f>
        <v>1676</v>
      </c>
      <c r="D23" s="51">
        <f>_xlfn.XLOOKUP(A23,'Model Modeshare by TAZ'!$A:$A,'Model Modeshare by TAZ'!$E:$E,0)+_xlfn.XLOOKUP(A23,'Model Modeshare by TAZ'!$A:$A,'Model Modeshare by TAZ'!$F:$F,0)</f>
        <v>5680.7000000000007</v>
      </c>
      <c r="E23" s="51">
        <f>_xlfn.XLOOKUP(A23, 'Model VMT by TAZ'!$A:$A, 'Model Modeshare by TAZ'!$H:$H, "N/A")</f>
        <v>86.94</v>
      </c>
      <c r="F23" s="2" t="str">
        <f>_xlfn.XLOOKUP(A23, 'Model VMT by TAZ'!A:A, 'Model VMT by TAZ'!C:C)</f>
        <v>YES</v>
      </c>
    </row>
    <row r="24" spans="1:6" x14ac:dyDescent="0.35">
      <c r="A24">
        <v>1932</v>
      </c>
      <c r="B24" s="51">
        <f>_xlfn.XLOOKUP(A24, 'Model VMT by TAZ'!A:A, 'Model VMT by TAZ'!G:G, "N/A")</f>
        <v>33008.879999999997</v>
      </c>
      <c r="C24" s="51">
        <f>_xlfn.XLOOKUP(A24, 'Model VMT by TAZ'!$A:$A, 'Model VMT by TAZ'!$J:$J, "N/A")</f>
        <v>2883</v>
      </c>
      <c r="D24" s="51">
        <f>_xlfn.XLOOKUP(A24,'Model Modeshare by TAZ'!$A:$A,'Model Modeshare by TAZ'!$E:$E,0)+_xlfn.XLOOKUP(A24,'Model Modeshare by TAZ'!$A:$A,'Model Modeshare by TAZ'!$F:$F,0)</f>
        <v>10005.720000000001</v>
      </c>
      <c r="E24" s="51">
        <f>_xlfn.XLOOKUP(A24, 'Model VMT by TAZ'!$A:$A, 'Model Modeshare by TAZ'!$H:$H, "N/A")</f>
        <v>148.16</v>
      </c>
      <c r="F24" s="2" t="str">
        <f>_xlfn.XLOOKUP(A24, 'Model VMT by TAZ'!A:A, 'Model VMT by TAZ'!C:C)</f>
        <v>YES</v>
      </c>
    </row>
    <row r="25" spans="1:6" x14ac:dyDescent="0.35">
      <c r="A25">
        <v>1933</v>
      </c>
      <c r="B25" s="51">
        <f>_xlfn.XLOOKUP(A25, 'Model VMT by TAZ'!A:A, 'Model VMT by TAZ'!G:G, "N/A")</f>
        <v>83911.21</v>
      </c>
      <c r="C25" s="51">
        <f>_xlfn.XLOOKUP(A25, 'Model VMT by TAZ'!$A:$A, 'Model VMT by TAZ'!$J:$J, "N/A")</f>
        <v>5356</v>
      </c>
      <c r="D25" s="51">
        <f>_xlfn.XLOOKUP(A25,'Model Modeshare by TAZ'!$A:$A,'Model Modeshare by TAZ'!$E:$E,0)+_xlfn.XLOOKUP(A25,'Model Modeshare by TAZ'!$A:$A,'Model Modeshare by TAZ'!$F:$F,0)</f>
        <v>23895.32</v>
      </c>
      <c r="E25" s="51">
        <f>_xlfn.XLOOKUP(A25, 'Model VMT by TAZ'!$A:$A, 'Model Modeshare by TAZ'!$H:$H, "N/A")</f>
        <v>358.04</v>
      </c>
      <c r="F25" s="2" t="str">
        <f>_xlfn.XLOOKUP(A25, 'Model VMT by TAZ'!A:A, 'Model VMT by TAZ'!C:C)</f>
        <v>YES</v>
      </c>
    </row>
    <row r="26" spans="1:6" x14ac:dyDescent="0.35">
      <c r="A26">
        <v>1995</v>
      </c>
      <c r="B26" s="51">
        <f>_xlfn.XLOOKUP(A26, 'Model VMT by TAZ'!A:A, 'Model VMT by TAZ'!G:G, "N/A")</f>
        <v>1548.09</v>
      </c>
      <c r="C26" s="51">
        <f>_xlfn.XLOOKUP(A26, 'Model VMT by TAZ'!$A:$A, 'Model VMT by TAZ'!$J:$J, "N/A")</f>
        <v>66</v>
      </c>
      <c r="D26" s="51">
        <f>_xlfn.XLOOKUP(A26,'Model Modeshare by TAZ'!$A:$A,'Model Modeshare by TAZ'!$E:$E,0)+_xlfn.XLOOKUP(A26,'Model Modeshare by TAZ'!$A:$A,'Model Modeshare by TAZ'!$F:$F,0)</f>
        <v>657.18000000000006</v>
      </c>
      <c r="E26" s="51">
        <f>_xlfn.XLOOKUP(A26, 'Model VMT by TAZ'!$A:$A, 'Model Modeshare by TAZ'!$H:$H, "N/A")</f>
        <v>1.68</v>
      </c>
      <c r="F26" s="2" t="str">
        <f>_xlfn.XLOOKUP(A26, 'Model VMT by TAZ'!A:A, 'Model VMT by TAZ'!C:C)</f>
        <v>YES</v>
      </c>
    </row>
    <row r="27" spans="1:6" x14ac:dyDescent="0.35">
      <c r="A27">
        <v>1521</v>
      </c>
      <c r="B27" s="51">
        <f>_xlfn.XLOOKUP(A27, 'Model VMT by TAZ'!A:A, 'Model VMT by TAZ'!G:G, "N/A")</f>
        <v>18508.099999999999</v>
      </c>
      <c r="C27" s="51">
        <f>_xlfn.XLOOKUP(A27, 'Model VMT by TAZ'!$A:$A, 'Model VMT by TAZ'!$J:$J, "N/A")</f>
        <v>2043</v>
      </c>
      <c r="D27" s="51">
        <f>_xlfn.XLOOKUP(A27,'Model Modeshare by TAZ'!$A:$A,'Model Modeshare by TAZ'!$E:$E,0)+_xlfn.XLOOKUP(A27,'Model Modeshare by TAZ'!$A:$A,'Model Modeshare by TAZ'!$F:$F,0)</f>
        <v>7469.0199999999995</v>
      </c>
      <c r="E27" s="51">
        <f>_xlfn.XLOOKUP(A27, 'Model VMT by TAZ'!$A:$A, 'Model Modeshare by TAZ'!$H:$H, "N/A")</f>
        <v>107.06</v>
      </c>
      <c r="F27" s="2" t="str">
        <f>_xlfn.XLOOKUP(A27, 'Model VMT by TAZ'!A:A, 'Model VMT by TAZ'!C:C)</f>
        <v>YES</v>
      </c>
    </row>
    <row r="28" spans="1:6" x14ac:dyDescent="0.35">
      <c r="A28">
        <v>1520</v>
      </c>
      <c r="B28" s="51">
        <f>_xlfn.XLOOKUP(A28, 'Model VMT by TAZ'!A:A, 'Model VMT by TAZ'!G:G, "N/A")</f>
        <v>25258.62</v>
      </c>
      <c r="C28" s="51">
        <f>_xlfn.XLOOKUP(A28, 'Model VMT by TAZ'!$A:$A, 'Model VMT by TAZ'!$J:$J, "N/A")</f>
        <v>2513</v>
      </c>
      <c r="D28" s="51">
        <f>_xlfn.XLOOKUP(A28,'Model Modeshare by TAZ'!$A:$A,'Model Modeshare by TAZ'!$E:$E,0)+_xlfn.XLOOKUP(A28,'Model Modeshare by TAZ'!$A:$A,'Model Modeshare by TAZ'!$F:$F,0)</f>
        <v>7851</v>
      </c>
      <c r="E28" s="51">
        <f>_xlfn.XLOOKUP(A28, 'Model VMT by TAZ'!$A:$A, 'Model Modeshare by TAZ'!$H:$H, "N/A")</f>
        <v>109.04</v>
      </c>
      <c r="F28" s="2" t="str">
        <f>_xlfn.XLOOKUP(A28, 'Model VMT by TAZ'!A:A, 'Model VMT by TAZ'!C:C)</f>
        <v>YES</v>
      </c>
    </row>
    <row r="29" spans="1:6" x14ac:dyDescent="0.35">
      <c r="A29">
        <v>1929</v>
      </c>
      <c r="B29" s="51">
        <f>_xlfn.XLOOKUP(A29, 'Model VMT by TAZ'!A:A, 'Model VMT by TAZ'!G:G, "N/A")</f>
        <v>11563.02</v>
      </c>
      <c r="C29" s="51">
        <f>_xlfn.XLOOKUP(A29, 'Model VMT by TAZ'!$A:$A, 'Model VMT by TAZ'!$J:$J, "N/A")</f>
        <v>1509</v>
      </c>
      <c r="D29" s="51">
        <f>_xlfn.XLOOKUP(A29,'Model Modeshare by TAZ'!$A:$A,'Model Modeshare by TAZ'!$E:$E,0)+_xlfn.XLOOKUP(A29,'Model Modeshare by TAZ'!$A:$A,'Model Modeshare by TAZ'!$F:$F,0)</f>
        <v>10896.34</v>
      </c>
      <c r="E29" s="51">
        <f>_xlfn.XLOOKUP(A29, 'Model VMT by TAZ'!$A:$A, 'Model Modeshare by TAZ'!$H:$H, "N/A")</f>
        <v>301.68</v>
      </c>
      <c r="F29" s="2" t="str">
        <f>_xlfn.XLOOKUP(A29, 'Model VMT by TAZ'!A:A, 'Model VMT by TAZ'!C:C)</f>
        <v>YES</v>
      </c>
    </row>
    <row r="30" spans="1:6" x14ac:dyDescent="0.35">
      <c r="A30">
        <v>1519</v>
      </c>
      <c r="B30" s="51">
        <f>_xlfn.XLOOKUP(A30, 'Model VMT by TAZ'!A:A, 'Model VMT by TAZ'!G:G, "N/A")</f>
        <v>29372.17</v>
      </c>
      <c r="C30" s="51">
        <f>_xlfn.XLOOKUP(A30, 'Model VMT by TAZ'!$A:$A, 'Model VMT by TAZ'!$J:$J, "N/A")</f>
        <v>2357</v>
      </c>
      <c r="D30" s="51">
        <f>_xlfn.XLOOKUP(A30,'Model Modeshare by TAZ'!$A:$A,'Model Modeshare by TAZ'!$E:$E,0)+_xlfn.XLOOKUP(A30,'Model Modeshare by TAZ'!$A:$A,'Model Modeshare by TAZ'!$F:$F,0)</f>
        <v>12291.88</v>
      </c>
      <c r="E30" s="51">
        <f>_xlfn.XLOOKUP(A30, 'Model VMT by TAZ'!$A:$A, 'Model Modeshare by TAZ'!$H:$H, "N/A")</f>
        <v>170</v>
      </c>
      <c r="F30" s="2" t="str">
        <f>_xlfn.XLOOKUP(A30, 'Model VMT by TAZ'!A:A, 'Model VMT by TAZ'!C:C)</f>
        <v>YES</v>
      </c>
    </row>
    <row r="31" spans="1:6" x14ac:dyDescent="0.35">
      <c r="A31">
        <v>1512</v>
      </c>
      <c r="B31" s="51">
        <f>_xlfn.XLOOKUP(A31, 'Model VMT by TAZ'!A:A, 'Model VMT by TAZ'!G:G, "N/A")</f>
        <v>27779.200000000001</v>
      </c>
      <c r="C31" s="51">
        <f>_xlfn.XLOOKUP(A31, 'Model VMT by TAZ'!$A:$A, 'Model VMT by TAZ'!$J:$J, "N/A")</f>
        <v>2317</v>
      </c>
      <c r="D31" s="51">
        <f>_xlfn.XLOOKUP(A31,'Model Modeshare by TAZ'!$A:$A,'Model Modeshare by TAZ'!$E:$E,0)+_xlfn.XLOOKUP(A31,'Model Modeshare by TAZ'!$A:$A,'Model Modeshare by TAZ'!$F:$F,0)</f>
        <v>7313.6</v>
      </c>
      <c r="E31" s="51">
        <f>_xlfn.XLOOKUP(A31, 'Model VMT by TAZ'!$A:$A, 'Model Modeshare by TAZ'!$H:$H, "N/A")</f>
        <v>110.54</v>
      </c>
      <c r="F31" s="2" t="str">
        <f>_xlfn.XLOOKUP(A31, 'Model VMT by TAZ'!A:A, 'Model VMT by TAZ'!C:C)</f>
        <v>YES</v>
      </c>
    </row>
    <row r="32" spans="1:6" x14ac:dyDescent="0.35">
      <c r="A32">
        <v>1493</v>
      </c>
      <c r="B32" s="51">
        <f>_xlfn.XLOOKUP(A32, 'Model VMT by TAZ'!A:A, 'Model VMT by TAZ'!G:G, "N/A")</f>
        <v>23907.66</v>
      </c>
      <c r="C32" s="51">
        <f>_xlfn.XLOOKUP(A32, 'Model VMT by TAZ'!$A:$A, 'Model VMT by TAZ'!$J:$J, "N/A")</f>
        <v>3363</v>
      </c>
      <c r="D32" s="51">
        <f>_xlfn.XLOOKUP(A32,'Model Modeshare by TAZ'!$A:$A,'Model Modeshare by TAZ'!$E:$E,0)+_xlfn.XLOOKUP(A32,'Model Modeshare by TAZ'!$A:$A,'Model Modeshare by TAZ'!$F:$F,0)</f>
        <v>10033.880000000001</v>
      </c>
      <c r="E32" s="51">
        <f>_xlfn.XLOOKUP(A32, 'Model VMT by TAZ'!$A:$A, 'Model Modeshare by TAZ'!$H:$H, "N/A")</f>
        <v>178.86</v>
      </c>
      <c r="F32" s="2" t="str">
        <f>_xlfn.XLOOKUP(A32, 'Model VMT by TAZ'!A:A, 'Model VMT by TAZ'!C:C)</f>
        <v>YES</v>
      </c>
    </row>
    <row r="33" spans="1:6" x14ac:dyDescent="0.35">
      <c r="A33">
        <v>1492</v>
      </c>
      <c r="B33" s="51">
        <f>_xlfn.XLOOKUP(A33, 'Model VMT by TAZ'!A:A, 'Model VMT by TAZ'!G:G, "N/A")</f>
        <v>30128.85</v>
      </c>
      <c r="C33" s="51">
        <f>_xlfn.XLOOKUP(A33, 'Model VMT by TAZ'!$A:$A, 'Model VMT by TAZ'!$J:$J, "N/A")</f>
        <v>3216</v>
      </c>
      <c r="D33" s="51">
        <f>_xlfn.XLOOKUP(A33,'Model Modeshare by TAZ'!$A:$A,'Model Modeshare by TAZ'!$E:$E,0)+_xlfn.XLOOKUP(A33,'Model Modeshare by TAZ'!$A:$A,'Model Modeshare by TAZ'!$F:$F,0)</f>
        <v>10205.279999999999</v>
      </c>
      <c r="E33" s="51">
        <f>_xlfn.XLOOKUP(A33, 'Model VMT by TAZ'!$A:$A, 'Model Modeshare by TAZ'!$H:$H, "N/A")</f>
        <v>166.56</v>
      </c>
      <c r="F33" s="2" t="str">
        <f>_xlfn.XLOOKUP(A33, 'Model VMT by TAZ'!A:A, 'Model VMT by TAZ'!C:C)</f>
        <v>YES</v>
      </c>
    </row>
    <row r="34" spans="1:6" x14ac:dyDescent="0.35">
      <c r="A34">
        <v>1495</v>
      </c>
      <c r="B34" s="51">
        <f>_xlfn.XLOOKUP(A34, 'Model VMT by TAZ'!A:A, 'Model VMT by TAZ'!G:G, "N/A")</f>
        <v>25922.73</v>
      </c>
      <c r="C34" s="51">
        <f>_xlfn.XLOOKUP(A34, 'Model VMT by TAZ'!$A:$A, 'Model VMT by TAZ'!$J:$J, "N/A")</f>
        <v>2318</v>
      </c>
      <c r="D34" s="51">
        <f>_xlfn.XLOOKUP(A34,'Model Modeshare by TAZ'!$A:$A,'Model Modeshare by TAZ'!$E:$E,0)+_xlfn.XLOOKUP(A34,'Model Modeshare by TAZ'!$A:$A,'Model Modeshare by TAZ'!$F:$F,0)</f>
        <v>8848.34</v>
      </c>
      <c r="E34" s="51">
        <f>_xlfn.XLOOKUP(A34, 'Model VMT by TAZ'!$A:$A, 'Model Modeshare by TAZ'!$H:$H, "N/A")</f>
        <v>187.28</v>
      </c>
      <c r="F34" s="2" t="str">
        <f>_xlfn.XLOOKUP(A34, 'Model VMT by TAZ'!A:A, 'Model VMT by TAZ'!C:C)</f>
        <v>YES</v>
      </c>
    </row>
    <row r="35" spans="1:6" x14ac:dyDescent="0.35">
      <c r="A35">
        <v>1496</v>
      </c>
      <c r="B35" s="51">
        <f>_xlfn.XLOOKUP(A35, 'Model VMT by TAZ'!A:A, 'Model VMT by TAZ'!G:G, "N/A")</f>
        <v>0</v>
      </c>
      <c r="C35" s="51">
        <f>_xlfn.XLOOKUP(A35, 'Model VMT by TAZ'!$A:$A, 'Model VMT by TAZ'!$J:$J, "N/A")</f>
        <v>6</v>
      </c>
      <c r="D35" s="51">
        <f>_xlfn.XLOOKUP(A35,'Model Modeshare by TAZ'!$A:$A,'Model Modeshare by TAZ'!$E:$E,0)+_xlfn.XLOOKUP(A35,'Model Modeshare by TAZ'!$A:$A,'Model Modeshare by TAZ'!$F:$F,0)</f>
        <v>564.84</v>
      </c>
      <c r="E35" s="51">
        <f>_xlfn.XLOOKUP(A35, 'Model VMT by TAZ'!$A:$A, 'Model Modeshare by TAZ'!$H:$H, "N/A")</f>
        <v>5.26</v>
      </c>
      <c r="F35" s="2" t="str">
        <f>_xlfn.XLOOKUP(A35, 'Model VMT by TAZ'!A:A, 'Model VMT by TAZ'!C:C)</f>
        <v>YES</v>
      </c>
    </row>
    <row r="36" spans="1:6" x14ac:dyDescent="0.35">
      <c r="A36">
        <v>1513</v>
      </c>
      <c r="B36" s="51">
        <f>_xlfn.XLOOKUP(A36, 'Model VMT by TAZ'!A:A, 'Model VMT by TAZ'!G:G, "N/A")</f>
        <v>16138.67</v>
      </c>
      <c r="C36" s="51">
        <f>_xlfn.XLOOKUP(A36, 'Model VMT by TAZ'!$A:$A, 'Model VMT by TAZ'!$J:$J, "N/A")</f>
        <v>1039</v>
      </c>
      <c r="D36" s="51">
        <f>_xlfn.XLOOKUP(A36,'Model Modeshare by TAZ'!$A:$A,'Model Modeshare by TAZ'!$E:$E,0)+_xlfn.XLOOKUP(A36,'Model Modeshare by TAZ'!$A:$A,'Model Modeshare by TAZ'!$F:$F,0)</f>
        <v>3577.56</v>
      </c>
      <c r="E36" s="51">
        <f>_xlfn.XLOOKUP(A36, 'Model VMT by TAZ'!$A:$A, 'Model Modeshare by TAZ'!$H:$H, "N/A")</f>
        <v>50.04</v>
      </c>
      <c r="F36" s="2" t="str">
        <f>_xlfn.XLOOKUP(A36, 'Model VMT by TAZ'!A:A, 'Model VMT by TAZ'!C:C)</f>
        <v>YES</v>
      </c>
    </row>
    <row r="37" spans="1:6" x14ac:dyDescent="0.35">
      <c r="A37">
        <v>1494</v>
      </c>
      <c r="B37" s="51">
        <f>_xlfn.XLOOKUP(A37, 'Model VMT by TAZ'!A:A, 'Model VMT by TAZ'!G:G, "N/A")</f>
        <v>14647.33</v>
      </c>
      <c r="C37" s="51">
        <f>_xlfn.XLOOKUP(A37, 'Model VMT by TAZ'!$A:$A, 'Model VMT by TAZ'!$J:$J, "N/A")</f>
        <v>1448</v>
      </c>
      <c r="D37" s="51">
        <f>_xlfn.XLOOKUP(A37,'Model Modeshare by TAZ'!$A:$A,'Model Modeshare by TAZ'!$E:$E,0)+_xlfn.XLOOKUP(A37,'Model Modeshare by TAZ'!$A:$A,'Model Modeshare by TAZ'!$F:$F,0)</f>
        <v>5596.48</v>
      </c>
      <c r="E37" s="51">
        <f>_xlfn.XLOOKUP(A37, 'Model VMT by TAZ'!$A:$A, 'Model Modeshare by TAZ'!$H:$H, "N/A")</f>
        <v>107.52</v>
      </c>
      <c r="F37" s="2" t="str">
        <f>_xlfn.XLOOKUP(A37, 'Model VMT by TAZ'!A:A, 'Model VMT by TAZ'!C:C)</f>
        <v>YES</v>
      </c>
    </row>
  </sheetData>
  <autoFilter ref="A4:F37" xr:uid="{EF0A79B8-6CF0-40EB-B408-A36C3D0F6DE1}"/>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CD476-2DB6-424F-9498-FCFCE7CF787F}">
  <sheetPr>
    <tabColor theme="6"/>
  </sheetPr>
  <dimension ref="A1:AO147"/>
  <sheetViews>
    <sheetView zoomScaleNormal="100" workbookViewId="0">
      <selection activeCell="B25" sqref="B25"/>
    </sheetView>
  </sheetViews>
  <sheetFormatPr defaultRowHeight="14.5" x14ac:dyDescent="0.35"/>
  <cols>
    <col min="1" max="1" width="11.7265625" customWidth="1"/>
    <col min="2" max="2" width="10.7265625" bestFit="1" customWidth="1"/>
    <col min="3" max="3" width="26.26953125" customWidth="1"/>
    <col min="4" max="4" width="14.1796875" customWidth="1"/>
    <col min="5" max="5" width="17.81640625" customWidth="1"/>
    <col min="6" max="6" width="12.7265625" customWidth="1"/>
    <col min="7" max="7" width="12.54296875" bestFit="1" customWidth="1"/>
    <col min="9" max="9" width="32.26953125" customWidth="1"/>
    <col min="12" max="12" width="15.1796875" bestFit="1" customWidth="1"/>
    <col min="16" max="16" width="12.7265625" bestFit="1" customWidth="1"/>
    <col min="17" max="17" width="20.1796875" customWidth="1"/>
    <col min="18" max="18" width="18.54296875" customWidth="1"/>
    <col min="20" max="20" width="10.1796875" bestFit="1" customWidth="1"/>
    <col min="24" max="24" width="15.1796875" customWidth="1"/>
    <col min="31" max="31" width="18.453125" customWidth="1"/>
    <col min="32" max="32" width="26.54296875" bestFit="1" customWidth="1"/>
    <col min="37" max="37" width="22" bestFit="1" customWidth="1"/>
    <col min="38" max="38" width="26.54296875" bestFit="1" customWidth="1"/>
  </cols>
  <sheetData>
    <row r="1" spans="1:41" x14ac:dyDescent="0.35">
      <c r="A1" s="54" t="s">
        <v>1252</v>
      </c>
    </row>
    <row r="3" spans="1:41" x14ac:dyDescent="0.35">
      <c r="A3" s="2" t="s">
        <v>1318</v>
      </c>
      <c r="D3" s="54" t="s">
        <v>1254</v>
      </c>
    </row>
    <row r="4" spans="1:41" ht="39.5" x14ac:dyDescent="0.35">
      <c r="A4" s="237" t="s">
        <v>1255</v>
      </c>
      <c r="B4" s="237" t="s">
        <v>1256</v>
      </c>
      <c r="C4" s="238" t="s">
        <v>1168</v>
      </c>
      <c r="D4" s="238" t="s">
        <v>1257</v>
      </c>
      <c r="E4" s="238" t="s">
        <v>1258</v>
      </c>
      <c r="F4" s="238" t="s">
        <v>411</v>
      </c>
      <c r="H4" s="238" t="s">
        <v>1259</v>
      </c>
      <c r="I4" s="238" t="s">
        <v>1260</v>
      </c>
    </row>
    <row r="5" spans="1:41" x14ac:dyDescent="0.35">
      <c r="A5">
        <v>2901</v>
      </c>
      <c r="B5" s="51">
        <f>_xlfn.XLOOKUP(A5, 'Model VMT by TAZ'!A:A, 'Model VMT by TAZ'!G:G, "N/A")</f>
        <v>89780.7</v>
      </c>
      <c r="C5" s="51">
        <f>_xlfn.XLOOKUP(A5, 'Model VMT by TAZ'!$A:$A, 'Model VMT by TAZ'!$J:$J, "N/A")</f>
        <v>4878</v>
      </c>
      <c r="D5" s="51">
        <f>_xlfn.XLOOKUP(A5,'Model Modeshare by TAZ'!$A:$A,'Model Modeshare by TAZ'!$E:$E,0)+_xlfn.XLOOKUP(A5,'Model Modeshare by TAZ'!$A:$A,'Model Modeshare by TAZ'!$F:$F,0)</f>
        <v>18220.02</v>
      </c>
      <c r="E5" s="51">
        <f>_xlfn.XLOOKUP(A5, 'Model VMT by TAZ'!$A:$A, 'Model Modeshare by TAZ'!$H:$H, "N/A")</f>
        <v>250.12</v>
      </c>
      <c r="F5" s="239" t="str">
        <f>_xlfn.XLOOKUP(A5, 'Model VMT by TAZ'!A:A, 'Model VMT by TAZ'!C:C)</f>
        <v>NO</v>
      </c>
      <c r="H5" s="33">
        <f>(SUM(D5:D78))/(SUM(C5:C78))</f>
        <v>5.2372539563534666</v>
      </c>
      <c r="I5" s="33">
        <f>(SUM(E5:E78))/(SUM(C5:C78))</f>
        <v>5.3241069076614446E-2</v>
      </c>
    </row>
    <row r="6" spans="1:41" x14ac:dyDescent="0.35">
      <c r="A6">
        <v>1923</v>
      </c>
      <c r="B6" s="51">
        <f>_xlfn.XLOOKUP(A6, 'Model VMT by TAZ'!A:A, 'Model VMT by TAZ'!G:G, "N/A")</f>
        <v>21639.95</v>
      </c>
      <c r="C6" s="51">
        <f>_xlfn.XLOOKUP(A6, 'Model VMT by TAZ'!$A:$A, 'Model VMT by TAZ'!$J:$J, "N/A")</f>
        <v>2131</v>
      </c>
      <c r="D6" s="51">
        <f>_xlfn.XLOOKUP(A6,'Model Modeshare by TAZ'!$A:$A,'Model Modeshare by TAZ'!$E:$E,0)+_xlfn.XLOOKUP(A6,'Model Modeshare by TAZ'!$A:$A,'Model Modeshare by TAZ'!$F:$F,0)</f>
        <v>10883.98</v>
      </c>
      <c r="E6" s="51">
        <f>_xlfn.XLOOKUP(A6, 'Model VMT by TAZ'!$A:$A, 'Model Modeshare by TAZ'!$H:$H, "N/A")</f>
        <v>163.52000000000001</v>
      </c>
      <c r="F6" s="239" t="str">
        <f>_xlfn.XLOOKUP(A6, 'Model VMT by TAZ'!A:A, 'Model VMT by TAZ'!C:C)</f>
        <v>YES</v>
      </c>
    </row>
    <row r="7" spans="1:41" ht="39.5" x14ac:dyDescent="0.35">
      <c r="A7">
        <v>1924</v>
      </c>
      <c r="B7" s="51">
        <f>_xlfn.XLOOKUP(A7, 'Model VMT by TAZ'!A:A, 'Model VMT by TAZ'!G:G, "N/A")</f>
        <v>53645.1</v>
      </c>
      <c r="C7" s="51">
        <f>_xlfn.XLOOKUP(A7, 'Model VMT by TAZ'!$A:$A, 'Model VMT by TAZ'!$J:$J, "N/A")</f>
        <v>3308</v>
      </c>
      <c r="D7" s="51">
        <f>_xlfn.XLOOKUP(A7,'Model Modeshare by TAZ'!$A:$A,'Model Modeshare by TAZ'!$E:$E,0)+_xlfn.XLOOKUP(A7,'Model Modeshare by TAZ'!$A:$A,'Model Modeshare by TAZ'!$F:$F,0)</f>
        <v>16659.46</v>
      </c>
      <c r="E7" s="51">
        <f>_xlfn.XLOOKUP(A7, 'Model VMT by TAZ'!$A:$A, 'Model Modeshare by TAZ'!$H:$H, "N/A")</f>
        <v>201.26</v>
      </c>
      <c r="F7" s="239" t="str">
        <f>_xlfn.XLOOKUP(A7, 'Model VMT by TAZ'!A:A, 'Model VMT by TAZ'!C:C)</f>
        <v>YES</v>
      </c>
      <c r="H7" s="240" t="s">
        <v>1261</v>
      </c>
      <c r="I7" s="240" t="s">
        <v>1304</v>
      </c>
      <c r="J7" s="240" t="s">
        <v>1263</v>
      </c>
      <c r="K7" s="240" t="s">
        <v>1264</v>
      </c>
      <c r="L7" s="240" t="s">
        <v>1265</v>
      </c>
      <c r="M7" s="240" t="s">
        <v>1266</v>
      </c>
      <c r="N7" s="240" t="s">
        <v>1267</v>
      </c>
      <c r="O7" s="240" t="s">
        <v>1268</v>
      </c>
      <c r="P7" s="240" t="s">
        <v>1269</v>
      </c>
      <c r="Q7" s="240" t="s">
        <v>1270</v>
      </c>
      <c r="R7" s="240" t="s">
        <v>1319</v>
      </c>
      <c r="T7" s="2" t="s">
        <v>597</v>
      </c>
      <c r="U7" s="2" t="s">
        <v>1268</v>
      </c>
      <c r="AA7" s="2" t="s">
        <v>1320</v>
      </c>
    </row>
    <row r="8" spans="1:41" x14ac:dyDescent="0.35">
      <c r="A8">
        <v>1925</v>
      </c>
      <c r="B8" s="51">
        <f>_xlfn.XLOOKUP(A8, 'Model VMT by TAZ'!A:A, 'Model VMT by TAZ'!G:G, "N/A")</f>
        <v>42099.65</v>
      </c>
      <c r="C8" s="51">
        <f>_xlfn.XLOOKUP(A8, 'Model VMT by TAZ'!$A:$A, 'Model VMT by TAZ'!$J:$J, "N/A")</f>
        <v>3084</v>
      </c>
      <c r="D8" s="51">
        <f>_xlfn.XLOOKUP(A8,'Model Modeshare by TAZ'!$A:$A,'Model Modeshare by TAZ'!$E:$E,0)+_xlfn.XLOOKUP(A8,'Model Modeshare by TAZ'!$A:$A,'Model Modeshare by TAZ'!$F:$F,0)</f>
        <v>16852.96</v>
      </c>
      <c r="E8" s="51">
        <f>_xlfn.XLOOKUP(A8, 'Model VMT by TAZ'!$A:$A, 'Model Modeshare by TAZ'!$H:$H, "N/A")</f>
        <v>199.9</v>
      </c>
      <c r="F8" s="239" t="str">
        <f>_xlfn.XLOOKUP(A8, 'Model VMT by TAZ'!A:A, 'Model VMT by TAZ'!C:C)</f>
        <v>YES</v>
      </c>
      <c r="G8" s="2" t="s">
        <v>1321</v>
      </c>
      <c r="H8">
        <v>13.02</v>
      </c>
      <c r="I8" t="s">
        <v>377</v>
      </c>
      <c r="J8" t="s">
        <v>1322</v>
      </c>
      <c r="K8" t="s">
        <v>1285</v>
      </c>
      <c r="L8" t="s">
        <v>1323</v>
      </c>
      <c r="O8">
        <v>5.8999999999999997E-2</v>
      </c>
      <c r="P8" t="s">
        <v>1309</v>
      </c>
      <c r="Q8" t="s">
        <v>1316</v>
      </c>
      <c r="R8" t="s">
        <v>1316</v>
      </c>
      <c r="T8" t="s">
        <v>1324</v>
      </c>
      <c r="U8">
        <f>SUM(O8:O19)</f>
        <v>2.4687000000000001</v>
      </c>
      <c r="AA8" t="s">
        <v>1325</v>
      </c>
      <c r="AB8" t="s">
        <v>1149</v>
      </c>
      <c r="AC8" t="s">
        <v>1326</v>
      </c>
      <c r="AD8" t="s">
        <v>1327</v>
      </c>
      <c r="AE8" t="s">
        <v>1328</v>
      </c>
      <c r="AF8" t="s">
        <v>1329</v>
      </c>
      <c r="AG8" t="s">
        <v>1330</v>
      </c>
      <c r="AH8" t="s">
        <v>1331</v>
      </c>
      <c r="AI8" t="s">
        <v>1332</v>
      </c>
      <c r="AJ8" t="s">
        <v>1333</v>
      </c>
      <c r="AK8" t="s">
        <v>1334</v>
      </c>
      <c r="AL8" t="s">
        <v>1335</v>
      </c>
      <c r="AM8" t="s">
        <v>1336</v>
      </c>
      <c r="AN8" t="s">
        <v>1337</v>
      </c>
      <c r="AO8" t="s">
        <v>1157</v>
      </c>
    </row>
    <row r="9" spans="1:41" x14ac:dyDescent="0.35">
      <c r="A9">
        <v>1926</v>
      </c>
      <c r="B9" s="51">
        <f>_xlfn.XLOOKUP(A9, 'Model VMT by TAZ'!A:A, 'Model VMT by TAZ'!G:G, "N/A")</f>
        <v>77942.759999999995</v>
      </c>
      <c r="C9" s="51">
        <f>_xlfn.XLOOKUP(A9, 'Model VMT by TAZ'!$A:$A, 'Model VMT by TAZ'!$J:$J, "N/A")</f>
        <v>4712</v>
      </c>
      <c r="D9" s="51">
        <f>_xlfn.XLOOKUP(A9,'Model Modeshare by TAZ'!$A:$A,'Model Modeshare by TAZ'!$E:$E,0)+_xlfn.XLOOKUP(A9,'Model Modeshare by TAZ'!$A:$A,'Model Modeshare by TAZ'!$F:$F,0)</f>
        <v>21670.620000000003</v>
      </c>
      <c r="E9" s="51">
        <f>_xlfn.XLOOKUP(A9, 'Model VMT by TAZ'!$A:$A, 'Model Modeshare by TAZ'!$H:$H, "N/A")</f>
        <v>252.56</v>
      </c>
      <c r="F9" s="239" t="str">
        <f>_xlfn.XLOOKUP(A9, 'Model VMT by TAZ'!A:A, 'Model VMT by TAZ'!C:C)</f>
        <v>YES</v>
      </c>
      <c r="H9">
        <v>13.02</v>
      </c>
      <c r="I9" t="s">
        <v>377</v>
      </c>
      <c r="J9" t="s">
        <v>1322</v>
      </c>
      <c r="K9" t="s">
        <v>1285</v>
      </c>
      <c r="L9" t="s">
        <v>1323</v>
      </c>
      <c r="O9">
        <v>0.31290000000000001</v>
      </c>
      <c r="P9" t="s">
        <v>1309</v>
      </c>
      <c r="Q9" t="s">
        <v>1316</v>
      </c>
      <c r="R9" t="s">
        <v>1316</v>
      </c>
      <c r="T9" t="s">
        <v>1338</v>
      </c>
      <c r="U9">
        <f>SUM(O20:O21)</f>
        <v>0.79480000000000006</v>
      </c>
      <c r="AA9">
        <v>46</v>
      </c>
      <c r="AB9" t="s">
        <v>1339</v>
      </c>
      <c r="AC9" t="s">
        <v>1323</v>
      </c>
      <c r="AD9" t="s">
        <v>1322</v>
      </c>
      <c r="AE9" t="s">
        <v>1285</v>
      </c>
      <c r="AF9">
        <v>1</v>
      </c>
      <c r="AG9">
        <v>13.02</v>
      </c>
      <c r="AH9">
        <v>1</v>
      </c>
      <c r="AI9" t="s">
        <v>377</v>
      </c>
      <c r="AJ9" t="s">
        <v>1309</v>
      </c>
      <c r="AK9" t="s">
        <v>1309</v>
      </c>
      <c r="AL9" t="s">
        <v>1316</v>
      </c>
      <c r="AM9">
        <v>5.8999999999999997E-2</v>
      </c>
      <c r="AN9" t="s">
        <v>1309</v>
      </c>
      <c r="AO9">
        <v>189.90206599999999</v>
      </c>
    </row>
    <row r="10" spans="1:41" x14ac:dyDescent="0.35">
      <c r="A10">
        <v>1994</v>
      </c>
      <c r="B10" s="51">
        <f>_xlfn.XLOOKUP(A10, 'Model VMT by TAZ'!A:A, 'Model VMT by TAZ'!G:G, "N/A")</f>
        <v>41994.62</v>
      </c>
      <c r="C10" s="51">
        <f>_xlfn.XLOOKUP(A10, 'Model VMT by TAZ'!$A:$A, 'Model VMT by TAZ'!$J:$J, "N/A")</f>
        <v>1643</v>
      </c>
      <c r="D10" s="51">
        <f>_xlfn.XLOOKUP(A10,'Model Modeshare by TAZ'!$A:$A,'Model Modeshare by TAZ'!$E:$E,0)+_xlfn.XLOOKUP(A10,'Model Modeshare by TAZ'!$A:$A,'Model Modeshare by TAZ'!$F:$F,0)</f>
        <v>6157.5599999999995</v>
      </c>
      <c r="E10" s="51">
        <f>_xlfn.XLOOKUP(A10, 'Model VMT by TAZ'!$A:$A, 'Model Modeshare by TAZ'!$H:$H, "N/A")</f>
        <v>43.5</v>
      </c>
      <c r="F10" s="239" t="str">
        <f>_xlfn.XLOOKUP(A10, 'Model VMT by TAZ'!A:A, 'Model VMT by TAZ'!C:C)</f>
        <v>YES</v>
      </c>
      <c r="H10">
        <v>13.02</v>
      </c>
      <c r="I10" t="s">
        <v>377</v>
      </c>
      <c r="J10" t="s">
        <v>1322</v>
      </c>
      <c r="K10" t="s">
        <v>1285</v>
      </c>
      <c r="L10" t="s">
        <v>1323</v>
      </c>
      <c r="O10">
        <v>0.28260000000000002</v>
      </c>
      <c r="P10" t="s">
        <v>1309</v>
      </c>
      <c r="Q10" t="s">
        <v>1316</v>
      </c>
      <c r="R10" t="s">
        <v>1316</v>
      </c>
      <c r="T10" t="s">
        <v>1340</v>
      </c>
      <c r="U10">
        <f>SUM(O22:O108)</f>
        <v>43.034800000000004</v>
      </c>
      <c r="AA10">
        <v>47</v>
      </c>
      <c r="AB10" t="s">
        <v>1339</v>
      </c>
      <c r="AC10" t="s">
        <v>1323</v>
      </c>
      <c r="AD10" t="s">
        <v>1322</v>
      </c>
      <c r="AE10" t="s">
        <v>1285</v>
      </c>
      <c r="AF10">
        <v>1</v>
      </c>
      <c r="AG10">
        <v>13.02</v>
      </c>
      <c r="AH10">
        <v>1</v>
      </c>
      <c r="AI10" t="s">
        <v>377</v>
      </c>
      <c r="AJ10" t="s">
        <v>1309</v>
      </c>
      <c r="AK10" t="s">
        <v>1309</v>
      </c>
      <c r="AL10" t="s">
        <v>1316</v>
      </c>
      <c r="AM10">
        <v>0.31290000000000001</v>
      </c>
      <c r="AN10" t="s">
        <v>1309</v>
      </c>
      <c r="AO10">
        <v>1007.243097</v>
      </c>
    </row>
    <row r="11" spans="1:41" x14ac:dyDescent="0.35">
      <c r="A11">
        <v>1993</v>
      </c>
      <c r="B11" s="51">
        <f>_xlfn.XLOOKUP(A11, 'Model VMT by TAZ'!A:A, 'Model VMT by TAZ'!G:G, "N/A")</f>
        <v>75636.86</v>
      </c>
      <c r="C11" s="51">
        <f>_xlfn.XLOOKUP(A11, 'Model VMT by TAZ'!$A:$A, 'Model VMT by TAZ'!$J:$J, "N/A")</f>
        <v>3156</v>
      </c>
      <c r="D11" s="51">
        <f>_xlfn.XLOOKUP(A11,'Model Modeshare by TAZ'!$A:$A,'Model Modeshare by TAZ'!$E:$E,0)+_xlfn.XLOOKUP(A11,'Model Modeshare by TAZ'!$A:$A,'Model Modeshare by TAZ'!$F:$F,0)</f>
        <v>11634.24</v>
      </c>
      <c r="E11" s="51">
        <f>_xlfn.XLOOKUP(A11, 'Model VMT by TAZ'!$A:$A, 'Model Modeshare by TAZ'!$H:$H, "N/A")</f>
        <v>150.41999999999999</v>
      </c>
      <c r="F11" s="239" t="str">
        <f>_xlfn.XLOOKUP(A11, 'Model VMT by TAZ'!A:A, 'Model VMT by TAZ'!C:C)</f>
        <v>YES</v>
      </c>
      <c r="H11">
        <v>13.02</v>
      </c>
      <c r="I11" t="s">
        <v>377</v>
      </c>
      <c r="J11" t="s">
        <v>1322</v>
      </c>
      <c r="K11" t="s">
        <v>1285</v>
      </c>
      <c r="L11" t="s">
        <v>1323</v>
      </c>
      <c r="O11">
        <v>0.20630000000000001</v>
      </c>
      <c r="P11" t="s">
        <v>1309</v>
      </c>
      <c r="Q11" t="s">
        <v>1316</v>
      </c>
      <c r="R11" t="s">
        <v>1316</v>
      </c>
      <c r="T11" t="s">
        <v>1341</v>
      </c>
      <c r="U11">
        <f>SUM(O109:O143)</f>
        <v>5.4212000000000007</v>
      </c>
      <c r="AA11">
        <v>48</v>
      </c>
      <c r="AB11" t="s">
        <v>1339</v>
      </c>
      <c r="AC11" t="s">
        <v>1323</v>
      </c>
      <c r="AD11" t="s">
        <v>1322</v>
      </c>
      <c r="AE11" t="s">
        <v>1285</v>
      </c>
      <c r="AF11">
        <v>1</v>
      </c>
      <c r="AG11">
        <v>13.02</v>
      </c>
      <c r="AH11">
        <v>1</v>
      </c>
      <c r="AI11" t="s">
        <v>377</v>
      </c>
      <c r="AJ11" t="s">
        <v>1309</v>
      </c>
      <c r="AK11" t="s">
        <v>1309</v>
      </c>
      <c r="AL11" t="s">
        <v>1316</v>
      </c>
      <c r="AM11">
        <v>0.28260000000000002</v>
      </c>
      <c r="AN11" t="s">
        <v>1309</v>
      </c>
      <c r="AO11">
        <v>909.61791200000005</v>
      </c>
    </row>
    <row r="12" spans="1:41" x14ac:dyDescent="0.35">
      <c r="A12">
        <v>1515</v>
      </c>
      <c r="B12" s="51">
        <f>_xlfn.XLOOKUP(A12, 'Model VMT by TAZ'!A:A, 'Model VMT by TAZ'!G:G, "N/A")</f>
        <v>21381.62</v>
      </c>
      <c r="C12" s="51">
        <f>_xlfn.XLOOKUP(A12, 'Model VMT by TAZ'!$A:$A, 'Model VMT by TAZ'!$J:$J, "N/A")</f>
        <v>1876</v>
      </c>
      <c r="D12" s="51">
        <f>_xlfn.XLOOKUP(A12,'Model Modeshare by TAZ'!$A:$A,'Model Modeshare by TAZ'!$E:$E,0)+_xlfn.XLOOKUP(A12,'Model Modeshare by TAZ'!$A:$A,'Model Modeshare by TAZ'!$F:$F,0)</f>
        <v>9167.74</v>
      </c>
      <c r="E12" s="51">
        <f>_xlfn.XLOOKUP(A12, 'Model VMT by TAZ'!$A:$A, 'Model Modeshare by TAZ'!$H:$H, "N/A")</f>
        <v>135.08000000000001</v>
      </c>
      <c r="F12" s="239" t="str">
        <f>_xlfn.XLOOKUP(A12, 'Model VMT by TAZ'!A:A, 'Model VMT by TAZ'!C:C)</f>
        <v>YES</v>
      </c>
      <c r="H12">
        <v>13.02</v>
      </c>
      <c r="I12" t="s">
        <v>377</v>
      </c>
      <c r="J12" t="s">
        <v>1322</v>
      </c>
      <c r="K12" t="s">
        <v>1285</v>
      </c>
      <c r="L12" t="s">
        <v>1323</v>
      </c>
      <c r="O12">
        <v>5.5300000000000002E-2</v>
      </c>
      <c r="P12" t="s">
        <v>1309</v>
      </c>
      <c r="Q12" t="s">
        <v>1316</v>
      </c>
      <c r="R12" t="s">
        <v>1316</v>
      </c>
      <c r="AA12">
        <v>49</v>
      </c>
      <c r="AB12" t="s">
        <v>1339</v>
      </c>
      <c r="AC12" t="s">
        <v>1323</v>
      </c>
      <c r="AD12" t="s">
        <v>1322</v>
      </c>
      <c r="AE12" t="s">
        <v>1285</v>
      </c>
      <c r="AF12">
        <v>1</v>
      </c>
      <c r="AG12">
        <v>13.02</v>
      </c>
      <c r="AH12">
        <v>1</v>
      </c>
      <c r="AI12" t="s">
        <v>377</v>
      </c>
      <c r="AJ12" t="s">
        <v>1309</v>
      </c>
      <c r="AK12" t="s">
        <v>1309</v>
      </c>
      <c r="AL12" t="s">
        <v>1316</v>
      </c>
      <c r="AM12">
        <v>0.20630000000000001</v>
      </c>
      <c r="AN12" t="s">
        <v>1309</v>
      </c>
      <c r="AO12">
        <v>663.89071799999999</v>
      </c>
    </row>
    <row r="13" spans="1:41" x14ac:dyDescent="0.35">
      <c r="A13">
        <v>1518</v>
      </c>
      <c r="B13" s="51">
        <f>_xlfn.XLOOKUP(A13, 'Model VMT by TAZ'!A:A, 'Model VMT by TAZ'!G:G, "N/A")</f>
        <v>23598.82</v>
      </c>
      <c r="C13" s="51">
        <f>_xlfn.XLOOKUP(A13, 'Model VMT by TAZ'!$A:$A, 'Model VMT by TAZ'!$J:$J, "N/A")</f>
        <v>1814</v>
      </c>
      <c r="D13" s="51">
        <f>_xlfn.XLOOKUP(A13,'Model Modeshare by TAZ'!$A:$A,'Model Modeshare by TAZ'!$E:$E,0)+_xlfn.XLOOKUP(A13,'Model Modeshare by TAZ'!$A:$A,'Model Modeshare by TAZ'!$F:$F,0)</f>
        <v>7369.3</v>
      </c>
      <c r="E13" s="51">
        <f>_xlfn.XLOOKUP(A13, 'Model VMT by TAZ'!$A:$A, 'Model Modeshare by TAZ'!$H:$H, "N/A")</f>
        <v>86.78</v>
      </c>
      <c r="F13" s="239" t="str">
        <f>_xlfn.XLOOKUP(A13, 'Model VMT by TAZ'!A:A, 'Model VMT by TAZ'!C:C)</f>
        <v>YES</v>
      </c>
      <c r="H13">
        <v>13.02</v>
      </c>
      <c r="I13" t="s">
        <v>377</v>
      </c>
      <c r="J13" t="s">
        <v>1322</v>
      </c>
      <c r="K13" t="s">
        <v>1285</v>
      </c>
      <c r="L13" t="s">
        <v>1323</v>
      </c>
      <c r="O13">
        <v>0.63239999999999996</v>
      </c>
      <c r="P13" t="s">
        <v>1309</v>
      </c>
      <c r="Q13" t="s">
        <v>1316</v>
      </c>
      <c r="R13" t="s">
        <v>1316</v>
      </c>
      <c r="AA13">
        <v>50</v>
      </c>
      <c r="AB13" t="s">
        <v>1339</v>
      </c>
      <c r="AC13" t="s">
        <v>1323</v>
      </c>
      <c r="AD13" t="s">
        <v>1322</v>
      </c>
      <c r="AE13" t="s">
        <v>1285</v>
      </c>
      <c r="AF13">
        <v>1</v>
      </c>
      <c r="AG13">
        <v>13.02</v>
      </c>
      <c r="AH13">
        <v>1</v>
      </c>
      <c r="AI13" t="s">
        <v>377</v>
      </c>
      <c r="AJ13" t="s">
        <v>1309</v>
      </c>
      <c r="AK13" t="s">
        <v>1309</v>
      </c>
      <c r="AL13" t="s">
        <v>1316</v>
      </c>
      <c r="AM13">
        <v>5.5300000000000002E-2</v>
      </c>
      <c r="AN13" t="s">
        <v>1309</v>
      </c>
      <c r="AO13">
        <v>178.01933299999999</v>
      </c>
    </row>
    <row r="14" spans="1:41" x14ac:dyDescent="0.35">
      <c r="A14">
        <v>1517</v>
      </c>
      <c r="B14" s="51">
        <f>_xlfn.XLOOKUP(A14, 'Model VMT by TAZ'!A:A, 'Model VMT by TAZ'!G:G, "N/A")</f>
        <v>5929.11</v>
      </c>
      <c r="C14" s="51">
        <f>_xlfn.XLOOKUP(A14, 'Model VMT by TAZ'!$A:$A, 'Model VMT by TAZ'!$J:$J, "N/A")</f>
        <v>711</v>
      </c>
      <c r="D14" s="51">
        <f>_xlfn.XLOOKUP(A14,'Model Modeshare by TAZ'!$A:$A,'Model Modeshare by TAZ'!$E:$E,0)+_xlfn.XLOOKUP(A14,'Model Modeshare by TAZ'!$A:$A,'Model Modeshare by TAZ'!$F:$F,0)</f>
        <v>3085.14</v>
      </c>
      <c r="E14" s="51">
        <f>_xlfn.XLOOKUP(A14, 'Model VMT by TAZ'!$A:$A, 'Model Modeshare by TAZ'!$H:$H, "N/A")</f>
        <v>34.1</v>
      </c>
      <c r="F14" s="239" t="str">
        <f>_xlfn.XLOOKUP(A14, 'Model VMT by TAZ'!A:A, 'Model VMT by TAZ'!C:C)</f>
        <v>YES</v>
      </c>
      <c r="H14">
        <v>13.02</v>
      </c>
      <c r="I14" t="s">
        <v>377</v>
      </c>
      <c r="J14" t="s">
        <v>1322</v>
      </c>
      <c r="K14" t="s">
        <v>1285</v>
      </c>
      <c r="L14" t="s">
        <v>1323</v>
      </c>
      <c r="O14">
        <v>0.16009999999999999</v>
      </c>
      <c r="P14" t="s">
        <v>1309</v>
      </c>
      <c r="Q14" t="s">
        <v>1316</v>
      </c>
      <c r="R14" t="s">
        <v>1316</v>
      </c>
      <c r="AA14">
        <v>51</v>
      </c>
      <c r="AB14" t="s">
        <v>1339</v>
      </c>
      <c r="AC14" t="s">
        <v>1323</v>
      </c>
      <c r="AD14" t="s">
        <v>1322</v>
      </c>
      <c r="AE14" t="s">
        <v>1285</v>
      </c>
      <c r="AF14">
        <v>1</v>
      </c>
      <c r="AG14">
        <v>13.03</v>
      </c>
      <c r="AH14">
        <v>0</v>
      </c>
      <c r="AI14" t="s">
        <v>377</v>
      </c>
      <c r="AJ14" t="s">
        <v>1309</v>
      </c>
      <c r="AK14" t="s">
        <v>1299</v>
      </c>
      <c r="AL14" t="s">
        <v>1299</v>
      </c>
      <c r="AM14">
        <v>3.0800000000000001E-2</v>
      </c>
      <c r="AN14" t="s">
        <v>1309</v>
      </c>
      <c r="AO14">
        <v>99.251132999999996</v>
      </c>
    </row>
    <row r="15" spans="1:41" x14ac:dyDescent="0.35">
      <c r="A15">
        <v>1557</v>
      </c>
      <c r="B15" s="51">
        <f>_xlfn.XLOOKUP(A15, 'Model VMT by TAZ'!A:A, 'Model VMT by TAZ'!G:G, "N/A")</f>
        <v>52533.81</v>
      </c>
      <c r="C15" s="51">
        <f>_xlfn.XLOOKUP(A15, 'Model VMT by TAZ'!$A:$A, 'Model VMT by TAZ'!$J:$J, "N/A")</f>
        <v>3657</v>
      </c>
      <c r="D15" s="51">
        <f>_xlfn.XLOOKUP(A15,'Model Modeshare by TAZ'!$A:$A,'Model Modeshare by TAZ'!$E:$E,0)+_xlfn.XLOOKUP(A15,'Model Modeshare by TAZ'!$A:$A,'Model Modeshare by TAZ'!$F:$F,0)</f>
        <v>22986.36</v>
      </c>
      <c r="E15" s="51">
        <f>_xlfn.XLOOKUP(A15, 'Model VMT by TAZ'!$A:$A, 'Model Modeshare by TAZ'!$H:$H, "N/A")</f>
        <v>196.4</v>
      </c>
      <c r="F15" s="239" t="str">
        <f>_xlfn.XLOOKUP(A15, 'Model VMT by TAZ'!A:A, 'Model VMT by TAZ'!C:C)</f>
        <v>YES</v>
      </c>
      <c r="H15">
        <v>13.02</v>
      </c>
      <c r="I15" t="s">
        <v>377</v>
      </c>
      <c r="J15" t="s">
        <v>1322</v>
      </c>
      <c r="K15" t="s">
        <v>1285</v>
      </c>
      <c r="L15" t="s">
        <v>1323</v>
      </c>
      <c r="O15">
        <v>4.5400000000000003E-2</v>
      </c>
      <c r="P15" t="s">
        <v>1309</v>
      </c>
      <c r="Q15" t="s">
        <v>1316</v>
      </c>
      <c r="R15" t="s">
        <v>1316</v>
      </c>
      <c r="AA15">
        <v>52</v>
      </c>
      <c r="AB15" t="s">
        <v>1339</v>
      </c>
      <c r="AC15" t="s">
        <v>1323</v>
      </c>
      <c r="AD15" t="s">
        <v>1322</v>
      </c>
      <c r="AE15" t="s">
        <v>1285</v>
      </c>
      <c r="AF15">
        <v>1</v>
      </c>
      <c r="AG15">
        <v>13.02</v>
      </c>
      <c r="AH15">
        <v>1</v>
      </c>
      <c r="AI15" t="s">
        <v>377</v>
      </c>
      <c r="AJ15" t="s">
        <v>1309</v>
      </c>
      <c r="AK15" t="s">
        <v>1309</v>
      </c>
      <c r="AL15" t="s">
        <v>1316</v>
      </c>
      <c r="AM15">
        <v>0.63239999999999996</v>
      </c>
      <c r="AN15" t="s">
        <v>1309</v>
      </c>
      <c r="AO15">
        <v>2035.451701</v>
      </c>
    </row>
    <row r="16" spans="1:41" x14ac:dyDescent="0.35">
      <c r="A16">
        <v>1617</v>
      </c>
      <c r="B16" s="51">
        <f>_xlfn.XLOOKUP(A16, 'Model VMT by TAZ'!A:A, 'Model VMT by TAZ'!G:G, "N/A")</f>
        <v>5401.75</v>
      </c>
      <c r="C16" s="51">
        <f>_xlfn.XLOOKUP(A16, 'Model VMT by TAZ'!$A:$A, 'Model VMT by TAZ'!$J:$J, "N/A")</f>
        <v>204</v>
      </c>
      <c r="D16" s="51">
        <f>_xlfn.XLOOKUP(A16,'Model Modeshare by TAZ'!$A:$A,'Model Modeshare by TAZ'!$E:$E,0)+_xlfn.XLOOKUP(A16,'Model Modeshare by TAZ'!$A:$A,'Model Modeshare by TAZ'!$F:$F,0)</f>
        <v>961.4</v>
      </c>
      <c r="E16" s="51">
        <f>_xlfn.XLOOKUP(A16, 'Model VMT by TAZ'!$A:$A, 'Model Modeshare by TAZ'!$H:$H, "N/A")</f>
        <v>2.1</v>
      </c>
      <c r="F16" s="239" t="str">
        <f>_xlfn.XLOOKUP(A16, 'Model VMT by TAZ'!A:A, 'Model VMT by TAZ'!C:C)</f>
        <v>YES</v>
      </c>
      <c r="H16">
        <v>13.02</v>
      </c>
      <c r="I16" t="s">
        <v>377</v>
      </c>
      <c r="J16" t="s">
        <v>1322</v>
      </c>
      <c r="K16" t="s">
        <v>1285</v>
      </c>
      <c r="L16" t="s">
        <v>1323</v>
      </c>
      <c r="O16">
        <v>0.39250000000000002</v>
      </c>
      <c r="P16" t="s">
        <v>1309</v>
      </c>
      <c r="Q16" t="s">
        <v>1316</v>
      </c>
      <c r="R16" t="s">
        <v>1316</v>
      </c>
      <c r="AA16">
        <v>54</v>
      </c>
      <c r="AB16" t="s">
        <v>1339</v>
      </c>
      <c r="AC16" t="s">
        <v>1323</v>
      </c>
      <c r="AD16" t="s">
        <v>1322</v>
      </c>
      <c r="AE16" t="s">
        <v>1285</v>
      </c>
      <c r="AF16">
        <v>1</v>
      </c>
      <c r="AG16">
        <v>13.02</v>
      </c>
      <c r="AH16">
        <v>1</v>
      </c>
      <c r="AI16" t="s">
        <v>377</v>
      </c>
      <c r="AJ16" t="s">
        <v>1309</v>
      </c>
      <c r="AK16" t="s">
        <v>1309</v>
      </c>
      <c r="AL16" t="s">
        <v>1316</v>
      </c>
      <c r="AM16">
        <v>0.16009999999999999</v>
      </c>
      <c r="AN16" t="s">
        <v>1309</v>
      </c>
      <c r="AO16">
        <v>515.33653000000004</v>
      </c>
    </row>
    <row r="17" spans="1:41" x14ac:dyDescent="0.35">
      <c r="A17">
        <v>1658</v>
      </c>
      <c r="B17" s="51">
        <f>_xlfn.XLOOKUP(A17, 'Model VMT by TAZ'!A:A, 'Model VMT by TAZ'!G:G, "N/A")</f>
        <v>62810.26</v>
      </c>
      <c r="C17" s="51">
        <f>_xlfn.XLOOKUP(A17, 'Model VMT by TAZ'!$A:$A, 'Model VMT by TAZ'!$J:$J, "N/A")</f>
        <v>3002</v>
      </c>
      <c r="D17" s="51">
        <f>_xlfn.XLOOKUP(A17,'Model Modeshare by TAZ'!$A:$A,'Model Modeshare by TAZ'!$E:$E,0)+_xlfn.XLOOKUP(A17,'Model Modeshare by TAZ'!$A:$A,'Model Modeshare by TAZ'!$F:$F,0)</f>
        <v>14946.84</v>
      </c>
      <c r="E17" s="51">
        <f>_xlfn.XLOOKUP(A17, 'Model VMT by TAZ'!$A:$A, 'Model Modeshare by TAZ'!$H:$H, "N/A")</f>
        <v>120.72</v>
      </c>
      <c r="F17" s="239" t="str">
        <f>_xlfn.XLOOKUP(A17, 'Model VMT by TAZ'!A:A, 'Model VMT by TAZ'!C:C)</f>
        <v>YES</v>
      </c>
      <c r="H17" t="s">
        <v>1309</v>
      </c>
      <c r="I17" t="s">
        <v>377</v>
      </c>
      <c r="J17" t="s">
        <v>1322</v>
      </c>
      <c r="K17" t="s">
        <v>1285</v>
      </c>
      <c r="L17" t="s">
        <v>1342</v>
      </c>
      <c r="O17">
        <v>0.13980000000000001</v>
      </c>
      <c r="P17" t="s">
        <v>1309</v>
      </c>
      <c r="Q17" t="s">
        <v>1316</v>
      </c>
      <c r="R17" t="s">
        <v>1316</v>
      </c>
      <c r="AA17">
        <v>63</v>
      </c>
      <c r="AB17" t="s">
        <v>1339</v>
      </c>
      <c r="AC17" t="s">
        <v>1323</v>
      </c>
      <c r="AD17" t="s">
        <v>1322</v>
      </c>
      <c r="AE17" t="s">
        <v>1343</v>
      </c>
      <c r="AF17">
        <v>0</v>
      </c>
      <c r="AG17">
        <v>13.03</v>
      </c>
      <c r="AH17">
        <v>0</v>
      </c>
      <c r="AI17" t="s">
        <v>1344</v>
      </c>
      <c r="AJ17" t="s">
        <v>1309</v>
      </c>
      <c r="AK17" t="s">
        <v>1299</v>
      </c>
      <c r="AL17" t="s">
        <v>1299</v>
      </c>
      <c r="AM17">
        <v>0.76400000000000001</v>
      </c>
      <c r="AN17" t="s">
        <v>1309</v>
      </c>
      <c r="AO17">
        <v>1229.5111979999999</v>
      </c>
    </row>
    <row r="18" spans="1:41" x14ac:dyDescent="0.35">
      <c r="A18">
        <v>1616</v>
      </c>
      <c r="B18" s="51">
        <f>_xlfn.XLOOKUP(A18, 'Model VMT by TAZ'!A:A, 'Model VMT by TAZ'!G:G, "N/A")</f>
        <v>82590.78</v>
      </c>
      <c r="C18" s="51">
        <f>_xlfn.XLOOKUP(A18, 'Model VMT by TAZ'!$A:$A, 'Model VMT by TAZ'!$J:$J, "N/A")</f>
        <v>4357</v>
      </c>
      <c r="D18" s="51">
        <f>_xlfn.XLOOKUP(A18,'Model Modeshare by TAZ'!$A:$A,'Model Modeshare by TAZ'!$E:$E,0)+_xlfn.XLOOKUP(A18,'Model Modeshare by TAZ'!$A:$A,'Model Modeshare by TAZ'!$F:$F,0)</f>
        <v>21240.3</v>
      </c>
      <c r="E18" s="51">
        <f>_xlfn.XLOOKUP(A18, 'Model VMT by TAZ'!$A:$A, 'Model Modeshare by TAZ'!$H:$H, "N/A")</f>
        <v>215.12</v>
      </c>
      <c r="F18" s="239" t="str">
        <f>_xlfn.XLOOKUP(A18, 'Model VMT by TAZ'!A:A, 'Model VMT by TAZ'!C:C)</f>
        <v>YES</v>
      </c>
      <c r="H18">
        <v>13.02</v>
      </c>
      <c r="I18" t="s">
        <v>377</v>
      </c>
      <c r="J18" t="s">
        <v>1322</v>
      </c>
      <c r="K18" t="s">
        <v>1285</v>
      </c>
      <c r="L18" t="s">
        <v>1323</v>
      </c>
      <c r="O18">
        <v>8.0100000000000005E-2</v>
      </c>
      <c r="P18" t="s">
        <v>1309</v>
      </c>
      <c r="Q18" t="s">
        <v>1316</v>
      </c>
      <c r="R18" t="s">
        <v>1316</v>
      </c>
      <c r="AA18">
        <v>106</v>
      </c>
      <c r="AB18" t="s">
        <v>1339</v>
      </c>
      <c r="AC18" t="s">
        <v>1323</v>
      </c>
      <c r="AD18" t="s">
        <v>1322</v>
      </c>
      <c r="AE18" t="s">
        <v>1285</v>
      </c>
      <c r="AF18">
        <v>1</v>
      </c>
      <c r="AG18">
        <v>13.02</v>
      </c>
      <c r="AH18">
        <v>1</v>
      </c>
      <c r="AI18" t="s">
        <v>377</v>
      </c>
      <c r="AJ18" t="s">
        <v>1309</v>
      </c>
      <c r="AK18" t="s">
        <v>1309</v>
      </c>
      <c r="AL18" t="s">
        <v>1316</v>
      </c>
      <c r="AM18">
        <v>4.5400000000000003E-2</v>
      </c>
      <c r="AN18" t="s">
        <v>1309</v>
      </c>
      <c r="AO18">
        <v>146.16442699999999</v>
      </c>
    </row>
    <row r="19" spans="1:41" x14ac:dyDescent="0.35">
      <c r="A19">
        <v>1659</v>
      </c>
      <c r="B19" s="51">
        <f>_xlfn.XLOOKUP(A19, 'Model VMT by TAZ'!A:A, 'Model VMT by TAZ'!G:G, "N/A")</f>
        <v>35139.199999999997</v>
      </c>
      <c r="C19" s="51">
        <f>_xlfn.XLOOKUP(A19, 'Model VMT by TAZ'!$A:$A, 'Model VMT by TAZ'!$J:$J, "N/A")</f>
        <v>1536</v>
      </c>
      <c r="D19" s="51">
        <f>_xlfn.XLOOKUP(A19,'Model Modeshare by TAZ'!$A:$A,'Model Modeshare by TAZ'!$E:$E,0)+_xlfn.XLOOKUP(A19,'Model Modeshare by TAZ'!$A:$A,'Model Modeshare by TAZ'!$F:$F,0)</f>
        <v>6467.08</v>
      </c>
      <c r="E19" s="51">
        <f>_xlfn.XLOOKUP(A19, 'Model VMT by TAZ'!$A:$A, 'Model Modeshare by TAZ'!$H:$H, "N/A")</f>
        <v>29.5</v>
      </c>
      <c r="F19" s="239" t="str">
        <f>_xlfn.XLOOKUP(A19, 'Model VMT by TAZ'!A:A, 'Model VMT by TAZ'!C:C)</f>
        <v>YES</v>
      </c>
      <c r="H19">
        <v>13.02</v>
      </c>
      <c r="I19" t="s">
        <v>377</v>
      </c>
      <c r="J19" t="s">
        <v>1322</v>
      </c>
      <c r="K19" t="s">
        <v>1285</v>
      </c>
      <c r="L19" t="s">
        <v>1323</v>
      </c>
      <c r="O19">
        <v>0.1023</v>
      </c>
      <c r="P19" t="s">
        <v>1309</v>
      </c>
      <c r="Q19" t="s">
        <v>1316</v>
      </c>
      <c r="R19" t="s">
        <v>1316</v>
      </c>
      <c r="AA19">
        <v>108</v>
      </c>
      <c r="AB19" t="s">
        <v>1339</v>
      </c>
      <c r="AC19" t="s">
        <v>1323</v>
      </c>
      <c r="AD19" t="s">
        <v>1322</v>
      </c>
      <c r="AE19" t="s">
        <v>1285</v>
      </c>
      <c r="AF19">
        <v>1</v>
      </c>
      <c r="AG19">
        <v>13.02</v>
      </c>
      <c r="AH19">
        <v>1</v>
      </c>
      <c r="AI19" t="s">
        <v>377</v>
      </c>
      <c r="AJ19" t="s">
        <v>1309</v>
      </c>
      <c r="AK19" t="s">
        <v>1309</v>
      </c>
      <c r="AL19" t="s">
        <v>1316</v>
      </c>
      <c r="AM19">
        <v>0.39250000000000002</v>
      </c>
      <c r="AN19" t="s">
        <v>1309</v>
      </c>
      <c r="AO19">
        <v>1263.3093180000001</v>
      </c>
    </row>
    <row r="20" spans="1:41" x14ac:dyDescent="0.35">
      <c r="A20">
        <v>1558</v>
      </c>
      <c r="B20" s="51">
        <f>_xlfn.XLOOKUP(A20, 'Model VMT by TAZ'!A:A, 'Model VMT by TAZ'!G:G, "N/A")</f>
        <v>107894.26</v>
      </c>
      <c r="C20" s="51">
        <f>_xlfn.XLOOKUP(A20, 'Model VMT by TAZ'!$A:$A, 'Model VMT by TAZ'!$J:$J, "N/A")</f>
        <v>6454</v>
      </c>
      <c r="D20" s="51">
        <f>_xlfn.XLOOKUP(A20,'Model Modeshare by TAZ'!$A:$A,'Model Modeshare by TAZ'!$E:$E,0)+_xlfn.XLOOKUP(A20,'Model Modeshare by TAZ'!$A:$A,'Model Modeshare by TAZ'!$F:$F,0)</f>
        <v>51371.9</v>
      </c>
      <c r="E20" s="51">
        <f>_xlfn.XLOOKUP(A20, 'Model VMT by TAZ'!$A:$A, 'Model Modeshare by TAZ'!$H:$H, "N/A")</f>
        <v>426.04</v>
      </c>
      <c r="F20" s="239" t="str">
        <f>_xlfn.XLOOKUP(A20, 'Model VMT by TAZ'!A:A, 'Model VMT by TAZ'!C:C)</f>
        <v>YES</v>
      </c>
      <c r="G20" s="2" t="s">
        <v>1345</v>
      </c>
      <c r="H20">
        <v>13.03</v>
      </c>
      <c r="I20" t="s">
        <v>377</v>
      </c>
      <c r="J20" t="s">
        <v>1322</v>
      </c>
      <c r="K20" t="s">
        <v>1285</v>
      </c>
      <c r="L20" t="s">
        <v>1323</v>
      </c>
      <c r="O20">
        <v>3.0800000000000001E-2</v>
      </c>
      <c r="P20" t="s">
        <v>1309</v>
      </c>
      <c r="Q20" t="s">
        <v>1299</v>
      </c>
      <c r="R20" t="s">
        <v>1299</v>
      </c>
      <c r="AA20">
        <v>122</v>
      </c>
      <c r="AB20" t="s">
        <v>1339</v>
      </c>
      <c r="AC20" t="s">
        <v>1323</v>
      </c>
      <c r="AD20" t="s">
        <v>1322</v>
      </c>
      <c r="AE20" t="s">
        <v>1343</v>
      </c>
      <c r="AF20">
        <v>1</v>
      </c>
      <c r="AG20" t="s">
        <v>1309</v>
      </c>
      <c r="AH20">
        <v>0</v>
      </c>
      <c r="AI20" t="s">
        <v>1344</v>
      </c>
      <c r="AJ20" t="s">
        <v>1316</v>
      </c>
      <c r="AK20" t="s">
        <v>1309</v>
      </c>
      <c r="AL20" t="s">
        <v>1346</v>
      </c>
      <c r="AM20">
        <v>0.1003</v>
      </c>
      <c r="AN20" t="s">
        <v>1309</v>
      </c>
      <c r="AO20">
        <v>161.37997200000001</v>
      </c>
    </row>
    <row r="21" spans="1:41" x14ac:dyDescent="0.35">
      <c r="A21">
        <v>1618</v>
      </c>
      <c r="B21" s="51">
        <f>_xlfn.XLOOKUP(A21, 'Model VMT by TAZ'!A:A, 'Model VMT by TAZ'!G:G, "N/A")</f>
        <v>10637.79</v>
      </c>
      <c r="C21" s="51">
        <f>_xlfn.XLOOKUP(A21, 'Model VMT by TAZ'!$A:$A, 'Model VMT by TAZ'!$J:$J, "N/A")</f>
        <v>706</v>
      </c>
      <c r="D21" s="51">
        <f>_xlfn.XLOOKUP(A21,'Model Modeshare by TAZ'!$A:$A,'Model Modeshare by TAZ'!$E:$E,0)+_xlfn.XLOOKUP(A21,'Model Modeshare by TAZ'!$A:$A,'Model Modeshare by TAZ'!$F:$F,0)</f>
        <v>3316.26</v>
      </c>
      <c r="E21" s="51">
        <f>_xlfn.XLOOKUP(A21, 'Model VMT by TAZ'!$A:$A, 'Model Modeshare by TAZ'!$H:$H, "N/A")</f>
        <v>23.72</v>
      </c>
      <c r="F21" s="239" t="str">
        <f>_xlfn.XLOOKUP(A21, 'Model VMT by TAZ'!A:A, 'Model VMT by TAZ'!C:C)</f>
        <v>YES</v>
      </c>
      <c r="H21">
        <v>13.03</v>
      </c>
      <c r="I21" t="s">
        <v>1344</v>
      </c>
      <c r="J21" t="s">
        <v>1322</v>
      </c>
      <c r="K21" t="s">
        <v>1343</v>
      </c>
      <c r="L21" t="s">
        <v>1323</v>
      </c>
      <c r="O21">
        <v>0.76400000000000001</v>
      </c>
      <c r="P21" t="s">
        <v>1309</v>
      </c>
      <c r="Q21" t="s">
        <v>1299</v>
      </c>
      <c r="R21" t="s">
        <v>1299</v>
      </c>
      <c r="AA21">
        <v>123</v>
      </c>
      <c r="AB21" t="s">
        <v>1339</v>
      </c>
      <c r="AC21" t="s">
        <v>1342</v>
      </c>
      <c r="AD21" t="s">
        <v>1322</v>
      </c>
      <c r="AE21" t="s">
        <v>1285</v>
      </c>
      <c r="AF21">
        <v>0</v>
      </c>
      <c r="AG21" t="s">
        <v>1309</v>
      </c>
      <c r="AH21">
        <v>0</v>
      </c>
      <c r="AI21" t="s">
        <v>377</v>
      </c>
      <c r="AJ21" t="s">
        <v>1309</v>
      </c>
      <c r="AK21" t="s">
        <v>1316</v>
      </c>
      <c r="AL21" t="s">
        <v>1316</v>
      </c>
      <c r="AM21">
        <v>0.13980000000000001</v>
      </c>
      <c r="AN21" t="s">
        <v>1309</v>
      </c>
      <c r="AO21">
        <v>225.06258600000001</v>
      </c>
    </row>
    <row r="22" spans="1:41" x14ac:dyDescent="0.35">
      <c r="A22">
        <v>1661</v>
      </c>
      <c r="B22" s="51">
        <f>_xlfn.XLOOKUP(A22, 'Model VMT by TAZ'!A:A, 'Model VMT by TAZ'!G:G, "N/A")</f>
        <v>13170.78</v>
      </c>
      <c r="C22" s="51">
        <f>_xlfn.XLOOKUP(A22, 'Model VMT by TAZ'!$A:$A, 'Model VMT by TAZ'!$J:$J, "N/A")</f>
        <v>435</v>
      </c>
      <c r="D22" s="51">
        <f>_xlfn.XLOOKUP(A22,'Model Modeshare by TAZ'!$A:$A,'Model Modeshare by TAZ'!$E:$E,0)+_xlfn.XLOOKUP(A22,'Model Modeshare by TAZ'!$A:$A,'Model Modeshare by TAZ'!$F:$F,0)</f>
        <v>2071.8599999999997</v>
      </c>
      <c r="E22" s="51">
        <f>_xlfn.XLOOKUP(A22, 'Model VMT by TAZ'!$A:$A, 'Model Modeshare by TAZ'!$H:$H, "N/A")</f>
        <v>5.74</v>
      </c>
      <c r="F22" s="239" t="str">
        <f>_xlfn.XLOOKUP(A22, 'Model VMT by TAZ'!A:A, 'Model VMT by TAZ'!C:C)</f>
        <v>YES</v>
      </c>
      <c r="G22" s="2" t="s">
        <v>1347</v>
      </c>
      <c r="H22">
        <v>53.02</v>
      </c>
      <c r="I22" t="s">
        <v>1344</v>
      </c>
      <c r="J22" t="s">
        <v>1322</v>
      </c>
      <c r="K22" t="s">
        <v>1343</v>
      </c>
      <c r="L22" t="s">
        <v>1323</v>
      </c>
      <c r="O22">
        <v>0.70079999999999998</v>
      </c>
      <c r="P22" t="s">
        <v>1309</v>
      </c>
      <c r="Q22" t="s">
        <v>1316</v>
      </c>
      <c r="R22" t="s">
        <v>1316</v>
      </c>
      <c r="AA22">
        <v>140</v>
      </c>
      <c r="AB22" t="s">
        <v>1339</v>
      </c>
      <c r="AC22" t="s">
        <v>1323</v>
      </c>
      <c r="AD22" t="s">
        <v>1322</v>
      </c>
      <c r="AE22" t="s">
        <v>1285</v>
      </c>
      <c r="AF22">
        <v>1</v>
      </c>
      <c r="AG22">
        <v>13.02</v>
      </c>
      <c r="AH22">
        <v>1</v>
      </c>
      <c r="AI22" t="s">
        <v>377</v>
      </c>
      <c r="AJ22" t="s">
        <v>1309</v>
      </c>
      <c r="AK22" t="s">
        <v>1309</v>
      </c>
      <c r="AL22" t="s">
        <v>1316</v>
      </c>
      <c r="AM22">
        <v>8.0100000000000005E-2</v>
      </c>
      <c r="AN22" t="s">
        <v>1309</v>
      </c>
      <c r="AO22">
        <v>257.740723</v>
      </c>
    </row>
    <row r="23" spans="1:41" x14ac:dyDescent="0.35">
      <c r="A23">
        <v>1663</v>
      </c>
      <c r="B23" s="51">
        <f>_xlfn.XLOOKUP(A23, 'Model VMT by TAZ'!A:A, 'Model VMT by TAZ'!G:G, "N/A")</f>
        <v>10671.48</v>
      </c>
      <c r="C23" s="51">
        <f>_xlfn.XLOOKUP(A23, 'Model VMT by TAZ'!$A:$A, 'Model VMT by TAZ'!$J:$J, "N/A")</f>
        <v>370</v>
      </c>
      <c r="D23" s="51">
        <f>_xlfn.XLOOKUP(A23,'Model Modeshare by TAZ'!$A:$A,'Model Modeshare by TAZ'!$E:$E,0)+_xlfn.XLOOKUP(A23,'Model Modeshare by TAZ'!$A:$A,'Model Modeshare by TAZ'!$F:$F,0)</f>
        <v>1372.92</v>
      </c>
      <c r="E23" s="51">
        <f>_xlfn.XLOOKUP(A23, 'Model VMT by TAZ'!$A:$A, 'Model Modeshare by TAZ'!$H:$H, "N/A")</f>
        <v>3.34</v>
      </c>
      <c r="F23" s="239" t="str">
        <f>_xlfn.XLOOKUP(A23, 'Model VMT by TAZ'!A:A, 'Model VMT by TAZ'!C:C)</f>
        <v>YES</v>
      </c>
      <c r="H23">
        <v>53.02</v>
      </c>
      <c r="I23" t="s">
        <v>1344</v>
      </c>
      <c r="J23" t="s">
        <v>1322</v>
      </c>
      <c r="K23" t="s">
        <v>1343</v>
      </c>
      <c r="L23" t="s">
        <v>1323</v>
      </c>
      <c r="O23">
        <v>0.1618</v>
      </c>
      <c r="P23" t="s">
        <v>1309</v>
      </c>
      <c r="Q23" t="s">
        <v>1316</v>
      </c>
      <c r="R23" t="s">
        <v>1316</v>
      </c>
      <c r="AA23">
        <v>143</v>
      </c>
      <c r="AB23" t="s">
        <v>1339</v>
      </c>
      <c r="AC23" t="s">
        <v>1323</v>
      </c>
      <c r="AD23" t="s">
        <v>1322</v>
      </c>
      <c r="AE23" t="s">
        <v>1285</v>
      </c>
      <c r="AF23">
        <v>1</v>
      </c>
      <c r="AG23">
        <v>13.02</v>
      </c>
      <c r="AH23">
        <v>1</v>
      </c>
      <c r="AI23" t="s">
        <v>377</v>
      </c>
      <c r="AJ23" t="s">
        <v>1309</v>
      </c>
      <c r="AK23" t="s">
        <v>1309</v>
      </c>
      <c r="AL23" t="s">
        <v>1316</v>
      </c>
      <c r="AM23">
        <v>0.1023</v>
      </c>
      <c r="AN23" t="s">
        <v>1309</v>
      </c>
      <c r="AO23">
        <v>329.36897299999998</v>
      </c>
    </row>
    <row r="24" spans="1:41" x14ac:dyDescent="0.35">
      <c r="A24">
        <v>1665</v>
      </c>
      <c r="B24" s="51">
        <f>_xlfn.XLOOKUP(A24, 'Model VMT by TAZ'!A:A, 'Model VMT by TAZ'!G:G, "N/A")</f>
        <v>12752.97</v>
      </c>
      <c r="C24" s="51">
        <f>_xlfn.XLOOKUP(A24, 'Model VMT by TAZ'!$A:$A, 'Model VMT by TAZ'!$J:$J, "N/A")</f>
        <v>515</v>
      </c>
      <c r="D24" s="51">
        <f>_xlfn.XLOOKUP(A24,'Model Modeshare by TAZ'!$A:$A,'Model Modeshare by TAZ'!$E:$E,0)+_xlfn.XLOOKUP(A24,'Model Modeshare by TAZ'!$A:$A,'Model Modeshare by TAZ'!$F:$F,0)</f>
        <v>3430.8999999999996</v>
      </c>
      <c r="E24" s="51">
        <f>_xlfn.XLOOKUP(A24, 'Model VMT by TAZ'!$A:$A, 'Model Modeshare by TAZ'!$H:$H, "N/A")</f>
        <v>19.78</v>
      </c>
      <c r="F24" s="239" t="str">
        <f>_xlfn.XLOOKUP(A24, 'Model VMT by TAZ'!A:A, 'Model VMT by TAZ'!C:C)</f>
        <v>YES</v>
      </c>
      <c r="H24">
        <v>53.02</v>
      </c>
      <c r="I24" t="s">
        <v>1344</v>
      </c>
      <c r="J24" t="s">
        <v>1322</v>
      </c>
      <c r="K24" t="s">
        <v>1343</v>
      </c>
      <c r="L24" t="s">
        <v>1323</v>
      </c>
      <c r="O24">
        <v>2.0167000000000002</v>
      </c>
      <c r="P24" t="s">
        <v>1309</v>
      </c>
      <c r="Q24" t="s">
        <v>1316</v>
      </c>
      <c r="R24" t="s">
        <v>1316</v>
      </c>
      <c r="AA24">
        <v>144</v>
      </c>
      <c r="AB24" t="s">
        <v>1339</v>
      </c>
      <c r="AC24" t="s">
        <v>1323</v>
      </c>
      <c r="AD24" t="s">
        <v>1322</v>
      </c>
      <c r="AE24" t="s">
        <v>1285</v>
      </c>
      <c r="AF24">
        <v>1</v>
      </c>
      <c r="AG24">
        <v>13.03</v>
      </c>
      <c r="AH24">
        <v>0</v>
      </c>
      <c r="AI24" t="s">
        <v>377</v>
      </c>
      <c r="AJ24" t="s">
        <v>1309</v>
      </c>
      <c r="AK24" t="s">
        <v>1299</v>
      </c>
      <c r="AL24" t="s">
        <v>1299</v>
      </c>
      <c r="AM24">
        <v>3.15E-2</v>
      </c>
      <c r="AN24" t="s">
        <v>1309</v>
      </c>
      <c r="AO24">
        <v>101.466764</v>
      </c>
    </row>
    <row r="25" spans="1:41" x14ac:dyDescent="0.35">
      <c r="A25">
        <v>1559</v>
      </c>
      <c r="B25" s="51">
        <f>_xlfn.XLOOKUP(A25, 'Model VMT by TAZ'!A:A, 'Model VMT by TAZ'!G:G, "N/A")</f>
        <v>1432.39</v>
      </c>
      <c r="C25" s="51">
        <f>_xlfn.XLOOKUP(A25, 'Model VMT by TAZ'!$A:$A, 'Model VMT by TAZ'!$J:$J, "N/A")</f>
        <v>32</v>
      </c>
      <c r="D25" s="51">
        <f>_xlfn.XLOOKUP(A25,'Model Modeshare by TAZ'!$A:$A,'Model Modeshare by TAZ'!$E:$E,0)+_xlfn.XLOOKUP(A25,'Model Modeshare by TAZ'!$A:$A,'Model Modeshare by TAZ'!$F:$F,0)</f>
        <v>104</v>
      </c>
      <c r="E25" s="51">
        <f>_xlfn.XLOOKUP(A25, 'Model VMT by TAZ'!$A:$A, 'Model Modeshare by TAZ'!$H:$H, "N/A")</f>
        <v>0.02</v>
      </c>
      <c r="F25" s="239" t="str">
        <f>_xlfn.XLOOKUP(A25, 'Model VMT by TAZ'!A:A, 'Model VMT by TAZ'!C:C)</f>
        <v>YES</v>
      </c>
      <c r="H25">
        <v>19.010000000000002</v>
      </c>
      <c r="I25" t="s">
        <v>1344</v>
      </c>
      <c r="J25" t="s">
        <v>1322</v>
      </c>
      <c r="K25" t="s">
        <v>1343</v>
      </c>
      <c r="L25" t="s">
        <v>1323</v>
      </c>
      <c r="O25">
        <v>0.35980000000000001</v>
      </c>
      <c r="P25" t="s">
        <v>1309</v>
      </c>
      <c r="Q25" t="s">
        <v>1316</v>
      </c>
      <c r="R25" t="s">
        <v>1316</v>
      </c>
      <c r="AA25">
        <v>1</v>
      </c>
      <c r="AB25" t="s">
        <v>1339</v>
      </c>
      <c r="AC25" t="s">
        <v>1323</v>
      </c>
      <c r="AD25" t="s">
        <v>1322</v>
      </c>
      <c r="AE25" t="s">
        <v>1343</v>
      </c>
      <c r="AF25">
        <v>1</v>
      </c>
      <c r="AG25">
        <v>53.02</v>
      </c>
      <c r="AH25">
        <v>1</v>
      </c>
      <c r="AI25" t="s">
        <v>1344</v>
      </c>
      <c r="AJ25" t="s">
        <v>1309</v>
      </c>
      <c r="AK25" t="s">
        <v>1316</v>
      </c>
      <c r="AL25" t="s">
        <v>1316</v>
      </c>
      <c r="AM25">
        <v>0.70079999999999998</v>
      </c>
      <c r="AN25" t="s">
        <v>1309</v>
      </c>
      <c r="AO25">
        <v>1127.8317500000001</v>
      </c>
    </row>
    <row r="26" spans="1:41" x14ac:dyDescent="0.35">
      <c r="A26">
        <v>1619</v>
      </c>
      <c r="B26" s="51">
        <f>_xlfn.XLOOKUP(A26, 'Model VMT by TAZ'!A:A, 'Model VMT by TAZ'!G:G, "N/A")</f>
        <v>2277.8000000000002</v>
      </c>
      <c r="C26" s="51">
        <f>_xlfn.XLOOKUP(A26, 'Model VMT by TAZ'!$A:$A, 'Model VMT by TAZ'!$J:$J, "N/A")</f>
        <v>85</v>
      </c>
      <c r="D26" s="51">
        <f>_xlfn.XLOOKUP(A26,'Model Modeshare by TAZ'!$A:$A,'Model Modeshare by TAZ'!$E:$E,0)+_xlfn.XLOOKUP(A26,'Model Modeshare by TAZ'!$A:$A,'Model Modeshare by TAZ'!$F:$F,0)</f>
        <v>407.02</v>
      </c>
      <c r="E26" s="51">
        <f>_xlfn.XLOOKUP(A26, 'Model VMT by TAZ'!$A:$A, 'Model Modeshare by TAZ'!$H:$H, "N/A")</f>
        <v>1.1000000000000001</v>
      </c>
      <c r="F26" s="239" t="str">
        <f>_xlfn.XLOOKUP(A26, 'Model VMT by TAZ'!A:A, 'Model VMT by TAZ'!C:C)</f>
        <v>YES</v>
      </c>
      <c r="H26">
        <v>53.02</v>
      </c>
      <c r="I26" t="s">
        <v>1344</v>
      </c>
      <c r="J26" t="s">
        <v>1322</v>
      </c>
      <c r="K26" t="s">
        <v>1343</v>
      </c>
      <c r="L26" t="s">
        <v>1323</v>
      </c>
      <c r="O26">
        <v>0.63200000000000001</v>
      </c>
      <c r="P26" t="s">
        <v>1309</v>
      </c>
      <c r="Q26" t="s">
        <v>1316</v>
      </c>
      <c r="R26" t="s">
        <v>1316</v>
      </c>
      <c r="AA26">
        <v>2</v>
      </c>
      <c r="AB26" t="s">
        <v>1339</v>
      </c>
      <c r="AC26" t="s">
        <v>1323</v>
      </c>
      <c r="AD26" t="s">
        <v>1322</v>
      </c>
      <c r="AE26" t="s">
        <v>1343</v>
      </c>
      <c r="AF26">
        <v>1</v>
      </c>
      <c r="AG26">
        <v>53.02</v>
      </c>
      <c r="AH26">
        <v>1</v>
      </c>
      <c r="AI26" t="s">
        <v>1344</v>
      </c>
      <c r="AJ26" t="s">
        <v>1309</v>
      </c>
      <c r="AK26" t="s">
        <v>1316</v>
      </c>
      <c r="AL26" t="s">
        <v>1316</v>
      </c>
      <c r="AM26">
        <v>0.1618</v>
      </c>
      <c r="AN26" t="s">
        <v>1309</v>
      </c>
      <c r="AO26">
        <v>260.413927</v>
      </c>
    </row>
    <row r="27" spans="1:41" x14ac:dyDescent="0.35">
      <c r="A27">
        <v>1516</v>
      </c>
      <c r="B27" s="51">
        <f>_xlfn.XLOOKUP(A27, 'Model VMT by TAZ'!A:A, 'Model VMT by TAZ'!G:G, "N/A")</f>
        <v>2538.5500000000002</v>
      </c>
      <c r="C27" s="51">
        <f>_xlfn.XLOOKUP(A27, 'Model VMT by TAZ'!$A:$A, 'Model VMT by TAZ'!$J:$J, "N/A")</f>
        <v>169</v>
      </c>
      <c r="D27" s="51">
        <f>_xlfn.XLOOKUP(A27,'Model Modeshare by TAZ'!$A:$A,'Model Modeshare by TAZ'!$E:$E,0)+_xlfn.XLOOKUP(A27,'Model Modeshare by TAZ'!$A:$A,'Model Modeshare by TAZ'!$F:$F,0)</f>
        <v>2928.78</v>
      </c>
      <c r="E27" s="51">
        <f>_xlfn.XLOOKUP(A27, 'Model VMT by TAZ'!$A:$A, 'Model Modeshare by TAZ'!$H:$H, "N/A")</f>
        <v>26.64</v>
      </c>
      <c r="F27" s="239" t="str">
        <f>_xlfn.XLOOKUP(A27, 'Model VMT by TAZ'!A:A, 'Model VMT by TAZ'!C:C)</f>
        <v>YES</v>
      </c>
      <c r="H27">
        <v>53.02</v>
      </c>
      <c r="I27" t="s">
        <v>1344</v>
      </c>
      <c r="J27" t="s">
        <v>1322</v>
      </c>
      <c r="K27" t="s">
        <v>1343</v>
      </c>
      <c r="L27" t="s">
        <v>1323</v>
      </c>
      <c r="O27">
        <v>0.61980000000000002</v>
      </c>
      <c r="P27" t="s">
        <v>1309</v>
      </c>
      <c r="Q27" t="s">
        <v>1316</v>
      </c>
      <c r="R27" t="s">
        <v>1316</v>
      </c>
      <c r="AA27">
        <v>3</v>
      </c>
      <c r="AB27" t="s">
        <v>1339</v>
      </c>
      <c r="AC27" t="s">
        <v>1323</v>
      </c>
      <c r="AD27" t="s">
        <v>1322</v>
      </c>
      <c r="AE27" t="s">
        <v>1343</v>
      </c>
      <c r="AF27">
        <v>1</v>
      </c>
      <c r="AG27">
        <v>53.02</v>
      </c>
      <c r="AH27">
        <v>1</v>
      </c>
      <c r="AI27" t="s">
        <v>1344</v>
      </c>
      <c r="AJ27" t="s">
        <v>1309</v>
      </c>
      <c r="AK27" t="s">
        <v>1316</v>
      </c>
      <c r="AL27" t="s">
        <v>1316</v>
      </c>
      <c r="AM27">
        <v>2.0167000000000002</v>
      </c>
      <c r="AN27" t="s">
        <v>1309</v>
      </c>
      <c r="AO27">
        <v>3245.4830069999998</v>
      </c>
    </row>
    <row r="28" spans="1:41" x14ac:dyDescent="0.35">
      <c r="A28">
        <v>1556</v>
      </c>
      <c r="B28" s="51">
        <f>_xlfn.XLOOKUP(A28, 'Model VMT by TAZ'!A:A, 'Model VMT by TAZ'!G:G, "N/A")</f>
        <v>7239.64</v>
      </c>
      <c r="C28" s="51">
        <f>_xlfn.XLOOKUP(A28, 'Model VMT by TAZ'!$A:$A, 'Model VMT by TAZ'!$J:$J, "N/A")</f>
        <v>473</v>
      </c>
      <c r="D28" s="51">
        <f>_xlfn.XLOOKUP(A28,'Model Modeshare by TAZ'!$A:$A,'Model Modeshare by TAZ'!$E:$E,0)+_xlfn.XLOOKUP(A28,'Model Modeshare by TAZ'!$A:$A,'Model Modeshare by TAZ'!$F:$F,0)</f>
        <v>3763.0199999999995</v>
      </c>
      <c r="E28" s="51">
        <f>_xlfn.XLOOKUP(A28, 'Model VMT by TAZ'!$A:$A, 'Model Modeshare by TAZ'!$H:$H, "N/A")</f>
        <v>30.92</v>
      </c>
      <c r="F28" s="239" t="str">
        <f>_xlfn.XLOOKUP(A28, 'Model VMT by TAZ'!A:A, 'Model VMT by TAZ'!C:C)</f>
        <v>YES</v>
      </c>
      <c r="H28">
        <v>53.02</v>
      </c>
      <c r="I28" t="s">
        <v>1344</v>
      </c>
      <c r="J28" t="s">
        <v>1322</v>
      </c>
      <c r="K28" t="s">
        <v>1343</v>
      </c>
      <c r="L28" t="s">
        <v>1323</v>
      </c>
      <c r="O28">
        <v>0.64290000000000003</v>
      </c>
      <c r="P28" t="s">
        <v>1309</v>
      </c>
      <c r="Q28" t="s">
        <v>1316</v>
      </c>
      <c r="R28" t="s">
        <v>1316</v>
      </c>
      <c r="AA28">
        <v>4</v>
      </c>
      <c r="AB28" t="s">
        <v>1339</v>
      </c>
      <c r="AC28" t="s">
        <v>1323</v>
      </c>
      <c r="AD28" t="s">
        <v>1322</v>
      </c>
      <c r="AE28" t="s">
        <v>1343</v>
      </c>
      <c r="AF28">
        <v>1</v>
      </c>
      <c r="AG28">
        <v>19.010000000000002</v>
      </c>
      <c r="AH28">
        <v>1</v>
      </c>
      <c r="AI28" t="s">
        <v>1344</v>
      </c>
      <c r="AJ28" t="s">
        <v>1309</v>
      </c>
      <c r="AK28" t="s">
        <v>1316</v>
      </c>
      <c r="AL28" t="s">
        <v>1316</v>
      </c>
      <c r="AM28">
        <v>0.35980000000000001</v>
      </c>
      <c r="AN28" t="s">
        <v>1309</v>
      </c>
      <c r="AO28">
        <v>578.967805</v>
      </c>
    </row>
    <row r="29" spans="1:41" x14ac:dyDescent="0.35">
      <c r="A29">
        <v>1555</v>
      </c>
      <c r="B29" s="51">
        <f>_xlfn.XLOOKUP(A29, 'Model VMT by TAZ'!A:A, 'Model VMT by TAZ'!G:G, "N/A")</f>
        <v>17.7</v>
      </c>
      <c r="C29" s="51">
        <f>_xlfn.XLOOKUP(A29, 'Model VMT by TAZ'!$A:$A, 'Model VMT by TAZ'!$J:$J, "N/A")</f>
        <v>11</v>
      </c>
      <c r="D29" s="51">
        <f>_xlfn.XLOOKUP(A29,'Model Modeshare by TAZ'!$A:$A,'Model Modeshare by TAZ'!$E:$E,0)+_xlfn.XLOOKUP(A29,'Model Modeshare by TAZ'!$A:$A,'Model Modeshare by TAZ'!$F:$F,0)</f>
        <v>100.17999999999999</v>
      </c>
      <c r="E29" s="51">
        <f>_xlfn.XLOOKUP(A29, 'Model VMT by TAZ'!$A:$A, 'Model Modeshare by TAZ'!$H:$H, "N/A")</f>
        <v>0.64</v>
      </c>
      <c r="F29" s="239" t="str">
        <f>_xlfn.XLOOKUP(A29, 'Model VMT by TAZ'!A:A, 'Model VMT by TAZ'!C:C)</f>
        <v>YES</v>
      </c>
      <c r="H29">
        <v>53.02</v>
      </c>
      <c r="I29" t="s">
        <v>1344</v>
      </c>
      <c r="J29" t="s">
        <v>1322</v>
      </c>
      <c r="K29" t="s">
        <v>1343</v>
      </c>
      <c r="L29" t="s">
        <v>1323</v>
      </c>
      <c r="O29">
        <v>1.5714999999999999</v>
      </c>
      <c r="P29" t="s">
        <v>1309</v>
      </c>
      <c r="Q29" t="s">
        <v>1316</v>
      </c>
      <c r="R29" t="s">
        <v>1316</v>
      </c>
      <c r="AA29">
        <v>5</v>
      </c>
      <c r="AB29" t="s">
        <v>1339</v>
      </c>
      <c r="AC29" t="s">
        <v>1323</v>
      </c>
      <c r="AD29" t="s">
        <v>1322</v>
      </c>
      <c r="AE29" t="s">
        <v>1343</v>
      </c>
      <c r="AF29">
        <v>1</v>
      </c>
      <c r="AG29">
        <v>53.02</v>
      </c>
      <c r="AH29">
        <v>1</v>
      </c>
      <c r="AI29" t="s">
        <v>1344</v>
      </c>
      <c r="AJ29" t="s">
        <v>1309</v>
      </c>
      <c r="AK29" t="s">
        <v>1316</v>
      </c>
      <c r="AL29" t="s">
        <v>1316</v>
      </c>
      <c r="AM29">
        <v>0.63200000000000001</v>
      </c>
      <c r="AN29" t="s">
        <v>1309</v>
      </c>
      <c r="AO29">
        <v>1017.035675</v>
      </c>
    </row>
    <row r="30" spans="1:41" x14ac:dyDescent="0.35">
      <c r="A30">
        <v>1615</v>
      </c>
      <c r="B30" s="51">
        <f>_xlfn.XLOOKUP(A30, 'Model VMT by TAZ'!A:A, 'Model VMT by TAZ'!G:G, "N/A")</f>
        <v>506.39</v>
      </c>
      <c r="C30" s="51">
        <f>_xlfn.XLOOKUP(A30, 'Model VMT by TAZ'!$A:$A, 'Model VMT by TAZ'!$J:$J, "N/A")</f>
        <v>32</v>
      </c>
      <c r="D30" s="51">
        <f>_xlfn.XLOOKUP(A30,'Model Modeshare by TAZ'!$A:$A,'Model Modeshare by TAZ'!$E:$E,0)+_xlfn.XLOOKUP(A30,'Model Modeshare by TAZ'!$A:$A,'Model Modeshare by TAZ'!$F:$F,0)</f>
        <v>1293.8799999999999</v>
      </c>
      <c r="E30" s="51">
        <f>_xlfn.XLOOKUP(A30, 'Model VMT by TAZ'!$A:$A, 'Model Modeshare by TAZ'!$H:$H, "N/A")</f>
        <v>8.48</v>
      </c>
      <c r="F30" s="239" t="str">
        <f>_xlfn.XLOOKUP(A30, 'Model VMT by TAZ'!A:A, 'Model VMT by TAZ'!C:C)</f>
        <v>YES</v>
      </c>
      <c r="H30">
        <v>53.02</v>
      </c>
      <c r="I30" t="s">
        <v>1344</v>
      </c>
      <c r="J30" t="s">
        <v>1322</v>
      </c>
      <c r="K30" t="s">
        <v>1343</v>
      </c>
      <c r="L30" t="s">
        <v>1323</v>
      </c>
      <c r="O30">
        <v>1.1947000000000001</v>
      </c>
      <c r="P30" t="s">
        <v>1309</v>
      </c>
      <c r="Q30" t="s">
        <v>1316</v>
      </c>
      <c r="R30" t="s">
        <v>1316</v>
      </c>
      <c r="AA30">
        <v>6</v>
      </c>
      <c r="AB30" t="s">
        <v>1339</v>
      </c>
      <c r="AC30" t="s">
        <v>1323</v>
      </c>
      <c r="AD30" t="s">
        <v>1322</v>
      </c>
      <c r="AE30" t="s">
        <v>1343</v>
      </c>
      <c r="AF30">
        <v>1</v>
      </c>
      <c r="AG30">
        <v>53.02</v>
      </c>
      <c r="AH30">
        <v>1</v>
      </c>
      <c r="AI30" t="s">
        <v>1344</v>
      </c>
      <c r="AJ30" t="s">
        <v>1309</v>
      </c>
      <c r="AK30" t="s">
        <v>1316</v>
      </c>
      <c r="AL30" t="s">
        <v>1316</v>
      </c>
      <c r="AM30">
        <v>0.61980000000000002</v>
      </c>
      <c r="AN30" t="s">
        <v>1309</v>
      </c>
      <c r="AO30">
        <v>997.43268699999999</v>
      </c>
    </row>
    <row r="31" spans="1:41" x14ac:dyDescent="0.35">
      <c r="B31" s="51"/>
      <c r="C31" s="51"/>
      <c r="D31" s="51"/>
      <c r="E31" s="51"/>
      <c r="H31">
        <v>53.02</v>
      </c>
      <c r="I31" t="s">
        <v>1344</v>
      </c>
      <c r="J31" t="s">
        <v>1322</v>
      </c>
      <c r="K31" t="s">
        <v>1343</v>
      </c>
      <c r="L31" t="s">
        <v>1323</v>
      </c>
      <c r="O31">
        <v>0.80520000000000003</v>
      </c>
      <c r="P31" t="s">
        <v>1309</v>
      </c>
      <c r="Q31" t="s">
        <v>1309</v>
      </c>
      <c r="R31" t="s">
        <v>1316</v>
      </c>
      <c r="AA31">
        <v>7</v>
      </c>
      <c r="AB31" t="s">
        <v>1339</v>
      </c>
      <c r="AC31" t="s">
        <v>1323</v>
      </c>
      <c r="AD31" t="s">
        <v>1322</v>
      </c>
      <c r="AE31" t="s">
        <v>1343</v>
      </c>
      <c r="AF31">
        <v>1</v>
      </c>
      <c r="AG31">
        <v>53.02</v>
      </c>
      <c r="AH31">
        <v>1</v>
      </c>
      <c r="AI31" t="s">
        <v>1344</v>
      </c>
      <c r="AJ31" t="s">
        <v>1309</v>
      </c>
      <c r="AK31" t="s">
        <v>1316</v>
      </c>
      <c r="AL31" t="s">
        <v>1316</v>
      </c>
      <c r="AM31">
        <v>0.64290000000000003</v>
      </c>
      <c r="AN31" t="s">
        <v>1309</v>
      </c>
      <c r="AO31">
        <v>1034.626929</v>
      </c>
    </row>
    <row r="32" spans="1:41" x14ac:dyDescent="0.35">
      <c r="B32" s="51"/>
      <c r="C32" s="51"/>
      <c r="D32" s="51"/>
      <c r="E32" s="51"/>
      <c r="H32">
        <v>53.02</v>
      </c>
      <c r="I32" t="s">
        <v>1344</v>
      </c>
      <c r="J32" t="s">
        <v>1322</v>
      </c>
      <c r="K32" t="s">
        <v>1343</v>
      </c>
      <c r="L32" t="s">
        <v>1323</v>
      </c>
      <c r="O32">
        <v>0.5383</v>
      </c>
      <c r="P32" t="s">
        <v>1309</v>
      </c>
      <c r="Q32" t="s">
        <v>1316</v>
      </c>
      <c r="R32" t="s">
        <v>1316</v>
      </c>
      <c r="AA32">
        <v>8</v>
      </c>
      <c r="AB32" t="s">
        <v>1339</v>
      </c>
      <c r="AC32" t="s">
        <v>1323</v>
      </c>
      <c r="AD32" t="s">
        <v>1322</v>
      </c>
      <c r="AE32" t="s">
        <v>1343</v>
      </c>
      <c r="AF32">
        <v>1</v>
      </c>
      <c r="AG32">
        <v>53.02</v>
      </c>
      <c r="AH32">
        <v>1</v>
      </c>
      <c r="AI32" t="s">
        <v>1344</v>
      </c>
      <c r="AJ32" t="s">
        <v>1309</v>
      </c>
      <c r="AK32" t="s">
        <v>1316</v>
      </c>
      <c r="AL32" t="s">
        <v>1316</v>
      </c>
      <c r="AM32">
        <v>1.5714999999999999</v>
      </c>
      <c r="AN32" t="s">
        <v>1309</v>
      </c>
      <c r="AO32">
        <v>2529.0718310000002</v>
      </c>
    </row>
    <row r="33" spans="2:41" x14ac:dyDescent="0.35">
      <c r="B33" s="51"/>
      <c r="C33" s="51"/>
      <c r="D33" s="51"/>
      <c r="E33" s="51"/>
      <c r="H33">
        <v>53.02</v>
      </c>
      <c r="I33" t="s">
        <v>1344</v>
      </c>
      <c r="J33" t="s">
        <v>1322</v>
      </c>
      <c r="K33" t="s">
        <v>1343</v>
      </c>
      <c r="L33" t="s">
        <v>1323</v>
      </c>
      <c r="O33">
        <v>1.2519</v>
      </c>
      <c r="P33" t="s">
        <v>1309</v>
      </c>
      <c r="Q33" t="s">
        <v>1316</v>
      </c>
      <c r="R33" t="s">
        <v>1316</v>
      </c>
      <c r="AA33">
        <v>9</v>
      </c>
      <c r="AB33" t="s">
        <v>1339</v>
      </c>
      <c r="AC33" t="s">
        <v>1323</v>
      </c>
      <c r="AD33" t="s">
        <v>1322</v>
      </c>
      <c r="AE33" t="s">
        <v>1343</v>
      </c>
      <c r="AF33">
        <v>1</v>
      </c>
      <c r="AG33">
        <v>53.02</v>
      </c>
      <c r="AH33">
        <v>1</v>
      </c>
      <c r="AI33" t="s">
        <v>1344</v>
      </c>
      <c r="AJ33" t="s">
        <v>1309</v>
      </c>
      <c r="AK33" t="s">
        <v>1316</v>
      </c>
      <c r="AL33" t="s">
        <v>1316</v>
      </c>
      <c r="AM33">
        <v>1.1947000000000001</v>
      </c>
      <c r="AN33" t="s">
        <v>1309</v>
      </c>
      <c r="AO33">
        <v>1922.6735570000001</v>
      </c>
    </row>
    <row r="34" spans="2:41" x14ac:dyDescent="0.35">
      <c r="B34" s="51"/>
      <c r="C34" s="51"/>
      <c r="D34" s="51"/>
      <c r="E34" s="51"/>
      <c r="H34">
        <v>53.02</v>
      </c>
      <c r="I34" t="s">
        <v>1344</v>
      </c>
      <c r="J34" t="s">
        <v>1322</v>
      </c>
      <c r="K34" t="s">
        <v>1343</v>
      </c>
      <c r="L34" t="s">
        <v>1323</v>
      </c>
      <c r="O34">
        <v>2.2299000000000002</v>
      </c>
      <c r="P34" t="s">
        <v>1309</v>
      </c>
      <c r="Q34" t="s">
        <v>1316</v>
      </c>
      <c r="R34" t="s">
        <v>1316</v>
      </c>
      <c r="AA34">
        <v>10</v>
      </c>
      <c r="AB34" t="s">
        <v>1339</v>
      </c>
      <c r="AC34" t="s">
        <v>1323</v>
      </c>
      <c r="AD34" t="s">
        <v>1322</v>
      </c>
      <c r="AE34" t="s">
        <v>1343</v>
      </c>
      <c r="AF34">
        <v>1</v>
      </c>
      <c r="AG34">
        <v>53.02</v>
      </c>
      <c r="AH34">
        <v>1</v>
      </c>
      <c r="AI34" t="s">
        <v>1344</v>
      </c>
      <c r="AJ34" t="s">
        <v>1309</v>
      </c>
      <c r="AK34" t="s">
        <v>1309</v>
      </c>
      <c r="AL34" t="s">
        <v>1316</v>
      </c>
      <c r="AM34">
        <v>0.80520000000000003</v>
      </c>
      <c r="AN34" t="s">
        <v>1309</v>
      </c>
      <c r="AO34">
        <v>1295.894679</v>
      </c>
    </row>
    <row r="35" spans="2:41" x14ac:dyDescent="0.35">
      <c r="D35" s="50"/>
      <c r="E35" s="50"/>
      <c r="H35">
        <v>53.02</v>
      </c>
      <c r="I35" t="s">
        <v>1344</v>
      </c>
      <c r="J35" t="s">
        <v>1322</v>
      </c>
      <c r="K35" t="s">
        <v>1343</v>
      </c>
      <c r="L35" t="s">
        <v>1323</v>
      </c>
      <c r="O35">
        <v>8.0600000000000005E-2</v>
      </c>
      <c r="P35" t="s">
        <v>1309</v>
      </c>
      <c r="Q35" t="s">
        <v>1316</v>
      </c>
      <c r="R35" t="s">
        <v>1316</v>
      </c>
      <c r="AA35">
        <v>11</v>
      </c>
      <c r="AB35" t="s">
        <v>1339</v>
      </c>
      <c r="AC35" t="s">
        <v>1323</v>
      </c>
      <c r="AD35" t="s">
        <v>1322</v>
      </c>
      <c r="AE35" t="s">
        <v>1343</v>
      </c>
      <c r="AF35">
        <v>1</v>
      </c>
      <c r="AG35">
        <v>53.02</v>
      </c>
      <c r="AH35">
        <v>1</v>
      </c>
      <c r="AI35" t="s">
        <v>1344</v>
      </c>
      <c r="AJ35" t="s">
        <v>1309</v>
      </c>
      <c r="AK35" t="s">
        <v>1316</v>
      </c>
      <c r="AL35" t="s">
        <v>1316</v>
      </c>
      <c r="AM35">
        <v>0.5383</v>
      </c>
      <c r="AN35" t="s">
        <v>1309</v>
      </c>
      <c r="AO35">
        <v>866.37446199999999</v>
      </c>
    </row>
    <row r="36" spans="2:41" x14ac:dyDescent="0.35">
      <c r="D36" s="50"/>
      <c r="E36" s="50"/>
      <c r="H36">
        <v>53.02</v>
      </c>
      <c r="I36" t="s">
        <v>1344</v>
      </c>
      <c r="J36" t="s">
        <v>1322</v>
      </c>
      <c r="K36" t="s">
        <v>1343</v>
      </c>
      <c r="L36" t="s">
        <v>1323</v>
      </c>
      <c r="O36">
        <v>1.2099</v>
      </c>
      <c r="P36" t="s">
        <v>1309</v>
      </c>
      <c r="Q36" t="s">
        <v>1316</v>
      </c>
      <c r="R36" t="s">
        <v>1316</v>
      </c>
      <c r="AA36">
        <v>12</v>
      </c>
      <c r="AB36" t="s">
        <v>1339</v>
      </c>
      <c r="AC36" t="s">
        <v>1323</v>
      </c>
      <c r="AD36" t="s">
        <v>1322</v>
      </c>
      <c r="AE36" t="s">
        <v>1343</v>
      </c>
      <c r="AF36">
        <v>1</v>
      </c>
      <c r="AG36">
        <v>53.02</v>
      </c>
      <c r="AH36">
        <v>1</v>
      </c>
      <c r="AI36" t="s">
        <v>1344</v>
      </c>
      <c r="AJ36" t="s">
        <v>1309</v>
      </c>
      <c r="AK36" t="s">
        <v>1316</v>
      </c>
      <c r="AL36" t="s">
        <v>1316</v>
      </c>
      <c r="AM36">
        <v>1.2519</v>
      </c>
      <c r="AN36" t="s">
        <v>1309</v>
      </c>
      <c r="AO36">
        <v>2014.664675</v>
      </c>
    </row>
    <row r="37" spans="2:41" x14ac:dyDescent="0.35">
      <c r="H37">
        <v>53.02</v>
      </c>
      <c r="I37" t="s">
        <v>1344</v>
      </c>
      <c r="J37" t="s">
        <v>1322</v>
      </c>
      <c r="K37" t="s">
        <v>1343</v>
      </c>
      <c r="L37" t="s">
        <v>1323</v>
      </c>
      <c r="O37">
        <v>0.44519999999999998</v>
      </c>
      <c r="P37" t="s">
        <v>1309</v>
      </c>
      <c r="Q37" t="s">
        <v>1316</v>
      </c>
      <c r="R37" t="s">
        <v>1316</v>
      </c>
      <c r="AA37">
        <v>13</v>
      </c>
      <c r="AB37" t="s">
        <v>1339</v>
      </c>
      <c r="AC37" t="s">
        <v>1323</v>
      </c>
      <c r="AD37" t="s">
        <v>1322</v>
      </c>
      <c r="AE37" t="s">
        <v>1343</v>
      </c>
      <c r="AF37">
        <v>1</v>
      </c>
      <c r="AG37">
        <v>53.02</v>
      </c>
      <c r="AH37">
        <v>1</v>
      </c>
      <c r="AI37" t="s">
        <v>1344</v>
      </c>
      <c r="AJ37" t="s">
        <v>1309</v>
      </c>
      <c r="AK37" t="s">
        <v>1316</v>
      </c>
      <c r="AL37" t="s">
        <v>1316</v>
      </c>
      <c r="AM37">
        <v>2.2299000000000002</v>
      </c>
      <c r="AN37" t="s">
        <v>1309</v>
      </c>
      <c r="AO37">
        <v>3588.641005</v>
      </c>
    </row>
    <row r="38" spans="2:41" x14ac:dyDescent="0.35">
      <c r="H38">
        <v>53.02</v>
      </c>
      <c r="I38" t="s">
        <v>1344</v>
      </c>
      <c r="J38" t="s">
        <v>1322</v>
      </c>
      <c r="K38" t="s">
        <v>1343</v>
      </c>
      <c r="L38" t="s">
        <v>1323</v>
      </c>
      <c r="O38">
        <v>1.3975</v>
      </c>
      <c r="P38" t="s">
        <v>1309</v>
      </c>
      <c r="Q38" t="s">
        <v>1316</v>
      </c>
      <c r="R38" t="s">
        <v>1316</v>
      </c>
      <c r="AA38">
        <v>14</v>
      </c>
      <c r="AB38" t="s">
        <v>1339</v>
      </c>
      <c r="AC38" t="s">
        <v>1323</v>
      </c>
      <c r="AD38" t="s">
        <v>1322</v>
      </c>
      <c r="AE38" t="s">
        <v>1343</v>
      </c>
      <c r="AF38">
        <v>1</v>
      </c>
      <c r="AG38">
        <v>53.02</v>
      </c>
      <c r="AH38">
        <v>1</v>
      </c>
      <c r="AI38" t="s">
        <v>1344</v>
      </c>
      <c r="AJ38" t="s">
        <v>1309</v>
      </c>
      <c r="AK38" t="s">
        <v>1316</v>
      </c>
      <c r="AL38" t="s">
        <v>1316</v>
      </c>
      <c r="AM38">
        <v>8.0600000000000005E-2</v>
      </c>
      <c r="AN38" t="s">
        <v>1309</v>
      </c>
      <c r="AO38">
        <v>129.77583899999999</v>
      </c>
    </row>
    <row r="39" spans="2:41" x14ac:dyDescent="0.35">
      <c r="H39">
        <v>19.010000000000002</v>
      </c>
      <c r="I39" t="s">
        <v>1344</v>
      </c>
      <c r="J39" t="s">
        <v>1322</v>
      </c>
      <c r="K39" t="s">
        <v>1343</v>
      </c>
      <c r="L39" t="s">
        <v>1323</v>
      </c>
      <c r="O39">
        <v>0.91510000000000002</v>
      </c>
      <c r="P39" t="s">
        <v>1309</v>
      </c>
      <c r="Q39" t="s">
        <v>1316</v>
      </c>
      <c r="R39" t="s">
        <v>1316</v>
      </c>
      <c r="AA39">
        <v>15</v>
      </c>
      <c r="AB39" t="s">
        <v>1339</v>
      </c>
      <c r="AC39" t="s">
        <v>1323</v>
      </c>
      <c r="AD39" t="s">
        <v>1322</v>
      </c>
      <c r="AE39" t="s">
        <v>1343</v>
      </c>
      <c r="AF39">
        <v>1</v>
      </c>
      <c r="AG39">
        <v>53.02</v>
      </c>
      <c r="AH39">
        <v>1</v>
      </c>
      <c r="AI39" t="s">
        <v>1344</v>
      </c>
      <c r="AJ39" t="s">
        <v>1309</v>
      </c>
      <c r="AK39" t="s">
        <v>1316</v>
      </c>
      <c r="AL39" t="s">
        <v>1316</v>
      </c>
      <c r="AM39">
        <v>1.2099</v>
      </c>
      <c r="AN39" t="s">
        <v>1309</v>
      </c>
      <c r="AO39">
        <v>1947.1519470000001</v>
      </c>
    </row>
    <row r="40" spans="2:41" x14ac:dyDescent="0.35">
      <c r="H40">
        <v>19.010000000000002</v>
      </c>
      <c r="I40" t="s">
        <v>1348</v>
      </c>
      <c r="J40" t="s">
        <v>1322</v>
      </c>
      <c r="K40" t="s">
        <v>1343</v>
      </c>
      <c r="L40" t="s">
        <v>1323</v>
      </c>
      <c r="O40">
        <v>2.18E-2</v>
      </c>
      <c r="P40" t="s">
        <v>1309</v>
      </c>
      <c r="Q40" t="s">
        <v>1316</v>
      </c>
      <c r="R40" t="s">
        <v>1316</v>
      </c>
      <c r="AA40">
        <v>16</v>
      </c>
      <c r="AB40" t="s">
        <v>1339</v>
      </c>
      <c r="AC40" t="s">
        <v>1323</v>
      </c>
      <c r="AD40" t="s">
        <v>1322</v>
      </c>
      <c r="AE40" t="s">
        <v>1343</v>
      </c>
      <c r="AF40">
        <v>1</v>
      </c>
      <c r="AG40">
        <v>53.02</v>
      </c>
      <c r="AH40">
        <v>1</v>
      </c>
      <c r="AI40" t="s">
        <v>1344</v>
      </c>
      <c r="AJ40" t="s">
        <v>1309</v>
      </c>
      <c r="AK40" t="s">
        <v>1316</v>
      </c>
      <c r="AL40" t="s">
        <v>1316</v>
      </c>
      <c r="AM40">
        <v>0.44519999999999998</v>
      </c>
      <c r="AN40" t="s">
        <v>1309</v>
      </c>
      <c r="AO40">
        <v>716.42001100000004</v>
      </c>
    </row>
    <row r="41" spans="2:41" x14ac:dyDescent="0.35">
      <c r="H41">
        <v>53.01</v>
      </c>
      <c r="I41" t="s">
        <v>373</v>
      </c>
      <c r="J41" t="s">
        <v>1322</v>
      </c>
      <c r="K41" t="s">
        <v>1285</v>
      </c>
      <c r="L41" t="s">
        <v>1323</v>
      </c>
      <c r="O41">
        <v>0.40300000000000002</v>
      </c>
      <c r="P41" t="s">
        <v>1309</v>
      </c>
      <c r="Q41" t="s">
        <v>1309</v>
      </c>
      <c r="R41" t="s">
        <v>1316</v>
      </c>
      <c r="AA41">
        <v>17</v>
      </c>
      <c r="AB41" t="s">
        <v>1339</v>
      </c>
      <c r="AC41" t="s">
        <v>1323</v>
      </c>
      <c r="AD41" t="s">
        <v>1322</v>
      </c>
      <c r="AE41" t="s">
        <v>1343</v>
      </c>
      <c r="AF41">
        <v>1</v>
      </c>
      <c r="AG41">
        <v>53.02</v>
      </c>
      <c r="AH41">
        <v>1</v>
      </c>
      <c r="AI41" t="s">
        <v>1344</v>
      </c>
      <c r="AJ41" t="s">
        <v>1309</v>
      </c>
      <c r="AK41" t="s">
        <v>1316</v>
      </c>
      <c r="AL41" t="s">
        <v>1316</v>
      </c>
      <c r="AM41">
        <v>1.3975</v>
      </c>
      <c r="AN41" t="s">
        <v>1309</v>
      </c>
      <c r="AO41">
        <v>2249.020532</v>
      </c>
    </row>
    <row r="42" spans="2:41" x14ac:dyDescent="0.35">
      <c r="H42">
        <v>53.02</v>
      </c>
      <c r="I42" t="s">
        <v>1344</v>
      </c>
      <c r="J42" t="s">
        <v>1322</v>
      </c>
      <c r="K42" t="s">
        <v>1343</v>
      </c>
      <c r="L42" t="s">
        <v>1323</v>
      </c>
      <c r="O42">
        <v>0.23749999999999999</v>
      </c>
      <c r="P42" t="s">
        <v>1309</v>
      </c>
      <c r="Q42" t="s">
        <v>1316</v>
      </c>
      <c r="R42" t="s">
        <v>1316</v>
      </c>
      <c r="AA42">
        <v>31</v>
      </c>
      <c r="AB42" t="s">
        <v>1339</v>
      </c>
      <c r="AC42" t="s">
        <v>1323</v>
      </c>
      <c r="AD42" t="s">
        <v>1322</v>
      </c>
      <c r="AE42" t="s">
        <v>1343</v>
      </c>
      <c r="AF42">
        <v>1</v>
      </c>
      <c r="AG42">
        <v>19.010000000000002</v>
      </c>
      <c r="AH42">
        <v>1</v>
      </c>
      <c r="AI42" t="s">
        <v>1344</v>
      </c>
      <c r="AJ42" t="s">
        <v>1309</v>
      </c>
      <c r="AK42" t="s">
        <v>1316</v>
      </c>
      <c r="AL42" t="s">
        <v>1316</v>
      </c>
      <c r="AM42">
        <v>0.91510000000000002</v>
      </c>
      <c r="AN42" t="s">
        <v>1309</v>
      </c>
      <c r="AO42">
        <v>1472.770655</v>
      </c>
    </row>
    <row r="43" spans="2:41" x14ac:dyDescent="0.35">
      <c r="H43">
        <v>53.02</v>
      </c>
      <c r="I43" t="s">
        <v>1344</v>
      </c>
      <c r="J43" t="s">
        <v>1322</v>
      </c>
      <c r="K43" t="s">
        <v>1343</v>
      </c>
      <c r="L43" t="s">
        <v>1323</v>
      </c>
      <c r="O43">
        <v>0.33210000000000001</v>
      </c>
      <c r="P43" t="s">
        <v>1309</v>
      </c>
      <c r="Q43" t="s">
        <v>1316</v>
      </c>
      <c r="R43" t="s">
        <v>1316</v>
      </c>
      <c r="AA43">
        <v>33</v>
      </c>
      <c r="AB43" t="s">
        <v>1339</v>
      </c>
      <c r="AC43" t="s">
        <v>1323</v>
      </c>
      <c r="AD43" t="s">
        <v>1322</v>
      </c>
      <c r="AE43" t="s">
        <v>1343</v>
      </c>
      <c r="AF43">
        <v>1</v>
      </c>
      <c r="AG43">
        <v>19.010000000000002</v>
      </c>
      <c r="AH43">
        <v>1</v>
      </c>
      <c r="AI43" t="s">
        <v>1348</v>
      </c>
      <c r="AJ43" t="s">
        <v>1309</v>
      </c>
      <c r="AK43" t="s">
        <v>1316</v>
      </c>
      <c r="AL43" t="s">
        <v>1316</v>
      </c>
      <c r="AM43">
        <v>2.18E-2</v>
      </c>
      <c r="AN43" t="s">
        <v>1309</v>
      </c>
      <c r="AO43">
        <v>35.105967</v>
      </c>
    </row>
    <row r="44" spans="2:41" x14ac:dyDescent="0.35">
      <c r="H44">
        <v>53.01</v>
      </c>
      <c r="I44" t="s">
        <v>373</v>
      </c>
      <c r="J44" t="s">
        <v>1322</v>
      </c>
      <c r="K44" t="s">
        <v>1285</v>
      </c>
      <c r="L44" t="s">
        <v>1323</v>
      </c>
      <c r="O44">
        <v>4.6899999999999997E-2</v>
      </c>
      <c r="P44" t="s">
        <v>1309</v>
      </c>
      <c r="Q44" t="s">
        <v>1309</v>
      </c>
      <c r="R44" t="s">
        <v>1316</v>
      </c>
      <c r="AA44">
        <v>55</v>
      </c>
      <c r="AB44" t="s">
        <v>1339</v>
      </c>
      <c r="AC44" t="s">
        <v>1323</v>
      </c>
      <c r="AD44" t="s">
        <v>1322</v>
      </c>
      <c r="AE44" t="s">
        <v>1285</v>
      </c>
      <c r="AF44">
        <v>1</v>
      </c>
      <c r="AG44">
        <v>53.01</v>
      </c>
      <c r="AH44">
        <v>1</v>
      </c>
      <c r="AI44" t="s">
        <v>373</v>
      </c>
      <c r="AJ44" t="s">
        <v>1309</v>
      </c>
      <c r="AK44" t="s">
        <v>1309</v>
      </c>
      <c r="AL44" t="s">
        <v>1316</v>
      </c>
      <c r="AM44">
        <v>0.40300000000000002</v>
      </c>
      <c r="AN44" t="s">
        <v>1309</v>
      </c>
      <c r="AO44">
        <v>648.60389499999997</v>
      </c>
    </row>
    <row r="45" spans="2:41" x14ac:dyDescent="0.35">
      <c r="H45">
        <v>53.01</v>
      </c>
      <c r="I45" t="s">
        <v>373</v>
      </c>
      <c r="J45" t="s">
        <v>1322</v>
      </c>
      <c r="K45" t="s">
        <v>1285</v>
      </c>
      <c r="L45" t="s">
        <v>1323</v>
      </c>
      <c r="O45">
        <v>0.2039</v>
      </c>
      <c r="P45" t="s">
        <v>1309</v>
      </c>
      <c r="Q45" t="s">
        <v>1309</v>
      </c>
      <c r="R45" t="s">
        <v>1316</v>
      </c>
      <c r="AA45">
        <v>56</v>
      </c>
      <c r="AB45" t="s">
        <v>1339</v>
      </c>
      <c r="AC45" t="s">
        <v>1323</v>
      </c>
      <c r="AD45" t="s">
        <v>1322</v>
      </c>
      <c r="AE45" t="s">
        <v>1343</v>
      </c>
      <c r="AF45">
        <v>1</v>
      </c>
      <c r="AG45">
        <v>53.02</v>
      </c>
      <c r="AH45">
        <v>1</v>
      </c>
      <c r="AI45" t="s">
        <v>1344</v>
      </c>
      <c r="AJ45" t="s">
        <v>1309</v>
      </c>
      <c r="AK45" t="s">
        <v>1316</v>
      </c>
      <c r="AL45" t="s">
        <v>1316</v>
      </c>
      <c r="AM45">
        <v>0.23749999999999999</v>
      </c>
      <c r="AN45" t="s">
        <v>1309</v>
      </c>
      <c r="AO45">
        <v>382.27022199999999</v>
      </c>
    </row>
    <row r="46" spans="2:41" x14ac:dyDescent="0.35">
      <c r="H46">
        <v>53.01</v>
      </c>
      <c r="I46" t="s">
        <v>373</v>
      </c>
      <c r="J46" t="s">
        <v>1322</v>
      </c>
      <c r="K46" t="s">
        <v>1285</v>
      </c>
      <c r="L46" t="s">
        <v>1323</v>
      </c>
      <c r="O46">
        <v>0.1186</v>
      </c>
      <c r="P46" t="s">
        <v>1309</v>
      </c>
      <c r="Q46" t="s">
        <v>1309</v>
      </c>
      <c r="R46" t="s">
        <v>1316</v>
      </c>
      <c r="AA46">
        <v>57</v>
      </c>
      <c r="AB46" t="s">
        <v>1339</v>
      </c>
      <c r="AC46" t="s">
        <v>1323</v>
      </c>
      <c r="AD46" t="s">
        <v>1322</v>
      </c>
      <c r="AE46" t="s">
        <v>1343</v>
      </c>
      <c r="AF46">
        <v>1</v>
      </c>
      <c r="AG46">
        <v>53.02</v>
      </c>
      <c r="AH46">
        <v>1</v>
      </c>
      <c r="AI46" t="s">
        <v>1344</v>
      </c>
      <c r="AJ46" t="s">
        <v>1309</v>
      </c>
      <c r="AK46" t="s">
        <v>1316</v>
      </c>
      <c r="AL46" t="s">
        <v>1316</v>
      </c>
      <c r="AM46">
        <v>0.33210000000000001</v>
      </c>
      <c r="AN46" t="s">
        <v>1309</v>
      </c>
      <c r="AO46">
        <v>534.53402000000006</v>
      </c>
    </row>
    <row r="47" spans="2:41" x14ac:dyDescent="0.35">
      <c r="H47">
        <v>53.01</v>
      </c>
      <c r="I47" t="s">
        <v>373</v>
      </c>
      <c r="J47" t="s">
        <v>1322</v>
      </c>
      <c r="K47" t="s">
        <v>1285</v>
      </c>
      <c r="L47" t="s">
        <v>1323</v>
      </c>
      <c r="O47">
        <v>0.21190000000000001</v>
      </c>
      <c r="P47" t="s">
        <v>1309</v>
      </c>
      <c r="Q47" t="s">
        <v>1309</v>
      </c>
      <c r="R47" t="s">
        <v>1316</v>
      </c>
      <c r="AA47">
        <v>58</v>
      </c>
      <c r="AB47" t="s">
        <v>1339</v>
      </c>
      <c r="AC47" t="s">
        <v>1323</v>
      </c>
      <c r="AD47" t="s">
        <v>1322</v>
      </c>
      <c r="AE47" t="s">
        <v>1285</v>
      </c>
      <c r="AF47">
        <v>1</v>
      </c>
      <c r="AG47">
        <v>53.01</v>
      </c>
      <c r="AH47">
        <v>1</v>
      </c>
      <c r="AI47" t="s">
        <v>373</v>
      </c>
      <c r="AJ47" t="s">
        <v>1309</v>
      </c>
      <c r="AK47" t="s">
        <v>1309</v>
      </c>
      <c r="AL47" t="s">
        <v>1316</v>
      </c>
      <c r="AM47">
        <v>4.6899999999999997E-2</v>
      </c>
      <c r="AN47" t="s">
        <v>1309</v>
      </c>
      <c r="AO47">
        <v>75.408237</v>
      </c>
    </row>
    <row r="48" spans="2:41" x14ac:dyDescent="0.35">
      <c r="H48">
        <v>53.01</v>
      </c>
      <c r="I48" t="s">
        <v>373</v>
      </c>
      <c r="J48" t="s">
        <v>1322</v>
      </c>
      <c r="K48" t="s">
        <v>1285</v>
      </c>
      <c r="L48" t="s">
        <v>1323</v>
      </c>
      <c r="O48">
        <v>5.7000000000000002E-2</v>
      </c>
      <c r="P48" t="s">
        <v>1309</v>
      </c>
      <c r="Q48" t="s">
        <v>1309</v>
      </c>
      <c r="R48" t="s">
        <v>1316</v>
      </c>
      <c r="AA48">
        <v>61</v>
      </c>
      <c r="AB48" t="s">
        <v>1339</v>
      </c>
      <c r="AC48" t="s">
        <v>1323</v>
      </c>
      <c r="AD48" t="s">
        <v>1322</v>
      </c>
      <c r="AE48" t="s">
        <v>1285</v>
      </c>
      <c r="AF48">
        <v>1</v>
      </c>
      <c r="AG48">
        <v>53.01</v>
      </c>
      <c r="AH48">
        <v>1</v>
      </c>
      <c r="AI48" t="s">
        <v>373</v>
      </c>
      <c r="AJ48" t="s">
        <v>1309</v>
      </c>
      <c r="AK48" t="s">
        <v>1309</v>
      </c>
      <c r="AL48" t="s">
        <v>1316</v>
      </c>
      <c r="AM48">
        <v>0.2039</v>
      </c>
      <c r="AN48" t="s">
        <v>1309</v>
      </c>
      <c r="AO48">
        <v>328.17401100000001</v>
      </c>
    </row>
    <row r="49" spans="8:41" x14ac:dyDescent="0.35">
      <c r="H49">
        <v>53.01</v>
      </c>
      <c r="I49" t="s">
        <v>373</v>
      </c>
      <c r="J49" t="s">
        <v>1322</v>
      </c>
      <c r="K49" t="s">
        <v>1285</v>
      </c>
      <c r="L49" t="s">
        <v>1323</v>
      </c>
      <c r="O49">
        <v>0.12670000000000001</v>
      </c>
      <c r="P49" t="s">
        <v>1309</v>
      </c>
      <c r="Q49" t="s">
        <v>1309</v>
      </c>
      <c r="R49" t="s">
        <v>1316</v>
      </c>
      <c r="AA49">
        <v>64</v>
      </c>
      <c r="AB49" t="s">
        <v>1339</v>
      </c>
      <c r="AC49" t="s">
        <v>1323</v>
      </c>
      <c r="AD49" t="s">
        <v>1322</v>
      </c>
      <c r="AE49" t="s">
        <v>1285</v>
      </c>
      <c r="AF49">
        <v>1</v>
      </c>
      <c r="AG49">
        <v>53.01</v>
      </c>
      <c r="AH49">
        <v>1</v>
      </c>
      <c r="AI49" t="s">
        <v>373</v>
      </c>
      <c r="AJ49" t="s">
        <v>1309</v>
      </c>
      <c r="AK49" t="s">
        <v>1309</v>
      </c>
      <c r="AL49" t="s">
        <v>1316</v>
      </c>
      <c r="AM49">
        <v>0.1186</v>
      </c>
      <c r="AN49" t="s">
        <v>1309</v>
      </c>
      <c r="AO49">
        <v>190.837548</v>
      </c>
    </row>
    <row r="50" spans="8:41" x14ac:dyDescent="0.35">
      <c r="H50">
        <v>53.01</v>
      </c>
      <c r="I50" t="s">
        <v>373</v>
      </c>
      <c r="J50" t="s">
        <v>1322</v>
      </c>
      <c r="K50" t="s">
        <v>1285</v>
      </c>
      <c r="L50" t="s">
        <v>1323</v>
      </c>
      <c r="O50">
        <v>4.8300000000000003E-2</v>
      </c>
      <c r="P50" t="s">
        <v>1309</v>
      </c>
      <c r="Q50" t="s">
        <v>1309</v>
      </c>
      <c r="R50" t="s">
        <v>1316</v>
      </c>
      <c r="AA50">
        <v>65</v>
      </c>
      <c r="AB50" t="s">
        <v>1339</v>
      </c>
      <c r="AC50" t="s">
        <v>1323</v>
      </c>
      <c r="AD50" t="s">
        <v>1322</v>
      </c>
      <c r="AE50" t="s">
        <v>1285</v>
      </c>
      <c r="AF50">
        <v>1</v>
      </c>
      <c r="AG50">
        <v>53.01</v>
      </c>
      <c r="AH50">
        <v>1</v>
      </c>
      <c r="AI50" t="s">
        <v>373</v>
      </c>
      <c r="AJ50" t="s">
        <v>1309</v>
      </c>
      <c r="AK50" t="s">
        <v>1309</v>
      </c>
      <c r="AL50" t="s">
        <v>1316</v>
      </c>
      <c r="AM50">
        <v>0.21190000000000001</v>
      </c>
      <c r="AN50" t="s">
        <v>1309</v>
      </c>
      <c r="AO50">
        <v>340.95836200000002</v>
      </c>
    </row>
    <row r="51" spans="8:41" x14ac:dyDescent="0.35">
      <c r="H51">
        <v>53.01</v>
      </c>
      <c r="I51" t="s">
        <v>373</v>
      </c>
      <c r="J51" t="s">
        <v>1322</v>
      </c>
      <c r="K51" t="s">
        <v>1285</v>
      </c>
      <c r="L51" t="s">
        <v>1323</v>
      </c>
      <c r="O51">
        <v>4.6399999999999997E-2</v>
      </c>
      <c r="P51" t="s">
        <v>1309</v>
      </c>
      <c r="Q51" t="s">
        <v>1309</v>
      </c>
      <c r="R51" t="s">
        <v>1316</v>
      </c>
      <c r="AA51">
        <v>66</v>
      </c>
      <c r="AB51" t="s">
        <v>1339</v>
      </c>
      <c r="AC51" t="s">
        <v>1323</v>
      </c>
      <c r="AD51" t="s">
        <v>1322</v>
      </c>
      <c r="AE51" t="s">
        <v>1285</v>
      </c>
      <c r="AF51">
        <v>1</v>
      </c>
      <c r="AG51">
        <v>53.01</v>
      </c>
      <c r="AH51">
        <v>1</v>
      </c>
      <c r="AI51" t="s">
        <v>373</v>
      </c>
      <c r="AJ51" t="s">
        <v>1309</v>
      </c>
      <c r="AK51" t="s">
        <v>1309</v>
      </c>
      <c r="AL51" t="s">
        <v>1316</v>
      </c>
      <c r="AM51">
        <v>5.7000000000000002E-2</v>
      </c>
      <c r="AN51" t="s">
        <v>1309</v>
      </c>
      <c r="AO51">
        <v>91.733677</v>
      </c>
    </row>
    <row r="52" spans="8:41" x14ac:dyDescent="0.35">
      <c r="H52">
        <v>53.01</v>
      </c>
      <c r="I52" t="s">
        <v>373</v>
      </c>
      <c r="J52" t="s">
        <v>1322</v>
      </c>
      <c r="K52" t="s">
        <v>1285</v>
      </c>
      <c r="L52" t="s">
        <v>1323</v>
      </c>
      <c r="O52">
        <v>0.1933</v>
      </c>
      <c r="P52" t="s">
        <v>1309</v>
      </c>
      <c r="Q52" t="s">
        <v>1309</v>
      </c>
      <c r="R52" t="s">
        <v>1316</v>
      </c>
      <c r="AA52">
        <v>68</v>
      </c>
      <c r="AB52" t="s">
        <v>1339</v>
      </c>
      <c r="AC52" t="s">
        <v>1323</v>
      </c>
      <c r="AD52" t="s">
        <v>1322</v>
      </c>
      <c r="AE52" t="s">
        <v>1285</v>
      </c>
      <c r="AF52">
        <v>1</v>
      </c>
      <c r="AG52">
        <v>53.01</v>
      </c>
      <c r="AH52">
        <v>1</v>
      </c>
      <c r="AI52" t="s">
        <v>373</v>
      </c>
      <c r="AJ52" t="s">
        <v>1309</v>
      </c>
      <c r="AK52" t="s">
        <v>1309</v>
      </c>
      <c r="AL52" t="s">
        <v>1316</v>
      </c>
      <c r="AM52">
        <v>0.12670000000000001</v>
      </c>
      <c r="AN52" t="s">
        <v>1309</v>
      </c>
      <c r="AO52">
        <v>203.89457899999999</v>
      </c>
    </row>
    <row r="53" spans="8:41" x14ac:dyDescent="0.35">
      <c r="H53">
        <v>53.02</v>
      </c>
      <c r="I53" t="s">
        <v>1344</v>
      </c>
      <c r="J53" t="s">
        <v>1322</v>
      </c>
      <c r="K53" t="s">
        <v>1343</v>
      </c>
      <c r="L53" t="s">
        <v>1323</v>
      </c>
      <c r="O53">
        <v>0.54090000000000005</v>
      </c>
      <c r="P53" t="s">
        <v>1309</v>
      </c>
      <c r="Q53" t="s">
        <v>1316</v>
      </c>
      <c r="R53" t="s">
        <v>1316</v>
      </c>
      <c r="AA53">
        <v>70</v>
      </c>
      <c r="AB53" t="s">
        <v>1339</v>
      </c>
      <c r="AC53" t="s">
        <v>1323</v>
      </c>
      <c r="AD53" t="s">
        <v>1322</v>
      </c>
      <c r="AE53" t="s">
        <v>1285</v>
      </c>
      <c r="AF53">
        <v>1</v>
      </c>
      <c r="AG53">
        <v>53.01</v>
      </c>
      <c r="AH53">
        <v>1</v>
      </c>
      <c r="AI53" t="s">
        <v>373</v>
      </c>
      <c r="AJ53" t="s">
        <v>1309</v>
      </c>
      <c r="AK53" t="s">
        <v>1309</v>
      </c>
      <c r="AL53" t="s">
        <v>1316</v>
      </c>
      <c r="AM53">
        <v>4.8300000000000003E-2</v>
      </c>
      <c r="AN53" t="s">
        <v>1309</v>
      </c>
      <c r="AO53">
        <v>77.771600000000007</v>
      </c>
    </row>
    <row r="54" spans="8:41" x14ac:dyDescent="0.35">
      <c r="H54">
        <v>53.02</v>
      </c>
      <c r="I54" t="s">
        <v>1344</v>
      </c>
      <c r="J54" t="s">
        <v>1322</v>
      </c>
      <c r="K54" t="s">
        <v>1343</v>
      </c>
      <c r="L54" t="s">
        <v>1323</v>
      </c>
      <c r="O54">
        <v>0.1037</v>
      </c>
      <c r="P54" t="s">
        <v>1309</v>
      </c>
      <c r="Q54" t="s">
        <v>1316</v>
      </c>
      <c r="R54" t="s">
        <v>1316</v>
      </c>
      <c r="AA54">
        <v>71</v>
      </c>
      <c r="AB54" t="s">
        <v>1339</v>
      </c>
      <c r="AC54" t="s">
        <v>1323</v>
      </c>
      <c r="AD54" t="s">
        <v>1322</v>
      </c>
      <c r="AE54" t="s">
        <v>1285</v>
      </c>
      <c r="AF54">
        <v>1</v>
      </c>
      <c r="AG54">
        <v>53.01</v>
      </c>
      <c r="AH54">
        <v>1</v>
      </c>
      <c r="AI54" t="s">
        <v>373</v>
      </c>
      <c r="AJ54" t="s">
        <v>1309</v>
      </c>
      <c r="AK54" t="s">
        <v>1309</v>
      </c>
      <c r="AL54" t="s">
        <v>1316</v>
      </c>
      <c r="AM54">
        <v>4.6399999999999997E-2</v>
      </c>
      <c r="AN54" t="s">
        <v>1309</v>
      </c>
      <c r="AO54">
        <v>74.737433999999993</v>
      </c>
    </row>
    <row r="55" spans="8:41" x14ac:dyDescent="0.35">
      <c r="H55">
        <v>53.02</v>
      </c>
      <c r="I55" t="s">
        <v>1344</v>
      </c>
      <c r="J55" t="s">
        <v>1322</v>
      </c>
      <c r="K55" t="s">
        <v>1343</v>
      </c>
      <c r="L55" t="s">
        <v>1323</v>
      </c>
      <c r="O55">
        <v>0.51149999999999995</v>
      </c>
      <c r="P55" t="s">
        <v>1309</v>
      </c>
      <c r="Q55" t="s">
        <v>1316</v>
      </c>
      <c r="R55" t="s">
        <v>1316</v>
      </c>
      <c r="AA55">
        <v>72</v>
      </c>
      <c r="AB55" t="s">
        <v>1339</v>
      </c>
      <c r="AC55" t="s">
        <v>1323</v>
      </c>
      <c r="AD55" t="s">
        <v>1322</v>
      </c>
      <c r="AE55" t="s">
        <v>1285</v>
      </c>
      <c r="AF55">
        <v>1</v>
      </c>
      <c r="AG55">
        <v>53.01</v>
      </c>
      <c r="AH55">
        <v>1</v>
      </c>
      <c r="AI55" t="s">
        <v>373</v>
      </c>
      <c r="AJ55" t="s">
        <v>1309</v>
      </c>
      <c r="AK55" t="s">
        <v>1309</v>
      </c>
      <c r="AL55" t="s">
        <v>1316</v>
      </c>
      <c r="AM55">
        <v>0.1933</v>
      </c>
      <c r="AN55" t="s">
        <v>1309</v>
      </c>
      <c r="AO55">
        <v>311.15845000000002</v>
      </c>
    </row>
    <row r="56" spans="8:41" x14ac:dyDescent="0.35">
      <c r="H56">
        <v>53.02</v>
      </c>
      <c r="I56" t="s">
        <v>1344</v>
      </c>
      <c r="J56" t="s">
        <v>1322</v>
      </c>
      <c r="K56" t="s">
        <v>1343</v>
      </c>
      <c r="L56" t="s">
        <v>1323</v>
      </c>
      <c r="O56">
        <v>1.3420000000000001</v>
      </c>
      <c r="P56" t="s">
        <v>1309</v>
      </c>
      <c r="Q56" t="s">
        <v>1316</v>
      </c>
      <c r="R56" t="s">
        <v>1316</v>
      </c>
      <c r="AA56">
        <v>73</v>
      </c>
      <c r="AB56" t="s">
        <v>1339</v>
      </c>
      <c r="AC56" t="s">
        <v>1323</v>
      </c>
      <c r="AD56" t="s">
        <v>1322</v>
      </c>
      <c r="AE56" t="s">
        <v>1343</v>
      </c>
      <c r="AF56">
        <v>1</v>
      </c>
      <c r="AG56">
        <v>53.02</v>
      </c>
      <c r="AH56">
        <v>1</v>
      </c>
      <c r="AI56" t="s">
        <v>1344</v>
      </c>
      <c r="AJ56" t="s">
        <v>1309</v>
      </c>
      <c r="AK56" t="s">
        <v>1316</v>
      </c>
      <c r="AL56" t="s">
        <v>1316</v>
      </c>
      <c r="AM56">
        <v>0.54090000000000005</v>
      </c>
      <c r="AN56" t="s">
        <v>1309</v>
      </c>
      <c r="AO56">
        <v>870.45789500000001</v>
      </c>
    </row>
    <row r="57" spans="8:41" x14ac:dyDescent="0.35">
      <c r="H57">
        <v>53.01</v>
      </c>
      <c r="I57" t="s">
        <v>373</v>
      </c>
      <c r="J57" t="s">
        <v>1322</v>
      </c>
      <c r="K57" t="s">
        <v>1285</v>
      </c>
      <c r="L57" t="s">
        <v>1323</v>
      </c>
      <c r="O57">
        <v>0.25950000000000001</v>
      </c>
      <c r="P57" t="s">
        <v>1309</v>
      </c>
      <c r="Q57" t="s">
        <v>1309</v>
      </c>
      <c r="R57" t="s">
        <v>1316</v>
      </c>
      <c r="AA57">
        <v>74</v>
      </c>
      <c r="AB57" t="s">
        <v>1339</v>
      </c>
      <c r="AC57" t="s">
        <v>1323</v>
      </c>
      <c r="AD57" t="s">
        <v>1322</v>
      </c>
      <c r="AE57" t="s">
        <v>1343</v>
      </c>
      <c r="AF57">
        <v>1</v>
      </c>
      <c r="AG57">
        <v>53.02</v>
      </c>
      <c r="AH57">
        <v>1</v>
      </c>
      <c r="AI57" t="s">
        <v>1344</v>
      </c>
      <c r="AJ57" t="s">
        <v>1309</v>
      </c>
      <c r="AK57" t="s">
        <v>1316</v>
      </c>
      <c r="AL57" t="s">
        <v>1316</v>
      </c>
      <c r="AM57">
        <v>0.1037</v>
      </c>
      <c r="AN57" t="s">
        <v>1309</v>
      </c>
      <c r="AO57">
        <v>166.831862</v>
      </c>
    </row>
    <row r="58" spans="8:41" x14ac:dyDescent="0.35">
      <c r="H58">
        <v>53.01</v>
      </c>
      <c r="I58" t="s">
        <v>373</v>
      </c>
      <c r="J58" t="s">
        <v>1322</v>
      </c>
      <c r="K58" t="s">
        <v>1285</v>
      </c>
      <c r="L58" t="s">
        <v>1323</v>
      </c>
      <c r="O58">
        <v>0.17549999999999999</v>
      </c>
      <c r="P58" t="s">
        <v>1309</v>
      </c>
      <c r="Q58" t="s">
        <v>1309</v>
      </c>
      <c r="R58" t="s">
        <v>1316</v>
      </c>
      <c r="AA58">
        <v>75</v>
      </c>
      <c r="AB58" t="s">
        <v>1339</v>
      </c>
      <c r="AC58" t="s">
        <v>1323</v>
      </c>
      <c r="AD58" t="s">
        <v>1322</v>
      </c>
      <c r="AE58" t="s">
        <v>1343</v>
      </c>
      <c r="AF58">
        <v>1</v>
      </c>
      <c r="AG58">
        <v>53.02</v>
      </c>
      <c r="AH58">
        <v>1</v>
      </c>
      <c r="AI58" t="s">
        <v>1344</v>
      </c>
      <c r="AJ58" t="s">
        <v>1309</v>
      </c>
      <c r="AK58" t="s">
        <v>1316</v>
      </c>
      <c r="AL58" t="s">
        <v>1316</v>
      </c>
      <c r="AM58">
        <v>0.51149999999999995</v>
      </c>
      <c r="AN58" t="s">
        <v>1309</v>
      </c>
      <c r="AO58">
        <v>823.10980700000005</v>
      </c>
    </row>
    <row r="59" spans="8:41" x14ac:dyDescent="0.35">
      <c r="H59">
        <v>53.01</v>
      </c>
      <c r="I59" t="s">
        <v>373</v>
      </c>
      <c r="J59" t="s">
        <v>1322</v>
      </c>
      <c r="K59" t="s">
        <v>1285</v>
      </c>
      <c r="L59" t="s">
        <v>1323</v>
      </c>
      <c r="O59">
        <v>8.0399999999999999E-2</v>
      </c>
      <c r="P59" t="s">
        <v>1309</v>
      </c>
      <c r="Q59" t="s">
        <v>1309</v>
      </c>
      <c r="R59" t="s">
        <v>1316</v>
      </c>
      <c r="AA59">
        <v>76</v>
      </c>
      <c r="AB59" t="s">
        <v>1339</v>
      </c>
      <c r="AC59" t="s">
        <v>1323</v>
      </c>
      <c r="AD59" t="s">
        <v>1322</v>
      </c>
      <c r="AE59" t="s">
        <v>1343</v>
      </c>
      <c r="AF59">
        <v>1</v>
      </c>
      <c r="AG59">
        <v>53.02</v>
      </c>
      <c r="AH59">
        <v>1</v>
      </c>
      <c r="AI59" t="s">
        <v>1344</v>
      </c>
      <c r="AJ59" t="s">
        <v>1309</v>
      </c>
      <c r="AK59" t="s">
        <v>1316</v>
      </c>
      <c r="AL59" t="s">
        <v>1316</v>
      </c>
      <c r="AM59">
        <v>1.3420000000000001</v>
      </c>
      <c r="AN59" t="s">
        <v>1309</v>
      </c>
      <c r="AO59">
        <v>2159.735111</v>
      </c>
    </row>
    <row r="60" spans="8:41" x14ac:dyDescent="0.35">
      <c r="H60">
        <v>53.01</v>
      </c>
      <c r="I60" t="s">
        <v>373</v>
      </c>
      <c r="J60" t="s">
        <v>1322</v>
      </c>
      <c r="K60" t="s">
        <v>1285</v>
      </c>
      <c r="L60" t="s">
        <v>1323</v>
      </c>
      <c r="O60">
        <v>4.7399999999999998E-2</v>
      </c>
      <c r="P60" t="s">
        <v>1309</v>
      </c>
      <c r="Q60" t="s">
        <v>1309</v>
      </c>
      <c r="R60" t="s">
        <v>1316</v>
      </c>
      <c r="AA60">
        <v>77</v>
      </c>
      <c r="AB60" t="s">
        <v>1339</v>
      </c>
      <c r="AC60" t="s">
        <v>1323</v>
      </c>
      <c r="AD60" t="s">
        <v>1322</v>
      </c>
      <c r="AE60" t="s">
        <v>1285</v>
      </c>
      <c r="AF60">
        <v>1</v>
      </c>
      <c r="AG60">
        <v>53.01</v>
      </c>
      <c r="AH60">
        <v>1</v>
      </c>
      <c r="AI60" t="s">
        <v>373</v>
      </c>
      <c r="AJ60" t="s">
        <v>1309</v>
      </c>
      <c r="AK60" t="s">
        <v>1309</v>
      </c>
      <c r="AL60" t="s">
        <v>1316</v>
      </c>
      <c r="AM60">
        <v>0.25950000000000001</v>
      </c>
      <c r="AN60" t="s">
        <v>1309</v>
      </c>
      <c r="AO60">
        <v>417.63328200000001</v>
      </c>
    </row>
    <row r="61" spans="8:41" x14ac:dyDescent="0.35">
      <c r="H61">
        <v>53.01</v>
      </c>
      <c r="I61" t="s">
        <v>373</v>
      </c>
      <c r="J61" t="s">
        <v>1322</v>
      </c>
      <c r="K61" t="s">
        <v>1285</v>
      </c>
      <c r="L61" t="s">
        <v>1323</v>
      </c>
      <c r="O61">
        <v>0.13700000000000001</v>
      </c>
      <c r="P61" t="s">
        <v>1309</v>
      </c>
      <c r="Q61" t="s">
        <v>1309</v>
      </c>
      <c r="R61" t="s">
        <v>1316</v>
      </c>
      <c r="AA61">
        <v>78</v>
      </c>
      <c r="AB61" t="s">
        <v>1339</v>
      </c>
      <c r="AC61" t="s">
        <v>1323</v>
      </c>
      <c r="AD61" t="s">
        <v>1322</v>
      </c>
      <c r="AE61" t="s">
        <v>1285</v>
      </c>
      <c r="AF61">
        <v>1</v>
      </c>
      <c r="AG61">
        <v>53.01</v>
      </c>
      <c r="AH61">
        <v>1</v>
      </c>
      <c r="AI61" t="s">
        <v>373</v>
      </c>
      <c r="AJ61" t="s">
        <v>1309</v>
      </c>
      <c r="AK61" t="s">
        <v>1309</v>
      </c>
      <c r="AL61" t="s">
        <v>1316</v>
      </c>
      <c r="AM61">
        <v>0.17549999999999999</v>
      </c>
      <c r="AN61" t="s">
        <v>1309</v>
      </c>
      <c r="AO61">
        <v>282.44381900000002</v>
      </c>
    </row>
    <row r="62" spans="8:41" x14ac:dyDescent="0.35">
      <c r="H62">
        <v>53.01</v>
      </c>
      <c r="I62" t="s">
        <v>373</v>
      </c>
      <c r="J62" t="s">
        <v>1322</v>
      </c>
      <c r="K62" t="s">
        <v>1285</v>
      </c>
      <c r="L62" t="s">
        <v>1323</v>
      </c>
      <c r="O62">
        <v>4.7300000000000002E-2</v>
      </c>
      <c r="P62" t="s">
        <v>1309</v>
      </c>
      <c r="Q62" t="s">
        <v>1309</v>
      </c>
      <c r="R62" t="s">
        <v>1316</v>
      </c>
      <c r="AA62">
        <v>79</v>
      </c>
      <c r="AB62" t="s">
        <v>1339</v>
      </c>
      <c r="AC62" t="s">
        <v>1323</v>
      </c>
      <c r="AD62" t="s">
        <v>1322</v>
      </c>
      <c r="AE62" t="s">
        <v>1285</v>
      </c>
      <c r="AF62">
        <v>1</v>
      </c>
      <c r="AG62">
        <v>53.01</v>
      </c>
      <c r="AH62">
        <v>1</v>
      </c>
      <c r="AI62" t="s">
        <v>373</v>
      </c>
      <c r="AJ62" t="s">
        <v>1309</v>
      </c>
      <c r="AK62" t="s">
        <v>1309</v>
      </c>
      <c r="AL62" t="s">
        <v>1316</v>
      </c>
      <c r="AM62">
        <v>8.0399999999999999E-2</v>
      </c>
      <c r="AN62" t="s">
        <v>1309</v>
      </c>
      <c r="AO62">
        <v>129.45453499999999</v>
      </c>
    </row>
    <row r="63" spans="8:41" x14ac:dyDescent="0.35">
      <c r="H63">
        <v>53.01</v>
      </c>
      <c r="I63" t="s">
        <v>373</v>
      </c>
      <c r="J63" t="s">
        <v>1322</v>
      </c>
      <c r="K63" t="s">
        <v>1285</v>
      </c>
      <c r="L63" t="s">
        <v>1323</v>
      </c>
      <c r="O63">
        <v>4.9299999999999997E-2</v>
      </c>
      <c r="P63" t="s">
        <v>1309</v>
      </c>
      <c r="Q63" t="s">
        <v>1309</v>
      </c>
      <c r="R63" t="s">
        <v>1316</v>
      </c>
      <c r="AA63">
        <v>80</v>
      </c>
      <c r="AB63" t="s">
        <v>1339</v>
      </c>
      <c r="AC63" t="s">
        <v>1323</v>
      </c>
      <c r="AD63" t="s">
        <v>1322</v>
      </c>
      <c r="AE63" t="s">
        <v>1285</v>
      </c>
      <c r="AF63">
        <v>1</v>
      </c>
      <c r="AG63">
        <v>53.01</v>
      </c>
      <c r="AH63">
        <v>1</v>
      </c>
      <c r="AI63" t="s">
        <v>373</v>
      </c>
      <c r="AJ63" t="s">
        <v>1309</v>
      </c>
      <c r="AK63" t="s">
        <v>1309</v>
      </c>
      <c r="AL63" t="s">
        <v>1316</v>
      </c>
      <c r="AM63">
        <v>4.7399999999999998E-2</v>
      </c>
      <c r="AN63" t="s">
        <v>1309</v>
      </c>
      <c r="AO63">
        <v>76.204984999999994</v>
      </c>
    </row>
    <row r="64" spans="8:41" x14ac:dyDescent="0.35">
      <c r="H64">
        <v>53.01</v>
      </c>
      <c r="I64" t="s">
        <v>373</v>
      </c>
      <c r="J64" t="s">
        <v>1322</v>
      </c>
      <c r="K64" t="s">
        <v>1285</v>
      </c>
      <c r="L64" t="s">
        <v>1323</v>
      </c>
      <c r="O64">
        <v>4.9299999999999997E-2</v>
      </c>
      <c r="P64" t="s">
        <v>1309</v>
      </c>
      <c r="Q64" t="s">
        <v>1309</v>
      </c>
      <c r="R64" t="s">
        <v>1316</v>
      </c>
      <c r="AA64">
        <v>81</v>
      </c>
      <c r="AB64" t="s">
        <v>1339</v>
      </c>
      <c r="AC64" t="s">
        <v>1323</v>
      </c>
      <c r="AD64" t="s">
        <v>1322</v>
      </c>
      <c r="AE64" t="s">
        <v>1285</v>
      </c>
      <c r="AF64">
        <v>1</v>
      </c>
      <c r="AG64">
        <v>53.01</v>
      </c>
      <c r="AH64">
        <v>1</v>
      </c>
      <c r="AI64" t="s">
        <v>373</v>
      </c>
      <c r="AJ64" t="s">
        <v>1309</v>
      </c>
      <c r="AK64" t="s">
        <v>1309</v>
      </c>
      <c r="AL64" t="s">
        <v>1316</v>
      </c>
      <c r="AM64">
        <v>0.13700000000000001</v>
      </c>
      <c r="AN64" t="s">
        <v>1309</v>
      </c>
      <c r="AO64">
        <v>220.50475900000001</v>
      </c>
    </row>
    <row r="65" spans="8:41" x14ac:dyDescent="0.35">
      <c r="H65">
        <v>53.01</v>
      </c>
      <c r="I65" t="s">
        <v>373</v>
      </c>
      <c r="J65" t="s">
        <v>1322</v>
      </c>
      <c r="K65" t="s">
        <v>1285</v>
      </c>
      <c r="L65" t="s">
        <v>1323</v>
      </c>
      <c r="O65">
        <v>4.9299999999999997E-2</v>
      </c>
      <c r="P65" t="s">
        <v>1309</v>
      </c>
      <c r="Q65" t="s">
        <v>1309</v>
      </c>
      <c r="R65" t="s">
        <v>1316</v>
      </c>
      <c r="AA65">
        <v>83</v>
      </c>
      <c r="AB65" t="s">
        <v>1339</v>
      </c>
      <c r="AC65" t="s">
        <v>1323</v>
      </c>
      <c r="AD65" t="s">
        <v>1322</v>
      </c>
      <c r="AE65" t="s">
        <v>1285</v>
      </c>
      <c r="AF65">
        <v>1</v>
      </c>
      <c r="AG65">
        <v>53.01</v>
      </c>
      <c r="AH65">
        <v>1</v>
      </c>
      <c r="AI65" t="s">
        <v>373</v>
      </c>
      <c r="AJ65" t="s">
        <v>1309</v>
      </c>
      <c r="AK65" t="s">
        <v>1309</v>
      </c>
      <c r="AL65" t="s">
        <v>1316</v>
      </c>
      <c r="AM65">
        <v>4.7300000000000002E-2</v>
      </c>
      <c r="AN65" t="s">
        <v>1309</v>
      </c>
      <c r="AO65">
        <v>76.190815999999998</v>
      </c>
    </row>
    <row r="66" spans="8:41" x14ac:dyDescent="0.35">
      <c r="H66">
        <v>53.01</v>
      </c>
      <c r="I66" t="s">
        <v>373</v>
      </c>
      <c r="J66" t="s">
        <v>1322</v>
      </c>
      <c r="K66" t="s">
        <v>1285</v>
      </c>
      <c r="L66" t="s">
        <v>1323</v>
      </c>
      <c r="O66">
        <v>0.27339999999999998</v>
      </c>
      <c r="P66" t="s">
        <v>1309</v>
      </c>
      <c r="Q66" t="s">
        <v>1309</v>
      </c>
      <c r="R66" t="s">
        <v>1316</v>
      </c>
      <c r="AA66">
        <v>84</v>
      </c>
      <c r="AB66" t="s">
        <v>1339</v>
      </c>
      <c r="AC66" t="s">
        <v>1323</v>
      </c>
      <c r="AD66" t="s">
        <v>1322</v>
      </c>
      <c r="AE66" t="s">
        <v>1285</v>
      </c>
      <c r="AF66">
        <v>1</v>
      </c>
      <c r="AG66">
        <v>53.01</v>
      </c>
      <c r="AH66">
        <v>1</v>
      </c>
      <c r="AI66" t="s">
        <v>373</v>
      </c>
      <c r="AJ66" t="s">
        <v>1309</v>
      </c>
      <c r="AK66" t="s">
        <v>1309</v>
      </c>
      <c r="AL66" t="s">
        <v>1316</v>
      </c>
      <c r="AM66">
        <v>4.9299999999999997E-2</v>
      </c>
      <c r="AN66" t="s">
        <v>1309</v>
      </c>
      <c r="AO66">
        <v>79.327281999999997</v>
      </c>
    </row>
    <row r="67" spans="8:41" x14ac:dyDescent="0.35">
      <c r="H67">
        <v>53.01</v>
      </c>
      <c r="I67" t="s">
        <v>373</v>
      </c>
      <c r="J67" t="s">
        <v>1322</v>
      </c>
      <c r="K67" t="s">
        <v>1285</v>
      </c>
      <c r="L67" t="s">
        <v>1323</v>
      </c>
      <c r="O67">
        <v>0.29509999999999997</v>
      </c>
      <c r="P67" t="s">
        <v>1309</v>
      </c>
      <c r="Q67" t="s">
        <v>1309</v>
      </c>
      <c r="R67" t="s">
        <v>1316</v>
      </c>
      <c r="AA67">
        <v>85</v>
      </c>
      <c r="AB67" t="s">
        <v>1339</v>
      </c>
      <c r="AC67" t="s">
        <v>1323</v>
      </c>
      <c r="AD67" t="s">
        <v>1322</v>
      </c>
      <c r="AE67" t="s">
        <v>1285</v>
      </c>
      <c r="AF67">
        <v>1</v>
      </c>
      <c r="AG67">
        <v>53.01</v>
      </c>
      <c r="AH67">
        <v>1</v>
      </c>
      <c r="AI67" t="s">
        <v>373</v>
      </c>
      <c r="AJ67" t="s">
        <v>1309</v>
      </c>
      <c r="AK67" t="s">
        <v>1309</v>
      </c>
      <c r="AL67" t="s">
        <v>1316</v>
      </c>
      <c r="AM67">
        <v>4.9299999999999997E-2</v>
      </c>
      <c r="AN67" t="s">
        <v>1309</v>
      </c>
      <c r="AO67">
        <v>79.316478000000004</v>
      </c>
    </row>
    <row r="68" spans="8:41" x14ac:dyDescent="0.35">
      <c r="H68">
        <v>53.01</v>
      </c>
      <c r="I68" t="s">
        <v>373</v>
      </c>
      <c r="J68" t="s">
        <v>1322</v>
      </c>
      <c r="K68" t="s">
        <v>1285</v>
      </c>
      <c r="L68" t="s">
        <v>1323</v>
      </c>
      <c r="O68">
        <v>0.12379999999999999</v>
      </c>
      <c r="P68" t="s">
        <v>1309</v>
      </c>
      <c r="Q68" t="s">
        <v>1309</v>
      </c>
      <c r="R68" t="s">
        <v>1316</v>
      </c>
      <c r="AA68">
        <v>86</v>
      </c>
      <c r="AB68" t="s">
        <v>1339</v>
      </c>
      <c r="AC68" t="s">
        <v>1323</v>
      </c>
      <c r="AD68" t="s">
        <v>1322</v>
      </c>
      <c r="AE68" t="s">
        <v>1285</v>
      </c>
      <c r="AF68">
        <v>1</v>
      </c>
      <c r="AG68">
        <v>53.01</v>
      </c>
      <c r="AH68">
        <v>1</v>
      </c>
      <c r="AI68" t="s">
        <v>373</v>
      </c>
      <c r="AJ68" t="s">
        <v>1309</v>
      </c>
      <c r="AK68" t="s">
        <v>1309</v>
      </c>
      <c r="AL68" t="s">
        <v>1316</v>
      </c>
      <c r="AM68">
        <v>4.9299999999999997E-2</v>
      </c>
      <c r="AN68" t="s">
        <v>1309</v>
      </c>
      <c r="AO68">
        <v>79.301990000000004</v>
      </c>
    </row>
    <row r="69" spans="8:41" x14ac:dyDescent="0.35">
      <c r="H69">
        <v>53.01</v>
      </c>
      <c r="I69" t="s">
        <v>373</v>
      </c>
      <c r="J69" t="s">
        <v>1322</v>
      </c>
      <c r="K69" t="s">
        <v>1285</v>
      </c>
      <c r="L69" t="s">
        <v>1323</v>
      </c>
      <c r="O69">
        <v>0.1123</v>
      </c>
      <c r="P69" t="s">
        <v>1309</v>
      </c>
      <c r="Q69" t="s">
        <v>1309</v>
      </c>
      <c r="R69" t="s">
        <v>1316</v>
      </c>
      <c r="AA69">
        <v>89</v>
      </c>
      <c r="AB69" t="s">
        <v>1339</v>
      </c>
      <c r="AC69" t="s">
        <v>1323</v>
      </c>
      <c r="AD69" t="s">
        <v>1322</v>
      </c>
      <c r="AE69" t="s">
        <v>1285</v>
      </c>
      <c r="AF69">
        <v>1</v>
      </c>
      <c r="AG69">
        <v>53.01</v>
      </c>
      <c r="AH69">
        <v>1</v>
      </c>
      <c r="AI69" t="s">
        <v>373</v>
      </c>
      <c r="AJ69" t="s">
        <v>1309</v>
      </c>
      <c r="AK69" t="s">
        <v>1309</v>
      </c>
      <c r="AL69" t="s">
        <v>1316</v>
      </c>
      <c r="AM69">
        <v>0.27339999999999998</v>
      </c>
      <c r="AN69" t="s">
        <v>1309</v>
      </c>
      <c r="AO69">
        <v>440.039895</v>
      </c>
    </row>
    <row r="70" spans="8:41" x14ac:dyDescent="0.35">
      <c r="H70">
        <v>53.01</v>
      </c>
      <c r="I70" t="s">
        <v>373</v>
      </c>
      <c r="J70" t="s">
        <v>1322</v>
      </c>
      <c r="K70" t="s">
        <v>1285</v>
      </c>
      <c r="L70" t="s">
        <v>1323</v>
      </c>
      <c r="O70">
        <v>7.6399999999999996E-2</v>
      </c>
      <c r="P70" t="s">
        <v>1309</v>
      </c>
      <c r="Q70" t="s">
        <v>1309</v>
      </c>
      <c r="R70" t="s">
        <v>1316</v>
      </c>
      <c r="AA70">
        <v>90</v>
      </c>
      <c r="AB70" t="s">
        <v>1339</v>
      </c>
      <c r="AC70" t="s">
        <v>1323</v>
      </c>
      <c r="AD70" t="s">
        <v>1322</v>
      </c>
      <c r="AE70" t="s">
        <v>1285</v>
      </c>
      <c r="AF70">
        <v>1</v>
      </c>
      <c r="AG70">
        <v>53.01</v>
      </c>
      <c r="AH70">
        <v>1</v>
      </c>
      <c r="AI70" t="s">
        <v>373</v>
      </c>
      <c r="AJ70" t="s">
        <v>1309</v>
      </c>
      <c r="AK70" t="s">
        <v>1309</v>
      </c>
      <c r="AL70" t="s">
        <v>1316</v>
      </c>
      <c r="AM70">
        <v>0.29509999999999997</v>
      </c>
      <c r="AN70" t="s">
        <v>1309</v>
      </c>
      <c r="AO70">
        <v>474.848591</v>
      </c>
    </row>
    <row r="71" spans="8:41" x14ac:dyDescent="0.35">
      <c r="H71">
        <v>53.01</v>
      </c>
      <c r="I71" t="s">
        <v>373</v>
      </c>
      <c r="J71" t="s">
        <v>1322</v>
      </c>
      <c r="K71" t="s">
        <v>1285</v>
      </c>
      <c r="L71" t="s">
        <v>1323</v>
      </c>
      <c r="O71">
        <v>5.9700000000000003E-2</v>
      </c>
      <c r="P71" t="s">
        <v>1309</v>
      </c>
      <c r="Q71" t="s">
        <v>1309</v>
      </c>
      <c r="R71" t="s">
        <v>1316</v>
      </c>
      <c r="AA71">
        <v>91</v>
      </c>
      <c r="AB71" t="s">
        <v>1339</v>
      </c>
      <c r="AC71" t="s">
        <v>1323</v>
      </c>
      <c r="AD71" t="s">
        <v>1322</v>
      </c>
      <c r="AE71" t="s">
        <v>1285</v>
      </c>
      <c r="AF71">
        <v>1</v>
      </c>
      <c r="AG71">
        <v>53.01</v>
      </c>
      <c r="AH71">
        <v>1</v>
      </c>
      <c r="AI71" t="s">
        <v>373</v>
      </c>
      <c r="AJ71" t="s">
        <v>1309</v>
      </c>
      <c r="AK71" t="s">
        <v>1309</v>
      </c>
      <c r="AL71" t="s">
        <v>1316</v>
      </c>
      <c r="AM71">
        <v>0.12379999999999999</v>
      </c>
      <c r="AN71" t="s">
        <v>1309</v>
      </c>
      <c r="AO71">
        <v>199.25365500000001</v>
      </c>
    </row>
    <row r="72" spans="8:41" x14ac:dyDescent="0.35">
      <c r="H72">
        <v>53.01</v>
      </c>
      <c r="I72" t="s">
        <v>373</v>
      </c>
      <c r="J72" t="s">
        <v>1322</v>
      </c>
      <c r="K72" t="s">
        <v>1285</v>
      </c>
      <c r="L72" t="s">
        <v>1323</v>
      </c>
      <c r="O72">
        <v>4.82E-2</v>
      </c>
      <c r="P72" t="s">
        <v>1309</v>
      </c>
      <c r="Q72" t="s">
        <v>1309</v>
      </c>
      <c r="R72" t="s">
        <v>1316</v>
      </c>
      <c r="AA72">
        <v>92</v>
      </c>
      <c r="AB72" t="s">
        <v>1339</v>
      </c>
      <c r="AC72" t="s">
        <v>1323</v>
      </c>
      <c r="AD72" t="s">
        <v>1322</v>
      </c>
      <c r="AE72" t="s">
        <v>1285</v>
      </c>
      <c r="AF72">
        <v>1</v>
      </c>
      <c r="AG72">
        <v>53.01</v>
      </c>
      <c r="AH72">
        <v>1</v>
      </c>
      <c r="AI72" t="s">
        <v>373</v>
      </c>
      <c r="AJ72" t="s">
        <v>1309</v>
      </c>
      <c r="AK72" t="s">
        <v>1309</v>
      </c>
      <c r="AL72" t="s">
        <v>1316</v>
      </c>
      <c r="AM72">
        <v>0.1123</v>
      </c>
      <c r="AN72" t="s">
        <v>1309</v>
      </c>
      <c r="AO72">
        <v>180.667709</v>
      </c>
    </row>
    <row r="73" spans="8:41" x14ac:dyDescent="0.35">
      <c r="H73">
        <v>53.01</v>
      </c>
      <c r="I73" t="s">
        <v>373</v>
      </c>
      <c r="J73" t="s">
        <v>1322</v>
      </c>
      <c r="K73" t="s">
        <v>1285</v>
      </c>
      <c r="L73" t="s">
        <v>1323</v>
      </c>
      <c r="O73">
        <v>0.1095</v>
      </c>
      <c r="P73" t="s">
        <v>1309</v>
      </c>
      <c r="Q73" t="s">
        <v>1309</v>
      </c>
      <c r="R73" t="s">
        <v>1316</v>
      </c>
      <c r="AA73">
        <v>93</v>
      </c>
      <c r="AB73" t="s">
        <v>1339</v>
      </c>
      <c r="AC73" t="s">
        <v>1323</v>
      </c>
      <c r="AD73" t="s">
        <v>1322</v>
      </c>
      <c r="AE73" t="s">
        <v>1285</v>
      </c>
      <c r="AF73">
        <v>1</v>
      </c>
      <c r="AG73">
        <v>53.01</v>
      </c>
      <c r="AH73">
        <v>1</v>
      </c>
      <c r="AI73" t="s">
        <v>373</v>
      </c>
      <c r="AJ73" t="s">
        <v>1309</v>
      </c>
      <c r="AK73" t="s">
        <v>1309</v>
      </c>
      <c r="AL73" t="s">
        <v>1316</v>
      </c>
      <c r="AM73">
        <v>7.6399999999999996E-2</v>
      </c>
      <c r="AN73" t="s">
        <v>1309</v>
      </c>
      <c r="AO73">
        <v>122.996348</v>
      </c>
    </row>
    <row r="74" spans="8:41" x14ac:dyDescent="0.35">
      <c r="H74">
        <v>19.100000000000001</v>
      </c>
      <c r="I74" t="s">
        <v>373</v>
      </c>
      <c r="J74" t="s">
        <v>1322</v>
      </c>
      <c r="K74" t="s">
        <v>1285</v>
      </c>
      <c r="L74" t="s">
        <v>1323</v>
      </c>
      <c r="O74">
        <v>0.12509999999999999</v>
      </c>
      <c r="P74" t="s">
        <v>1309</v>
      </c>
      <c r="Q74" t="s">
        <v>1316</v>
      </c>
      <c r="R74" t="s">
        <v>1316</v>
      </c>
      <c r="AA74">
        <v>94</v>
      </c>
      <c r="AB74" t="s">
        <v>1339</v>
      </c>
      <c r="AC74" t="s">
        <v>1323</v>
      </c>
      <c r="AD74" t="s">
        <v>1322</v>
      </c>
      <c r="AE74" t="s">
        <v>1285</v>
      </c>
      <c r="AF74">
        <v>1</v>
      </c>
      <c r="AG74">
        <v>53.01</v>
      </c>
      <c r="AH74">
        <v>1</v>
      </c>
      <c r="AI74" t="s">
        <v>373</v>
      </c>
      <c r="AJ74" t="s">
        <v>1309</v>
      </c>
      <c r="AK74" t="s">
        <v>1309</v>
      </c>
      <c r="AL74" t="s">
        <v>1316</v>
      </c>
      <c r="AM74">
        <v>5.9700000000000003E-2</v>
      </c>
      <c r="AN74" t="s">
        <v>1309</v>
      </c>
      <c r="AO74">
        <v>96.102429000000001</v>
      </c>
    </row>
    <row r="75" spans="8:41" x14ac:dyDescent="0.35">
      <c r="H75">
        <v>53.01</v>
      </c>
      <c r="I75" t="s">
        <v>373</v>
      </c>
      <c r="J75" t="s">
        <v>1322</v>
      </c>
      <c r="K75" t="s">
        <v>1285</v>
      </c>
      <c r="L75" t="s">
        <v>1323</v>
      </c>
      <c r="O75">
        <v>0.2384</v>
      </c>
      <c r="P75" t="s">
        <v>1309</v>
      </c>
      <c r="Q75" t="s">
        <v>1309</v>
      </c>
      <c r="R75" t="s">
        <v>1316</v>
      </c>
      <c r="AA75">
        <v>95</v>
      </c>
      <c r="AB75" t="s">
        <v>1339</v>
      </c>
      <c r="AC75" t="s">
        <v>1323</v>
      </c>
      <c r="AD75" t="s">
        <v>1322</v>
      </c>
      <c r="AE75" t="s">
        <v>1285</v>
      </c>
      <c r="AF75">
        <v>1</v>
      </c>
      <c r="AG75">
        <v>53.01</v>
      </c>
      <c r="AH75">
        <v>1</v>
      </c>
      <c r="AI75" t="s">
        <v>373</v>
      </c>
      <c r="AJ75" t="s">
        <v>1309</v>
      </c>
      <c r="AK75" t="s">
        <v>1309</v>
      </c>
      <c r="AL75" t="s">
        <v>1316</v>
      </c>
      <c r="AM75">
        <v>4.82E-2</v>
      </c>
      <c r="AN75" t="s">
        <v>1309</v>
      </c>
      <c r="AO75">
        <v>77.539083000000005</v>
      </c>
    </row>
    <row r="76" spans="8:41" x14ac:dyDescent="0.35">
      <c r="H76">
        <v>53.01</v>
      </c>
      <c r="I76" t="s">
        <v>373</v>
      </c>
      <c r="J76" t="s">
        <v>1322</v>
      </c>
      <c r="K76" t="s">
        <v>1285</v>
      </c>
      <c r="L76" t="s">
        <v>1323</v>
      </c>
      <c r="O76">
        <v>5.2299999999999999E-2</v>
      </c>
      <c r="P76" t="s">
        <v>1309</v>
      </c>
      <c r="Q76" t="s">
        <v>1309</v>
      </c>
      <c r="R76" t="s">
        <v>1316</v>
      </c>
      <c r="AA76">
        <v>96</v>
      </c>
      <c r="AB76" t="s">
        <v>1339</v>
      </c>
      <c r="AC76" t="s">
        <v>1323</v>
      </c>
      <c r="AD76" t="s">
        <v>1322</v>
      </c>
      <c r="AE76" t="s">
        <v>1285</v>
      </c>
      <c r="AF76">
        <v>1</v>
      </c>
      <c r="AG76">
        <v>53.01</v>
      </c>
      <c r="AH76">
        <v>1</v>
      </c>
      <c r="AI76" t="s">
        <v>373</v>
      </c>
      <c r="AJ76" t="s">
        <v>1309</v>
      </c>
      <c r="AK76" t="s">
        <v>1309</v>
      </c>
      <c r="AL76" t="s">
        <v>1316</v>
      </c>
      <c r="AM76">
        <v>0.1095</v>
      </c>
      <c r="AN76" t="s">
        <v>1309</v>
      </c>
      <c r="AO76">
        <v>176.14301399999999</v>
      </c>
    </row>
    <row r="77" spans="8:41" x14ac:dyDescent="0.35">
      <c r="H77">
        <v>53.01</v>
      </c>
      <c r="I77" t="s">
        <v>373</v>
      </c>
      <c r="J77" t="s">
        <v>1322</v>
      </c>
      <c r="K77" t="s">
        <v>1285</v>
      </c>
      <c r="L77" t="s">
        <v>1323</v>
      </c>
      <c r="O77">
        <v>0.19789999999999999</v>
      </c>
      <c r="P77" t="s">
        <v>1309</v>
      </c>
      <c r="Q77" t="s">
        <v>1309</v>
      </c>
      <c r="R77" t="s">
        <v>1316</v>
      </c>
      <c r="AA77">
        <v>97</v>
      </c>
      <c r="AB77" t="s">
        <v>1339</v>
      </c>
      <c r="AC77" t="s">
        <v>1323</v>
      </c>
      <c r="AD77" t="s">
        <v>1322</v>
      </c>
      <c r="AE77" t="s">
        <v>1285</v>
      </c>
      <c r="AF77">
        <v>0</v>
      </c>
      <c r="AG77">
        <v>19.100000000000001</v>
      </c>
      <c r="AH77">
        <v>0</v>
      </c>
      <c r="AI77" t="s">
        <v>373</v>
      </c>
      <c r="AJ77" t="s">
        <v>1309</v>
      </c>
      <c r="AK77" t="s">
        <v>1316</v>
      </c>
      <c r="AL77" t="s">
        <v>1316</v>
      </c>
      <c r="AM77">
        <v>0.12509999999999999</v>
      </c>
      <c r="AN77" t="s">
        <v>1309</v>
      </c>
      <c r="AO77">
        <v>201.334248</v>
      </c>
    </row>
    <row r="78" spans="8:41" x14ac:dyDescent="0.35">
      <c r="H78">
        <v>19.100000000000001</v>
      </c>
      <c r="I78" t="s">
        <v>373</v>
      </c>
      <c r="J78" t="s">
        <v>1322</v>
      </c>
      <c r="K78" t="s">
        <v>1285</v>
      </c>
      <c r="L78" t="s">
        <v>1323</v>
      </c>
      <c r="O78">
        <v>0.14779999999999999</v>
      </c>
      <c r="P78" t="s">
        <v>1309</v>
      </c>
      <c r="Q78" t="s">
        <v>1316</v>
      </c>
      <c r="R78" t="s">
        <v>1316</v>
      </c>
      <c r="AA78">
        <v>98</v>
      </c>
      <c r="AB78" t="s">
        <v>1339</v>
      </c>
      <c r="AC78" t="s">
        <v>1323</v>
      </c>
      <c r="AD78" t="s">
        <v>1322</v>
      </c>
      <c r="AE78" t="s">
        <v>1285</v>
      </c>
      <c r="AF78">
        <v>1</v>
      </c>
      <c r="AG78">
        <v>53.01</v>
      </c>
      <c r="AH78">
        <v>1</v>
      </c>
      <c r="AI78" t="s">
        <v>373</v>
      </c>
      <c r="AJ78" t="s">
        <v>1309</v>
      </c>
      <c r="AK78" t="s">
        <v>1309</v>
      </c>
      <c r="AL78" t="s">
        <v>1316</v>
      </c>
      <c r="AM78">
        <v>0.2384</v>
      </c>
      <c r="AN78" t="s">
        <v>1309</v>
      </c>
      <c r="AO78">
        <v>383.71259400000002</v>
      </c>
    </row>
    <row r="79" spans="8:41" x14ac:dyDescent="0.35">
      <c r="H79">
        <v>53.01</v>
      </c>
      <c r="I79" t="s">
        <v>373</v>
      </c>
      <c r="J79" t="s">
        <v>1322</v>
      </c>
      <c r="K79" t="s">
        <v>1285</v>
      </c>
      <c r="L79" t="s">
        <v>1323</v>
      </c>
      <c r="O79">
        <v>0.2417</v>
      </c>
      <c r="P79" t="s">
        <v>1309</v>
      </c>
      <c r="Q79" t="s">
        <v>1309</v>
      </c>
      <c r="R79" t="s">
        <v>1316</v>
      </c>
      <c r="AA79">
        <v>99</v>
      </c>
      <c r="AB79" t="s">
        <v>1339</v>
      </c>
      <c r="AC79" t="s">
        <v>1323</v>
      </c>
      <c r="AD79" t="s">
        <v>1322</v>
      </c>
      <c r="AE79" t="s">
        <v>1285</v>
      </c>
      <c r="AF79">
        <v>1</v>
      </c>
      <c r="AG79">
        <v>53.01</v>
      </c>
      <c r="AH79">
        <v>1</v>
      </c>
      <c r="AI79" t="s">
        <v>373</v>
      </c>
      <c r="AJ79" t="s">
        <v>1309</v>
      </c>
      <c r="AK79" t="s">
        <v>1309</v>
      </c>
      <c r="AL79" t="s">
        <v>1316</v>
      </c>
      <c r="AM79">
        <v>5.2299999999999999E-2</v>
      </c>
      <c r="AN79" t="s">
        <v>1309</v>
      </c>
      <c r="AO79">
        <v>84.244268000000005</v>
      </c>
    </row>
    <row r="80" spans="8:41" x14ac:dyDescent="0.35">
      <c r="H80">
        <v>53.01</v>
      </c>
      <c r="I80" t="s">
        <v>373</v>
      </c>
      <c r="J80" t="s">
        <v>1322</v>
      </c>
      <c r="K80" t="s">
        <v>1285</v>
      </c>
      <c r="L80" t="s">
        <v>1323</v>
      </c>
      <c r="O80">
        <v>5.6300000000000003E-2</v>
      </c>
      <c r="P80" t="s">
        <v>1309</v>
      </c>
      <c r="Q80" t="s">
        <v>1309</v>
      </c>
      <c r="R80" t="s">
        <v>1316</v>
      </c>
      <c r="AA80">
        <v>100</v>
      </c>
      <c r="AB80" t="s">
        <v>1339</v>
      </c>
      <c r="AC80" t="s">
        <v>1323</v>
      </c>
      <c r="AD80" t="s">
        <v>1322</v>
      </c>
      <c r="AE80" t="s">
        <v>1285</v>
      </c>
      <c r="AF80">
        <v>1</v>
      </c>
      <c r="AG80">
        <v>53.01</v>
      </c>
      <c r="AH80">
        <v>1</v>
      </c>
      <c r="AI80" t="s">
        <v>373</v>
      </c>
      <c r="AJ80" t="s">
        <v>1309</v>
      </c>
      <c r="AK80" t="s">
        <v>1309</v>
      </c>
      <c r="AL80" t="s">
        <v>1316</v>
      </c>
      <c r="AM80">
        <v>0.19789999999999999</v>
      </c>
      <c r="AN80" t="s">
        <v>1309</v>
      </c>
      <c r="AO80">
        <v>318.44501500000001</v>
      </c>
    </row>
    <row r="81" spans="8:41" x14ac:dyDescent="0.35">
      <c r="H81">
        <v>53.02</v>
      </c>
      <c r="I81" t="s">
        <v>1344</v>
      </c>
      <c r="J81" t="s">
        <v>1322</v>
      </c>
      <c r="K81" t="s">
        <v>1343</v>
      </c>
      <c r="L81" t="s">
        <v>1323</v>
      </c>
      <c r="O81">
        <v>0.46810000000000002</v>
      </c>
      <c r="P81" t="s">
        <v>1309</v>
      </c>
      <c r="Q81" t="s">
        <v>1316</v>
      </c>
      <c r="R81" t="s">
        <v>1316</v>
      </c>
      <c r="AA81">
        <v>102</v>
      </c>
      <c r="AB81" t="s">
        <v>1339</v>
      </c>
      <c r="AC81" t="s">
        <v>1323</v>
      </c>
      <c r="AD81" t="s">
        <v>1322</v>
      </c>
      <c r="AE81" t="s">
        <v>1285</v>
      </c>
      <c r="AF81">
        <v>0</v>
      </c>
      <c r="AG81">
        <v>19.100000000000001</v>
      </c>
      <c r="AH81">
        <v>0</v>
      </c>
      <c r="AI81" t="s">
        <v>373</v>
      </c>
      <c r="AJ81" t="s">
        <v>1309</v>
      </c>
      <c r="AK81" t="s">
        <v>1316</v>
      </c>
      <c r="AL81" t="s">
        <v>1316</v>
      </c>
      <c r="AM81">
        <v>0.14779999999999999</v>
      </c>
      <c r="AN81" t="s">
        <v>1309</v>
      </c>
      <c r="AO81">
        <v>237.918003</v>
      </c>
    </row>
    <row r="82" spans="8:41" x14ac:dyDescent="0.35">
      <c r="H82">
        <v>53.02</v>
      </c>
      <c r="I82" t="s">
        <v>1344</v>
      </c>
      <c r="J82" t="s">
        <v>1322</v>
      </c>
      <c r="K82" t="s">
        <v>1343</v>
      </c>
      <c r="L82" t="s">
        <v>1323</v>
      </c>
      <c r="O82">
        <v>2.0727000000000002</v>
      </c>
      <c r="P82" t="s">
        <v>1309</v>
      </c>
      <c r="Q82" t="s">
        <v>1316</v>
      </c>
      <c r="R82" t="s">
        <v>1316</v>
      </c>
      <c r="AA82">
        <v>103</v>
      </c>
      <c r="AB82" t="s">
        <v>1339</v>
      </c>
      <c r="AC82" t="s">
        <v>1323</v>
      </c>
      <c r="AD82" t="s">
        <v>1322</v>
      </c>
      <c r="AE82" t="s">
        <v>1285</v>
      </c>
      <c r="AF82">
        <v>1</v>
      </c>
      <c r="AG82">
        <v>53.01</v>
      </c>
      <c r="AH82">
        <v>1</v>
      </c>
      <c r="AI82" t="s">
        <v>373</v>
      </c>
      <c r="AJ82" t="s">
        <v>1309</v>
      </c>
      <c r="AK82" t="s">
        <v>1309</v>
      </c>
      <c r="AL82" t="s">
        <v>1316</v>
      </c>
      <c r="AM82">
        <v>0.2417</v>
      </c>
      <c r="AN82" t="s">
        <v>1309</v>
      </c>
      <c r="AO82">
        <v>389.05134900000002</v>
      </c>
    </row>
    <row r="83" spans="8:41" x14ac:dyDescent="0.35">
      <c r="H83">
        <v>53.02</v>
      </c>
      <c r="I83" t="s">
        <v>1344</v>
      </c>
      <c r="J83" t="s">
        <v>1322</v>
      </c>
      <c r="K83" t="s">
        <v>1343</v>
      </c>
      <c r="L83" t="s">
        <v>1323</v>
      </c>
      <c r="O83">
        <v>1.2056</v>
      </c>
      <c r="P83" t="s">
        <v>1309</v>
      </c>
      <c r="Q83" t="s">
        <v>1316</v>
      </c>
      <c r="R83" t="s">
        <v>1316</v>
      </c>
      <c r="AA83">
        <v>104</v>
      </c>
      <c r="AB83" t="s">
        <v>1339</v>
      </c>
      <c r="AC83" t="s">
        <v>1323</v>
      </c>
      <c r="AD83" t="s">
        <v>1322</v>
      </c>
      <c r="AE83" t="s">
        <v>1285</v>
      </c>
      <c r="AF83">
        <v>1</v>
      </c>
      <c r="AG83">
        <v>53.01</v>
      </c>
      <c r="AH83">
        <v>1</v>
      </c>
      <c r="AI83" t="s">
        <v>373</v>
      </c>
      <c r="AJ83" t="s">
        <v>1309</v>
      </c>
      <c r="AK83" t="s">
        <v>1309</v>
      </c>
      <c r="AL83" t="s">
        <v>1316</v>
      </c>
      <c r="AM83">
        <v>5.6300000000000003E-2</v>
      </c>
      <c r="AN83" t="s">
        <v>1309</v>
      </c>
      <c r="AO83">
        <v>90.666082000000003</v>
      </c>
    </row>
    <row r="84" spans="8:41" x14ac:dyDescent="0.35">
      <c r="H84">
        <v>53.02</v>
      </c>
      <c r="I84" t="s">
        <v>1344</v>
      </c>
      <c r="J84" t="s">
        <v>1322</v>
      </c>
      <c r="K84" t="s">
        <v>1343</v>
      </c>
      <c r="L84" t="s">
        <v>1323</v>
      </c>
      <c r="O84">
        <v>0.12920000000000001</v>
      </c>
      <c r="P84" t="s">
        <v>1309</v>
      </c>
      <c r="Q84" t="s">
        <v>1316</v>
      </c>
      <c r="R84" t="s">
        <v>1316</v>
      </c>
      <c r="AA84">
        <v>105</v>
      </c>
      <c r="AB84" t="s">
        <v>1339</v>
      </c>
      <c r="AC84" t="s">
        <v>1323</v>
      </c>
      <c r="AD84" t="s">
        <v>1322</v>
      </c>
      <c r="AE84" t="s">
        <v>1343</v>
      </c>
      <c r="AF84">
        <v>1</v>
      </c>
      <c r="AG84">
        <v>53.02</v>
      </c>
      <c r="AH84">
        <v>1</v>
      </c>
      <c r="AI84" t="s">
        <v>1344</v>
      </c>
      <c r="AJ84" t="s">
        <v>1309</v>
      </c>
      <c r="AK84" t="s">
        <v>1316</v>
      </c>
      <c r="AL84" t="s">
        <v>1316</v>
      </c>
      <c r="AM84">
        <v>0.46810000000000002</v>
      </c>
      <c r="AN84" t="s">
        <v>1309</v>
      </c>
      <c r="AO84">
        <v>753.36756400000002</v>
      </c>
    </row>
    <row r="85" spans="8:41" x14ac:dyDescent="0.35">
      <c r="H85">
        <v>53.02</v>
      </c>
      <c r="I85" t="s">
        <v>1344</v>
      </c>
      <c r="J85" t="s">
        <v>1322</v>
      </c>
      <c r="K85" t="s">
        <v>1343</v>
      </c>
      <c r="L85" t="s">
        <v>1323</v>
      </c>
      <c r="O85">
        <v>1.4846999999999999</v>
      </c>
      <c r="P85" t="s">
        <v>1309</v>
      </c>
      <c r="Q85" t="s">
        <v>1316</v>
      </c>
      <c r="R85" t="s">
        <v>1316</v>
      </c>
      <c r="AA85">
        <v>107</v>
      </c>
      <c r="AB85" t="s">
        <v>1339</v>
      </c>
      <c r="AC85" t="s">
        <v>1323</v>
      </c>
      <c r="AD85" t="s">
        <v>1322</v>
      </c>
      <c r="AE85" t="s">
        <v>1343</v>
      </c>
      <c r="AF85">
        <v>1</v>
      </c>
      <c r="AG85">
        <v>53.02</v>
      </c>
      <c r="AH85">
        <v>1</v>
      </c>
      <c r="AI85" t="s">
        <v>1344</v>
      </c>
      <c r="AJ85" t="s">
        <v>1309</v>
      </c>
      <c r="AK85" t="s">
        <v>1316</v>
      </c>
      <c r="AL85" t="s">
        <v>1316</v>
      </c>
      <c r="AM85">
        <v>2.0727000000000002</v>
      </c>
      <c r="AN85" t="s">
        <v>1309</v>
      </c>
      <c r="AO85">
        <v>3335.7427809999999</v>
      </c>
    </row>
    <row r="86" spans="8:41" x14ac:dyDescent="0.35">
      <c r="H86">
        <v>53.02</v>
      </c>
      <c r="I86" t="s">
        <v>1344</v>
      </c>
      <c r="J86" t="s">
        <v>1322</v>
      </c>
      <c r="K86" t="s">
        <v>1343</v>
      </c>
      <c r="L86" t="s">
        <v>1323</v>
      </c>
      <c r="O86">
        <v>0.62170000000000003</v>
      </c>
      <c r="P86" t="s">
        <v>1309</v>
      </c>
      <c r="Q86" t="s">
        <v>1316</v>
      </c>
      <c r="R86" t="s">
        <v>1316</v>
      </c>
      <c r="AA86">
        <v>109</v>
      </c>
      <c r="AB86" t="s">
        <v>1339</v>
      </c>
      <c r="AC86" t="s">
        <v>1323</v>
      </c>
      <c r="AD86" t="s">
        <v>1322</v>
      </c>
      <c r="AE86" t="s">
        <v>1343</v>
      </c>
      <c r="AF86">
        <v>1</v>
      </c>
      <c r="AG86">
        <v>53.02</v>
      </c>
      <c r="AH86">
        <v>1</v>
      </c>
      <c r="AI86" t="s">
        <v>1344</v>
      </c>
      <c r="AJ86" t="s">
        <v>1309</v>
      </c>
      <c r="AK86" t="s">
        <v>1316</v>
      </c>
      <c r="AL86" t="s">
        <v>1316</v>
      </c>
      <c r="AM86">
        <v>1.2056</v>
      </c>
      <c r="AN86" t="s">
        <v>1309</v>
      </c>
      <c r="AO86">
        <v>1940.2245009999999</v>
      </c>
    </row>
    <row r="87" spans="8:41" x14ac:dyDescent="0.35">
      <c r="H87">
        <v>53.02</v>
      </c>
      <c r="I87" t="s">
        <v>1344</v>
      </c>
      <c r="J87" t="s">
        <v>1322</v>
      </c>
      <c r="K87" t="s">
        <v>1343</v>
      </c>
      <c r="L87" t="s">
        <v>1323</v>
      </c>
      <c r="O87">
        <v>0.74660000000000004</v>
      </c>
      <c r="P87" t="s">
        <v>1309</v>
      </c>
      <c r="Q87" t="s">
        <v>1316</v>
      </c>
      <c r="R87" t="s">
        <v>1316</v>
      </c>
      <c r="AA87">
        <v>110</v>
      </c>
      <c r="AB87" t="s">
        <v>1339</v>
      </c>
      <c r="AC87" t="s">
        <v>1323</v>
      </c>
      <c r="AD87" t="s">
        <v>1322</v>
      </c>
      <c r="AE87" t="s">
        <v>1343</v>
      </c>
      <c r="AF87">
        <v>1</v>
      </c>
      <c r="AG87">
        <v>53.02</v>
      </c>
      <c r="AH87">
        <v>1</v>
      </c>
      <c r="AI87" t="s">
        <v>1344</v>
      </c>
      <c r="AJ87" t="s">
        <v>1309</v>
      </c>
      <c r="AK87" t="s">
        <v>1316</v>
      </c>
      <c r="AL87" t="s">
        <v>1316</v>
      </c>
      <c r="AM87">
        <v>0.12920000000000001</v>
      </c>
      <c r="AN87" t="s">
        <v>1309</v>
      </c>
      <c r="AO87">
        <v>208.00494499999999</v>
      </c>
    </row>
    <row r="88" spans="8:41" x14ac:dyDescent="0.35">
      <c r="H88">
        <v>53.01</v>
      </c>
      <c r="I88" t="s">
        <v>373</v>
      </c>
      <c r="J88" t="s">
        <v>1322</v>
      </c>
      <c r="K88" t="s">
        <v>1285</v>
      </c>
      <c r="L88" t="s">
        <v>1323</v>
      </c>
      <c r="O88">
        <v>0.1203</v>
      </c>
      <c r="P88" t="s">
        <v>1309</v>
      </c>
      <c r="Q88" t="s">
        <v>1309</v>
      </c>
      <c r="R88" t="s">
        <v>1316</v>
      </c>
      <c r="AA88">
        <v>111</v>
      </c>
      <c r="AB88" t="s">
        <v>1339</v>
      </c>
      <c r="AC88" t="s">
        <v>1323</v>
      </c>
      <c r="AD88" t="s">
        <v>1322</v>
      </c>
      <c r="AE88" t="s">
        <v>1343</v>
      </c>
      <c r="AF88">
        <v>1</v>
      </c>
      <c r="AG88">
        <v>53.02</v>
      </c>
      <c r="AH88">
        <v>1</v>
      </c>
      <c r="AI88" t="s">
        <v>1344</v>
      </c>
      <c r="AJ88" t="s">
        <v>1309</v>
      </c>
      <c r="AK88" t="s">
        <v>1316</v>
      </c>
      <c r="AL88" t="s">
        <v>1316</v>
      </c>
      <c r="AM88">
        <v>1.4846999999999999</v>
      </c>
      <c r="AN88" t="s">
        <v>1309</v>
      </c>
      <c r="AO88">
        <v>2389.4450059999999</v>
      </c>
    </row>
    <row r="89" spans="8:41" x14ac:dyDescent="0.35">
      <c r="H89">
        <v>53.01</v>
      </c>
      <c r="I89" t="s">
        <v>373</v>
      </c>
      <c r="J89" t="s">
        <v>1322</v>
      </c>
      <c r="K89" t="s">
        <v>1285</v>
      </c>
      <c r="L89" t="s">
        <v>1323</v>
      </c>
      <c r="O89">
        <v>0.1459</v>
      </c>
      <c r="P89" t="s">
        <v>1309</v>
      </c>
      <c r="Q89" t="s">
        <v>1309</v>
      </c>
      <c r="R89" t="s">
        <v>1316</v>
      </c>
      <c r="AA89">
        <v>112</v>
      </c>
      <c r="AB89" t="s">
        <v>1339</v>
      </c>
      <c r="AC89" t="s">
        <v>1323</v>
      </c>
      <c r="AD89" t="s">
        <v>1322</v>
      </c>
      <c r="AE89" t="s">
        <v>1343</v>
      </c>
      <c r="AF89">
        <v>1</v>
      </c>
      <c r="AG89">
        <v>53.02</v>
      </c>
      <c r="AH89">
        <v>1</v>
      </c>
      <c r="AI89" t="s">
        <v>1344</v>
      </c>
      <c r="AJ89" t="s">
        <v>1309</v>
      </c>
      <c r="AK89" t="s">
        <v>1316</v>
      </c>
      <c r="AL89" t="s">
        <v>1316</v>
      </c>
      <c r="AM89">
        <v>0.62170000000000003</v>
      </c>
      <c r="AN89" t="s">
        <v>1309</v>
      </c>
      <c r="AO89">
        <v>1000.483652</v>
      </c>
    </row>
    <row r="90" spans="8:41" x14ac:dyDescent="0.35">
      <c r="H90">
        <v>19.010000000000002</v>
      </c>
      <c r="I90" t="s">
        <v>1344</v>
      </c>
      <c r="J90" t="s">
        <v>1322</v>
      </c>
      <c r="K90" t="s">
        <v>1343</v>
      </c>
      <c r="L90" t="s">
        <v>1323</v>
      </c>
      <c r="O90">
        <v>0.15959999999999999</v>
      </c>
      <c r="P90" t="s">
        <v>1309</v>
      </c>
      <c r="Q90" t="s">
        <v>1316</v>
      </c>
      <c r="R90" t="s">
        <v>1316</v>
      </c>
      <c r="AA90">
        <v>113</v>
      </c>
      <c r="AB90" t="s">
        <v>1339</v>
      </c>
      <c r="AC90" t="s">
        <v>1323</v>
      </c>
      <c r="AD90" t="s">
        <v>1322</v>
      </c>
      <c r="AE90" t="s">
        <v>1343</v>
      </c>
      <c r="AF90">
        <v>1</v>
      </c>
      <c r="AG90">
        <v>53.02</v>
      </c>
      <c r="AH90">
        <v>1</v>
      </c>
      <c r="AI90" t="s">
        <v>1344</v>
      </c>
      <c r="AJ90" t="s">
        <v>1309</v>
      </c>
      <c r="AK90" t="s">
        <v>1316</v>
      </c>
      <c r="AL90" t="s">
        <v>1316</v>
      </c>
      <c r="AM90">
        <v>0.74660000000000004</v>
      </c>
      <c r="AN90" t="s">
        <v>1309</v>
      </c>
      <c r="AO90">
        <v>1201.6085820000001</v>
      </c>
    </row>
    <row r="91" spans="8:41" x14ac:dyDescent="0.35">
      <c r="H91">
        <v>19.010000000000002</v>
      </c>
      <c r="I91" t="s">
        <v>1348</v>
      </c>
      <c r="J91" t="s">
        <v>1322</v>
      </c>
      <c r="K91" t="s">
        <v>1343</v>
      </c>
      <c r="L91" t="s">
        <v>1323</v>
      </c>
      <c r="O91">
        <v>0.38500000000000001</v>
      </c>
      <c r="P91" t="s">
        <v>1309</v>
      </c>
      <c r="Q91" t="s">
        <v>1316</v>
      </c>
      <c r="R91" t="s">
        <v>1316</v>
      </c>
      <c r="AA91">
        <v>114</v>
      </c>
      <c r="AB91" t="s">
        <v>1339</v>
      </c>
      <c r="AC91" t="s">
        <v>1323</v>
      </c>
      <c r="AD91" t="s">
        <v>1322</v>
      </c>
      <c r="AE91" t="s">
        <v>1285</v>
      </c>
      <c r="AF91">
        <v>1</v>
      </c>
      <c r="AG91">
        <v>53.01</v>
      </c>
      <c r="AH91">
        <v>1</v>
      </c>
      <c r="AI91" t="s">
        <v>373</v>
      </c>
      <c r="AJ91" t="s">
        <v>1309</v>
      </c>
      <c r="AK91" t="s">
        <v>1309</v>
      </c>
      <c r="AL91" t="s">
        <v>1316</v>
      </c>
      <c r="AM91">
        <v>0.1203</v>
      </c>
      <c r="AN91" t="s">
        <v>1309</v>
      </c>
      <c r="AO91">
        <v>193.59669099999999</v>
      </c>
    </row>
    <row r="92" spans="8:41" x14ac:dyDescent="0.35">
      <c r="H92">
        <v>53.01</v>
      </c>
      <c r="I92" t="s">
        <v>1349</v>
      </c>
      <c r="J92" t="s">
        <v>1322</v>
      </c>
      <c r="K92" t="s">
        <v>1285</v>
      </c>
      <c r="L92" t="s">
        <v>1342</v>
      </c>
      <c r="O92">
        <v>0.49719999999999998</v>
      </c>
      <c r="P92" t="s">
        <v>1309</v>
      </c>
      <c r="Q92" t="s">
        <v>1316</v>
      </c>
      <c r="R92" t="s">
        <v>1316</v>
      </c>
      <c r="AA92">
        <v>115</v>
      </c>
      <c r="AB92" t="s">
        <v>1339</v>
      </c>
      <c r="AC92" t="s">
        <v>1323</v>
      </c>
      <c r="AD92" t="s">
        <v>1322</v>
      </c>
      <c r="AE92" t="s">
        <v>1285</v>
      </c>
      <c r="AF92">
        <v>1</v>
      </c>
      <c r="AG92">
        <v>53.01</v>
      </c>
      <c r="AH92">
        <v>1</v>
      </c>
      <c r="AI92" t="s">
        <v>373</v>
      </c>
      <c r="AJ92" t="s">
        <v>1309</v>
      </c>
      <c r="AK92" t="s">
        <v>1309</v>
      </c>
      <c r="AL92" t="s">
        <v>1316</v>
      </c>
      <c r="AM92">
        <v>0.1459</v>
      </c>
      <c r="AN92" t="s">
        <v>1309</v>
      </c>
      <c r="AO92">
        <v>234.854851</v>
      </c>
    </row>
    <row r="93" spans="8:41" x14ac:dyDescent="0.35">
      <c r="H93">
        <v>53.01</v>
      </c>
      <c r="I93" t="s">
        <v>1350</v>
      </c>
      <c r="J93" t="s">
        <v>1322</v>
      </c>
      <c r="K93" t="s">
        <v>1285</v>
      </c>
      <c r="L93" t="s">
        <v>1342</v>
      </c>
      <c r="O93">
        <v>0.48959999999999998</v>
      </c>
      <c r="P93" t="s">
        <v>1309</v>
      </c>
      <c r="Q93" t="s">
        <v>1316</v>
      </c>
      <c r="R93" t="s">
        <v>1316</v>
      </c>
      <c r="AA93">
        <v>125</v>
      </c>
      <c r="AB93" t="s">
        <v>1339</v>
      </c>
      <c r="AC93" t="s">
        <v>1323</v>
      </c>
      <c r="AD93" t="s">
        <v>1322</v>
      </c>
      <c r="AE93" t="s">
        <v>1343</v>
      </c>
      <c r="AF93">
        <v>1</v>
      </c>
      <c r="AG93">
        <v>19.010000000000002</v>
      </c>
      <c r="AH93">
        <v>1</v>
      </c>
      <c r="AI93" t="s">
        <v>1344</v>
      </c>
      <c r="AJ93" t="s">
        <v>1309</v>
      </c>
      <c r="AK93" t="s">
        <v>1316</v>
      </c>
      <c r="AL93" t="s">
        <v>1316</v>
      </c>
      <c r="AM93">
        <v>0.15959999999999999</v>
      </c>
      <c r="AN93" t="s">
        <v>1309</v>
      </c>
      <c r="AO93">
        <v>256.835013</v>
      </c>
    </row>
    <row r="94" spans="8:41" x14ac:dyDescent="0.35">
      <c r="H94">
        <v>53.01</v>
      </c>
      <c r="I94" t="s">
        <v>1344</v>
      </c>
      <c r="J94" t="s">
        <v>1322</v>
      </c>
      <c r="K94" t="s">
        <v>1285</v>
      </c>
      <c r="L94" t="s">
        <v>1342</v>
      </c>
      <c r="O94">
        <v>1.2617</v>
      </c>
      <c r="P94" t="s">
        <v>1309</v>
      </c>
      <c r="Q94" t="s">
        <v>1316</v>
      </c>
      <c r="R94" t="s">
        <v>1316</v>
      </c>
      <c r="AA94">
        <v>127</v>
      </c>
      <c r="AB94" t="s">
        <v>1339</v>
      </c>
      <c r="AC94" t="s">
        <v>1323</v>
      </c>
      <c r="AD94" t="s">
        <v>1322</v>
      </c>
      <c r="AE94" t="s">
        <v>1343</v>
      </c>
      <c r="AF94">
        <v>1</v>
      </c>
      <c r="AG94">
        <v>19.010000000000002</v>
      </c>
      <c r="AH94">
        <v>1</v>
      </c>
      <c r="AI94" t="s">
        <v>1348</v>
      </c>
      <c r="AJ94" t="s">
        <v>1309</v>
      </c>
      <c r="AK94" t="s">
        <v>1316</v>
      </c>
      <c r="AL94" t="s">
        <v>1316</v>
      </c>
      <c r="AM94">
        <v>0.38500000000000001</v>
      </c>
      <c r="AN94" t="s">
        <v>1309</v>
      </c>
      <c r="AO94">
        <v>619.660123</v>
      </c>
    </row>
    <row r="95" spans="8:41" x14ac:dyDescent="0.35">
      <c r="H95" t="s">
        <v>1309</v>
      </c>
      <c r="I95" t="s">
        <v>1348</v>
      </c>
      <c r="J95" t="s">
        <v>1322</v>
      </c>
      <c r="K95" t="s">
        <v>1285</v>
      </c>
      <c r="L95" t="s">
        <v>1342</v>
      </c>
      <c r="O95">
        <v>1.6999999999999999E-3</v>
      </c>
      <c r="P95" t="s">
        <v>1309</v>
      </c>
      <c r="Q95" t="s">
        <v>1316</v>
      </c>
      <c r="R95" t="s">
        <v>1316</v>
      </c>
      <c r="AA95">
        <v>128</v>
      </c>
      <c r="AB95" t="s">
        <v>1339</v>
      </c>
      <c r="AC95" t="s">
        <v>1342</v>
      </c>
      <c r="AD95" t="s">
        <v>1322</v>
      </c>
      <c r="AE95" t="s">
        <v>1285</v>
      </c>
      <c r="AF95">
        <v>1</v>
      </c>
      <c r="AG95">
        <v>53.01</v>
      </c>
      <c r="AH95">
        <v>1</v>
      </c>
      <c r="AI95" t="s">
        <v>1349</v>
      </c>
      <c r="AJ95" t="s">
        <v>1309</v>
      </c>
      <c r="AK95" t="s">
        <v>1316</v>
      </c>
      <c r="AL95" t="s">
        <v>1316</v>
      </c>
      <c r="AM95">
        <v>0.49719999999999998</v>
      </c>
      <c r="AN95" t="s">
        <v>1309</v>
      </c>
      <c r="AO95">
        <v>800.20036800000003</v>
      </c>
    </row>
    <row r="96" spans="8:41" x14ac:dyDescent="0.35">
      <c r="H96">
        <v>53.01</v>
      </c>
      <c r="I96" t="s">
        <v>1350</v>
      </c>
      <c r="J96" t="s">
        <v>1322</v>
      </c>
      <c r="K96" t="s">
        <v>1285</v>
      </c>
      <c r="L96" t="s">
        <v>1342</v>
      </c>
      <c r="O96">
        <v>0.73819999999999997</v>
      </c>
      <c r="P96" t="s">
        <v>1309</v>
      </c>
      <c r="Q96" t="s">
        <v>1316</v>
      </c>
      <c r="R96" t="s">
        <v>1316</v>
      </c>
      <c r="AA96">
        <v>129</v>
      </c>
      <c r="AB96" t="s">
        <v>1339</v>
      </c>
      <c r="AC96" t="s">
        <v>1342</v>
      </c>
      <c r="AD96" t="s">
        <v>1322</v>
      </c>
      <c r="AE96" t="s">
        <v>1285</v>
      </c>
      <c r="AF96">
        <v>1</v>
      </c>
      <c r="AG96">
        <v>53.01</v>
      </c>
      <c r="AH96">
        <v>1</v>
      </c>
      <c r="AI96" t="s">
        <v>1350</v>
      </c>
      <c r="AJ96" t="s">
        <v>1309</v>
      </c>
      <c r="AK96" t="s">
        <v>1316</v>
      </c>
      <c r="AL96" t="s">
        <v>1316</v>
      </c>
      <c r="AM96">
        <v>0.48959999999999998</v>
      </c>
      <c r="AN96" t="s">
        <v>1309</v>
      </c>
      <c r="AO96">
        <v>787.88807599999996</v>
      </c>
    </row>
    <row r="97" spans="7:41" x14ac:dyDescent="0.35">
      <c r="H97">
        <v>53.01</v>
      </c>
      <c r="I97" t="s">
        <v>1349</v>
      </c>
      <c r="J97" t="s">
        <v>1322</v>
      </c>
      <c r="K97" t="s">
        <v>1285</v>
      </c>
      <c r="L97" t="s">
        <v>1342</v>
      </c>
      <c r="O97">
        <v>0.84470000000000001</v>
      </c>
      <c r="P97" t="s">
        <v>1309</v>
      </c>
      <c r="Q97" t="s">
        <v>1316</v>
      </c>
      <c r="R97" t="s">
        <v>1316</v>
      </c>
      <c r="AA97">
        <v>130</v>
      </c>
      <c r="AB97" t="s">
        <v>1339</v>
      </c>
      <c r="AC97" t="s">
        <v>1342</v>
      </c>
      <c r="AD97" t="s">
        <v>1322</v>
      </c>
      <c r="AE97" t="s">
        <v>1285</v>
      </c>
      <c r="AF97">
        <v>1</v>
      </c>
      <c r="AG97">
        <v>53.01</v>
      </c>
      <c r="AH97">
        <v>1</v>
      </c>
      <c r="AI97" t="s">
        <v>1344</v>
      </c>
      <c r="AJ97" t="s">
        <v>1309</v>
      </c>
      <c r="AK97" t="s">
        <v>1316</v>
      </c>
      <c r="AL97" t="s">
        <v>1316</v>
      </c>
      <c r="AM97">
        <v>1.2617</v>
      </c>
      <c r="AN97" t="s">
        <v>1309</v>
      </c>
      <c r="AO97">
        <v>2030.5032309999999</v>
      </c>
    </row>
    <row r="98" spans="7:41" x14ac:dyDescent="0.35">
      <c r="H98">
        <v>53.01</v>
      </c>
      <c r="I98" t="s">
        <v>1349</v>
      </c>
      <c r="J98" t="s">
        <v>1322</v>
      </c>
      <c r="K98" t="s">
        <v>1285</v>
      </c>
      <c r="L98" t="s">
        <v>1342</v>
      </c>
      <c r="O98">
        <v>0.39689999999999998</v>
      </c>
      <c r="P98" t="s">
        <v>1309</v>
      </c>
      <c r="Q98" t="s">
        <v>1316</v>
      </c>
      <c r="R98" t="s">
        <v>1316</v>
      </c>
      <c r="AA98">
        <v>131</v>
      </c>
      <c r="AB98" t="s">
        <v>1339</v>
      </c>
      <c r="AC98" t="s">
        <v>1342</v>
      </c>
      <c r="AD98" t="s">
        <v>1322</v>
      </c>
      <c r="AE98" t="s">
        <v>1285</v>
      </c>
      <c r="AF98">
        <v>0</v>
      </c>
      <c r="AG98" t="s">
        <v>1309</v>
      </c>
      <c r="AH98">
        <v>0</v>
      </c>
      <c r="AI98" t="s">
        <v>1348</v>
      </c>
      <c r="AJ98" t="s">
        <v>1309</v>
      </c>
      <c r="AK98" t="s">
        <v>1316</v>
      </c>
      <c r="AL98" t="s">
        <v>1316</v>
      </c>
      <c r="AM98">
        <v>1.6999999999999999E-3</v>
      </c>
      <c r="AN98" t="s">
        <v>1309</v>
      </c>
      <c r="AO98">
        <v>2.7168380000000001</v>
      </c>
    </row>
    <row r="99" spans="7:41" x14ac:dyDescent="0.35">
      <c r="H99" t="s">
        <v>1309</v>
      </c>
      <c r="I99" t="s">
        <v>373</v>
      </c>
      <c r="J99" t="s">
        <v>1322</v>
      </c>
      <c r="K99" t="s">
        <v>1285</v>
      </c>
      <c r="L99" t="s">
        <v>1342</v>
      </c>
      <c r="O99">
        <v>0.59099999999999997</v>
      </c>
      <c r="P99" t="s">
        <v>1309</v>
      </c>
      <c r="Q99" t="s">
        <v>1316</v>
      </c>
      <c r="R99" t="s">
        <v>1316</v>
      </c>
      <c r="AA99">
        <v>132</v>
      </c>
      <c r="AB99" t="s">
        <v>1339</v>
      </c>
      <c r="AC99" t="s">
        <v>1342</v>
      </c>
      <c r="AD99" t="s">
        <v>1322</v>
      </c>
      <c r="AE99" t="s">
        <v>1285</v>
      </c>
      <c r="AF99">
        <v>1</v>
      </c>
      <c r="AG99">
        <v>53.01</v>
      </c>
      <c r="AH99">
        <v>1</v>
      </c>
      <c r="AI99" t="s">
        <v>1350</v>
      </c>
      <c r="AJ99" t="s">
        <v>1309</v>
      </c>
      <c r="AK99" t="s">
        <v>1316</v>
      </c>
      <c r="AL99" t="s">
        <v>1316</v>
      </c>
      <c r="AM99">
        <v>0.73819999999999997</v>
      </c>
      <c r="AN99" t="s">
        <v>1309</v>
      </c>
      <c r="AO99">
        <v>1187.9518660000001</v>
      </c>
    </row>
    <row r="100" spans="7:41" x14ac:dyDescent="0.35">
      <c r="H100" t="s">
        <v>1309</v>
      </c>
      <c r="I100" t="s">
        <v>373</v>
      </c>
      <c r="J100" t="s">
        <v>1322</v>
      </c>
      <c r="K100" t="s">
        <v>1285</v>
      </c>
      <c r="L100" t="s">
        <v>1342</v>
      </c>
      <c r="O100">
        <v>1.4638</v>
      </c>
      <c r="P100" t="s">
        <v>1309</v>
      </c>
      <c r="Q100" t="s">
        <v>1316</v>
      </c>
      <c r="R100" t="s">
        <v>1316</v>
      </c>
      <c r="AA100">
        <v>133</v>
      </c>
      <c r="AB100" t="s">
        <v>1339</v>
      </c>
      <c r="AC100" t="s">
        <v>1342</v>
      </c>
      <c r="AD100" t="s">
        <v>1322</v>
      </c>
      <c r="AE100" t="s">
        <v>1285</v>
      </c>
      <c r="AF100">
        <v>1</v>
      </c>
      <c r="AG100">
        <v>53.01</v>
      </c>
      <c r="AH100">
        <v>1</v>
      </c>
      <c r="AI100" t="s">
        <v>1349</v>
      </c>
      <c r="AJ100" t="s">
        <v>1309</v>
      </c>
      <c r="AK100" t="s">
        <v>1316</v>
      </c>
      <c r="AL100" t="s">
        <v>1316</v>
      </c>
      <c r="AM100">
        <v>0.84470000000000001</v>
      </c>
      <c r="AN100" t="s">
        <v>1309</v>
      </c>
      <c r="AO100">
        <v>1359.3601550000001</v>
      </c>
    </row>
    <row r="101" spans="7:41" x14ac:dyDescent="0.35">
      <c r="H101" t="s">
        <v>1309</v>
      </c>
      <c r="I101" t="s">
        <v>373</v>
      </c>
      <c r="J101" t="s">
        <v>1322</v>
      </c>
      <c r="K101" t="s">
        <v>1285</v>
      </c>
      <c r="L101" t="s">
        <v>1342</v>
      </c>
      <c r="O101">
        <v>0.99399999999999999</v>
      </c>
      <c r="P101" t="s">
        <v>1309</v>
      </c>
      <c r="Q101" t="s">
        <v>1316</v>
      </c>
      <c r="R101" t="s">
        <v>1316</v>
      </c>
      <c r="AA101">
        <v>134</v>
      </c>
      <c r="AB101" t="s">
        <v>1339</v>
      </c>
      <c r="AC101" t="s">
        <v>1342</v>
      </c>
      <c r="AD101" t="s">
        <v>1322</v>
      </c>
      <c r="AE101" t="s">
        <v>1285</v>
      </c>
      <c r="AF101">
        <v>1</v>
      </c>
      <c r="AG101">
        <v>53.01</v>
      </c>
      <c r="AH101">
        <v>1</v>
      </c>
      <c r="AI101" t="s">
        <v>1349</v>
      </c>
      <c r="AJ101" t="s">
        <v>1309</v>
      </c>
      <c r="AK101" t="s">
        <v>1316</v>
      </c>
      <c r="AL101" t="s">
        <v>1316</v>
      </c>
      <c r="AM101">
        <v>0.39689999999999998</v>
      </c>
      <c r="AN101" t="s">
        <v>1309</v>
      </c>
      <c r="AO101">
        <v>638.67015300000003</v>
      </c>
    </row>
    <row r="102" spans="7:41" x14ac:dyDescent="0.35">
      <c r="H102">
        <v>53.02</v>
      </c>
      <c r="I102" t="s">
        <v>1344</v>
      </c>
      <c r="J102" t="s">
        <v>1322</v>
      </c>
      <c r="K102" t="s">
        <v>1343</v>
      </c>
      <c r="L102" t="s">
        <v>1323</v>
      </c>
      <c r="O102">
        <v>1.0411999999999999</v>
      </c>
      <c r="P102" t="s">
        <v>1309</v>
      </c>
      <c r="Q102" t="s">
        <v>1316</v>
      </c>
      <c r="R102" t="s">
        <v>1316</v>
      </c>
      <c r="AA102">
        <v>135</v>
      </c>
      <c r="AB102" t="s">
        <v>1339</v>
      </c>
      <c r="AC102" t="s">
        <v>1342</v>
      </c>
      <c r="AD102" t="s">
        <v>1322</v>
      </c>
      <c r="AE102" t="s">
        <v>1285</v>
      </c>
      <c r="AF102">
        <v>0</v>
      </c>
      <c r="AG102" t="s">
        <v>1309</v>
      </c>
      <c r="AH102">
        <v>0</v>
      </c>
      <c r="AI102" t="s">
        <v>373</v>
      </c>
      <c r="AJ102" t="s">
        <v>1309</v>
      </c>
      <c r="AK102" t="s">
        <v>1316</v>
      </c>
      <c r="AL102" t="s">
        <v>1316</v>
      </c>
      <c r="AM102">
        <v>0.59099999999999997</v>
      </c>
      <c r="AN102" t="s">
        <v>1309</v>
      </c>
      <c r="AO102">
        <v>951.10131999999999</v>
      </c>
    </row>
    <row r="103" spans="7:41" x14ac:dyDescent="0.35">
      <c r="H103" t="s">
        <v>1309</v>
      </c>
      <c r="I103" t="s">
        <v>373</v>
      </c>
      <c r="J103" t="s">
        <v>1322</v>
      </c>
      <c r="K103" t="s">
        <v>1285</v>
      </c>
      <c r="L103" t="s">
        <v>1342</v>
      </c>
      <c r="O103">
        <v>1.3271999999999999</v>
      </c>
      <c r="P103" t="s">
        <v>1309</v>
      </c>
      <c r="Q103" t="s">
        <v>1316</v>
      </c>
      <c r="R103" t="s">
        <v>1316</v>
      </c>
      <c r="AA103">
        <v>136</v>
      </c>
      <c r="AB103" t="s">
        <v>1339</v>
      </c>
      <c r="AC103" t="s">
        <v>1342</v>
      </c>
      <c r="AD103" t="s">
        <v>1322</v>
      </c>
      <c r="AE103" t="s">
        <v>1285</v>
      </c>
      <c r="AF103">
        <v>0</v>
      </c>
      <c r="AG103" t="s">
        <v>1309</v>
      </c>
      <c r="AH103">
        <v>0</v>
      </c>
      <c r="AI103" t="s">
        <v>373</v>
      </c>
      <c r="AJ103" t="s">
        <v>1309</v>
      </c>
      <c r="AK103" t="s">
        <v>1316</v>
      </c>
      <c r="AL103" t="s">
        <v>1316</v>
      </c>
      <c r="AM103">
        <v>1.4638</v>
      </c>
      <c r="AN103" t="s">
        <v>1309</v>
      </c>
      <c r="AO103">
        <v>2355.7127359999999</v>
      </c>
    </row>
    <row r="104" spans="7:41" x14ac:dyDescent="0.35">
      <c r="H104">
        <v>53.01</v>
      </c>
      <c r="I104" t="s">
        <v>1348</v>
      </c>
      <c r="J104" t="s">
        <v>1322</v>
      </c>
      <c r="K104" t="s">
        <v>1285</v>
      </c>
      <c r="L104" t="s">
        <v>1342</v>
      </c>
      <c r="O104">
        <v>0.15229999999999999</v>
      </c>
      <c r="P104" t="s">
        <v>1309</v>
      </c>
      <c r="Q104" t="s">
        <v>1316</v>
      </c>
      <c r="R104" t="s">
        <v>1316</v>
      </c>
      <c r="AA104">
        <v>137</v>
      </c>
      <c r="AB104" t="s">
        <v>1339</v>
      </c>
      <c r="AC104" t="s">
        <v>1342</v>
      </c>
      <c r="AD104" t="s">
        <v>1322</v>
      </c>
      <c r="AE104" t="s">
        <v>1285</v>
      </c>
      <c r="AF104">
        <v>0</v>
      </c>
      <c r="AG104" t="s">
        <v>1309</v>
      </c>
      <c r="AH104">
        <v>0</v>
      </c>
      <c r="AI104" t="s">
        <v>373</v>
      </c>
      <c r="AJ104" t="s">
        <v>1309</v>
      </c>
      <c r="AK104" t="s">
        <v>1316</v>
      </c>
      <c r="AL104" t="s">
        <v>1316</v>
      </c>
      <c r="AM104">
        <v>0.99399999999999999</v>
      </c>
      <c r="AN104" t="s">
        <v>1309</v>
      </c>
      <c r="AO104">
        <v>1599.680012</v>
      </c>
    </row>
    <row r="105" spans="7:41" x14ac:dyDescent="0.35">
      <c r="H105" t="s">
        <v>1309</v>
      </c>
      <c r="I105" t="s">
        <v>1348</v>
      </c>
      <c r="J105" t="s">
        <v>1322</v>
      </c>
      <c r="K105" t="s">
        <v>1285</v>
      </c>
      <c r="L105" t="s">
        <v>1342</v>
      </c>
      <c r="O105">
        <v>0.505</v>
      </c>
      <c r="P105" t="s">
        <v>1309</v>
      </c>
      <c r="Q105" t="s">
        <v>1316</v>
      </c>
      <c r="R105" t="s">
        <v>1316</v>
      </c>
      <c r="AA105">
        <v>141</v>
      </c>
      <c r="AB105" t="s">
        <v>1339</v>
      </c>
      <c r="AC105" t="s">
        <v>1323</v>
      </c>
      <c r="AD105" t="s">
        <v>1322</v>
      </c>
      <c r="AE105" t="s">
        <v>1343</v>
      </c>
      <c r="AF105">
        <v>1</v>
      </c>
      <c r="AG105">
        <v>53.02</v>
      </c>
      <c r="AH105">
        <v>1</v>
      </c>
      <c r="AI105" t="s">
        <v>1344</v>
      </c>
      <c r="AJ105" t="s">
        <v>1309</v>
      </c>
      <c r="AK105" t="s">
        <v>1316</v>
      </c>
      <c r="AL105" t="s">
        <v>1316</v>
      </c>
      <c r="AM105">
        <v>1.0411999999999999</v>
      </c>
      <c r="AN105" t="s">
        <v>1309</v>
      </c>
      <c r="AO105">
        <v>1675.7239589999999</v>
      </c>
    </row>
    <row r="106" spans="7:41" x14ac:dyDescent="0.35">
      <c r="H106">
        <v>53.01</v>
      </c>
      <c r="I106" t="s">
        <v>1349</v>
      </c>
      <c r="J106" t="s">
        <v>1322</v>
      </c>
      <c r="K106" t="s">
        <v>1285</v>
      </c>
      <c r="L106" t="s">
        <v>1342</v>
      </c>
      <c r="O106">
        <v>0.43099999999999999</v>
      </c>
      <c r="P106" t="s">
        <v>1309</v>
      </c>
      <c r="Q106" t="s">
        <v>1316</v>
      </c>
      <c r="R106" t="s">
        <v>1316</v>
      </c>
      <c r="AA106">
        <v>142</v>
      </c>
      <c r="AB106" t="s">
        <v>1339</v>
      </c>
      <c r="AC106" t="s">
        <v>1342</v>
      </c>
      <c r="AD106" t="s">
        <v>1322</v>
      </c>
      <c r="AE106" t="s">
        <v>1285</v>
      </c>
      <c r="AF106">
        <v>0</v>
      </c>
      <c r="AG106" t="s">
        <v>1309</v>
      </c>
      <c r="AH106">
        <v>0</v>
      </c>
      <c r="AI106" t="s">
        <v>373</v>
      </c>
      <c r="AJ106" t="s">
        <v>1309</v>
      </c>
      <c r="AK106" t="s">
        <v>1316</v>
      </c>
      <c r="AL106" t="s">
        <v>1316</v>
      </c>
      <c r="AM106">
        <v>1.3271999999999999</v>
      </c>
      <c r="AN106" t="s">
        <v>1309</v>
      </c>
      <c r="AO106">
        <v>2135.9466379999999</v>
      </c>
    </row>
    <row r="107" spans="7:41" x14ac:dyDescent="0.35">
      <c r="H107">
        <v>53.01</v>
      </c>
      <c r="I107" t="s">
        <v>373</v>
      </c>
      <c r="J107" t="s">
        <v>1322</v>
      </c>
      <c r="K107" t="s">
        <v>1285</v>
      </c>
      <c r="L107" t="s">
        <v>1342</v>
      </c>
      <c r="O107">
        <v>0.28129999999999999</v>
      </c>
      <c r="P107" t="s">
        <v>1309</v>
      </c>
      <c r="Q107" t="s">
        <v>1316</v>
      </c>
      <c r="R107" t="s">
        <v>1316</v>
      </c>
      <c r="AA107">
        <v>145</v>
      </c>
      <c r="AB107" t="s">
        <v>1339</v>
      </c>
      <c r="AC107" t="s">
        <v>1342</v>
      </c>
      <c r="AD107" t="s">
        <v>1322</v>
      </c>
      <c r="AE107" t="s">
        <v>1285</v>
      </c>
      <c r="AF107">
        <v>1</v>
      </c>
      <c r="AG107">
        <v>53.01</v>
      </c>
      <c r="AH107">
        <v>1</v>
      </c>
      <c r="AI107" t="s">
        <v>1348</v>
      </c>
      <c r="AJ107" t="s">
        <v>1309</v>
      </c>
      <c r="AK107" t="s">
        <v>1316</v>
      </c>
      <c r="AL107" t="s">
        <v>1316</v>
      </c>
      <c r="AM107">
        <v>0.15229999999999999</v>
      </c>
      <c r="AN107" t="s">
        <v>1309</v>
      </c>
      <c r="AO107">
        <v>245.038747</v>
      </c>
    </row>
    <row r="108" spans="7:41" x14ac:dyDescent="0.35">
      <c r="H108">
        <v>53.01</v>
      </c>
      <c r="I108" t="s">
        <v>1348</v>
      </c>
      <c r="J108" t="s">
        <v>1322</v>
      </c>
      <c r="K108" t="s">
        <v>1285</v>
      </c>
      <c r="L108" t="s">
        <v>1342</v>
      </c>
      <c r="O108">
        <v>0.1066</v>
      </c>
      <c r="P108" t="s">
        <v>1309</v>
      </c>
      <c r="Q108" t="s">
        <v>1316</v>
      </c>
      <c r="R108" t="s">
        <v>1316</v>
      </c>
      <c r="AA108">
        <v>146</v>
      </c>
      <c r="AB108" t="s">
        <v>1339</v>
      </c>
      <c r="AC108" t="s">
        <v>1342</v>
      </c>
      <c r="AD108" t="s">
        <v>1322</v>
      </c>
      <c r="AE108" t="s">
        <v>1285</v>
      </c>
      <c r="AF108">
        <v>0</v>
      </c>
      <c r="AG108" t="s">
        <v>1309</v>
      </c>
      <c r="AH108">
        <v>0</v>
      </c>
      <c r="AI108" t="s">
        <v>1348</v>
      </c>
      <c r="AJ108" t="s">
        <v>1309</v>
      </c>
      <c r="AK108" t="s">
        <v>1316</v>
      </c>
      <c r="AL108" t="s">
        <v>1316</v>
      </c>
      <c r="AM108">
        <v>0.505</v>
      </c>
      <c r="AN108" t="s">
        <v>1309</v>
      </c>
      <c r="AO108">
        <v>812.66871600000002</v>
      </c>
    </row>
    <row r="109" spans="7:41" x14ac:dyDescent="0.35">
      <c r="G109" s="2" t="s">
        <v>1351</v>
      </c>
      <c r="H109">
        <v>19.02</v>
      </c>
      <c r="I109" t="s">
        <v>1344</v>
      </c>
      <c r="J109" t="s">
        <v>1322</v>
      </c>
      <c r="K109" t="s">
        <v>1285</v>
      </c>
      <c r="L109" t="s">
        <v>1323</v>
      </c>
      <c r="O109">
        <v>1.2605999999999999</v>
      </c>
      <c r="P109" t="s">
        <v>1309</v>
      </c>
      <c r="Q109" t="s">
        <v>1299</v>
      </c>
      <c r="R109" t="s">
        <v>1299</v>
      </c>
      <c r="AA109">
        <v>147</v>
      </c>
      <c r="AB109" t="s">
        <v>1339</v>
      </c>
      <c r="AC109" t="s">
        <v>1342</v>
      </c>
      <c r="AD109" t="s">
        <v>1322</v>
      </c>
      <c r="AE109" t="s">
        <v>1285</v>
      </c>
      <c r="AF109">
        <v>1</v>
      </c>
      <c r="AG109">
        <v>53.01</v>
      </c>
      <c r="AH109">
        <v>1</v>
      </c>
      <c r="AI109" t="s">
        <v>1349</v>
      </c>
      <c r="AJ109" t="s">
        <v>1309</v>
      </c>
      <c r="AK109" t="s">
        <v>1316</v>
      </c>
      <c r="AL109" t="s">
        <v>1316</v>
      </c>
      <c r="AM109">
        <v>0.43099999999999999</v>
      </c>
      <c r="AN109" t="s">
        <v>1309</v>
      </c>
      <c r="AO109">
        <v>693.547011</v>
      </c>
    </row>
    <row r="110" spans="7:41" x14ac:dyDescent="0.35">
      <c r="H110">
        <v>19.02</v>
      </c>
      <c r="I110" t="s">
        <v>1350</v>
      </c>
      <c r="J110" t="s">
        <v>1322</v>
      </c>
      <c r="K110" t="s">
        <v>1285</v>
      </c>
      <c r="L110" t="s">
        <v>1323</v>
      </c>
      <c r="O110">
        <v>7.5600000000000001E-2</v>
      </c>
      <c r="P110" t="s">
        <v>1309</v>
      </c>
      <c r="Q110" t="s">
        <v>1299</v>
      </c>
      <c r="R110" t="s">
        <v>1299</v>
      </c>
      <c r="AA110">
        <v>148</v>
      </c>
      <c r="AB110" t="s">
        <v>1339</v>
      </c>
      <c r="AC110" t="s">
        <v>1342</v>
      </c>
      <c r="AD110" t="s">
        <v>1322</v>
      </c>
      <c r="AE110" t="s">
        <v>1285</v>
      </c>
      <c r="AF110">
        <v>1</v>
      </c>
      <c r="AG110">
        <v>53.01</v>
      </c>
      <c r="AH110">
        <v>1</v>
      </c>
      <c r="AI110" t="s">
        <v>373</v>
      </c>
      <c r="AJ110" t="s">
        <v>1309</v>
      </c>
      <c r="AK110" t="s">
        <v>1316</v>
      </c>
      <c r="AL110" t="s">
        <v>1316</v>
      </c>
      <c r="AM110">
        <v>0.28129999999999999</v>
      </c>
      <c r="AN110" t="s">
        <v>1309</v>
      </c>
      <c r="AO110">
        <v>452.77731</v>
      </c>
    </row>
    <row r="111" spans="7:41" x14ac:dyDescent="0.35">
      <c r="H111">
        <v>19.02</v>
      </c>
      <c r="I111" t="s">
        <v>1348</v>
      </c>
      <c r="J111" t="s">
        <v>1322</v>
      </c>
      <c r="K111" t="s">
        <v>1285</v>
      </c>
      <c r="L111" t="s">
        <v>1323</v>
      </c>
      <c r="O111">
        <v>5.1499999999999997E-2</v>
      </c>
      <c r="P111" t="s">
        <v>1309</v>
      </c>
      <c r="Q111" t="s">
        <v>1299</v>
      </c>
      <c r="R111" t="s">
        <v>1299</v>
      </c>
      <c r="AA111">
        <v>149</v>
      </c>
      <c r="AB111" t="s">
        <v>1339</v>
      </c>
      <c r="AC111" t="s">
        <v>1342</v>
      </c>
      <c r="AD111" t="s">
        <v>1322</v>
      </c>
      <c r="AE111" t="s">
        <v>1285</v>
      </c>
      <c r="AF111">
        <v>1</v>
      </c>
      <c r="AG111">
        <v>53.01</v>
      </c>
      <c r="AH111">
        <v>1</v>
      </c>
      <c r="AI111" t="s">
        <v>1348</v>
      </c>
      <c r="AJ111" t="s">
        <v>1309</v>
      </c>
      <c r="AK111" t="s">
        <v>1316</v>
      </c>
      <c r="AL111" t="s">
        <v>1316</v>
      </c>
      <c r="AM111">
        <v>0.1066</v>
      </c>
      <c r="AN111" t="s">
        <v>1309</v>
      </c>
      <c r="AO111">
        <v>171.62993299999999</v>
      </c>
    </row>
    <row r="112" spans="7:41" x14ac:dyDescent="0.35">
      <c r="H112">
        <v>19.02</v>
      </c>
      <c r="I112" t="s">
        <v>1350</v>
      </c>
      <c r="J112" t="s">
        <v>1322</v>
      </c>
      <c r="K112" t="s">
        <v>1285</v>
      </c>
      <c r="L112" t="s">
        <v>1323</v>
      </c>
      <c r="O112">
        <v>5.5500000000000001E-2</v>
      </c>
      <c r="P112" t="s">
        <v>1309</v>
      </c>
      <c r="Q112" t="s">
        <v>1299</v>
      </c>
      <c r="R112" t="s">
        <v>1299</v>
      </c>
      <c r="AA112">
        <v>18</v>
      </c>
      <c r="AB112" t="s">
        <v>1339</v>
      </c>
      <c r="AC112" t="s">
        <v>1323</v>
      </c>
      <c r="AD112" t="s">
        <v>1322</v>
      </c>
      <c r="AE112" t="s">
        <v>1285</v>
      </c>
      <c r="AF112">
        <v>1</v>
      </c>
      <c r="AG112">
        <v>19.02</v>
      </c>
      <c r="AH112">
        <v>0</v>
      </c>
      <c r="AI112" t="s">
        <v>1344</v>
      </c>
      <c r="AJ112" t="s">
        <v>1309</v>
      </c>
      <c r="AK112" t="s">
        <v>1299</v>
      </c>
      <c r="AL112" t="s">
        <v>1299</v>
      </c>
      <c r="AM112">
        <v>1.2605999999999999</v>
      </c>
      <c r="AN112" t="s">
        <v>1309</v>
      </c>
      <c r="AO112">
        <v>2028.7733519999999</v>
      </c>
    </row>
    <row r="113" spans="8:41" x14ac:dyDescent="0.35">
      <c r="H113">
        <v>19.02</v>
      </c>
      <c r="I113" t="s">
        <v>1350</v>
      </c>
      <c r="J113" t="s">
        <v>1322</v>
      </c>
      <c r="K113" t="s">
        <v>1285</v>
      </c>
      <c r="L113" t="s">
        <v>1323</v>
      </c>
      <c r="O113">
        <v>5.33E-2</v>
      </c>
      <c r="P113" t="s">
        <v>1309</v>
      </c>
      <c r="Q113" t="s">
        <v>1299</v>
      </c>
      <c r="R113" t="s">
        <v>1299</v>
      </c>
      <c r="AA113">
        <v>19</v>
      </c>
      <c r="AB113" t="s">
        <v>1339</v>
      </c>
      <c r="AC113" t="s">
        <v>1323</v>
      </c>
      <c r="AD113" t="s">
        <v>1322</v>
      </c>
      <c r="AE113" t="s">
        <v>1285</v>
      </c>
      <c r="AF113">
        <v>1</v>
      </c>
      <c r="AG113">
        <v>19.02</v>
      </c>
      <c r="AH113">
        <v>0</v>
      </c>
      <c r="AI113" t="s">
        <v>1350</v>
      </c>
      <c r="AJ113" t="s">
        <v>1309</v>
      </c>
      <c r="AK113" t="s">
        <v>1299</v>
      </c>
      <c r="AL113" t="s">
        <v>1299</v>
      </c>
      <c r="AM113">
        <v>7.5600000000000001E-2</v>
      </c>
      <c r="AN113" t="s">
        <v>1309</v>
      </c>
      <c r="AO113">
        <v>121.69696500000001</v>
      </c>
    </row>
    <row r="114" spans="8:41" x14ac:dyDescent="0.35">
      <c r="H114">
        <v>19.02</v>
      </c>
      <c r="I114" t="s">
        <v>1348</v>
      </c>
      <c r="J114" t="s">
        <v>1322</v>
      </c>
      <c r="K114" t="s">
        <v>1285</v>
      </c>
      <c r="L114" t="s">
        <v>1323</v>
      </c>
      <c r="O114">
        <v>5.1200000000000002E-2</v>
      </c>
      <c r="P114" t="s">
        <v>1309</v>
      </c>
      <c r="Q114" t="s">
        <v>1299</v>
      </c>
      <c r="R114" t="s">
        <v>1299</v>
      </c>
      <c r="AA114">
        <v>20</v>
      </c>
      <c r="AB114" t="s">
        <v>1339</v>
      </c>
      <c r="AC114" t="s">
        <v>1323</v>
      </c>
      <c r="AD114" t="s">
        <v>1322</v>
      </c>
      <c r="AE114" t="s">
        <v>1285</v>
      </c>
      <c r="AF114">
        <v>1</v>
      </c>
      <c r="AG114">
        <v>19.02</v>
      </c>
      <c r="AH114">
        <v>0</v>
      </c>
      <c r="AI114" t="s">
        <v>1348</v>
      </c>
      <c r="AJ114" t="s">
        <v>1309</v>
      </c>
      <c r="AK114" t="s">
        <v>1299</v>
      </c>
      <c r="AL114" t="s">
        <v>1299</v>
      </c>
      <c r="AM114">
        <v>5.1499999999999997E-2</v>
      </c>
      <c r="AN114" t="s">
        <v>1309</v>
      </c>
      <c r="AO114">
        <v>82.957087999999999</v>
      </c>
    </row>
    <row r="115" spans="8:41" x14ac:dyDescent="0.35">
      <c r="H115">
        <v>19.02</v>
      </c>
      <c r="I115" t="s">
        <v>1350</v>
      </c>
      <c r="J115" t="s">
        <v>1322</v>
      </c>
      <c r="K115" t="s">
        <v>1285</v>
      </c>
      <c r="L115" t="s">
        <v>1323</v>
      </c>
      <c r="O115">
        <v>5.2499999999999998E-2</v>
      </c>
      <c r="P115" t="s">
        <v>1309</v>
      </c>
      <c r="Q115" t="s">
        <v>1299</v>
      </c>
      <c r="R115" t="s">
        <v>1299</v>
      </c>
      <c r="AA115">
        <v>21</v>
      </c>
      <c r="AB115" t="s">
        <v>1339</v>
      </c>
      <c r="AC115" t="s">
        <v>1323</v>
      </c>
      <c r="AD115" t="s">
        <v>1322</v>
      </c>
      <c r="AE115" t="s">
        <v>1285</v>
      </c>
      <c r="AF115">
        <v>1</v>
      </c>
      <c r="AG115">
        <v>19.02</v>
      </c>
      <c r="AH115">
        <v>0</v>
      </c>
      <c r="AI115" t="s">
        <v>1350</v>
      </c>
      <c r="AJ115" t="s">
        <v>1309</v>
      </c>
      <c r="AK115" t="s">
        <v>1299</v>
      </c>
      <c r="AL115" t="s">
        <v>1299</v>
      </c>
      <c r="AM115">
        <v>5.5500000000000001E-2</v>
      </c>
      <c r="AN115" t="s">
        <v>1309</v>
      </c>
      <c r="AO115">
        <v>89.337182999999996</v>
      </c>
    </row>
    <row r="116" spans="8:41" x14ac:dyDescent="0.35">
      <c r="H116">
        <v>19.02</v>
      </c>
      <c r="I116" t="s">
        <v>1350</v>
      </c>
      <c r="J116" t="s">
        <v>1322</v>
      </c>
      <c r="K116" t="s">
        <v>1285</v>
      </c>
      <c r="L116" t="s">
        <v>1323</v>
      </c>
      <c r="O116">
        <v>0.53520000000000001</v>
      </c>
      <c r="P116" t="s">
        <v>1309</v>
      </c>
      <c r="Q116" t="s">
        <v>1299</v>
      </c>
      <c r="R116" t="s">
        <v>1299</v>
      </c>
      <c r="AA116">
        <v>22</v>
      </c>
      <c r="AB116" t="s">
        <v>1339</v>
      </c>
      <c r="AC116" t="s">
        <v>1323</v>
      </c>
      <c r="AD116" t="s">
        <v>1322</v>
      </c>
      <c r="AE116" t="s">
        <v>1285</v>
      </c>
      <c r="AF116">
        <v>1</v>
      </c>
      <c r="AG116">
        <v>19.02</v>
      </c>
      <c r="AH116">
        <v>0</v>
      </c>
      <c r="AI116" t="s">
        <v>1350</v>
      </c>
      <c r="AJ116" t="s">
        <v>1309</v>
      </c>
      <c r="AK116" t="s">
        <v>1299</v>
      </c>
      <c r="AL116" t="s">
        <v>1299</v>
      </c>
      <c r="AM116">
        <v>5.33E-2</v>
      </c>
      <c r="AN116" t="s">
        <v>1309</v>
      </c>
      <c r="AO116">
        <v>85.759781000000004</v>
      </c>
    </row>
    <row r="117" spans="8:41" x14ac:dyDescent="0.35">
      <c r="H117">
        <v>19.02</v>
      </c>
      <c r="I117" t="s">
        <v>1348</v>
      </c>
      <c r="J117" t="s">
        <v>1322</v>
      </c>
      <c r="K117" t="s">
        <v>1285</v>
      </c>
      <c r="L117" t="s">
        <v>1323</v>
      </c>
      <c r="O117">
        <v>5.1400000000000001E-2</v>
      </c>
      <c r="P117" t="s">
        <v>1309</v>
      </c>
      <c r="Q117" t="s">
        <v>1299</v>
      </c>
      <c r="R117" t="s">
        <v>1299</v>
      </c>
      <c r="AA117">
        <v>23</v>
      </c>
      <c r="AB117" t="s">
        <v>1339</v>
      </c>
      <c r="AC117" t="s">
        <v>1323</v>
      </c>
      <c r="AD117" t="s">
        <v>1322</v>
      </c>
      <c r="AE117" t="s">
        <v>1285</v>
      </c>
      <c r="AF117">
        <v>1</v>
      </c>
      <c r="AG117">
        <v>19.02</v>
      </c>
      <c r="AH117">
        <v>0</v>
      </c>
      <c r="AI117" t="s">
        <v>1348</v>
      </c>
      <c r="AJ117" t="s">
        <v>1309</v>
      </c>
      <c r="AK117" t="s">
        <v>1299</v>
      </c>
      <c r="AL117" t="s">
        <v>1299</v>
      </c>
      <c r="AM117">
        <v>5.1200000000000002E-2</v>
      </c>
      <c r="AN117" t="s">
        <v>1309</v>
      </c>
      <c r="AO117">
        <v>82.339320000000001</v>
      </c>
    </row>
    <row r="118" spans="8:41" x14ac:dyDescent="0.35">
      <c r="H118">
        <v>19.02</v>
      </c>
      <c r="I118" t="s">
        <v>1348</v>
      </c>
      <c r="J118" t="s">
        <v>1322</v>
      </c>
      <c r="K118" t="s">
        <v>1285</v>
      </c>
      <c r="L118" t="s">
        <v>1323</v>
      </c>
      <c r="O118">
        <v>5.1999999999999998E-2</v>
      </c>
      <c r="P118" t="s">
        <v>1309</v>
      </c>
      <c r="Q118" t="s">
        <v>1299</v>
      </c>
      <c r="R118" t="s">
        <v>1299</v>
      </c>
      <c r="AA118">
        <v>24</v>
      </c>
      <c r="AB118" t="s">
        <v>1339</v>
      </c>
      <c r="AC118" t="s">
        <v>1323</v>
      </c>
      <c r="AD118" t="s">
        <v>1322</v>
      </c>
      <c r="AE118" t="s">
        <v>1285</v>
      </c>
      <c r="AF118">
        <v>1</v>
      </c>
      <c r="AG118">
        <v>19.02</v>
      </c>
      <c r="AH118">
        <v>0</v>
      </c>
      <c r="AI118" t="s">
        <v>1350</v>
      </c>
      <c r="AJ118" t="s">
        <v>1309</v>
      </c>
      <c r="AK118" t="s">
        <v>1299</v>
      </c>
      <c r="AL118" t="s">
        <v>1299</v>
      </c>
      <c r="AM118">
        <v>5.2499999999999998E-2</v>
      </c>
      <c r="AN118" t="s">
        <v>1309</v>
      </c>
      <c r="AO118">
        <v>84.445387999999994</v>
      </c>
    </row>
    <row r="119" spans="8:41" x14ac:dyDescent="0.35">
      <c r="H119">
        <v>19.02</v>
      </c>
      <c r="I119" t="s">
        <v>1350</v>
      </c>
      <c r="J119" t="s">
        <v>1322</v>
      </c>
      <c r="K119" t="s">
        <v>1285</v>
      </c>
      <c r="L119" t="s">
        <v>1323</v>
      </c>
      <c r="O119">
        <v>5.6599999999999998E-2</v>
      </c>
      <c r="P119" t="s">
        <v>1309</v>
      </c>
      <c r="Q119" t="s">
        <v>1299</v>
      </c>
      <c r="R119" t="s">
        <v>1299</v>
      </c>
      <c r="AA119">
        <v>25</v>
      </c>
      <c r="AB119" t="s">
        <v>1339</v>
      </c>
      <c r="AC119" t="s">
        <v>1323</v>
      </c>
      <c r="AD119" t="s">
        <v>1322</v>
      </c>
      <c r="AE119" t="s">
        <v>1285</v>
      </c>
      <c r="AF119">
        <v>1</v>
      </c>
      <c r="AG119">
        <v>19.02</v>
      </c>
      <c r="AH119">
        <v>0</v>
      </c>
      <c r="AI119" t="s">
        <v>1350</v>
      </c>
      <c r="AJ119" t="s">
        <v>1309</v>
      </c>
      <c r="AK119" t="s">
        <v>1299</v>
      </c>
      <c r="AL119" t="s">
        <v>1299</v>
      </c>
      <c r="AM119">
        <v>0.53520000000000001</v>
      </c>
      <c r="AN119" t="s">
        <v>1309</v>
      </c>
      <c r="AO119">
        <v>861.25053300000002</v>
      </c>
    </row>
    <row r="120" spans="8:41" x14ac:dyDescent="0.35">
      <c r="H120">
        <v>19.02</v>
      </c>
      <c r="I120" t="s">
        <v>1350</v>
      </c>
      <c r="J120" t="s">
        <v>1322</v>
      </c>
      <c r="K120" t="s">
        <v>1285</v>
      </c>
      <c r="L120" t="s">
        <v>1323</v>
      </c>
      <c r="O120">
        <v>5.4600000000000003E-2</v>
      </c>
      <c r="P120" t="s">
        <v>1309</v>
      </c>
      <c r="Q120" t="s">
        <v>1299</v>
      </c>
      <c r="R120" t="s">
        <v>1299</v>
      </c>
      <c r="AA120">
        <v>26</v>
      </c>
      <c r="AB120" t="s">
        <v>1339</v>
      </c>
      <c r="AC120" t="s">
        <v>1323</v>
      </c>
      <c r="AD120" t="s">
        <v>1322</v>
      </c>
      <c r="AE120" t="s">
        <v>1285</v>
      </c>
      <c r="AF120">
        <v>1</v>
      </c>
      <c r="AG120">
        <v>19.02</v>
      </c>
      <c r="AH120">
        <v>0</v>
      </c>
      <c r="AI120" t="s">
        <v>1348</v>
      </c>
      <c r="AJ120" t="s">
        <v>1309</v>
      </c>
      <c r="AK120" t="s">
        <v>1299</v>
      </c>
      <c r="AL120" t="s">
        <v>1299</v>
      </c>
      <c r="AM120">
        <v>5.1400000000000001E-2</v>
      </c>
      <c r="AN120" t="s">
        <v>1309</v>
      </c>
      <c r="AO120">
        <v>82.642536000000007</v>
      </c>
    </row>
    <row r="121" spans="8:41" x14ac:dyDescent="0.35">
      <c r="H121">
        <v>19.02</v>
      </c>
      <c r="I121" t="s">
        <v>1350</v>
      </c>
      <c r="J121" t="s">
        <v>1322</v>
      </c>
      <c r="K121" t="s">
        <v>1285</v>
      </c>
      <c r="L121" t="s">
        <v>1323</v>
      </c>
      <c r="O121">
        <v>5.1700000000000003E-2</v>
      </c>
      <c r="P121" t="s">
        <v>1309</v>
      </c>
      <c r="Q121" t="s">
        <v>1299</v>
      </c>
      <c r="R121" t="s">
        <v>1299</v>
      </c>
      <c r="AA121">
        <v>27</v>
      </c>
      <c r="AB121" t="s">
        <v>1339</v>
      </c>
      <c r="AC121" t="s">
        <v>1323</v>
      </c>
      <c r="AD121" t="s">
        <v>1322</v>
      </c>
      <c r="AE121" t="s">
        <v>1285</v>
      </c>
      <c r="AF121">
        <v>1</v>
      </c>
      <c r="AG121">
        <v>19.02</v>
      </c>
      <c r="AH121">
        <v>0</v>
      </c>
      <c r="AI121" t="s">
        <v>1348</v>
      </c>
      <c r="AJ121" t="s">
        <v>1309</v>
      </c>
      <c r="AK121" t="s">
        <v>1299</v>
      </c>
      <c r="AL121" t="s">
        <v>1299</v>
      </c>
      <c r="AM121">
        <v>5.1999999999999998E-2</v>
      </c>
      <c r="AN121" t="s">
        <v>1309</v>
      </c>
      <c r="AO121">
        <v>83.682310999999999</v>
      </c>
    </row>
    <row r="122" spans="8:41" x14ac:dyDescent="0.35">
      <c r="H122">
        <v>19.02</v>
      </c>
      <c r="I122" t="s">
        <v>1348</v>
      </c>
      <c r="J122" t="s">
        <v>1322</v>
      </c>
      <c r="K122" t="s">
        <v>1285</v>
      </c>
      <c r="L122" t="s">
        <v>1323</v>
      </c>
      <c r="O122">
        <v>4.9299999999999997E-2</v>
      </c>
      <c r="P122" t="s">
        <v>1309</v>
      </c>
      <c r="Q122" t="s">
        <v>1299</v>
      </c>
      <c r="R122" t="s">
        <v>1299</v>
      </c>
      <c r="AA122">
        <v>28</v>
      </c>
      <c r="AB122" t="s">
        <v>1339</v>
      </c>
      <c r="AC122" t="s">
        <v>1323</v>
      </c>
      <c r="AD122" t="s">
        <v>1322</v>
      </c>
      <c r="AE122" t="s">
        <v>1285</v>
      </c>
      <c r="AF122">
        <v>1</v>
      </c>
      <c r="AG122">
        <v>19.02</v>
      </c>
      <c r="AH122">
        <v>0</v>
      </c>
      <c r="AI122" t="s">
        <v>1350</v>
      </c>
      <c r="AJ122" t="s">
        <v>1309</v>
      </c>
      <c r="AK122" t="s">
        <v>1299</v>
      </c>
      <c r="AL122" t="s">
        <v>1299</v>
      </c>
      <c r="AM122">
        <v>5.6599999999999998E-2</v>
      </c>
      <c r="AN122" t="s">
        <v>1309</v>
      </c>
      <c r="AO122">
        <v>91.153454999999994</v>
      </c>
    </row>
    <row r="123" spans="8:41" x14ac:dyDescent="0.35">
      <c r="H123">
        <v>19.02</v>
      </c>
      <c r="I123" t="s">
        <v>1348</v>
      </c>
      <c r="J123" t="s">
        <v>1322</v>
      </c>
      <c r="K123" t="s">
        <v>1285</v>
      </c>
      <c r="L123" t="s">
        <v>1323</v>
      </c>
      <c r="O123">
        <v>4.8300000000000003E-2</v>
      </c>
      <c r="P123" t="s">
        <v>1309</v>
      </c>
      <c r="Q123" t="s">
        <v>1299</v>
      </c>
      <c r="R123" t="s">
        <v>1299</v>
      </c>
      <c r="AA123">
        <v>29</v>
      </c>
      <c r="AB123" t="s">
        <v>1339</v>
      </c>
      <c r="AC123" t="s">
        <v>1323</v>
      </c>
      <c r="AD123" t="s">
        <v>1322</v>
      </c>
      <c r="AE123" t="s">
        <v>1285</v>
      </c>
      <c r="AF123">
        <v>1</v>
      </c>
      <c r="AG123">
        <v>19.02</v>
      </c>
      <c r="AH123">
        <v>0</v>
      </c>
      <c r="AI123" t="s">
        <v>1350</v>
      </c>
      <c r="AJ123" t="s">
        <v>1309</v>
      </c>
      <c r="AK123" t="s">
        <v>1299</v>
      </c>
      <c r="AL123" t="s">
        <v>1299</v>
      </c>
      <c r="AM123">
        <v>5.4600000000000003E-2</v>
      </c>
      <c r="AN123" t="s">
        <v>1309</v>
      </c>
      <c r="AO123">
        <v>87.919567999999998</v>
      </c>
    </row>
    <row r="124" spans="8:41" x14ac:dyDescent="0.35">
      <c r="H124">
        <v>19.02</v>
      </c>
      <c r="I124" t="s">
        <v>1348</v>
      </c>
      <c r="J124" t="s">
        <v>1322</v>
      </c>
      <c r="K124" t="s">
        <v>1285</v>
      </c>
      <c r="L124" t="s">
        <v>1323</v>
      </c>
      <c r="O124">
        <v>4.9500000000000002E-2</v>
      </c>
      <c r="P124" t="s">
        <v>1309</v>
      </c>
      <c r="Q124" t="s">
        <v>1299</v>
      </c>
      <c r="R124" t="s">
        <v>1299</v>
      </c>
      <c r="AA124">
        <v>30</v>
      </c>
      <c r="AB124" t="s">
        <v>1339</v>
      </c>
      <c r="AC124" t="s">
        <v>1323</v>
      </c>
      <c r="AD124" t="s">
        <v>1322</v>
      </c>
      <c r="AE124" t="s">
        <v>1285</v>
      </c>
      <c r="AF124">
        <v>1</v>
      </c>
      <c r="AG124">
        <v>19.02</v>
      </c>
      <c r="AH124">
        <v>0</v>
      </c>
      <c r="AI124" t="s">
        <v>1350</v>
      </c>
      <c r="AJ124" t="s">
        <v>1309</v>
      </c>
      <c r="AK124" t="s">
        <v>1299</v>
      </c>
      <c r="AL124" t="s">
        <v>1299</v>
      </c>
      <c r="AM124">
        <v>5.1700000000000003E-2</v>
      </c>
      <c r="AN124" t="s">
        <v>1309</v>
      </c>
      <c r="AO124">
        <v>83.254338000000004</v>
      </c>
    </row>
    <row r="125" spans="8:41" x14ac:dyDescent="0.35">
      <c r="H125">
        <v>19.02</v>
      </c>
      <c r="I125" t="s">
        <v>1348</v>
      </c>
      <c r="J125" t="s">
        <v>1322</v>
      </c>
      <c r="K125" t="s">
        <v>1285</v>
      </c>
      <c r="L125" t="s">
        <v>1323</v>
      </c>
      <c r="O125">
        <v>4.99E-2</v>
      </c>
      <c r="P125" t="s">
        <v>1309</v>
      </c>
      <c r="Q125" t="s">
        <v>1299</v>
      </c>
      <c r="R125" t="s">
        <v>1299</v>
      </c>
      <c r="AA125">
        <v>32</v>
      </c>
      <c r="AB125" t="s">
        <v>1339</v>
      </c>
      <c r="AC125" t="s">
        <v>1323</v>
      </c>
      <c r="AD125" t="s">
        <v>1322</v>
      </c>
      <c r="AE125" t="s">
        <v>1285</v>
      </c>
      <c r="AF125">
        <v>1</v>
      </c>
      <c r="AG125">
        <v>19.02</v>
      </c>
      <c r="AH125">
        <v>0</v>
      </c>
      <c r="AI125" t="s">
        <v>1348</v>
      </c>
      <c r="AJ125" t="s">
        <v>1309</v>
      </c>
      <c r="AK125" t="s">
        <v>1299</v>
      </c>
      <c r="AL125" t="s">
        <v>1299</v>
      </c>
      <c r="AM125">
        <v>4.9299999999999997E-2</v>
      </c>
      <c r="AN125" t="s">
        <v>1309</v>
      </c>
      <c r="AO125">
        <v>79.282554000000005</v>
      </c>
    </row>
    <row r="126" spans="8:41" x14ac:dyDescent="0.35">
      <c r="H126">
        <v>19.02</v>
      </c>
      <c r="I126" t="s">
        <v>1348</v>
      </c>
      <c r="J126" t="s">
        <v>1322</v>
      </c>
      <c r="K126" t="s">
        <v>1285</v>
      </c>
      <c r="L126" t="s">
        <v>1323</v>
      </c>
      <c r="O126">
        <v>4.8500000000000001E-2</v>
      </c>
      <c r="P126" t="s">
        <v>1309</v>
      </c>
      <c r="Q126" t="s">
        <v>1299</v>
      </c>
      <c r="R126" t="s">
        <v>1299</v>
      </c>
      <c r="AA126">
        <v>34</v>
      </c>
      <c r="AB126" t="s">
        <v>1339</v>
      </c>
      <c r="AC126" t="s">
        <v>1323</v>
      </c>
      <c r="AD126" t="s">
        <v>1322</v>
      </c>
      <c r="AE126" t="s">
        <v>1285</v>
      </c>
      <c r="AF126">
        <v>1</v>
      </c>
      <c r="AG126">
        <v>19.02</v>
      </c>
      <c r="AH126">
        <v>0</v>
      </c>
      <c r="AI126" t="s">
        <v>1348</v>
      </c>
      <c r="AJ126" t="s">
        <v>1309</v>
      </c>
      <c r="AK126" t="s">
        <v>1299</v>
      </c>
      <c r="AL126" t="s">
        <v>1299</v>
      </c>
      <c r="AM126">
        <v>4.8300000000000003E-2</v>
      </c>
      <c r="AN126" t="s">
        <v>1309</v>
      </c>
      <c r="AO126">
        <v>77.680974000000006</v>
      </c>
    </row>
    <row r="127" spans="8:41" x14ac:dyDescent="0.35">
      <c r="H127">
        <v>19.02</v>
      </c>
      <c r="I127" t="s">
        <v>1348</v>
      </c>
      <c r="J127" t="s">
        <v>1322</v>
      </c>
      <c r="K127" t="s">
        <v>1285</v>
      </c>
      <c r="L127" t="s">
        <v>1323</v>
      </c>
      <c r="O127">
        <v>4.9399999999999999E-2</v>
      </c>
      <c r="P127" t="s">
        <v>1309</v>
      </c>
      <c r="Q127" t="s">
        <v>1299</v>
      </c>
      <c r="R127" t="s">
        <v>1299</v>
      </c>
      <c r="AA127">
        <v>35</v>
      </c>
      <c r="AB127" t="s">
        <v>1339</v>
      </c>
      <c r="AC127" t="s">
        <v>1323</v>
      </c>
      <c r="AD127" t="s">
        <v>1322</v>
      </c>
      <c r="AE127" t="s">
        <v>1285</v>
      </c>
      <c r="AF127">
        <v>1</v>
      </c>
      <c r="AG127">
        <v>19.02</v>
      </c>
      <c r="AH127">
        <v>0</v>
      </c>
      <c r="AI127" t="s">
        <v>1348</v>
      </c>
      <c r="AJ127" t="s">
        <v>1309</v>
      </c>
      <c r="AK127" t="s">
        <v>1299</v>
      </c>
      <c r="AL127" t="s">
        <v>1299</v>
      </c>
      <c r="AM127">
        <v>4.9500000000000002E-2</v>
      </c>
      <c r="AN127" t="s">
        <v>1309</v>
      </c>
      <c r="AO127">
        <v>79.655777999999998</v>
      </c>
    </row>
    <row r="128" spans="8:41" x14ac:dyDescent="0.35">
      <c r="H128">
        <v>19.02</v>
      </c>
      <c r="I128" t="s">
        <v>1348</v>
      </c>
      <c r="J128" t="s">
        <v>1322</v>
      </c>
      <c r="K128" t="s">
        <v>1285</v>
      </c>
      <c r="L128" t="s">
        <v>1323</v>
      </c>
      <c r="O128">
        <v>5.11E-2</v>
      </c>
      <c r="P128" t="s">
        <v>1309</v>
      </c>
      <c r="Q128" t="s">
        <v>1299</v>
      </c>
      <c r="R128" t="s">
        <v>1299</v>
      </c>
      <c r="AA128">
        <v>36</v>
      </c>
      <c r="AB128" t="s">
        <v>1339</v>
      </c>
      <c r="AC128" t="s">
        <v>1323</v>
      </c>
      <c r="AD128" t="s">
        <v>1322</v>
      </c>
      <c r="AE128" t="s">
        <v>1285</v>
      </c>
      <c r="AF128">
        <v>1</v>
      </c>
      <c r="AG128">
        <v>19.02</v>
      </c>
      <c r="AH128">
        <v>0</v>
      </c>
      <c r="AI128" t="s">
        <v>1348</v>
      </c>
      <c r="AJ128" t="s">
        <v>1309</v>
      </c>
      <c r="AK128" t="s">
        <v>1299</v>
      </c>
      <c r="AL128" t="s">
        <v>1299</v>
      </c>
      <c r="AM128">
        <v>4.99E-2</v>
      </c>
      <c r="AN128" t="s">
        <v>1309</v>
      </c>
      <c r="AO128">
        <v>80.336511000000002</v>
      </c>
    </row>
    <row r="129" spans="8:41" x14ac:dyDescent="0.35">
      <c r="H129">
        <v>19.02</v>
      </c>
      <c r="I129" t="s">
        <v>1348</v>
      </c>
      <c r="J129" t="s">
        <v>1322</v>
      </c>
      <c r="K129" t="s">
        <v>1285</v>
      </c>
      <c r="L129" t="s">
        <v>1323</v>
      </c>
      <c r="O129">
        <v>5.2499999999999998E-2</v>
      </c>
      <c r="P129" t="s">
        <v>1309</v>
      </c>
      <c r="Q129" t="s">
        <v>1299</v>
      </c>
      <c r="R129" t="s">
        <v>1299</v>
      </c>
      <c r="AA129">
        <v>37</v>
      </c>
      <c r="AB129" t="s">
        <v>1339</v>
      </c>
      <c r="AC129" t="s">
        <v>1323</v>
      </c>
      <c r="AD129" t="s">
        <v>1322</v>
      </c>
      <c r="AE129" t="s">
        <v>1285</v>
      </c>
      <c r="AF129">
        <v>1</v>
      </c>
      <c r="AG129">
        <v>19.02</v>
      </c>
      <c r="AH129">
        <v>0</v>
      </c>
      <c r="AI129" t="s">
        <v>1348</v>
      </c>
      <c r="AJ129" t="s">
        <v>1309</v>
      </c>
      <c r="AK129" t="s">
        <v>1299</v>
      </c>
      <c r="AL129" t="s">
        <v>1299</v>
      </c>
      <c r="AM129">
        <v>4.8500000000000001E-2</v>
      </c>
      <c r="AN129" t="s">
        <v>1309</v>
      </c>
      <c r="AO129">
        <v>78.113838000000001</v>
      </c>
    </row>
    <row r="130" spans="8:41" x14ac:dyDescent="0.35">
      <c r="H130">
        <v>19.02</v>
      </c>
      <c r="I130" t="s">
        <v>1348</v>
      </c>
      <c r="J130" t="s">
        <v>1322</v>
      </c>
      <c r="K130" t="s">
        <v>1285</v>
      </c>
      <c r="L130" t="s">
        <v>1323</v>
      </c>
      <c r="O130">
        <v>5.0500000000000003E-2</v>
      </c>
      <c r="P130" t="s">
        <v>1309</v>
      </c>
      <c r="Q130" t="s">
        <v>1299</v>
      </c>
      <c r="R130" t="s">
        <v>1299</v>
      </c>
      <c r="AA130">
        <v>38</v>
      </c>
      <c r="AB130" t="s">
        <v>1339</v>
      </c>
      <c r="AC130" t="s">
        <v>1323</v>
      </c>
      <c r="AD130" t="s">
        <v>1322</v>
      </c>
      <c r="AE130" t="s">
        <v>1285</v>
      </c>
      <c r="AF130">
        <v>1</v>
      </c>
      <c r="AG130">
        <v>19.02</v>
      </c>
      <c r="AH130">
        <v>0</v>
      </c>
      <c r="AI130" t="s">
        <v>1348</v>
      </c>
      <c r="AJ130" t="s">
        <v>1309</v>
      </c>
      <c r="AK130" t="s">
        <v>1299</v>
      </c>
      <c r="AL130" t="s">
        <v>1299</v>
      </c>
      <c r="AM130">
        <v>4.9399999999999999E-2</v>
      </c>
      <c r="AN130" t="s">
        <v>1309</v>
      </c>
      <c r="AO130">
        <v>79.529899</v>
      </c>
    </row>
    <row r="131" spans="8:41" x14ac:dyDescent="0.35">
      <c r="H131">
        <v>19.02</v>
      </c>
      <c r="I131" t="s">
        <v>1348</v>
      </c>
      <c r="J131" t="s">
        <v>1322</v>
      </c>
      <c r="K131" t="s">
        <v>1285</v>
      </c>
      <c r="L131" t="s">
        <v>1323</v>
      </c>
      <c r="O131">
        <v>5.1499999999999997E-2</v>
      </c>
      <c r="P131" t="s">
        <v>1309</v>
      </c>
      <c r="Q131" t="s">
        <v>1299</v>
      </c>
      <c r="R131" t="s">
        <v>1299</v>
      </c>
      <c r="AA131">
        <v>39</v>
      </c>
      <c r="AB131" t="s">
        <v>1339</v>
      </c>
      <c r="AC131" t="s">
        <v>1323</v>
      </c>
      <c r="AD131" t="s">
        <v>1322</v>
      </c>
      <c r="AE131" t="s">
        <v>1285</v>
      </c>
      <c r="AF131">
        <v>1</v>
      </c>
      <c r="AG131">
        <v>19.02</v>
      </c>
      <c r="AH131">
        <v>0</v>
      </c>
      <c r="AI131" t="s">
        <v>1348</v>
      </c>
      <c r="AJ131" t="s">
        <v>1309</v>
      </c>
      <c r="AK131" t="s">
        <v>1299</v>
      </c>
      <c r="AL131" t="s">
        <v>1299</v>
      </c>
      <c r="AM131">
        <v>5.11E-2</v>
      </c>
      <c r="AN131" t="s">
        <v>1309</v>
      </c>
      <c r="AO131">
        <v>82.241467</v>
      </c>
    </row>
    <row r="132" spans="8:41" x14ac:dyDescent="0.35">
      <c r="H132">
        <v>19.02</v>
      </c>
      <c r="I132" t="s">
        <v>1344</v>
      </c>
      <c r="J132" t="s">
        <v>1322</v>
      </c>
      <c r="K132" t="s">
        <v>1285</v>
      </c>
      <c r="L132" t="s">
        <v>1323</v>
      </c>
      <c r="O132">
        <v>0.25409999999999999</v>
      </c>
      <c r="P132" t="s">
        <v>1309</v>
      </c>
      <c r="Q132" t="s">
        <v>1299</v>
      </c>
      <c r="R132" t="s">
        <v>1299</v>
      </c>
      <c r="AA132">
        <v>40</v>
      </c>
      <c r="AB132" t="s">
        <v>1339</v>
      </c>
      <c r="AC132" t="s">
        <v>1323</v>
      </c>
      <c r="AD132" t="s">
        <v>1322</v>
      </c>
      <c r="AE132" t="s">
        <v>1285</v>
      </c>
      <c r="AF132">
        <v>1</v>
      </c>
      <c r="AG132">
        <v>19.02</v>
      </c>
      <c r="AH132">
        <v>0</v>
      </c>
      <c r="AI132" t="s">
        <v>1348</v>
      </c>
      <c r="AJ132" t="s">
        <v>1309</v>
      </c>
      <c r="AK132" t="s">
        <v>1299</v>
      </c>
      <c r="AL132" t="s">
        <v>1299</v>
      </c>
      <c r="AM132">
        <v>5.2499999999999998E-2</v>
      </c>
      <c r="AN132" t="s">
        <v>1309</v>
      </c>
      <c r="AO132">
        <v>84.559824000000006</v>
      </c>
    </row>
    <row r="133" spans="8:41" x14ac:dyDescent="0.35">
      <c r="H133">
        <v>19.02</v>
      </c>
      <c r="I133" t="s">
        <v>1350</v>
      </c>
      <c r="J133" t="s">
        <v>1322</v>
      </c>
      <c r="K133" t="s">
        <v>1285</v>
      </c>
      <c r="L133" t="s">
        <v>1323</v>
      </c>
      <c r="O133">
        <v>0.1032</v>
      </c>
      <c r="P133" t="s">
        <v>1309</v>
      </c>
      <c r="Q133" t="s">
        <v>1299</v>
      </c>
      <c r="R133" t="s">
        <v>1299</v>
      </c>
      <c r="AA133">
        <v>41</v>
      </c>
      <c r="AB133" t="s">
        <v>1339</v>
      </c>
      <c r="AC133" t="s">
        <v>1323</v>
      </c>
      <c r="AD133" t="s">
        <v>1322</v>
      </c>
      <c r="AE133" t="s">
        <v>1285</v>
      </c>
      <c r="AF133">
        <v>1</v>
      </c>
      <c r="AG133">
        <v>19.02</v>
      </c>
      <c r="AH133">
        <v>0</v>
      </c>
      <c r="AI133" t="s">
        <v>1348</v>
      </c>
      <c r="AJ133" t="s">
        <v>1309</v>
      </c>
      <c r="AK133" t="s">
        <v>1299</v>
      </c>
      <c r="AL133" t="s">
        <v>1299</v>
      </c>
      <c r="AM133">
        <v>5.0500000000000003E-2</v>
      </c>
      <c r="AN133" t="s">
        <v>1309</v>
      </c>
      <c r="AO133">
        <v>81.198291999999995</v>
      </c>
    </row>
    <row r="134" spans="8:41" x14ac:dyDescent="0.35">
      <c r="H134">
        <v>19.02</v>
      </c>
      <c r="I134" t="s">
        <v>1349</v>
      </c>
      <c r="J134" t="s">
        <v>1322</v>
      </c>
      <c r="K134" t="s">
        <v>1285</v>
      </c>
      <c r="L134" t="s">
        <v>1323</v>
      </c>
      <c r="O134">
        <v>0.18260000000000001</v>
      </c>
      <c r="P134" t="s">
        <v>1309</v>
      </c>
      <c r="Q134" t="s">
        <v>1299</v>
      </c>
      <c r="R134" t="s">
        <v>1299</v>
      </c>
      <c r="AA134">
        <v>42</v>
      </c>
      <c r="AB134" t="s">
        <v>1339</v>
      </c>
      <c r="AC134" t="s">
        <v>1323</v>
      </c>
      <c r="AD134" t="s">
        <v>1322</v>
      </c>
      <c r="AE134" t="s">
        <v>1285</v>
      </c>
      <c r="AF134">
        <v>1</v>
      </c>
      <c r="AG134">
        <v>19.02</v>
      </c>
      <c r="AH134">
        <v>0</v>
      </c>
      <c r="AI134" t="s">
        <v>1348</v>
      </c>
      <c r="AJ134" t="s">
        <v>1309</v>
      </c>
      <c r="AK134" t="s">
        <v>1299</v>
      </c>
      <c r="AL134" t="s">
        <v>1299</v>
      </c>
      <c r="AM134">
        <v>5.1499999999999997E-2</v>
      </c>
      <c r="AN134" t="s">
        <v>1309</v>
      </c>
      <c r="AO134">
        <v>82.849301999999994</v>
      </c>
    </row>
    <row r="135" spans="8:41" x14ac:dyDescent="0.35">
      <c r="H135">
        <v>19.02</v>
      </c>
      <c r="I135" t="s">
        <v>1349</v>
      </c>
      <c r="J135" t="s">
        <v>1322</v>
      </c>
      <c r="K135" t="s">
        <v>1285</v>
      </c>
      <c r="L135" t="s">
        <v>1323</v>
      </c>
      <c r="O135">
        <v>5.45E-2</v>
      </c>
      <c r="P135" t="s">
        <v>1309</v>
      </c>
      <c r="Q135" t="s">
        <v>1299</v>
      </c>
      <c r="R135" t="s">
        <v>1299</v>
      </c>
      <c r="AA135">
        <v>43</v>
      </c>
      <c r="AB135" t="s">
        <v>1339</v>
      </c>
      <c r="AC135" t="s">
        <v>1323</v>
      </c>
      <c r="AD135" t="s">
        <v>1322</v>
      </c>
      <c r="AE135" t="s">
        <v>1285</v>
      </c>
      <c r="AF135">
        <v>1</v>
      </c>
      <c r="AG135">
        <v>19.02</v>
      </c>
      <c r="AH135">
        <v>0</v>
      </c>
      <c r="AI135" t="s">
        <v>1344</v>
      </c>
      <c r="AJ135" t="s">
        <v>1309</v>
      </c>
      <c r="AK135" t="s">
        <v>1299</v>
      </c>
      <c r="AL135" t="s">
        <v>1299</v>
      </c>
      <c r="AM135">
        <v>0.25409999999999999</v>
      </c>
      <c r="AN135" t="s">
        <v>1309</v>
      </c>
      <c r="AO135">
        <v>408.87367</v>
      </c>
    </row>
    <row r="136" spans="8:41" x14ac:dyDescent="0.35">
      <c r="H136">
        <v>19.02</v>
      </c>
      <c r="I136" t="s">
        <v>1349</v>
      </c>
      <c r="J136" t="s">
        <v>1322</v>
      </c>
      <c r="K136" t="s">
        <v>1285</v>
      </c>
      <c r="L136" t="s">
        <v>1323</v>
      </c>
      <c r="O136">
        <v>4.7600000000000003E-2</v>
      </c>
      <c r="P136" t="s">
        <v>1309</v>
      </c>
      <c r="Q136" t="s">
        <v>1299</v>
      </c>
      <c r="R136" t="s">
        <v>1299</v>
      </c>
      <c r="AA136">
        <v>44</v>
      </c>
      <c r="AB136" t="s">
        <v>1339</v>
      </c>
      <c r="AC136" t="s">
        <v>1323</v>
      </c>
      <c r="AD136" t="s">
        <v>1322</v>
      </c>
      <c r="AE136" t="s">
        <v>1285</v>
      </c>
      <c r="AF136">
        <v>1</v>
      </c>
      <c r="AG136">
        <v>19.02</v>
      </c>
      <c r="AH136">
        <v>0</v>
      </c>
      <c r="AI136" t="s">
        <v>1350</v>
      </c>
      <c r="AJ136" t="s">
        <v>1309</v>
      </c>
      <c r="AK136" t="s">
        <v>1299</v>
      </c>
      <c r="AL136" t="s">
        <v>1299</v>
      </c>
      <c r="AM136">
        <v>0.1032</v>
      </c>
      <c r="AN136" t="s">
        <v>1309</v>
      </c>
      <c r="AO136">
        <v>166.057693</v>
      </c>
    </row>
    <row r="137" spans="8:41" x14ac:dyDescent="0.35">
      <c r="H137">
        <v>19.02</v>
      </c>
      <c r="I137" t="s">
        <v>1349</v>
      </c>
      <c r="J137" t="s">
        <v>1322</v>
      </c>
      <c r="K137" t="s">
        <v>1285</v>
      </c>
      <c r="L137" t="s">
        <v>1323</v>
      </c>
      <c r="O137">
        <v>0.84660000000000002</v>
      </c>
      <c r="P137" t="s">
        <v>1309</v>
      </c>
      <c r="Q137" t="s">
        <v>1299</v>
      </c>
      <c r="R137" t="s">
        <v>1299</v>
      </c>
      <c r="AA137">
        <v>45</v>
      </c>
      <c r="AB137" t="s">
        <v>1339</v>
      </c>
      <c r="AC137" t="s">
        <v>1323</v>
      </c>
      <c r="AD137" t="s">
        <v>1322</v>
      </c>
      <c r="AE137" t="s">
        <v>1285</v>
      </c>
      <c r="AF137">
        <v>1</v>
      </c>
      <c r="AG137">
        <v>19.02</v>
      </c>
      <c r="AH137">
        <v>0</v>
      </c>
      <c r="AI137" t="s">
        <v>1349</v>
      </c>
      <c r="AJ137" t="s">
        <v>1309</v>
      </c>
      <c r="AK137" t="s">
        <v>1299</v>
      </c>
      <c r="AL137" t="s">
        <v>1299</v>
      </c>
      <c r="AM137">
        <v>0.18260000000000001</v>
      </c>
      <c r="AN137" t="s">
        <v>1309</v>
      </c>
      <c r="AO137">
        <v>293.893417</v>
      </c>
    </row>
    <row r="138" spans="8:41" x14ac:dyDescent="0.35">
      <c r="H138">
        <v>19.02</v>
      </c>
      <c r="I138" t="s">
        <v>1349</v>
      </c>
      <c r="J138" t="s">
        <v>1322</v>
      </c>
      <c r="K138" t="s">
        <v>1285</v>
      </c>
      <c r="L138" t="s">
        <v>1323</v>
      </c>
      <c r="O138">
        <v>5.4699999999999999E-2</v>
      </c>
      <c r="P138" t="s">
        <v>1309</v>
      </c>
      <c r="Q138" t="s">
        <v>1299</v>
      </c>
      <c r="R138" t="s">
        <v>1299</v>
      </c>
      <c r="AA138">
        <v>59</v>
      </c>
      <c r="AB138" t="s">
        <v>1339</v>
      </c>
      <c r="AC138" t="s">
        <v>1323</v>
      </c>
      <c r="AD138" t="s">
        <v>1322</v>
      </c>
      <c r="AE138" t="s">
        <v>1285</v>
      </c>
      <c r="AF138">
        <v>1</v>
      </c>
      <c r="AG138">
        <v>19.02</v>
      </c>
      <c r="AH138">
        <v>0</v>
      </c>
      <c r="AI138" t="s">
        <v>1349</v>
      </c>
      <c r="AJ138" t="s">
        <v>1309</v>
      </c>
      <c r="AK138" t="s">
        <v>1299</v>
      </c>
      <c r="AL138" t="s">
        <v>1299</v>
      </c>
      <c r="AM138">
        <v>5.45E-2</v>
      </c>
      <c r="AN138" t="s">
        <v>1309</v>
      </c>
      <c r="AO138">
        <v>87.758853000000002</v>
      </c>
    </row>
    <row r="139" spans="8:41" x14ac:dyDescent="0.35">
      <c r="H139">
        <v>19.02</v>
      </c>
      <c r="I139" t="s">
        <v>1349</v>
      </c>
      <c r="J139" t="s">
        <v>1322</v>
      </c>
      <c r="K139" t="s">
        <v>1285</v>
      </c>
      <c r="L139" t="s">
        <v>1323</v>
      </c>
      <c r="O139">
        <v>0.3926</v>
      </c>
      <c r="P139" t="s">
        <v>1309</v>
      </c>
      <c r="Q139" t="s">
        <v>1299</v>
      </c>
      <c r="R139" t="s">
        <v>1299</v>
      </c>
      <c r="AA139">
        <v>60</v>
      </c>
      <c r="AB139" t="s">
        <v>1339</v>
      </c>
      <c r="AC139" t="s">
        <v>1323</v>
      </c>
      <c r="AD139" t="s">
        <v>1322</v>
      </c>
      <c r="AE139" t="s">
        <v>1285</v>
      </c>
      <c r="AF139">
        <v>1</v>
      </c>
      <c r="AG139">
        <v>19.02</v>
      </c>
      <c r="AH139">
        <v>0</v>
      </c>
      <c r="AI139" t="s">
        <v>1349</v>
      </c>
      <c r="AJ139" t="s">
        <v>1309</v>
      </c>
      <c r="AK139" t="s">
        <v>1299</v>
      </c>
      <c r="AL139" t="s">
        <v>1299</v>
      </c>
      <c r="AM139">
        <v>4.7600000000000003E-2</v>
      </c>
      <c r="AN139" t="s">
        <v>1309</v>
      </c>
      <c r="AO139">
        <v>76.652310999999997</v>
      </c>
    </row>
    <row r="140" spans="8:41" x14ac:dyDescent="0.35">
      <c r="H140">
        <v>19.02</v>
      </c>
      <c r="I140" t="s">
        <v>1349</v>
      </c>
      <c r="J140" t="s">
        <v>1322</v>
      </c>
      <c r="K140" t="s">
        <v>1285</v>
      </c>
      <c r="L140" t="s">
        <v>1323</v>
      </c>
      <c r="O140">
        <v>0.26960000000000001</v>
      </c>
      <c r="P140" t="s">
        <v>1309</v>
      </c>
      <c r="Q140" t="s">
        <v>1299</v>
      </c>
      <c r="R140" t="s">
        <v>1299</v>
      </c>
      <c r="AA140">
        <v>62</v>
      </c>
      <c r="AB140" t="s">
        <v>1339</v>
      </c>
      <c r="AC140" t="s">
        <v>1323</v>
      </c>
      <c r="AD140" t="s">
        <v>1322</v>
      </c>
      <c r="AE140" t="s">
        <v>1285</v>
      </c>
      <c r="AF140">
        <v>1</v>
      </c>
      <c r="AG140">
        <v>19.02</v>
      </c>
      <c r="AH140">
        <v>0</v>
      </c>
      <c r="AI140" t="s">
        <v>1349</v>
      </c>
      <c r="AJ140" t="s">
        <v>1309</v>
      </c>
      <c r="AK140" t="s">
        <v>1299</v>
      </c>
      <c r="AL140" t="s">
        <v>1299</v>
      </c>
      <c r="AM140">
        <v>0.84660000000000002</v>
      </c>
      <c r="AN140" t="s">
        <v>1309</v>
      </c>
      <c r="AO140">
        <v>1362.5092219999999</v>
      </c>
    </row>
    <row r="141" spans="8:41" x14ac:dyDescent="0.35">
      <c r="H141">
        <v>19.02</v>
      </c>
      <c r="I141" t="s">
        <v>1349</v>
      </c>
      <c r="J141" t="s">
        <v>1322</v>
      </c>
      <c r="K141" t="s">
        <v>1285</v>
      </c>
      <c r="L141" t="s">
        <v>1323</v>
      </c>
      <c r="O141">
        <v>8.9599999999999999E-2</v>
      </c>
      <c r="P141" t="s">
        <v>1309</v>
      </c>
      <c r="Q141" t="s">
        <v>1299</v>
      </c>
      <c r="R141" t="s">
        <v>1299</v>
      </c>
      <c r="AA141">
        <v>67</v>
      </c>
      <c r="AB141" t="s">
        <v>1339</v>
      </c>
      <c r="AC141" t="s">
        <v>1323</v>
      </c>
      <c r="AD141" t="s">
        <v>1322</v>
      </c>
      <c r="AE141" t="s">
        <v>1285</v>
      </c>
      <c r="AF141">
        <v>1</v>
      </c>
      <c r="AG141">
        <v>19.02</v>
      </c>
      <c r="AH141">
        <v>0</v>
      </c>
      <c r="AI141" t="s">
        <v>1349</v>
      </c>
      <c r="AJ141" t="s">
        <v>1309</v>
      </c>
      <c r="AK141" t="s">
        <v>1299</v>
      </c>
      <c r="AL141" t="s">
        <v>1299</v>
      </c>
      <c r="AM141">
        <v>5.4699999999999999E-2</v>
      </c>
      <c r="AN141" t="s">
        <v>1309</v>
      </c>
      <c r="AO141">
        <v>88.006134000000003</v>
      </c>
    </row>
    <row r="142" spans="8:41" x14ac:dyDescent="0.35">
      <c r="H142">
        <v>19.02</v>
      </c>
      <c r="I142" t="s">
        <v>1349</v>
      </c>
      <c r="J142" t="s">
        <v>1322</v>
      </c>
      <c r="K142" t="s">
        <v>1285</v>
      </c>
      <c r="L142" t="s">
        <v>1323</v>
      </c>
      <c r="O142">
        <v>0.1246</v>
      </c>
      <c r="P142" t="s">
        <v>1309</v>
      </c>
      <c r="Q142" t="s">
        <v>1299</v>
      </c>
      <c r="R142" t="s">
        <v>1299</v>
      </c>
      <c r="AA142">
        <v>69</v>
      </c>
      <c r="AB142" t="s">
        <v>1339</v>
      </c>
      <c r="AC142" t="s">
        <v>1323</v>
      </c>
      <c r="AD142" t="s">
        <v>1322</v>
      </c>
      <c r="AE142" t="s">
        <v>1285</v>
      </c>
      <c r="AF142">
        <v>1</v>
      </c>
      <c r="AG142">
        <v>19.02</v>
      </c>
      <c r="AH142">
        <v>0</v>
      </c>
      <c r="AI142" t="s">
        <v>1349</v>
      </c>
      <c r="AJ142" t="s">
        <v>1309</v>
      </c>
      <c r="AK142" t="s">
        <v>1299</v>
      </c>
      <c r="AL142" t="s">
        <v>1299</v>
      </c>
      <c r="AM142">
        <v>0.3926</v>
      </c>
      <c r="AN142" t="s">
        <v>1309</v>
      </c>
      <c r="AO142">
        <v>631.749504</v>
      </c>
    </row>
    <row r="143" spans="8:41" x14ac:dyDescent="0.35">
      <c r="H143">
        <v>19.02</v>
      </c>
      <c r="I143" t="s">
        <v>1349</v>
      </c>
      <c r="J143" t="s">
        <v>1322</v>
      </c>
      <c r="K143" t="s">
        <v>1285</v>
      </c>
      <c r="L143" t="s">
        <v>1323</v>
      </c>
      <c r="O143">
        <v>9.9299999999999999E-2</v>
      </c>
      <c r="P143" t="s">
        <v>1309</v>
      </c>
      <c r="Q143" t="s">
        <v>1299</v>
      </c>
      <c r="R143" t="s">
        <v>1299</v>
      </c>
      <c r="AA143">
        <v>82</v>
      </c>
      <c r="AB143" t="s">
        <v>1339</v>
      </c>
      <c r="AC143" t="s">
        <v>1323</v>
      </c>
      <c r="AD143" t="s">
        <v>1322</v>
      </c>
      <c r="AE143" t="s">
        <v>1285</v>
      </c>
      <c r="AF143">
        <v>1</v>
      </c>
      <c r="AG143">
        <v>19.02</v>
      </c>
      <c r="AH143">
        <v>0</v>
      </c>
      <c r="AI143" t="s">
        <v>1349</v>
      </c>
      <c r="AJ143" t="s">
        <v>1309</v>
      </c>
      <c r="AK143" t="s">
        <v>1299</v>
      </c>
      <c r="AL143" t="s">
        <v>1299</v>
      </c>
      <c r="AM143">
        <v>0.26960000000000001</v>
      </c>
      <c r="AN143" t="s">
        <v>1309</v>
      </c>
      <c r="AO143">
        <v>433.89954599999999</v>
      </c>
    </row>
    <row r="144" spans="8:41" x14ac:dyDescent="0.35">
      <c r="AA144">
        <v>87</v>
      </c>
      <c r="AB144" t="s">
        <v>1339</v>
      </c>
      <c r="AC144" t="s">
        <v>1323</v>
      </c>
      <c r="AD144" t="s">
        <v>1322</v>
      </c>
      <c r="AE144" t="s">
        <v>1285</v>
      </c>
      <c r="AF144">
        <v>1</v>
      </c>
      <c r="AG144">
        <v>19.02</v>
      </c>
      <c r="AH144">
        <v>0</v>
      </c>
      <c r="AI144" t="s">
        <v>1349</v>
      </c>
      <c r="AJ144" t="s">
        <v>1309</v>
      </c>
      <c r="AK144" t="s">
        <v>1299</v>
      </c>
      <c r="AL144" t="s">
        <v>1299</v>
      </c>
      <c r="AM144">
        <v>8.9599999999999999E-2</v>
      </c>
      <c r="AN144" t="s">
        <v>1309</v>
      </c>
      <c r="AO144">
        <v>144.17807099999999</v>
      </c>
    </row>
    <row r="145" spans="27:41" x14ac:dyDescent="0.35">
      <c r="AA145">
        <v>88</v>
      </c>
      <c r="AB145" t="s">
        <v>1339</v>
      </c>
      <c r="AC145" t="s">
        <v>1323</v>
      </c>
      <c r="AD145" t="s">
        <v>1322</v>
      </c>
      <c r="AE145" t="s">
        <v>1285</v>
      </c>
      <c r="AF145">
        <v>1</v>
      </c>
      <c r="AG145">
        <v>19.02</v>
      </c>
      <c r="AH145">
        <v>0</v>
      </c>
      <c r="AI145" t="s">
        <v>1349</v>
      </c>
      <c r="AJ145" t="s">
        <v>1309</v>
      </c>
      <c r="AK145" t="s">
        <v>1299</v>
      </c>
      <c r="AL145" t="s">
        <v>1299</v>
      </c>
      <c r="AM145">
        <v>0.1246</v>
      </c>
      <c r="AN145" t="s">
        <v>1309</v>
      </c>
      <c r="AO145">
        <v>200.52586600000001</v>
      </c>
    </row>
    <row r="146" spans="27:41" x14ac:dyDescent="0.35">
      <c r="AA146">
        <v>101</v>
      </c>
      <c r="AB146" t="s">
        <v>1339</v>
      </c>
      <c r="AC146" t="s">
        <v>1323</v>
      </c>
      <c r="AD146" t="s">
        <v>1322</v>
      </c>
      <c r="AE146" t="s">
        <v>1285</v>
      </c>
      <c r="AF146">
        <v>1</v>
      </c>
      <c r="AG146">
        <v>19.02</v>
      </c>
      <c r="AH146">
        <v>0</v>
      </c>
      <c r="AI146" t="s">
        <v>1349</v>
      </c>
      <c r="AJ146" t="s">
        <v>1309</v>
      </c>
      <c r="AK146" t="s">
        <v>1299</v>
      </c>
      <c r="AL146" t="s">
        <v>1299</v>
      </c>
      <c r="AM146">
        <v>9.9299999999999999E-2</v>
      </c>
      <c r="AN146" t="s">
        <v>1309</v>
      </c>
      <c r="AO146">
        <v>159.776138</v>
      </c>
    </row>
    <row r="147" spans="27:41" x14ac:dyDescent="0.35">
      <c r="AM147" s="2"/>
    </row>
  </sheetData>
  <autoFilter ref="H7:R150" xr:uid="{351CD476-2DB6-424F-9498-FCFCE7CF787F}"/>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E5EB-87EE-4EC1-BFE4-C3586FA5D239}">
  <sheetPr>
    <tabColor theme="6"/>
  </sheetPr>
  <dimension ref="A1:AD34"/>
  <sheetViews>
    <sheetView workbookViewId="0">
      <selection activeCell="B25" sqref="B25"/>
    </sheetView>
  </sheetViews>
  <sheetFormatPr defaultRowHeight="14.5" x14ac:dyDescent="0.35"/>
  <cols>
    <col min="1" max="1" width="11.7265625" customWidth="1"/>
    <col min="2" max="2" width="10.7265625" bestFit="1" customWidth="1"/>
    <col min="3" max="3" width="26.26953125" customWidth="1"/>
    <col min="4" max="4" width="14.1796875" customWidth="1"/>
    <col min="5" max="5" width="17.81640625" customWidth="1"/>
    <col min="6" max="6" width="12.7265625" customWidth="1"/>
    <col min="16" max="16" width="43.81640625" customWidth="1"/>
    <col min="17" max="17" width="16.1796875" customWidth="1"/>
    <col min="18" max="18" width="18.1796875" customWidth="1"/>
    <col min="23" max="23" width="15" customWidth="1"/>
    <col min="24" max="24" width="15.81640625" customWidth="1"/>
    <col min="25" max="25" width="16" customWidth="1"/>
  </cols>
  <sheetData>
    <row r="1" spans="1:30" x14ac:dyDescent="0.35">
      <c r="A1" s="54" t="s">
        <v>1252</v>
      </c>
    </row>
    <row r="3" spans="1:30" x14ac:dyDescent="0.35">
      <c r="A3" s="2" t="s">
        <v>1352</v>
      </c>
      <c r="D3" s="54" t="s">
        <v>1254</v>
      </c>
    </row>
    <row r="4" spans="1:30" ht="39.5" x14ac:dyDescent="0.35">
      <c r="A4" s="237" t="s">
        <v>1255</v>
      </c>
      <c r="B4" s="237" t="s">
        <v>1256</v>
      </c>
      <c r="C4" s="238" t="s">
        <v>1168</v>
      </c>
      <c r="D4" s="238" t="s">
        <v>1257</v>
      </c>
      <c r="E4" s="238" t="s">
        <v>1258</v>
      </c>
      <c r="F4" s="238" t="s">
        <v>411</v>
      </c>
      <c r="H4" s="238" t="s">
        <v>1259</v>
      </c>
      <c r="I4" s="238" t="s">
        <v>1260</v>
      </c>
    </row>
    <row r="5" spans="1:30" x14ac:dyDescent="0.35">
      <c r="A5">
        <v>433</v>
      </c>
      <c r="B5" s="51">
        <f>_xlfn.XLOOKUP(A5, 'Model VMT by TAZ'!A:A, 'Model VMT by TAZ'!G:G, "N/A")</f>
        <v>528.70000000000005</v>
      </c>
      <c r="C5" s="51">
        <f>_xlfn.XLOOKUP(A5, 'Model VMT by TAZ'!$A:$A, 'Model VMT by TAZ'!$J:$J, "N/A")</f>
        <v>58</v>
      </c>
      <c r="D5" s="51">
        <f>_xlfn.XLOOKUP(A5,'Model Modeshare by TAZ'!$A:$A,'Model Modeshare by TAZ'!$E:$E,0)+_xlfn.XLOOKUP(A5,'Model Modeshare by TAZ'!$A:$A,'Model Modeshare by TAZ'!$F:$F,0)</f>
        <v>3360.9</v>
      </c>
      <c r="E5" s="51">
        <f>_xlfn.XLOOKUP(A5, 'Model VMT by TAZ'!$A:$A, 'Model Modeshare by TAZ'!$H:$H, "N/A")</f>
        <v>185.12</v>
      </c>
      <c r="F5" s="2" t="str">
        <f>_xlfn.XLOOKUP(A5, 'Model VMT by TAZ'!A:A, 'Model VMT by TAZ'!C:C)</f>
        <v>NO</v>
      </c>
      <c r="H5" s="33">
        <f>(SUM(D5:D78))/(SUM(C5:C78))</f>
        <v>6.6895684855887811</v>
      </c>
      <c r="I5" s="33">
        <f>(SUM(E5:E78))/(SUM(C5:C78))</f>
        <v>0.20676047074299406</v>
      </c>
    </row>
    <row r="6" spans="1:30" x14ac:dyDescent="0.35">
      <c r="A6">
        <v>434</v>
      </c>
      <c r="B6" s="51">
        <f>_xlfn.XLOOKUP(A6, 'Model VMT by TAZ'!A:A, 'Model VMT by TAZ'!G:G, "N/A")</f>
        <v>614.9</v>
      </c>
      <c r="C6" s="51">
        <f>_xlfn.XLOOKUP(A6, 'Model VMT by TAZ'!$A:$A, 'Model VMT by TAZ'!$J:$J, "N/A")</f>
        <v>60</v>
      </c>
      <c r="D6" s="51">
        <f>_xlfn.XLOOKUP(A6,'Model Modeshare by TAZ'!$A:$A,'Model Modeshare by TAZ'!$E:$E,0)+_xlfn.XLOOKUP(A6,'Model Modeshare by TAZ'!$A:$A,'Model Modeshare by TAZ'!$F:$F,0)</f>
        <v>3840.7</v>
      </c>
      <c r="E6" s="51">
        <f>_xlfn.XLOOKUP(A6, 'Model VMT by TAZ'!$A:$A, 'Model Modeshare by TAZ'!$H:$H, "N/A")</f>
        <v>153.08000000000001</v>
      </c>
      <c r="F6" s="2" t="str">
        <f>_xlfn.XLOOKUP(A6, 'Model VMT by TAZ'!A:A, 'Model VMT by TAZ'!C:C)</f>
        <v>NO</v>
      </c>
    </row>
    <row r="7" spans="1:30" ht="39.5" x14ac:dyDescent="0.35">
      <c r="A7">
        <v>435</v>
      </c>
      <c r="B7" s="51">
        <f>_xlfn.XLOOKUP(A7, 'Model VMT by TAZ'!A:A, 'Model VMT by TAZ'!G:G, "N/A")</f>
        <v>474.09</v>
      </c>
      <c r="C7" s="51">
        <f>_xlfn.XLOOKUP(A7, 'Model VMT by TAZ'!$A:$A, 'Model VMT by TAZ'!$J:$J, "N/A")</f>
        <v>50</v>
      </c>
      <c r="D7" s="51">
        <f>_xlfn.XLOOKUP(A7,'Model Modeshare by TAZ'!$A:$A,'Model Modeshare by TAZ'!$E:$E,0)+_xlfn.XLOOKUP(A7,'Model Modeshare by TAZ'!$A:$A,'Model Modeshare by TAZ'!$F:$F,0)</f>
        <v>2727.76</v>
      </c>
      <c r="E7" s="51">
        <f>_xlfn.XLOOKUP(A7, 'Model VMT by TAZ'!$A:$A, 'Model Modeshare by TAZ'!$H:$H, "N/A")</f>
        <v>93.9</v>
      </c>
      <c r="F7" s="2" t="str">
        <f>_xlfn.XLOOKUP(A7, 'Model VMT by TAZ'!A:A, 'Model VMT by TAZ'!C:C)</f>
        <v>NO</v>
      </c>
      <c r="H7" s="240" t="s">
        <v>1261</v>
      </c>
      <c r="I7" s="240" t="s">
        <v>1304</v>
      </c>
      <c r="J7" s="240" t="s">
        <v>1263</v>
      </c>
      <c r="K7" s="240" t="s">
        <v>1264</v>
      </c>
      <c r="L7" s="240" t="s">
        <v>1265</v>
      </c>
      <c r="M7" s="240" t="s">
        <v>1266</v>
      </c>
      <c r="N7" s="240" t="s">
        <v>1267</v>
      </c>
      <c r="O7" s="240" t="s">
        <v>1268</v>
      </c>
      <c r="P7" s="240" t="s">
        <v>1269</v>
      </c>
      <c r="Q7" s="240" t="s">
        <v>1270</v>
      </c>
      <c r="R7" s="240" t="s">
        <v>1271</v>
      </c>
      <c r="S7" s="240" t="s">
        <v>1272</v>
      </c>
      <c r="T7" s="240" t="s">
        <v>1273</v>
      </c>
      <c r="U7" s="240" t="s">
        <v>1274</v>
      </c>
      <c r="V7" s="240" t="s">
        <v>1275</v>
      </c>
      <c r="W7" s="240" t="s">
        <v>1276</v>
      </c>
      <c r="X7" s="240" t="s">
        <v>1305</v>
      </c>
      <c r="Y7" s="240" t="s">
        <v>1278</v>
      </c>
      <c r="Z7" s="240" t="s">
        <v>1279</v>
      </c>
      <c r="AA7" s="240" t="s">
        <v>1280</v>
      </c>
      <c r="AB7" s="240" t="s">
        <v>1281</v>
      </c>
      <c r="AC7" s="240" t="s">
        <v>1282</v>
      </c>
      <c r="AD7" s="240" t="s">
        <v>1283</v>
      </c>
    </row>
    <row r="8" spans="1:30" x14ac:dyDescent="0.35">
      <c r="A8">
        <v>436</v>
      </c>
      <c r="B8" s="51">
        <f>_xlfn.XLOOKUP(A8, 'Model VMT by TAZ'!A:A, 'Model VMT by TAZ'!G:G, "N/A")</f>
        <v>6144.93</v>
      </c>
      <c r="C8" s="51">
        <f>_xlfn.XLOOKUP(A8, 'Model VMT by TAZ'!$A:$A, 'Model VMT by TAZ'!$J:$J, "N/A")</f>
        <v>739</v>
      </c>
      <c r="D8" s="51">
        <f>_xlfn.XLOOKUP(A8,'Model Modeshare by TAZ'!$A:$A,'Model Modeshare by TAZ'!$E:$E,0)+_xlfn.XLOOKUP(A8,'Model Modeshare by TAZ'!$A:$A,'Model Modeshare by TAZ'!$F:$F,0)</f>
        <v>9094.3799999999992</v>
      </c>
      <c r="E8" s="51">
        <f>_xlfn.XLOOKUP(A8, 'Model VMT by TAZ'!$A:$A, 'Model Modeshare by TAZ'!$H:$H, "N/A")</f>
        <v>590.20000000000005</v>
      </c>
      <c r="F8" s="2" t="str">
        <f>_xlfn.XLOOKUP(A8, 'Model VMT by TAZ'!A:A, 'Model VMT by TAZ'!C:C)</f>
        <v>NO</v>
      </c>
      <c r="H8">
        <v>38.04</v>
      </c>
      <c r="I8" t="s">
        <v>375</v>
      </c>
      <c r="J8" t="s">
        <v>1284</v>
      </c>
      <c r="K8" t="s">
        <v>1285</v>
      </c>
      <c r="L8" t="s">
        <v>1353</v>
      </c>
      <c r="M8" t="s">
        <v>1354</v>
      </c>
      <c r="N8" t="s">
        <v>1355</v>
      </c>
      <c r="O8">
        <v>1.2616000000000001</v>
      </c>
      <c r="P8" t="s">
        <v>1299</v>
      </c>
      <c r="Q8" t="s">
        <v>1290</v>
      </c>
      <c r="R8" t="s">
        <v>1291</v>
      </c>
      <c r="S8">
        <v>0</v>
      </c>
      <c r="T8">
        <v>160000</v>
      </c>
      <c r="U8">
        <v>130000</v>
      </c>
      <c r="V8" t="s">
        <v>1292</v>
      </c>
      <c r="W8">
        <v>7.42</v>
      </c>
      <c r="X8">
        <v>6.851</v>
      </c>
      <c r="Y8">
        <v>3</v>
      </c>
      <c r="Z8">
        <v>0.35699999999999998</v>
      </c>
      <c r="AA8">
        <v>0.47699999999999998</v>
      </c>
      <c r="AB8">
        <v>1.8169999999999999</v>
      </c>
      <c r="AC8">
        <v>1.2</v>
      </c>
      <c r="AD8">
        <v>0</v>
      </c>
    </row>
    <row r="9" spans="1:30" x14ac:dyDescent="0.35">
      <c r="A9">
        <v>437</v>
      </c>
      <c r="B9" s="51">
        <f>_xlfn.XLOOKUP(A9, 'Model VMT by TAZ'!A:A, 'Model VMT by TAZ'!G:G, "N/A")</f>
        <v>1774.78</v>
      </c>
      <c r="C9" s="51">
        <f>_xlfn.XLOOKUP(A9, 'Model VMT by TAZ'!$A:$A, 'Model VMT by TAZ'!$J:$J, "N/A")</f>
        <v>202</v>
      </c>
      <c r="D9" s="51">
        <f>_xlfn.XLOOKUP(A9,'Model Modeshare by TAZ'!$A:$A,'Model Modeshare by TAZ'!$E:$E,0)+_xlfn.XLOOKUP(A9,'Model Modeshare by TAZ'!$A:$A,'Model Modeshare by TAZ'!$F:$F,0)</f>
        <v>4625.42</v>
      </c>
      <c r="E9" s="51">
        <f>_xlfn.XLOOKUP(A9, 'Model VMT by TAZ'!$A:$A, 'Model Modeshare by TAZ'!$H:$H, "N/A")</f>
        <v>275</v>
      </c>
      <c r="F9" s="2" t="str">
        <f>_xlfn.XLOOKUP(A9, 'Model VMT by TAZ'!A:A, 'Model VMT by TAZ'!C:C)</f>
        <v>NO</v>
      </c>
      <c r="H9">
        <v>38.049999999999997</v>
      </c>
      <c r="I9" t="s">
        <v>1356</v>
      </c>
      <c r="J9" t="s">
        <v>1284</v>
      </c>
      <c r="K9" t="s">
        <v>1285</v>
      </c>
      <c r="L9" t="s">
        <v>1353</v>
      </c>
      <c r="M9" t="s">
        <v>1357</v>
      </c>
      <c r="N9" t="s">
        <v>1358</v>
      </c>
      <c r="O9">
        <v>1.2421</v>
      </c>
      <c r="P9" t="s">
        <v>1359</v>
      </c>
      <c r="Q9" t="s">
        <v>1296</v>
      </c>
      <c r="R9" t="s">
        <v>1291</v>
      </c>
      <c r="S9">
        <v>0</v>
      </c>
      <c r="T9">
        <v>4020000</v>
      </c>
      <c r="U9">
        <v>3236668</v>
      </c>
      <c r="V9" t="s">
        <v>1292</v>
      </c>
      <c r="W9">
        <v>7.42</v>
      </c>
      <c r="X9">
        <v>8.3279999999999994</v>
      </c>
      <c r="Y9">
        <v>3</v>
      </c>
      <c r="Z9">
        <v>0.45200000000000001</v>
      </c>
      <c r="AA9">
        <v>0.36699999999999999</v>
      </c>
      <c r="AB9">
        <v>1.5089999999999999</v>
      </c>
      <c r="AC9">
        <v>2</v>
      </c>
      <c r="AD9">
        <v>1</v>
      </c>
    </row>
    <row r="10" spans="1:30" x14ac:dyDescent="0.35">
      <c r="A10">
        <v>427</v>
      </c>
      <c r="B10" s="51">
        <f>_xlfn.XLOOKUP(A10, 'Model VMT by TAZ'!A:A, 'Model VMT by TAZ'!G:G, "N/A")</f>
        <v>1172.5999999999999</v>
      </c>
      <c r="C10" s="51">
        <f>_xlfn.XLOOKUP(A10, 'Model VMT by TAZ'!$A:$A, 'Model VMT by TAZ'!$J:$J, "N/A")</f>
        <v>125</v>
      </c>
      <c r="D10" s="51">
        <f>_xlfn.XLOOKUP(A10,'Model Modeshare by TAZ'!$A:$A,'Model Modeshare by TAZ'!$E:$E,0)+_xlfn.XLOOKUP(A10,'Model Modeshare by TAZ'!$A:$A,'Model Modeshare by TAZ'!$F:$F,0)</f>
        <v>4754.58</v>
      </c>
      <c r="E10" s="51">
        <f>_xlfn.XLOOKUP(A10, 'Model VMT by TAZ'!$A:$A, 'Model Modeshare by TAZ'!$H:$H, "N/A")</f>
        <v>234.28</v>
      </c>
      <c r="F10" s="2" t="str">
        <f>_xlfn.XLOOKUP(A10, 'Model VMT by TAZ'!A:A, 'Model VMT by TAZ'!C:C)</f>
        <v>NO</v>
      </c>
    </row>
    <row r="11" spans="1:30" x14ac:dyDescent="0.35">
      <c r="A11">
        <v>519</v>
      </c>
      <c r="B11" s="51">
        <f>_xlfn.XLOOKUP(A11, 'Model VMT by TAZ'!A:A, 'Model VMT by TAZ'!G:G, "N/A")</f>
        <v>6.24</v>
      </c>
      <c r="C11" s="51">
        <f>_xlfn.XLOOKUP(A11, 'Model VMT by TAZ'!$A:$A, 'Model VMT by TAZ'!$J:$J, "N/A")</f>
        <v>7</v>
      </c>
      <c r="D11" s="51">
        <f>_xlfn.XLOOKUP(A11,'Model Modeshare by TAZ'!$A:$A,'Model Modeshare by TAZ'!$E:$E,0)+_xlfn.XLOOKUP(A11,'Model Modeshare by TAZ'!$A:$A,'Model Modeshare by TAZ'!$F:$F,0)</f>
        <v>90.14</v>
      </c>
      <c r="E11" s="51">
        <f>_xlfn.XLOOKUP(A11, 'Model VMT by TAZ'!$A:$A, 'Model Modeshare by TAZ'!$H:$H, "N/A")</f>
        <v>4.26</v>
      </c>
      <c r="F11" s="2" t="str">
        <f>_xlfn.XLOOKUP(A11, 'Model VMT by TAZ'!A:A, 'Model VMT by TAZ'!C:C)</f>
        <v>NO</v>
      </c>
      <c r="H11" s="2" t="s">
        <v>1268</v>
      </c>
    </row>
    <row r="12" spans="1:30" x14ac:dyDescent="0.35">
      <c r="A12">
        <v>429</v>
      </c>
      <c r="B12" s="51">
        <f>_xlfn.XLOOKUP(A12, 'Model VMT by TAZ'!A:A, 'Model VMT by TAZ'!G:G, "N/A")</f>
        <v>0</v>
      </c>
      <c r="C12" s="51">
        <f>_xlfn.XLOOKUP(A12, 'Model VMT by TAZ'!$A:$A, 'Model VMT by TAZ'!$J:$J, "N/A")</f>
        <v>0</v>
      </c>
      <c r="D12" s="51">
        <f>_xlfn.XLOOKUP(A12,'Model Modeshare by TAZ'!$A:$A,'Model Modeshare by TAZ'!$E:$E,0)+_xlfn.XLOOKUP(A12,'Model Modeshare by TAZ'!$A:$A,'Model Modeshare by TAZ'!$F:$F,0)</f>
        <v>12194.5</v>
      </c>
      <c r="E12" s="51">
        <f>_xlfn.XLOOKUP(A12, 'Model VMT by TAZ'!$A:$A, 'Model Modeshare by TAZ'!$H:$H, "N/A")</f>
        <v>939.44</v>
      </c>
      <c r="F12" s="2" t="str">
        <f>_xlfn.XLOOKUP(A12, 'Model VMT by TAZ'!A:A, 'Model VMT by TAZ'!C:C)</f>
        <v>NO</v>
      </c>
      <c r="H12" t="s">
        <v>1300</v>
      </c>
      <c r="I12" s="30">
        <f>O8</f>
        <v>1.2616000000000001</v>
      </c>
    </row>
    <row r="13" spans="1:30" x14ac:dyDescent="0.35">
      <c r="A13">
        <v>460</v>
      </c>
      <c r="B13" s="51">
        <f>_xlfn.XLOOKUP(A13, 'Model VMT by TAZ'!A:A, 'Model VMT by TAZ'!G:G, "N/A")</f>
        <v>10033.52</v>
      </c>
      <c r="C13" s="51">
        <f>_xlfn.XLOOKUP(A13, 'Model VMT by TAZ'!$A:$A, 'Model VMT by TAZ'!$J:$J, "N/A")</f>
        <v>1017</v>
      </c>
      <c r="D13" s="51">
        <f>_xlfn.XLOOKUP(A13,'Model Modeshare by TAZ'!$A:$A,'Model Modeshare by TAZ'!$E:$E,0)+_xlfn.XLOOKUP(A13,'Model Modeshare by TAZ'!$A:$A,'Model Modeshare by TAZ'!$F:$F,0)</f>
        <v>4114.6400000000003</v>
      </c>
      <c r="E13" s="51">
        <f>_xlfn.XLOOKUP(A13, 'Model VMT by TAZ'!$A:$A, 'Model Modeshare by TAZ'!$H:$H, "N/A")</f>
        <v>181.14</v>
      </c>
      <c r="F13" s="2" t="str">
        <f>_xlfn.XLOOKUP(A13, 'Model VMT by TAZ'!A:A, 'Model VMT by TAZ'!C:C)</f>
        <v>NO</v>
      </c>
      <c r="H13" t="s">
        <v>1301</v>
      </c>
      <c r="I13" s="30">
        <f>O9</f>
        <v>1.2421</v>
      </c>
    </row>
    <row r="14" spans="1:30" x14ac:dyDescent="0.35">
      <c r="A14">
        <v>465</v>
      </c>
      <c r="B14" s="51">
        <f>_xlfn.XLOOKUP(A14, 'Model VMT by TAZ'!A:A, 'Model VMT by TAZ'!G:G, "N/A")</f>
        <v>7380.1</v>
      </c>
      <c r="C14" s="51">
        <f>_xlfn.XLOOKUP(A14, 'Model VMT by TAZ'!$A:$A, 'Model VMT by TAZ'!$J:$J, "N/A")</f>
        <v>995</v>
      </c>
      <c r="D14" s="51">
        <f>_xlfn.XLOOKUP(A14,'Model Modeshare by TAZ'!$A:$A,'Model Modeshare by TAZ'!$E:$E,0)+_xlfn.XLOOKUP(A14,'Model Modeshare by TAZ'!$A:$A,'Model Modeshare by TAZ'!$F:$F,0)</f>
        <v>2386.88</v>
      </c>
      <c r="E14" s="51">
        <f>_xlfn.XLOOKUP(A14, 'Model VMT by TAZ'!$A:$A, 'Model Modeshare by TAZ'!$H:$H, "N/A")</f>
        <v>123.02</v>
      </c>
      <c r="F14" s="2" t="str">
        <f>_xlfn.XLOOKUP(A14, 'Model VMT by TAZ'!A:A, 'Model VMT by TAZ'!C:C)</f>
        <v>NO</v>
      </c>
      <c r="H14" s="2" t="s">
        <v>601</v>
      </c>
      <c r="I14" s="239">
        <f>SUM(I12:I13)</f>
        <v>2.5037000000000003</v>
      </c>
    </row>
    <row r="15" spans="1:30" x14ac:dyDescent="0.35">
      <c r="A15">
        <v>466</v>
      </c>
      <c r="B15" s="51">
        <f>_xlfn.XLOOKUP(A15, 'Model VMT by TAZ'!A:A, 'Model VMT by TAZ'!G:G, "N/A")</f>
        <v>13036.96</v>
      </c>
      <c r="C15" s="51">
        <f>_xlfn.XLOOKUP(A15, 'Model VMT by TAZ'!$A:$A, 'Model VMT by TAZ'!$J:$J, "N/A")</f>
        <v>1533</v>
      </c>
      <c r="D15" s="51">
        <f>_xlfn.XLOOKUP(A15,'Model Modeshare by TAZ'!$A:$A,'Model Modeshare by TAZ'!$E:$E,0)+_xlfn.XLOOKUP(A15,'Model Modeshare by TAZ'!$A:$A,'Model Modeshare by TAZ'!$F:$F,0)</f>
        <v>15372.220000000001</v>
      </c>
      <c r="E15" s="51">
        <f>_xlfn.XLOOKUP(A15, 'Model VMT by TAZ'!$A:$A, 'Model Modeshare by TAZ'!$H:$H, "N/A")</f>
        <v>761.8</v>
      </c>
      <c r="F15" s="2" t="str">
        <f>_xlfn.XLOOKUP(A15, 'Model VMT by TAZ'!A:A, 'Model VMT by TAZ'!C:C)</f>
        <v>NO</v>
      </c>
      <c r="I15" s="239"/>
    </row>
    <row r="16" spans="1:30" x14ac:dyDescent="0.35">
      <c r="A16">
        <v>497</v>
      </c>
      <c r="B16" s="51">
        <f>_xlfn.XLOOKUP(A16, 'Model VMT by TAZ'!A:A, 'Model VMT by TAZ'!G:G, "N/A")</f>
        <v>5950.45</v>
      </c>
      <c r="C16" s="51">
        <f>_xlfn.XLOOKUP(A16, 'Model VMT by TAZ'!$A:$A, 'Model VMT by TAZ'!$J:$J, "N/A")</f>
        <v>681</v>
      </c>
      <c r="D16" s="51">
        <f>_xlfn.XLOOKUP(A16,'Model Modeshare by TAZ'!$A:$A,'Model Modeshare by TAZ'!$E:$E,0)+_xlfn.XLOOKUP(A16,'Model Modeshare by TAZ'!$A:$A,'Model Modeshare by TAZ'!$F:$F,0)</f>
        <v>2718.84</v>
      </c>
      <c r="E16" s="51">
        <f>_xlfn.XLOOKUP(A16, 'Model VMT by TAZ'!$A:$A, 'Model Modeshare by TAZ'!$H:$H, "N/A")</f>
        <v>112.58</v>
      </c>
      <c r="F16" s="2" t="str">
        <f>_xlfn.XLOOKUP(A16, 'Model VMT by TAZ'!A:A, 'Model VMT by TAZ'!C:C)</f>
        <v>NO</v>
      </c>
    </row>
    <row r="17" spans="1:6" x14ac:dyDescent="0.35">
      <c r="A17">
        <v>498</v>
      </c>
      <c r="B17" s="51">
        <f>_xlfn.XLOOKUP(A17, 'Model VMT by TAZ'!A:A, 'Model VMT by TAZ'!G:G, "N/A")</f>
        <v>13172.57</v>
      </c>
      <c r="C17" s="51">
        <f>_xlfn.XLOOKUP(A17, 'Model VMT by TAZ'!$A:$A, 'Model VMT by TAZ'!$J:$J, "N/A")</f>
        <v>1625</v>
      </c>
      <c r="D17" s="51">
        <f>_xlfn.XLOOKUP(A17,'Model Modeshare by TAZ'!$A:$A,'Model Modeshare by TAZ'!$E:$E,0)+_xlfn.XLOOKUP(A17,'Model Modeshare by TAZ'!$A:$A,'Model Modeshare by TAZ'!$F:$F,0)</f>
        <v>7517.26</v>
      </c>
      <c r="E17" s="51">
        <f>_xlfn.XLOOKUP(A17, 'Model VMT by TAZ'!$A:$A, 'Model Modeshare by TAZ'!$H:$H, "N/A")</f>
        <v>332.52</v>
      </c>
      <c r="F17" s="2" t="str">
        <f>_xlfn.XLOOKUP(A17, 'Model VMT by TAZ'!A:A, 'Model VMT by TAZ'!C:C)</f>
        <v>NO</v>
      </c>
    </row>
    <row r="18" spans="1:6" x14ac:dyDescent="0.35">
      <c r="A18">
        <v>2031</v>
      </c>
      <c r="B18" s="51">
        <f>_xlfn.XLOOKUP(A18, 'Model VMT by TAZ'!A:A, 'Model VMT by TAZ'!G:G, "N/A")</f>
        <v>1083.03</v>
      </c>
      <c r="C18" s="51">
        <f>_xlfn.XLOOKUP(A18, 'Model VMT by TAZ'!$A:$A, 'Model VMT by TAZ'!$J:$J, "N/A")</f>
        <v>79</v>
      </c>
      <c r="D18" s="51">
        <f>_xlfn.XLOOKUP(A18,'Model Modeshare by TAZ'!$A:$A,'Model Modeshare by TAZ'!$E:$E,0)+_xlfn.XLOOKUP(A18,'Model Modeshare by TAZ'!$A:$A,'Model Modeshare by TAZ'!$F:$F,0)</f>
        <v>32037.42</v>
      </c>
      <c r="E18" s="51">
        <f>_xlfn.XLOOKUP(A18, 'Model VMT by TAZ'!$A:$A, 'Model Modeshare by TAZ'!$H:$H, "N/A")</f>
        <v>247.1</v>
      </c>
      <c r="F18" s="2" t="str">
        <f>_xlfn.XLOOKUP(A18, 'Model VMT by TAZ'!A:A, 'Model VMT by TAZ'!C:C)</f>
        <v>YES</v>
      </c>
    </row>
    <row r="19" spans="1:6" x14ac:dyDescent="0.35">
      <c r="A19">
        <v>2034</v>
      </c>
      <c r="B19" s="51">
        <f>_xlfn.XLOOKUP(A19, 'Model VMT by TAZ'!A:A, 'Model VMT by TAZ'!G:G, "N/A")</f>
        <v>27916.42</v>
      </c>
      <c r="C19" s="51">
        <f>_xlfn.XLOOKUP(A19, 'Model VMT by TAZ'!$A:$A, 'Model VMT by TAZ'!$J:$J, "N/A")</f>
        <v>3477</v>
      </c>
      <c r="D19" s="51">
        <f>_xlfn.XLOOKUP(A19,'Model Modeshare by TAZ'!$A:$A,'Model Modeshare by TAZ'!$E:$E,0)+_xlfn.XLOOKUP(A19,'Model Modeshare by TAZ'!$A:$A,'Model Modeshare by TAZ'!$F:$F,0)</f>
        <v>11313.44</v>
      </c>
      <c r="E19" s="51">
        <f>_xlfn.XLOOKUP(A19, 'Model VMT by TAZ'!$A:$A, 'Model Modeshare by TAZ'!$H:$H, "N/A")</f>
        <v>332.56</v>
      </c>
      <c r="F19" s="2" t="str">
        <f>_xlfn.XLOOKUP(A19, 'Model VMT by TAZ'!A:A, 'Model VMT by TAZ'!C:C)</f>
        <v>YES</v>
      </c>
    </row>
    <row r="20" spans="1:6" x14ac:dyDescent="0.35">
      <c r="A20">
        <v>2035</v>
      </c>
      <c r="B20" s="51">
        <f>_xlfn.XLOOKUP(A20, 'Model VMT by TAZ'!A:A, 'Model VMT by TAZ'!G:G, "N/A")</f>
        <v>81340.899999999994</v>
      </c>
      <c r="C20" s="51">
        <f>_xlfn.XLOOKUP(A20, 'Model VMT by TAZ'!$A:$A, 'Model VMT by TAZ'!$J:$J, "N/A")</f>
        <v>7157</v>
      </c>
      <c r="D20" s="51">
        <f>_xlfn.XLOOKUP(A20,'Model Modeshare by TAZ'!$A:$A,'Model Modeshare by TAZ'!$E:$E,0)+_xlfn.XLOOKUP(A20,'Model Modeshare by TAZ'!$A:$A,'Model Modeshare by TAZ'!$F:$F,0)</f>
        <v>27748.82</v>
      </c>
      <c r="E20" s="51">
        <f>_xlfn.XLOOKUP(A20, 'Model VMT by TAZ'!$A:$A, 'Model Modeshare by TAZ'!$H:$H, "N/A")</f>
        <v>1065.3</v>
      </c>
      <c r="F20" s="2" t="str">
        <f>_xlfn.XLOOKUP(A20, 'Model VMT by TAZ'!A:A, 'Model VMT by TAZ'!C:C)</f>
        <v>YES</v>
      </c>
    </row>
    <row r="21" spans="1:6" x14ac:dyDescent="0.35">
      <c r="A21">
        <v>2036</v>
      </c>
      <c r="B21" s="51">
        <f>_xlfn.XLOOKUP(A21, 'Model VMT by TAZ'!A:A, 'Model VMT by TAZ'!G:G, "N/A")</f>
        <v>32062.46</v>
      </c>
      <c r="C21" s="51">
        <f>_xlfn.XLOOKUP(A21, 'Model VMT by TAZ'!$A:$A, 'Model VMT by TAZ'!$J:$J, "N/A")</f>
        <v>3190</v>
      </c>
      <c r="D21" s="51">
        <f>_xlfn.XLOOKUP(A21,'Model Modeshare by TAZ'!$A:$A,'Model Modeshare by TAZ'!$E:$E,0)+_xlfn.XLOOKUP(A21,'Model Modeshare by TAZ'!$A:$A,'Model Modeshare by TAZ'!$F:$F,0)</f>
        <v>13174.88</v>
      </c>
      <c r="E21" s="51">
        <f>_xlfn.XLOOKUP(A21, 'Model VMT by TAZ'!$A:$A, 'Model Modeshare by TAZ'!$H:$H, "N/A")</f>
        <v>362.68</v>
      </c>
      <c r="F21" s="2" t="str">
        <f>_xlfn.XLOOKUP(A21, 'Model VMT by TAZ'!A:A, 'Model VMT by TAZ'!C:C)</f>
        <v>YES</v>
      </c>
    </row>
    <row r="22" spans="1:6" x14ac:dyDescent="0.35">
      <c r="A22">
        <v>2037</v>
      </c>
      <c r="B22" s="51">
        <f>_xlfn.XLOOKUP(A22, 'Model VMT by TAZ'!A:A, 'Model VMT by TAZ'!G:G, "N/A")</f>
        <v>7212.67</v>
      </c>
      <c r="C22" s="51">
        <f>_xlfn.XLOOKUP(A22, 'Model VMT by TAZ'!$A:$A, 'Model VMT by TAZ'!$J:$J, "N/A")</f>
        <v>640</v>
      </c>
      <c r="D22" s="51">
        <f>_xlfn.XLOOKUP(A22,'Model Modeshare by TAZ'!$A:$A,'Model Modeshare by TAZ'!$E:$E,0)+_xlfn.XLOOKUP(A22,'Model Modeshare by TAZ'!$A:$A,'Model Modeshare by TAZ'!$F:$F,0)</f>
        <v>3199.34</v>
      </c>
      <c r="E22" s="51">
        <f>_xlfn.XLOOKUP(A22, 'Model VMT by TAZ'!$A:$A, 'Model Modeshare by TAZ'!$H:$H, "N/A")</f>
        <v>45.26</v>
      </c>
      <c r="F22" s="2" t="str">
        <f>_xlfn.XLOOKUP(A22, 'Model VMT by TAZ'!A:A, 'Model VMT by TAZ'!C:C)</f>
        <v>YES</v>
      </c>
    </row>
    <row r="23" spans="1:6" x14ac:dyDescent="0.35">
      <c r="A23">
        <v>2040</v>
      </c>
      <c r="B23" s="51">
        <f>_xlfn.XLOOKUP(A23, 'Model VMT by TAZ'!A:A, 'Model VMT by TAZ'!G:G, "N/A")</f>
        <v>13423.38</v>
      </c>
      <c r="C23" s="51">
        <f>_xlfn.XLOOKUP(A23, 'Model VMT by TAZ'!$A:$A, 'Model VMT by TAZ'!$J:$J, "N/A")</f>
        <v>1762</v>
      </c>
      <c r="D23" s="51">
        <f>_xlfn.XLOOKUP(A23,'Model Modeshare by TAZ'!$A:$A,'Model Modeshare by TAZ'!$E:$E,0)+_xlfn.XLOOKUP(A23,'Model Modeshare by TAZ'!$A:$A,'Model Modeshare by TAZ'!$F:$F,0)</f>
        <v>18554.34</v>
      </c>
      <c r="E23" s="51">
        <f>_xlfn.XLOOKUP(A23, 'Model VMT by TAZ'!$A:$A, 'Model Modeshare by TAZ'!$H:$H, "N/A")</f>
        <v>329.76</v>
      </c>
      <c r="F23" s="2" t="str">
        <f>_xlfn.XLOOKUP(A23, 'Model VMT by TAZ'!A:A, 'Model VMT by TAZ'!C:C)</f>
        <v>YES</v>
      </c>
    </row>
    <row r="24" spans="1:6" x14ac:dyDescent="0.35">
      <c r="A24">
        <v>2041</v>
      </c>
      <c r="B24" s="51">
        <f>_xlfn.XLOOKUP(A24, 'Model VMT by TAZ'!A:A, 'Model VMT by TAZ'!G:G, "N/A")</f>
        <v>34685.949999999997</v>
      </c>
      <c r="C24" s="51">
        <f>_xlfn.XLOOKUP(A24, 'Model VMT by TAZ'!$A:$A, 'Model VMT by TAZ'!$J:$J, "N/A")</f>
        <v>3318</v>
      </c>
      <c r="D24" s="51">
        <f>_xlfn.XLOOKUP(A24,'Model Modeshare by TAZ'!$A:$A,'Model Modeshare by TAZ'!$E:$E,0)+_xlfn.XLOOKUP(A24,'Model Modeshare by TAZ'!$A:$A,'Model Modeshare by TAZ'!$F:$F,0)</f>
        <v>33007.18</v>
      </c>
      <c r="E24" s="51">
        <f>_xlfn.XLOOKUP(A24, 'Model VMT by TAZ'!$A:$A, 'Model Modeshare by TAZ'!$H:$H, "N/A")</f>
        <v>838.22</v>
      </c>
      <c r="F24" s="2" t="str">
        <f>_xlfn.XLOOKUP(A24, 'Model VMT by TAZ'!A:A, 'Model VMT by TAZ'!C:C)</f>
        <v>YES</v>
      </c>
    </row>
    <row r="25" spans="1:6" x14ac:dyDescent="0.35">
      <c r="A25">
        <v>1586</v>
      </c>
      <c r="B25" s="51">
        <f>_xlfn.XLOOKUP(A25, 'Model VMT by TAZ'!A:A, 'Model VMT by TAZ'!G:G, "N/A")</f>
        <v>8058.28</v>
      </c>
      <c r="C25" s="51">
        <f>_xlfn.XLOOKUP(A25, 'Model VMT by TAZ'!$A:$A, 'Model VMT by TAZ'!$J:$J, "N/A")</f>
        <v>881</v>
      </c>
      <c r="D25" s="51">
        <f>_xlfn.XLOOKUP(A25,'Model Modeshare by TAZ'!$A:$A,'Model Modeshare by TAZ'!$E:$E,0)+_xlfn.XLOOKUP(A25,'Model Modeshare by TAZ'!$A:$A,'Model Modeshare by TAZ'!$F:$F,0)</f>
        <v>6974.34</v>
      </c>
      <c r="E25" s="51">
        <f>_xlfn.XLOOKUP(A25, 'Model VMT by TAZ'!$A:$A, 'Model Modeshare by TAZ'!$H:$H, "N/A")</f>
        <v>199.4</v>
      </c>
      <c r="F25" s="2" t="str">
        <f>_xlfn.XLOOKUP(A25, 'Model VMT by TAZ'!A:A, 'Model VMT by TAZ'!C:C)</f>
        <v>YES</v>
      </c>
    </row>
    <row r="26" spans="1:6" x14ac:dyDescent="0.35">
      <c r="A26">
        <v>1683</v>
      </c>
      <c r="B26" s="51">
        <f>_xlfn.XLOOKUP(A26, 'Model VMT by TAZ'!A:A, 'Model VMT by TAZ'!G:G, "N/A")</f>
        <v>7246.9</v>
      </c>
      <c r="C26" s="51">
        <f>_xlfn.XLOOKUP(A26, 'Model VMT by TAZ'!$A:$A, 'Model VMT by TAZ'!$J:$J, "N/A")</f>
        <v>758</v>
      </c>
      <c r="D26" s="51">
        <f>_xlfn.XLOOKUP(A26,'Model Modeshare by TAZ'!$A:$A,'Model Modeshare by TAZ'!$E:$E,0)+_xlfn.XLOOKUP(A26,'Model Modeshare by TAZ'!$A:$A,'Model Modeshare by TAZ'!$F:$F,0)</f>
        <v>2430.58</v>
      </c>
      <c r="E26" s="51">
        <f>_xlfn.XLOOKUP(A26, 'Model VMT by TAZ'!$A:$A, 'Model Modeshare by TAZ'!$H:$H, "N/A")</f>
        <v>42.02</v>
      </c>
      <c r="F26" s="2" t="str">
        <f>_xlfn.XLOOKUP(A26, 'Model VMT by TAZ'!A:A, 'Model VMT by TAZ'!C:C)</f>
        <v>YES</v>
      </c>
    </row>
    <row r="27" spans="1:6" x14ac:dyDescent="0.35">
      <c r="A27">
        <v>1582</v>
      </c>
      <c r="B27" s="51">
        <f>_xlfn.XLOOKUP(A27, 'Model VMT by TAZ'!A:A, 'Model VMT by TAZ'!G:G, "N/A")</f>
        <v>258.8</v>
      </c>
      <c r="C27" s="51">
        <f>_xlfn.XLOOKUP(A27, 'Model VMT by TAZ'!$A:$A, 'Model VMT by TAZ'!$J:$J, "N/A")</f>
        <v>185</v>
      </c>
      <c r="D27" s="51">
        <f>_xlfn.XLOOKUP(A27,'Model Modeshare by TAZ'!$A:$A,'Model Modeshare by TAZ'!$E:$E,0)+_xlfn.XLOOKUP(A27,'Model Modeshare by TAZ'!$A:$A,'Model Modeshare by TAZ'!$F:$F,0)</f>
        <v>3777.98</v>
      </c>
      <c r="E27" s="51">
        <f>_xlfn.XLOOKUP(A27, 'Model VMT by TAZ'!$A:$A, 'Model Modeshare by TAZ'!$H:$H, "N/A")</f>
        <v>41.34</v>
      </c>
      <c r="F27" s="2" t="str">
        <f>_xlfn.XLOOKUP(A27, 'Model VMT by TAZ'!A:A, 'Model VMT by TAZ'!C:C)</f>
        <v>YES</v>
      </c>
    </row>
    <row r="28" spans="1:6" x14ac:dyDescent="0.35">
      <c r="A28">
        <v>1581</v>
      </c>
      <c r="B28" s="51">
        <f>_xlfn.XLOOKUP(A28, 'Model VMT by TAZ'!A:A, 'Model VMT by TAZ'!G:G, "N/A")</f>
        <v>12670.22</v>
      </c>
      <c r="C28" s="51">
        <f>_xlfn.XLOOKUP(A28, 'Model VMT by TAZ'!$A:$A, 'Model VMT by TAZ'!$J:$J, "N/A")</f>
        <v>1078</v>
      </c>
      <c r="D28" s="51">
        <f>_xlfn.XLOOKUP(A28,'Model Modeshare by TAZ'!$A:$A,'Model Modeshare by TAZ'!$E:$E,0)+_xlfn.XLOOKUP(A28,'Model Modeshare by TAZ'!$A:$A,'Model Modeshare by TAZ'!$F:$F,0)</f>
        <v>4570.62</v>
      </c>
      <c r="E28" s="51">
        <f>_xlfn.XLOOKUP(A28, 'Model VMT by TAZ'!$A:$A, 'Model Modeshare by TAZ'!$H:$H, "N/A")</f>
        <v>111.44</v>
      </c>
      <c r="F28" s="2" t="str">
        <f>_xlfn.XLOOKUP(A28, 'Model VMT by TAZ'!A:A, 'Model VMT by TAZ'!C:C)</f>
        <v>YES</v>
      </c>
    </row>
    <row r="29" spans="1:6" x14ac:dyDescent="0.35">
      <c r="A29">
        <v>1580</v>
      </c>
      <c r="B29" s="51">
        <f>_xlfn.XLOOKUP(A29, 'Model VMT by TAZ'!A:A, 'Model VMT by TAZ'!G:G, "N/A")</f>
        <v>34873.93</v>
      </c>
      <c r="C29" s="51">
        <f>_xlfn.XLOOKUP(A29, 'Model VMT by TAZ'!$A:$A, 'Model VMT by TAZ'!$J:$J, "N/A")</f>
        <v>4209</v>
      </c>
      <c r="D29" s="51">
        <f>_xlfn.XLOOKUP(A29,'Model Modeshare by TAZ'!$A:$A,'Model Modeshare by TAZ'!$E:$E,0)+_xlfn.XLOOKUP(A29,'Model Modeshare by TAZ'!$A:$A,'Model Modeshare by TAZ'!$F:$F,0)</f>
        <v>12406.720000000001</v>
      </c>
      <c r="E29" s="51">
        <f>_xlfn.XLOOKUP(A29, 'Model VMT by TAZ'!$A:$A, 'Model Modeshare by TAZ'!$H:$H, "N/A")</f>
        <v>348.92</v>
      </c>
      <c r="F29" s="2" t="str">
        <f>_xlfn.XLOOKUP(A29, 'Model VMT by TAZ'!A:A, 'Model VMT by TAZ'!C:C)</f>
        <v>YES</v>
      </c>
    </row>
    <row r="30" spans="1:6" x14ac:dyDescent="0.35">
      <c r="A30">
        <v>1578</v>
      </c>
      <c r="B30" s="51">
        <f>_xlfn.XLOOKUP(A30, 'Model VMT by TAZ'!A:A, 'Model VMT by TAZ'!G:G, "N/A")</f>
        <v>0</v>
      </c>
      <c r="C30" s="51">
        <f>_xlfn.XLOOKUP(A30, 'Model VMT by TAZ'!$A:$A, 'Model VMT by TAZ'!$J:$J, "N/A")</f>
        <v>1</v>
      </c>
      <c r="D30" s="51">
        <f>_xlfn.XLOOKUP(A30,'Model Modeshare by TAZ'!$A:$A,'Model Modeshare by TAZ'!$E:$E,0)+_xlfn.XLOOKUP(A30,'Model Modeshare by TAZ'!$A:$A,'Model Modeshare by TAZ'!$F:$F,0)</f>
        <v>0.14000000000000001</v>
      </c>
      <c r="E30" s="51">
        <f>_xlfn.XLOOKUP(A30, 'Model VMT by TAZ'!$A:$A, 'Model Modeshare by TAZ'!$H:$H, "N/A")</f>
        <v>0</v>
      </c>
      <c r="F30" s="2" t="str">
        <f>_xlfn.XLOOKUP(A30, 'Model VMT by TAZ'!A:A, 'Model VMT by TAZ'!C:C)</f>
        <v>YES</v>
      </c>
    </row>
    <row r="31" spans="1:6" x14ac:dyDescent="0.35">
      <c r="A31">
        <v>1583</v>
      </c>
      <c r="B31" s="51">
        <f>_xlfn.XLOOKUP(A31, 'Model VMT by TAZ'!A:A, 'Model VMT by TAZ'!G:G, "N/A")</f>
        <v>10379.86</v>
      </c>
      <c r="C31" s="51">
        <f>_xlfn.XLOOKUP(A31, 'Model VMT by TAZ'!$A:$A, 'Model VMT by TAZ'!$J:$J, "N/A")</f>
        <v>891</v>
      </c>
      <c r="D31" s="51">
        <f>_xlfn.XLOOKUP(A31,'Model Modeshare by TAZ'!$A:$A,'Model Modeshare by TAZ'!$E:$E,0)+_xlfn.XLOOKUP(A31,'Model Modeshare by TAZ'!$A:$A,'Model Modeshare by TAZ'!$F:$F,0)</f>
        <v>3556.12</v>
      </c>
      <c r="E31" s="51">
        <f>_xlfn.XLOOKUP(A31, 'Model VMT by TAZ'!$A:$A, 'Model Modeshare by TAZ'!$H:$H, "N/A")</f>
        <v>67.319999999999993</v>
      </c>
      <c r="F31" s="2" t="str">
        <f>_xlfn.XLOOKUP(A31, 'Model VMT by TAZ'!A:A, 'Model VMT by TAZ'!C:C)</f>
        <v>YES</v>
      </c>
    </row>
    <row r="32" spans="1:6" x14ac:dyDescent="0.35">
      <c r="A32">
        <v>1630</v>
      </c>
      <c r="B32" s="51">
        <f>_xlfn.XLOOKUP(A32, 'Model VMT by TAZ'!A:A, 'Model VMT by TAZ'!G:G, "N/A")</f>
        <v>29597.119999999999</v>
      </c>
      <c r="C32" s="51">
        <f>_xlfn.XLOOKUP(A32, 'Model VMT by TAZ'!$A:$A, 'Model VMT by TAZ'!$J:$J, "N/A")</f>
        <v>2161</v>
      </c>
      <c r="D32" s="51">
        <f>_xlfn.XLOOKUP(A32,'Model Modeshare by TAZ'!$A:$A,'Model Modeshare by TAZ'!$E:$E,0)+_xlfn.XLOOKUP(A32,'Model Modeshare by TAZ'!$A:$A,'Model Modeshare by TAZ'!$F:$F,0)</f>
        <v>7074.5</v>
      </c>
      <c r="E32" s="51">
        <f>_xlfn.XLOOKUP(A32, 'Model VMT by TAZ'!$A:$A, 'Model Modeshare by TAZ'!$H:$H, "N/A")</f>
        <v>172.48</v>
      </c>
      <c r="F32" s="2" t="str">
        <f>_xlfn.XLOOKUP(A32, 'Model VMT by TAZ'!A:A, 'Model VMT by TAZ'!C:C)</f>
        <v>YES</v>
      </c>
    </row>
    <row r="33" spans="1:6" x14ac:dyDescent="0.35">
      <c r="A33">
        <v>1681</v>
      </c>
      <c r="B33" s="51">
        <f>_xlfn.XLOOKUP(A33, 'Model VMT by TAZ'!A:A, 'Model VMT by TAZ'!G:G, "N/A")</f>
        <v>49786.45</v>
      </c>
      <c r="C33" s="51">
        <f>_xlfn.XLOOKUP(A33, 'Model VMT by TAZ'!$A:$A, 'Model VMT by TAZ'!$J:$J, "N/A")</f>
        <v>3832</v>
      </c>
      <c r="D33" s="51">
        <f>_xlfn.XLOOKUP(A33,'Model Modeshare by TAZ'!$A:$A,'Model Modeshare by TAZ'!$E:$E,0)+_xlfn.XLOOKUP(A33,'Model Modeshare by TAZ'!$A:$A,'Model Modeshare by TAZ'!$F:$F,0)</f>
        <v>12554.22</v>
      </c>
      <c r="E33" s="51">
        <f>_xlfn.XLOOKUP(A33, 'Model VMT by TAZ'!$A:$A, 'Model Modeshare by TAZ'!$H:$H, "N/A")</f>
        <v>327.7</v>
      </c>
      <c r="F33" s="2" t="str">
        <f>_xlfn.XLOOKUP(A33, 'Model VMT by TAZ'!A:A, 'Model VMT by TAZ'!C:C)</f>
        <v>YES</v>
      </c>
    </row>
    <row r="34" spans="1:6" x14ac:dyDescent="0.35">
      <c r="A34">
        <v>1631</v>
      </c>
      <c r="B34" s="51">
        <f>_xlfn.XLOOKUP(A34, 'Model VMT by TAZ'!A:A, 'Model VMT by TAZ'!G:G, "N/A")</f>
        <v>17903.8</v>
      </c>
      <c r="C34" s="51">
        <f>_xlfn.XLOOKUP(A34, 'Model VMT by TAZ'!$A:$A, 'Model VMT by TAZ'!$J:$J, "N/A")</f>
        <v>1860</v>
      </c>
      <c r="D34" s="51">
        <f>_xlfn.XLOOKUP(A34,'Model Modeshare by TAZ'!$A:$A,'Model Modeshare by TAZ'!$E:$E,0)+_xlfn.XLOOKUP(A34,'Model Modeshare by TAZ'!$A:$A,'Model Modeshare by TAZ'!$F:$F,0)</f>
        <v>19602.759999999998</v>
      </c>
      <c r="E34" s="51">
        <f>_xlfn.XLOOKUP(A34, 'Model VMT by TAZ'!$A:$A, 'Model Modeshare by TAZ'!$H:$H, "N/A")</f>
        <v>284.16000000000003</v>
      </c>
      <c r="F34" s="2" t="str">
        <f>_xlfn.XLOOKUP(A34, 'Model VMT by TAZ'!A:A, 'Model VMT by TAZ'!C:C)</f>
        <v>YES</v>
      </c>
    </row>
  </sheetData>
  <autoFilter ref="A4:F34" xr:uid="{FB20E5EB-87EE-4EC1-BFE4-C3586FA5D239}"/>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F2279-298B-45FD-80FD-25348FD3DA60}">
  <sheetPr>
    <tabColor theme="8"/>
  </sheetPr>
  <dimension ref="B1:AF43"/>
  <sheetViews>
    <sheetView topLeftCell="A17" workbookViewId="0">
      <selection activeCell="C27" sqref="C27"/>
    </sheetView>
  </sheetViews>
  <sheetFormatPr defaultRowHeight="14.5" x14ac:dyDescent="0.35"/>
  <cols>
    <col min="2" max="2" width="31.26953125" customWidth="1"/>
    <col min="3" max="3" width="28.54296875" customWidth="1"/>
    <col min="4" max="4" width="25.7265625" customWidth="1"/>
    <col min="5" max="5" width="24.453125" bestFit="1" customWidth="1"/>
    <col min="6" max="6" width="14.7265625" customWidth="1"/>
    <col min="7" max="7" width="12.54296875" customWidth="1"/>
    <col min="8" max="8" width="9.1796875" customWidth="1"/>
    <col min="9" max="9" width="8.1796875" bestFit="1" customWidth="1"/>
    <col min="10" max="10" width="18.26953125" customWidth="1"/>
    <col min="11" max="11" width="21.453125" customWidth="1"/>
    <col min="12" max="12" width="59" customWidth="1"/>
    <col min="32" max="32" width="0" hidden="1" customWidth="1"/>
  </cols>
  <sheetData>
    <row r="1" spans="2:25" ht="31" x14ac:dyDescent="0.7">
      <c r="B1" s="8" t="s">
        <v>265</v>
      </c>
    </row>
    <row r="3" spans="2:25" x14ac:dyDescent="0.35">
      <c r="B3" s="9" t="s">
        <v>29</v>
      </c>
      <c r="C3" s="10"/>
      <c r="D3" s="10"/>
      <c r="E3" s="10"/>
      <c r="F3" s="10"/>
      <c r="G3" s="10"/>
      <c r="H3" s="10"/>
      <c r="I3" s="10"/>
      <c r="J3" s="10"/>
      <c r="K3" s="10"/>
      <c r="L3" s="10"/>
      <c r="M3" s="10"/>
      <c r="N3" s="10"/>
      <c r="O3" s="10"/>
      <c r="P3" s="10"/>
      <c r="Q3" s="10"/>
      <c r="R3" s="10"/>
      <c r="S3" s="10"/>
      <c r="T3" s="10"/>
      <c r="U3" s="10"/>
      <c r="V3" s="10"/>
      <c r="W3" s="10"/>
      <c r="X3" s="10"/>
      <c r="Y3" s="11"/>
    </row>
    <row r="4" spans="2:25" x14ac:dyDescent="0.35">
      <c r="B4" s="49" t="s">
        <v>266</v>
      </c>
      <c r="Y4" s="13"/>
    </row>
    <row r="5" spans="2:25" x14ac:dyDescent="0.35">
      <c r="B5" s="12" t="s">
        <v>267</v>
      </c>
      <c r="Y5" s="13"/>
    </row>
    <row r="6" spans="2:25" x14ac:dyDescent="0.35">
      <c r="B6" s="12" t="s">
        <v>268</v>
      </c>
      <c r="Y6" s="13"/>
    </row>
    <row r="7" spans="2:25" x14ac:dyDescent="0.35">
      <c r="B7" s="14"/>
      <c r="C7" s="15"/>
      <c r="D7" s="15"/>
      <c r="E7" s="15"/>
      <c r="F7" s="15"/>
      <c r="G7" s="15"/>
      <c r="H7" s="15"/>
      <c r="I7" s="15"/>
      <c r="J7" s="15"/>
      <c r="K7" s="15"/>
      <c r="L7" s="15"/>
      <c r="M7" s="15"/>
      <c r="N7" s="15"/>
      <c r="O7" s="15"/>
      <c r="P7" s="15"/>
      <c r="Q7" s="15"/>
      <c r="R7" s="15"/>
      <c r="S7" s="15"/>
      <c r="T7" s="15"/>
      <c r="U7" s="15"/>
      <c r="V7" s="15"/>
      <c r="W7" s="15"/>
      <c r="X7" s="15"/>
      <c r="Y7" s="16"/>
    </row>
    <row r="9" spans="2:25" x14ac:dyDescent="0.35">
      <c r="B9" s="9" t="s">
        <v>221</v>
      </c>
      <c r="C9" s="10"/>
      <c r="D9" s="10"/>
      <c r="E9" s="10"/>
      <c r="F9" s="10"/>
      <c r="G9" s="10"/>
      <c r="H9" s="10"/>
      <c r="I9" s="10"/>
      <c r="J9" s="10"/>
      <c r="K9" s="10"/>
      <c r="L9" s="10"/>
      <c r="M9" s="10"/>
      <c r="N9" s="10"/>
      <c r="O9" s="10"/>
      <c r="P9" s="10"/>
      <c r="Q9" s="10"/>
      <c r="R9" s="10"/>
      <c r="S9" s="10"/>
      <c r="T9" s="10"/>
      <c r="U9" s="10"/>
      <c r="V9" s="10"/>
      <c r="W9" s="10"/>
      <c r="X9" s="10"/>
      <c r="Y9" s="11"/>
    </row>
    <row r="10" spans="2:25" x14ac:dyDescent="0.35">
      <c r="B10" s="12" t="s">
        <v>269</v>
      </c>
      <c r="Y10" s="13"/>
    </row>
    <row r="11" spans="2:25" x14ac:dyDescent="0.35">
      <c r="B11" s="12" t="s">
        <v>270</v>
      </c>
      <c r="Y11" s="13"/>
    </row>
    <row r="12" spans="2:25" x14ac:dyDescent="0.35">
      <c r="B12" s="14"/>
      <c r="C12" s="15"/>
      <c r="D12" s="15"/>
      <c r="E12" s="15"/>
      <c r="F12" s="15"/>
      <c r="G12" s="15"/>
      <c r="H12" s="15"/>
      <c r="I12" s="15"/>
      <c r="J12" s="15"/>
      <c r="K12" s="15"/>
      <c r="L12" s="15"/>
      <c r="M12" s="15"/>
      <c r="N12" s="15"/>
      <c r="O12" s="15"/>
      <c r="P12" s="15"/>
      <c r="Q12" s="15"/>
      <c r="R12" s="15"/>
      <c r="S12" s="15"/>
      <c r="T12" s="15"/>
      <c r="U12" s="15"/>
      <c r="V12" s="15"/>
      <c r="W12" s="15"/>
      <c r="X12" s="15"/>
      <c r="Y12" s="16"/>
    </row>
    <row r="14" spans="2:25" x14ac:dyDescent="0.35">
      <c r="B14" s="9" t="s">
        <v>224</v>
      </c>
      <c r="C14" s="10"/>
      <c r="D14" s="10"/>
      <c r="E14" s="10"/>
      <c r="F14" s="10"/>
      <c r="G14" s="10"/>
      <c r="H14" s="10"/>
      <c r="I14" s="10"/>
      <c r="J14" s="10"/>
      <c r="K14" s="10"/>
      <c r="L14" s="10"/>
      <c r="M14" s="10"/>
      <c r="N14" s="10"/>
      <c r="O14" s="10"/>
      <c r="P14" s="10"/>
      <c r="Q14" s="10"/>
      <c r="R14" s="10"/>
      <c r="S14" s="10"/>
      <c r="T14" s="10"/>
      <c r="U14" s="10"/>
      <c r="V14" s="10"/>
      <c r="W14" s="10"/>
      <c r="X14" s="10"/>
      <c r="Y14" s="11"/>
    </row>
    <row r="15" spans="2:25" x14ac:dyDescent="0.35">
      <c r="B15" s="499" t="s">
        <v>225</v>
      </c>
      <c r="C15" s="17" t="s">
        <v>271</v>
      </c>
      <c r="Y15" s="13"/>
    </row>
    <row r="16" spans="2:25" x14ac:dyDescent="0.35">
      <c r="B16" s="499"/>
      <c r="C16" s="17" t="s">
        <v>227</v>
      </c>
      <c r="Y16" s="13"/>
    </row>
    <row r="17" spans="2:32" x14ac:dyDescent="0.35">
      <c r="B17" s="400"/>
      <c r="C17" s="17"/>
      <c r="Y17" s="13"/>
    </row>
    <row r="18" spans="2:32" x14ac:dyDescent="0.35">
      <c r="B18" s="401" t="s">
        <v>228</v>
      </c>
      <c r="C18" s="17" t="s">
        <v>229</v>
      </c>
      <c r="Y18" s="13"/>
    </row>
    <row r="19" spans="2:32" x14ac:dyDescent="0.35">
      <c r="B19" s="14"/>
      <c r="C19" s="15"/>
      <c r="D19" s="15"/>
      <c r="E19" s="15"/>
      <c r="F19" s="15"/>
      <c r="G19" s="15"/>
      <c r="H19" s="15"/>
      <c r="I19" s="15"/>
      <c r="J19" s="15"/>
      <c r="K19" s="15"/>
      <c r="L19" s="15"/>
      <c r="M19" s="15"/>
      <c r="N19" s="15"/>
      <c r="O19" s="15"/>
      <c r="P19" s="15"/>
      <c r="Q19" s="15"/>
      <c r="R19" s="15"/>
      <c r="S19" s="15"/>
      <c r="T19" s="15"/>
      <c r="U19" s="15"/>
      <c r="V19" s="15"/>
      <c r="W19" s="15"/>
      <c r="X19" s="15"/>
      <c r="Y19" s="16"/>
    </row>
    <row r="21" spans="2:32" x14ac:dyDescent="0.35">
      <c r="B21" s="18" t="s">
        <v>230</v>
      </c>
      <c r="C21" s="136"/>
      <c r="D21" s="136"/>
      <c r="E21" s="136"/>
      <c r="F21" s="136"/>
      <c r="G21" s="136"/>
      <c r="H21" s="136"/>
      <c r="I21" s="136"/>
      <c r="J21" s="136"/>
      <c r="K21" s="136"/>
      <c r="L21" s="136"/>
      <c r="M21" s="136"/>
      <c r="N21" s="136"/>
      <c r="O21" s="136"/>
      <c r="P21" s="136"/>
      <c r="Q21" s="136"/>
      <c r="R21" s="136"/>
      <c r="S21" s="136"/>
      <c r="T21" s="136"/>
      <c r="U21" s="136"/>
      <c r="V21" s="136"/>
      <c r="W21" s="136"/>
      <c r="X21" s="136"/>
      <c r="Y21" s="136"/>
    </row>
    <row r="23" spans="2:32" x14ac:dyDescent="0.35">
      <c r="B23" s="2" t="s">
        <v>272</v>
      </c>
      <c r="E23" s="2" t="s">
        <v>232</v>
      </c>
      <c r="J23" s="2" t="s">
        <v>273</v>
      </c>
      <c r="AF23" t="s">
        <v>148</v>
      </c>
    </row>
    <row r="24" spans="2:32" x14ac:dyDescent="0.35">
      <c r="B24" s="500" t="s">
        <v>233</v>
      </c>
      <c r="C24" s="501"/>
      <c r="E24" s="167" t="s">
        <v>232</v>
      </c>
      <c r="F24" s="168"/>
      <c r="J24" s="167" t="s">
        <v>274</v>
      </c>
      <c r="K24" s="167" t="s">
        <v>275</v>
      </c>
      <c r="L24" s="254" t="s">
        <v>276</v>
      </c>
      <c r="AF24" t="s">
        <v>149</v>
      </c>
    </row>
    <row r="25" spans="2:32" ht="29" x14ac:dyDescent="0.35">
      <c r="B25" s="7" t="s">
        <v>277</v>
      </c>
      <c r="C25" s="141">
        <v>4</v>
      </c>
      <c r="E25" s="139" t="s">
        <v>236</v>
      </c>
      <c r="F25" s="140">
        <v>30</v>
      </c>
      <c r="J25" s="7" t="s">
        <v>278</v>
      </c>
      <c r="K25" s="259">
        <v>164082329</v>
      </c>
      <c r="L25" s="6" t="s">
        <v>279</v>
      </c>
    </row>
    <row r="26" spans="2:32" ht="29" x14ac:dyDescent="0.35">
      <c r="B26" s="7" t="s">
        <v>280</v>
      </c>
      <c r="C26" s="245">
        <v>5</v>
      </c>
      <c r="J26" s="7" t="s">
        <v>281</v>
      </c>
      <c r="K26" s="252">
        <f>K25/6854126</f>
        <v>23.939205232001864</v>
      </c>
      <c r="L26" s="6" t="s">
        <v>279</v>
      </c>
    </row>
    <row r="27" spans="2:32" ht="29" x14ac:dyDescent="0.35">
      <c r="B27" s="7" t="s">
        <v>282</v>
      </c>
      <c r="C27" s="274">
        <f>'Action 2 Calculations'!C47</f>
        <v>499680</v>
      </c>
      <c r="J27" s="7" t="s">
        <v>283</v>
      </c>
      <c r="K27" s="252">
        <f>K25/788112</f>
        <v>208.19671442637593</v>
      </c>
      <c r="L27" s="6" t="s">
        <v>279</v>
      </c>
    </row>
    <row r="28" spans="2:32" x14ac:dyDescent="0.35">
      <c r="B28" s="6" t="s">
        <v>284</v>
      </c>
      <c r="C28" s="246">
        <f>IFERROR((C26-C25)/C25,0)</f>
        <v>0.25</v>
      </c>
      <c r="E28" s="2" t="s">
        <v>285</v>
      </c>
    </row>
    <row r="29" spans="2:32" x14ac:dyDescent="0.35">
      <c r="B29" s="7" t="s">
        <v>241</v>
      </c>
      <c r="C29" s="259">
        <f>C27*K26</f>
        <v>11961942.070326691</v>
      </c>
      <c r="E29" s="106" t="s">
        <v>252</v>
      </c>
      <c r="F29" s="106" t="s">
        <v>253</v>
      </c>
      <c r="G29" s="106" t="s">
        <v>254</v>
      </c>
    </row>
    <row r="30" spans="2:32" ht="29" x14ac:dyDescent="0.35">
      <c r="B30" s="7" t="s">
        <v>286</v>
      </c>
      <c r="C30" s="275">
        <f>IF($F$30="YES",C29*$G$30,0)+C29</f>
        <v>12560039.173843026</v>
      </c>
      <c r="E30" s="7" t="s">
        <v>255</v>
      </c>
      <c r="F30" s="140" t="s">
        <v>148</v>
      </c>
      <c r="G30" s="418">
        <v>0.05</v>
      </c>
    </row>
    <row r="31" spans="2:32" x14ac:dyDescent="0.35">
      <c r="B31" s="7" t="s">
        <v>245</v>
      </c>
      <c r="C31" s="270">
        <f>'Action 2 Calculations'!D41</f>
        <v>-19801196.31720655</v>
      </c>
    </row>
    <row r="34" spans="2:25" x14ac:dyDescent="0.35">
      <c r="B34" s="18" t="s">
        <v>256</v>
      </c>
      <c r="C34" s="18"/>
      <c r="D34" s="18"/>
      <c r="E34" s="18"/>
      <c r="F34" s="18"/>
      <c r="G34" s="18"/>
      <c r="H34" s="18"/>
      <c r="I34" s="18"/>
      <c r="J34" s="18"/>
      <c r="K34" s="18"/>
      <c r="L34" s="18"/>
      <c r="M34" s="18"/>
      <c r="N34" s="18"/>
      <c r="O34" s="18"/>
      <c r="P34" s="18"/>
      <c r="Q34" s="18"/>
      <c r="R34" s="18"/>
      <c r="S34" s="18"/>
      <c r="T34" s="136"/>
      <c r="U34" s="136"/>
      <c r="V34" s="136"/>
      <c r="W34" s="136"/>
      <c r="X34" s="136"/>
      <c r="Y34" s="136"/>
    </row>
    <row r="36" spans="2:25" x14ac:dyDescent="0.35">
      <c r="B36" s="2" t="s">
        <v>287</v>
      </c>
    </row>
    <row r="37" spans="2:25" ht="58" x14ac:dyDescent="0.35">
      <c r="B37" s="37" t="s">
        <v>258</v>
      </c>
      <c r="C37" s="37" t="s">
        <v>259</v>
      </c>
      <c r="D37" s="37" t="s">
        <v>260</v>
      </c>
      <c r="E37" s="37" t="s">
        <v>261</v>
      </c>
      <c r="F37" s="37" t="s">
        <v>262</v>
      </c>
      <c r="G37" s="37" t="s">
        <v>263</v>
      </c>
    </row>
    <row r="38" spans="2:25" x14ac:dyDescent="0.35">
      <c r="B38" s="180">
        <f>'Action 2 Calculations'!C33</f>
        <v>-57063.966332007352</v>
      </c>
      <c r="C38" s="180">
        <f>C43/'Action 2 Calculations'!C41</f>
        <v>-1711918.9899602204</v>
      </c>
      <c r="D38" s="186">
        <f>C30</f>
        <v>12560039.173843026</v>
      </c>
      <c r="E38" s="187">
        <f>-(D38/B38)</f>
        <v>220.10455951776459</v>
      </c>
      <c r="F38" s="186">
        <f>F43</f>
        <v>376801175.21529078</v>
      </c>
      <c r="G38" s="187">
        <f>-(F38/C38)</f>
        <v>220.10455951776459</v>
      </c>
    </row>
    <row r="39" spans="2:25" x14ac:dyDescent="0.35">
      <c r="B39" s="199"/>
      <c r="C39" s="199"/>
      <c r="D39" s="398"/>
      <c r="E39" s="403"/>
      <c r="F39" s="398"/>
      <c r="G39" s="403"/>
    </row>
    <row r="41" spans="2:25" x14ac:dyDescent="0.35">
      <c r="B41" s="2" t="s">
        <v>288</v>
      </c>
    </row>
    <row r="42" spans="2:25" ht="58" x14ac:dyDescent="0.35">
      <c r="B42" s="37" t="s">
        <v>245</v>
      </c>
      <c r="C42" s="37" t="s">
        <v>259</v>
      </c>
      <c r="D42" s="37" t="s">
        <v>260</v>
      </c>
      <c r="E42" s="37" t="s">
        <v>261</v>
      </c>
      <c r="F42" s="37" t="s">
        <v>262</v>
      </c>
      <c r="G42" s="37" t="s">
        <v>263</v>
      </c>
    </row>
    <row r="43" spans="2:25" x14ac:dyDescent="0.35">
      <c r="B43" s="180">
        <f>'Action 2 Calculations'!D41</f>
        <v>-19801196.31720655</v>
      </c>
      <c r="C43" s="180">
        <f>B43*F25</f>
        <v>-594035889.51619649</v>
      </c>
      <c r="D43" s="186">
        <f>C30</f>
        <v>12560039.173843026</v>
      </c>
      <c r="E43" s="187">
        <f>-(D43/B43)</f>
        <v>0.63430708794744839</v>
      </c>
      <c r="F43" s="186">
        <f>C30*F25</f>
        <v>376801175.21529078</v>
      </c>
      <c r="G43" s="187">
        <f>-(F43/C43)</f>
        <v>0.63430708794744839</v>
      </c>
    </row>
  </sheetData>
  <sheetProtection sheet="1" objects="1" scenarios="1"/>
  <protectedRanges>
    <protectedRange sqref="F30:G30" name="Range3"/>
    <protectedRange sqref="F25" name="Range1"/>
    <protectedRange sqref="C25:C26" name="Range2"/>
  </protectedRanges>
  <mergeCells count="2">
    <mergeCell ref="B15:B16"/>
    <mergeCell ref="B24:C24"/>
  </mergeCells>
  <dataValidations count="1">
    <dataValidation type="list" allowBlank="1" showInputMessage="1" showErrorMessage="1" sqref="AF23:AF24 F30:F31" xr:uid="{9054A156-599D-4609-AF57-B0563D00C554}">
      <formula1>$AF$23:$AF$24</formula1>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83340-5FF3-4CF5-8D26-AAAE920065C4}">
  <sheetPr>
    <tabColor theme="6"/>
  </sheetPr>
  <dimension ref="A1:AD35"/>
  <sheetViews>
    <sheetView workbookViewId="0">
      <selection activeCell="B25" sqref="B25"/>
    </sheetView>
  </sheetViews>
  <sheetFormatPr defaultRowHeight="14.5" x14ac:dyDescent="0.35"/>
  <cols>
    <col min="1" max="1" width="11.7265625" customWidth="1"/>
    <col min="2" max="2" width="10.7265625" bestFit="1" customWidth="1"/>
    <col min="3" max="3" width="26.26953125" customWidth="1"/>
    <col min="4" max="4" width="14.1796875" customWidth="1"/>
    <col min="5" max="5" width="17.81640625" customWidth="1"/>
    <col min="6" max="6" width="12.7265625" customWidth="1"/>
    <col min="8" max="8" width="15.26953125" customWidth="1"/>
    <col min="9" max="9" width="11.54296875" customWidth="1"/>
    <col min="16" max="16" width="38.1796875" bestFit="1" customWidth="1"/>
    <col min="17" max="17" width="21.26953125" customWidth="1"/>
    <col min="18" max="18" width="17.453125" customWidth="1"/>
    <col min="22" max="22" width="14.26953125" customWidth="1"/>
    <col min="23" max="23" width="13.54296875" customWidth="1"/>
    <col min="24" max="24" width="15.453125" customWidth="1"/>
    <col min="25" max="25" width="13.54296875" customWidth="1"/>
  </cols>
  <sheetData>
    <row r="1" spans="1:30" x14ac:dyDescent="0.35">
      <c r="A1" s="54" t="s">
        <v>1252</v>
      </c>
    </row>
    <row r="3" spans="1:30" x14ac:dyDescent="0.35">
      <c r="A3" s="2" t="s">
        <v>1360</v>
      </c>
      <c r="D3" s="54" t="s">
        <v>1254</v>
      </c>
    </row>
    <row r="4" spans="1:30" ht="26.5" x14ac:dyDescent="0.35">
      <c r="A4" s="237" t="s">
        <v>1255</v>
      </c>
      <c r="B4" s="237" t="s">
        <v>1256</v>
      </c>
      <c r="C4" s="238" t="s">
        <v>1168</v>
      </c>
      <c r="D4" s="238" t="s">
        <v>1257</v>
      </c>
      <c r="E4" s="238" t="s">
        <v>1258</v>
      </c>
      <c r="F4" s="238" t="s">
        <v>411</v>
      </c>
      <c r="H4" s="238" t="s">
        <v>1259</v>
      </c>
      <c r="I4" s="238" t="s">
        <v>1260</v>
      </c>
    </row>
    <row r="5" spans="1:30" x14ac:dyDescent="0.35">
      <c r="A5">
        <v>1984</v>
      </c>
      <c r="B5" s="51">
        <f>_xlfn.XLOOKUP(A5, 'Model VMT by TAZ'!A:A, 'Model VMT by TAZ'!G:G, "N/A")</f>
        <v>40518.230000000003</v>
      </c>
      <c r="C5" s="51">
        <f>_xlfn.XLOOKUP(A5, 'Model VMT by TAZ'!$A:$A, 'Model VMT by TAZ'!$J:$J, "N/A")</f>
        <v>3831</v>
      </c>
      <c r="D5" s="51">
        <f>_xlfn.XLOOKUP(A5,'Model Modeshare by TAZ'!$A:$A,'Model Modeshare by TAZ'!$E:$E,0)+_xlfn.XLOOKUP(A5,'Model Modeshare by TAZ'!$A:$A,'Model Modeshare by TAZ'!$F:$F,0)</f>
        <v>23477.08</v>
      </c>
      <c r="E5" s="51">
        <f>_xlfn.XLOOKUP(A5, 'Model VMT by TAZ'!$A:$A, 'Model Modeshare by TAZ'!$H:$H, "N/A")</f>
        <v>397.92</v>
      </c>
      <c r="F5" s="2" t="str">
        <f>_xlfn.XLOOKUP(A5, 'Model VMT by TAZ'!A:A, 'Model VMT by TAZ'!C:C)</f>
        <v>YES</v>
      </c>
      <c r="H5" s="33">
        <f>(SUM(D5:D78))/(SUM(C5:C78))</f>
        <v>7.2454659624615045</v>
      </c>
      <c r="I5" s="33">
        <f>(SUM(E5:E78))/(SUM(C5:C78))</f>
        <v>0.10382197601802949</v>
      </c>
    </row>
    <row r="6" spans="1:30" x14ac:dyDescent="0.35">
      <c r="A6">
        <v>1977</v>
      </c>
      <c r="B6" s="51">
        <f>_xlfn.XLOOKUP(A6, 'Model VMT by TAZ'!A:A, 'Model VMT by TAZ'!G:G, "N/A")</f>
        <v>52627.94</v>
      </c>
      <c r="C6" s="51">
        <f>_xlfn.XLOOKUP(A6, 'Model VMT by TAZ'!$A:$A, 'Model VMT by TAZ'!$J:$J, "N/A")</f>
        <v>4914</v>
      </c>
      <c r="D6" s="51">
        <f>_xlfn.XLOOKUP(A6,'Model Modeshare by TAZ'!$A:$A,'Model Modeshare by TAZ'!$E:$E,0)+_xlfn.XLOOKUP(A6,'Model Modeshare by TAZ'!$A:$A,'Model Modeshare by TAZ'!$F:$F,0)</f>
        <v>19223.080000000002</v>
      </c>
      <c r="E6" s="51">
        <f>_xlfn.XLOOKUP(A6, 'Model VMT by TAZ'!$A:$A, 'Model Modeshare by TAZ'!$H:$H, "N/A")</f>
        <v>320</v>
      </c>
      <c r="F6" s="2" t="str">
        <f>_xlfn.XLOOKUP(A6, 'Model VMT by TAZ'!A:A, 'Model VMT by TAZ'!C:C)</f>
        <v>YES</v>
      </c>
    </row>
    <row r="7" spans="1:30" ht="39.5" x14ac:dyDescent="0.35">
      <c r="A7">
        <v>1976</v>
      </c>
      <c r="B7" s="51">
        <f>_xlfn.XLOOKUP(A7, 'Model VMT by TAZ'!A:A, 'Model VMT by TAZ'!G:G, "N/A")</f>
        <v>26856.9</v>
      </c>
      <c r="C7" s="51">
        <f>_xlfn.XLOOKUP(A7, 'Model VMT by TAZ'!$A:$A, 'Model VMT by TAZ'!$J:$J, "N/A")</f>
        <v>2709</v>
      </c>
      <c r="D7" s="51">
        <f>_xlfn.XLOOKUP(A7,'Model Modeshare by TAZ'!$A:$A,'Model Modeshare by TAZ'!$E:$E,0)+_xlfn.XLOOKUP(A7,'Model Modeshare by TAZ'!$A:$A,'Model Modeshare by TAZ'!$F:$F,0)</f>
        <v>12767.46</v>
      </c>
      <c r="E7" s="51">
        <f>_xlfn.XLOOKUP(A7, 'Model VMT by TAZ'!$A:$A, 'Model Modeshare by TAZ'!$H:$H, "N/A")</f>
        <v>190.22</v>
      </c>
      <c r="F7" s="2" t="str">
        <f>_xlfn.XLOOKUP(A7, 'Model VMT by TAZ'!A:A, 'Model VMT by TAZ'!C:C)</f>
        <v>YES</v>
      </c>
      <c r="H7" s="240" t="s">
        <v>1261</v>
      </c>
      <c r="I7" s="240" t="s">
        <v>1304</v>
      </c>
      <c r="J7" s="240" t="s">
        <v>1263</v>
      </c>
      <c r="K7" s="240" t="s">
        <v>1264</v>
      </c>
      <c r="L7" s="240" t="s">
        <v>1265</v>
      </c>
      <c r="M7" s="240" t="s">
        <v>1266</v>
      </c>
      <c r="N7" s="240" t="s">
        <v>1267</v>
      </c>
      <c r="O7" s="240" t="s">
        <v>1268</v>
      </c>
      <c r="P7" s="240" t="s">
        <v>1269</v>
      </c>
      <c r="Q7" s="240" t="s">
        <v>1270</v>
      </c>
      <c r="R7" s="240" t="s">
        <v>1271</v>
      </c>
      <c r="S7" s="240" t="s">
        <v>1272</v>
      </c>
      <c r="T7" s="240" t="s">
        <v>1273</v>
      </c>
      <c r="U7" s="240" t="s">
        <v>1274</v>
      </c>
      <c r="V7" s="240" t="s">
        <v>1275</v>
      </c>
      <c r="W7" s="240" t="s">
        <v>1276</v>
      </c>
      <c r="X7" s="240" t="s">
        <v>1305</v>
      </c>
      <c r="Y7" s="240" t="s">
        <v>1278</v>
      </c>
      <c r="Z7" s="240" t="s">
        <v>1279</v>
      </c>
      <c r="AA7" s="240" t="s">
        <v>1280</v>
      </c>
      <c r="AB7" s="240" t="s">
        <v>1281</v>
      </c>
      <c r="AC7" s="240" t="s">
        <v>1282</v>
      </c>
      <c r="AD7" s="240" t="s">
        <v>1283</v>
      </c>
    </row>
    <row r="8" spans="1:30" x14ac:dyDescent="0.35">
      <c r="A8">
        <v>1975</v>
      </c>
      <c r="B8" s="51">
        <f>_xlfn.XLOOKUP(A8, 'Model VMT by TAZ'!A:A, 'Model VMT by TAZ'!G:G, "N/A")</f>
        <v>53078.75</v>
      </c>
      <c r="C8" s="51">
        <f>_xlfn.XLOOKUP(A8, 'Model VMT by TAZ'!$A:$A, 'Model VMT by TAZ'!$J:$J, "N/A")</f>
        <v>4193</v>
      </c>
      <c r="D8" s="51">
        <f>_xlfn.XLOOKUP(A8,'Model Modeshare by TAZ'!$A:$A,'Model Modeshare by TAZ'!$E:$E,0)+_xlfn.XLOOKUP(A8,'Model Modeshare by TAZ'!$A:$A,'Model Modeshare by TAZ'!$F:$F,0)</f>
        <v>20718.32</v>
      </c>
      <c r="E8" s="51">
        <f>_xlfn.XLOOKUP(A8, 'Model VMT by TAZ'!$A:$A, 'Model Modeshare by TAZ'!$H:$H, "N/A")</f>
        <v>370.88</v>
      </c>
      <c r="F8" s="2" t="str">
        <f>_xlfn.XLOOKUP(A8, 'Model VMT by TAZ'!A:A, 'Model VMT by TAZ'!C:C)</f>
        <v>YES</v>
      </c>
      <c r="H8">
        <v>63.01</v>
      </c>
      <c r="I8" t="s">
        <v>359</v>
      </c>
      <c r="J8" t="s">
        <v>1284</v>
      </c>
      <c r="K8" t="s">
        <v>1285</v>
      </c>
      <c r="L8" t="s">
        <v>1361</v>
      </c>
      <c r="M8" t="s">
        <v>1362</v>
      </c>
      <c r="N8" t="s">
        <v>1363</v>
      </c>
      <c r="O8">
        <v>1.0141</v>
      </c>
      <c r="P8" t="s">
        <v>1295</v>
      </c>
      <c r="Q8" t="s">
        <v>1296</v>
      </c>
      <c r="R8" t="s">
        <v>1291</v>
      </c>
      <c r="S8">
        <v>0</v>
      </c>
      <c r="T8">
        <v>3320000</v>
      </c>
      <c r="U8">
        <v>3270000</v>
      </c>
      <c r="V8" t="s">
        <v>1292</v>
      </c>
      <c r="W8">
        <v>7.9489999999999998</v>
      </c>
      <c r="X8">
        <v>7.7210000000000001</v>
      </c>
      <c r="Y8">
        <v>3</v>
      </c>
      <c r="Z8">
        <v>0.40699999999999997</v>
      </c>
      <c r="AA8">
        <v>0.66800000000000004</v>
      </c>
      <c r="AB8">
        <v>1.6459999999999999</v>
      </c>
      <c r="AC8">
        <v>2</v>
      </c>
      <c r="AD8">
        <v>0</v>
      </c>
    </row>
    <row r="9" spans="1:30" x14ac:dyDescent="0.35">
      <c r="A9">
        <v>1614</v>
      </c>
      <c r="B9" s="51">
        <f>_xlfn.XLOOKUP(A9, 'Model VMT by TAZ'!A:A, 'Model VMT by TAZ'!G:G, "N/A")</f>
        <v>4075.03</v>
      </c>
      <c r="C9" s="51">
        <f>_xlfn.XLOOKUP(A9, 'Model VMT by TAZ'!$A:$A, 'Model VMT by TAZ'!$J:$J, "N/A")</f>
        <v>670</v>
      </c>
      <c r="D9" s="51">
        <f>_xlfn.XLOOKUP(A9,'Model Modeshare by TAZ'!$A:$A,'Model Modeshare by TAZ'!$E:$E,0)+_xlfn.XLOOKUP(A9,'Model Modeshare by TAZ'!$A:$A,'Model Modeshare by TAZ'!$F:$F,0)</f>
        <v>3639.2000000000003</v>
      </c>
      <c r="E9" s="51">
        <f>_xlfn.XLOOKUP(A9, 'Model VMT by TAZ'!$A:$A, 'Model Modeshare by TAZ'!$H:$H, "N/A")</f>
        <v>44.88</v>
      </c>
      <c r="F9" s="2" t="str">
        <f>_xlfn.XLOOKUP(A9, 'Model VMT by TAZ'!A:A, 'Model VMT by TAZ'!C:C)</f>
        <v>YES</v>
      </c>
      <c r="H9">
        <v>63.02</v>
      </c>
      <c r="I9" t="s">
        <v>1364</v>
      </c>
      <c r="J9" t="s">
        <v>1284</v>
      </c>
      <c r="K9" t="s">
        <v>1285</v>
      </c>
      <c r="L9" t="s">
        <v>1361</v>
      </c>
      <c r="M9" t="s">
        <v>1363</v>
      </c>
      <c r="N9" t="s">
        <v>1365</v>
      </c>
      <c r="O9">
        <v>0.23019999999999999</v>
      </c>
      <c r="P9" t="s">
        <v>1295</v>
      </c>
      <c r="Q9" t="s">
        <v>1290</v>
      </c>
      <c r="R9" t="s">
        <v>1291</v>
      </c>
      <c r="S9">
        <v>0</v>
      </c>
      <c r="T9">
        <v>30000</v>
      </c>
      <c r="U9">
        <v>130000</v>
      </c>
      <c r="V9" t="s">
        <v>1292</v>
      </c>
      <c r="W9">
        <v>7.9489999999999998</v>
      </c>
      <c r="X9">
        <v>7.2190000000000003</v>
      </c>
      <c r="Y9">
        <v>3</v>
      </c>
      <c r="Z9">
        <v>0.76900000000000002</v>
      </c>
      <c r="AA9">
        <v>0.84399999999999997</v>
      </c>
      <c r="AB9">
        <v>1.4059999999999999</v>
      </c>
      <c r="AC9">
        <v>1.2</v>
      </c>
      <c r="AD9">
        <v>0</v>
      </c>
    </row>
    <row r="10" spans="1:30" x14ac:dyDescent="0.35">
      <c r="A10">
        <v>1987</v>
      </c>
      <c r="B10" s="51">
        <f>_xlfn.XLOOKUP(A10, 'Model VMT by TAZ'!A:A, 'Model VMT by TAZ'!G:G, "N/A")</f>
        <v>23398.54</v>
      </c>
      <c r="C10" s="51">
        <f>_xlfn.XLOOKUP(A10, 'Model VMT by TAZ'!$A:$A, 'Model VMT by TAZ'!$J:$J, "N/A")</f>
        <v>2603</v>
      </c>
      <c r="D10" s="51">
        <f>_xlfn.XLOOKUP(A10,'Model Modeshare by TAZ'!$A:$A,'Model Modeshare by TAZ'!$E:$E,0)+_xlfn.XLOOKUP(A10,'Model Modeshare by TAZ'!$A:$A,'Model Modeshare by TAZ'!$F:$F,0)</f>
        <v>17283.579999999998</v>
      </c>
      <c r="E10" s="51">
        <f>_xlfn.XLOOKUP(A10, 'Model VMT by TAZ'!$A:$A, 'Model Modeshare by TAZ'!$H:$H, "N/A")</f>
        <v>220.9</v>
      </c>
      <c r="F10" s="2" t="str">
        <f>_xlfn.XLOOKUP(A10, 'Model VMT by TAZ'!A:A, 'Model VMT by TAZ'!C:C)</f>
        <v>YES</v>
      </c>
      <c r="H10">
        <v>63.03</v>
      </c>
      <c r="I10" t="s">
        <v>1366</v>
      </c>
      <c r="J10" t="s">
        <v>1284</v>
      </c>
      <c r="K10" t="s">
        <v>1285</v>
      </c>
      <c r="L10" t="s">
        <v>1367</v>
      </c>
      <c r="M10" t="s">
        <v>1365</v>
      </c>
      <c r="N10" t="s">
        <v>1368</v>
      </c>
      <c r="O10">
        <v>2.5270000000000001</v>
      </c>
      <c r="P10" t="s">
        <v>1289</v>
      </c>
      <c r="Q10" t="s">
        <v>1296</v>
      </c>
      <c r="R10" t="s">
        <v>1291</v>
      </c>
      <c r="S10">
        <v>0</v>
      </c>
      <c r="T10">
        <v>8260000</v>
      </c>
      <c r="U10">
        <v>3270000</v>
      </c>
      <c r="V10" t="s">
        <v>1292</v>
      </c>
      <c r="W10">
        <v>7.9489999999999998</v>
      </c>
      <c r="X10">
        <v>8.35</v>
      </c>
      <c r="Y10">
        <v>3</v>
      </c>
      <c r="Z10">
        <v>0.44700000000000001</v>
      </c>
      <c r="AA10">
        <v>0.623</v>
      </c>
      <c r="AB10">
        <v>1.28</v>
      </c>
      <c r="AC10">
        <v>2</v>
      </c>
      <c r="AD10">
        <v>1</v>
      </c>
    </row>
    <row r="11" spans="1:30" x14ac:dyDescent="0.35">
      <c r="A11">
        <v>2010</v>
      </c>
      <c r="B11" s="51">
        <f>_xlfn.XLOOKUP(A11, 'Model VMT by TAZ'!A:A, 'Model VMT by TAZ'!G:G, "N/A")</f>
        <v>2907.73</v>
      </c>
      <c r="C11" s="51">
        <f>_xlfn.XLOOKUP(A11, 'Model VMT by TAZ'!$A:$A, 'Model VMT by TAZ'!$J:$J, "N/A")</f>
        <v>170</v>
      </c>
      <c r="D11" s="51">
        <f>_xlfn.XLOOKUP(A11,'Model Modeshare by TAZ'!$A:$A,'Model Modeshare by TAZ'!$E:$E,0)+_xlfn.XLOOKUP(A11,'Model Modeshare by TAZ'!$A:$A,'Model Modeshare by TAZ'!$F:$F,0)</f>
        <v>17353.66</v>
      </c>
      <c r="E11" s="51">
        <f>_xlfn.XLOOKUP(A11, 'Model VMT by TAZ'!$A:$A, 'Model Modeshare by TAZ'!$H:$H, "N/A")</f>
        <v>168.86</v>
      </c>
      <c r="F11" s="2" t="str">
        <f>_xlfn.XLOOKUP(A11, 'Model VMT by TAZ'!A:A, 'Model VMT by TAZ'!C:C)</f>
        <v>YES</v>
      </c>
    </row>
    <row r="12" spans="1:30" x14ac:dyDescent="0.35">
      <c r="A12">
        <v>2009</v>
      </c>
      <c r="B12" s="51">
        <f>_xlfn.XLOOKUP(A12, 'Model VMT by TAZ'!A:A, 'Model VMT by TAZ'!G:G, "N/A")</f>
        <v>27937.67</v>
      </c>
      <c r="C12" s="51">
        <f>_xlfn.XLOOKUP(A12, 'Model VMT by TAZ'!$A:$A, 'Model VMT by TAZ'!$J:$J, "N/A")</f>
        <v>3624</v>
      </c>
      <c r="D12" s="51">
        <f>_xlfn.XLOOKUP(A12,'Model Modeshare by TAZ'!$A:$A,'Model Modeshare by TAZ'!$E:$E,0)+_xlfn.XLOOKUP(A12,'Model Modeshare by TAZ'!$A:$A,'Model Modeshare by TAZ'!$F:$F,0)</f>
        <v>27899</v>
      </c>
      <c r="E12" s="51">
        <f>_xlfn.XLOOKUP(A12, 'Model VMT by TAZ'!$A:$A, 'Model Modeshare by TAZ'!$H:$H, "N/A")</f>
        <v>409.6</v>
      </c>
      <c r="F12" s="2" t="str">
        <f>_xlfn.XLOOKUP(A12, 'Model VMT by TAZ'!A:A, 'Model VMT by TAZ'!C:C)</f>
        <v>YES</v>
      </c>
    </row>
    <row r="13" spans="1:30" x14ac:dyDescent="0.35">
      <c r="A13">
        <v>2018</v>
      </c>
      <c r="B13" s="51">
        <f>_xlfn.XLOOKUP(A13, 'Model VMT by TAZ'!A:A, 'Model VMT by TAZ'!G:G, "N/A")</f>
        <v>34921.11</v>
      </c>
      <c r="C13" s="51">
        <f>_xlfn.XLOOKUP(A13, 'Model VMT by TAZ'!$A:$A, 'Model VMT by TAZ'!$J:$J, "N/A")</f>
        <v>3486</v>
      </c>
      <c r="D13" s="51">
        <f>_xlfn.XLOOKUP(A13,'Model Modeshare by TAZ'!$A:$A,'Model Modeshare by TAZ'!$E:$E,0)+_xlfn.XLOOKUP(A13,'Model Modeshare by TAZ'!$A:$A,'Model Modeshare by TAZ'!$F:$F,0)</f>
        <v>17733.04</v>
      </c>
      <c r="E13" s="51">
        <f>_xlfn.XLOOKUP(A13, 'Model VMT by TAZ'!$A:$A, 'Model Modeshare by TAZ'!$H:$H, "N/A")</f>
        <v>272.7</v>
      </c>
      <c r="F13" s="2" t="str">
        <f>_xlfn.XLOOKUP(A13, 'Model VMT by TAZ'!A:A, 'Model VMT by TAZ'!C:C)</f>
        <v>YES</v>
      </c>
      <c r="H13" s="2" t="s">
        <v>1268</v>
      </c>
    </row>
    <row r="14" spans="1:30" x14ac:dyDescent="0.35">
      <c r="A14">
        <v>2008</v>
      </c>
      <c r="B14" s="51">
        <f>_xlfn.XLOOKUP(A14, 'Model VMT by TAZ'!A:A, 'Model VMT by TAZ'!G:G, "N/A")</f>
        <v>40318.81</v>
      </c>
      <c r="C14" s="51">
        <f>_xlfn.XLOOKUP(A14, 'Model VMT by TAZ'!$A:$A, 'Model VMT by TAZ'!$J:$J, "N/A")</f>
        <v>3188</v>
      </c>
      <c r="D14" s="51">
        <f>_xlfn.XLOOKUP(A14,'Model Modeshare by TAZ'!$A:$A,'Model Modeshare by TAZ'!$E:$E,0)+_xlfn.XLOOKUP(A14,'Model Modeshare by TAZ'!$A:$A,'Model Modeshare by TAZ'!$F:$F,0)</f>
        <v>12343.279999999999</v>
      </c>
      <c r="E14" s="51">
        <f>_xlfn.XLOOKUP(A14, 'Model VMT by TAZ'!$A:$A, 'Model Modeshare by TAZ'!$H:$H, "N/A")</f>
        <v>174.22</v>
      </c>
      <c r="F14" s="2" t="str">
        <f>_xlfn.XLOOKUP(A14, 'Model VMT by TAZ'!A:A, 'Model VMT by TAZ'!C:C)</f>
        <v>YES</v>
      </c>
      <c r="H14" t="s">
        <v>1301</v>
      </c>
      <c r="I14" s="30">
        <f>O8</f>
        <v>1.0141</v>
      </c>
    </row>
    <row r="15" spans="1:30" x14ac:dyDescent="0.35">
      <c r="A15">
        <v>2007</v>
      </c>
      <c r="B15" s="51">
        <f>_xlfn.XLOOKUP(A15, 'Model VMT by TAZ'!A:A, 'Model VMT by TAZ'!G:G, "N/A")</f>
        <v>24537.82</v>
      </c>
      <c r="C15" s="51">
        <f>_xlfn.XLOOKUP(A15, 'Model VMT by TAZ'!$A:$A, 'Model VMT by TAZ'!$J:$J, "N/A")</f>
        <v>2698</v>
      </c>
      <c r="D15" s="51">
        <f>_xlfn.XLOOKUP(A15,'Model Modeshare by TAZ'!$A:$A,'Model Modeshare by TAZ'!$E:$E,0)+_xlfn.XLOOKUP(A15,'Model Modeshare by TAZ'!$A:$A,'Model Modeshare by TAZ'!$F:$F,0)</f>
        <v>10671.84</v>
      </c>
      <c r="E15" s="51">
        <f>_xlfn.XLOOKUP(A15, 'Model VMT by TAZ'!$A:$A, 'Model Modeshare by TAZ'!$H:$H, "N/A")</f>
        <v>144.44</v>
      </c>
      <c r="F15" s="2" t="str">
        <f>_xlfn.XLOOKUP(A15, 'Model VMT by TAZ'!A:A, 'Model VMT by TAZ'!C:C)</f>
        <v>YES</v>
      </c>
      <c r="H15" t="s">
        <v>1300</v>
      </c>
      <c r="I15" s="30">
        <f>O9</f>
        <v>0.23019999999999999</v>
      </c>
    </row>
    <row r="16" spans="1:30" x14ac:dyDescent="0.35">
      <c r="A16">
        <v>2019</v>
      </c>
      <c r="B16" s="51">
        <f>_xlfn.XLOOKUP(A16, 'Model VMT by TAZ'!A:A, 'Model VMT by TAZ'!G:G, "N/A")</f>
        <v>34358.01</v>
      </c>
      <c r="C16" s="51">
        <f>_xlfn.XLOOKUP(A16, 'Model VMT by TAZ'!$A:$A, 'Model VMT by TAZ'!$J:$J, "N/A")</f>
        <v>2950</v>
      </c>
      <c r="D16" s="51">
        <f>_xlfn.XLOOKUP(A16,'Model Modeshare by TAZ'!$A:$A,'Model Modeshare by TAZ'!$E:$E,0)+_xlfn.XLOOKUP(A16,'Model Modeshare by TAZ'!$A:$A,'Model Modeshare by TAZ'!$F:$F,0)</f>
        <v>12166.82</v>
      </c>
      <c r="E16" s="51">
        <f>_xlfn.XLOOKUP(A16, 'Model VMT by TAZ'!$A:$A, 'Model Modeshare by TAZ'!$H:$H, "N/A")</f>
        <v>181.74</v>
      </c>
      <c r="F16" s="2" t="str">
        <f>_xlfn.XLOOKUP(A16, 'Model VMT by TAZ'!A:A, 'Model VMT by TAZ'!C:C)</f>
        <v>YES</v>
      </c>
      <c r="H16" t="s">
        <v>1369</v>
      </c>
      <c r="I16" s="30">
        <f>O10</f>
        <v>2.5270000000000001</v>
      </c>
    </row>
    <row r="17" spans="1:9" x14ac:dyDescent="0.35">
      <c r="A17">
        <v>2017</v>
      </c>
      <c r="B17" s="51">
        <f>_xlfn.XLOOKUP(A17, 'Model VMT by TAZ'!A:A, 'Model VMT by TAZ'!G:G, "N/A")</f>
        <v>25435.14</v>
      </c>
      <c r="C17" s="51">
        <f>_xlfn.XLOOKUP(A17, 'Model VMT by TAZ'!$A:$A, 'Model VMT by TAZ'!$J:$J, "N/A")</f>
        <v>2575</v>
      </c>
      <c r="D17" s="51">
        <f>_xlfn.XLOOKUP(A17,'Model Modeshare by TAZ'!$A:$A,'Model Modeshare by TAZ'!$E:$E,0)+_xlfn.XLOOKUP(A17,'Model Modeshare by TAZ'!$A:$A,'Model Modeshare by TAZ'!$F:$F,0)</f>
        <v>12853.68</v>
      </c>
      <c r="E17" s="51">
        <f>_xlfn.XLOOKUP(A17, 'Model VMT by TAZ'!$A:$A, 'Model Modeshare by TAZ'!$H:$H, "N/A")</f>
        <v>259.8</v>
      </c>
      <c r="F17" s="2" t="str">
        <f>_xlfn.XLOOKUP(A17, 'Model VMT by TAZ'!A:A, 'Model VMT by TAZ'!C:C)</f>
        <v>YES</v>
      </c>
      <c r="H17" s="2" t="s">
        <v>601</v>
      </c>
      <c r="I17" s="239">
        <f>SUM(I14:I16)</f>
        <v>3.7713000000000001</v>
      </c>
    </row>
    <row r="18" spans="1:9" x14ac:dyDescent="0.35">
      <c r="A18">
        <v>2016</v>
      </c>
      <c r="B18" s="51">
        <f>_xlfn.XLOOKUP(A18, 'Model VMT by TAZ'!A:A, 'Model VMT by TAZ'!G:G, "N/A")</f>
        <v>33080.230000000003</v>
      </c>
      <c r="C18" s="51">
        <f>_xlfn.XLOOKUP(A18, 'Model VMT by TAZ'!$A:$A, 'Model VMT by TAZ'!$J:$J, "N/A")</f>
        <v>2860</v>
      </c>
      <c r="D18" s="51">
        <f>_xlfn.XLOOKUP(A18,'Model Modeshare by TAZ'!$A:$A,'Model Modeshare by TAZ'!$E:$E,0)+_xlfn.XLOOKUP(A18,'Model Modeshare by TAZ'!$A:$A,'Model Modeshare by TAZ'!$F:$F,0)</f>
        <v>11707.900000000001</v>
      </c>
      <c r="E18" s="51">
        <f>_xlfn.XLOOKUP(A18, 'Model VMT by TAZ'!$A:$A, 'Model Modeshare by TAZ'!$H:$H, "N/A")</f>
        <v>266.88</v>
      </c>
      <c r="F18" s="2" t="str">
        <f>_xlfn.XLOOKUP(A18, 'Model VMT by TAZ'!A:A, 'Model VMT by TAZ'!C:C)</f>
        <v>YES</v>
      </c>
    </row>
    <row r="19" spans="1:9" x14ac:dyDescent="0.35">
      <c r="A19">
        <v>1679</v>
      </c>
      <c r="B19" s="51">
        <f>_xlfn.XLOOKUP(A19, 'Model VMT by TAZ'!A:A, 'Model VMT by TAZ'!G:G, "N/A")</f>
        <v>1223.28</v>
      </c>
      <c r="C19" s="51">
        <f>_xlfn.XLOOKUP(A19, 'Model VMT by TAZ'!$A:$A, 'Model VMT by TAZ'!$J:$J, "N/A")</f>
        <v>96</v>
      </c>
      <c r="D19" s="51">
        <f>_xlfn.XLOOKUP(A19,'Model Modeshare by TAZ'!$A:$A,'Model Modeshare by TAZ'!$E:$E,0)+_xlfn.XLOOKUP(A19,'Model Modeshare by TAZ'!$A:$A,'Model Modeshare by TAZ'!$F:$F,0)</f>
        <v>23527.16</v>
      </c>
      <c r="E19" s="51">
        <f>_xlfn.XLOOKUP(A19, 'Model VMT by TAZ'!$A:$A, 'Model Modeshare by TAZ'!$H:$H, "N/A")</f>
        <v>251.7</v>
      </c>
      <c r="F19" s="2" t="str">
        <f>_xlfn.XLOOKUP(A19, 'Model VMT by TAZ'!A:A, 'Model VMT by TAZ'!C:C)</f>
        <v>YES</v>
      </c>
    </row>
    <row r="20" spans="1:9" x14ac:dyDescent="0.35">
      <c r="A20">
        <v>1573</v>
      </c>
      <c r="B20" s="51">
        <f>_xlfn.XLOOKUP(A20, 'Model VMT by TAZ'!A:A, 'Model VMT by TAZ'!G:G, "N/A")</f>
        <v>25154.47</v>
      </c>
      <c r="C20" s="51">
        <f>_xlfn.XLOOKUP(A20, 'Model VMT by TAZ'!$A:$A, 'Model VMT by TAZ'!$J:$J, "N/A")</f>
        <v>2082</v>
      </c>
      <c r="D20" s="51">
        <f>_xlfn.XLOOKUP(A20,'Model Modeshare by TAZ'!$A:$A,'Model Modeshare by TAZ'!$E:$E,0)+_xlfn.XLOOKUP(A20,'Model Modeshare by TAZ'!$A:$A,'Model Modeshare by TAZ'!$F:$F,0)</f>
        <v>9691.34</v>
      </c>
      <c r="E20" s="51">
        <f>_xlfn.XLOOKUP(A20, 'Model VMT by TAZ'!$A:$A, 'Model Modeshare by TAZ'!$H:$H, "N/A")</f>
        <v>169.86</v>
      </c>
      <c r="F20" s="2" t="str">
        <f>_xlfn.XLOOKUP(A20, 'Model VMT by TAZ'!A:A, 'Model VMT by TAZ'!C:C)</f>
        <v>YES</v>
      </c>
    </row>
    <row r="21" spans="1:9" x14ac:dyDescent="0.35">
      <c r="A21">
        <v>1628</v>
      </c>
      <c r="B21" s="51">
        <f>_xlfn.XLOOKUP(A21, 'Model VMT by TAZ'!A:A, 'Model VMT by TAZ'!G:G, "N/A")</f>
        <v>6429.89</v>
      </c>
      <c r="C21" s="51">
        <f>_xlfn.XLOOKUP(A21, 'Model VMT by TAZ'!$A:$A, 'Model VMT by TAZ'!$J:$J, "N/A")</f>
        <v>414</v>
      </c>
      <c r="D21" s="51">
        <f>_xlfn.XLOOKUP(A21,'Model Modeshare by TAZ'!$A:$A,'Model Modeshare by TAZ'!$E:$E,0)+_xlfn.XLOOKUP(A21,'Model Modeshare by TAZ'!$A:$A,'Model Modeshare by TAZ'!$F:$F,0)</f>
        <v>13513.66</v>
      </c>
      <c r="E21" s="51">
        <f>_xlfn.XLOOKUP(A21, 'Model VMT by TAZ'!$A:$A, 'Model Modeshare by TAZ'!$H:$H, "N/A")</f>
        <v>177.52</v>
      </c>
      <c r="F21" s="2" t="str">
        <f>_xlfn.XLOOKUP(A21, 'Model VMT by TAZ'!A:A, 'Model VMT by TAZ'!C:C)</f>
        <v>YES</v>
      </c>
    </row>
    <row r="22" spans="1:9" x14ac:dyDescent="0.35">
      <c r="A22">
        <v>1566</v>
      </c>
      <c r="B22" s="51">
        <f>_xlfn.XLOOKUP(A22, 'Model VMT by TAZ'!A:A, 'Model VMT by TAZ'!G:G, "N/A")</f>
        <v>9497.85</v>
      </c>
      <c r="C22" s="51">
        <f>_xlfn.XLOOKUP(A22, 'Model VMT by TAZ'!$A:$A, 'Model VMT by TAZ'!$J:$J, "N/A")</f>
        <v>1331</v>
      </c>
      <c r="D22" s="51">
        <f>_xlfn.XLOOKUP(A22,'Model Modeshare by TAZ'!$A:$A,'Model Modeshare by TAZ'!$E:$E,0)+_xlfn.XLOOKUP(A22,'Model Modeshare by TAZ'!$A:$A,'Model Modeshare by TAZ'!$F:$F,0)</f>
        <v>6903.7000000000007</v>
      </c>
      <c r="E22" s="51">
        <f>_xlfn.XLOOKUP(A22, 'Model VMT by TAZ'!$A:$A, 'Model Modeshare by TAZ'!$H:$H, "N/A")</f>
        <v>108.4</v>
      </c>
      <c r="F22" s="2" t="str">
        <f>_xlfn.XLOOKUP(A22, 'Model VMT by TAZ'!A:A, 'Model VMT by TAZ'!C:C)</f>
        <v>YES</v>
      </c>
    </row>
    <row r="23" spans="1:9" x14ac:dyDescent="0.35">
      <c r="A23">
        <v>1624</v>
      </c>
      <c r="B23" s="51">
        <f>_xlfn.XLOOKUP(A23, 'Model VMT by TAZ'!A:A, 'Model VMT by TAZ'!G:G, "N/A")</f>
        <v>3044.58</v>
      </c>
      <c r="C23" s="51">
        <f>_xlfn.XLOOKUP(A23, 'Model VMT by TAZ'!$A:$A, 'Model VMT by TAZ'!$J:$J, "N/A")</f>
        <v>221</v>
      </c>
      <c r="D23" s="51">
        <f>_xlfn.XLOOKUP(A23,'Model Modeshare by TAZ'!$A:$A,'Model Modeshare by TAZ'!$E:$E,0)+_xlfn.XLOOKUP(A23,'Model Modeshare by TAZ'!$A:$A,'Model Modeshare by TAZ'!$F:$F,0)</f>
        <v>13806.02</v>
      </c>
      <c r="E23" s="51">
        <f>_xlfn.XLOOKUP(A23, 'Model VMT by TAZ'!$A:$A, 'Model Modeshare by TAZ'!$H:$H, "N/A")</f>
        <v>151.6</v>
      </c>
      <c r="F23" s="2" t="str">
        <f>_xlfn.XLOOKUP(A23, 'Model VMT by TAZ'!A:A, 'Model VMT by TAZ'!C:C)</f>
        <v>YES</v>
      </c>
    </row>
    <row r="24" spans="1:9" x14ac:dyDescent="0.35">
      <c r="A24">
        <v>1669</v>
      </c>
      <c r="B24" s="51">
        <f>_xlfn.XLOOKUP(A24, 'Model VMT by TAZ'!A:A, 'Model VMT by TAZ'!G:G, "N/A")</f>
        <v>0</v>
      </c>
      <c r="C24" s="51">
        <f>_xlfn.XLOOKUP(A24, 'Model VMT by TAZ'!$A:$A, 'Model VMT by TAZ'!$J:$J, "N/A")</f>
        <v>7</v>
      </c>
      <c r="D24" s="51">
        <f>_xlfn.XLOOKUP(A24,'Model Modeshare by TAZ'!$A:$A,'Model Modeshare by TAZ'!$E:$E,0)+_xlfn.XLOOKUP(A24,'Model Modeshare by TAZ'!$A:$A,'Model Modeshare by TAZ'!$F:$F,0)</f>
        <v>2568.62</v>
      </c>
      <c r="E24" s="51">
        <f>_xlfn.XLOOKUP(A24, 'Model VMT by TAZ'!$A:$A, 'Model Modeshare by TAZ'!$H:$H, "N/A")</f>
        <v>23.84</v>
      </c>
      <c r="F24" s="2" t="str">
        <f>_xlfn.XLOOKUP(A24, 'Model VMT by TAZ'!A:A, 'Model VMT by TAZ'!C:C)</f>
        <v>YES</v>
      </c>
    </row>
    <row r="25" spans="1:9" x14ac:dyDescent="0.35">
      <c r="A25">
        <v>1670</v>
      </c>
      <c r="B25" s="51">
        <f>_xlfn.XLOOKUP(A25, 'Model VMT by TAZ'!A:A, 'Model VMT by TAZ'!G:G, "N/A")</f>
        <v>75.53</v>
      </c>
      <c r="C25" s="51">
        <f>_xlfn.XLOOKUP(A25, 'Model VMT by TAZ'!$A:$A, 'Model VMT by TAZ'!$J:$J, "N/A")</f>
        <v>47</v>
      </c>
      <c r="D25" s="51">
        <f>_xlfn.XLOOKUP(A25,'Model Modeshare by TAZ'!$A:$A,'Model Modeshare by TAZ'!$E:$E,0)+_xlfn.XLOOKUP(A25,'Model Modeshare by TAZ'!$A:$A,'Model Modeshare by TAZ'!$F:$F,0)</f>
        <v>8774.86</v>
      </c>
      <c r="E25" s="51">
        <f>_xlfn.XLOOKUP(A25, 'Model VMT by TAZ'!$A:$A, 'Model Modeshare by TAZ'!$H:$H, "N/A")</f>
        <v>91.98</v>
      </c>
      <c r="F25" s="2" t="str">
        <f>_xlfn.XLOOKUP(A25, 'Model VMT by TAZ'!A:A, 'Model VMT by TAZ'!C:C)</f>
        <v>YES</v>
      </c>
    </row>
    <row r="26" spans="1:9" x14ac:dyDescent="0.35">
      <c r="A26">
        <v>1567</v>
      </c>
      <c r="B26" s="51">
        <f>_xlfn.XLOOKUP(A26, 'Model VMT by TAZ'!A:A, 'Model VMT by TAZ'!G:G, "N/A")</f>
        <v>18432.11</v>
      </c>
      <c r="C26" s="51">
        <f>_xlfn.XLOOKUP(A26, 'Model VMT by TAZ'!$A:$A, 'Model VMT by TAZ'!$J:$J, "N/A")</f>
        <v>1432</v>
      </c>
      <c r="D26" s="51">
        <f>_xlfn.XLOOKUP(A26,'Model Modeshare by TAZ'!$A:$A,'Model Modeshare by TAZ'!$E:$E,0)+_xlfn.XLOOKUP(A26,'Model Modeshare by TAZ'!$A:$A,'Model Modeshare by TAZ'!$F:$F,0)</f>
        <v>9978.32</v>
      </c>
      <c r="E26" s="51">
        <f>_xlfn.XLOOKUP(A26, 'Model VMT by TAZ'!$A:$A, 'Model Modeshare by TAZ'!$H:$H, "N/A")</f>
        <v>148.68</v>
      </c>
      <c r="F26" s="2" t="str">
        <f>_xlfn.XLOOKUP(A26, 'Model VMT by TAZ'!A:A, 'Model VMT by TAZ'!C:C)</f>
        <v>YES</v>
      </c>
    </row>
    <row r="27" spans="1:9" x14ac:dyDescent="0.35">
      <c r="A27">
        <v>1543</v>
      </c>
      <c r="B27" s="51">
        <f>_xlfn.XLOOKUP(A27, 'Model VMT by TAZ'!A:A, 'Model VMT by TAZ'!G:G, "N/A")</f>
        <v>5983.47</v>
      </c>
      <c r="C27" s="51">
        <f>_xlfn.XLOOKUP(A27, 'Model VMT by TAZ'!$A:$A, 'Model VMT by TAZ'!$J:$J, "N/A")</f>
        <v>503</v>
      </c>
      <c r="D27" s="51">
        <f>_xlfn.XLOOKUP(A27,'Model Modeshare by TAZ'!$A:$A,'Model Modeshare by TAZ'!$E:$E,0)+_xlfn.XLOOKUP(A27,'Model Modeshare by TAZ'!$A:$A,'Model Modeshare by TAZ'!$F:$F,0)</f>
        <v>8899.0400000000009</v>
      </c>
      <c r="E27" s="51">
        <f>_xlfn.XLOOKUP(A27, 'Model VMT by TAZ'!$A:$A, 'Model Modeshare by TAZ'!$H:$H, "N/A")</f>
        <v>104.14</v>
      </c>
      <c r="F27" s="2" t="str">
        <f>_xlfn.XLOOKUP(A27, 'Model VMT by TAZ'!A:A, 'Model VMT by TAZ'!C:C)</f>
        <v>YES</v>
      </c>
    </row>
    <row r="28" spans="1:9" x14ac:dyDescent="0.35">
      <c r="A28">
        <v>1986</v>
      </c>
      <c r="B28" s="51">
        <f>_xlfn.XLOOKUP(A28, 'Model VMT by TAZ'!A:A, 'Model VMT by TAZ'!G:G, "N/A")</f>
        <v>37913.03</v>
      </c>
      <c r="C28" s="51">
        <f>_xlfn.XLOOKUP(A28, 'Model VMT by TAZ'!$A:$A, 'Model VMT by TAZ'!$J:$J, "N/A")</f>
        <v>3250</v>
      </c>
      <c r="D28" s="51">
        <f>_xlfn.XLOOKUP(A28,'Model Modeshare by TAZ'!$A:$A,'Model Modeshare by TAZ'!$E:$E,0)+_xlfn.XLOOKUP(A28,'Model Modeshare by TAZ'!$A:$A,'Model Modeshare by TAZ'!$F:$F,0)</f>
        <v>14390.76</v>
      </c>
      <c r="E28" s="51">
        <f>_xlfn.XLOOKUP(A28, 'Model VMT by TAZ'!$A:$A, 'Model Modeshare by TAZ'!$H:$H, "N/A")</f>
        <v>224.92</v>
      </c>
      <c r="F28" s="2" t="str">
        <f>_xlfn.XLOOKUP(A28, 'Model VMT by TAZ'!A:A, 'Model VMT by TAZ'!C:C)</f>
        <v>YES</v>
      </c>
    </row>
    <row r="29" spans="1:9" x14ac:dyDescent="0.35">
      <c r="A29">
        <v>1657</v>
      </c>
      <c r="B29" s="51">
        <f>_xlfn.XLOOKUP(A29, 'Model VMT by TAZ'!A:A, 'Model VMT by TAZ'!G:G, "N/A")</f>
        <v>24727.19</v>
      </c>
      <c r="C29" s="51">
        <f>_xlfn.XLOOKUP(A29, 'Model VMT by TAZ'!$A:$A, 'Model VMT by TAZ'!$J:$J, "N/A")</f>
        <v>2288</v>
      </c>
      <c r="D29" s="51">
        <f>_xlfn.XLOOKUP(A29,'Model Modeshare by TAZ'!$A:$A,'Model Modeshare by TAZ'!$E:$E,0)+_xlfn.XLOOKUP(A29,'Model Modeshare by TAZ'!$A:$A,'Model Modeshare by TAZ'!$F:$F,0)</f>
        <v>13601.48</v>
      </c>
      <c r="E29" s="51">
        <f>_xlfn.XLOOKUP(A29, 'Model VMT by TAZ'!$A:$A, 'Model Modeshare by TAZ'!$H:$H, "N/A")</f>
        <v>179</v>
      </c>
      <c r="F29" s="2" t="str">
        <f>_xlfn.XLOOKUP(A29, 'Model VMT by TAZ'!A:A, 'Model VMT by TAZ'!C:C)</f>
        <v>YES</v>
      </c>
    </row>
    <row r="30" spans="1:9" x14ac:dyDescent="0.35">
      <c r="A30">
        <v>1551</v>
      </c>
      <c r="B30" s="51">
        <f>_xlfn.XLOOKUP(A30, 'Model VMT by TAZ'!A:A, 'Model VMT by TAZ'!G:G, "N/A")</f>
        <v>4896.16</v>
      </c>
      <c r="C30" s="51">
        <f>_xlfn.XLOOKUP(A30, 'Model VMT by TAZ'!$A:$A, 'Model VMT by TAZ'!$J:$J, "N/A")</f>
        <v>650</v>
      </c>
      <c r="D30" s="51">
        <f>_xlfn.XLOOKUP(A30,'Model Modeshare by TAZ'!$A:$A,'Model Modeshare by TAZ'!$E:$E,0)+_xlfn.XLOOKUP(A30,'Model Modeshare by TAZ'!$A:$A,'Model Modeshare by TAZ'!$F:$F,0)</f>
        <v>7208.04</v>
      </c>
      <c r="E30" s="51">
        <f>_xlfn.XLOOKUP(A30, 'Model VMT by TAZ'!$A:$A, 'Model Modeshare by TAZ'!$H:$H, "N/A")</f>
        <v>83.36</v>
      </c>
      <c r="F30" s="2" t="str">
        <f>_xlfn.XLOOKUP(A30, 'Model VMT by TAZ'!A:A, 'Model VMT by TAZ'!C:C)</f>
        <v>YES</v>
      </c>
    </row>
    <row r="31" spans="1:9" x14ac:dyDescent="0.35">
      <c r="A31">
        <v>1626</v>
      </c>
      <c r="B31" s="51">
        <f>_xlfn.XLOOKUP(A31, 'Model VMT by TAZ'!A:A, 'Model VMT by TAZ'!G:G, "N/A")</f>
        <v>0</v>
      </c>
      <c r="C31" s="51">
        <f>_xlfn.XLOOKUP(A31, 'Model VMT by TAZ'!$A:$A, 'Model VMT by TAZ'!$J:$J, "N/A")</f>
        <v>0</v>
      </c>
      <c r="D31" s="51">
        <f>_xlfn.XLOOKUP(A31,'Model Modeshare by TAZ'!$A:$A,'Model Modeshare by TAZ'!$E:$E,0)+_xlfn.XLOOKUP(A31,'Model Modeshare by TAZ'!$A:$A,'Model Modeshare by TAZ'!$F:$F,0)</f>
        <v>8.1</v>
      </c>
      <c r="E31" s="51">
        <f>_xlfn.XLOOKUP(A31, 'Model VMT by TAZ'!$A:$A, 'Model Modeshare by TAZ'!$H:$H, "N/A")</f>
        <v>0</v>
      </c>
      <c r="F31" s="2" t="str">
        <f>_xlfn.XLOOKUP(A31, 'Model VMT by TAZ'!A:A, 'Model VMT by TAZ'!C:C)</f>
        <v>YES</v>
      </c>
    </row>
    <row r="32" spans="1:9" x14ac:dyDescent="0.35">
      <c r="A32">
        <v>1672</v>
      </c>
      <c r="B32" s="51">
        <f>_xlfn.XLOOKUP(A32, 'Model VMT by TAZ'!A:A, 'Model VMT by TAZ'!G:G, "N/A")</f>
        <v>14172.79</v>
      </c>
      <c r="C32" s="51">
        <f>_xlfn.XLOOKUP(A32, 'Model VMT by TAZ'!$A:$A, 'Model VMT by TAZ'!$J:$J, "N/A")</f>
        <v>1066</v>
      </c>
      <c r="D32" s="51">
        <f>_xlfn.XLOOKUP(A32,'Model Modeshare by TAZ'!$A:$A,'Model Modeshare by TAZ'!$E:$E,0)+_xlfn.XLOOKUP(A32,'Model Modeshare by TAZ'!$A:$A,'Model Modeshare by TAZ'!$F:$F,0)</f>
        <v>10550.66</v>
      </c>
      <c r="E32" s="51">
        <f>_xlfn.XLOOKUP(A32, 'Model VMT by TAZ'!$A:$A, 'Model Modeshare by TAZ'!$H:$H, "N/A")</f>
        <v>126.7</v>
      </c>
      <c r="F32" s="2" t="str">
        <f>_xlfn.XLOOKUP(A32, 'Model VMT by TAZ'!A:A, 'Model VMT by TAZ'!C:C)</f>
        <v>YES</v>
      </c>
    </row>
    <row r="33" spans="1:6" x14ac:dyDescent="0.35">
      <c r="A33">
        <v>1623</v>
      </c>
      <c r="B33" s="51">
        <f>_xlfn.XLOOKUP(A33, 'Model VMT by TAZ'!A:A, 'Model VMT by TAZ'!G:G, "N/A")</f>
        <v>15741.63</v>
      </c>
      <c r="C33" s="51">
        <f>_xlfn.XLOOKUP(A33, 'Model VMT by TAZ'!$A:$A, 'Model VMT by TAZ'!$J:$J, "N/A")</f>
        <v>2447</v>
      </c>
      <c r="D33" s="51">
        <f>_xlfn.XLOOKUP(A33,'Model Modeshare by TAZ'!$A:$A,'Model Modeshare by TAZ'!$E:$E,0)+_xlfn.XLOOKUP(A33,'Model Modeshare by TAZ'!$A:$A,'Model Modeshare by TAZ'!$F:$F,0)</f>
        <v>14668.04</v>
      </c>
      <c r="E33" s="51">
        <f>_xlfn.XLOOKUP(A33, 'Model VMT by TAZ'!$A:$A, 'Model Modeshare by TAZ'!$H:$H, "N/A")</f>
        <v>199.18</v>
      </c>
      <c r="F33" s="2" t="str">
        <f>_xlfn.XLOOKUP(A33, 'Model VMT by TAZ'!A:A, 'Model VMT by TAZ'!C:C)</f>
        <v>YES</v>
      </c>
    </row>
    <row r="34" spans="1:6" x14ac:dyDescent="0.35">
      <c r="A34">
        <v>2015</v>
      </c>
      <c r="B34" s="51">
        <f>_xlfn.XLOOKUP(A34, 'Model VMT by TAZ'!A:A, 'Model VMT by TAZ'!G:G, "N/A")</f>
        <v>18986.48</v>
      </c>
      <c r="C34" s="51">
        <f>_xlfn.XLOOKUP(A34, 'Model VMT by TAZ'!$A:$A, 'Model VMT by TAZ'!$J:$J, "N/A")</f>
        <v>1822</v>
      </c>
      <c r="D34" s="51">
        <f>_xlfn.XLOOKUP(A34,'Model Modeshare by TAZ'!$A:$A,'Model Modeshare by TAZ'!$E:$E,0)+_xlfn.XLOOKUP(A34,'Model Modeshare by TAZ'!$A:$A,'Model Modeshare by TAZ'!$F:$F,0)</f>
        <v>43229.46</v>
      </c>
      <c r="E34" s="51">
        <f>_xlfn.XLOOKUP(A34, 'Model VMT by TAZ'!$A:$A, 'Model Modeshare by TAZ'!$H:$H, "N/A")</f>
        <v>570.94000000000005</v>
      </c>
      <c r="F34" s="2" t="str">
        <f>_xlfn.XLOOKUP(A34, 'Model VMT by TAZ'!A:A, 'Model VMT by TAZ'!C:C)</f>
        <v>YES</v>
      </c>
    </row>
    <row r="35" spans="1:6" x14ac:dyDescent="0.35">
      <c r="A35">
        <v>1550</v>
      </c>
      <c r="B35" s="51"/>
      <c r="C35" s="51"/>
      <c r="D35" s="51"/>
      <c r="E35" s="51"/>
      <c r="F35" s="2" t="str">
        <f>_xlfn.XLOOKUP(A35, 'Model VMT by TAZ'!A:A, 'Model VMT by TAZ'!C:C)</f>
        <v>YES</v>
      </c>
    </row>
  </sheetData>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E8243-268D-4A3A-A4EB-1E6DD468A71A}">
  <sheetPr>
    <tabColor theme="6"/>
  </sheetPr>
  <dimension ref="A1:AD35"/>
  <sheetViews>
    <sheetView workbookViewId="0">
      <selection activeCell="B25" sqref="B25"/>
    </sheetView>
  </sheetViews>
  <sheetFormatPr defaultRowHeight="14.5" x14ac:dyDescent="0.35"/>
  <cols>
    <col min="1" max="1" width="11.7265625" customWidth="1"/>
    <col min="2" max="2" width="10.7265625" bestFit="1" customWidth="1"/>
    <col min="3" max="3" width="26.26953125" customWidth="1"/>
    <col min="4" max="4" width="14.1796875" customWidth="1"/>
    <col min="5" max="5" width="17.81640625" customWidth="1"/>
    <col min="6" max="6" width="12.7265625" customWidth="1"/>
    <col min="9" max="9" width="17" customWidth="1"/>
    <col min="10" max="10" width="9.1796875" customWidth="1"/>
    <col min="14" max="14" width="14.54296875" customWidth="1"/>
    <col min="16" max="16" width="21.81640625" customWidth="1"/>
    <col min="17" max="17" width="26.54296875" customWidth="1"/>
    <col min="18" max="18" width="17.81640625" customWidth="1"/>
    <col min="23" max="23" width="13" customWidth="1"/>
    <col min="24" max="24" width="16.453125" customWidth="1"/>
    <col min="25" max="25" width="14" customWidth="1"/>
  </cols>
  <sheetData>
    <row r="1" spans="1:30" x14ac:dyDescent="0.35">
      <c r="A1" s="54" t="s">
        <v>1252</v>
      </c>
    </row>
    <row r="3" spans="1:30" x14ac:dyDescent="0.35">
      <c r="A3" s="2" t="s">
        <v>1370</v>
      </c>
      <c r="D3" s="54" t="s">
        <v>1254</v>
      </c>
    </row>
    <row r="4" spans="1:30" ht="39.5" x14ac:dyDescent="0.35">
      <c r="A4" s="237" t="s">
        <v>1255</v>
      </c>
      <c r="B4" s="237" t="s">
        <v>1256</v>
      </c>
      <c r="C4" s="238" t="s">
        <v>1168</v>
      </c>
      <c r="D4" s="238" t="s">
        <v>1257</v>
      </c>
      <c r="E4" s="238" t="s">
        <v>1258</v>
      </c>
      <c r="F4" s="238" t="s">
        <v>411</v>
      </c>
      <c r="H4" s="238" t="s">
        <v>1259</v>
      </c>
      <c r="I4" s="238" t="s">
        <v>1260</v>
      </c>
    </row>
    <row r="5" spans="1:30" x14ac:dyDescent="0.35">
      <c r="A5">
        <v>2020</v>
      </c>
      <c r="B5" s="51">
        <f>_xlfn.XLOOKUP(A5, 'Model VMT by TAZ'!A:A, 'Model VMT by TAZ'!G:G, "N/A")</f>
        <v>52504.92</v>
      </c>
      <c r="C5" s="51">
        <f>_xlfn.XLOOKUP(A5, 'Model VMT by TAZ'!$A:$A, 'Model VMT by TAZ'!$J:$J, "N/A")</f>
        <v>4744</v>
      </c>
      <c r="D5" s="51">
        <f>_xlfn.XLOOKUP(A5,'Model Modeshare by TAZ'!$A:$A,'Model Modeshare by TAZ'!$E:$E,0)+_xlfn.XLOOKUP(A5,'Model Modeshare by TAZ'!$A:$A,'Model Modeshare by TAZ'!$F:$F,0)</f>
        <v>18419.72</v>
      </c>
      <c r="E5" s="51">
        <f>_xlfn.XLOOKUP(A5, 'Model VMT by TAZ'!$A:$A, 'Model Modeshare by TAZ'!$H:$H, "N/A")</f>
        <v>403.44</v>
      </c>
      <c r="F5" s="2" t="str">
        <f>_xlfn.XLOOKUP(A5, 'Model VMT by TAZ'!A:A, 'Model VMT by TAZ'!C:C)</f>
        <v>YES</v>
      </c>
      <c r="H5" s="33">
        <f>(SUM(D5:D78))/(SUM(C5:C78))</f>
        <v>4.945900265437837</v>
      </c>
      <c r="I5" s="33">
        <f>(SUM(E5:E78))/(SUM(C5:C78))</f>
        <v>7.3305576889391891E-2</v>
      </c>
    </row>
    <row r="6" spans="1:30" x14ac:dyDescent="0.35">
      <c r="A6">
        <v>1622</v>
      </c>
      <c r="B6" s="51">
        <f>_xlfn.XLOOKUP(A6, 'Model VMT by TAZ'!A:A, 'Model VMT by TAZ'!G:G, "N/A")</f>
        <v>28998.43</v>
      </c>
      <c r="C6" s="51">
        <f>_xlfn.XLOOKUP(A6, 'Model VMT by TAZ'!$A:$A, 'Model VMT by TAZ'!$J:$J, "N/A")</f>
        <v>2175</v>
      </c>
      <c r="D6" s="51">
        <f>_xlfn.XLOOKUP(A6,'Model Modeshare by TAZ'!$A:$A,'Model Modeshare by TAZ'!$E:$E,0)+_xlfn.XLOOKUP(A6,'Model Modeshare by TAZ'!$A:$A,'Model Modeshare by TAZ'!$F:$F,0)</f>
        <v>8417.16</v>
      </c>
      <c r="E6" s="51">
        <f>_xlfn.XLOOKUP(A6, 'Model VMT by TAZ'!$A:$A, 'Model Modeshare by TAZ'!$H:$H, "N/A")</f>
        <v>130</v>
      </c>
      <c r="F6" s="2" t="str">
        <f>_xlfn.XLOOKUP(A6, 'Model VMT by TAZ'!A:A, 'Model VMT by TAZ'!C:C)</f>
        <v>YES</v>
      </c>
    </row>
    <row r="7" spans="1:30" ht="39.5" x14ac:dyDescent="0.35">
      <c r="A7">
        <v>2021</v>
      </c>
      <c r="B7" s="51">
        <f>_xlfn.XLOOKUP(A7, 'Model VMT by TAZ'!A:A, 'Model VMT by TAZ'!G:G, "N/A")</f>
        <v>37606.89</v>
      </c>
      <c r="C7" s="51">
        <f>_xlfn.XLOOKUP(A7, 'Model VMT by TAZ'!$A:$A, 'Model VMT by TAZ'!$J:$J, "N/A")</f>
        <v>3045</v>
      </c>
      <c r="D7" s="51">
        <f>_xlfn.XLOOKUP(A7,'Model Modeshare by TAZ'!$A:$A,'Model Modeshare by TAZ'!$E:$E,0)+_xlfn.XLOOKUP(A7,'Model Modeshare by TAZ'!$A:$A,'Model Modeshare by TAZ'!$F:$F,0)</f>
        <v>13919.62</v>
      </c>
      <c r="E7" s="51">
        <f>_xlfn.XLOOKUP(A7, 'Model VMT by TAZ'!$A:$A, 'Model Modeshare by TAZ'!$H:$H, "N/A")</f>
        <v>254.14</v>
      </c>
      <c r="F7" s="2" t="str">
        <f>_xlfn.XLOOKUP(A7, 'Model VMT by TAZ'!A:A, 'Model VMT by TAZ'!C:C)</f>
        <v>YES</v>
      </c>
      <c r="H7" s="240" t="s">
        <v>1261</v>
      </c>
      <c r="I7" s="240" t="s">
        <v>1304</v>
      </c>
      <c r="J7" s="240" t="s">
        <v>1263</v>
      </c>
      <c r="K7" s="240" t="s">
        <v>1264</v>
      </c>
      <c r="L7" s="240" t="s">
        <v>1265</v>
      </c>
      <c r="M7" s="240" t="s">
        <v>1266</v>
      </c>
      <c r="N7" s="240" t="s">
        <v>1267</v>
      </c>
      <c r="O7" s="240" t="s">
        <v>1268</v>
      </c>
      <c r="P7" s="240" t="s">
        <v>1269</v>
      </c>
      <c r="Q7" s="240" t="s">
        <v>1270</v>
      </c>
      <c r="R7" s="240" t="s">
        <v>1271</v>
      </c>
      <c r="S7" s="240" t="s">
        <v>1272</v>
      </c>
      <c r="T7" s="240" t="s">
        <v>1273</v>
      </c>
      <c r="U7" s="240" t="s">
        <v>1274</v>
      </c>
      <c r="V7" s="240" t="s">
        <v>1275</v>
      </c>
      <c r="W7" s="240" t="s">
        <v>1276</v>
      </c>
      <c r="X7" s="240" t="s">
        <v>1305</v>
      </c>
      <c r="Y7" s="240" t="s">
        <v>1278</v>
      </c>
      <c r="Z7" s="240" t="s">
        <v>1279</v>
      </c>
      <c r="AA7" s="240" t="s">
        <v>1280</v>
      </c>
      <c r="AB7" s="240" t="s">
        <v>1281</v>
      </c>
      <c r="AC7" s="240" t="s">
        <v>1282</v>
      </c>
      <c r="AD7" s="240" t="s">
        <v>1283</v>
      </c>
    </row>
    <row r="8" spans="1:30" x14ac:dyDescent="0.35">
      <c r="A8">
        <v>2022</v>
      </c>
      <c r="B8" s="51">
        <f>_xlfn.XLOOKUP(A8, 'Model VMT by TAZ'!A:A, 'Model VMT by TAZ'!G:G, "N/A")</f>
        <v>53230.31</v>
      </c>
      <c r="C8" s="51">
        <f>_xlfn.XLOOKUP(A8, 'Model VMT by TAZ'!$A:$A, 'Model VMT by TAZ'!$J:$J, "N/A")</f>
        <v>4793</v>
      </c>
      <c r="D8" s="51">
        <f>_xlfn.XLOOKUP(A8,'Model Modeshare by TAZ'!$A:$A,'Model Modeshare by TAZ'!$E:$E,0)+_xlfn.XLOOKUP(A8,'Model Modeshare by TAZ'!$A:$A,'Model Modeshare by TAZ'!$F:$F,0)</f>
        <v>25774.879999999997</v>
      </c>
      <c r="E8" s="51">
        <f>_xlfn.XLOOKUP(A8, 'Model VMT by TAZ'!$A:$A, 'Model Modeshare by TAZ'!$H:$H, "N/A")</f>
        <v>521.38</v>
      </c>
      <c r="F8" s="2" t="str">
        <f>_xlfn.XLOOKUP(A8, 'Model VMT by TAZ'!A:A, 'Model VMT by TAZ'!C:C)</f>
        <v>YES</v>
      </c>
      <c r="H8">
        <v>24.05</v>
      </c>
      <c r="I8" t="s">
        <v>1371</v>
      </c>
      <c r="J8" t="s">
        <v>1284</v>
      </c>
      <c r="K8" t="s">
        <v>1285</v>
      </c>
      <c r="L8" t="s">
        <v>1372</v>
      </c>
      <c r="M8" t="s">
        <v>1373</v>
      </c>
      <c r="N8" t="s">
        <v>1374</v>
      </c>
      <c r="O8">
        <v>2.9485000000000001</v>
      </c>
      <c r="P8" t="s">
        <v>1289</v>
      </c>
      <c r="Q8" t="s">
        <v>1290</v>
      </c>
      <c r="R8" t="s">
        <v>1291</v>
      </c>
      <c r="S8">
        <v>0</v>
      </c>
      <c r="T8">
        <v>380000</v>
      </c>
      <c r="U8">
        <v>130000</v>
      </c>
      <c r="V8" t="s">
        <v>1311</v>
      </c>
      <c r="W8">
        <v>6.3620000000000001</v>
      </c>
      <c r="X8">
        <v>6.2629999999999999</v>
      </c>
      <c r="Y8">
        <v>3</v>
      </c>
      <c r="Z8">
        <v>0.30199999999999999</v>
      </c>
      <c r="AA8">
        <v>0.44700000000000001</v>
      </c>
      <c r="AB8">
        <v>1.3140000000000001</v>
      </c>
      <c r="AC8">
        <v>1.2</v>
      </c>
      <c r="AD8">
        <v>0</v>
      </c>
    </row>
    <row r="9" spans="1:30" x14ac:dyDescent="0.35">
      <c r="A9">
        <v>1987</v>
      </c>
      <c r="B9" s="51">
        <f>_xlfn.XLOOKUP(A9, 'Model VMT by TAZ'!A:A, 'Model VMT by TAZ'!G:G, "N/A")</f>
        <v>23398.54</v>
      </c>
      <c r="C9" s="51">
        <f>_xlfn.XLOOKUP(A9, 'Model VMT by TAZ'!$A:$A, 'Model VMT by TAZ'!$J:$J, "N/A")</f>
        <v>2603</v>
      </c>
      <c r="D9" s="51">
        <f>_xlfn.XLOOKUP(A9,'Model Modeshare by TAZ'!$A:$A,'Model Modeshare by TAZ'!$E:$E,0)+_xlfn.XLOOKUP(A9,'Model Modeshare by TAZ'!$A:$A,'Model Modeshare by TAZ'!$F:$F,0)</f>
        <v>17283.579999999998</v>
      </c>
      <c r="E9" s="51">
        <f>_xlfn.XLOOKUP(A9, 'Model VMT by TAZ'!$A:$A, 'Model Modeshare by TAZ'!$H:$H, "N/A")</f>
        <v>220.9</v>
      </c>
      <c r="F9" s="2" t="str">
        <f>_xlfn.XLOOKUP(A9, 'Model VMT by TAZ'!A:A, 'Model VMT by TAZ'!C:C)</f>
        <v>YES</v>
      </c>
      <c r="H9">
        <v>24.06</v>
      </c>
      <c r="I9" t="s">
        <v>379</v>
      </c>
      <c r="J9" t="s">
        <v>1284</v>
      </c>
      <c r="K9" t="s">
        <v>1285</v>
      </c>
      <c r="L9" t="s">
        <v>1375</v>
      </c>
      <c r="M9" t="s">
        <v>1374</v>
      </c>
      <c r="N9" t="s">
        <v>1376</v>
      </c>
      <c r="O9">
        <v>0.41489999999999999</v>
      </c>
      <c r="P9" t="s">
        <v>1309</v>
      </c>
      <c r="Q9" t="s">
        <v>1299</v>
      </c>
      <c r="R9" t="s">
        <v>1310</v>
      </c>
      <c r="S9">
        <v>0</v>
      </c>
      <c r="T9">
        <v>40000</v>
      </c>
      <c r="U9">
        <v>90000</v>
      </c>
      <c r="V9" t="s">
        <v>1311</v>
      </c>
      <c r="W9">
        <v>6.3620000000000001</v>
      </c>
      <c r="X9">
        <v>6.7720000000000002</v>
      </c>
      <c r="Y9">
        <v>3</v>
      </c>
      <c r="Z9">
        <v>0.71399999999999997</v>
      </c>
      <c r="AA9">
        <v>0.40699999999999997</v>
      </c>
      <c r="AB9">
        <v>1.4510000000000001</v>
      </c>
      <c r="AC9">
        <v>1.2</v>
      </c>
      <c r="AD9">
        <v>0</v>
      </c>
    </row>
    <row r="10" spans="1:30" x14ac:dyDescent="0.35">
      <c r="A10">
        <v>2009</v>
      </c>
      <c r="B10" s="51">
        <f>_xlfn.XLOOKUP(A10, 'Model VMT by TAZ'!A:A, 'Model VMT by TAZ'!G:G, "N/A")</f>
        <v>27937.67</v>
      </c>
      <c r="C10" s="51">
        <f>_xlfn.XLOOKUP(A10, 'Model VMT by TAZ'!$A:$A, 'Model VMT by TAZ'!$J:$J, "N/A")</f>
        <v>3624</v>
      </c>
      <c r="D10" s="51">
        <f>_xlfn.XLOOKUP(A10,'Model Modeshare by TAZ'!$A:$A,'Model Modeshare by TAZ'!$E:$E,0)+_xlfn.XLOOKUP(A10,'Model Modeshare by TAZ'!$A:$A,'Model Modeshare by TAZ'!$F:$F,0)</f>
        <v>27899</v>
      </c>
      <c r="E10" s="51">
        <f>_xlfn.XLOOKUP(A10, 'Model VMT by TAZ'!$A:$A, 'Model Modeshare by TAZ'!$H:$H, "N/A")</f>
        <v>409.6</v>
      </c>
      <c r="F10" s="2" t="str">
        <f>_xlfn.XLOOKUP(A10, 'Model VMT by TAZ'!A:A, 'Model VMT by TAZ'!C:C)</f>
        <v>YES</v>
      </c>
      <c r="H10">
        <v>24.07</v>
      </c>
      <c r="I10" t="s">
        <v>1377</v>
      </c>
      <c r="J10" t="s">
        <v>1284</v>
      </c>
      <c r="K10" t="s">
        <v>1285</v>
      </c>
      <c r="L10" t="s">
        <v>1378</v>
      </c>
      <c r="M10" t="s">
        <v>1379</v>
      </c>
      <c r="N10" t="s">
        <v>1380</v>
      </c>
      <c r="O10">
        <v>0.4506</v>
      </c>
      <c r="P10" t="s">
        <v>1295</v>
      </c>
      <c r="Q10" t="s">
        <v>1381</v>
      </c>
      <c r="R10" t="s">
        <v>1291</v>
      </c>
      <c r="S10">
        <v>0</v>
      </c>
      <c r="T10">
        <v>110000</v>
      </c>
      <c r="U10">
        <v>240000</v>
      </c>
      <c r="V10" t="s">
        <v>1311</v>
      </c>
      <c r="W10">
        <v>6.3620000000000001</v>
      </c>
      <c r="X10">
        <v>6.5170000000000003</v>
      </c>
      <c r="Y10">
        <v>3</v>
      </c>
      <c r="Z10">
        <v>0.71899999999999997</v>
      </c>
      <c r="AA10">
        <v>0.38700000000000001</v>
      </c>
      <c r="AB10">
        <v>1.2110000000000001</v>
      </c>
      <c r="AC10">
        <v>1.2</v>
      </c>
      <c r="AD10">
        <v>0</v>
      </c>
    </row>
    <row r="11" spans="1:30" x14ac:dyDescent="0.35">
      <c r="A11">
        <v>2018</v>
      </c>
      <c r="B11" s="51">
        <f>_xlfn.XLOOKUP(A11, 'Model VMT by TAZ'!A:A, 'Model VMT by TAZ'!G:G, "N/A")</f>
        <v>34921.11</v>
      </c>
      <c r="C11" s="51">
        <f>_xlfn.XLOOKUP(A11, 'Model VMT by TAZ'!$A:$A, 'Model VMT by TAZ'!$J:$J, "N/A")</f>
        <v>3486</v>
      </c>
      <c r="D11" s="51">
        <f>_xlfn.XLOOKUP(A11,'Model Modeshare by TAZ'!$A:$A,'Model Modeshare by TAZ'!$E:$E,0)+_xlfn.XLOOKUP(A11,'Model Modeshare by TAZ'!$A:$A,'Model Modeshare by TAZ'!$F:$F,0)</f>
        <v>17733.04</v>
      </c>
      <c r="E11" s="51">
        <f>_xlfn.XLOOKUP(A11, 'Model VMT by TAZ'!$A:$A, 'Model Modeshare by TAZ'!$H:$H, "N/A")</f>
        <v>272.7</v>
      </c>
      <c r="F11" s="2" t="str">
        <f>_xlfn.XLOOKUP(A11, 'Model VMT by TAZ'!A:A, 'Model VMT by TAZ'!C:C)</f>
        <v>YES</v>
      </c>
      <c r="H11">
        <v>24.08</v>
      </c>
      <c r="I11" t="s">
        <v>379</v>
      </c>
      <c r="J11" t="s">
        <v>1284</v>
      </c>
      <c r="K11" t="s">
        <v>1285</v>
      </c>
      <c r="L11" t="s">
        <v>1382</v>
      </c>
      <c r="M11" t="s">
        <v>1380</v>
      </c>
      <c r="N11" t="s">
        <v>1358</v>
      </c>
      <c r="O11">
        <v>1.7991999999999999</v>
      </c>
      <c r="P11" t="s">
        <v>1299</v>
      </c>
      <c r="Q11" t="s">
        <v>1290</v>
      </c>
      <c r="R11" t="s">
        <v>1291</v>
      </c>
      <c r="S11">
        <v>0</v>
      </c>
      <c r="T11">
        <v>230000</v>
      </c>
      <c r="U11">
        <v>130000</v>
      </c>
      <c r="V11" t="s">
        <v>1311</v>
      </c>
      <c r="W11">
        <v>6.3620000000000001</v>
      </c>
      <c r="X11">
        <v>6.3710000000000004</v>
      </c>
      <c r="Y11">
        <v>3</v>
      </c>
      <c r="Z11">
        <v>0.26600000000000001</v>
      </c>
      <c r="AA11">
        <v>0.48699999999999999</v>
      </c>
      <c r="AB11">
        <v>1.417</v>
      </c>
      <c r="AC11">
        <v>1.2</v>
      </c>
      <c r="AD11">
        <v>0</v>
      </c>
    </row>
    <row r="12" spans="1:30" x14ac:dyDescent="0.35">
      <c r="A12">
        <v>2008</v>
      </c>
      <c r="B12" s="51">
        <f>_xlfn.XLOOKUP(A12, 'Model VMT by TAZ'!A:A, 'Model VMT by TAZ'!G:G, "N/A")</f>
        <v>40318.81</v>
      </c>
      <c r="C12" s="51">
        <f>_xlfn.XLOOKUP(A12, 'Model VMT by TAZ'!$A:$A, 'Model VMT by TAZ'!$J:$J, "N/A")</f>
        <v>3188</v>
      </c>
      <c r="D12" s="51">
        <f>_xlfn.XLOOKUP(A12,'Model Modeshare by TAZ'!$A:$A,'Model Modeshare by TAZ'!$E:$E,0)+_xlfn.XLOOKUP(A12,'Model Modeshare by TAZ'!$A:$A,'Model Modeshare by TAZ'!$F:$F,0)</f>
        <v>12343.279999999999</v>
      </c>
      <c r="E12" s="51">
        <f>_xlfn.XLOOKUP(A12, 'Model VMT by TAZ'!$A:$A, 'Model Modeshare by TAZ'!$H:$H, "N/A")</f>
        <v>174.22</v>
      </c>
      <c r="F12" s="2" t="str">
        <f>_xlfn.XLOOKUP(A12, 'Model VMT by TAZ'!A:A, 'Model VMT by TAZ'!C:C)</f>
        <v>YES</v>
      </c>
    </row>
    <row r="13" spans="1:30" x14ac:dyDescent="0.35">
      <c r="A13">
        <v>2007</v>
      </c>
      <c r="B13" s="51">
        <f>_xlfn.XLOOKUP(A13, 'Model VMT by TAZ'!A:A, 'Model VMT by TAZ'!G:G, "N/A")</f>
        <v>24537.82</v>
      </c>
      <c r="C13" s="51">
        <f>_xlfn.XLOOKUP(A13, 'Model VMT by TAZ'!$A:$A, 'Model VMT by TAZ'!$J:$J, "N/A")</f>
        <v>2698</v>
      </c>
      <c r="D13" s="51">
        <f>_xlfn.XLOOKUP(A13,'Model Modeshare by TAZ'!$A:$A,'Model Modeshare by TAZ'!$E:$E,0)+_xlfn.XLOOKUP(A13,'Model Modeshare by TAZ'!$A:$A,'Model Modeshare by TAZ'!$F:$F,0)</f>
        <v>10671.84</v>
      </c>
      <c r="E13" s="51">
        <f>_xlfn.XLOOKUP(A13, 'Model VMT by TAZ'!$A:$A, 'Model Modeshare by TAZ'!$H:$H, "N/A")</f>
        <v>144.44</v>
      </c>
      <c r="F13" s="2" t="str">
        <f>_xlfn.XLOOKUP(A13, 'Model VMT by TAZ'!A:A, 'Model VMT by TAZ'!C:C)</f>
        <v>YES</v>
      </c>
      <c r="H13" s="2" t="s">
        <v>1268</v>
      </c>
    </row>
    <row r="14" spans="1:30" x14ac:dyDescent="0.35">
      <c r="A14">
        <v>2006</v>
      </c>
      <c r="B14" s="51">
        <f>_xlfn.XLOOKUP(A14, 'Model VMT by TAZ'!A:A, 'Model VMT by TAZ'!G:G, "N/A")</f>
        <v>52619.24</v>
      </c>
      <c r="C14" s="51">
        <f>_xlfn.XLOOKUP(A14, 'Model VMT by TAZ'!$A:$A, 'Model VMT by TAZ'!$J:$J, "N/A")</f>
        <v>2993</v>
      </c>
      <c r="D14" s="51">
        <f>_xlfn.XLOOKUP(A14,'Model Modeshare by TAZ'!$A:$A,'Model Modeshare by TAZ'!$E:$E,0)+_xlfn.XLOOKUP(A14,'Model Modeshare by TAZ'!$A:$A,'Model Modeshare by TAZ'!$F:$F,0)</f>
        <v>13237.34</v>
      </c>
      <c r="E14" s="51">
        <f>_xlfn.XLOOKUP(A14, 'Model VMT by TAZ'!$A:$A, 'Model Modeshare by TAZ'!$H:$H, "N/A")</f>
        <v>149.86000000000001</v>
      </c>
      <c r="F14" s="2" t="str">
        <f>_xlfn.XLOOKUP(A14, 'Model VMT by TAZ'!A:A, 'Model VMT by TAZ'!C:C)</f>
        <v>YES</v>
      </c>
      <c r="H14" t="s">
        <v>1300</v>
      </c>
      <c r="I14" s="30">
        <f>SUM(O8:O9)</f>
        <v>3.3633999999999999</v>
      </c>
      <c r="J14" s="30">
        <f>SUM(I14,I16)</f>
        <v>5.1625999999999994</v>
      </c>
    </row>
    <row r="15" spans="1:30" x14ac:dyDescent="0.35">
      <c r="A15">
        <v>2005</v>
      </c>
      <c r="B15" s="51">
        <f>_xlfn.XLOOKUP(A15, 'Model VMT by TAZ'!A:A, 'Model VMT by TAZ'!G:G, "N/A")</f>
        <v>27703.25</v>
      </c>
      <c r="C15" s="51">
        <f>_xlfn.XLOOKUP(A15, 'Model VMT by TAZ'!$A:$A, 'Model VMT by TAZ'!$J:$J, "N/A")</f>
        <v>1692</v>
      </c>
      <c r="D15" s="51">
        <f>_xlfn.XLOOKUP(A15,'Model Modeshare by TAZ'!$A:$A,'Model Modeshare by TAZ'!$E:$E,0)+_xlfn.XLOOKUP(A15,'Model Modeshare by TAZ'!$A:$A,'Model Modeshare by TAZ'!$F:$F,0)</f>
        <v>7359.82</v>
      </c>
      <c r="E15" s="51">
        <f>_xlfn.XLOOKUP(A15, 'Model VMT by TAZ'!$A:$A, 'Model Modeshare by TAZ'!$H:$H, "N/A")</f>
        <v>94.94</v>
      </c>
      <c r="F15" s="2" t="str">
        <f>_xlfn.XLOOKUP(A15, 'Model VMT by TAZ'!A:A, 'Model VMT by TAZ'!C:C)</f>
        <v>YES</v>
      </c>
      <c r="H15" t="s">
        <v>1383</v>
      </c>
      <c r="I15" s="30">
        <f>O10</f>
        <v>0.4506</v>
      </c>
    </row>
    <row r="16" spans="1:30" x14ac:dyDescent="0.35">
      <c r="A16">
        <v>2002</v>
      </c>
      <c r="B16" s="51">
        <f>_xlfn.XLOOKUP(A16, 'Model VMT by TAZ'!A:A, 'Model VMT by TAZ'!G:G, "N/A")</f>
        <v>93787.9</v>
      </c>
      <c r="C16" s="51">
        <f>_xlfn.XLOOKUP(A16, 'Model VMT by TAZ'!$A:$A, 'Model VMT by TAZ'!$J:$J, "N/A")</f>
        <v>4476</v>
      </c>
      <c r="D16" s="51">
        <f>_xlfn.XLOOKUP(A16,'Model Modeshare by TAZ'!$A:$A,'Model Modeshare by TAZ'!$E:$E,0)+_xlfn.XLOOKUP(A16,'Model Modeshare by TAZ'!$A:$A,'Model Modeshare by TAZ'!$F:$F,0)</f>
        <v>20195.34</v>
      </c>
      <c r="E16" s="51">
        <f>_xlfn.XLOOKUP(A16, 'Model VMT by TAZ'!$A:$A, 'Model Modeshare by TAZ'!$H:$H, "N/A")</f>
        <v>204.04</v>
      </c>
      <c r="F16" s="2" t="str">
        <f>_xlfn.XLOOKUP(A16, 'Model VMT by TAZ'!A:A, 'Model VMT by TAZ'!C:C)</f>
        <v>YES</v>
      </c>
      <c r="H16" t="s">
        <v>1300</v>
      </c>
      <c r="I16" s="30">
        <f>O11</f>
        <v>1.7991999999999999</v>
      </c>
    </row>
    <row r="17" spans="1:9" x14ac:dyDescent="0.35">
      <c r="A17">
        <v>2003</v>
      </c>
      <c r="B17" s="51">
        <f>_xlfn.XLOOKUP(A17, 'Model VMT by TAZ'!A:A, 'Model VMT by TAZ'!G:G, "N/A")</f>
        <v>46728.81</v>
      </c>
      <c r="C17" s="51">
        <f>_xlfn.XLOOKUP(A17, 'Model VMT by TAZ'!$A:$A, 'Model VMT by TAZ'!$J:$J, "N/A")</f>
        <v>3290</v>
      </c>
      <c r="D17" s="51">
        <f>_xlfn.XLOOKUP(A17,'Model Modeshare by TAZ'!$A:$A,'Model Modeshare by TAZ'!$E:$E,0)+_xlfn.XLOOKUP(A17,'Model Modeshare by TAZ'!$A:$A,'Model Modeshare by TAZ'!$F:$F,0)</f>
        <v>21510.6</v>
      </c>
      <c r="E17" s="51">
        <f>_xlfn.XLOOKUP(A17, 'Model VMT by TAZ'!$A:$A, 'Model Modeshare by TAZ'!$H:$H, "N/A")</f>
        <v>297.12</v>
      </c>
      <c r="F17" s="2" t="str">
        <f>_xlfn.XLOOKUP(A17, 'Model VMT by TAZ'!A:A, 'Model VMT by TAZ'!C:C)</f>
        <v>YES</v>
      </c>
      <c r="H17" s="2" t="s">
        <v>601</v>
      </c>
      <c r="I17" s="239">
        <f>SUM(I14:I16)</f>
        <v>5.6132</v>
      </c>
    </row>
    <row r="18" spans="1:9" x14ac:dyDescent="0.35">
      <c r="A18">
        <v>2019</v>
      </c>
      <c r="B18" s="51">
        <f>_xlfn.XLOOKUP(A18, 'Model VMT by TAZ'!A:A, 'Model VMT by TAZ'!G:G, "N/A")</f>
        <v>34358.01</v>
      </c>
      <c r="C18" s="51">
        <f>_xlfn.XLOOKUP(A18, 'Model VMT by TAZ'!$A:$A, 'Model VMT by TAZ'!$J:$J, "N/A")</f>
        <v>2950</v>
      </c>
      <c r="D18" s="51">
        <f>_xlfn.XLOOKUP(A18,'Model Modeshare by TAZ'!$A:$A,'Model Modeshare by TAZ'!$E:$E,0)+_xlfn.XLOOKUP(A18,'Model Modeshare by TAZ'!$A:$A,'Model Modeshare by TAZ'!$F:$F,0)</f>
        <v>12166.82</v>
      </c>
      <c r="E18" s="51">
        <f>_xlfn.XLOOKUP(A18, 'Model VMT by TAZ'!$A:$A, 'Model Modeshare by TAZ'!$H:$H, "N/A")</f>
        <v>181.74</v>
      </c>
      <c r="F18" s="2" t="str">
        <f>_xlfn.XLOOKUP(A18, 'Model VMT by TAZ'!A:A, 'Model VMT by TAZ'!C:C)</f>
        <v>YES</v>
      </c>
    </row>
    <row r="19" spans="1:9" x14ac:dyDescent="0.35">
      <c r="A19">
        <v>2017</v>
      </c>
      <c r="B19" s="51">
        <f>_xlfn.XLOOKUP(A19, 'Model VMT by TAZ'!A:A, 'Model VMT by TAZ'!G:G, "N/A")</f>
        <v>25435.14</v>
      </c>
      <c r="C19" s="51">
        <f>_xlfn.XLOOKUP(A19, 'Model VMT by TAZ'!$A:$A, 'Model VMT by TAZ'!$J:$J, "N/A")</f>
        <v>2575</v>
      </c>
      <c r="D19" s="51">
        <f>_xlfn.XLOOKUP(A19,'Model Modeshare by TAZ'!$A:$A,'Model Modeshare by TAZ'!$E:$E,0)+_xlfn.XLOOKUP(A19,'Model Modeshare by TAZ'!$A:$A,'Model Modeshare by TAZ'!$F:$F,0)</f>
        <v>12853.68</v>
      </c>
      <c r="E19" s="51">
        <f>_xlfn.XLOOKUP(A19, 'Model VMT by TAZ'!$A:$A, 'Model Modeshare by TAZ'!$H:$H, "N/A")</f>
        <v>259.8</v>
      </c>
      <c r="F19" s="2" t="str">
        <f>_xlfn.XLOOKUP(A19, 'Model VMT by TAZ'!A:A, 'Model VMT by TAZ'!C:C)</f>
        <v>YES</v>
      </c>
    </row>
    <row r="20" spans="1:9" x14ac:dyDescent="0.35">
      <c r="A20">
        <v>1667</v>
      </c>
      <c r="B20" s="51">
        <f>_xlfn.XLOOKUP(A20, 'Model VMT by TAZ'!A:A, 'Model VMT by TAZ'!G:G, "N/A")</f>
        <v>12665.79</v>
      </c>
      <c r="C20" s="51">
        <f>_xlfn.XLOOKUP(A20, 'Model VMT by TAZ'!$A:$A, 'Model VMT by TAZ'!$J:$J, "N/A")</f>
        <v>738</v>
      </c>
      <c r="D20" s="51">
        <f>_xlfn.XLOOKUP(A20,'Model Modeshare by TAZ'!$A:$A,'Model Modeshare by TAZ'!$E:$E,0)+_xlfn.XLOOKUP(A20,'Model Modeshare by TAZ'!$A:$A,'Model Modeshare by TAZ'!$F:$F,0)</f>
        <v>3543.3599999999997</v>
      </c>
      <c r="E20" s="51">
        <f>_xlfn.XLOOKUP(A20, 'Model VMT by TAZ'!$A:$A, 'Model Modeshare by TAZ'!$H:$H, "N/A")</f>
        <v>32.72</v>
      </c>
      <c r="F20" s="2" t="str">
        <f>_xlfn.XLOOKUP(A20, 'Model VMT by TAZ'!A:A, 'Model VMT by TAZ'!C:C)</f>
        <v>YES</v>
      </c>
    </row>
    <row r="21" spans="1:9" x14ac:dyDescent="0.35">
      <c r="A21">
        <v>1668</v>
      </c>
      <c r="B21" s="51">
        <f>_xlfn.XLOOKUP(A21, 'Model VMT by TAZ'!A:A, 'Model VMT by TAZ'!G:G, "N/A")</f>
        <v>7088.08</v>
      </c>
      <c r="C21" s="51">
        <f>_xlfn.XLOOKUP(A21, 'Model VMT by TAZ'!$A:$A, 'Model VMT by TAZ'!$J:$J, "N/A")</f>
        <v>410</v>
      </c>
      <c r="D21" s="51">
        <f>_xlfn.XLOOKUP(A21,'Model Modeshare by TAZ'!$A:$A,'Model Modeshare by TAZ'!$E:$E,0)+_xlfn.XLOOKUP(A21,'Model Modeshare by TAZ'!$A:$A,'Model Modeshare by TAZ'!$F:$F,0)</f>
        <v>1761.8400000000001</v>
      </c>
      <c r="E21" s="51">
        <f>_xlfn.XLOOKUP(A21, 'Model VMT by TAZ'!$A:$A, 'Model Modeshare by TAZ'!$H:$H, "N/A")</f>
        <v>16.559999999999999</v>
      </c>
      <c r="F21" s="2" t="str">
        <f>_xlfn.XLOOKUP(A21, 'Model VMT by TAZ'!A:A, 'Model VMT by TAZ'!C:C)</f>
        <v>YES</v>
      </c>
    </row>
    <row r="22" spans="1:9" x14ac:dyDescent="0.35">
      <c r="A22">
        <v>1684</v>
      </c>
      <c r="B22" s="51">
        <f>_xlfn.XLOOKUP(A22, 'Model VMT by TAZ'!A:A, 'Model VMT by TAZ'!G:G, "N/A")</f>
        <v>11867.87</v>
      </c>
      <c r="C22" s="51">
        <f>_xlfn.XLOOKUP(A22, 'Model VMT by TAZ'!$A:$A, 'Model VMT by TAZ'!$J:$J, "N/A")</f>
        <v>1005</v>
      </c>
      <c r="D22" s="51">
        <f>_xlfn.XLOOKUP(A22,'Model Modeshare by TAZ'!$A:$A,'Model Modeshare by TAZ'!$E:$E,0)+_xlfn.XLOOKUP(A22,'Model Modeshare by TAZ'!$A:$A,'Model Modeshare by TAZ'!$F:$F,0)</f>
        <v>4058.2</v>
      </c>
      <c r="E22" s="51">
        <f>_xlfn.XLOOKUP(A22, 'Model VMT by TAZ'!$A:$A, 'Model Modeshare by TAZ'!$H:$H, "N/A")</f>
        <v>51.5</v>
      </c>
      <c r="F22" s="2" t="str">
        <f>_xlfn.XLOOKUP(A22, 'Model VMT by TAZ'!A:A, 'Model VMT by TAZ'!C:C)</f>
        <v>YES</v>
      </c>
    </row>
    <row r="23" spans="1:9" x14ac:dyDescent="0.35">
      <c r="A23">
        <v>2001</v>
      </c>
      <c r="B23" s="51">
        <f>_xlfn.XLOOKUP(A23, 'Model VMT by TAZ'!A:A, 'Model VMT by TAZ'!G:G, "N/A")</f>
        <v>48841.78</v>
      </c>
      <c r="C23" s="51">
        <f>_xlfn.XLOOKUP(A23, 'Model VMT by TAZ'!$A:$A, 'Model VMT by TAZ'!$J:$J, "N/A")</f>
        <v>2837</v>
      </c>
      <c r="D23" s="51">
        <f>_xlfn.XLOOKUP(A23,'Model Modeshare by TAZ'!$A:$A,'Model Modeshare by TAZ'!$E:$E,0)+_xlfn.XLOOKUP(A23,'Model Modeshare by TAZ'!$A:$A,'Model Modeshare by TAZ'!$F:$F,0)</f>
        <v>12744.62</v>
      </c>
      <c r="E23" s="51">
        <f>_xlfn.XLOOKUP(A23, 'Model VMT by TAZ'!$A:$A, 'Model Modeshare by TAZ'!$H:$H, "N/A")</f>
        <v>155.6</v>
      </c>
      <c r="F23" s="2" t="str">
        <f>_xlfn.XLOOKUP(A23, 'Model VMT by TAZ'!A:A, 'Model VMT by TAZ'!C:C)</f>
        <v>YES</v>
      </c>
    </row>
    <row r="24" spans="1:9" x14ac:dyDescent="0.35">
      <c r="A24">
        <v>1562</v>
      </c>
      <c r="B24" s="51">
        <f>_xlfn.XLOOKUP(A24, 'Model VMT by TAZ'!A:A, 'Model VMT by TAZ'!G:G, "N/A")</f>
        <v>12209.41</v>
      </c>
      <c r="C24" s="51">
        <f>_xlfn.XLOOKUP(A24, 'Model VMT by TAZ'!$A:$A, 'Model VMT by TAZ'!$J:$J, "N/A")</f>
        <v>989</v>
      </c>
      <c r="D24" s="51">
        <f>_xlfn.XLOOKUP(A24,'Model Modeshare by TAZ'!$A:$A,'Model Modeshare by TAZ'!$E:$E,0)+_xlfn.XLOOKUP(A24,'Model Modeshare by TAZ'!$A:$A,'Model Modeshare by TAZ'!$F:$F,0)</f>
        <v>7930.1399999999994</v>
      </c>
      <c r="E24" s="51">
        <f>_xlfn.XLOOKUP(A24, 'Model VMT by TAZ'!$A:$A, 'Model Modeshare by TAZ'!$H:$H, "N/A")</f>
        <v>109.2</v>
      </c>
      <c r="F24" s="2" t="str">
        <f>_xlfn.XLOOKUP(A24, 'Model VMT by TAZ'!A:A, 'Model VMT by TAZ'!C:C)</f>
        <v>YES</v>
      </c>
    </row>
    <row r="25" spans="1:9" x14ac:dyDescent="0.35">
      <c r="A25">
        <v>1563</v>
      </c>
      <c r="B25" s="51">
        <f>_xlfn.XLOOKUP(A25, 'Model VMT by TAZ'!A:A, 'Model VMT by TAZ'!G:G, "N/A")</f>
        <v>16969.54</v>
      </c>
      <c r="C25" s="51">
        <f>_xlfn.XLOOKUP(A25, 'Model VMT by TAZ'!$A:$A, 'Model VMT by TAZ'!$J:$J, "N/A")</f>
        <v>1265</v>
      </c>
      <c r="D25" s="51">
        <f>_xlfn.XLOOKUP(A25,'Model Modeshare by TAZ'!$A:$A,'Model Modeshare by TAZ'!$E:$E,0)+_xlfn.XLOOKUP(A25,'Model Modeshare by TAZ'!$A:$A,'Model Modeshare by TAZ'!$F:$F,0)</f>
        <v>5698.3600000000006</v>
      </c>
      <c r="E25" s="51">
        <f>_xlfn.XLOOKUP(A25, 'Model VMT by TAZ'!$A:$A, 'Model Modeshare by TAZ'!$H:$H, "N/A")</f>
        <v>83.76</v>
      </c>
      <c r="F25" s="2" t="str">
        <f>_xlfn.XLOOKUP(A25, 'Model VMT by TAZ'!A:A, 'Model VMT by TAZ'!C:C)</f>
        <v>YES</v>
      </c>
    </row>
    <row r="26" spans="1:9" x14ac:dyDescent="0.35">
      <c r="A26">
        <v>1564</v>
      </c>
      <c r="B26" s="51">
        <f>_xlfn.XLOOKUP(A26, 'Model VMT by TAZ'!A:A, 'Model VMT by TAZ'!G:G, "N/A")</f>
        <v>63547.73</v>
      </c>
      <c r="C26" s="51">
        <f>_xlfn.XLOOKUP(A26, 'Model VMT by TAZ'!$A:$A, 'Model VMT by TAZ'!$J:$J, "N/A")</f>
        <v>3705</v>
      </c>
      <c r="D26" s="51">
        <f>_xlfn.XLOOKUP(A26,'Model Modeshare by TAZ'!$A:$A,'Model Modeshare by TAZ'!$E:$E,0)+_xlfn.XLOOKUP(A26,'Model Modeshare by TAZ'!$A:$A,'Model Modeshare by TAZ'!$F:$F,0)</f>
        <v>16713.919999999998</v>
      </c>
      <c r="E26" s="51">
        <f>_xlfn.XLOOKUP(A26, 'Model VMT by TAZ'!$A:$A, 'Model Modeshare by TAZ'!$H:$H, "N/A")</f>
        <v>190.94</v>
      </c>
      <c r="F26" s="2" t="str">
        <f>_xlfn.XLOOKUP(A26, 'Model VMT by TAZ'!A:A, 'Model VMT by TAZ'!C:C)</f>
        <v>YES</v>
      </c>
    </row>
    <row r="27" spans="1:9" x14ac:dyDescent="0.35">
      <c r="A27">
        <v>1573</v>
      </c>
      <c r="B27" s="51">
        <f>_xlfn.XLOOKUP(A27, 'Model VMT by TAZ'!A:A, 'Model VMT by TAZ'!G:G, "N/A")</f>
        <v>25154.47</v>
      </c>
      <c r="C27" s="51">
        <f>_xlfn.XLOOKUP(A27, 'Model VMT by TAZ'!$A:$A, 'Model VMT by TAZ'!$J:$J, "N/A")</f>
        <v>2082</v>
      </c>
      <c r="D27" s="51">
        <f>_xlfn.XLOOKUP(A27,'Model Modeshare by TAZ'!$A:$A,'Model Modeshare by TAZ'!$E:$E,0)+_xlfn.XLOOKUP(A27,'Model Modeshare by TAZ'!$A:$A,'Model Modeshare by TAZ'!$F:$F,0)</f>
        <v>9691.34</v>
      </c>
      <c r="E27" s="51">
        <f>_xlfn.XLOOKUP(A27, 'Model VMT by TAZ'!$A:$A, 'Model Modeshare by TAZ'!$H:$H, "N/A")</f>
        <v>169.86</v>
      </c>
      <c r="F27" s="2" t="str">
        <f>_xlfn.XLOOKUP(A27, 'Model VMT by TAZ'!A:A, 'Model VMT by TAZ'!C:C)</f>
        <v>YES</v>
      </c>
    </row>
    <row r="28" spans="1:9" x14ac:dyDescent="0.35">
      <c r="A28">
        <v>1574</v>
      </c>
      <c r="B28" s="51">
        <f>_xlfn.XLOOKUP(A28, 'Model VMT by TAZ'!A:A, 'Model VMT by TAZ'!G:G, "N/A")</f>
        <v>10297.370000000001</v>
      </c>
      <c r="C28" s="51">
        <f>_xlfn.XLOOKUP(A28, 'Model VMT by TAZ'!$A:$A, 'Model VMT by TAZ'!$J:$J, "N/A")</f>
        <v>979</v>
      </c>
      <c r="D28" s="51">
        <f>_xlfn.XLOOKUP(A28,'Model Modeshare by TAZ'!$A:$A,'Model Modeshare by TAZ'!$E:$E,0)+_xlfn.XLOOKUP(A28,'Model Modeshare by TAZ'!$A:$A,'Model Modeshare by TAZ'!$F:$F,0)</f>
        <v>4083.1800000000003</v>
      </c>
      <c r="E28" s="51">
        <f>_xlfn.XLOOKUP(A28, 'Model VMT by TAZ'!$A:$A, 'Model Modeshare by TAZ'!$H:$H, "N/A")</f>
        <v>82.1</v>
      </c>
      <c r="F28" s="2" t="str">
        <f>_xlfn.XLOOKUP(A28, 'Model VMT by TAZ'!A:A, 'Model VMT by TAZ'!C:C)</f>
        <v>YES</v>
      </c>
    </row>
    <row r="29" spans="1:9" x14ac:dyDescent="0.35">
      <c r="A29">
        <v>1634</v>
      </c>
      <c r="B29" s="51">
        <f>_xlfn.XLOOKUP(A29, 'Model VMT by TAZ'!A:A, 'Model VMT by TAZ'!G:G, "N/A")</f>
        <v>4626.59</v>
      </c>
      <c r="C29" s="51">
        <f>_xlfn.XLOOKUP(A29, 'Model VMT by TAZ'!$A:$A, 'Model VMT by TAZ'!$J:$J, "N/A")</f>
        <v>531</v>
      </c>
      <c r="D29" s="51">
        <f>_xlfn.XLOOKUP(A29,'Model Modeshare by TAZ'!$A:$A,'Model Modeshare by TAZ'!$E:$E,0)+_xlfn.XLOOKUP(A29,'Model Modeshare by TAZ'!$A:$A,'Model Modeshare by TAZ'!$F:$F,0)</f>
        <v>1722.04</v>
      </c>
      <c r="E29" s="51">
        <f>_xlfn.XLOOKUP(A29, 'Model VMT by TAZ'!$A:$A, 'Model Modeshare by TAZ'!$H:$H, "N/A")</f>
        <v>19.62</v>
      </c>
      <c r="F29" s="2" t="str">
        <f>_xlfn.XLOOKUP(A29, 'Model VMT by TAZ'!A:A, 'Model VMT by TAZ'!C:C)</f>
        <v>YES</v>
      </c>
    </row>
    <row r="30" spans="1:9" x14ac:dyDescent="0.35">
      <c r="A30">
        <v>1566</v>
      </c>
      <c r="B30" s="51">
        <f>_xlfn.XLOOKUP(A30, 'Model VMT by TAZ'!A:A, 'Model VMT by TAZ'!G:G, "N/A")</f>
        <v>9497.85</v>
      </c>
      <c r="C30" s="51">
        <f>_xlfn.XLOOKUP(A30, 'Model VMT by TAZ'!$A:$A, 'Model VMT by TAZ'!$J:$J, "N/A")</f>
        <v>1331</v>
      </c>
      <c r="D30" s="51">
        <f>_xlfn.XLOOKUP(A30,'Model Modeshare by TAZ'!$A:$A,'Model Modeshare by TAZ'!$E:$E,0)+_xlfn.XLOOKUP(A30,'Model Modeshare by TAZ'!$A:$A,'Model Modeshare by TAZ'!$F:$F,0)</f>
        <v>6903.7000000000007</v>
      </c>
      <c r="E30" s="51">
        <f>_xlfn.XLOOKUP(A30, 'Model VMT by TAZ'!$A:$A, 'Model Modeshare by TAZ'!$H:$H, "N/A")</f>
        <v>108.4</v>
      </c>
      <c r="F30" s="2" t="str">
        <f>_xlfn.XLOOKUP(A30, 'Model VMT by TAZ'!A:A, 'Model VMT by TAZ'!C:C)</f>
        <v>YES</v>
      </c>
    </row>
    <row r="31" spans="1:9" x14ac:dyDescent="0.35">
      <c r="A31">
        <v>1552</v>
      </c>
      <c r="B31" s="51">
        <f>_xlfn.XLOOKUP(A31, 'Model VMT by TAZ'!A:A, 'Model VMT by TAZ'!G:G, "N/A")</f>
        <v>87068.76</v>
      </c>
      <c r="C31" s="51">
        <f>_xlfn.XLOOKUP(A31, 'Model VMT by TAZ'!$A:$A, 'Model VMT by TAZ'!$J:$J, "N/A")</f>
        <v>5349</v>
      </c>
      <c r="D31" s="51">
        <f>_xlfn.XLOOKUP(A31,'Model Modeshare by TAZ'!$A:$A,'Model Modeshare by TAZ'!$E:$E,0)+_xlfn.XLOOKUP(A31,'Model Modeshare by TAZ'!$A:$A,'Model Modeshare by TAZ'!$F:$F,0)</f>
        <v>28706.1</v>
      </c>
      <c r="E31" s="51">
        <f>_xlfn.XLOOKUP(A31, 'Model VMT by TAZ'!$A:$A, 'Model Modeshare by TAZ'!$H:$H, "N/A")</f>
        <v>388.36</v>
      </c>
      <c r="F31" s="2" t="str">
        <f>_xlfn.XLOOKUP(A31, 'Model VMT by TAZ'!A:A, 'Model VMT by TAZ'!C:C)</f>
        <v>YES</v>
      </c>
    </row>
    <row r="32" spans="1:9" x14ac:dyDescent="0.35">
      <c r="A32">
        <v>1623</v>
      </c>
      <c r="B32" s="51">
        <f>_xlfn.XLOOKUP(A32, 'Model VMT by TAZ'!A:A, 'Model VMT by TAZ'!G:G, "N/A")</f>
        <v>15741.63</v>
      </c>
      <c r="C32" s="51">
        <f>_xlfn.XLOOKUP(A32, 'Model VMT by TAZ'!$A:$A, 'Model VMT by TAZ'!$J:$J, "N/A")</f>
        <v>2447</v>
      </c>
      <c r="D32" s="51">
        <f>_xlfn.XLOOKUP(A32,'Model Modeshare by TAZ'!$A:$A,'Model Modeshare by TAZ'!$E:$E,0)+_xlfn.XLOOKUP(A32,'Model Modeshare by TAZ'!$A:$A,'Model Modeshare by TAZ'!$F:$F,0)</f>
        <v>14668.04</v>
      </c>
      <c r="E32" s="51">
        <f>_xlfn.XLOOKUP(A32, 'Model VMT by TAZ'!$A:$A, 'Model Modeshare by TAZ'!$H:$H, "N/A")</f>
        <v>199.18</v>
      </c>
      <c r="F32" s="2" t="str">
        <f>_xlfn.XLOOKUP(A32, 'Model VMT by TAZ'!A:A, 'Model VMT by TAZ'!C:C)</f>
        <v>YES</v>
      </c>
    </row>
    <row r="33" spans="1:6" x14ac:dyDescent="0.35">
      <c r="A33">
        <v>1565</v>
      </c>
      <c r="B33" s="51">
        <f>_xlfn.XLOOKUP(A33, 'Model VMT by TAZ'!A:A, 'Model VMT by TAZ'!G:G, "N/A")</f>
        <v>30350.54</v>
      </c>
      <c r="C33" s="51">
        <f>_xlfn.XLOOKUP(A33, 'Model VMT by TAZ'!$A:$A, 'Model VMT by TAZ'!$J:$J, "N/A")</f>
        <v>2217</v>
      </c>
      <c r="D33" s="51">
        <f>_xlfn.XLOOKUP(A33,'Model Modeshare by TAZ'!$A:$A,'Model Modeshare by TAZ'!$E:$E,0)+_xlfn.XLOOKUP(A33,'Model Modeshare by TAZ'!$A:$A,'Model Modeshare by TAZ'!$F:$F,0)</f>
        <v>9059.32</v>
      </c>
      <c r="E33" s="51">
        <f>_xlfn.XLOOKUP(A33, 'Model VMT by TAZ'!$A:$A, 'Model Modeshare by TAZ'!$H:$H, "N/A")</f>
        <v>114.4</v>
      </c>
      <c r="F33" s="2" t="str">
        <f>_xlfn.XLOOKUP(A33, 'Model VMT by TAZ'!A:A, 'Model VMT by TAZ'!C:C)</f>
        <v>YES</v>
      </c>
    </row>
    <row r="34" spans="1:6" x14ac:dyDescent="0.35">
      <c r="B34" s="51"/>
      <c r="C34" s="51"/>
      <c r="D34" s="51"/>
      <c r="E34" s="51"/>
    </row>
    <row r="35" spans="1:6" x14ac:dyDescent="0.35">
      <c r="B35" s="51"/>
      <c r="C35" s="51"/>
      <c r="D35" s="51"/>
      <c r="E35" s="51"/>
    </row>
  </sheetData>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5CE5C-11E9-4108-BFEF-251552B6861A}">
  <sheetPr>
    <tabColor theme="2" tint="-0.249977111117893"/>
  </sheetPr>
  <dimension ref="B3:J67"/>
  <sheetViews>
    <sheetView topLeftCell="A53" zoomScale="85" zoomScaleNormal="85" workbookViewId="0">
      <selection activeCell="B25" sqref="B25"/>
    </sheetView>
  </sheetViews>
  <sheetFormatPr defaultRowHeight="14.5" x14ac:dyDescent="0.35"/>
  <cols>
    <col min="2" max="2" width="42.81640625" customWidth="1"/>
    <col min="3" max="3" width="30.1796875" customWidth="1"/>
    <col min="4" max="4" width="39.54296875" customWidth="1"/>
    <col min="5" max="5" width="33.26953125" customWidth="1"/>
    <col min="6" max="6" width="44.7265625" customWidth="1"/>
    <col min="7" max="7" width="64.81640625" customWidth="1"/>
    <col min="8" max="8" width="45.7265625" customWidth="1"/>
    <col min="9" max="9" width="30.1796875" customWidth="1"/>
    <col min="10" max="10" width="55.81640625" bestFit="1" customWidth="1"/>
    <col min="12" max="12" width="57" customWidth="1"/>
    <col min="13" max="13" width="20.1796875" customWidth="1"/>
    <col min="14" max="14" width="31.1796875" customWidth="1"/>
    <col min="15" max="15" width="35.453125" customWidth="1"/>
  </cols>
  <sheetData>
    <row r="3" spans="2:5" ht="31" x14ac:dyDescent="0.7">
      <c r="B3" s="8" t="s">
        <v>1384</v>
      </c>
    </row>
    <row r="5" spans="2:5" ht="23.5" x14ac:dyDescent="0.55000000000000004">
      <c r="B5" s="138" t="s">
        <v>368</v>
      </c>
    </row>
    <row r="7" spans="2:5" ht="21" x14ac:dyDescent="0.5">
      <c r="B7" s="233"/>
    </row>
    <row r="8" spans="2:5" x14ac:dyDescent="0.35">
      <c r="B8" s="61" t="s">
        <v>687</v>
      </c>
      <c r="C8" s="62"/>
      <c r="D8" s="62"/>
      <c r="E8" s="62"/>
    </row>
    <row r="9" spans="2:5" x14ac:dyDescent="0.35">
      <c r="B9" s="6" t="s">
        <v>196</v>
      </c>
      <c r="C9" s="7" t="s">
        <v>583</v>
      </c>
      <c r="D9" s="6" t="s">
        <v>586</v>
      </c>
      <c r="E9" s="6" t="s">
        <v>584</v>
      </c>
    </row>
    <row r="10" spans="2:5" x14ac:dyDescent="0.35">
      <c r="B10" s="6" t="s">
        <v>582</v>
      </c>
      <c r="C10" s="64">
        <f>'Action 12 Daly City Data'!I14</f>
        <v>1.8191999999999999</v>
      </c>
      <c r="D10" s="27">
        <f>'Action 12 Daly City Data'!I15</f>
        <v>0.4108</v>
      </c>
      <c r="E10" s="27">
        <f>'Action 12 Daly City Data'!I16</f>
        <v>2.3504</v>
      </c>
    </row>
    <row r="11" spans="2:5" x14ac:dyDescent="0.35">
      <c r="B11" s="234" t="s">
        <v>1385</v>
      </c>
      <c r="C11" s="235"/>
      <c r="D11" s="235"/>
      <c r="E11" s="235"/>
    </row>
    <row r="12" spans="2:5" x14ac:dyDescent="0.35">
      <c r="B12" s="7" t="s">
        <v>1386</v>
      </c>
      <c r="C12" s="265" t="s">
        <v>1387</v>
      </c>
      <c r="D12" s="265" t="s">
        <v>1388</v>
      </c>
      <c r="E12" s="265" t="s">
        <v>1389</v>
      </c>
    </row>
    <row r="13" spans="2:5" x14ac:dyDescent="0.35">
      <c r="B13" s="7" t="s">
        <v>1390</v>
      </c>
      <c r="C13" s="265" t="s">
        <v>1391</v>
      </c>
      <c r="D13" s="265" t="s">
        <v>1392</v>
      </c>
      <c r="E13" s="265" t="s">
        <v>1393</v>
      </c>
    </row>
    <row r="14" spans="2:5" x14ac:dyDescent="0.35">
      <c r="B14" s="7" t="s">
        <v>1059</v>
      </c>
      <c r="C14" s="264">
        <f>264+277</f>
        <v>541</v>
      </c>
      <c r="D14" s="264">
        <f>730+188</f>
        <v>918</v>
      </c>
      <c r="E14" s="264">
        <f>305+792</f>
        <v>1097</v>
      </c>
    </row>
    <row r="17" spans="2:10" ht="23.5" x14ac:dyDescent="0.55000000000000004">
      <c r="B17" s="138" t="s">
        <v>1090</v>
      </c>
    </row>
    <row r="18" spans="2:10" x14ac:dyDescent="0.35">
      <c r="B18" s="2"/>
      <c r="C18" s="2"/>
      <c r="D18" s="2"/>
      <c r="E18" s="2"/>
      <c r="G18" s="2"/>
      <c r="H18" s="2"/>
      <c r="I18" s="2"/>
      <c r="J18" s="2"/>
    </row>
    <row r="19" spans="2:10" x14ac:dyDescent="0.35">
      <c r="B19" s="61" t="s">
        <v>687</v>
      </c>
      <c r="C19" s="62"/>
      <c r="D19" s="62"/>
      <c r="E19" s="62"/>
    </row>
    <row r="20" spans="2:10" x14ac:dyDescent="0.35">
      <c r="B20" s="6" t="s">
        <v>196</v>
      </c>
      <c r="C20" s="7" t="s">
        <v>586</v>
      </c>
      <c r="D20" s="6" t="s">
        <v>583</v>
      </c>
      <c r="E20" s="6" t="s">
        <v>581</v>
      </c>
    </row>
    <row r="21" spans="2:10" x14ac:dyDescent="0.35">
      <c r="B21" s="6" t="s">
        <v>582</v>
      </c>
      <c r="C21" s="64">
        <f>'Action 12 Skyline Data'!I13</f>
        <v>0.50980000000000003</v>
      </c>
      <c r="D21" s="27">
        <f>'Action 12 Skyline Data'!I14</f>
        <v>3.1815000000000002</v>
      </c>
      <c r="E21" s="27">
        <f>'Action 12 Skyline Data'!I15</f>
        <v>3.5771000000000002</v>
      </c>
    </row>
    <row r="22" spans="2:10" x14ac:dyDescent="0.35">
      <c r="B22" s="234" t="s">
        <v>1385</v>
      </c>
      <c r="C22" s="235"/>
      <c r="D22" s="235"/>
      <c r="E22" s="235"/>
    </row>
    <row r="23" spans="2:10" x14ac:dyDescent="0.35">
      <c r="B23" s="7" t="s">
        <v>1386</v>
      </c>
      <c r="C23" s="265" t="s">
        <v>1394</v>
      </c>
      <c r="D23" s="265" t="s">
        <v>1395</v>
      </c>
      <c r="E23" s="265" t="s">
        <v>1396</v>
      </c>
    </row>
    <row r="24" spans="2:10" x14ac:dyDescent="0.35">
      <c r="B24" s="7" t="s">
        <v>1390</v>
      </c>
      <c r="C24" s="265" t="s">
        <v>1397</v>
      </c>
      <c r="D24" s="265" t="s">
        <v>1398</v>
      </c>
      <c r="E24" s="265" t="s">
        <v>1399</v>
      </c>
    </row>
    <row r="25" spans="2:10" x14ac:dyDescent="0.35">
      <c r="B25" s="7" t="s">
        <v>1092</v>
      </c>
      <c r="C25" s="264">
        <f>1866+4609</f>
        <v>6475</v>
      </c>
      <c r="D25" s="264">
        <f>3573+5146</f>
        <v>8719</v>
      </c>
      <c r="E25" s="180">
        <f>755+2586</f>
        <v>3341</v>
      </c>
    </row>
    <row r="26" spans="2:10" x14ac:dyDescent="0.35">
      <c r="B26" s="28"/>
      <c r="C26" s="266"/>
      <c r="D26" s="266"/>
      <c r="E26" s="199"/>
    </row>
    <row r="27" spans="2:10" x14ac:dyDescent="0.35">
      <c r="B27" s="28"/>
      <c r="C27" s="266"/>
      <c r="D27" s="266"/>
      <c r="E27" s="199"/>
    </row>
    <row r="28" spans="2:10" ht="23.5" x14ac:dyDescent="0.55000000000000004">
      <c r="B28" s="138" t="s">
        <v>599</v>
      </c>
    </row>
    <row r="29" spans="2:10" x14ac:dyDescent="0.35">
      <c r="B29" s="2"/>
    </row>
    <row r="30" spans="2:10" x14ac:dyDescent="0.35">
      <c r="B30" s="61" t="s">
        <v>687</v>
      </c>
      <c r="C30" s="62"/>
      <c r="D30" s="62"/>
      <c r="E30" s="62"/>
      <c r="F30" s="62"/>
    </row>
    <row r="31" spans="2:10" x14ac:dyDescent="0.35">
      <c r="B31" s="6" t="s">
        <v>196</v>
      </c>
      <c r="C31" s="7" t="s">
        <v>1094</v>
      </c>
      <c r="D31" s="6" t="s">
        <v>1095</v>
      </c>
      <c r="E31" s="7" t="s">
        <v>1096</v>
      </c>
      <c r="F31" s="7" t="s">
        <v>1097</v>
      </c>
    </row>
    <row r="32" spans="2:10" x14ac:dyDescent="0.35">
      <c r="B32" s="6" t="s">
        <v>582</v>
      </c>
      <c r="C32" s="64">
        <f>'Action 12 Coastside Data'!U8</f>
        <v>2.4687000000000001</v>
      </c>
      <c r="D32" s="27">
        <f>'Action 12 Coastside Data'!U9</f>
        <v>0.79480000000000006</v>
      </c>
      <c r="E32" s="27">
        <f>'Action 12 Coastside Data'!U10-F32</f>
        <v>37.613600000000005</v>
      </c>
      <c r="F32" s="27">
        <f>'Action 12 Coastside Data'!U11</f>
        <v>5.4212000000000007</v>
      </c>
    </row>
    <row r="33" spans="2:6" x14ac:dyDescent="0.35">
      <c r="B33" s="234" t="s">
        <v>1385</v>
      </c>
      <c r="C33" s="183"/>
      <c r="D33" s="183"/>
      <c r="E33" s="183"/>
      <c r="F33" s="183"/>
    </row>
    <row r="34" spans="2:6" x14ac:dyDescent="0.35">
      <c r="B34" s="7" t="s">
        <v>1386</v>
      </c>
      <c r="C34" s="40" t="s">
        <v>1400</v>
      </c>
      <c r="D34" s="6" t="s">
        <v>1401</v>
      </c>
      <c r="E34" s="40" t="s">
        <v>1402</v>
      </c>
      <c r="F34" s="6" t="s">
        <v>1403</v>
      </c>
    </row>
    <row r="35" spans="2:6" x14ac:dyDescent="0.35">
      <c r="B35" s="7" t="s">
        <v>1390</v>
      </c>
      <c r="C35" s="40" t="s">
        <v>1404</v>
      </c>
      <c r="D35" s="6" t="s">
        <v>1405</v>
      </c>
      <c r="E35" s="40" t="s">
        <v>1406</v>
      </c>
      <c r="F35" s="6" t="s">
        <v>1407</v>
      </c>
    </row>
    <row r="36" spans="2:6" x14ac:dyDescent="0.35">
      <c r="B36" s="7" t="s">
        <v>1092</v>
      </c>
      <c r="C36" s="264">
        <f>3108+7126</f>
        <v>10234</v>
      </c>
      <c r="D36" s="264">
        <f>2535+1451</f>
        <v>3986</v>
      </c>
      <c r="E36" s="180">
        <f>438+459</f>
        <v>897</v>
      </c>
      <c r="F36" s="180">
        <f>1851+2020</f>
        <v>3871</v>
      </c>
    </row>
    <row r="38" spans="2:6" ht="23.5" x14ac:dyDescent="0.55000000000000004">
      <c r="B38" s="138" t="s">
        <v>370</v>
      </c>
    </row>
    <row r="39" spans="2:6" x14ac:dyDescent="0.35">
      <c r="B39" s="54"/>
    </row>
    <row r="40" spans="2:6" x14ac:dyDescent="0.35">
      <c r="B40" s="2"/>
    </row>
    <row r="41" spans="2:6" x14ac:dyDescent="0.35">
      <c r="B41" s="61" t="s">
        <v>687</v>
      </c>
      <c r="C41" s="62"/>
      <c r="D41" s="62"/>
    </row>
    <row r="42" spans="2:6" x14ac:dyDescent="0.35">
      <c r="B42" s="6" t="s">
        <v>196</v>
      </c>
      <c r="C42" s="7" t="s">
        <v>583</v>
      </c>
      <c r="D42" s="6" t="s">
        <v>584</v>
      </c>
    </row>
    <row r="43" spans="2:6" x14ac:dyDescent="0.35">
      <c r="B43" s="6" t="s">
        <v>582</v>
      </c>
      <c r="C43" s="64">
        <f>'Action 12 EPA Data'!I12</f>
        <v>1.2616000000000001</v>
      </c>
      <c r="D43" s="27">
        <f>'Action 12 EPA Data'!I13</f>
        <v>1.2421</v>
      </c>
    </row>
    <row r="44" spans="2:6" x14ac:dyDescent="0.35">
      <c r="B44" s="234" t="s">
        <v>1385</v>
      </c>
      <c r="C44" s="183"/>
      <c r="D44" s="183"/>
    </row>
    <row r="45" spans="2:6" x14ac:dyDescent="0.35">
      <c r="B45" s="7" t="s">
        <v>1386</v>
      </c>
      <c r="C45" s="40" t="s">
        <v>1408</v>
      </c>
      <c r="D45" s="40" t="s">
        <v>1409</v>
      </c>
    </row>
    <row r="46" spans="2:6" x14ac:dyDescent="0.35">
      <c r="B46" s="7" t="s">
        <v>1390</v>
      </c>
      <c r="C46" s="40" t="s">
        <v>1410</v>
      </c>
      <c r="D46" s="40" t="s">
        <v>1411</v>
      </c>
    </row>
    <row r="47" spans="2:6" x14ac:dyDescent="0.35">
      <c r="B47" s="7" t="s">
        <v>1092</v>
      </c>
      <c r="C47" s="264">
        <f>2018+3230</f>
        <v>5248</v>
      </c>
      <c r="D47" s="264">
        <f>5625+9319</f>
        <v>14944</v>
      </c>
    </row>
    <row r="49" spans="2:5" ht="23.5" x14ac:dyDescent="0.55000000000000004">
      <c r="B49" s="138" t="s">
        <v>1099</v>
      </c>
    </row>
    <row r="50" spans="2:5" x14ac:dyDescent="0.35">
      <c r="B50" s="2"/>
    </row>
    <row r="51" spans="2:5" x14ac:dyDescent="0.35">
      <c r="B51" s="61" t="s">
        <v>687</v>
      </c>
      <c r="C51" s="62"/>
      <c r="D51" s="62"/>
      <c r="E51" s="62"/>
    </row>
    <row r="52" spans="2:5" x14ac:dyDescent="0.35">
      <c r="B52" s="6" t="s">
        <v>196</v>
      </c>
      <c r="C52" s="7" t="s">
        <v>583</v>
      </c>
      <c r="D52" s="6" t="s">
        <v>586</v>
      </c>
      <c r="E52" s="6" t="s">
        <v>584</v>
      </c>
    </row>
    <row r="53" spans="2:5" x14ac:dyDescent="0.35">
      <c r="B53" s="6" t="s">
        <v>582</v>
      </c>
      <c r="C53" s="64">
        <f>'Action 12 Belmont_RWC Data'!I15</f>
        <v>0.23019999999999999</v>
      </c>
      <c r="D53" s="27">
        <f>'Action 12 Belmont_RWC Data'!I14</f>
        <v>1.0141</v>
      </c>
      <c r="E53" s="27">
        <f>'Action 12 Belmont_RWC Data'!I16</f>
        <v>2.5270000000000001</v>
      </c>
    </row>
    <row r="54" spans="2:5" x14ac:dyDescent="0.35">
      <c r="B54" s="234" t="s">
        <v>1385</v>
      </c>
      <c r="C54" s="183"/>
      <c r="D54" s="183"/>
      <c r="E54" s="183"/>
    </row>
    <row r="55" spans="2:5" x14ac:dyDescent="0.35">
      <c r="B55" s="7" t="s">
        <v>1386</v>
      </c>
      <c r="C55" s="40" t="s">
        <v>1412</v>
      </c>
      <c r="D55" s="6" t="s">
        <v>1413</v>
      </c>
      <c r="E55" s="6" t="s">
        <v>1414</v>
      </c>
    </row>
    <row r="56" spans="2:5" x14ac:dyDescent="0.35">
      <c r="B56" s="7" t="s">
        <v>1390</v>
      </c>
      <c r="C56" s="265" t="s">
        <v>1415</v>
      </c>
      <c r="D56" s="265" t="s">
        <v>1416</v>
      </c>
      <c r="E56" s="265" t="s">
        <v>1417</v>
      </c>
    </row>
    <row r="57" spans="2:5" x14ac:dyDescent="0.35">
      <c r="B57" s="7" t="s">
        <v>1092</v>
      </c>
      <c r="C57" s="267">
        <f>14+2</f>
        <v>16</v>
      </c>
      <c r="D57" s="67">
        <f>182+249</f>
        <v>431</v>
      </c>
      <c r="E57" s="67">
        <f>0+17</f>
        <v>17</v>
      </c>
    </row>
    <row r="59" spans="2:5" ht="23.5" x14ac:dyDescent="0.55000000000000004">
      <c r="B59" s="138" t="s">
        <v>381</v>
      </c>
    </row>
    <row r="60" spans="2:5" x14ac:dyDescent="0.35">
      <c r="B60" s="2"/>
    </row>
    <row r="61" spans="2:5" x14ac:dyDescent="0.35">
      <c r="B61" s="61" t="s">
        <v>687</v>
      </c>
      <c r="C61" s="153"/>
    </row>
    <row r="62" spans="2:5" x14ac:dyDescent="0.35">
      <c r="B62" s="6" t="s">
        <v>196</v>
      </c>
      <c r="C62" s="7" t="s">
        <v>583</v>
      </c>
    </row>
    <row r="63" spans="2:5" x14ac:dyDescent="0.35">
      <c r="B63" s="6" t="s">
        <v>582</v>
      </c>
      <c r="C63" s="27">
        <f>'Action 12 San Carlos Data'!J14</f>
        <v>5.1625999999999994</v>
      </c>
    </row>
    <row r="64" spans="2:5" x14ac:dyDescent="0.35">
      <c r="B64" s="234" t="s">
        <v>1385</v>
      </c>
      <c r="C64" s="268"/>
    </row>
    <row r="65" spans="2:3" x14ac:dyDescent="0.35">
      <c r="B65" s="7" t="s">
        <v>1386</v>
      </c>
      <c r="C65" s="40" t="s">
        <v>1418</v>
      </c>
    </row>
    <row r="66" spans="2:3" x14ac:dyDescent="0.35">
      <c r="B66" s="7" t="s">
        <v>1390</v>
      </c>
      <c r="C66" s="265" t="s">
        <v>1419</v>
      </c>
    </row>
    <row r="67" spans="2:3" x14ac:dyDescent="0.35">
      <c r="B67" s="7" t="s">
        <v>1092</v>
      </c>
      <c r="C67" s="267">
        <f>995+1046</f>
        <v>2041</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4F39F-C607-42EE-A7E7-2A0685AF6D31}">
  <sheetPr>
    <tabColor theme="6"/>
  </sheetPr>
  <dimension ref="B2:W39"/>
  <sheetViews>
    <sheetView topLeftCell="A19" workbookViewId="0">
      <selection activeCell="B25" sqref="B25"/>
    </sheetView>
  </sheetViews>
  <sheetFormatPr defaultRowHeight="14.5" x14ac:dyDescent="0.35"/>
  <cols>
    <col min="2" max="2" width="10.81640625" customWidth="1"/>
    <col min="6" max="6" width="14.54296875" customWidth="1"/>
    <col min="14" max="14" width="19.453125" customWidth="1"/>
    <col min="15" max="15" width="33" customWidth="1"/>
    <col min="16" max="16" width="43.453125" customWidth="1"/>
  </cols>
  <sheetData>
    <row r="2" spans="2:23" x14ac:dyDescent="0.35">
      <c r="B2" s="315" t="s">
        <v>1420</v>
      </c>
      <c r="C2" s="316"/>
      <c r="D2" s="316"/>
      <c r="E2" s="316"/>
      <c r="F2" s="316"/>
      <c r="G2" s="316"/>
      <c r="H2" s="316"/>
      <c r="I2" s="316"/>
      <c r="J2" s="316"/>
      <c r="K2" s="316"/>
      <c r="L2" s="316"/>
      <c r="M2" s="316"/>
      <c r="N2" s="316"/>
      <c r="O2" s="316"/>
      <c r="P2" s="316"/>
      <c r="Q2" s="316"/>
      <c r="R2" s="316"/>
      <c r="S2" s="316"/>
      <c r="T2" s="316"/>
      <c r="U2" s="316"/>
      <c r="V2" s="316"/>
      <c r="W2" s="316"/>
    </row>
    <row r="5" spans="2:23" x14ac:dyDescent="0.35">
      <c r="B5" s="2" t="s">
        <v>674</v>
      </c>
    </row>
    <row r="6" spans="2:23" ht="52.5" x14ac:dyDescent="0.35">
      <c r="B6" s="298" t="s">
        <v>1151</v>
      </c>
      <c r="C6" s="299" t="s">
        <v>1165</v>
      </c>
      <c r="F6" s="353" t="s">
        <v>1421</v>
      </c>
      <c r="G6" s="6">
        <v>60</v>
      </c>
    </row>
    <row r="7" spans="2:23" x14ac:dyDescent="0.35">
      <c r="B7" s="296">
        <v>1957</v>
      </c>
      <c r="C7" s="6">
        <f>_xlfn.XLOOKUP(B7,'Model VMT by TAZ'!$A:$A,'Model VMT by TAZ'!$E:$E)</f>
        <v>370010.94</v>
      </c>
      <c r="F7" s="353" t="s">
        <v>1422</v>
      </c>
      <c r="G7" s="6">
        <f>G6*4</f>
        <v>240</v>
      </c>
    </row>
    <row r="8" spans="2:23" x14ac:dyDescent="0.35">
      <c r="B8" s="296">
        <v>1540</v>
      </c>
      <c r="C8" s="6">
        <f>_xlfn.XLOOKUP(B8,'Model VMT by TAZ'!$A:$A,'Model VMT by TAZ'!$E:$E)</f>
        <v>37084.92</v>
      </c>
      <c r="N8" s="2" t="s">
        <v>1423</v>
      </c>
    </row>
    <row r="9" spans="2:23" ht="16" x14ac:dyDescent="0.45">
      <c r="B9" s="296">
        <v>1611</v>
      </c>
      <c r="C9" s="6">
        <f>_xlfn.XLOOKUP(B9,'Model VMT by TAZ'!$A:$A,'Model VMT by TAZ'!$E:$E)</f>
        <v>113930</v>
      </c>
      <c r="N9" s="354"/>
      <c r="O9" s="355" t="s">
        <v>1424</v>
      </c>
      <c r="P9" s="356" t="s">
        <v>689</v>
      </c>
    </row>
    <row r="10" spans="2:23" ht="98.25" customHeight="1" x14ac:dyDescent="0.35">
      <c r="B10" s="296">
        <v>1537</v>
      </c>
      <c r="C10" s="6">
        <f>_xlfn.XLOOKUP(B10,'Model VMT by TAZ'!$A:$A,'Model VMT by TAZ'!$E:$E)</f>
        <v>39518.160000000003</v>
      </c>
      <c r="N10" s="357" t="s">
        <v>1425</v>
      </c>
      <c r="O10" s="358">
        <v>11000</v>
      </c>
      <c r="P10" s="7" t="s">
        <v>1426</v>
      </c>
    </row>
    <row r="11" spans="2:23" ht="52.5" customHeight="1" x14ac:dyDescent="0.35">
      <c r="B11" s="296">
        <v>1536</v>
      </c>
      <c r="C11" s="6">
        <f>_xlfn.XLOOKUP(B11,'Model VMT by TAZ'!$A:$A,'Model VMT by TAZ'!$E:$E)</f>
        <v>36792.559999999998</v>
      </c>
      <c r="N11" s="357" t="s">
        <v>1427</v>
      </c>
      <c r="O11" s="358">
        <v>300</v>
      </c>
      <c r="P11" s="7" t="s">
        <v>1428</v>
      </c>
    </row>
    <row r="12" spans="2:23" ht="37.5" customHeight="1" x14ac:dyDescent="0.35">
      <c r="N12" s="357" t="s">
        <v>1429</v>
      </c>
      <c r="O12" s="6">
        <f>G7</f>
        <v>240</v>
      </c>
      <c r="P12" s="7"/>
    </row>
    <row r="13" spans="2:23" ht="25.5" customHeight="1" x14ac:dyDescent="0.35">
      <c r="B13" s="54" t="s">
        <v>1430</v>
      </c>
      <c r="N13" s="357" t="s">
        <v>1431</v>
      </c>
      <c r="O13" s="6">
        <v>1.75</v>
      </c>
      <c r="P13" s="7" t="s">
        <v>1432</v>
      </c>
    </row>
    <row r="14" spans="2:23" ht="32" x14ac:dyDescent="0.45">
      <c r="B14" s="3" t="s">
        <v>1433</v>
      </c>
      <c r="N14" s="359" t="s">
        <v>1434</v>
      </c>
      <c r="O14" s="360">
        <f>O12*O13</f>
        <v>420</v>
      </c>
      <c r="P14" s="361"/>
    </row>
    <row r="15" spans="2:23" ht="16" x14ac:dyDescent="0.45">
      <c r="N15" s="359" t="s">
        <v>1273</v>
      </c>
      <c r="O15" s="362">
        <f>O14*O10+(O14*O11)</f>
        <v>4746000</v>
      </c>
      <c r="P15" s="361"/>
    </row>
    <row r="18" spans="2:16" x14ac:dyDescent="0.35">
      <c r="B18" s="2" t="s">
        <v>675</v>
      </c>
      <c r="N18" s="2" t="s">
        <v>1435</v>
      </c>
    </row>
    <row r="19" spans="2:16" ht="53.5" x14ac:dyDescent="0.45">
      <c r="B19" s="125" t="s">
        <v>1151</v>
      </c>
      <c r="C19" s="297" t="s">
        <v>1165</v>
      </c>
      <c r="F19" s="353" t="s">
        <v>1421</v>
      </c>
      <c r="G19" s="6">
        <v>40</v>
      </c>
      <c r="N19" s="354"/>
      <c r="O19" s="355" t="s">
        <v>1424</v>
      </c>
      <c r="P19" s="356" t="s">
        <v>689</v>
      </c>
    </row>
    <row r="20" spans="2:16" ht="58" x14ac:dyDescent="0.35">
      <c r="B20" s="296">
        <v>1628</v>
      </c>
      <c r="C20" s="6">
        <f>_xlfn.XLOOKUP(B20,'Model VMT by TAZ'!$A:$A,'Model VMT by TAZ'!$E:$E)</f>
        <v>98634.18</v>
      </c>
      <c r="F20" s="353" t="s">
        <v>1422</v>
      </c>
      <c r="G20" s="6">
        <f>G19*4</f>
        <v>160</v>
      </c>
      <c r="N20" s="357" t="s">
        <v>1425</v>
      </c>
      <c r="O20" s="358">
        <v>11000</v>
      </c>
      <c r="P20" s="7" t="s">
        <v>1426</v>
      </c>
    </row>
    <row r="21" spans="2:16" ht="29" x14ac:dyDescent="0.35">
      <c r="B21" s="296">
        <v>2015</v>
      </c>
      <c r="C21" s="6">
        <f>_xlfn.XLOOKUP(B21,'Model VMT by TAZ'!$A:$A,'Model VMT by TAZ'!$E:$E)</f>
        <v>370563.71</v>
      </c>
      <c r="N21" s="357" t="s">
        <v>1427</v>
      </c>
      <c r="O21" s="358">
        <v>300</v>
      </c>
      <c r="P21" s="7" t="s">
        <v>1428</v>
      </c>
    </row>
    <row r="22" spans="2:16" ht="29" x14ac:dyDescent="0.35">
      <c r="B22" s="296">
        <v>1572</v>
      </c>
      <c r="C22" s="6">
        <f>_xlfn.XLOOKUP(B22,'Model VMT by TAZ'!$A:$A,'Model VMT by TAZ'!$E:$E)</f>
        <v>22575.14</v>
      </c>
      <c r="N22" s="357" t="s">
        <v>1429</v>
      </c>
      <c r="O22" s="6">
        <f>G20</f>
        <v>160</v>
      </c>
      <c r="P22" s="7"/>
    </row>
    <row r="23" spans="2:16" ht="29" x14ac:dyDescent="0.35">
      <c r="N23" s="357" t="s">
        <v>1431</v>
      </c>
      <c r="O23" s="6">
        <v>1.75</v>
      </c>
      <c r="P23" s="7" t="s">
        <v>1432</v>
      </c>
    </row>
    <row r="24" spans="2:16" ht="32" x14ac:dyDescent="0.45">
      <c r="B24" s="54" t="s">
        <v>1430</v>
      </c>
      <c r="N24" s="359" t="s">
        <v>1434</v>
      </c>
      <c r="O24" s="360">
        <f>O22*O23</f>
        <v>280</v>
      </c>
      <c r="P24" s="361"/>
    </row>
    <row r="25" spans="2:16" ht="16" x14ac:dyDescent="0.45">
      <c r="B25" s="3" t="s">
        <v>1436</v>
      </c>
      <c r="N25" s="359" t="s">
        <v>1273</v>
      </c>
      <c r="O25" s="362">
        <f>O24*O20+(O24*O21)</f>
        <v>3164000</v>
      </c>
      <c r="P25" s="361"/>
    </row>
    <row r="31" spans="2:16" x14ac:dyDescent="0.35">
      <c r="B31" s="2" t="s">
        <v>676</v>
      </c>
    </row>
    <row r="32" spans="2:16" ht="52.5" x14ac:dyDescent="0.35">
      <c r="B32" s="125" t="s">
        <v>1151</v>
      </c>
      <c r="C32" s="297" t="s">
        <v>1165</v>
      </c>
      <c r="F32" s="353" t="s">
        <v>1421</v>
      </c>
      <c r="G32" s="6">
        <v>30</v>
      </c>
      <c r="N32" s="2" t="s">
        <v>1437</v>
      </c>
    </row>
    <row r="33" spans="2:16" ht="16" x14ac:dyDescent="0.45">
      <c r="B33" s="296">
        <v>1951</v>
      </c>
      <c r="C33" s="6">
        <f>_xlfn.XLOOKUP(B33,'Model VMT by TAZ'!$A:$A,'Model VMT by TAZ'!$E:$E)</f>
        <v>335486.78000000003</v>
      </c>
      <c r="F33" s="353" t="s">
        <v>1422</v>
      </c>
      <c r="G33" s="6">
        <f>G32*4</f>
        <v>120</v>
      </c>
      <c r="N33" s="354"/>
      <c r="O33" s="355" t="s">
        <v>1424</v>
      </c>
      <c r="P33" s="356" t="s">
        <v>689</v>
      </c>
    </row>
    <row r="34" spans="2:16" ht="58" x14ac:dyDescent="0.35">
      <c r="B34" s="296">
        <v>1533</v>
      </c>
      <c r="C34" s="6">
        <f>_xlfn.XLOOKUP(B34,'Model VMT by TAZ'!$A:$A,'Model VMT by TAZ'!$E:$E)</f>
        <v>96953.21</v>
      </c>
      <c r="N34" s="357" t="s">
        <v>1425</v>
      </c>
      <c r="O34" s="358">
        <v>11000</v>
      </c>
      <c r="P34" s="7" t="s">
        <v>1426</v>
      </c>
    </row>
    <row r="35" spans="2:16" ht="29" x14ac:dyDescent="0.35">
      <c r="B35" s="296">
        <v>1531</v>
      </c>
      <c r="C35" s="6">
        <f>_xlfn.XLOOKUP(B35,'Model VMT by TAZ'!$A:$A,'Model VMT by TAZ'!$E:$E)</f>
        <v>40236.43</v>
      </c>
      <c r="N35" s="357" t="s">
        <v>1427</v>
      </c>
      <c r="O35" s="358">
        <v>300</v>
      </c>
      <c r="P35" s="7" t="s">
        <v>1428</v>
      </c>
    </row>
    <row r="36" spans="2:16" ht="29" x14ac:dyDescent="0.35">
      <c r="N36" s="357" t="s">
        <v>1429</v>
      </c>
      <c r="O36" s="6">
        <f>G33</f>
        <v>120</v>
      </c>
      <c r="P36" s="7"/>
    </row>
    <row r="37" spans="2:16" ht="29" x14ac:dyDescent="0.35">
      <c r="B37" s="54" t="s">
        <v>1430</v>
      </c>
      <c r="N37" s="357" t="s">
        <v>1431</v>
      </c>
      <c r="O37" s="6">
        <v>1.75</v>
      </c>
      <c r="P37" s="7" t="s">
        <v>1432</v>
      </c>
    </row>
    <row r="38" spans="2:16" ht="32" x14ac:dyDescent="0.45">
      <c r="B38" s="3" t="s">
        <v>1438</v>
      </c>
      <c r="N38" s="359" t="s">
        <v>1434</v>
      </c>
      <c r="O38" s="360">
        <f>O36*O37</f>
        <v>210</v>
      </c>
      <c r="P38" s="361"/>
    </row>
    <row r="39" spans="2:16" ht="16" x14ac:dyDescent="0.45">
      <c r="N39" s="359" t="s">
        <v>1273</v>
      </c>
      <c r="O39" s="362">
        <f>O38*O34+(O38*O35)</f>
        <v>2373000</v>
      </c>
      <c r="P39" s="361"/>
    </row>
  </sheetData>
  <hyperlinks>
    <hyperlink ref="B14" r:id="rId1" xr:uid="{1C1077A9-DCDD-4246-B4BF-188EAC66D719}"/>
    <hyperlink ref="B38" r:id="rId2" xr:uid="{D1FB0FF4-4B88-467C-B3FD-0C64E9D98ABF}"/>
    <hyperlink ref="B25" r:id="rId3" xr:uid="{612564A5-AA1D-4250-9497-E9049F1C271C}"/>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9ECE-D6E3-4914-85D3-A51C75BB4983}">
  <sheetPr>
    <tabColor theme="6"/>
  </sheetPr>
  <dimension ref="A1:AM280"/>
  <sheetViews>
    <sheetView workbookViewId="0">
      <selection activeCell="K12" sqref="K12"/>
    </sheetView>
  </sheetViews>
  <sheetFormatPr defaultRowHeight="14.5" x14ac:dyDescent="0.35"/>
  <cols>
    <col min="3" max="3" width="9.1796875" style="120"/>
    <col min="4" max="4" width="11.1796875" style="120" customWidth="1"/>
    <col min="5" max="5" width="18.453125" style="117" customWidth="1"/>
    <col min="6" max="6" width="17.453125" style="117" bestFit="1" customWidth="1"/>
    <col min="7" max="7" width="17.453125" style="117" customWidth="1"/>
    <col min="18" max="18" width="9.1796875" style="117"/>
    <col min="33" max="33" width="9.1796875" style="117"/>
  </cols>
  <sheetData>
    <row r="1" spans="1:39" x14ac:dyDescent="0.35">
      <c r="A1" s="116" t="s">
        <v>1146</v>
      </c>
    </row>
    <row r="2" spans="1:39" x14ac:dyDescent="0.35">
      <c r="A2" s="116" t="s">
        <v>1439</v>
      </c>
      <c r="C2" s="122"/>
    </row>
    <row r="3" spans="1:39" x14ac:dyDescent="0.35">
      <c r="A3" s="116"/>
      <c r="C3" s="122"/>
    </row>
    <row r="4" spans="1:39" x14ac:dyDescent="0.35">
      <c r="C4" s="122" t="s">
        <v>791</v>
      </c>
      <c r="E4" s="118" t="s">
        <v>1440</v>
      </c>
      <c r="L4" s="116" t="s">
        <v>1441</v>
      </c>
      <c r="AA4" s="116" t="s">
        <v>1442</v>
      </c>
    </row>
    <row r="5" spans="1:39" ht="43.5" x14ac:dyDescent="0.35">
      <c r="A5" t="s">
        <v>1148</v>
      </c>
      <c r="B5" t="s">
        <v>1151</v>
      </c>
      <c r="C5" s="121" t="s">
        <v>430</v>
      </c>
      <c r="D5" s="121" t="s">
        <v>1443</v>
      </c>
      <c r="E5" s="119" t="s">
        <v>1444</v>
      </c>
      <c r="F5" s="118" t="s">
        <v>1445</v>
      </c>
      <c r="G5" s="118" t="s">
        <v>1446</v>
      </c>
      <c r="H5" t="s">
        <v>1155</v>
      </c>
      <c r="I5" t="s">
        <v>1156</v>
      </c>
      <c r="L5" t="s">
        <v>1148</v>
      </c>
      <c r="M5" t="s">
        <v>1149</v>
      </c>
      <c r="N5" t="s">
        <v>1150</v>
      </c>
      <c r="O5" s="121" t="s">
        <v>1443</v>
      </c>
      <c r="P5" s="121" t="s">
        <v>430</v>
      </c>
      <c r="Q5" t="s">
        <v>1151</v>
      </c>
      <c r="S5" t="s">
        <v>1153</v>
      </c>
      <c r="T5" t="s">
        <v>1154</v>
      </c>
      <c r="U5" t="s">
        <v>1155</v>
      </c>
      <c r="V5" t="s">
        <v>1156</v>
      </c>
      <c r="W5" t="s">
        <v>1157</v>
      </c>
      <c r="X5" t="s">
        <v>1158</v>
      </c>
      <c r="AA5" t="s">
        <v>1148</v>
      </c>
      <c r="AB5" t="s">
        <v>1149</v>
      </c>
      <c r="AC5" t="s">
        <v>1150</v>
      </c>
      <c r="AD5" s="121" t="s">
        <v>1443</v>
      </c>
      <c r="AE5" s="121" t="s">
        <v>430</v>
      </c>
      <c r="AF5" t="s">
        <v>1151</v>
      </c>
      <c r="AH5" t="s">
        <v>1153</v>
      </c>
      <c r="AI5" t="s">
        <v>1154</v>
      </c>
      <c r="AJ5" t="s">
        <v>1155</v>
      </c>
      <c r="AK5" t="s">
        <v>1156</v>
      </c>
      <c r="AL5" t="s">
        <v>1157</v>
      </c>
      <c r="AM5" t="s">
        <v>1158</v>
      </c>
    </row>
    <row r="6" spans="1:39" x14ac:dyDescent="0.35">
      <c r="A6">
        <v>1</v>
      </c>
      <c r="B6">
        <v>1403</v>
      </c>
      <c r="C6" s="120">
        <f>_xlfn.XLOOKUP(B6,'Model VMT by TAZ'!A:A,'Model VMT by TAZ'!E:E,0)</f>
        <v>51381.51</v>
      </c>
      <c r="D6" s="120">
        <f>_xlfn.XLOOKUP(B6,'Other Model Data by TAZ'!A:A,'Other Model Data by TAZ'!G:G,0)</f>
        <v>0</v>
      </c>
      <c r="E6" s="117">
        <f>_xlfn.XLOOKUP(B6,'Model Modeshare by TAZ'!A:A,'Model Modeshare by TAZ'!E:E,0)+_xlfn.XLOOKUP(B6,'Model Modeshare by TAZ'!$A:$A,'Model Modeshare by TAZ'!F:F,0)</f>
        <v>2984.06</v>
      </c>
      <c r="F6" s="117">
        <f>_xlfn.XLOOKUP(B6,'Model Modeshare by TAZ'!A:A,'Model Modeshare by TAZ'!$G:$G,0)</f>
        <v>27.98</v>
      </c>
      <c r="G6" s="117">
        <f>_xlfn.XLOOKUP(B6,'Model Modeshare by TAZ'!A:A,'Model Modeshare by TAZ'!$J:$J,0)</f>
        <v>3174.6</v>
      </c>
      <c r="H6">
        <v>508704</v>
      </c>
      <c r="I6">
        <v>2726678</v>
      </c>
      <c r="L6">
        <v>1</v>
      </c>
      <c r="M6" t="s">
        <v>1161</v>
      </c>
      <c r="N6">
        <v>1102</v>
      </c>
      <c r="O6" s="120">
        <f>_xlfn.XLOOKUP(Q6,'Other Model Data by TAZ'!A:A,'Other Model Data by TAZ'!G:G,0)</f>
        <v>2061</v>
      </c>
      <c r="P6" s="120">
        <f>_xlfn.XLOOKUP(Q6, 'Model VMT by TAZ'!A:A,'Model VMT by TAZ'!E:E,0)</f>
        <v>40344.699999999997</v>
      </c>
      <c r="Q6">
        <v>1851</v>
      </c>
      <c r="S6">
        <v>6130</v>
      </c>
      <c r="T6">
        <v>2207</v>
      </c>
      <c r="U6">
        <v>25800</v>
      </c>
      <c r="V6">
        <v>2596495</v>
      </c>
      <c r="W6">
        <v>8841.1735489999992</v>
      </c>
      <c r="X6">
        <v>2596484.1725650001</v>
      </c>
      <c r="AA6">
        <v>6</v>
      </c>
      <c r="AB6" t="s">
        <v>1161</v>
      </c>
      <c r="AC6">
        <v>2479</v>
      </c>
      <c r="AD6" s="120">
        <f>_xlfn.XLOOKUP(AF6,'Other Model Data by TAZ'!A:A,'Other Model Data by TAZ'!G:G,0)</f>
        <v>5921</v>
      </c>
      <c r="AE6" s="120">
        <f>_xlfn.XLOOKUP(AF6, 'Model VMT by TAZ'!A:A,'Model VMT by TAZ'!E:E,0)</f>
        <v>97273.18</v>
      </c>
      <c r="AF6">
        <v>2027</v>
      </c>
      <c r="AH6" t="s">
        <v>1162</v>
      </c>
      <c r="AI6" t="s">
        <v>1162</v>
      </c>
      <c r="AJ6">
        <v>0</v>
      </c>
      <c r="AK6">
        <v>9454204</v>
      </c>
      <c r="AL6">
        <v>14943.714668000001</v>
      </c>
      <c r="AM6">
        <v>9454165.9149270002</v>
      </c>
    </row>
    <row r="7" spans="1:39" x14ac:dyDescent="0.35">
      <c r="A7">
        <v>2</v>
      </c>
      <c r="B7">
        <v>1215</v>
      </c>
      <c r="C7" s="120">
        <f>_xlfn.XLOOKUP(B7,'Model VMT by TAZ'!A:A,'Model VMT by TAZ'!E:E,0)</f>
        <v>56483.98</v>
      </c>
      <c r="D7" s="120">
        <f>_xlfn.XLOOKUP(B7,'Other Model Data by TAZ'!A:A,'Other Model Data by TAZ'!G:G,0)</f>
        <v>0</v>
      </c>
      <c r="E7" s="117">
        <f>_xlfn.XLOOKUP(B7,'Model Modeshare by TAZ'!A:A,'Model Modeshare by TAZ'!E:E,0)+_xlfn.XLOOKUP(B7,'Model Modeshare by TAZ'!$A:$A,'Model Modeshare by TAZ'!F:F,0)</f>
        <v>4367.76</v>
      </c>
      <c r="F7" s="117">
        <f>_xlfn.XLOOKUP(B7,'Model Modeshare by TAZ'!A:A,'Model Modeshare by TAZ'!$G:$G,0)</f>
        <v>58.58</v>
      </c>
      <c r="G7" s="117">
        <f>_xlfn.XLOOKUP(B7,'Model Modeshare by TAZ'!A:A,'Model Modeshare by TAZ'!$J:$J,0)</f>
        <v>4663.5600000000004</v>
      </c>
      <c r="H7">
        <v>508704</v>
      </c>
      <c r="I7">
        <v>3522515</v>
      </c>
      <c r="L7">
        <v>2</v>
      </c>
      <c r="M7" t="s">
        <v>1161</v>
      </c>
      <c r="N7">
        <v>1113</v>
      </c>
      <c r="O7" s="120">
        <f>_xlfn.XLOOKUP(Q7,'Other Model Data by TAZ'!A:A,'Other Model Data by TAZ'!G:G,0)</f>
        <v>3710</v>
      </c>
      <c r="P7" s="120">
        <f>_xlfn.XLOOKUP(Q7, 'Model VMT by TAZ'!A:A,'Model VMT by TAZ'!E:E,0)</f>
        <v>80610.23</v>
      </c>
      <c r="Q7">
        <v>1855</v>
      </c>
      <c r="S7">
        <v>6130</v>
      </c>
      <c r="T7">
        <v>2207</v>
      </c>
      <c r="U7">
        <v>26401</v>
      </c>
      <c r="V7">
        <v>3558274</v>
      </c>
      <c r="W7">
        <v>9132.9901680000003</v>
      </c>
      <c r="X7">
        <v>3558259.9300219999</v>
      </c>
      <c r="AA7">
        <v>7</v>
      </c>
      <c r="AB7" t="s">
        <v>1161</v>
      </c>
      <c r="AC7">
        <v>2480</v>
      </c>
      <c r="AD7" s="120">
        <f>_xlfn.XLOOKUP(AF7,'Other Model Data by TAZ'!A:A,'Other Model Data by TAZ'!G:G,0)</f>
        <v>3721</v>
      </c>
      <c r="AE7" s="120">
        <f>_xlfn.XLOOKUP(AF7, 'Model VMT by TAZ'!A:A,'Model VMT by TAZ'!E:E,0)</f>
        <v>82218.41</v>
      </c>
      <c r="AF7">
        <v>2028</v>
      </c>
      <c r="AH7" t="s">
        <v>1162</v>
      </c>
      <c r="AI7" t="s">
        <v>1162</v>
      </c>
      <c r="AJ7">
        <v>0</v>
      </c>
      <c r="AK7">
        <v>12004571</v>
      </c>
      <c r="AL7">
        <v>18203.112179</v>
      </c>
      <c r="AM7">
        <v>12004522.695506999</v>
      </c>
    </row>
    <row r="8" spans="1:39" x14ac:dyDescent="0.35">
      <c r="A8">
        <v>3</v>
      </c>
      <c r="B8">
        <v>1405</v>
      </c>
      <c r="C8" s="120">
        <f>_xlfn.XLOOKUP(B8,'Model VMT by TAZ'!A:A,'Model VMT by TAZ'!E:E,0)</f>
        <v>49753.56</v>
      </c>
      <c r="D8" s="120">
        <f>_xlfn.XLOOKUP(B8,'Other Model Data by TAZ'!A:A,'Other Model Data by TAZ'!G:G,0)</f>
        <v>0</v>
      </c>
      <c r="E8" s="117">
        <f>_xlfn.XLOOKUP(B8,'Model Modeshare by TAZ'!A:A,'Model Modeshare by TAZ'!E:E,0)+_xlfn.XLOOKUP(B8,'Model Modeshare by TAZ'!$A:$A,'Model Modeshare by TAZ'!F:F,0)</f>
        <v>5657.06</v>
      </c>
      <c r="F8" s="117">
        <f>_xlfn.XLOOKUP(B8,'Model Modeshare by TAZ'!A:A,'Model Modeshare by TAZ'!$G:$G,0)</f>
        <v>58.74</v>
      </c>
      <c r="G8" s="117">
        <f>_xlfn.XLOOKUP(B8,'Model Modeshare by TAZ'!A:A,'Model Modeshare by TAZ'!$J:$J,0)</f>
        <v>5988.02</v>
      </c>
      <c r="H8">
        <v>508704</v>
      </c>
      <c r="I8">
        <v>4191152</v>
      </c>
      <c r="L8">
        <v>3</v>
      </c>
      <c r="M8" t="s">
        <v>1161</v>
      </c>
      <c r="N8">
        <v>1114</v>
      </c>
      <c r="O8" s="120">
        <f>_xlfn.XLOOKUP(Q8,'Other Model Data by TAZ'!A:A,'Other Model Data by TAZ'!G:G,0)</f>
        <v>4670</v>
      </c>
      <c r="P8" s="120">
        <f>_xlfn.XLOOKUP(Q8, 'Model VMT by TAZ'!A:A,'Model VMT by TAZ'!E:E,0)</f>
        <v>100597.62</v>
      </c>
      <c r="Q8">
        <v>1853</v>
      </c>
      <c r="S8">
        <v>6130</v>
      </c>
      <c r="T8">
        <v>2207</v>
      </c>
      <c r="U8">
        <v>26402</v>
      </c>
      <c r="V8">
        <v>4422861</v>
      </c>
      <c r="W8">
        <v>13117.178739000001</v>
      </c>
      <c r="X8">
        <v>4422843.4632050004</v>
      </c>
      <c r="AA8">
        <v>8</v>
      </c>
      <c r="AB8" t="s">
        <v>1161</v>
      </c>
      <c r="AC8">
        <v>2489</v>
      </c>
      <c r="AD8" s="120">
        <f>_xlfn.XLOOKUP(AF8,'Other Model Data by TAZ'!A:A,'Other Model Data by TAZ'!G:G,0)</f>
        <v>1550</v>
      </c>
      <c r="AE8" s="120">
        <f>_xlfn.XLOOKUP(AF8, 'Model VMT by TAZ'!A:A,'Model VMT by TAZ'!E:E,0)</f>
        <v>59250.37</v>
      </c>
      <c r="AF8">
        <v>2039</v>
      </c>
      <c r="AH8" t="s">
        <v>1162</v>
      </c>
      <c r="AI8" t="s">
        <v>1162</v>
      </c>
      <c r="AJ8">
        <v>0</v>
      </c>
      <c r="AK8">
        <v>26504180</v>
      </c>
      <c r="AL8">
        <v>24618.125622</v>
      </c>
      <c r="AM8">
        <v>26504073.668602999</v>
      </c>
    </row>
    <row r="9" spans="1:39" x14ac:dyDescent="0.35">
      <c r="A9">
        <v>4</v>
      </c>
      <c r="B9">
        <v>1406</v>
      </c>
      <c r="C9" s="120">
        <f>_xlfn.XLOOKUP(B9,'Model VMT by TAZ'!A:A,'Model VMT by TAZ'!E:E,0)</f>
        <v>39233.160000000003</v>
      </c>
      <c r="D9" s="120">
        <f>_xlfn.XLOOKUP(B9,'Other Model Data by TAZ'!A:A,'Other Model Data by TAZ'!G:G,0)</f>
        <v>1616</v>
      </c>
      <c r="E9" s="117">
        <f>_xlfn.XLOOKUP(B9,'Model Modeshare by TAZ'!A:A,'Model Modeshare by TAZ'!E:E,0)+_xlfn.XLOOKUP(B9,'Model Modeshare by TAZ'!$A:$A,'Model Modeshare by TAZ'!F:F,0)</f>
        <v>4557.72</v>
      </c>
      <c r="F9" s="117">
        <f>_xlfn.XLOOKUP(B9,'Model Modeshare by TAZ'!A:A,'Model Modeshare by TAZ'!$G:$G,0)</f>
        <v>146.94</v>
      </c>
      <c r="G9" s="117">
        <f>_xlfn.XLOOKUP(B9,'Model Modeshare by TAZ'!A:A,'Model Modeshare by TAZ'!$J:$J,0)</f>
        <v>5292.56</v>
      </c>
      <c r="H9">
        <v>508704</v>
      </c>
      <c r="I9">
        <v>1341463</v>
      </c>
      <c r="L9">
        <v>4</v>
      </c>
      <c r="M9" t="s">
        <v>1161</v>
      </c>
      <c r="N9">
        <v>1115</v>
      </c>
      <c r="O9" s="120">
        <f>_xlfn.XLOOKUP(Q9,'Other Model Data by TAZ'!A:A,'Other Model Data by TAZ'!G:G,0)</f>
        <v>3868</v>
      </c>
      <c r="P9" s="120">
        <f>_xlfn.XLOOKUP(Q9, 'Model VMT by TAZ'!A:A,'Model VMT by TAZ'!E:E,0)</f>
        <v>86501.85</v>
      </c>
      <c r="Q9">
        <v>1854</v>
      </c>
      <c r="S9">
        <v>6130</v>
      </c>
      <c r="T9">
        <v>2207</v>
      </c>
      <c r="U9">
        <v>26403</v>
      </c>
      <c r="V9">
        <v>4037097</v>
      </c>
      <c r="W9">
        <v>10036.986730000001</v>
      </c>
      <c r="X9">
        <v>4037081.0161609999</v>
      </c>
      <c r="AA9">
        <v>9</v>
      </c>
      <c r="AB9" t="s">
        <v>1161</v>
      </c>
      <c r="AC9">
        <v>2498</v>
      </c>
      <c r="AD9" s="120">
        <f>_xlfn.XLOOKUP(AF9,'Other Model Data by TAZ'!A:A,'Other Model Data by TAZ'!G:G,0)</f>
        <v>1699</v>
      </c>
      <c r="AE9" s="120">
        <f>_xlfn.XLOOKUP(AF9, 'Model VMT by TAZ'!A:A,'Model VMT by TAZ'!E:E,0)</f>
        <v>247582.5</v>
      </c>
      <c r="AF9">
        <v>2040</v>
      </c>
      <c r="AH9" t="s">
        <v>1162</v>
      </c>
      <c r="AI9" t="s">
        <v>1162</v>
      </c>
      <c r="AJ9">
        <v>0</v>
      </c>
      <c r="AK9">
        <v>12845769</v>
      </c>
      <c r="AL9">
        <v>15595.049074</v>
      </c>
      <c r="AM9">
        <v>12845717.945495</v>
      </c>
    </row>
    <row r="10" spans="1:39" x14ac:dyDescent="0.35">
      <c r="A10">
        <v>5</v>
      </c>
      <c r="B10">
        <v>430</v>
      </c>
      <c r="C10" s="120">
        <f>_xlfn.XLOOKUP(B10,'Model VMT by TAZ'!A:A,'Model VMT by TAZ'!E:E,0)</f>
        <v>90464.84</v>
      </c>
      <c r="D10" s="120">
        <f>_xlfn.XLOOKUP(B10,'Other Model Data by TAZ'!A:A,'Other Model Data by TAZ'!G:G,0)</f>
        <v>87</v>
      </c>
      <c r="E10" s="117">
        <f>_xlfn.XLOOKUP(B10,'Model Modeshare by TAZ'!A:A,'Model Modeshare by TAZ'!E:E,0)+_xlfn.XLOOKUP(B10,'Model Modeshare by TAZ'!$A:$A,'Model Modeshare by TAZ'!F:F,0)</f>
        <v>4409.2000000000007</v>
      </c>
      <c r="F10" s="117">
        <f>_xlfn.XLOOKUP(B10,'Model Modeshare by TAZ'!A:A,'Model Modeshare by TAZ'!$G:$G,0)</f>
        <v>1394.94</v>
      </c>
      <c r="G10" s="117">
        <f>_xlfn.XLOOKUP(B10,'Model Modeshare by TAZ'!A:A,'Model Modeshare by TAZ'!$J:$J,0)</f>
        <v>8100.04</v>
      </c>
      <c r="H10">
        <v>511300</v>
      </c>
      <c r="I10">
        <v>352041</v>
      </c>
      <c r="L10">
        <v>5</v>
      </c>
      <c r="M10" t="s">
        <v>1161</v>
      </c>
      <c r="N10">
        <v>1194</v>
      </c>
      <c r="O10" s="120">
        <f>_xlfn.XLOOKUP(Q10,'Other Model Data by TAZ'!A:A,'Other Model Data by TAZ'!G:G,0)</f>
        <v>4730</v>
      </c>
      <c r="P10" s="120">
        <f>_xlfn.XLOOKUP(Q10, 'Model VMT by TAZ'!A:A,'Model VMT by TAZ'!E:E,0)</f>
        <v>178148.94</v>
      </c>
      <c r="Q10">
        <v>1849</v>
      </c>
      <c r="S10">
        <v>6130</v>
      </c>
      <c r="T10">
        <v>2207</v>
      </c>
      <c r="U10">
        <v>61000</v>
      </c>
      <c r="V10">
        <v>22897085</v>
      </c>
      <c r="W10">
        <v>27298.894605000001</v>
      </c>
      <c r="X10">
        <v>22896993.283886999</v>
      </c>
      <c r="AA10">
        <v>10</v>
      </c>
      <c r="AB10" t="s">
        <v>1161</v>
      </c>
      <c r="AC10">
        <v>2499</v>
      </c>
      <c r="AD10" s="120">
        <f>_xlfn.XLOOKUP(AF10,'Other Model Data by TAZ'!A:A,'Other Model Data by TAZ'!G:G,0)</f>
        <v>3744</v>
      </c>
      <c r="AE10" s="120">
        <f>_xlfn.XLOOKUP(AF10, 'Model VMT by TAZ'!A:A,'Model VMT by TAZ'!E:E,0)</f>
        <v>267988.78999999998</v>
      </c>
      <c r="AF10">
        <v>2041</v>
      </c>
      <c r="AH10" t="s">
        <v>1162</v>
      </c>
      <c r="AI10" t="s">
        <v>1162</v>
      </c>
      <c r="AJ10">
        <v>0</v>
      </c>
      <c r="AK10">
        <v>10110210</v>
      </c>
      <c r="AL10">
        <v>14095.781136</v>
      </c>
      <c r="AM10">
        <v>10110169.822137</v>
      </c>
    </row>
    <row r="11" spans="1:39" x14ac:dyDescent="0.35">
      <c r="A11">
        <v>6</v>
      </c>
      <c r="B11">
        <v>431</v>
      </c>
      <c r="C11" s="120">
        <f>_xlfn.XLOOKUP(B11,'Model VMT by TAZ'!A:A,'Model VMT by TAZ'!E:E,0)</f>
        <v>30283.78</v>
      </c>
      <c r="D11" s="120">
        <f>_xlfn.XLOOKUP(B11,'Other Model Data by TAZ'!A:A,'Other Model Data by TAZ'!G:G,0)</f>
        <v>4</v>
      </c>
      <c r="E11" s="117">
        <f>_xlfn.XLOOKUP(B11,'Model Modeshare by TAZ'!A:A,'Model Modeshare by TAZ'!E:E,0)+_xlfn.XLOOKUP(B11,'Model Modeshare by TAZ'!$A:$A,'Model Modeshare by TAZ'!F:F,0)</f>
        <v>5038.7</v>
      </c>
      <c r="F11" s="117">
        <f>_xlfn.XLOOKUP(B11,'Model Modeshare by TAZ'!A:A,'Model Modeshare by TAZ'!$G:$G,0)</f>
        <v>1447.5</v>
      </c>
      <c r="G11" s="117">
        <f>_xlfn.XLOOKUP(B11,'Model Modeshare by TAZ'!A:A,'Model Modeshare by TAZ'!$J:$J,0)</f>
        <v>8839.02</v>
      </c>
      <c r="H11">
        <v>511300</v>
      </c>
      <c r="I11">
        <v>335818</v>
      </c>
      <c r="L11">
        <v>6</v>
      </c>
      <c r="M11" t="s">
        <v>1161</v>
      </c>
      <c r="N11">
        <v>2479</v>
      </c>
      <c r="O11" s="120">
        <f>_xlfn.XLOOKUP(Q11,'Other Model Data by TAZ'!A:A,'Other Model Data by TAZ'!G:G,0)</f>
        <v>5921</v>
      </c>
      <c r="P11" s="120">
        <f>_xlfn.XLOOKUP(Q11, 'Model VMT by TAZ'!A:A,'Model VMT by TAZ'!E:E,0)</f>
        <v>97273.18</v>
      </c>
      <c r="Q11">
        <v>2027</v>
      </c>
      <c r="S11" t="s">
        <v>1162</v>
      </c>
      <c r="T11" t="s">
        <v>1162</v>
      </c>
      <c r="U11">
        <v>0</v>
      </c>
      <c r="V11">
        <v>9454204</v>
      </c>
      <c r="W11">
        <v>14943.714668000001</v>
      </c>
      <c r="X11">
        <v>9454165.9149270002</v>
      </c>
      <c r="AA11">
        <v>11</v>
      </c>
      <c r="AB11" t="s">
        <v>1161</v>
      </c>
      <c r="AC11">
        <v>2500</v>
      </c>
      <c r="AD11" s="120">
        <f>_xlfn.XLOOKUP(AF11,'Other Model Data by TAZ'!A:A,'Other Model Data by TAZ'!G:G,0)</f>
        <v>2114</v>
      </c>
      <c r="AE11" s="120">
        <f>_xlfn.XLOOKUP(AF11, 'Model VMT by TAZ'!A:A,'Model VMT by TAZ'!E:E,0)</f>
        <v>42281.98</v>
      </c>
      <c r="AF11">
        <v>2043</v>
      </c>
      <c r="AH11" t="s">
        <v>1162</v>
      </c>
      <c r="AI11" t="s">
        <v>1162</v>
      </c>
      <c r="AJ11">
        <v>0</v>
      </c>
      <c r="AK11">
        <v>13823152</v>
      </c>
      <c r="AL11">
        <v>22353.230525999999</v>
      </c>
      <c r="AM11">
        <v>13823096.738678999</v>
      </c>
    </row>
    <row r="12" spans="1:39" x14ac:dyDescent="0.35">
      <c r="A12">
        <v>7</v>
      </c>
      <c r="B12">
        <v>432</v>
      </c>
      <c r="C12" s="120">
        <f>_xlfn.XLOOKUP(B12,'Model VMT by TAZ'!A:A,'Model VMT by TAZ'!E:E,0)</f>
        <v>77144.33</v>
      </c>
      <c r="D12" s="120">
        <f>_xlfn.XLOOKUP(B12,'Other Model Data by TAZ'!A:A,'Other Model Data by TAZ'!G:G,0)</f>
        <v>4</v>
      </c>
      <c r="E12" s="117">
        <f>_xlfn.XLOOKUP(B12,'Model Modeshare by TAZ'!A:A,'Model Modeshare by TAZ'!E:E,0)+_xlfn.XLOOKUP(B12,'Model Modeshare by TAZ'!$A:$A,'Model Modeshare by TAZ'!F:F,0)</f>
        <v>3464.2799999999997</v>
      </c>
      <c r="F12" s="117">
        <f>_xlfn.XLOOKUP(B12,'Model Modeshare by TAZ'!A:A,'Model Modeshare by TAZ'!$G:$G,0)</f>
        <v>537.64</v>
      </c>
      <c r="G12" s="117">
        <f>_xlfn.XLOOKUP(B12,'Model Modeshare by TAZ'!A:A,'Model Modeshare by TAZ'!$J:$J,0)</f>
        <v>5138.0600000000004</v>
      </c>
      <c r="H12">
        <v>511300</v>
      </c>
      <c r="I12">
        <v>230960</v>
      </c>
      <c r="L12">
        <v>7</v>
      </c>
      <c r="M12" t="s">
        <v>1161</v>
      </c>
      <c r="N12">
        <v>2480</v>
      </c>
      <c r="O12" s="120">
        <f>_xlfn.XLOOKUP(Q12,'Other Model Data by TAZ'!A:A,'Other Model Data by TAZ'!G:G,0)</f>
        <v>3721</v>
      </c>
      <c r="P12" s="120">
        <f>_xlfn.XLOOKUP(Q12, 'Model VMT by TAZ'!A:A,'Model VMT by TAZ'!E:E,0)</f>
        <v>82218.41</v>
      </c>
      <c r="Q12">
        <v>2028</v>
      </c>
      <c r="S12" t="s">
        <v>1162</v>
      </c>
      <c r="T12" t="s">
        <v>1162</v>
      </c>
      <c r="U12">
        <v>0</v>
      </c>
      <c r="V12">
        <v>12004571</v>
      </c>
      <c r="W12">
        <v>18203.112179</v>
      </c>
      <c r="X12">
        <v>12004522.695506999</v>
      </c>
      <c r="AA12">
        <v>12</v>
      </c>
      <c r="AB12" t="s">
        <v>1161</v>
      </c>
      <c r="AC12">
        <v>2503</v>
      </c>
      <c r="AD12" s="120">
        <f>_xlfn.XLOOKUP(AF12,'Other Model Data by TAZ'!A:A,'Other Model Data by TAZ'!G:G,0)</f>
        <v>3942</v>
      </c>
      <c r="AE12" s="120">
        <f>_xlfn.XLOOKUP(AF12, 'Model VMT by TAZ'!A:A,'Model VMT by TAZ'!E:E,0)</f>
        <v>114944.55</v>
      </c>
      <c r="AF12">
        <v>1907</v>
      </c>
      <c r="AH12" t="s">
        <v>1162</v>
      </c>
      <c r="AI12" t="s">
        <v>1162</v>
      </c>
      <c r="AJ12">
        <v>0</v>
      </c>
      <c r="AK12">
        <v>7943195</v>
      </c>
      <c r="AL12">
        <v>15978.625893</v>
      </c>
      <c r="AM12">
        <v>7943163.4023979995</v>
      </c>
    </row>
    <row r="13" spans="1:39" x14ac:dyDescent="0.35">
      <c r="A13">
        <v>8</v>
      </c>
      <c r="B13">
        <v>433</v>
      </c>
      <c r="C13" s="120">
        <f>_xlfn.XLOOKUP(B13,'Model VMT by TAZ'!A:A,'Model VMT by TAZ'!E:E,0)</f>
        <v>22060.09</v>
      </c>
      <c r="D13" s="120">
        <f>_xlfn.XLOOKUP(B13,'Other Model Data by TAZ'!A:A,'Other Model Data by TAZ'!G:G,0)</f>
        <v>54</v>
      </c>
      <c r="E13" s="117">
        <f>_xlfn.XLOOKUP(B13,'Model Modeshare by TAZ'!A:A,'Model Modeshare by TAZ'!E:E,0)+_xlfn.XLOOKUP(B13,'Model Modeshare by TAZ'!$A:$A,'Model Modeshare by TAZ'!F:F,0)</f>
        <v>3360.9</v>
      </c>
      <c r="F13" s="117">
        <f>_xlfn.XLOOKUP(B13,'Model Modeshare by TAZ'!A:A,'Model Modeshare by TAZ'!$G:$G,0)</f>
        <v>932.62</v>
      </c>
      <c r="G13" s="117">
        <f>_xlfn.XLOOKUP(B13,'Model Modeshare by TAZ'!A:A,'Model Modeshare by TAZ'!$J:$J,0)</f>
        <v>5931.78</v>
      </c>
      <c r="H13">
        <v>511300</v>
      </c>
      <c r="I13">
        <v>268162</v>
      </c>
      <c r="L13">
        <v>8</v>
      </c>
      <c r="M13" t="s">
        <v>1161</v>
      </c>
      <c r="N13">
        <v>2489</v>
      </c>
      <c r="O13" s="120">
        <f>_xlfn.XLOOKUP(Q13,'Other Model Data by TAZ'!A:A,'Other Model Data by TAZ'!G:G,0)</f>
        <v>1550</v>
      </c>
      <c r="P13" s="120">
        <f>_xlfn.XLOOKUP(Q13, 'Model VMT by TAZ'!A:A,'Model VMT by TAZ'!E:E,0)</f>
        <v>59250.37</v>
      </c>
      <c r="Q13">
        <v>2039</v>
      </c>
      <c r="S13" t="s">
        <v>1162</v>
      </c>
      <c r="T13" t="s">
        <v>1162</v>
      </c>
      <c r="U13">
        <v>0</v>
      </c>
      <c r="V13">
        <v>26504180</v>
      </c>
      <c r="W13">
        <v>24618.125622</v>
      </c>
      <c r="X13">
        <v>26504073.668602999</v>
      </c>
      <c r="AA13">
        <v>13</v>
      </c>
      <c r="AB13" t="s">
        <v>1161</v>
      </c>
      <c r="AC13">
        <v>2525</v>
      </c>
      <c r="AD13" s="120">
        <f>_xlfn.XLOOKUP(AF13,'Other Model Data by TAZ'!A:A,'Other Model Data by TAZ'!G:G,0)</f>
        <v>3447</v>
      </c>
      <c r="AE13" s="120">
        <f>_xlfn.XLOOKUP(AF13, 'Model VMT by TAZ'!A:A,'Model VMT by TAZ'!E:E,0)</f>
        <v>107944.97</v>
      </c>
      <c r="AF13">
        <v>1910</v>
      </c>
      <c r="AH13" t="s">
        <v>1162</v>
      </c>
      <c r="AI13" t="s">
        <v>1162</v>
      </c>
      <c r="AJ13">
        <v>0</v>
      </c>
      <c r="AK13">
        <v>5288947</v>
      </c>
      <c r="AL13">
        <v>10248.53678</v>
      </c>
      <c r="AM13">
        <v>5288926.2307810001</v>
      </c>
    </row>
    <row r="14" spans="1:39" x14ac:dyDescent="0.35">
      <c r="A14">
        <v>9</v>
      </c>
      <c r="B14">
        <v>434</v>
      </c>
      <c r="C14" s="120">
        <f>_xlfn.XLOOKUP(B14,'Model VMT by TAZ'!A:A,'Model VMT by TAZ'!E:E,0)</f>
        <v>28667.43</v>
      </c>
      <c r="D14" s="120">
        <f>_xlfn.XLOOKUP(B14,'Other Model Data by TAZ'!A:A,'Other Model Data by TAZ'!G:G,0)</f>
        <v>15</v>
      </c>
      <c r="E14" s="117">
        <f>_xlfn.XLOOKUP(B14,'Model Modeshare by TAZ'!A:A,'Model Modeshare by TAZ'!E:E,0)+_xlfn.XLOOKUP(B14,'Model Modeshare by TAZ'!$A:$A,'Model Modeshare by TAZ'!F:F,0)</f>
        <v>3840.7</v>
      </c>
      <c r="F14" s="117">
        <f>_xlfn.XLOOKUP(B14,'Model Modeshare by TAZ'!A:A,'Model Modeshare by TAZ'!$G:$G,0)</f>
        <v>632.76</v>
      </c>
      <c r="G14" s="117">
        <f>_xlfn.XLOOKUP(B14,'Model Modeshare by TAZ'!A:A,'Model Modeshare by TAZ'!$J:$J,0)</f>
        <v>5816.48</v>
      </c>
      <c r="H14">
        <v>511300</v>
      </c>
      <c r="I14">
        <v>289090</v>
      </c>
      <c r="L14">
        <v>9</v>
      </c>
      <c r="M14" t="s">
        <v>1161</v>
      </c>
      <c r="N14">
        <v>2498</v>
      </c>
      <c r="O14" s="120">
        <f>_xlfn.XLOOKUP(Q14,'Other Model Data by TAZ'!A:A,'Other Model Data by TAZ'!G:G,0)</f>
        <v>1699</v>
      </c>
      <c r="P14" s="120">
        <f>_xlfn.XLOOKUP(Q14, 'Model VMT by TAZ'!A:A,'Model VMT by TAZ'!E:E,0)</f>
        <v>247582.5</v>
      </c>
      <c r="Q14">
        <v>2040</v>
      </c>
      <c r="S14" t="s">
        <v>1162</v>
      </c>
      <c r="T14" t="s">
        <v>1162</v>
      </c>
      <c r="U14">
        <v>0</v>
      </c>
      <c r="V14">
        <v>12845769</v>
      </c>
      <c r="W14">
        <v>15595.049074</v>
      </c>
      <c r="X14">
        <v>12845717.945495</v>
      </c>
      <c r="AA14">
        <v>14</v>
      </c>
      <c r="AB14" t="s">
        <v>1161</v>
      </c>
      <c r="AC14">
        <v>2526</v>
      </c>
      <c r="AD14" s="120">
        <f>_xlfn.XLOOKUP(AF14,'Other Model Data by TAZ'!A:A,'Other Model Data by TAZ'!G:G,0)</f>
        <v>3390</v>
      </c>
      <c r="AE14" s="120">
        <f>_xlfn.XLOOKUP(AF14, 'Model VMT by TAZ'!A:A,'Model VMT by TAZ'!E:E,0)</f>
        <v>129284.92</v>
      </c>
      <c r="AF14">
        <v>1911</v>
      </c>
      <c r="AH14" t="s">
        <v>1162</v>
      </c>
      <c r="AI14" t="s">
        <v>1162</v>
      </c>
      <c r="AJ14">
        <v>0</v>
      </c>
      <c r="AK14">
        <v>4696682</v>
      </c>
      <c r="AL14">
        <v>10099.045294</v>
      </c>
      <c r="AM14">
        <v>4696662.7846720004</v>
      </c>
    </row>
    <row r="15" spans="1:39" x14ac:dyDescent="0.35">
      <c r="A15">
        <v>10</v>
      </c>
      <c r="B15">
        <v>435</v>
      </c>
      <c r="C15" s="120">
        <f>_xlfn.XLOOKUP(B15,'Model VMT by TAZ'!A:A,'Model VMT by TAZ'!E:E,0)</f>
        <v>36255.230000000003</v>
      </c>
      <c r="D15" s="120">
        <f>_xlfn.XLOOKUP(B15,'Other Model Data by TAZ'!A:A,'Other Model Data by TAZ'!G:G,0)</f>
        <v>15</v>
      </c>
      <c r="E15" s="117">
        <f>_xlfn.XLOOKUP(B15,'Model Modeshare by TAZ'!A:A,'Model Modeshare by TAZ'!E:E,0)+_xlfn.XLOOKUP(B15,'Model Modeshare by TAZ'!$A:$A,'Model Modeshare by TAZ'!F:F,0)</f>
        <v>2727.76</v>
      </c>
      <c r="F15" s="117">
        <f>_xlfn.XLOOKUP(B15,'Model Modeshare by TAZ'!A:A,'Model Modeshare by TAZ'!$G:$G,0)</f>
        <v>317.88</v>
      </c>
      <c r="G15" s="117">
        <f>_xlfn.XLOOKUP(B15,'Model Modeshare by TAZ'!A:A,'Model Modeshare by TAZ'!$J:$J,0)</f>
        <v>3869.54</v>
      </c>
      <c r="H15">
        <v>511300</v>
      </c>
      <c r="I15">
        <v>256846</v>
      </c>
      <c r="L15">
        <v>10</v>
      </c>
      <c r="M15" t="s">
        <v>1161</v>
      </c>
      <c r="N15">
        <v>2499</v>
      </c>
      <c r="O15" s="120">
        <f>_xlfn.XLOOKUP(Q15,'Other Model Data by TAZ'!A:A,'Other Model Data by TAZ'!G:G,0)</f>
        <v>3744</v>
      </c>
      <c r="P15" s="120">
        <f>_xlfn.XLOOKUP(Q15, 'Model VMT by TAZ'!A:A,'Model VMT by TAZ'!E:E,0)</f>
        <v>267988.78999999998</v>
      </c>
      <c r="Q15">
        <v>2041</v>
      </c>
      <c r="S15" t="s">
        <v>1162</v>
      </c>
      <c r="T15" t="s">
        <v>1162</v>
      </c>
      <c r="U15">
        <v>0</v>
      </c>
      <c r="V15">
        <v>10110210</v>
      </c>
      <c r="W15">
        <v>14095.781136</v>
      </c>
      <c r="X15">
        <v>10110169.822137</v>
      </c>
      <c r="AA15">
        <v>15</v>
      </c>
      <c r="AB15" t="s">
        <v>1161</v>
      </c>
      <c r="AC15">
        <v>2527</v>
      </c>
      <c r="AD15" s="120">
        <f>_xlfn.XLOOKUP(AF15,'Other Model Data by TAZ'!A:A,'Other Model Data by TAZ'!G:G,0)</f>
        <v>0</v>
      </c>
      <c r="AE15" s="120">
        <f>_xlfn.XLOOKUP(AF15, 'Model VMT by TAZ'!A:A,'Model VMT by TAZ'!E:E,0)</f>
        <v>159749.14000000001</v>
      </c>
      <c r="AF15">
        <v>1912</v>
      </c>
      <c r="AH15" t="s">
        <v>1162</v>
      </c>
      <c r="AI15" t="s">
        <v>1162</v>
      </c>
      <c r="AJ15">
        <v>0</v>
      </c>
      <c r="AK15">
        <v>20585443</v>
      </c>
      <c r="AL15">
        <v>23453.251883000001</v>
      </c>
      <c r="AM15">
        <v>20585360.608548999</v>
      </c>
    </row>
    <row r="16" spans="1:39" x14ac:dyDescent="0.35">
      <c r="A16">
        <v>11</v>
      </c>
      <c r="B16">
        <v>436</v>
      </c>
      <c r="C16" s="120">
        <f>_xlfn.XLOOKUP(B16,'Model VMT by TAZ'!A:A,'Model VMT by TAZ'!E:E,0)</f>
        <v>59140.75</v>
      </c>
      <c r="D16" s="120">
        <f>_xlfn.XLOOKUP(B16,'Other Model Data by TAZ'!A:A,'Other Model Data by TAZ'!G:G,0)</f>
        <v>782</v>
      </c>
      <c r="E16" s="117">
        <f>_xlfn.XLOOKUP(B16,'Model Modeshare by TAZ'!A:A,'Model Modeshare by TAZ'!E:E,0)+_xlfn.XLOOKUP(B16,'Model Modeshare by TAZ'!$A:$A,'Model Modeshare by TAZ'!F:F,0)</f>
        <v>9094.3799999999992</v>
      </c>
      <c r="F16" s="117">
        <f>_xlfn.XLOOKUP(B16,'Model Modeshare by TAZ'!A:A,'Model Modeshare by TAZ'!$G:$G,0)</f>
        <v>1978.54</v>
      </c>
      <c r="G16" s="117">
        <f>_xlfn.XLOOKUP(B16,'Model Modeshare by TAZ'!A:A,'Model Modeshare by TAZ'!$J:$J,0)</f>
        <v>14932.52</v>
      </c>
      <c r="H16">
        <v>511300</v>
      </c>
      <c r="I16">
        <v>535876</v>
      </c>
      <c r="L16">
        <v>11</v>
      </c>
      <c r="M16" t="s">
        <v>1161</v>
      </c>
      <c r="N16">
        <v>2500</v>
      </c>
      <c r="O16" s="120">
        <f>_xlfn.XLOOKUP(Q16,'Other Model Data by TAZ'!A:A,'Other Model Data by TAZ'!G:G,0)</f>
        <v>2114</v>
      </c>
      <c r="P16" s="120">
        <f>_xlfn.XLOOKUP(Q16, 'Model VMT by TAZ'!A:A,'Model VMT by TAZ'!E:E,0)</f>
        <v>42281.98</v>
      </c>
      <c r="Q16">
        <v>2043</v>
      </c>
      <c r="S16" t="s">
        <v>1162</v>
      </c>
      <c r="T16" t="s">
        <v>1162</v>
      </c>
      <c r="U16">
        <v>0</v>
      </c>
      <c r="V16">
        <v>13823152</v>
      </c>
      <c r="W16">
        <v>22353.230525999999</v>
      </c>
      <c r="X16">
        <v>13823096.738678999</v>
      </c>
      <c r="AA16">
        <v>16</v>
      </c>
      <c r="AB16" t="s">
        <v>1161</v>
      </c>
      <c r="AC16">
        <v>2544</v>
      </c>
      <c r="AD16" s="120">
        <f>_xlfn.XLOOKUP(AF16,'Other Model Data by TAZ'!A:A,'Other Model Data by TAZ'!G:G,0)</f>
        <v>3229</v>
      </c>
      <c r="AE16" s="120">
        <f>_xlfn.XLOOKUP(AF16, 'Model VMT by TAZ'!A:A,'Model VMT by TAZ'!E:E,0)</f>
        <v>76450.34</v>
      </c>
      <c r="AF16">
        <v>1935</v>
      </c>
      <c r="AH16" t="s">
        <v>1162</v>
      </c>
      <c r="AI16" t="s">
        <v>1162</v>
      </c>
      <c r="AJ16">
        <v>0</v>
      </c>
      <c r="AK16">
        <v>9764827</v>
      </c>
      <c r="AL16">
        <v>13012.696567999999</v>
      </c>
      <c r="AM16">
        <v>9764787.7799890004</v>
      </c>
    </row>
    <row r="17" spans="1:39" x14ac:dyDescent="0.35">
      <c r="A17">
        <v>12</v>
      </c>
      <c r="B17">
        <v>437</v>
      </c>
      <c r="C17" s="120">
        <f>_xlfn.XLOOKUP(B17,'Model VMT by TAZ'!A:A,'Model VMT by TAZ'!E:E,0)</f>
        <v>33984.61</v>
      </c>
      <c r="D17" s="120">
        <f>_xlfn.XLOOKUP(B17,'Other Model Data by TAZ'!A:A,'Other Model Data by TAZ'!G:G,0)</f>
        <v>132</v>
      </c>
      <c r="E17" s="117">
        <f>_xlfn.XLOOKUP(B17,'Model Modeshare by TAZ'!A:A,'Model Modeshare by TAZ'!E:E,0)+_xlfn.XLOOKUP(B17,'Model Modeshare by TAZ'!$A:$A,'Model Modeshare by TAZ'!F:F,0)</f>
        <v>4625.42</v>
      </c>
      <c r="F17" s="117">
        <f>_xlfn.XLOOKUP(B17,'Model Modeshare by TAZ'!A:A,'Model Modeshare by TAZ'!$G:$G,0)</f>
        <v>846.22</v>
      </c>
      <c r="G17" s="117">
        <f>_xlfn.XLOOKUP(B17,'Model Modeshare by TAZ'!A:A,'Model Modeshare by TAZ'!$J:$J,0)</f>
        <v>7244.98</v>
      </c>
      <c r="H17">
        <v>511300</v>
      </c>
      <c r="I17">
        <v>520028</v>
      </c>
      <c r="L17">
        <v>12</v>
      </c>
      <c r="M17" t="s">
        <v>1161</v>
      </c>
      <c r="N17">
        <v>2503</v>
      </c>
      <c r="O17" s="120">
        <f>_xlfn.XLOOKUP(Q17,'Other Model Data by TAZ'!A:A,'Other Model Data by TAZ'!G:G,0)</f>
        <v>3942</v>
      </c>
      <c r="P17" s="120">
        <f>_xlfn.XLOOKUP(Q17, 'Model VMT by TAZ'!A:A,'Model VMT by TAZ'!E:E,0)</f>
        <v>114944.55</v>
      </c>
      <c r="Q17">
        <v>1907</v>
      </c>
      <c r="S17" t="s">
        <v>1162</v>
      </c>
      <c r="T17" t="s">
        <v>1162</v>
      </c>
      <c r="U17">
        <v>0</v>
      </c>
      <c r="V17">
        <v>7943195</v>
      </c>
      <c r="W17">
        <v>15978.625893</v>
      </c>
      <c r="X17">
        <v>7943163.4023979995</v>
      </c>
      <c r="AA17">
        <v>17</v>
      </c>
      <c r="AB17" t="s">
        <v>1161</v>
      </c>
      <c r="AC17">
        <v>2545</v>
      </c>
      <c r="AD17" s="120">
        <f>_xlfn.XLOOKUP(AF17,'Other Model Data by TAZ'!A:A,'Other Model Data by TAZ'!G:G,0)</f>
        <v>2292</v>
      </c>
      <c r="AE17" s="120">
        <f>_xlfn.XLOOKUP(AF17, 'Model VMT by TAZ'!A:A,'Model VMT by TAZ'!E:E,0)</f>
        <v>107390.46</v>
      </c>
      <c r="AF17">
        <v>1647</v>
      </c>
      <c r="AH17" t="s">
        <v>1162</v>
      </c>
      <c r="AI17" t="s">
        <v>1162</v>
      </c>
      <c r="AJ17">
        <v>0</v>
      </c>
      <c r="AK17">
        <v>3659584</v>
      </c>
      <c r="AL17">
        <v>10175.045301</v>
      </c>
      <c r="AM17">
        <v>3659569.6213429999</v>
      </c>
    </row>
    <row r="18" spans="1:39" x14ac:dyDescent="0.35">
      <c r="A18">
        <v>13</v>
      </c>
      <c r="B18">
        <v>440</v>
      </c>
      <c r="C18" s="120">
        <f>_xlfn.XLOOKUP(B18,'Model VMT by TAZ'!A:A,'Model VMT by TAZ'!E:E,0)</f>
        <v>12545.36</v>
      </c>
      <c r="D18" s="120">
        <f>_xlfn.XLOOKUP(B18,'Other Model Data by TAZ'!A:A,'Other Model Data by TAZ'!G:G,0)</f>
        <v>64</v>
      </c>
      <c r="E18" s="117">
        <f>_xlfn.XLOOKUP(B18,'Model Modeshare by TAZ'!A:A,'Model Modeshare by TAZ'!E:E,0)+_xlfn.XLOOKUP(B18,'Model Modeshare by TAZ'!$A:$A,'Model Modeshare by TAZ'!F:F,0)</f>
        <v>2339.44</v>
      </c>
      <c r="F18" s="117">
        <f>_xlfn.XLOOKUP(B18,'Model Modeshare by TAZ'!A:A,'Model Modeshare by TAZ'!$G:$G,0)</f>
        <v>293.64</v>
      </c>
      <c r="G18" s="117">
        <f>_xlfn.XLOOKUP(B18,'Model Modeshare by TAZ'!A:A,'Model Modeshare by TAZ'!$J:$J,0)</f>
        <v>3617.7</v>
      </c>
      <c r="H18">
        <v>511500</v>
      </c>
      <c r="I18">
        <v>550468</v>
      </c>
      <c r="L18">
        <v>13</v>
      </c>
      <c r="M18" t="s">
        <v>1161</v>
      </c>
      <c r="N18">
        <v>2525</v>
      </c>
      <c r="O18" s="120">
        <f>_xlfn.XLOOKUP(Q18,'Other Model Data by TAZ'!A:A,'Other Model Data by TAZ'!G:G,0)</f>
        <v>3447</v>
      </c>
      <c r="P18" s="120">
        <f>_xlfn.XLOOKUP(Q18, 'Model VMT by TAZ'!A:A,'Model VMT by TAZ'!E:E,0)</f>
        <v>107944.97</v>
      </c>
      <c r="Q18">
        <v>1910</v>
      </c>
      <c r="S18" t="s">
        <v>1162</v>
      </c>
      <c r="T18" t="s">
        <v>1162</v>
      </c>
      <c r="U18">
        <v>0</v>
      </c>
      <c r="V18">
        <v>5288947</v>
      </c>
      <c r="W18">
        <v>10248.53678</v>
      </c>
      <c r="X18">
        <v>5288926.2307810001</v>
      </c>
      <c r="AA18">
        <v>18</v>
      </c>
      <c r="AB18" t="s">
        <v>1161</v>
      </c>
      <c r="AC18">
        <v>2546</v>
      </c>
      <c r="AD18" s="120">
        <f>_xlfn.XLOOKUP(AF18,'Other Model Data by TAZ'!A:A,'Other Model Data by TAZ'!G:G,0)</f>
        <v>1150</v>
      </c>
      <c r="AE18" s="120">
        <f>_xlfn.XLOOKUP(AF18, 'Model VMT by TAZ'!A:A,'Model VMT by TAZ'!E:E,0)</f>
        <v>74088.960000000006</v>
      </c>
      <c r="AF18">
        <v>1599</v>
      </c>
      <c r="AH18" t="s">
        <v>1162</v>
      </c>
      <c r="AI18" t="s">
        <v>1162</v>
      </c>
      <c r="AJ18">
        <v>0</v>
      </c>
      <c r="AK18">
        <v>3914326</v>
      </c>
      <c r="AL18">
        <v>8280.8672650000008</v>
      </c>
      <c r="AM18">
        <v>3914310.4595679999</v>
      </c>
    </row>
    <row r="19" spans="1:39" x14ac:dyDescent="0.35">
      <c r="A19">
        <v>14</v>
      </c>
      <c r="B19">
        <v>441</v>
      </c>
      <c r="C19" s="120">
        <f>_xlfn.XLOOKUP(B19,'Model VMT by TAZ'!A:A,'Model VMT by TAZ'!E:E,0)</f>
        <v>10977.27</v>
      </c>
      <c r="D19" s="120">
        <f>_xlfn.XLOOKUP(B19,'Other Model Data by TAZ'!A:A,'Other Model Data by TAZ'!G:G,0)</f>
        <v>356</v>
      </c>
      <c r="E19" s="117">
        <f>_xlfn.XLOOKUP(B19,'Model Modeshare by TAZ'!A:A,'Model Modeshare by TAZ'!E:E,0)+_xlfn.XLOOKUP(B19,'Model Modeshare by TAZ'!$A:$A,'Model Modeshare by TAZ'!F:F,0)</f>
        <v>1229.8200000000002</v>
      </c>
      <c r="F19" s="117">
        <f>_xlfn.XLOOKUP(B19,'Model Modeshare by TAZ'!A:A,'Model Modeshare by TAZ'!$G:$G,0)</f>
        <v>196.48</v>
      </c>
      <c r="G19" s="117">
        <f>_xlfn.XLOOKUP(B19,'Model Modeshare by TAZ'!A:A,'Model Modeshare by TAZ'!$J:$J,0)</f>
        <v>2022.86</v>
      </c>
      <c r="H19">
        <v>511500</v>
      </c>
      <c r="I19">
        <v>372276</v>
      </c>
      <c r="L19">
        <v>14</v>
      </c>
      <c r="M19" t="s">
        <v>1161</v>
      </c>
      <c r="N19">
        <v>2526</v>
      </c>
      <c r="O19" s="120">
        <f>_xlfn.XLOOKUP(Q19,'Other Model Data by TAZ'!A:A,'Other Model Data by TAZ'!G:G,0)</f>
        <v>3390</v>
      </c>
      <c r="P19" s="120">
        <f>_xlfn.XLOOKUP(Q19, 'Model VMT by TAZ'!A:A,'Model VMT by TAZ'!E:E,0)</f>
        <v>129284.92</v>
      </c>
      <c r="Q19">
        <v>1911</v>
      </c>
      <c r="S19" t="s">
        <v>1162</v>
      </c>
      <c r="T19" t="s">
        <v>1162</v>
      </c>
      <c r="U19">
        <v>0</v>
      </c>
      <c r="V19">
        <v>4696682</v>
      </c>
      <c r="W19">
        <v>10099.045294</v>
      </c>
      <c r="X19">
        <v>4696662.7846720004</v>
      </c>
      <c r="AA19">
        <v>19</v>
      </c>
      <c r="AB19" t="s">
        <v>1161</v>
      </c>
      <c r="AC19">
        <v>2547</v>
      </c>
      <c r="AD19" s="120">
        <f>_xlfn.XLOOKUP(AF19,'Other Model Data by TAZ'!A:A,'Other Model Data by TAZ'!G:G,0)</f>
        <v>3052</v>
      </c>
      <c r="AE19" s="120">
        <f>_xlfn.XLOOKUP(AF19, 'Model VMT by TAZ'!A:A,'Model VMT by TAZ'!E:E,0)</f>
        <v>85973.05</v>
      </c>
      <c r="AF19">
        <v>1938</v>
      </c>
      <c r="AH19" t="s">
        <v>1162</v>
      </c>
      <c r="AI19" t="s">
        <v>1162</v>
      </c>
      <c r="AJ19">
        <v>0</v>
      </c>
      <c r="AK19">
        <v>11842841</v>
      </c>
      <c r="AL19">
        <v>16555.753407</v>
      </c>
      <c r="AM19">
        <v>11842793.31583</v>
      </c>
    </row>
    <row r="20" spans="1:39" x14ac:dyDescent="0.35">
      <c r="A20">
        <v>15</v>
      </c>
      <c r="B20">
        <v>363</v>
      </c>
      <c r="C20" s="120">
        <f>_xlfn.XLOOKUP(B20,'Model VMT by TAZ'!A:A,'Model VMT by TAZ'!E:E,0)</f>
        <v>81388.5</v>
      </c>
      <c r="D20" s="120">
        <f>_xlfn.XLOOKUP(B20,'Other Model Data by TAZ'!A:A,'Other Model Data by TAZ'!G:G,0)</f>
        <v>1717</v>
      </c>
      <c r="E20" s="117">
        <f>_xlfn.XLOOKUP(B20,'Model Modeshare by TAZ'!A:A,'Model Modeshare by TAZ'!E:E,0)+_xlfn.XLOOKUP(B20,'Model Modeshare by TAZ'!$A:$A,'Model Modeshare by TAZ'!F:F,0)</f>
        <v>11837.4</v>
      </c>
      <c r="F20" s="117">
        <f>_xlfn.XLOOKUP(B20,'Model Modeshare by TAZ'!A:A,'Model Modeshare by TAZ'!$G:$G,0)</f>
        <v>447.72</v>
      </c>
      <c r="G20" s="117">
        <f>_xlfn.XLOOKUP(B20,'Model Modeshare by TAZ'!A:A,'Model Modeshare by TAZ'!$J:$J,0)</f>
        <v>14679.1</v>
      </c>
      <c r="H20">
        <v>509401</v>
      </c>
      <c r="I20">
        <v>3146422</v>
      </c>
      <c r="L20">
        <v>15</v>
      </c>
      <c r="M20" t="s">
        <v>1161</v>
      </c>
      <c r="N20">
        <v>2527</v>
      </c>
      <c r="O20" s="120">
        <f>_xlfn.XLOOKUP(Q20,'Other Model Data by TAZ'!A:A,'Other Model Data by TAZ'!G:G,0)</f>
        <v>0</v>
      </c>
      <c r="P20" s="120">
        <f>_xlfn.XLOOKUP(Q20, 'Model VMT by TAZ'!A:A,'Model VMT by TAZ'!E:E,0)</f>
        <v>159749.14000000001</v>
      </c>
      <c r="Q20">
        <v>1912</v>
      </c>
      <c r="S20" t="s">
        <v>1162</v>
      </c>
      <c r="T20" t="s">
        <v>1162</v>
      </c>
      <c r="U20">
        <v>0</v>
      </c>
      <c r="V20">
        <v>20585443</v>
      </c>
      <c r="W20">
        <v>23453.251883000001</v>
      </c>
      <c r="X20">
        <v>20585360.608548999</v>
      </c>
      <c r="AA20">
        <v>21</v>
      </c>
      <c r="AB20" t="s">
        <v>1161</v>
      </c>
      <c r="AC20">
        <v>2549</v>
      </c>
      <c r="AD20" s="120">
        <f>_xlfn.XLOOKUP(AF20,'Other Model Data by TAZ'!A:A,'Other Model Data by TAZ'!G:G,0)</f>
        <v>1236</v>
      </c>
      <c r="AE20" s="120">
        <f>_xlfn.XLOOKUP(AF20, 'Model VMT by TAZ'!A:A,'Model VMT by TAZ'!E:E,0)</f>
        <v>92330.2</v>
      </c>
      <c r="AF20">
        <v>1940</v>
      </c>
      <c r="AH20" t="s">
        <v>1162</v>
      </c>
      <c r="AI20" t="s">
        <v>1162</v>
      </c>
      <c r="AJ20">
        <v>0</v>
      </c>
      <c r="AK20">
        <v>7406502</v>
      </c>
      <c r="AL20">
        <v>12147.945318</v>
      </c>
      <c r="AM20">
        <v>7406472.4732060004</v>
      </c>
    </row>
    <row r="21" spans="1:39" x14ac:dyDescent="0.35">
      <c r="A21">
        <v>16</v>
      </c>
      <c r="B21">
        <v>364</v>
      </c>
      <c r="C21" s="120">
        <f>_xlfn.XLOOKUP(B21,'Model VMT by TAZ'!A:A,'Model VMT by TAZ'!E:E,0)</f>
        <v>51689.86</v>
      </c>
      <c r="D21" s="120">
        <f>_xlfn.XLOOKUP(B21,'Other Model Data by TAZ'!A:A,'Other Model Data by TAZ'!G:G,0)</f>
        <v>1989</v>
      </c>
      <c r="E21" s="117">
        <f>_xlfn.XLOOKUP(B21,'Model Modeshare by TAZ'!A:A,'Model Modeshare by TAZ'!E:E,0)+_xlfn.XLOOKUP(B21,'Model Modeshare by TAZ'!$A:$A,'Model Modeshare by TAZ'!F:F,0)</f>
        <v>9266.64</v>
      </c>
      <c r="F21" s="117">
        <f>_xlfn.XLOOKUP(B21,'Model Modeshare by TAZ'!A:A,'Model Modeshare by TAZ'!$G:$G,0)</f>
        <v>386.88</v>
      </c>
      <c r="G21" s="117">
        <f>_xlfn.XLOOKUP(B21,'Model Modeshare by TAZ'!A:A,'Model Modeshare by TAZ'!$J:$J,0)</f>
        <v>11541.5</v>
      </c>
      <c r="H21">
        <v>509401</v>
      </c>
      <c r="I21">
        <v>3820141</v>
      </c>
      <c r="L21">
        <v>16</v>
      </c>
      <c r="M21" t="s">
        <v>1161</v>
      </c>
      <c r="N21">
        <v>2544</v>
      </c>
      <c r="O21" s="120">
        <f>_xlfn.XLOOKUP(Q21,'Other Model Data by TAZ'!A:A,'Other Model Data by TAZ'!G:G,0)</f>
        <v>3229</v>
      </c>
      <c r="P21" s="120">
        <f>_xlfn.XLOOKUP(Q21, 'Model VMT by TAZ'!A:A,'Model VMT by TAZ'!E:E,0)</f>
        <v>76450.34</v>
      </c>
      <c r="Q21">
        <v>1935</v>
      </c>
      <c r="S21" t="s">
        <v>1162</v>
      </c>
      <c r="T21" t="s">
        <v>1162</v>
      </c>
      <c r="U21">
        <v>0</v>
      </c>
      <c r="V21">
        <v>9764827</v>
      </c>
      <c r="W21">
        <v>13012.696567999999</v>
      </c>
      <c r="X21">
        <v>9764787.7799890004</v>
      </c>
      <c r="AA21">
        <v>22</v>
      </c>
      <c r="AB21" t="s">
        <v>1161</v>
      </c>
      <c r="AC21">
        <v>2553</v>
      </c>
      <c r="AD21" s="120">
        <f>_xlfn.XLOOKUP(AF21,'Other Model Data by TAZ'!A:A,'Other Model Data by TAZ'!G:G,0)</f>
        <v>4970</v>
      </c>
      <c r="AE21" s="120">
        <f>_xlfn.XLOOKUP(AF21, 'Model VMT by TAZ'!A:A,'Model VMT by TAZ'!E:E,0)</f>
        <v>206906.67</v>
      </c>
      <c r="AF21">
        <v>1944</v>
      </c>
      <c r="AH21" t="s">
        <v>1162</v>
      </c>
      <c r="AI21" t="s">
        <v>1162</v>
      </c>
      <c r="AJ21">
        <v>0</v>
      </c>
      <c r="AK21">
        <v>11373766</v>
      </c>
      <c r="AL21">
        <v>14954.136621</v>
      </c>
      <c r="AM21">
        <v>11373720.608308</v>
      </c>
    </row>
    <row r="22" spans="1:39" x14ac:dyDescent="0.35">
      <c r="A22">
        <v>17</v>
      </c>
      <c r="B22">
        <v>426</v>
      </c>
      <c r="C22" s="120">
        <f>_xlfn.XLOOKUP(B22,'Model VMT by TAZ'!A:A,'Model VMT by TAZ'!E:E,0)</f>
        <v>45843.79</v>
      </c>
      <c r="D22" s="120">
        <f>_xlfn.XLOOKUP(B22,'Other Model Data by TAZ'!A:A,'Other Model Data by TAZ'!G:G,0)</f>
        <v>4</v>
      </c>
      <c r="E22" s="117">
        <f>_xlfn.XLOOKUP(B22,'Model Modeshare by TAZ'!A:A,'Model Modeshare by TAZ'!E:E,0)+_xlfn.XLOOKUP(B22,'Model Modeshare by TAZ'!$A:$A,'Model Modeshare by TAZ'!F:F,0)</f>
        <v>5262.64</v>
      </c>
      <c r="F22" s="117">
        <f>_xlfn.XLOOKUP(B22,'Model Modeshare by TAZ'!A:A,'Model Modeshare by TAZ'!$G:$G,0)</f>
        <v>1219.98</v>
      </c>
      <c r="G22" s="117">
        <f>_xlfn.XLOOKUP(B22,'Model Modeshare by TAZ'!A:A,'Model Modeshare by TAZ'!$J:$J,0)</f>
        <v>8725.82</v>
      </c>
      <c r="H22">
        <v>511300</v>
      </c>
      <c r="I22">
        <v>274304</v>
      </c>
      <c r="L22">
        <v>17</v>
      </c>
      <c r="M22" t="s">
        <v>1161</v>
      </c>
      <c r="N22">
        <v>2545</v>
      </c>
      <c r="O22" s="120">
        <f>_xlfn.XLOOKUP(Q22,'Other Model Data by TAZ'!A:A,'Other Model Data by TAZ'!G:G,0)</f>
        <v>2292</v>
      </c>
      <c r="P22" s="120">
        <f>_xlfn.XLOOKUP(Q22, 'Model VMT by TAZ'!A:A,'Model VMT by TAZ'!E:E,0)</f>
        <v>107390.46</v>
      </c>
      <c r="Q22">
        <v>1647</v>
      </c>
      <c r="S22" t="s">
        <v>1162</v>
      </c>
      <c r="T22" t="s">
        <v>1162</v>
      </c>
      <c r="U22">
        <v>0</v>
      </c>
      <c r="V22">
        <v>3659584</v>
      </c>
      <c r="W22">
        <v>10175.045301</v>
      </c>
      <c r="X22">
        <v>3659569.6213429999</v>
      </c>
      <c r="AA22">
        <v>23</v>
      </c>
      <c r="AB22" t="s">
        <v>1161</v>
      </c>
      <c r="AC22">
        <v>2556</v>
      </c>
      <c r="AD22" s="120">
        <f>_xlfn.XLOOKUP(AF22,'Other Model Data by TAZ'!A:A,'Other Model Data by TAZ'!G:G,0)</f>
        <v>4</v>
      </c>
      <c r="AE22" s="120">
        <f>_xlfn.XLOOKUP(AF22, 'Model VMT by TAZ'!A:A,'Model VMT by TAZ'!E:E,0)</f>
        <v>151832.92000000001</v>
      </c>
      <c r="AF22">
        <v>1652</v>
      </c>
      <c r="AH22" t="s">
        <v>1162</v>
      </c>
      <c r="AI22" t="s">
        <v>1162</v>
      </c>
      <c r="AJ22">
        <v>0</v>
      </c>
      <c r="AK22">
        <v>12136629</v>
      </c>
      <c r="AL22">
        <v>18446.557785000001</v>
      </c>
      <c r="AM22">
        <v>12136580.379311001</v>
      </c>
    </row>
    <row r="23" spans="1:39" x14ac:dyDescent="0.35">
      <c r="A23">
        <v>18</v>
      </c>
      <c r="B23">
        <v>427</v>
      </c>
      <c r="C23" s="120">
        <f>_xlfn.XLOOKUP(B23,'Model VMT by TAZ'!A:A,'Model VMT by TAZ'!E:E,0)</f>
        <v>38959.300000000003</v>
      </c>
      <c r="D23" s="120">
        <f>_xlfn.XLOOKUP(B23,'Other Model Data by TAZ'!A:A,'Other Model Data by TAZ'!G:G,0)</f>
        <v>124</v>
      </c>
      <c r="E23" s="117">
        <f>_xlfn.XLOOKUP(B23,'Model Modeshare by TAZ'!A:A,'Model Modeshare by TAZ'!E:E,0)+_xlfn.XLOOKUP(B23,'Model Modeshare by TAZ'!$A:$A,'Model Modeshare by TAZ'!F:F,0)</f>
        <v>4754.58</v>
      </c>
      <c r="F23" s="117">
        <f>_xlfn.XLOOKUP(B23,'Model Modeshare by TAZ'!A:A,'Model Modeshare by TAZ'!$G:$G,0)</f>
        <v>992.98</v>
      </c>
      <c r="G23" s="117">
        <f>_xlfn.XLOOKUP(B23,'Model Modeshare by TAZ'!A:A,'Model Modeshare by TAZ'!$J:$J,0)</f>
        <v>7710.78</v>
      </c>
      <c r="H23">
        <v>511300</v>
      </c>
      <c r="I23">
        <v>266351</v>
      </c>
      <c r="L23">
        <v>18</v>
      </c>
      <c r="M23" t="s">
        <v>1161</v>
      </c>
      <c r="N23">
        <v>2546</v>
      </c>
      <c r="O23" s="120">
        <f>_xlfn.XLOOKUP(Q23,'Other Model Data by TAZ'!A:A,'Other Model Data by TAZ'!G:G,0)</f>
        <v>1150</v>
      </c>
      <c r="P23" s="120">
        <f>_xlfn.XLOOKUP(Q23, 'Model VMT by TAZ'!A:A,'Model VMT by TAZ'!E:E,0)</f>
        <v>74088.960000000006</v>
      </c>
      <c r="Q23">
        <v>1599</v>
      </c>
      <c r="S23" t="s">
        <v>1162</v>
      </c>
      <c r="T23" t="s">
        <v>1162</v>
      </c>
      <c r="U23">
        <v>0</v>
      </c>
      <c r="V23">
        <v>3914326</v>
      </c>
      <c r="W23">
        <v>8280.8672650000008</v>
      </c>
      <c r="X23">
        <v>3914310.4595679999</v>
      </c>
      <c r="AA23">
        <v>24</v>
      </c>
      <c r="AB23" t="s">
        <v>1161</v>
      </c>
      <c r="AC23">
        <v>2557</v>
      </c>
      <c r="AD23" s="120">
        <f>_xlfn.XLOOKUP(AF23,'Other Model Data by TAZ'!A:A,'Other Model Data by TAZ'!G:G,0)</f>
        <v>3745</v>
      </c>
      <c r="AE23" s="120">
        <f>_xlfn.XLOOKUP(AF23, 'Model VMT by TAZ'!A:A,'Model VMT by TAZ'!E:E,0)</f>
        <v>79690.92</v>
      </c>
      <c r="AF23">
        <v>1947</v>
      </c>
      <c r="AH23" t="s">
        <v>1162</v>
      </c>
      <c r="AI23" t="s">
        <v>1162</v>
      </c>
      <c r="AJ23">
        <v>0</v>
      </c>
      <c r="AK23">
        <v>10034122</v>
      </c>
      <c r="AL23">
        <v>14833.364926</v>
      </c>
      <c r="AM23">
        <v>10034082.280724</v>
      </c>
    </row>
    <row r="24" spans="1:39" x14ac:dyDescent="0.35">
      <c r="A24">
        <v>19</v>
      </c>
      <c r="B24">
        <v>360</v>
      </c>
      <c r="C24" s="120">
        <f>_xlfn.XLOOKUP(B24,'Model VMT by TAZ'!A:A,'Model VMT by TAZ'!E:E,0)</f>
        <v>5677.79</v>
      </c>
      <c r="D24" s="120">
        <f>_xlfn.XLOOKUP(B24,'Other Model Data by TAZ'!A:A,'Other Model Data by TAZ'!G:G,0)</f>
        <v>374</v>
      </c>
      <c r="E24" s="117">
        <f>_xlfn.XLOOKUP(B24,'Model Modeshare by TAZ'!A:A,'Model Modeshare by TAZ'!E:E,0)+_xlfn.XLOOKUP(B24,'Model Modeshare by TAZ'!$A:$A,'Model Modeshare by TAZ'!F:F,0)</f>
        <v>1145.6399999999999</v>
      </c>
      <c r="F24" s="117">
        <f>_xlfn.XLOOKUP(B24,'Model Modeshare by TAZ'!A:A,'Model Modeshare by TAZ'!$G:$G,0)</f>
        <v>30.04</v>
      </c>
      <c r="G24" s="117">
        <f>_xlfn.XLOOKUP(B24,'Model Modeshare by TAZ'!A:A,'Model Modeshare by TAZ'!$J:$J,0)</f>
        <v>1485.52</v>
      </c>
      <c r="H24">
        <v>509201</v>
      </c>
      <c r="I24">
        <v>591155</v>
      </c>
      <c r="L24">
        <v>19</v>
      </c>
      <c r="M24" t="s">
        <v>1161</v>
      </c>
      <c r="N24">
        <v>2547</v>
      </c>
      <c r="O24" s="120">
        <f>_xlfn.XLOOKUP(Q24,'Other Model Data by TAZ'!A:A,'Other Model Data by TAZ'!G:G,0)</f>
        <v>3052</v>
      </c>
      <c r="P24" s="120">
        <f>_xlfn.XLOOKUP(Q24, 'Model VMT by TAZ'!A:A,'Model VMT by TAZ'!E:E,0)</f>
        <v>85973.05</v>
      </c>
      <c r="Q24">
        <v>1938</v>
      </c>
      <c r="S24" t="s">
        <v>1162</v>
      </c>
      <c r="T24" t="s">
        <v>1162</v>
      </c>
      <c r="U24">
        <v>0</v>
      </c>
      <c r="V24">
        <v>11842841</v>
      </c>
      <c r="W24">
        <v>16555.753407</v>
      </c>
      <c r="X24">
        <v>11842793.31583</v>
      </c>
      <c r="AA24">
        <v>25</v>
      </c>
      <c r="AB24" t="s">
        <v>1161</v>
      </c>
      <c r="AC24">
        <v>2558</v>
      </c>
      <c r="AD24" s="120">
        <f>_xlfn.XLOOKUP(AF24,'Other Model Data by TAZ'!A:A,'Other Model Data by TAZ'!G:G,0)</f>
        <v>2526</v>
      </c>
      <c r="AE24" s="120">
        <f>_xlfn.XLOOKUP(AF24, 'Model VMT by TAZ'!A:A,'Model VMT by TAZ'!E:E,0)</f>
        <v>65681.56</v>
      </c>
      <c r="AF24">
        <v>1950</v>
      </c>
      <c r="AH24" t="s">
        <v>1162</v>
      </c>
      <c r="AI24" t="s">
        <v>1162</v>
      </c>
      <c r="AJ24">
        <v>0</v>
      </c>
      <c r="AK24">
        <v>6152169</v>
      </c>
      <c r="AL24">
        <v>13781.805442000001</v>
      </c>
      <c r="AM24">
        <v>6152144.2515970003</v>
      </c>
    </row>
    <row r="25" spans="1:39" x14ac:dyDescent="0.35">
      <c r="A25">
        <v>20</v>
      </c>
      <c r="B25">
        <v>1209</v>
      </c>
      <c r="C25" s="120">
        <f>_xlfn.XLOOKUP(B25,'Model VMT by TAZ'!A:A,'Model VMT by TAZ'!E:E,0)</f>
        <v>7456.5</v>
      </c>
      <c r="D25" s="120">
        <f>_xlfn.XLOOKUP(B25,'Other Model Data by TAZ'!A:A,'Other Model Data by TAZ'!G:G,0)</f>
        <v>8</v>
      </c>
      <c r="E25" s="117">
        <f>_xlfn.XLOOKUP(B25,'Model Modeshare by TAZ'!A:A,'Model Modeshare by TAZ'!E:E,0)+_xlfn.XLOOKUP(B25,'Model Modeshare by TAZ'!$A:$A,'Model Modeshare by TAZ'!F:F,0)</f>
        <v>961.7</v>
      </c>
      <c r="F25" s="117">
        <f>_xlfn.XLOOKUP(B25,'Model Modeshare by TAZ'!A:A,'Model Modeshare by TAZ'!$G:$G,0)</f>
        <v>45.64</v>
      </c>
      <c r="G25" s="117">
        <f>_xlfn.XLOOKUP(B25,'Model Modeshare by TAZ'!A:A,'Model Modeshare by TAZ'!$J:$J,0)</f>
        <v>1281.92</v>
      </c>
      <c r="H25">
        <v>505202</v>
      </c>
      <c r="I25">
        <v>640697</v>
      </c>
      <c r="L25">
        <v>21</v>
      </c>
      <c r="M25" t="s">
        <v>1161</v>
      </c>
      <c r="N25">
        <v>2549</v>
      </c>
      <c r="O25" s="120">
        <f>_xlfn.XLOOKUP(Q25,'Other Model Data by TAZ'!A:A,'Other Model Data by TAZ'!G:G,0)</f>
        <v>1236</v>
      </c>
      <c r="P25" s="120">
        <f>_xlfn.XLOOKUP(Q25, 'Model VMT by TAZ'!A:A,'Model VMT by TAZ'!E:E,0)</f>
        <v>92330.2</v>
      </c>
      <c r="Q25">
        <v>1940</v>
      </c>
      <c r="S25" t="s">
        <v>1162</v>
      </c>
      <c r="T25" t="s">
        <v>1162</v>
      </c>
      <c r="U25">
        <v>0</v>
      </c>
      <c r="V25">
        <v>7406502</v>
      </c>
      <c r="W25">
        <v>12147.945318</v>
      </c>
      <c r="X25">
        <v>7406472.4732060004</v>
      </c>
      <c r="AA25">
        <v>26</v>
      </c>
      <c r="AB25" t="s">
        <v>1161</v>
      </c>
      <c r="AC25">
        <v>2559</v>
      </c>
      <c r="AD25" s="120">
        <f>_xlfn.XLOOKUP(AF25,'Other Model Data by TAZ'!A:A,'Other Model Data by TAZ'!G:G,0)</f>
        <v>0</v>
      </c>
      <c r="AE25" s="120">
        <f>_xlfn.XLOOKUP(AF25, 'Model VMT by TAZ'!A:A,'Model VMT by TAZ'!E:E,0)</f>
        <v>237707.91</v>
      </c>
      <c r="AF25">
        <v>1949</v>
      </c>
      <c r="AH25" t="s">
        <v>1162</v>
      </c>
      <c r="AI25" t="s">
        <v>1162</v>
      </c>
      <c r="AJ25">
        <v>0</v>
      </c>
      <c r="AK25">
        <v>10186993</v>
      </c>
      <c r="AL25">
        <v>40168.634508000003</v>
      </c>
      <c r="AM25">
        <v>10186952.241307</v>
      </c>
    </row>
    <row r="26" spans="1:39" x14ac:dyDescent="0.35">
      <c r="A26">
        <v>21</v>
      </c>
      <c r="B26">
        <v>1210</v>
      </c>
      <c r="C26" s="120">
        <f>_xlfn.XLOOKUP(B26,'Model VMT by TAZ'!A:A,'Model VMT by TAZ'!E:E,0)</f>
        <v>103875.67</v>
      </c>
      <c r="D26" s="120">
        <f>_xlfn.XLOOKUP(B26,'Other Model Data by TAZ'!A:A,'Other Model Data by TAZ'!G:G,0)</f>
        <v>460</v>
      </c>
      <c r="E26" s="117">
        <f>_xlfn.XLOOKUP(B26,'Model Modeshare by TAZ'!A:A,'Model Modeshare by TAZ'!E:E,0)+_xlfn.XLOOKUP(B26,'Model Modeshare by TAZ'!$A:$A,'Model Modeshare by TAZ'!F:F,0)</f>
        <v>11229.3</v>
      </c>
      <c r="F26" s="117">
        <f>_xlfn.XLOOKUP(B26,'Model Modeshare by TAZ'!A:A,'Model Modeshare by TAZ'!$G:$G,0)</f>
        <v>927.24</v>
      </c>
      <c r="G26" s="117">
        <f>_xlfn.XLOOKUP(B26,'Model Modeshare by TAZ'!A:A,'Model Modeshare by TAZ'!$J:$J,0)</f>
        <v>15822.2</v>
      </c>
      <c r="H26">
        <v>505203</v>
      </c>
      <c r="I26">
        <v>4611802</v>
      </c>
      <c r="L26">
        <v>22</v>
      </c>
      <c r="M26" t="s">
        <v>1161</v>
      </c>
      <c r="N26">
        <v>2553</v>
      </c>
      <c r="O26" s="120">
        <f>_xlfn.XLOOKUP(Q26,'Other Model Data by TAZ'!A:A,'Other Model Data by TAZ'!G:G,0)</f>
        <v>4970</v>
      </c>
      <c r="P26" s="120">
        <f>_xlfn.XLOOKUP(Q26, 'Model VMT by TAZ'!A:A,'Model VMT by TAZ'!E:E,0)</f>
        <v>206906.67</v>
      </c>
      <c r="Q26">
        <v>1944</v>
      </c>
      <c r="S26" t="s">
        <v>1162</v>
      </c>
      <c r="T26" t="s">
        <v>1162</v>
      </c>
      <c r="U26">
        <v>0</v>
      </c>
      <c r="V26">
        <v>11373766</v>
      </c>
      <c r="W26">
        <v>14954.136621</v>
      </c>
      <c r="X26">
        <v>11373720.608308</v>
      </c>
      <c r="AA26">
        <v>27</v>
      </c>
      <c r="AB26" t="s">
        <v>1161</v>
      </c>
      <c r="AC26">
        <v>2560</v>
      </c>
      <c r="AD26" s="120">
        <f>_xlfn.XLOOKUP(AF26,'Other Model Data by TAZ'!A:A,'Other Model Data by TAZ'!G:G,0)</f>
        <v>1449</v>
      </c>
      <c r="AE26" s="120">
        <f>_xlfn.XLOOKUP(AF26, 'Model VMT by TAZ'!A:A,'Model VMT by TAZ'!E:E,0)</f>
        <v>47941.53</v>
      </c>
      <c r="AF26">
        <v>1607</v>
      </c>
      <c r="AH26" t="s">
        <v>1162</v>
      </c>
      <c r="AI26" t="s">
        <v>1162</v>
      </c>
      <c r="AJ26">
        <v>0</v>
      </c>
      <c r="AK26">
        <v>4711961</v>
      </c>
      <c r="AL26">
        <v>9870.6939320000001</v>
      </c>
      <c r="AM26">
        <v>4711941.9828530001</v>
      </c>
    </row>
    <row r="27" spans="1:39" x14ac:dyDescent="0.35">
      <c r="A27">
        <v>22</v>
      </c>
      <c r="B27">
        <v>1407</v>
      </c>
      <c r="C27" s="120">
        <f>_xlfn.XLOOKUP(B27,'Model VMT by TAZ'!A:A,'Model VMT by TAZ'!E:E,0)</f>
        <v>5972.3</v>
      </c>
      <c r="D27" s="120">
        <f>_xlfn.XLOOKUP(B27,'Other Model Data by TAZ'!A:A,'Other Model Data by TAZ'!G:G,0)</f>
        <v>285</v>
      </c>
      <c r="E27" s="117">
        <f>_xlfn.XLOOKUP(B27,'Model Modeshare by TAZ'!A:A,'Model Modeshare by TAZ'!E:E,0)+_xlfn.XLOOKUP(B27,'Model Modeshare by TAZ'!$A:$A,'Model Modeshare by TAZ'!F:F,0)</f>
        <v>2251.04</v>
      </c>
      <c r="F27" s="117">
        <f>_xlfn.XLOOKUP(B27,'Model Modeshare by TAZ'!A:A,'Model Modeshare by TAZ'!$G:$G,0)</f>
        <v>49.46</v>
      </c>
      <c r="G27" s="117">
        <f>_xlfn.XLOOKUP(B27,'Model Modeshare by TAZ'!A:A,'Model Modeshare by TAZ'!$J:$J,0)</f>
        <v>2578.2800000000002</v>
      </c>
      <c r="H27">
        <v>508704</v>
      </c>
      <c r="I27">
        <v>1542823</v>
      </c>
      <c r="L27">
        <v>23</v>
      </c>
      <c r="M27" t="s">
        <v>1161</v>
      </c>
      <c r="N27">
        <v>2556</v>
      </c>
      <c r="O27" s="120">
        <f>_xlfn.XLOOKUP(Q27,'Other Model Data by TAZ'!A:A,'Other Model Data by TAZ'!G:G,0)</f>
        <v>4</v>
      </c>
      <c r="P27" s="120">
        <f>_xlfn.XLOOKUP(Q27, 'Model VMT by TAZ'!A:A,'Model VMT by TAZ'!E:E,0)</f>
        <v>151832.92000000001</v>
      </c>
      <c r="Q27">
        <v>1652</v>
      </c>
      <c r="S27" t="s">
        <v>1162</v>
      </c>
      <c r="T27" t="s">
        <v>1162</v>
      </c>
      <c r="U27">
        <v>0</v>
      </c>
      <c r="V27">
        <v>12136629</v>
      </c>
      <c r="W27">
        <v>18446.557785000001</v>
      </c>
      <c r="X27">
        <v>12136580.379311001</v>
      </c>
      <c r="AA27">
        <v>28</v>
      </c>
      <c r="AB27" t="s">
        <v>1161</v>
      </c>
      <c r="AC27">
        <v>2562</v>
      </c>
      <c r="AD27" s="120">
        <f>_xlfn.XLOOKUP(AF27,'Other Model Data by TAZ'!A:A,'Other Model Data by TAZ'!G:G,0)</f>
        <v>2573</v>
      </c>
      <c r="AE27" s="120">
        <f>_xlfn.XLOOKUP(AF27, 'Model VMT by TAZ'!A:A,'Model VMT by TAZ'!E:E,0)</f>
        <v>71424.81</v>
      </c>
      <c r="AF27">
        <v>1953</v>
      </c>
      <c r="AH27" t="s">
        <v>1162</v>
      </c>
      <c r="AI27" t="s">
        <v>1162</v>
      </c>
      <c r="AJ27">
        <v>0</v>
      </c>
      <c r="AK27">
        <v>13310133</v>
      </c>
      <c r="AL27">
        <v>17206.388084999999</v>
      </c>
      <c r="AM27">
        <v>13310079.997096</v>
      </c>
    </row>
    <row r="28" spans="1:39" x14ac:dyDescent="0.35">
      <c r="A28">
        <v>23</v>
      </c>
      <c r="B28">
        <v>1411</v>
      </c>
      <c r="C28" s="120">
        <f>_xlfn.XLOOKUP(B28,'Model VMT by TAZ'!A:A,'Model VMT by TAZ'!E:E,0)</f>
        <v>68028.320000000007</v>
      </c>
      <c r="D28" s="120">
        <f>_xlfn.XLOOKUP(B28,'Other Model Data by TAZ'!A:A,'Other Model Data by TAZ'!G:G,0)</f>
        <v>0</v>
      </c>
      <c r="E28" s="117">
        <f>_xlfn.XLOOKUP(B28,'Model Modeshare by TAZ'!A:A,'Model Modeshare by TAZ'!E:E,0)+_xlfn.XLOOKUP(B28,'Model Modeshare by TAZ'!$A:$A,'Model Modeshare by TAZ'!F:F,0)</f>
        <v>6229.9400000000005</v>
      </c>
      <c r="F28" s="117">
        <f>_xlfn.XLOOKUP(B28,'Model Modeshare by TAZ'!A:A,'Model Modeshare by TAZ'!$G:$G,0)</f>
        <v>51.96</v>
      </c>
      <c r="G28" s="117">
        <f>_xlfn.XLOOKUP(B28,'Model Modeshare by TAZ'!A:A,'Model Modeshare by TAZ'!$J:$J,0)</f>
        <v>6541.2</v>
      </c>
      <c r="H28">
        <v>508704</v>
      </c>
      <c r="I28">
        <v>4113103</v>
      </c>
      <c r="L28">
        <v>24</v>
      </c>
      <c r="M28" t="s">
        <v>1161</v>
      </c>
      <c r="N28">
        <v>2557</v>
      </c>
      <c r="O28" s="120">
        <f>_xlfn.XLOOKUP(Q28,'Other Model Data by TAZ'!A:A,'Other Model Data by TAZ'!G:G,0)</f>
        <v>3745</v>
      </c>
      <c r="P28" s="120">
        <f>_xlfn.XLOOKUP(Q28, 'Model VMT by TAZ'!A:A,'Model VMT by TAZ'!E:E,0)</f>
        <v>79690.92</v>
      </c>
      <c r="Q28">
        <v>1947</v>
      </c>
      <c r="S28" t="s">
        <v>1162</v>
      </c>
      <c r="T28" t="s">
        <v>1162</v>
      </c>
      <c r="U28">
        <v>0</v>
      </c>
      <c r="V28">
        <v>10034122</v>
      </c>
      <c r="W28">
        <v>14833.364926</v>
      </c>
      <c r="X28">
        <v>10034082.280724</v>
      </c>
      <c r="AA28">
        <v>29</v>
      </c>
      <c r="AB28" t="s">
        <v>1161</v>
      </c>
      <c r="AC28">
        <v>2563</v>
      </c>
      <c r="AD28" s="120">
        <f>_xlfn.XLOOKUP(AF28,'Other Model Data by TAZ'!A:A,'Other Model Data by TAZ'!G:G,0)</f>
        <v>2914</v>
      </c>
      <c r="AE28" s="120">
        <f>_xlfn.XLOOKUP(AF28, 'Model VMT by TAZ'!A:A,'Model VMT by TAZ'!E:E,0)</f>
        <v>85917.41</v>
      </c>
      <c r="AF28">
        <v>1958</v>
      </c>
      <c r="AH28" t="s">
        <v>1162</v>
      </c>
      <c r="AI28" t="s">
        <v>1162</v>
      </c>
      <c r="AJ28">
        <v>0</v>
      </c>
      <c r="AK28">
        <v>5027183</v>
      </c>
      <c r="AL28">
        <v>9099.3482299999996</v>
      </c>
      <c r="AM28">
        <v>5027163.3753049998</v>
      </c>
    </row>
    <row r="29" spans="1:39" x14ac:dyDescent="0.35">
      <c r="A29">
        <v>24</v>
      </c>
      <c r="B29">
        <v>1412</v>
      </c>
      <c r="C29" s="120">
        <f>_xlfn.XLOOKUP(B29,'Model VMT by TAZ'!A:A,'Model VMT by TAZ'!E:E,0)</f>
        <v>26708.560000000001</v>
      </c>
      <c r="D29" s="120">
        <f>_xlfn.XLOOKUP(B29,'Other Model Data by TAZ'!A:A,'Other Model Data by TAZ'!G:G,0)</f>
        <v>1865</v>
      </c>
      <c r="E29" s="117">
        <f>_xlfn.XLOOKUP(B29,'Model Modeshare by TAZ'!A:A,'Model Modeshare by TAZ'!E:E,0)+_xlfn.XLOOKUP(B29,'Model Modeshare by TAZ'!$A:$A,'Model Modeshare by TAZ'!F:F,0)</f>
        <v>8430.6999999999989</v>
      </c>
      <c r="F29" s="117">
        <f>_xlfn.XLOOKUP(B29,'Model Modeshare by TAZ'!A:A,'Model Modeshare by TAZ'!$G:$G,0)</f>
        <v>238.9</v>
      </c>
      <c r="G29" s="117">
        <f>_xlfn.XLOOKUP(B29,'Model Modeshare by TAZ'!A:A,'Model Modeshare by TAZ'!$J:$J,0)</f>
        <v>11302.78</v>
      </c>
      <c r="H29">
        <v>508800</v>
      </c>
      <c r="I29">
        <v>3118290</v>
      </c>
      <c r="L29">
        <v>25</v>
      </c>
      <c r="M29" t="s">
        <v>1161</v>
      </c>
      <c r="N29">
        <v>2558</v>
      </c>
      <c r="O29" s="120">
        <f>_xlfn.XLOOKUP(Q29,'Other Model Data by TAZ'!A:A,'Other Model Data by TAZ'!G:G,0)</f>
        <v>2526</v>
      </c>
      <c r="P29" s="120">
        <f>_xlfn.XLOOKUP(Q29, 'Model VMT by TAZ'!A:A,'Model VMT by TAZ'!E:E,0)</f>
        <v>65681.56</v>
      </c>
      <c r="Q29">
        <v>1950</v>
      </c>
      <c r="S29" t="s">
        <v>1162</v>
      </c>
      <c r="T29" t="s">
        <v>1162</v>
      </c>
      <c r="U29">
        <v>0</v>
      </c>
      <c r="V29">
        <v>6152169</v>
      </c>
      <c r="W29">
        <v>13781.805442000001</v>
      </c>
      <c r="X29">
        <v>6152144.2515970003</v>
      </c>
      <c r="AA29">
        <v>30</v>
      </c>
      <c r="AB29" t="s">
        <v>1161</v>
      </c>
      <c r="AC29">
        <v>2566</v>
      </c>
      <c r="AD29" s="120">
        <f>_xlfn.XLOOKUP(AF29,'Other Model Data by TAZ'!A:A,'Other Model Data by TAZ'!G:G,0)</f>
        <v>3290</v>
      </c>
      <c r="AE29" s="120">
        <f>_xlfn.XLOOKUP(AF29, 'Model VMT by TAZ'!A:A,'Model VMT by TAZ'!E:E,0)</f>
        <v>104550.46</v>
      </c>
      <c r="AF29">
        <v>1960</v>
      </c>
      <c r="AH29" t="s">
        <v>1162</v>
      </c>
      <c r="AI29" t="s">
        <v>1162</v>
      </c>
      <c r="AJ29">
        <v>0</v>
      </c>
      <c r="AK29">
        <v>5660824</v>
      </c>
      <c r="AL29">
        <v>9906.9013300000006</v>
      </c>
      <c r="AM29">
        <v>5660801.1967719998</v>
      </c>
    </row>
    <row r="30" spans="1:39" x14ac:dyDescent="0.35">
      <c r="A30">
        <v>25</v>
      </c>
      <c r="B30">
        <v>1416</v>
      </c>
      <c r="C30" s="120">
        <f>_xlfn.XLOOKUP(B30,'Model VMT by TAZ'!A:A,'Model VMT by TAZ'!E:E,0)</f>
        <v>99113.43</v>
      </c>
      <c r="D30" s="120">
        <f>_xlfn.XLOOKUP(B30,'Other Model Data by TAZ'!A:A,'Other Model Data by TAZ'!G:G,0)</f>
        <v>0</v>
      </c>
      <c r="E30" s="117">
        <f>_xlfn.XLOOKUP(B30,'Model Modeshare by TAZ'!A:A,'Model Modeshare by TAZ'!E:E,0)+_xlfn.XLOOKUP(B30,'Model Modeshare by TAZ'!$A:$A,'Model Modeshare by TAZ'!F:F,0)</f>
        <v>6147.9000000000005</v>
      </c>
      <c r="F30" s="117">
        <f>_xlfn.XLOOKUP(B30,'Model Modeshare by TAZ'!A:A,'Model Modeshare by TAZ'!$G:$G,0)</f>
        <v>86.46</v>
      </c>
      <c r="G30" s="117">
        <f>_xlfn.XLOOKUP(B30,'Model Modeshare by TAZ'!A:A,'Model Modeshare by TAZ'!$J:$J,0)</f>
        <v>6602.84</v>
      </c>
      <c r="H30">
        <v>509102</v>
      </c>
      <c r="I30">
        <v>6769074</v>
      </c>
      <c r="L30">
        <v>26</v>
      </c>
      <c r="M30" t="s">
        <v>1161</v>
      </c>
      <c r="N30">
        <v>2559</v>
      </c>
      <c r="O30" s="120">
        <f>_xlfn.XLOOKUP(Q30,'Other Model Data by TAZ'!A:A,'Other Model Data by TAZ'!G:G,0)</f>
        <v>0</v>
      </c>
      <c r="P30" s="120">
        <f>_xlfn.XLOOKUP(Q30, 'Model VMT by TAZ'!A:A,'Model VMT by TAZ'!E:E,0)</f>
        <v>237707.91</v>
      </c>
      <c r="Q30">
        <v>1949</v>
      </c>
      <c r="S30" t="s">
        <v>1162</v>
      </c>
      <c r="T30" t="s">
        <v>1162</v>
      </c>
      <c r="U30">
        <v>0</v>
      </c>
      <c r="V30">
        <v>10186993</v>
      </c>
      <c r="W30">
        <v>40168.634508000003</v>
      </c>
      <c r="X30">
        <v>10186952.241307</v>
      </c>
      <c r="AA30">
        <v>31</v>
      </c>
      <c r="AB30" t="s">
        <v>1161</v>
      </c>
      <c r="AC30">
        <v>2567</v>
      </c>
      <c r="AD30" s="120">
        <f>_xlfn.XLOOKUP(AF30,'Other Model Data by TAZ'!A:A,'Other Model Data by TAZ'!G:G,0)</f>
        <v>2381</v>
      </c>
      <c r="AE30" s="120">
        <f>_xlfn.XLOOKUP(AF30, 'Model VMT by TAZ'!A:A,'Model VMT by TAZ'!E:E,0)</f>
        <v>370010.94</v>
      </c>
      <c r="AF30">
        <v>1957</v>
      </c>
      <c r="AH30" t="s">
        <v>1162</v>
      </c>
      <c r="AI30" t="s">
        <v>1162</v>
      </c>
      <c r="AJ30">
        <v>0</v>
      </c>
      <c r="AK30">
        <v>7091920</v>
      </c>
      <c r="AL30">
        <v>13386.386270000001</v>
      </c>
      <c r="AM30">
        <v>7091891.2487479998</v>
      </c>
    </row>
    <row r="31" spans="1:39" x14ac:dyDescent="0.35">
      <c r="A31">
        <v>26</v>
      </c>
      <c r="B31">
        <v>1418</v>
      </c>
      <c r="C31" s="120">
        <f>_xlfn.XLOOKUP(B31,'Model VMT by TAZ'!A:A,'Model VMT by TAZ'!E:E,0)</f>
        <v>55173.75</v>
      </c>
      <c r="D31" s="120">
        <f>_xlfn.XLOOKUP(B31,'Other Model Data by TAZ'!A:A,'Other Model Data by TAZ'!G:G,0)</f>
        <v>1251</v>
      </c>
      <c r="E31" s="117">
        <f>_xlfn.XLOOKUP(B31,'Model Modeshare by TAZ'!A:A,'Model Modeshare by TAZ'!E:E,0)+_xlfn.XLOOKUP(B31,'Model Modeshare by TAZ'!$A:$A,'Model Modeshare by TAZ'!F:F,0)</f>
        <v>4144.32</v>
      </c>
      <c r="F31" s="117">
        <f>_xlfn.XLOOKUP(B31,'Model Modeshare by TAZ'!A:A,'Model Modeshare by TAZ'!$G:$G,0)</f>
        <v>78.64</v>
      </c>
      <c r="G31" s="117">
        <f>_xlfn.XLOOKUP(B31,'Model Modeshare by TAZ'!A:A,'Model Modeshare by TAZ'!$J:$J,0)</f>
        <v>4647.3999999999996</v>
      </c>
      <c r="H31">
        <v>509102</v>
      </c>
      <c r="I31">
        <v>2681592</v>
      </c>
      <c r="L31">
        <v>27</v>
      </c>
      <c r="M31" t="s">
        <v>1161</v>
      </c>
      <c r="N31">
        <v>2560</v>
      </c>
      <c r="O31" s="120">
        <f>_xlfn.XLOOKUP(Q31,'Other Model Data by TAZ'!A:A,'Other Model Data by TAZ'!G:G,0)</f>
        <v>1449</v>
      </c>
      <c r="P31" s="120">
        <f>_xlfn.XLOOKUP(Q31, 'Model VMT by TAZ'!A:A,'Model VMT by TAZ'!E:E,0)</f>
        <v>47941.53</v>
      </c>
      <c r="Q31">
        <v>1607</v>
      </c>
      <c r="S31" t="s">
        <v>1162</v>
      </c>
      <c r="T31" t="s">
        <v>1162</v>
      </c>
      <c r="U31">
        <v>0</v>
      </c>
      <c r="V31">
        <v>4711961</v>
      </c>
      <c r="W31">
        <v>9870.6939320000001</v>
      </c>
      <c r="X31">
        <v>4711941.9828530001</v>
      </c>
      <c r="AA31">
        <v>32</v>
      </c>
      <c r="AB31" t="s">
        <v>1161</v>
      </c>
      <c r="AC31">
        <v>2568</v>
      </c>
      <c r="AD31" s="120">
        <f>_xlfn.XLOOKUP(AF31,'Other Model Data by TAZ'!A:A,'Other Model Data by TAZ'!G:G,0)</f>
        <v>1975</v>
      </c>
      <c r="AE31" s="120">
        <f>_xlfn.XLOOKUP(AF31, 'Model VMT by TAZ'!A:A,'Model VMT by TAZ'!E:E,0)</f>
        <v>65495.23</v>
      </c>
      <c r="AF31">
        <v>1956</v>
      </c>
      <c r="AH31" t="s">
        <v>1162</v>
      </c>
      <c r="AI31" t="s">
        <v>1162</v>
      </c>
      <c r="AJ31">
        <v>0</v>
      </c>
      <c r="AK31">
        <v>3936583</v>
      </c>
      <c r="AL31">
        <v>8117.5099250000003</v>
      </c>
      <c r="AM31">
        <v>3936567.7223430001</v>
      </c>
    </row>
    <row r="32" spans="1:39" x14ac:dyDescent="0.35">
      <c r="A32">
        <v>27</v>
      </c>
      <c r="B32">
        <v>1420</v>
      </c>
      <c r="C32" s="120">
        <f>_xlfn.XLOOKUP(B32,'Model VMT by TAZ'!A:A,'Model VMT by TAZ'!E:E,0)</f>
        <v>82704.91</v>
      </c>
      <c r="D32" s="120">
        <f>_xlfn.XLOOKUP(B32,'Other Model Data by TAZ'!A:A,'Other Model Data by TAZ'!G:G,0)</f>
        <v>835</v>
      </c>
      <c r="E32" s="117">
        <f>_xlfn.XLOOKUP(B32,'Model Modeshare by TAZ'!A:A,'Model Modeshare by TAZ'!E:E,0)+_xlfn.XLOOKUP(B32,'Model Modeshare by TAZ'!$A:$A,'Model Modeshare by TAZ'!F:F,0)</f>
        <v>7953</v>
      </c>
      <c r="F32" s="117">
        <f>_xlfn.XLOOKUP(B32,'Model Modeshare by TAZ'!A:A,'Model Modeshare by TAZ'!$G:$G,0)</f>
        <v>289.74</v>
      </c>
      <c r="G32" s="117">
        <f>_xlfn.XLOOKUP(B32,'Model Modeshare by TAZ'!A:A,'Model Modeshare by TAZ'!$J:$J,0)</f>
        <v>9202.94</v>
      </c>
      <c r="H32">
        <v>508602</v>
      </c>
      <c r="I32">
        <v>1550047</v>
      </c>
      <c r="L32">
        <v>28</v>
      </c>
      <c r="M32" t="s">
        <v>1161</v>
      </c>
      <c r="N32">
        <v>2562</v>
      </c>
      <c r="O32" s="120">
        <f>_xlfn.XLOOKUP(Q32,'Other Model Data by TAZ'!A:A,'Other Model Data by TAZ'!G:G,0)</f>
        <v>2573</v>
      </c>
      <c r="P32" s="120">
        <f>_xlfn.XLOOKUP(Q32, 'Model VMT by TAZ'!A:A,'Model VMT by TAZ'!E:E,0)</f>
        <v>71424.81</v>
      </c>
      <c r="Q32">
        <v>1953</v>
      </c>
      <c r="S32" t="s">
        <v>1162</v>
      </c>
      <c r="T32" t="s">
        <v>1162</v>
      </c>
      <c r="U32">
        <v>0</v>
      </c>
      <c r="V32">
        <v>13310133</v>
      </c>
      <c r="W32">
        <v>17206.388084999999</v>
      </c>
      <c r="X32">
        <v>13310079.997096</v>
      </c>
      <c r="AA32">
        <v>33</v>
      </c>
      <c r="AB32" t="s">
        <v>1161</v>
      </c>
      <c r="AC32">
        <v>2570</v>
      </c>
      <c r="AD32" s="120">
        <f>_xlfn.XLOOKUP(AF32,'Other Model Data by TAZ'!A:A,'Other Model Data by TAZ'!G:G,0)</f>
        <v>2316</v>
      </c>
      <c r="AE32" s="120">
        <f>_xlfn.XLOOKUP(AF32, 'Model VMT by TAZ'!A:A,'Model VMT by TAZ'!E:E,0)</f>
        <v>141808.15</v>
      </c>
      <c r="AF32">
        <v>1980</v>
      </c>
      <c r="AH32" t="s">
        <v>1162</v>
      </c>
      <c r="AI32" t="s">
        <v>1162</v>
      </c>
      <c r="AJ32">
        <v>0</v>
      </c>
      <c r="AK32">
        <v>7418614</v>
      </c>
      <c r="AL32">
        <v>12016.210465</v>
      </c>
      <c r="AM32">
        <v>7418584.1845009997</v>
      </c>
    </row>
    <row r="33" spans="1:39" x14ac:dyDescent="0.35">
      <c r="A33">
        <v>28</v>
      </c>
      <c r="B33">
        <v>1421</v>
      </c>
      <c r="C33" s="120">
        <f>_xlfn.XLOOKUP(B33,'Model VMT by TAZ'!A:A,'Model VMT by TAZ'!E:E,0)</f>
        <v>81341.64</v>
      </c>
      <c r="D33" s="120">
        <f>_xlfn.XLOOKUP(B33,'Other Model Data by TAZ'!A:A,'Other Model Data by TAZ'!G:G,0)</f>
        <v>2912</v>
      </c>
      <c r="E33" s="117">
        <f>_xlfn.XLOOKUP(B33,'Model Modeshare by TAZ'!A:A,'Model Modeshare by TAZ'!E:E,0)+_xlfn.XLOOKUP(B33,'Model Modeshare by TAZ'!$A:$A,'Model Modeshare by TAZ'!F:F,0)</f>
        <v>9590.34</v>
      </c>
      <c r="F33" s="117">
        <f>_xlfn.XLOOKUP(B33,'Model Modeshare by TAZ'!A:A,'Model Modeshare by TAZ'!$G:$G,0)</f>
        <v>294.92</v>
      </c>
      <c r="G33" s="117">
        <f>_xlfn.XLOOKUP(B33,'Model Modeshare by TAZ'!A:A,'Model Modeshare by TAZ'!$J:$J,0)</f>
        <v>11148.48</v>
      </c>
      <c r="H33">
        <v>508602</v>
      </c>
      <c r="I33">
        <v>3726010</v>
      </c>
      <c r="L33">
        <v>29</v>
      </c>
      <c r="M33" t="s">
        <v>1161</v>
      </c>
      <c r="N33">
        <v>2563</v>
      </c>
      <c r="O33" s="120">
        <f>_xlfn.XLOOKUP(Q33,'Other Model Data by TAZ'!A:A,'Other Model Data by TAZ'!G:G,0)</f>
        <v>2914</v>
      </c>
      <c r="P33" s="120">
        <f>_xlfn.XLOOKUP(Q33, 'Model VMT by TAZ'!A:A,'Model VMT by TAZ'!E:E,0)</f>
        <v>85917.41</v>
      </c>
      <c r="Q33">
        <v>1958</v>
      </c>
      <c r="S33" t="s">
        <v>1162</v>
      </c>
      <c r="T33" t="s">
        <v>1162</v>
      </c>
      <c r="U33">
        <v>0</v>
      </c>
      <c r="V33">
        <v>5027183</v>
      </c>
      <c r="W33">
        <v>9099.3482299999996</v>
      </c>
      <c r="X33">
        <v>5027163.3753049998</v>
      </c>
      <c r="AA33">
        <v>34</v>
      </c>
      <c r="AB33" t="s">
        <v>1161</v>
      </c>
      <c r="AC33">
        <v>2576</v>
      </c>
      <c r="AD33" s="120">
        <f>_xlfn.XLOOKUP(AF33,'Other Model Data by TAZ'!A:A,'Other Model Data by TAZ'!G:G,0)</f>
        <v>3572</v>
      </c>
      <c r="AE33" s="120">
        <f>_xlfn.XLOOKUP(AF33, 'Model VMT by TAZ'!A:A,'Model VMT by TAZ'!E:E,0)</f>
        <v>237392.56</v>
      </c>
      <c r="AF33">
        <v>1984</v>
      </c>
      <c r="AH33" t="s">
        <v>1162</v>
      </c>
      <c r="AI33" t="s">
        <v>1162</v>
      </c>
      <c r="AJ33">
        <v>0</v>
      </c>
      <c r="AK33">
        <v>7634558</v>
      </c>
      <c r="AL33">
        <v>14954.033952</v>
      </c>
      <c r="AM33">
        <v>7634527.0171320001</v>
      </c>
    </row>
    <row r="34" spans="1:39" x14ac:dyDescent="0.35">
      <c r="A34">
        <v>29</v>
      </c>
      <c r="B34">
        <v>1423</v>
      </c>
      <c r="C34" s="120">
        <f>_xlfn.XLOOKUP(B34,'Model VMT by TAZ'!A:A,'Model VMT by TAZ'!E:E,0)</f>
        <v>27076.240000000002</v>
      </c>
      <c r="D34" s="120">
        <f>_xlfn.XLOOKUP(B34,'Other Model Data by TAZ'!A:A,'Other Model Data by TAZ'!G:G,0)</f>
        <v>811</v>
      </c>
      <c r="E34" s="117">
        <f>_xlfn.XLOOKUP(B34,'Model Modeshare by TAZ'!A:A,'Model Modeshare by TAZ'!E:E,0)+_xlfn.XLOOKUP(B34,'Model Modeshare by TAZ'!$A:$A,'Model Modeshare by TAZ'!F:F,0)</f>
        <v>11562.98</v>
      </c>
      <c r="F34" s="117">
        <f>_xlfn.XLOOKUP(B34,'Model Modeshare by TAZ'!A:A,'Model Modeshare by TAZ'!$G:$G,0)</f>
        <v>200.36</v>
      </c>
      <c r="G34" s="117">
        <f>_xlfn.XLOOKUP(B34,'Model Modeshare by TAZ'!A:A,'Model Modeshare by TAZ'!$J:$J,0)</f>
        <v>13015.12</v>
      </c>
      <c r="H34">
        <v>508601</v>
      </c>
      <c r="I34">
        <v>3244294</v>
      </c>
      <c r="L34">
        <v>30</v>
      </c>
      <c r="M34" t="s">
        <v>1161</v>
      </c>
      <c r="N34">
        <v>2566</v>
      </c>
      <c r="O34" s="120">
        <f>_xlfn.XLOOKUP(Q34,'Other Model Data by TAZ'!A:A,'Other Model Data by TAZ'!G:G,0)</f>
        <v>3290</v>
      </c>
      <c r="P34" s="120">
        <f>_xlfn.XLOOKUP(Q34, 'Model VMT by TAZ'!A:A,'Model VMT by TAZ'!E:E,0)</f>
        <v>104550.46</v>
      </c>
      <c r="Q34">
        <v>1960</v>
      </c>
      <c r="S34" t="s">
        <v>1162</v>
      </c>
      <c r="T34" t="s">
        <v>1162</v>
      </c>
      <c r="U34">
        <v>0</v>
      </c>
      <c r="V34">
        <v>5660824</v>
      </c>
      <c r="W34">
        <v>9906.9013300000006</v>
      </c>
      <c r="X34">
        <v>5660801.1967719998</v>
      </c>
      <c r="AA34">
        <v>35</v>
      </c>
      <c r="AB34" t="s">
        <v>1161</v>
      </c>
      <c r="AC34">
        <v>2578</v>
      </c>
      <c r="AD34" s="120">
        <f>_xlfn.XLOOKUP(AF34,'Other Model Data by TAZ'!A:A,'Other Model Data by TAZ'!G:G,0)</f>
        <v>2070</v>
      </c>
      <c r="AE34" s="120">
        <f>_xlfn.XLOOKUP(AF34, 'Model VMT by TAZ'!A:A,'Model VMT by TAZ'!E:E,0)</f>
        <v>107628.37</v>
      </c>
      <c r="AF34">
        <v>1981</v>
      </c>
      <c r="AH34" t="s">
        <v>1162</v>
      </c>
      <c r="AI34" t="s">
        <v>1162</v>
      </c>
      <c r="AJ34">
        <v>0</v>
      </c>
      <c r="AK34">
        <v>5807601</v>
      </c>
      <c r="AL34">
        <v>11140.997831999999</v>
      </c>
      <c r="AM34">
        <v>5807578.2233279999</v>
      </c>
    </row>
    <row r="35" spans="1:39" x14ac:dyDescent="0.35">
      <c r="A35">
        <v>30</v>
      </c>
      <c r="B35">
        <v>1424</v>
      </c>
      <c r="C35" s="120">
        <f>_xlfn.XLOOKUP(B35,'Model VMT by TAZ'!A:A,'Model VMT by TAZ'!E:E,0)</f>
        <v>8641.1299999999992</v>
      </c>
      <c r="D35" s="120">
        <f>_xlfn.XLOOKUP(B35,'Other Model Data by TAZ'!A:A,'Other Model Data by TAZ'!G:G,0)</f>
        <v>498</v>
      </c>
      <c r="E35" s="117">
        <f>_xlfn.XLOOKUP(B35,'Model Modeshare by TAZ'!A:A,'Model Modeshare by TAZ'!E:E,0)+_xlfn.XLOOKUP(B35,'Model Modeshare by TAZ'!$A:$A,'Model Modeshare by TAZ'!F:F,0)</f>
        <v>2113</v>
      </c>
      <c r="F35" s="117">
        <f>_xlfn.XLOOKUP(B35,'Model Modeshare by TAZ'!A:A,'Model Modeshare by TAZ'!$G:$G,0)</f>
        <v>55.18</v>
      </c>
      <c r="G35" s="117">
        <f>_xlfn.XLOOKUP(B35,'Model Modeshare by TAZ'!A:A,'Model Modeshare by TAZ'!$J:$J,0)</f>
        <v>2465.56</v>
      </c>
      <c r="H35">
        <v>508601</v>
      </c>
      <c r="I35">
        <v>1381169</v>
      </c>
      <c r="L35">
        <v>31</v>
      </c>
      <c r="M35" t="s">
        <v>1161</v>
      </c>
      <c r="N35">
        <v>2567</v>
      </c>
      <c r="O35" s="120">
        <f>_xlfn.XLOOKUP(Q35,'Other Model Data by TAZ'!A:A,'Other Model Data by TAZ'!G:G,0)</f>
        <v>2381</v>
      </c>
      <c r="P35" s="120">
        <f>_xlfn.XLOOKUP(Q35, 'Model VMT by TAZ'!A:A,'Model VMT by TAZ'!E:E,0)</f>
        <v>370010.94</v>
      </c>
      <c r="Q35">
        <v>1957</v>
      </c>
      <c r="S35" t="s">
        <v>1162</v>
      </c>
      <c r="T35" t="s">
        <v>1162</v>
      </c>
      <c r="U35">
        <v>0</v>
      </c>
      <c r="V35">
        <v>7091920</v>
      </c>
      <c r="W35">
        <v>13386.386270000001</v>
      </c>
      <c r="X35">
        <v>7091891.2487479998</v>
      </c>
      <c r="AA35">
        <v>36</v>
      </c>
      <c r="AB35" t="s">
        <v>1161</v>
      </c>
      <c r="AC35">
        <v>2579</v>
      </c>
      <c r="AD35" s="120">
        <f>_xlfn.XLOOKUP(AF35,'Other Model Data by TAZ'!A:A,'Other Model Data by TAZ'!G:G,0)</f>
        <v>3979</v>
      </c>
      <c r="AE35" s="120">
        <f>_xlfn.XLOOKUP(AF35, 'Model VMT by TAZ'!A:A,'Model VMT by TAZ'!E:E,0)</f>
        <v>152500.26999999999</v>
      </c>
      <c r="AF35">
        <v>1978</v>
      </c>
      <c r="AH35" t="s">
        <v>1162</v>
      </c>
      <c r="AI35" t="s">
        <v>1162</v>
      </c>
      <c r="AJ35">
        <v>0</v>
      </c>
      <c r="AK35">
        <v>10055276</v>
      </c>
      <c r="AL35">
        <v>16774.657822000001</v>
      </c>
      <c r="AM35">
        <v>10055236.083652999</v>
      </c>
    </row>
    <row r="36" spans="1:39" x14ac:dyDescent="0.35">
      <c r="A36">
        <v>31</v>
      </c>
      <c r="B36">
        <v>519</v>
      </c>
      <c r="C36" s="120">
        <f>_xlfn.XLOOKUP(B36,'Model VMT by TAZ'!A:A,'Model VMT by TAZ'!E:E,0)</f>
        <v>4610.12</v>
      </c>
      <c r="D36" s="120">
        <f>_xlfn.XLOOKUP(B36,'Other Model Data by TAZ'!A:A,'Other Model Data by TAZ'!G:G,0)</f>
        <v>0</v>
      </c>
      <c r="E36" s="117">
        <f>_xlfn.XLOOKUP(B36,'Model Modeshare by TAZ'!A:A,'Model Modeshare by TAZ'!E:E,0)+_xlfn.XLOOKUP(B36,'Model Modeshare by TAZ'!$A:$A,'Model Modeshare by TAZ'!F:F,0)</f>
        <v>90.14</v>
      </c>
      <c r="F36" s="117">
        <f>_xlfn.XLOOKUP(B36,'Model Modeshare by TAZ'!A:A,'Model Modeshare by TAZ'!$G:$G,0)</f>
        <v>13.16</v>
      </c>
      <c r="G36" s="117">
        <f>_xlfn.XLOOKUP(B36,'Model Modeshare by TAZ'!A:A,'Model Modeshare by TAZ'!$J:$J,0)</f>
        <v>155.62</v>
      </c>
      <c r="H36">
        <v>511604</v>
      </c>
      <c r="I36">
        <v>1068180</v>
      </c>
      <c r="L36">
        <v>32</v>
      </c>
      <c r="M36" t="s">
        <v>1161</v>
      </c>
      <c r="N36">
        <v>2568</v>
      </c>
      <c r="O36" s="120">
        <f>_xlfn.XLOOKUP(Q36,'Other Model Data by TAZ'!A:A,'Other Model Data by TAZ'!G:G,0)</f>
        <v>1975</v>
      </c>
      <c r="P36" s="120">
        <f>_xlfn.XLOOKUP(Q36, 'Model VMT by TAZ'!A:A,'Model VMT by TAZ'!E:E,0)</f>
        <v>65495.23</v>
      </c>
      <c r="Q36">
        <v>1956</v>
      </c>
      <c r="S36" t="s">
        <v>1162</v>
      </c>
      <c r="T36" t="s">
        <v>1162</v>
      </c>
      <c r="U36">
        <v>0</v>
      </c>
      <c r="V36">
        <v>3936583</v>
      </c>
      <c r="W36">
        <v>8117.5099250000003</v>
      </c>
      <c r="X36">
        <v>3936567.7223430001</v>
      </c>
      <c r="AA36">
        <v>37</v>
      </c>
      <c r="AB36" t="s">
        <v>1161</v>
      </c>
      <c r="AC36">
        <v>2580</v>
      </c>
      <c r="AD36" s="120">
        <f>_xlfn.XLOOKUP(AF36,'Other Model Data by TAZ'!A:A,'Other Model Data by TAZ'!G:G,0)</f>
        <v>919</v>
      </c>
      <c r="AE36" s="120">
        <f>_xlfn.XLOOKUP(AF36, 'Model VMT by TAZ'!A:A,'Model VMT by TAZ'!E:E,0)</f>
        <v>191094.12</v>
      </c>
      <c r="AF36">
        <v>1979</v>
      </c>
      <c r="AH36" t="s">
        <v>1162</v>
      </c>
      <c r="AI36" t="s">
        <v>1162</v>
      </c>
      <c r="AJ36">
        <v>0</v>
      </c>
      <c r="AK36">
        <v>7293623</v>
      </c>
      <c r="AL36">
        <v>11554.573818999999</v>
      </c>
      <c r="AM36">
        <v>7293593.9291399997</v>
      </c>
    </row>
    <row r="37" spans="1:39" x14ac:dyDescent="0.35">
      <c r="A37">
        <v>32</v>
      </c>
      <c r="B37">
        <v>520</v>
      </c>
      <c r="C37" s="120">
        <f>_xlfn.XLOOKUP(B37,'Model VMT by TAZ'!A:A,'Model VMT by TAZ'!E:E,0)</f>
        <v>26884.84</v>
      </c>
      <c r="D37" s="120">
        <f>_xlfn.XLOOKUP(B37,'Other Model Data by TAZ'!A:A,'Other Model Data by TAZ'!G:G,0)</f>
        <v>0</v>
      </c>
      <c r="E37" s="117">
        <f>_xlfn.XLOOKUP(B37,'Model Modeshare by TAZ'!A:A,'Model Modeshare by TAZ'!E:E,0)+_xlfn.XLOOKUP(B37,'Model Modeshare by TAZ'!$A:$A,'Model Modeshare by TAZ'!F:F,0)</f>
        <v>4211.58</v>
      </c>
      <c r="F37" s="117">
        <f>_xlfn.XLOOKUP(B37,'Model Modeshare by TAZ'!A:A,'Model Modeshare by TAZ'!$G:$G,0)</f>
        <v>611.76</v>
      </c>
      <c r="G37" s="117">
        <f>_xlfn.XLOOKUP(B37,'Model Modeshare by TAZ'!A:A,'Model Modeshare by TAZ'!$J:$J,0)</f>
        <v>6050.1</v>
      </c>
      <c r="H37">
        <v>511604</v>
      </c>
      <c r="I37">
        <v>822664</v>
      </c>
      <c r="L37">
        <v>33</v>
      </c>
      <c r="M37" t="s">
        <v>1161</v>
      </c>
      <c r="N37">
        <v>2570</v>
      </c>
      <c r="O37" s="120">
        <f>_xlfn.XLOOKUP(Q37,'Other Model Data by TAZ'!A:A,'Other Model Data by TAZ'!G:G,0)</f>
        <v>2316</v>
      </c>
      <c r="P37" s="120">
        <f>_xlfn.XLOOKUP(Q37, 'Model VMT by TAZ'!A:A,'Model VMT by TAZ'!E:E,0)</f>
        <v>141808.15</v>
      </c>
      <c r="Q37">
        <v>1980</v>
      </c>
      <c r="S37" t="s">
        <v>1162</v>
      </c>
      <c r="T37" t="s">
        <v>1162</v>
      </c>
      <c r="U37">
        <v>0</v>
      </c>
      <c r="V37">
        <v>7418614</v>
      </c>
      <c r="W37">
        <v>12016.210465</v>
      </c>
      <c r="X37">
        <v>7418584.1845009997</v>
      </c>
      <c r="AA37">
        <v>38</v>
      </c>
      <c r="AB37" t="s">
        <v>1161</v>
      </c>
      <c r="AC37">
        <v>2594</v>
      </c>
      <c r="AD37" s="120">
        <f>_xlfn.XLOOKUP(AF37,'Other Model Data by TAZ'!A:A,'Other Model Data by TAZ'!G:G,0)</f>
        <v>4700</v>
      </c>
      <c r="AE37" s="120">
        <f>_xlfn.XLOOKUP(AF37, 'Model VMT by TAZ'!A:A,'Model VMT by TAZ'!E:E,0)</f>
        <v>110490.02</v>
      </c>
      <c r="AF37">
        <v>1977</v>
      </c>
      <c r="AH37" t="s">
        <v>1162</v>
      </c>
      <c r="AI37" t="s">
        <v>1162</v>
      </c>
      <c r="AJ37">
        <v>0</v>
      </c>
      <c r="AK37">
        <v>13854759</v>
      </c>
      <c r="AL37">
        <v>19462.948324000001</v>
      </c>
      <c r="AM37">
        <v>13854703.478120999</v>
      </c>
    </row>
    <row r="38" spans="1:39" x14ac:dyDescent="0.35">
      <c r="A38">
        <v>33</v>
      </c>
      <c r="B38">
        <v>521</v>
      </c>
      <c r="C38" s="120">
        <f>_xlfn.XLOOKUP(B38,'Model VMT by TAZ'!A:A,'Model VMT by TAZ'!E:E,0)</f>
        <v>12205.05</v>
      </c>
      <c r="D38" s="120">
        <f>_xlfn.XLOOKUP(B38,'Other Model Data by TAZ'!A:A,'Other Model Data by TAZ'!G:G,0)</f>
        <v>618</v>
      </c>
      <c r="E38" s="117">
        <f>_xlfn.XLOOKUP(B38,'Model Modeshare by TAZ'!A:A,'Model Modeshare by TAZ'!E:E,0)+_xlfn.XLOOKUP(B38,'Model Modeshare by TAZ'!$A:$A,'Model Modeshare by TAZ'!F:F,0)</f>
        <v>2610.92</v>
      </c>
      <c r="F38" s="117">
        <f>_xlfn.XLOOKUP(B38,'Model Modeshare by TAZ'!A:A,'Model Modeshare by TAZ'!$G:$G,0)</f>
        <v>355.2</v>
      </c>
      <c r="G38" s="117">
        <f>_xlfn.XLOOKUP(B38,'Model Modeshare by TAZ'!A:A,'Model Modeshare by TAZ'!$J:$J,0)</f>
        <v>4004.64</v>
      </c>
      <c r="H38">
        <v>511500</v>
      </c>
      <c r="I38">
        <v>2334596</v>
      </c>
      <c r="L38">
        <v>34</v>
      </c>
      <c r="M38" t="s">
        <v>1161</v>
      </c>
      <c r="N38">
        <v>2576</v>
      </c>
      <c r="O38" s="120">
        <f>_xlfn.XLOOKUP(Q38,'Other Model Data by TAZ'!A:A,'Other Model Data by TAZ'!G:G,0)</f>
        <v>3572</v>
      </c>
      <c r="P38" s="120">
        <f>_xlfn.XLOOKUP(Q38, 'Model VMT by TAZ'!A:A,'Model VMT by TAZ'!E:E,0)</f>
        <v>237392.56</v>
      </c>
      <c r="Q38">
        <v>1984</v>
      </c>
      <c r="S38" t="s">
        <v>1162</v>
      </c>
      <c r="T38" t="s">
        <v>1162</v>
      </c>
      <c r="U38">
        <v>0</v>
      </c>
      <c r="V38">
        <v>7634558</v>
      </c>
      <c r="W38">
        <v>14954.033952</v>
      </c>
      <c r="X38">
        <v>7634527.0171320001</v>
      </c>
      <c r="AA38">
        <v>39</v>
      </c>
      <c r="AB38" t="s">
        <v>1161</v>
      </c>
      <c r="AC38">
        <v>2595</v>
      </c>
      <c r="AD38" s="120">
        <f>_xlfn.XLOOKUP(AF38,'Other Model Data by TAZ'!A:A,'Other Model Data by TAZ'!G:G,0)</f>
        <v>2727</v>
      </c>
      <c r="AE38" s="120">
        <f>_xlfn.XLOOKUP(AF38, 'Model VMT by TAZ'!A:A,'Model VMT by TAZ'!E:E,0)</f>
        <v>53981.85</v>
      </c>
      <c r="AF38">
        <v>1976</v>
      </c>
      <c r="AH38" t="s">
        <v>1162</v>
      </c>
      <c r="AI38" t="s">
        <v>1162</v>
      </c>
      <c r="AJ38">
        <v>0</v>
      </c>
      <c r="AK38">
        <v>5200693</v>
      </c>
      <c r="AL38">
        <v>11340.996077</v>
      </c>
      <c r="AM38">
        <v>5200671.7290540002</v>
      </c>
    </row>
    <row r="39" spans="1:39" x14ac:dyDescent="0.35">
      <c r="A39">
        <v>34</v>
      </c>
      <c r="B39">
        <v>522</v>
      </c>
      <c r="C39" s="120">
        <f>_xlfn.XLOOKUP(B39,'Model VMT by TAZ'!A:A,'Model VMT by TAZ'!E:E,0)</f>
        <v>36717.019999999997</v>
      </c>
      <c r="D39" s="120">
        <f>_xlfn.XLOOKUP(B39,'Other Model Data by TAZ'!A:A,'Other Model Data by TAZ'!G:G,0)</f>
        <v>861</v>
      </c>
      <c r="E39" s="117">
        <f>_xlfn.XLOOKUP(B39,'Model Modeshare by TAZ'!A:A,'Model Modeshare by TAZ'!E:E,0)+_xlfn.XLOOKUP(B39,'Model Modeshare by TAZ'!$A:$A,'Model Modeshare by TAZ'!F:F,0)</f>
        <v>3330.34</v>
      </c>
      <c r="F39" s="117">
        <f>_xlfn.XLOOKUP(B39,'Model Modeshare by TAZ'!A:A,'Model Modeshare by TAZ'!$G:$G,0)</f>
        <v>588.32000000000005</v>
      </c>
      <c r="G39" s="117">
        <f>_xlfn.XLOOKUP(B39,'Model Modeshare by TAZ'!A:A,'Model Modeshare by TAZ'!$J:$J,0)</f>
        <v>5511.78</v>
      </c>
      <c r="H39">
        <v>511500</v>
      </c>
      <c r="I39">
        <v>2505299</v>
      </c>
      <c r="L39">
        <v>35</v>
      </c>
      <c r="M39" t="s">
        <v>1161</v>
      </c>
      <c r="N39">
        <v>2578</v>
      </c>
      <c r="O39" s="120">
        <f>_xlfn.XLOOKUP(Q39,'Other Model Data by TAZ'!A:A,'Other Model Data by TAZ'!G:G,0)</f>
        <v>2070</v>
      </c>
      <c r="P39" s="120">
        <f>_xlfn.XLOOKUP(Q39, 'Model VMT by TAZ'!A:A,'Model VMT by TAZ'!E:E,0)</f>
        <v>107628.37</v>
      </c>
      <c r="Q39">
        <v>1981</v>
      </c>
      <c r="S39" t="s">
        <v>1162</v>
      </c>
      <c r="T39" t="s">
        <v>1162</v>
      </c>
      <c r="U39">
        <v>0</v>
      </c>
      <c r="V39">
        <v>5807601</v>
      </c>
      <c r="W39">
        <v>11140.997831999999</v>
      </c>
      <c r="X39">
        <v>5807578.2233279999</v>
      </c>
      <c r="AA39">
        <v>40</v>
      </c>
      <c r="AB39" t="s">
        <v>1161</v>
      </c>
      <c r="AC39">
        <v>2596</v>
      </c>
      <c r="AD39" s="120">
        <f>_xlfn.XLOOKUP(AF39,'Other Model Data by TAZ'!A:A,'Other Model Data by TAZ'!G:G,0)</f>
        <v>4130</v>
      </c>
      <c r="AE39" s="120">
        <f>_xlfn.XLOOKUP(AF39, 'Model VMT by TAZ'!A:A,'Model VMT by TAZ'!E:E,0)</f>
        <v>140676.29999999999</v>
      </c>
      <c r="AF39">
        <v>1975</v>
      </c>
      <c r="AH39" t="s">
        <v>1162</v>
      </c>
      <c r="AI39" t="s">
        <v>1162</v>
      </c>
      <c r="AJ39">
        <v>0</v>
      </c>
      <c r="AK39">
        <v>11427520</v>
      </c>
      <c r="AL39">
        <v>17078.592231999999</v>
      </c>
      <c r="AM39">
        <v>11427474.105072999</v>
      </c>
    </row>
    <row r="40" spans="1:39" x14ac:dyDescent="0.35">
      <c r="A40">
        <v>35</v>
      </c>
      <c r="B40">
        <v>529</v>
      </c>
      <c r="C40" s="120">
        <f>_xlfn.XLOOKUP(B40,'Model VMT by TAZ'!A:A,'Model VMT by TAZ'!E:E,0)</f>
        <v>45623</v>
      </c>
      <c r="D40" s="120">
        <f>_xlfn.XLOOKUP(B40,'Other Model Data by TAZ'!A:A,'Other Model Data by TAZ'!G:G,0)</f>
        <v>782</v>
      </c>
      <c r="E40" s="117">
        <f>_xlfn.XLOOKUP(B40,'Model Modeshare by TAZ'!A:A,'Model Modeshare by TAZ'!E:E,0)+_xlfn.XLOOKUP(B40,'Model Modeshare by TAZ'!$A:$A,'Model Modeshare by TAZ'!F:F,0)</f>
        <v>7721.6399999999994</v>
      </c>
      <c r="F40" s="117">
        <f>_xlfn.XLOOKUP(B40,'Model Modeshare by TAZ'!A:A,'Model Modeshare by TAZ'!$G:$G,0)</f>
        <v>205.4</v>
      </c>
      <c r="G40" s="117">
        <f>_xlfn.XLOOKUP(B40,'Model Modeshare by TAZ'!A:A,'Model Modeshare by TAZ'!$J:$J,0)</f>
        <v>9309.94</v>
      </c>
      <c r="H40">
        <v>510802</v>
      </c>
      <c r="I40">
        <v>5279746</v>
      </c>
      <c r="L40">
        <v>36</v>
      </c>
      <c r="M40" t="s">
        <v>1161</v>
      </c>
      <c r="N40">
        <v>2579</v>
      </c>
      <c r="O40" s="120">
        <f>_xlfn.XLOOKUP(Q40,'Other Model Data by TAZ'!A:A,'Other Model Data by TAZ'!G:G,0)</f>
        <v>3979</v>
      </c>
      <c r="P40" s="120">
        <f>_xlfn.XLOOKUP(Q40, 'Model VMT by TAZ'!A:A,'Model VMT by TAZ'!E:E,0)</f>
        <v>152500.26999999999</v>
      </c>
      <c r="Q40">
        <v>1978</v>
      </c>
      <c r="S40" t="s">
        <v>1162</v>
      </c>
      <c r="T40" t="s">
        <v>1162</v>
      </c>
      <c r="U40">
        <v>0</v>
      </c>
      <c r="V40">
        <v>10055276</v>
      </c>
      <c r="W40">
        <v>16774.657822000001</v>
      </c>
      <c r="X40">
        <v>10055236.083652999</v>
      </c>
      <c r="AA40">
        <v>41</v>
      </c>
      <c r="AB40" t="s">
        <v>1161</v>
      </c>
      <c r="AC40">
        <v>2597</v>
      </c>
      <c r="AD40" s="120">
        <f>_xlfn.XLOOKUP(AF40,'Other Model Data by TAZ'!A:A,'Other Model Data by TAZ'!G:G,0)</f>
        <v>686</v>
      </c>
      <c r="AE40" s="120">
        <f>_xlfn.XLOOKUP(AF40, 'Model VMT by TAZ'!A:A,'Model VMT by TAZ'!E:E,0)</f>
        <v>15227.12</v>
      </c>
      <c r="AF40">
        <v>1614</v>
      </c>
      <c r="AH40" t="s">
        <v>1162</v>
      </c>
      <c r="AI40" t="s">
        <v>1162</v>
      </c>
      <c r="AJ40">
        <v>0</v>
      </c>
      <c r="AK40">
        <v>5188987</v>
      </c>
      <c r="AL40">
        <v>10006.711739</v>
      </c>
      <c r="AM40">
        <v>5188966.3534749998</v>
      </c>
    </row>
    <row r="41" spans="1:39" x14ac:dyDescent="0.35">
      <c r="A41">
        <v>36</v>
      </c>
      <c r="B41">
        <v>530</v>
      </c>
      <c r="C41" s="120">
        <f>_xlfn.XLOOKUP(B41,'Model VMT by TAZ'!A:A,'Model VMT by TAZ'!E:E,0)</f>
        <v>1000.87</v>
      </c>
      <c r="D41" s="120">
        <f>_xlfn.XLOOKUP(B41,'Other Model Data by TAZ'!A:A,'Other Model Data by TAZ'!G:G,0)</f>
        <v>0</v>
      </c>
      <c r="E41" s="117">
        <f>_xlfn.XLOOKUP(B41,'Model Modeshare by TAZ'!A:A,'Model Modeshare by TAZ'!E:E,0)+_xlfn.XLOOKUP(B41,'Model Modeshare by TAZ'!$A:$A,'Model Modeshare by TAZ'!F:F,0)</f>
        <v>234.68</v>
      </c>
      <c r="F41" s="117">
        <f>_xlfn.XLOOKUP(B41,'Model Modeshare by TAZ'!A:A,'Model Modeshare by TAZ'!$G:$G,0)</f>
        <v>23.8</v>
      </c>
      <c r="G41" s="117">
        <f>_xlfn.XLOOKUP(B41,'Model Modeshare by TAZ'!A:A,'Model Modeshare by TAZ'!$J:$J,0)</f>
        <v>353.34</v>
      </c>
      <c r="H41">
        <v>511605</v>
      </c>
      <c r="I41">
        <v>3897306</v>
      </c>
      <c r="L41">
        <v>37</v>
      </c>
      <c r="M41" t="s">
        <v>1161</v>
      </c>
      <c r="N41">
        <v>2580</v>
      </c>
      <c r="O41" s="120">
        <f>_xlfn.XLOOKUP(Q41,'Other Model Data by TAZ'!A:A,'Other Model Data by TAZ'!G:G,0)</f>
        <v>919</v>
      </c>
      <c r="P41" s="120">
        <f>_xlfn.XLOOKUP(Q41, 'Model VMT by TAZ'!A:A,'Model VMT by TAZ'!E:E,0)</f>
        <v>191094.12</v>
      </c>
      <c r="Q41">
        <v>1979</v>
      </c>
      <c r="S41" t="s">
        <v>1162</v>
      </c>
      <c r="T41" t="s">
        <v>1162</v>
      </c>
      <c r="U41">
        <v>0</v>
      </c>
      <c r="V41">
        <v>7293623</v>
      </c>
      <c r="W41">
        <v>11554.573818999999</v>
      </c>
      <c r="X41">
        <v>7293593.9291399997</v>
      </c>
      <c r="AA41">
        <v>42</v>
      </c>
      <c r="AB41" t="s">
        <v>1161</v>
      </c>
      <c r="AC41">
        <v>2600</v>
      </c>
      <c r="AD41" s="120">
        <f>_xlfn.XLOOKUP(AF41,'Other Model Data by TAZ'!A:A,'Other Model Data by TAZ'!G:G,0)</f>
        <v>2445</v>
      </c>
      <c r="AE41" s="120">
        <f>_xlfn.XLOOKUP(AF41, 'Model VMT by TAZ'!A:A,'Model VMT by TAZ'!E:E,0)</f>
        <v>118212.61</v>
      </c>
      <c r="AF41">
        <v>1987</v>
      </c>
      <c r="AH41" t="s">
        <v>1162</v>
      </c>
      <c r="AI41" t="s">
        <v>1162</v>
      </c>
      <c r="AJ41">
        <v>0</v>
      </c>
      <c r="AK41">
        <v>14361621</v>
      </c>
      <c r="AL41">
        <v>20828.594486999998</v>
      </c>
      <c r="AM41">
        <v>14361563.890951</v>
      </c>
    </row>
    <row r="42" spans="1:39" x14ac:dyDescent="0.35">
      <c r="A42">
        <v>37</v>
      </c>
      <c r="B42">
        <v>531</v>
      </c>
      <c r="C42" s="120">
        <f>_xlfn.XLOOKUP(B42,'Model VMT by TAZ'!A:A,'Model VMT by TAZ'!E:E,0)</f>
        <v>1525.3</v>
      </c>
      <c r="D42" s="120">
        <f>_xlfn.XLOOKUP(B42,'Other Model Data by TAZ'!A:A,'Other Model Data by TAZ'!G:G,0)</f>
        <v>2</v>
      </c>
      <c r="E42" s="117">
        <f>_xlfn.XLOOKUP(B42,'Model Modeshare by TAZ'!A:A,'Model Modeshare by TAZ'!E:E,0)+_xlfn.XLOOKUP(B42,'Model Modeshare by TAZ'!$A:$A,'Model Modeshare by TAZ'!F:F,0)</f>
        <v>327.88</v>
      </c>
      <c r="F42" s="117">
        <f>_xlfn.XLOOKUP(B42,'Model Modeshare by TAZ'!A:A,'Model Modeshare by TAZ'!$G:$G,0)</f>
        <v>31.76</v>
      </c>
      <c r="G42" s="117">
        <f>_xlfn.XLOOKUP(B42,'Model Modeshare by TAZ'!A:A,'Model Modeshare by TAZ'!$J:$J,0)</f>
        <v>448.54</v>
      </c>
      <c r="H42">
        <v>511605</v>
      </c>
      <c r="I42">
        <v>6884248</v>
      </c>
      <c r="L42">
        <v>38</v>
      </c>
      <c r="M42" t="s">
        <v>1161</v>
      </c>
      <c r="N42">
        <v>2594</v>
      </c>
      <c r="O42" s="120">
        <f>_xlfn.XLOOKUP(Q42,'Other Model Data by TAZ'!A:A,'Other Model Data by TAZ'!G:G,0)</f>
        <v>4700</v>
      </c>
      <c r="P42" s="120">
        <f>_xlfn.XLOOKUP(Q42, 'Model VMT by TAZ'!A:A,'Model VMT by TAZ'!E:E,0)</f>
        <v>110490.02</v>
      </c>
      <c r="Q42">
        <v>1977</v>
      </c>
      <c r="S42" t="s">
        <v>1162</v>
      </c>
      <c r="T42" t="s">
        <v>1162</v>
      </c>
      <c r="U42">
        <v>0</v>
      </c>
      <c r="V42">
        <v>13854759</v>
      </c>
      <c r="W42">
        <v>19462.948324000001</v>
      </c>
      <c r="X42">
        <v>13854703.478120999</v>
      </c>
      <c r="AA42">
        <v>43</v>
      </c>
      <c r="AB42" t="s">
        <v>1161</v>
      </c>
      <c r="AC42">
        <v>2601</v>
      </c>
      <c r="AD42" s="120">
        <f>_xlfn.XLOOKUP(AF42,'Other Model Data by TAZ'!A:A,'Other Model Data by TAZ'!G:G,0)</f>
        <v>0</v>
      </c>
      <c r="AE42" s="120">
        <f>_xlfn.XLOOKUP(AF42, 'Model VMT by TAZ'!A:A,'Model VMT by TAZ'!E:E,0)</f>
        <v>182948.04</v>
      </c>
      <c r="AF42">
        <v>2010</v>
      </c>
      <c r="AH42" t="s">
        <v>1162</v>
      </c>
      <c r="AI42" t="s">
        <v>1162</v>
      </c>
      <c r="AJ42">
        <v>0</v>
      </c>
      <c r="AK42">
        <v>12011415</v>
      </c>
      <c r="AL42">
        <v>17680.015399</v>
      </c>
      <c r="AM42">
        <v>12011367.311720001</v>
      </c>
    </row>
    <row r="43" spans="1:39" x14ac:dyDescent="0.35">
      <c r="A43">
        <v>38</v>
      </c>
      <c r="B43">
        <v>532</v>
      </c>
      <c r="C43" s="120">
        <f>_xlfn.XLOOKUP(B43,'Model VMT by TAZ'!A:A,'Model VMT by TAZ'!E:E,0)</f>
        <v>55591.7</v>
      </c>
      <c r="D43" s="120">
        <f>_xlfn.XLOOKUP(B43,'Other Model Data by TAZ'!A:A,'Other Model Data by TAZ'!G:G,0)</f>
        <v>551</v>
      </c>
      <c r="E43" s="117">
        <f>_xlfn.XLOOKUP(B43,'Model Modeshare by TAZ'!A:A,'Model Modeshare by TAZ'!E:E,0)+_xlfn.XLOOKUP(B43,'Model Modeshare by TAZ'!$A:$A,'Model Modeshare by TAZ'!F:F,0)</f>
        <v>8908.4</v>
      </c>
      <c r="F43" s="117">
        <f>_xlfn.XLOOKUP(B43,'Model Modeshare by TAZ'!A:A,'Model Modeshare by TAZ'!$G:$G,0)</f>
        <v>1294.32</v>
      </c>
      <c r="G43" s="117">
        <f>_xlfn.XLOOKUP(B43,'Model Modeshare by TAZ'!A:A,'Model Modeshare by TAZ'!$J:$J,0)</f>
        <v>12616.78</v>
      </c>
      <c r="H43">
        <v>511300</v>
      </c>
      <c r="I43">
        <v>1638014</v>
      </c>
      <c r="L43">
        <v>39</v>
      </c>
      <c r="M43" t="s">
        <v>1161</v>
      </c>
      <c r="N43">
        <v>2595</v>
      </c>
      <c r="O43" s="120">
        <f>_xlfn.XLOOKUP(Q43,'Other Model Data by TAZ'!A:A,'Other Model Data by TAZ'!G:G,0)</f>
        <v>2727</v>
      </c>
      <c r="P43" s="120">
        <f>_xlfn.XLOOKUP(Q43, 'Model VMT by TAZ'!A:A,'Model VMT by TAZ'!E:E,0)</f>
        <v>53981.85</v>
      </c>
      <c r="Q43">
        <v>1976</v>
      </c>
      <c r="S43" t="s">
        <v>1162</v>
      </c>
      <c r="T43" t="s">
        <v>1162</v>
      </c>
      <c r="U43">
        <v>0</v>
      </c>
      <c r="V43">
        <v>5200693</v>
      </c>
      <c r="W43">
        <v>11340.996077</v>
      </c>
      <c r="X43">
        <v>5200671.7290540002</v>
      </c>
      <c r="AA43">
        <v>44</v>
      </c>
      <c r="AB43" t="s">
        <v>1161</v>
      </c>
      <c r="AC43">
        <v>2602</v>
      </c>
      <c r="AD43" s="120">
        <f>_xlfn.XLOOKUP(AF43,'Other Model Data by TAZ'!A:A,'Other Model Data by TAZ'!G:G,0)</f>
        <v>3941</v>
      </c>
      <c r="AE43" s="120">
        <f>_xlfn.XLOOKUP(AF43, 'Model VMT by TAZ'!A:A,'Model VMT by TAZ'!E:E,0)</f>
        <v>224821.98</v>
      </c>
      <c r="AF43">
        <v>2009</v>
      </c>
      <c r="AH43" t="s">
        <v>1162</v>
      </c>
      <c r="AI43" t="s">
        <v>1162</v>
      </c>
      <c r="AJ43">
        <v>0</v>
      </c>
      <c r="AK43">
        <v>10476192</v>
      </c>
      <c r="AL43">
        <v>15943.719077</v>
      </c>
      <c r="AM43">
        <v>10476150.375068</v>
      </c>
    </row>
    <row r="44" spans="1:39" x14ac:dyDescent="0.35">
      <c r="A44">
        <v>39</v>
      </c>
      <c r="B44">
        <v>533</v>
      </c>
      <c r="C44" s="120">
        <f>_xlfn.XLOOKUP(B44,'Model VMT by TAZ'!A:A,'Model VMT by TAZ'!E:E,0)</f>
        <v>53031.66</v>
      </c>
      <c r="D44" s="120">
        <f>_xlfn.XLOOKUP(B44,'Other Model Data by TAZ'!A:A,'Other Model Data by TAZ'!G:G,0)</f>
        <v>1158</v>
      </c>
      <c r="E44" s="117">
        <f>_xlfn.XLOOKUP(B44,'Model Modeshare by TAZ'!A:A,'Model Modeshare by TAZ'!E:E,0)+_xlfn.XLOOKUP(B44,'Model Modeshare by TAZ'!$A:$A,'Model Modeshare by TAZ'!F:F,0)</f>
        <v>4606.96</v>
      </c>
      <c r="F44" s="117">
        <f>_xlfn.XLOOKUP(B44,'Model Modeshare by TAZ'!A:A,'Model Modeshare by TAZ'!$G:$G,0)</f>
        <v>445.7</v>
      </c>
      <c r="G44" s="117">
        <f>_xlfn.XLOOKUP(B44,'Model Modeshare by TAZ'!A:A,'Model Modeshare by TAZ'!$J:$J,0)</f>
        <v>6236.36</v>
      </c>
      <c r="H44">
        <v>511300</v>
      </c>
      <c r="I44">
        <v>1577592</v>
      </c>
      <c r="L44">
        <v>40</v>
      </c>
      <c r="M44" t="s">
        <v>1161</v>
      </c>
      <c r="N44">
        <v>2596</v>
      </c>
      <c r="O44" s="120">
        <f>_xlfn.XLOOKUP(Q44,'Other Model Data by TAZ'!A:A,'Other Model Data by TAZ'!G:G,0)</f>
        <v>4130</v>
      </c>
      <c r="P44" s="120">
        <f>_xlfn.XLOOKUP(Q44, 'Model VMT by TAZ'!A:A,'Model VMT by TAZ'!E:E,0)</f>
        <v>140676.29999999999</v>
      </c>
      <c r="Q44">
        <v>1975</v>
      </c>
      <c r="S44" t="s">
        <v>1162</v>
      </c>
      <c r="T44" t="s">
        <v>1162</v>
      </c>
      <c r="U44">
        <v>0</v>
      </c>
      <c r="V44">
        <v>11427520</v>
      </c>
      <c r="W44">
        <v>17078.592231999999</v>
      </c>
      <c r="X44">
        <v>11427474.105072999</v>
      </c>
      <c r="AA44">
        <v>45</v>
      </c>
      <c r="AB44" t="s">
        <v>1161</v>
      </c>
      <c r="AC44">
        <v>2604</v>
      </c>
      <c r="AD44" s="120">
        <f>_xlfn.XLOOKUP(AF44,'Other Model Data by TAZ'!A:A,'Other Model Data by TAZ'!G:G,0)</f>
        <v>4618</v>
      </c>
      <c r="AE44" s="120">
        <f>_xlfn.XLOOKUP(AF44, 'Model VMT by TAZ'!A:A,'Model VMT by TAZ'!E:E,0)</f>
        <v>98995.68</v>
      </c>
      <c r="AF44">
        <v>2008</v>
      </c>
      <c r="AH44" t="s">
        <v>1162</v>
      </c>
      <c r="AI44" t="s">
        <v>1162</v>
      </c>
      <c r="AJ44">
        <v>0</v>
      </c>
      <c r="AK44">
        <v>12663001</v>
      </c>
      <c r="AL44">
        <v>19699.457039000001</v>
      </c>
      <c r="AM44">
        <v>12662950.391386</v>
      </c>
    </row>
    <row r="45" spans="1:39" x14ac:dyDescent="0.35">
      <c r="A45">
        <v>40</v>
      </c>
      <c r="B45">
        <v>534</v>
      </c>
      <c r="C45" s="120">
        <f>_xlfn.XLOOKUP(B45,'Model VMT by TAZ'!A:A,'Model VMT by TAZ'!E:E,0)</f>
        <v>73068.02</v>
      </c>
      <c r="D45" s="120">
        <f>_xlfn.XLOOKUP(B45,'Other Model Data by TAZ'!A:A,'Other Model Data by TAZ'!G:G,0)</f>
        <v>888</v>
      </c>
      <c r="E45" s="117">
        <f>_xlfn.XLOOKUP(B45,'Model Modeshare by TAZ'!A:A,'Model Modeshare by TAZ'!E:E,0)+_xlfn.XLOOKUP(B45,'Model Modeshare by TAZ'!$A:$A,'Model Modeshare by TAZ'!F:F,0)</f>
        <v>9509.380000000001</v>
      </c>
      <c r="F45" s="117">
        <f>_xlfn.XLOOKUP(B45,'Model Modeshare by TAZ'!A:A,'Model Modeshare by TAZ'!$G:$G,0)</f>
        <v>978.26</v>
      </c>
      <c r="G45" s="117">
        <f>_xlfn.XLOOKUP(B45,'Model Modeshare by TAZ'!A:A,'Model Modeshare by TAZ'!$J:$J,0)</f>
        <v>12934.6</v>
      </c>
      <c r="H45">
        <v>511300</v>
      </c>
      <c r="I45">
        <v>1496173</v>
      </c>
      <c r="L45">
        <v>41</v>
      </c>
      <c r="M45" t="s">
        <v>1161</v>
      </c>
      <c r="N45">
        <v>2597</v>
      </c>
      <c r="O45" s="120">
        <f>_xlfn.XLOOKUP(Q45,'Other Model Data by TAZ'!A:A,'Other Model Data by TAZ'!G:G,0)</f>
        <v>686</v>
      </c>
      <c r="P45" s="120">
        <f>_xlfn.XLOOKUP(Q45, 'Model VMT by TAZ'!A:A,'Model VMT by TAZ'!E:E,0)</f>
        <v>15227.12</v>
      </c>
      <c r="Q45">
        <v>1614</v>
      </c>
      <c r="S45" t="s">
        <v>1162</v>
      </c>
      <c r="T45" t="s">
        <v>1162</v>
      </c>
      <c r="U45">
        <v>0</v>
      </c>
      <c r="V45">
        <v>5188987</v>
      </c>
      <c r="W45">
        <v>10006.711739</v>
      </c>
      <c r="X45">
        <v>5188966.3534749998</v>
      </c>
      <c r="AA45">
        <v>46</v>
      </c>
      <c r="AB45" t="s">
        <v>1161</v>
      </c>
      <c r="AC45">
        <v>2605</v>
      </c>
      <c r="AD45" s="120">
        <f>_xlfn.XLOOKUP(AF45,'Other Model Data by TAZ'!A:A,'Other Model Data by TAZ'!G:G,0)</f>
        <v>2710</v>
      </c>
      <c r="AE45" s="120">
        <f>_xlfn.XLOOKUP(AF45, 'Model VMT by TAZ'!A:A,'Model VMT by TAZ'!E:E,0)</f>
        <v>43709.93</v>
      </c>
      <c r="AF45">
        <v>2007</v>
      </c>
      <c r="AH45" t="s">
        <v>1162</v>
      </c>
      <c r="AI45" t="s">
        <v>1162</v>
      </c>
      <c r="AJ45">
        <v>0</v>
      </c>
      <c r="AK45">
        <v>13174344</v>
      </c>
      <c r="AL45">
        <v>18329.382657999999</v>
      </c>
      <c r="AM45">
        <v>13174291.473905001</v>
      </c>
    </row>
    <row r="46" spans="1:39" x14ac:dyDescent="0.35">
      <c r="A46">
        <v>41</v>
      </c>
      <c r="B46">
        <v>535</v>
      </c>
      <c r="C46" s="120">
        <f>_xlfn.XLOOKUP(B46,'Model VMT by TAZ'!A:A,'Model VMT by TAZ'!E:E,0)</f>
        <v>161763.95000000001</v>
      </c>
      <c r="D46" s="120">
        <f>_xlfn.XLOOKUP(B46,'Other Model Data by TAZ'!A:A,'Other Model Data by TAZ'!G:G,0)</f>
        <v>714</v>
      </c>
      <c r="E46" s="117">
        <f>_xlfn.XLOOKUP(B46,'Model Modeshare by TAZ'!A:A,'Model Modeshare by TAZ'!E:E,0)+_xlfn.XLOOKUP(B46,'Model Modeshare by TAZ'!$A:$A,'Model Modeshare by TAZ'!F:F,0)</f>
        <v>13280.34</v>
      </c>
      <c r="F46" s="117">
        <f>_xlfn.XLOOKUP(B46,'Model Modeshare by TAZ'!A:A,'Model Modeshare by TAZ'!$G:$G,0)</f>
        <v>3028.3</v>
      </c>
      <c r="G46" s="117">
        <f>_xlfn.XLOOKUP(B46,'Model Modeshare by TAZ'!A:A,'Model Modeshare by TAZ'!$J:$J,0)</f>
        <v>21421.54</v>
      </c>
      <c r="H46">
        <v>511300</v>
      </c>
      <c r="I46">
        <v>1659320</v>
      </c>
      <c r="L46">
        <v>42</v>
      </c>
      <c r="M46" t="s">
        <v>1161</v>
      </c>
      <c r="N46">
        <v>2600</v>
      </c>
      <c r="O46" s="120">
        <f>_xlfn.XLOOKUP(Q46,'Other Model Data by TAZ'!A:A,'Other Model Data by TAZ'!G:G,0)</f>
        <v>2445</v>
      </c>
      <c r="P46" s="120">
        <f>_xlfn.XLOOKUP(Q46, 'Model VMT by TAZ'!A:A,'Model VMT by TAZ'!E:E,0)</f>
        <v>118212.61</v>
      </c>
      <c r="Q46">
        <v>1987</v>
      </c>
      <c r="S46" t="s">
        <v>1162</v>
      </c>
      <c r="T46" t="s">
        <v>1162</v>
      </c>
      <c r="U46">
        <v>0</v>
      </c>
      <c r="V46">
        <v>14361621</v>
      </c>
      <c r="W46">
        <v>20828.594486999998</v>
      </c>
      <c r="X46">
        <v>14361563.890951</v>
      </c>
      <c r="AA46">
        <v>47</v>
      </c>
      <c r="AB46" t="s">
        <v>1161</v>
      </c>
      <c r="AC46">
        <v>2612</v>
      </c>
      <c r="AD46" s="120">
        <f>_xlfn.XLOOKUP(AF46,'Other Model Data by TAZ'!A:A,'Other Model Data by TAZ'!G:G,0)</f>
        <v>3071</v>
      </c>
      <c r="AE46" s="120">
        <f>_xlfn.XLOOKUP(AF46, 'Model VMT by TAZ'!A:A,'Model VMT by TAZ'!E:E,0)</f>
        <v>103131.36</v>
      </c>
      <c r="AF46">
        <v>2017</v>
      </c>
      <c r="AH46" t="s">
        <v>1162</v>
      </c>
      <c r="AI46" t="s">
        <v>1162</v>
      </c>
      <c r="AJ46">
        <v>0</v>
      </c>
      <c r="AK46">
        <v>11151947</v>
      </c>
      <c r="AL46">
        <v>16783.980970000001</v>
      </c>
      <c r="AM46">
        <v>11151902.351743</v>
      </c>
    </row>
    <row r="47" spans="1:39" x14ac:dyDescent="0.35">
      <c r="A47">
        <v>42</v>
      </c>
      <c r="B47">
        <v>1811</v>
      </c>
      <c r="C47" s="120">
        <f>_xlfn.XLOOKUP(B47,'Model VMT by TAZ'!A:A,'Model VMT by TAZ'!E:E,0)</f>
        <v>148210.28</v>
      </c>
      <c r="D47" s="120">
        <f>_xlfn.XLOOKUP(B47,'Other Model Data by TAZ'!A:A,'Other Model Data by TAZ'!G:G,0)</f>
        <v>2082</v>
      </c>
      <c r="E47" s="117">
        <f>_xlfn.XLOOKUP(B47,'Model Modeshare by TAZ'!A:A,'Model Modeshare by TAZ'!E:E,0)+_xlfn.XLOOKUP(B47,'Model Modeshare by TAZ'!$A:$A,'Model Modeshare by TAZ'!F:F,0)</f>
        <v>18214.260000000002</v>
      </c>
      <c r="F47" s="117">
        <f>_xlfn.XLOOKUP(B47,'Model Modeshare by TAZ'!A:A,'Model Modeshare by TAZ'!$G:$G,0)</f>
        <v>2363.64</v>
      </c>
      <c r="G47" s="117">
        <f>_xlfn.XLOOKUP(B47,'Model Modeshare by TAZ'!A:A,'Model Modeshare by TAZ'!$J:$J,0)</f>
        <v>24791.54</v>
      </c>
      <c r="H47">
        <v>22600</v>
      </c>
      <c r="I47">
        <v>14526193</v>
      </c>
      <c r="L47">
        <v>43</v>
      </c>
      <c r="M47" t="s">
        <v>1161</v>
      </c>
      <c r="N47">
        <v>2601</v>
      </c>
      <c r="O47" s="120">
        <f>_xlfn.XLOOKUP(Q47,'Other Model Data by TAZ'!A:A,'Other Model Data by TAZ'!G:G,0)</f>
        <v>0</v>
      </c>
      <c r="P47" s="120">
        <f>_xlfn.XLOOKUP(Q47, 'Model VMT by TAZ'!A:A,'Model VMT by TAZ'!E:E,0)</f>
        <v>182948.04</v>
      </c>
      <c r="Q47">
        <v>2010</v>
      </c>
      <c r="S47" t="s">
        <v>1162</v>
      </c>
      <c r="T47" t="s">
        <v>1162</v>
      </c>
      <c r="U47">
        <v>0</v>
      </c>
      <c r="V47">
        <v>12011415</v>
      </c>
      <c r="W47">
        <v>17680.015399</v>
      </c>
      <c r="X47">
        <v>12011367.311720001</v>
      </c>
      <c r="AA47">
        <v>48</v>
      </c>
      <c r="AB47" t="s">
        <v>1161</v>
      </c>
      <c r="AC47">
        <v>2613</v>
      </c>
      <c r="AD47" s="120">
        <f>_xlfn.XLOOKUP(AF47,'Other Model Data by TAZ'!A:A,'Other Model Data by TAZ'!G:G,0)</f>
        <v>2233</v>
      </c>
      <c r="AE47" s="120">
        <f>_xlfn.XLOOKUP(AF47, 'Model VMT by TAZ'!A:A,'Model VMT by TAZ'!E:E,0)</f>
        <v>87127.03</v>
      </c>
      <c r="AF47">
        <v>2016</v>
      </c>
      <c r="AH47" t="s">
        <v>1162</v>
      </c>
      <c r="AI47" t="s">
        <v>1162</v>
      </c>
      <c r="AJ47">
        <v>0</v>
      </c>
      <c r="AK47">
        <v>4991620</v>
      </c>
      <c r="AL47">
        <v>10682.846651</v>
      </c>
      <c r="AM47">
        <v>4991599.6707960004</v>
      </c>
    </row>
    <row r="48" spans="1:39" x14ac:dyDescent="0.35">
      <c r="A48">
        <v>43</v>
      </c>
      <c r="B48">
        <v>1814</v>
      </c>
      <c r="C48" s="120">
        <f>_xlfn.XLOOKUP(B48,'Model VMT by TAZ'!A:A,'Model VMT by TAZ'!E:E,0)</f>
        <v>92287.71</v>
      </c>
      <c r="D48" s="120">
        <f>_xlfn.XLOOKUP(B48,'Other Model Data by TAZ'!A:A,'Other Model Data by TAZ'!G:G,0)</f>
        <v>3456</v>
      </c>
      <c r="E48" s="117">
        <f>_xlfn.XLOOKUP(B48,'Model Modeshare by TAZ'!A:A,'Model Modeshare by TAZ'!E:E,0)+_xlfn.XLOOKUP(B48,'Model Modeshare by TAZ'!$A:$A,'Model Modeshare by TAZ'!F:F,0)</f>
        <v>13107.359999999999</v>
      </c>
      <c r="F48" s="117">
        <f>_xlfn.XLOOKUP(B48,'Model Modeshare by TAZ'!A:A,'Model Modeshare by TAZ'!$G:$G,0)</f>
        <v>2117.64</v>
      </c>
      <c r="G48" s="117">
        <f>_xlfn.XLOOKUP(B48,'Model Modeshare by TAZ'!A:A,'Model Modeshare by TAZ'!$J:$J,0)</f>
        <v>19479.84</v>
      </c>
      <c r="H48">
        <v>22701</v>
      </c>
      <c r="I48">
        <v>6369593</v>
      </c>
      <c r="L48">
        <v>44</v>
      </c>
      <c r="M48" t="s">
        <v>1161</v>
      </c>
      <c r="N48">
        <v>2602</v>
      </c>
      <c r="O48" s="120">
        <f>_xlfn.XLOOKUP(Q48,'Other Model Data by TAZ'!A:A,'Other Model Data by TAZ'!G:G,0)</f>
        <v>3941</v>
      </c>
      <c r="P48" s="120">
        <f>_xlfn.XLOOKUP(Q48, 'Model VMT by TAZ'!A:A,'Model VMT by TAZ'!E:E,0)</f>
        <v>224821.98</v>
      </c>
      <c r="Q48">
        <v>2009</v>
      </c>
      <c r="S48" t="s">
        <v>1162</v>
      </c>
      <c r="T48" t="s">
        <v>1162</v>
      </c>
      <c r="U48">
        <v>0</v>
      </c>
      <c r="V48">
        <v>10476192</v>
      </c>
      <c r="W48">
        <v>15943.719077</v>
      </c>
      <c r="X48">
        <v>10476150.375068</v>
      </c>
      <c r="AA48">
        <v>49</v>
      </c>
      <c r="AB48" t="s">
        <v>1161</v>
      </c>
      <c r="AC48">
        <v>2615</v>
      </c>
      <c r="AD48" s="120">
        <f>_xlfn.XLOOKUP(AF48,'Other Model Data by TAZ'!A:A,'Other Model Data by TAZ'!G:G,0)</f>
        <v>113</v>
      </c>
      <c r="AE48" s="120">
        <f>_xlfn.XLOOKUP(AF48, 'Model VMT by TAZ'!A:A,'Model VMT by TAZ'!E:E,0)</f>
        <v>201492.8</v>
      </c>
      <c r="AF48">
        <v>1679</v>
      </c>
      <c r="AH48" t="s">
        <v>1162</v>
      </c>
      <c r="AI48" t="s">
        <v>1162</v>
      </c>
      <c r="AJ48">
        <v>0</v>
      </c>
      <c r="AK48">
        <v>9103367</v>
      </c>
      <c r="AL48">
        <v>17136.478287999998</v>
      </c>
      <c r="AM48">
        <v>9103330.3204970006</v>
      </c>
    </row>
    <row r="49" spans="1:39" x14ac:dyDescent="0.35">
      <c r="A49">
        <v>44</v>
      </c>
      <c r="B49">
        <v>1812</v>
      </c>
      <c r="C49" s="120">
        <f>_xlfn.XLOOKUP(B49,'Model VMT by TAZ'!A:A,'Model VMT by TAZ'!E:E,0)</f>
        <v>68442.62</v>
      </c>
      <c r="D49" s="120">
        <f>_xlfn.XLOOKUP(B49,'Other Model Data by TAZ'!A:A,'Other Model Data by TAZ'!G:G,0)</f>
        <v>2239</v>
      </c>
      <c r="E49" s="117">
        <f>_xlfn.XLOOKUP(B49,'Model Modeshare by TAZ'!A:A,'Model Modeshare by TAZ'!E:E,0)+_xlfn.XLOOKUP(B49,'Model Modeshare by TAZ'!$A:$A,'Model Modeshare by TAZ'!F:F,0)</f>
        <v>8765.6</v>
      </c>
      <c r="F49" s="117">
        <f>_xlfn.XLOOKUP(B49,'Model Modeshare by TAZ'!A:A,'Model Modeshare by TAZ'!$G:$G,0)</f>
        <v>1549.9</v>
      </c>
      <c r="G49" s="117">
        <f>_xlfn.XLOOKUP(B49,'Model Modeshare by TAZ'!A:A,'Model Modeshare by TAZ'!$J:$J,0)</f>
        <v>13194.66</v>
      </c>
      <c r="H49">
        <v>22702</v>
      </c>
      <c r="I49">
        <v>2915710</v>
      </c>
      <c r="L49">
        <v>45</v>
      </c>
      <c r="M49" t="s">
        <v>1161</v>
      </c>
      <c r="N49">
        <v>2604</v>
      </c>
      <c r="O49" s="120">
        <f>_xlfn.XLOOKUP(Q49,'Other Model Data by TAZ'!A:A,'Other Model Data by TAZ'!G:G,0)</f>
        <v>4618</v>
      </c>
      <c r="P49" s="120">
        <f>_xlfn.XLOOKUP(Q49, 'Model VMT by TAZ'!A:A,'Model VMT by TAZ'!E:E,0)</f>
        <v>98995.68</v>
      </c>
      <c r="Q49">
        <v>2008</v>
      </c>
      <c r="S49" t="s">
        <v>1162</v>
      </c>
      <c r="T49" t="s">
        <v>1162</v>
      </c>
      <c r="U49">
        <v>0</v>
      </c>
      <c r="V49">
        <v>12663001</v>
      </c>
      <c r="W49">
        <v>19699.457039000001</v>
      </c>
      <c r="X49">
        <v>12662950.391386</v>
      </c>
      <c r="AA49">
        <v>50</v>
      </c>
      <c r="AB49" t="s">
        <v>1161</v>
      </c>
      <c r="AC49">
        <v>2616</v>
      </c>
      <c r="AD49" s="120">
        <f>_xlfn.XLOOKUP(AF49,'Other Model Data by TAZ'!A:A,'Other Model Data by TAZ'!G:G,0)</f>
        <v>2865</v>
      </c>
      <c r="AE49" s="120">
        <f>_xlfn.XLOOKUP(AF49, 'Model VMT by TAZ'!A:A,'Model VMT by TAZ'!E:E,0)</f>
        <v>77150.25</v>
      </c>
      <c r="AF49">
        <v>2026</v>
      </c>
      <c r="AH49" t="s">
        <v>1162</v>
      </c>
      <c r="AI49" t="s">
        <v>1162</v>
      </c>
      <c r="AJ49">
        <v>0</v>
      </c>
      <c r="AK49">
        <v>3793408</v>
      </c>
      <c r="AL49">
        <v>11756.909035000001</v>
      </c>
      <c r="AM49">
        <v>3793392.5510709998</v>
      </c>
    </row>
    <row r="50" spans="1:39" x14ac:dyDescent="0.35">
      <c r="A50">
        <v>45</v>
      </c>
      <c r="B50">
        <v>1813</v>
      </c>
      <c r="C50" s="120">
        <f>_xlfn.XLOOKUP(B50,'Model VMT by TAZ'!A:A,'Model VMT by TAZ'!E:E,0)</f>
        <v>137738.78</v>
      </c>
      <c r="D50" s="120">
        <f>_xlfn.XLOOKUP(B50,'Other Model Data by TAZ'!A:A,'Other Model Data by TAZ'!G:G,0)</f>
        <v>5990</v>
      </c>
      <c r="E50" s="117">
        <f>_xlfn.XLOOKUP(B50,'Model Modeshare by TAZ'!A:A,'Model Modeshare by TAZ'!E:E,0)+_xlfn.XLOOKUP(B50,'Model Modeshare by TAZ'!$A:$A,'Model Modeshare by TAZ'!F:F,0)</f>
        <v>18740.559999999998</v>
      </c>
      <c r="F50" s="117">
        <f>_xlfn.XLOOKUP(B50,'Model Modeshare by TAZ'!A:A,'Model Modeshare by TAZ'!$G:$G,0)</f>
        <v>2825.72</v>
      </c>
      <c r="G50" s="117">
        <f>_xlfn.XLOOKUP(B50,'Model Modeshare by TAZ'!A:A,'Model Modeshare by TAZ'!$J:$J,0)</f>
        <v>26971.56</v>
      </c>
      <c r="H50">
        <v>22703</v>
      </c>
      <c r="I50">
        <v>8107006</v>
      </c>
      <c r="L50">
        <v>46</v>
      </c>
      <c r="M50" t="s">
        <v>1161</v>
      </c>
      <c r="N50">
        <v>2605</v>
      </c>
      <c r="O50" s="120">
        <f>_xlfn.XLOOKUP(Q50,'Other Model Data by TAZ'!A:A,'Other Model Data by TAZ'!G:G,0)</f>
        <v>2710</v>
      </c>
      <c r="P50" s="120">
        <f>_xlfn.XLOOKUP(Q50, 'Model VMT by TAZ'!A:A,'Model VMT by TAZ'!E:E,0)</f>
        <v>43709.93</v>
      </c>
      <c r="Q50">
        <v>2007</v>
      </c>
      <c r="S50" t="s">
        <v>1162</v>
      </c>
      <c r="T50" t="s">
        <v>1162</v>
      </c>
      <c r="U50">
        <v>0</v>
      </c>
      <c r="V50">
        <v>13174344</v>
      </c>
      <c r="W50">
        <v>18329.382657999999</v>
      </c>
      <c r="X50">
        <v>13174291.473905001</v>
      </c>
      <c r="AA50">
        <v>51</v>
      </c>
      <c r="AB50" t="s">
        <v>1161</v>
      </c>
      <c r="AC50">
        <v>2639</v>
      </c>
      <c r="AD50" s="120">
        <f>_xlfn.XLOOKUP(AF50,'Other Model Data by TAZ'!A:A,'Other Model Data by TAZ'!G:G,0)</f>
        <v>0</v>
      </c>
      <c r="AE50" s="120">
        <f>_xlfn.XLOOKUP(AF50, 'Model VMT by TAZ'!A:A,'Model VMT by TAZ'!E:E,0)</f>
        <v>108701.01</v>
      </c>
      <c r="AF50">
        <v>1636</v>
      </c>
      <c r="AH50" t="s">
        <v>1162</v>
      </c>
      <c r="AI50" t="s">
        <v>1162</v>
      </c>
      <c r="AJ50">
        <v>0</v>
      </c>
      <c r="AK50">
        <v>36701923</v>
      </c>
      <c r="AL50">
        <v>33548.574315999998</v>
      </c>
      <c r="AM50">
        <v>36701775.939250998</v>
      </c>
    </row>
    <row r="51" spans="1:39" x14ac:dyDescent="0.35">
      <c r="A51">
        <v>46</v>
      </c>
      <c r="B51">
        <v>1851</v>
      </c>
      <c r="C51" s="120">
        <f>_xlfn.XLOOKUP(B51,'Model VMT by TAZ'!A:A,'Model VMT by TAZ'!E:E,0)</f>
        <v>40344.699999999997</v>
      </c>
      <c r="D51" s="120">
        <f>_xlfn.XLOOKUP(B51,'Other Model Data by TAZ'!A:A,'Other Model Data by TAZ'!G:G,0)</f>
        <v>2061</v>
      </c>
      <c r="E51" s="117">
        <f>_xlfn.XLOOKUP(B51,'Model Modeshare by TAZ'!A:A,'Model Modeshare by TAZ'!E:E,0)+_xlfn.XLOOKUP(B51,'Model Modeshare by TAZ'!$A:$A,'Model Modeshare by TAZ'!F:F,0)</f>
        <v>5510.92</v>
      </c>
      <c r="F51" s="117">
        <f>_xlfn.XLOOKUP(B51,'Model Modeshare by TAZ'!A:A,'Model Modeshare by TAZ'!$G:$G,0)</f>
        <v>725.12</v>
      </c>
      <c r="G51" s="117">
        <f>_xlfn.XLOOKUP(B51,'Model Modeshare by TAZ'!A:A,'Model Modeshare by TAZ'!$J:$J,0)</f>
        <v>7527.14</v>
      </c>
      <c r="H51">
        <v>25800</v>
      </c>
      <c r="I51">
        <v>2596495</v>
      </c>
      <c r="L51">
        <v>47</v>
      </c>
      <c r="M51" t="s">
        <v>1161</v>
      </c>
      <c r="N51">
        <v>2612</v>
      </c>
      <c r="O51" s="120">
        <f>_xlfn.XLOOKUP(Q51,'Other Model Data by TAZ'!A:A,'Other Model Data by TAZ'!G:G,0)</f>
        <v>3071</v>
      </c>
      <c r="P51" s="120">
        <f>_xlfn.XLOOKUP(Q51, 'Model VMT by TAZ'!A:A,'Model VMT by TAZ'!E:E,0)</f>
        <v>103131.36</v>
      </c>
      <c r="Q51">
        <v>2017</v>
      </c>
      <c r="S51" t="s">
        <v>1162</v>
      </c>
      <c r="T51" t="s">
        <v>1162</v>
      </c>
      <c r="U51">
        <v>0</v>
      </c>
      <c r="V51">
        <v>11151947</v>
      </c>
      <c r="W51">
        <v>16783.980970000001</v>
      </c>
      <c r="X51">
        <v>11151902.351743</v>
      </c>
      <c r="AA51">
        <v>52</v>
      </c>
      <c r="AB51" t="s">
        <v>1161</v>
      </c>
      <c r="AC51">
        <v>2640</v>
      </c>
      <c r="AD51" s="120">
        <f>_xlfn.XLOOKUP(AF51,'Other Model Data by TAZ'!A:A,'Other Model Data by TAZ'!G:G,0)</f>
        <v>0</v>
      </c>
      <c r="AE51" s="120">
        <f>_xlfn.XLOOKUP(AF51, 'Model VMT by TAZ'!A:A,'Model VMT by TAZ'!E:E,0)</f>
        <v>177532.08</v>
      </c>
      <c r="AF51">
        <v>1637</v>
      </c>
      <c r="AH51" t="s">
        <v>1162</v>
      </c>
      <c r="AI51" t="s">
        <v>1162</v>
      </c>
      <c r="AJ51">
        <v>0</v>
      </c>
      <c r="AK51">
        <v>13521298</v>
      </c>
      <c r="AL51">
        <v>34837.345144999999</v>
      </c>
      <c r="AM51">
        <v>13521243.598268</v>
      </c>
    </row>
    <row r="52" spans="1:39" x14ac:dyDescent="0.35">
      <c r="A52">
        <v>47</v>
      </c>
      <c r="B52">
        <v>1855</v>
      </c>
      <c r="C52" s="120">
        <f>_xlfn.XLOOKUP(B52,'Model VMT by TAZ'!A:A,'Model VMT by TAZ'!E:E,0)</f>
        <v>80610.23</v>
      </c>
      <c r="D52" s="120">
        <f>_xlfn.XLOOKUP(B52,'Other Model Data by TAZ'!A:A,'Other Model Data by TAZ'!G:G,0)</f>
        <v>3710</v>
      </c>
      <c r="E52" s="117">
        <f>_xlfn.XLOOKUP(B52,'Model Modeshare by TAZ'!A:A,'Model Modeshare by TAZ'!E:E,0)+_xlfn.XLOOKUP(B52,'Model Modeshare by TAZ'!$A:$A,'Model Modeshare by TAZ'!F:F,0)</f>
        <v>10793.619999999999</v>
      </c>
      <c r="F52" s="117">
        <f>_xlfn.XLOOKUP(B52,'Model Modeshare by TAZ'!A:A,'Model Modeshare by TAZ'!$G:$G,0)</f>
        <v>1217.06</v>
      </c>
      <c r="G52" s="117">
        <f>_xlfn.XLOOKUP(B52,'Model Modeshare by TAZ'!A:A,'Model Modeshare by TAZ'!$J:$J,0)</f>
        <v>14270.04</v>
      </c>
      <c r="H52">
        <v>26401</v>
      </c>
      <c r="I52">
        <v>3558274</v>
      </c>
      <c r="L52">
        <v>48</v>
      </c>
      <c r="M52" t="s">
        <v>1161</v>
      </c>
      <c r="N52">
        <v>2613</v>
      </c>
      <c r="O52" s="120">
        <f>_xlfn.XLOOKUP(Q52,'Other Model Data by TAZ'!A:A,'Other Model Data by TAZ'!G:G,0)</f>
        <v>2233</v>
      </c>
      <c r="P52" s="120">
        <f>_xlfn.XLOOKUP(Q52, 'Model VMT by TAZ'!A:A,'Model VMT by TAZ'!E:E,0)</f>
        <v>87127.03</v>
      </c>
      <c r="Q52">
        <v>2016</v>
      </c>
      <c r="S52" t="s">
        <v>1162</v>
      </c>
      <c r="T52" t="s">
        <v>1162</v>
      </c>
      <c r="U52">
        <v>0</v>
      </c>
      <c r="V52">
        <v>4991620</v>
      </c>
      <c r="W52">
        <v>10682.846651</v>
      </c>
      <c r="X52">
        <v>4991599.6707960004</v>
      </c>
      <c r="AA52">
        <v>53</v>
      </c>
      <c r="AB52" t="s">
        <v>1161</v>
      </c>
      <c r="AC52">
        <v>2641</v>
      </c>
      <c r="AD52" s="120">
        <f>_xlfn.XLOOKUP(AF52,'Other Model Data by TAZ'!A:A,'Other Model Data by TAZ'!G:G,0)</f>
        <v>0</v>
      </c>
      <c r="AE52" s="120">
        <f>_xlfn.XLOOKUP(AF52, 'Model VMT by TAZ'!A:A,'Model VMT by TAZ'!E:E,0)</f>
        <v>58735.61</v>
      </c>
      <c r="AF52">
        <v>1592</v>
      </c>
      <c r="AH52" t="s">
        <v>1162</v>
      </c>
      <c r="AI52" t="s">
        <v>1162</v>
      </c>
      <c r="AJ52">
        <v>0</v>
      </c>
      <c r="AK52">
        <v>4403523</v>
      </c>
      <c r="AL52">
        <v>13199.944538</v>
      </c>
      <c r="AM52">
        <v>4403505.2965249997</v>
      </c>
    </row>
    <row r="53" spans="1:39" x14ac:dyDescent="0.35">
      <c r="A53">
        <v>48</v>
      </c>
      <c r="B53">
        <v>1853</v>
      </c>
      <c r="C53" s="120">
        <f>_xlfn.XLOOKUP(B53,'Model VMT by TAZ'!A:A,'Model VMT by TAZ'!E:E,0)</f>
        <v>100597.62</v>
      </c>
      <c r="D53" s="120">
        <f>_xlfn.XLOOKUP(B53,'Other Model Data by TAZ'!A:A,'Other Model Data by TAZ'!G:G,0)</f>
        <v>4670</v>
      </c>
      <c r="E53" s="117">
        <f>_xlfn.XLOOKUP(B53,'Model Modeshare by TAZ'!A:A,'Model Modeshare by TAZ'!E:E,0)+_xlfn.XLOOKUP(B53,'Model Modeshare by TAZ'!$A:$A,'Model Modeshare by TAZ'!F:F,0)</f>
        <v>11844.66</v>
      </c>
      <c r="F53" s="117">
        <f>_xlfn.XLOOKUP(B53,'Model Modeshare by TAZ'!A:A,'Model Modeshare by TAZ'!$G:$G,0)</f>
        <v>1591.48</v>
      </c>
      <c r="G53" s="117">
        <f>_xlfn.XLOOKUP(B53,'Model Modeshare by TAZ'!A:A,'Model Modeshare by TAZ'!$J:$J,0)</f>
        <v>16066.36</v>
      </c>
      <c r="H53">
        <v>26402</v>
      </c>
      <c r="I53">
        <v>4422861</v>
      </c>
      <c r="L53">
        <v>49</v>
      </c>
      <c r="M53" t="s">
        <v>1161</v>
      </c>
      <c r="N53">
        <v>2615</v>
      </c>
      <c r="O53" s="120">
        <f>_xlfn.XLOOKUP(Q53,'Other Model Data by TAZ'!A:A,'Other Model Data by TAZ'!G:G,0)</f>
        <v>113</v>
      </c>
      <c r="P53" s="120">
        <f>_xlfn.XLOOKUP(Q53, 'Model VMT by TAZ'!A:A,'Model VMT by TAZ'!E:E,0)</f>
        <v>201492.8</v>
      </c>
      <c r="Q53">
        <v>1679</v>
      </c>
      <c r="S53" t="s">
        <v>1162</v>
      </c>
      <c r="T53" t="s">
        <v>1162</v>
      </c>
      <c r="U53">
        <v>0</v>
      </c>
      <c r="V53">
        <v>9103367</v>
      </c>
      <c r="W53">
        <v>17136.478287999998</v>
      </c>
      <c r="X53">
        <v>9103330.3204970006</v>
      </c>
      <c r="AA53">
        <v>54</v>
      </c>
      <c r="AB53" t="s">
        <v>1161</v>
      </c>
      <c r="AC53">
        <v>2644</v>
      </c>
      <c r="AD53" s="120">
        <f>_xlfn.XLOOKUP(AF53,'Other Model Data by TAZ'!A:A,'Other Model Data by TAZ'!G:G,0)</f>
        <v>7180</v>
      </c>
      <c r="AE53" s="120">
        <f>_xlfn.XLOOKUP(AF53, 'Model VMT by TAZ'!A:A,'Model VMT by TAZ'!E:E,0)</f>
        <v>137946.37</v>
      </c>
      <c r="AF53">
        <v>1909</v>
      </c>
      <c r="AH53" t="s">
        <v>1162</v>
      </c>
      <c r="AI53" t="s">
        <v>1162</v>
      </c>
      <c r="AJ53">
        <v>0</v>
      </c>
      <c r="AK53">
        <v>19456934</v>
      </c>
      <c r="AL53">
        <v>17618.764038000001</v>
      </c>
      <c r="AM53">
        <v>19456855.678153999</v>
      </c>
    </row>
    <row r="54" spans="1:39" x14ac:dyDescent="0.35">
      <c r="A54">
        <v>49</v>
      </c>
      <c r="B54">
        <v>1854</v>
      </c>
      <c r="C54" s="120">
        <f>_xlfn.XLOOKUP(B54,'Model VMT by TAZ'!A:A,'Model VMT by TAZ'!E:E,0)</f>
        <v>86501.85</v>
      </c>
      <c r="D54" s="120">
        <f>_xlfn.XLOOKUP(B54,'Other Model Data by TAZ'!A:A,'Other Model Data by TAZ'!G:G,0)</f>
        <v>3868</v>
      </c>
      <c r="E54" s="117">
        <f>_xlfn.XLOOKUP(B54,'Model Modeshare by TAZ'!A:A,'Model Modeshare by TAZ'!E:E,0)+_xlfn.XLOOKUP(B54,'Model Modeshare by TAZ'!$A:$A,'Model Modeshare by TAZ'!F:F,0)</f>
        <v>14602.42</v>
      </c>
      <c r="F54" s="117">
        <f>_xlfn.XLOOKUP(B54,'Model Modeshare by TAZ'!A:A,'Model Modeshare by TAZ'!$G:$G,0)</f>
        <v>2150.2199999999998</v>
      </c>
      <c r="G54" s="117">
        <f>_xlfn.XLOOKUP(B54,'Model Modeshare by TAZ'!A:A,'Model Modeshare by TAZ'!$J:$J,0)</f>
        <v>20389.740000000002</v>
      </c>
      <c r="H54">
        <v>26403</v>
      </c>
      <c r="I54">
        <v>4037097</v>
      </c>
      <c r="L54">
        <v>50</v>
      </c>
      <c r="M54" t="s">
        <v>1161</v>
      </c>
      <c r="N54">
        <v>2616</v>
      </c>
      <c r="O54" s="120">
        <f>_xlfn.XLOOKUP(Q54,'Other Model Data by TAZ'!A:A,'Other Model Data by TAZ'!G:G,0)</f>
        <v>2865</v>
      </c>
      <c r="P54" s="120">
        <f>_xlfn.XLOOKUP(Q54, 'Model VMT by TAZ'!A:A,'Model VMT by TAZ'!E:E,0)</f>
        <v>77150.25</v>
      </c>
      <c r="Q54">
        <v>2026</v>
      </c>
      <c r="S54" t="s">
        <v>1162</v>
      </c>
      <c r="T54" t="s">
        <v>1162</v>
      </c>
      <c r="U54">
        <v>0</v>
      </c>
      <c r="V54">
        <v>3793408</v>
      </c>
      <c r="W54">
        <v>11756.909035000001</v>
      </c>
      <c r="X54">
        <v>3793392.5510709998</v>
      </c>
      <c r="AA54">
        <v>55</v>
      </c>
      <c r="AB54" t="s">
        <v>1161</v>
      </c>
      <c r="AC54">
        <v>2649</v>
      </c>
      <c r="AD54" s="120">
        <f>_xlfn.XLOOKUP(AF54,'Other Model Data by TAZ'!A:A,'Other Model Data by TAZ'!G:G,0)</f>
        <v>159</v>
      </c>
      <c r="AE54" s="120">
        <f>_xlfn.XLOOKUP(AF54, 'Model VMT by TAZ'!A:A,'Model VMT by TAZ'!E:E,0)</f>
        <v>298291.71000000002</v>
      </c>
      <c r="AF54">
        <v>1640</v>
      </c>
      <c r="AH54" t="s">
        <v>1162</v>
      </c>
      <c r="AI54" t="s">
        <v>1162</v>
      </c>
      <c r="AJ54">
        <v>0</v>
      </c>
      <c r="AK54">
        <v>24726812</v>
      </c>
      <c r="AL54">
        <v>51707.882784000001</v>
      </c>
      <c r="AM54">
        <v>24726712.616831999</v>
      </c>
    </row>
    <row r="55" spans="1:39" x14ac:dyDescent="0.35">
      <c r="A55">
        <v>50</v>
      </c>
      <c r="B55">
        <v>1203</v>
      </c>
      <c r="C55" s="120">
        <f>_xlfn.XLOOKUP(B55,'Model VMT by TAZ'!A:A,'Model VMT by TAZ'!E:E,0)</f>
        <v>26336.48</v>
      </c>
      <c r="D55" s="120">
        <f>_xlfn.XLOOKUP(B55,'Other Model Data by TAZ'!A:A,'Other Model Data by TAZ'!G:G,0)</f>
        <v>145</v>
      </c>
      <c r="E55" s="117">
        <f>_xlfn.XLOOKUP(B55,'Model Modeshare by TAZ'!A:A,'Model Modeshare by TAZ'!E:E,0)+_xlfn.XLOOKUP(B55,'Model Modeshare by TAZ'!$A:$A,'Model Modeshare by TAZ'!F:F,0)</f>
        <v>1809.42</v>
      </c>
      <c r="F55" s="117">
        <f>_xlfn.XLOOKUP(B55,'Model Modeshare by TAZ'!A:A,'Model Modeshare by TAZ'!$G:$G,0)</f>
        <v>66.900000000000006</v>
      </c>
      <c r="G55" s="117">
        <f>_xlfn.XLOOKUP(B55,'Model Modeshare by TAZ'!A:A,'Model Modeshare by TAZ'!$J:$J,0)</f>
        <v>2118.6799999999998</v>
      </c>
      <c r="H55">
        <v>500800</v>
      </c>
      <c r="I55">
        <v>1429691</v>
      </c>
      <c r="L55">
        <v>51</v>
      </c>
      <c r="M55" t="s">
        <v>1161</v>
      </c>
      <c r="N55">
        <v>2639</v>
      </c>
      <c r="O55" s="120">
        <f>_xlfn.XLOOKUP(Q55,'Other Model Data by TAZ'!A:A,'Other Model Data by TAZ'!G:G,0)</f>
        <v>0</v>
      </c>
      <c r="P55" s="120">
        <f>_xlfn.XLOOKUP(Q55, 'Model VMT by TAZ'!A:A,'Model VMT by TAZ'!E:E,0)</f>
        <v>108701.01</v>
      </c>
      <c r="Q55">
        <v>1636</v>
      </c>
      <c r="S55" t="s">
        <v>1162</v>
      </c>
      <c r="T55" t="s">
        <v>1162</v>
      </c>
      <c r="U55">
        <v>0</v>
      </c>
      <c r="V55">
        <v>36701923</v>
      </c>
      <c r="W55">
        <v>33548.574315999998</v>
      </c>
      <c r="X55">
        <v>36701775.939250998</v>
      </c>
      <c r="AA55">
        <v>56</v>
      </c>
      <c r="AB55" t="s">
        <v>1161</v>
      </c>
      <c r="AC55">
        <v>2650</v>
      </c>
      <c r="AD55" s="120">
        <f>_xlfn.XLOOKUP(AF55,'Other Model Data by TAZ'!A:A,'Other Model Data by TAZ'!G:G,0)</f>
        <v>0</v>
      </c>
      <c r="AE55" s="120">
        <f>_xlfn.XLOOKUP(AF55, 'Model VMT by TAZ'!A:A,'Model VMT by TAZ'!E:E,0)</f>
        <v>389214.54</v>
      </c>
      <c r="AF55">
        <v>1641</v>
      </c>
      <c r="AH55" t="s">
        <v>1162</v>
      </c>
      <c r="AI55" t="s">
        <v>1162</v>
      </c>
      <c r="AJ55">
        <v>0</v>
      </c>
      <c r="AK55">
        <v>21056755</v>
      </c>
      <c r="AL55">
        <v>29061.126098000001</v>
      </c>
      <c r="AM55">
        <v>21056670.545921002</v>
      </c>
    </row>
    <row r="56" spans="1:39" x14ac:dyDescent="0.35">
      <c r="A56">
        <v>51</v>
      </c>
      <c r="B56">
        <v>1204</v>
      </c>
      <c r="C56" s="120">
        <f>_xlfn.XLOOKUP(B56,'Model VMT by TAZ'!A:A,'Model VMT by TAZ'!E:E,0)</f>
        <v>47416.05</v>
      </c>
      <c r="D56" s="120">
        <f>_xlfn.XLOOKUP(B56,'Other Model Data by TAZ'!A:A,'Other Model Data by TAZ'!G:G,0)</f>
        <v>745</v>
      </c>
      <c r="E56" s="117">
        <f>_xlfn.XLOOKUP(B56,'Model Modeshare by TAZ'!A:A,'Model Modeshare by TAZ'!E:E,0)+_xlfn.XLOOKUP(B56,'Model Modeshare by TAZ'!$A:$A,'Model Modeshare by TAZ'!F:F,0)</f>
        <v>5010.68</v>
      </c>
      <c r="F56" s="117">
        <f>_xlfn.XLOOKUP(B56,'Model Modeshare by TAZ'!A:A,'Model Modeshare by TAZ'!$G:$G,0)</f>
        <v>525.79999999999995</v>
      </c>
      <c r="G56" s="117">
        <f>_xlfn.XLOOKUP(B56,'Model Modeshare by TAZ'!A:A,'Model Modeshare by TAZ'!$J:$J,0)</f>
        <v>6734.52</v>
      </c>
      <c r="H56">
        <v>500800</v>
      </c>
      <c r="I56">
        <v>1959106</v>
      </c>
      <c r="L56">
        <v>52</v>
      </c>
      <c r="M56" t="s">
        <v>1161</v>
      </c>
      <c r="N56">
        <v>2640</v>
      </c>
      <c r="O56" s="120">
        <f>_xlfn.XLOOKUP(Q56,'Other Model Data by TAZ'!A:A,'Other Model Data by TAZ'!G:G,0)</f>
        <v>0</v>
      </c>
      <c r="P56" s="120">
        <f>_xlfn.XLOOKUP(Q56, 'Model VMT by TAZ'!A:A,'Model VMT by TAZ'!E:E,0)</f>
        <v>177532.08</v>
      </c>
      <c r="Q56">
        <v>1637</v>
      </c>
      <c r="S56" t="s">
        <v>1162</v>
      </c>
      <c r="T56" t="s">
        <v>1162</v>
      </c>
      <c r="U56">
        <v>0</v>
      </c>
      <c r="V56">
        <v>13521298</v>
      </c>
      <c r="W56">
        <v>34837.345144999999</v>
      </c>
      <c r="X56">
        <v>13521243.598268</v>
      </c>
      <c r="AA56">
        <v>57</v>
      </c>
      <c r="AB56" t="s">
        <v>1161</v>
      </c>
      <c r="AC56">
        <v>2651</v>
      </c>
      <c r="AD56" s="120">
        <f>_xlfn.XLOOKUP(AF56,'Other Model Data by TAZ'!A:A,'Other Model Data by TAZ'!G:G,0)</f>
        <v>0</v>
      </c>
      <c r="AE56" s="120">
        <f>_xlfn.XLOOKUP(AF56, 'Model VMT by TAZ'!A:A,'Model VMT by TAZ'!E:E,0)</f>
        <v>137710.24</v>
      </c>
      <c r="AF56">
        <v>1642</v>
      </c>
      <c r="AH56" t="s">
        <v>1162</v>
      </c>
      <c r="AI56" t="s">
        <v>1162</v>
      </c>
      <c r="AJ56">
        <v>0</v>
      </c>
      <c r="AK56">
        <v>10811189</v>
      </c>
      <c r="AL56">
        <v>16892.210079</v>
      </c>
      <c r="AM56">
        <v>10811145.557618</v>
      </c>
    </row>
    <row r="57" spans="1:39" x14ac:dyDescent="0.35">
      <c r="A57">
        <v>52</v>
      </c>
      <c r="B57">
        <v>1205</v>
      </c>
      <c r="C57" s="120">
        <f>_xlfn.XLOOKUP(B57,'Model VMT by TAZ'!A:A,'Model VMT by TAZ'!E:E,0)</f>
        <v>111423.03999999999</v>
      </c>
      <c r="D57" s="120">
        <f>_xlfn.XLOOKUP(B57,'Other Model Data by TAZ'!A:A,'Other Model Data by TAZ'!G:G,0)</f>
        <v>0</v>
      </c>
      <c r="E57" s="117">
        <f>_xlfn.XLOOKUP(B57,'Model Modeshare by TAZ'!A:A,'Model Modeshare by TAZ'!E:E,0)+_xlfn.XLOOKUP(B57,'Model Modeshare by TAZ'!$A:$A,'Model Modeshare by TAZ'!F:F,0)</f>
        <v>12312.16</v>
      </c>
      <c r="F57" s="117">
        <f>_xlfn.XLOOKUP(B57,'Model Modeshare by TAZ'!A:A,'Model Modeshare by TAZ'!$G:$G,0)</f>
        <v>2601.84</v>
      </c>
      <c r="G57" s="117">
        <f>_xlfn.XLOOKUP(B57,'Model Modeshare by TAZ'!A:A,'Model Modeshare by TAZ'!$J:$J,0)</f>
        <v>19125.2</v>
      </c>
      <c r="H57">
        <v>500800</v>
      </c>
      <c r="I57">
        <v>1411080</v>
      </c>
      <c r="L57">
        <v>53</v>
      </c>
      <c r="M57" t="s">
        <v>1161</v>
      </c>
      <c r="N57">
        <v>2641</v>
      </c>
      <c r="O57" s="120">
        <f>_xlfn.XLOOKUP(Q57,'Other Model Data by TAZ'!A:A,'Other Model Data by TAZ'!G:G,0)</f>
        <v>0</v>
      </c>
      <c r="P57" s="120">
        <f>_xlfn.XLOOKUP(Q57, 'Model VMT by TAZ'!A:A,'Model VMT by TAZ'!E:E,0)</f>
        <v>58735.61</v>
      </c>
      <c r="Q57">
        <v>1592</v>
      </c>
      <c r="S57" t="s">
        <v>1162</v>
      </c>
      <c r="T57" t="s">
        <v>1162</v>
      </c>
      <c r="U57">
        <v>0</v>
      </c>
      <c r="V57">
        <v>4403523</v>
      </c>
      <c r="W57">
        <v>13199.944538</v>
      </c>
      <c r="X57">
        <v>4403505.2965249997</v>
      </c>
      <c r="AA57">
        <v>58</v>
      </c>
      <c r="AB57" t="s">
        <v>1161</v>
      </c>
      <c r="AC57">
        <v>2654</v>
      </c>
      <c r="AD57" s="120">
        <f>_xlfn.XLOOKUP(AF57,'Other Model Data by TAZ'!A:A,'Other Model Data by TAZ'!G:G,0)</f>
        <v>18</v>
      </c>
      <c r="AE57" s="120">
        <f>_xlfn.XLOOKUP(AF57, 'Model VMT by TAZ'!A:A,'Model VMT by TAZ'!E:E,0)</f>
        <v>259642.16</v>
      </c>
      <c r="AF57">
        <v>1934</v>
      </c>
      <c r="AH57" t="s">
        <v>1162</v>
      </c>
      <c r="AI57" t="s">
        <v>1162</v>
      </c>
      <c r="AJ57">
        <v>0</v>
      </c>
      <c r="AK57">
        <v>4524836</v>
      </c>
      <c r="AL57">
        <v>9459.6854820000008</v>
      </c>
      <c r="AM57">
        <v>4524818.3076990005</v>
      </c>
    </row>
    <row r="58" spans="1:39" x14ac:dyDescent="0.35">
      <c r="A58">
        <v>53</v>
      </c>
      <c r="B58">
        <v>1842</v>
      </c>
      <c r="C58" s="120">
        <f>_xlfn.XLOOKUP(B58,'Model VMT by TAZ'!A:A,'Model VMT by TAZ'!E:E,0)</f>
        <v>554510.73</v>
      </c>
      <c r="D58" s="120">
        <f>_xlfn.XLOOKUP(B58,'Other Model Data by TAZ'!A:A,'Other Model Data by TAZ'!G:G,0)</f>
        <v>260</v>
      </c>
      <c r="E58" s="117">
        <f>_xlfn.XLOOKUP(B58,'Model Modeshare by TAZ'!A:A,'Model Modeshare by TAZ'!E:E,0)+_xlfn.XLOOKUP(B58,'Model Modeshare by TAZ'!$A:$A,'Model Modeshare by TAZ'!F:F,0)</f>
        <v>67055.179999999993</v>
      </c>
      <c r="F58" s="117">
        <f>_xlfn.XLOOKUP(B58,'Model Modeshare by TAZ'!A:A,'Model Modeshare by TAZ'!$G:$G,0)</f>
        <v>5335.54</v>
      </c>
      <c r="G58" s="117">
        <f>_xlfn.XLOOKUP(B58,'Model Modeshare by TAZ'!A:A,'Model Modeshare by TAZ'!$J:$J,0)</f>
        <v>82932.36</v>
      </c>
      <c r="H58">
        <v>60900</v>
      </c>
      <c r="I58">
        <v>35937549</v>
      </c>
      <c r="L58">
        <v>54</v>
      </c>
      <c r="M58" t="s">
        <v>1161</v>
      </c>
      <c r="N58">
        <v>2644</v>
      </c>
      <c r="O58" s="120">
        <f>_xlfn.XLOOKUP(Q58,'Other Model Data by TAZ'!A:A,'Other Model Data by TAZ'!G:G,0)</f>
        <v>7180</v>
      </c>
      <c r="P58" s="120">
        <f>_xlfn.XLOOKUP(Q58, 'Model VMT by TAZ'!A:A,'Model VMT by TAZ'!E:E,0)</f>
        <v>137946.37</v>
      </c>
      <c r="Q58">
        <v>1909</v>
      </c>
      <c r="S58" t="s">
        <v>1162</v>
      </c>
      <c r="T58" t="s">
        <v>1162</v>
      </c>
      <c r="U58">
        <v>0</v>
      </c>
      <c r="V58">
        <v>19456934</v>
      </c>
      <c r="W58">
        <v>17618.764038000001</v>
      </c>
      <c r="X58">
        <v>19456855.678153999</v>
      </c>
      <c r="AA58">
        <v>59</v>
      </c>
      <c r="AB58" t="s">
        <v>1161</v>
      </c>
      <c r="AC58">
        <v>2655</v>
      </c>
      <c r="AD58" s="120">
        <f>_xlfn.XLOOKUP(AF58,'Other Model Data by TAZ'!A:A,'Other Model Data by TAZ'!G:G,0)</f>
        <v>0</v>
      </c>
      <c r="AE58" s="120">
        <f>_xlfn.XLOOKUP(AF58, 'Model VMT by TAZ'!A:A,'Model VMT by TAZ'!E:E,0)</f>
        <v>19964</v>
      </c>
      <c r="AF58">
        <v>1595</v>
      </c>
      <c r="AH58" t="s">
        <v>1162</v>
      </c>
      <c r="AI58" t="s">
        <v>1162</v>
      </c>
      <c r="AJ58">
        <v>0</v>
      </c>
      <c r="AK58">
        <v>7539078</v>
      </c>
      <c r="AL58">
        <v>15705.429971</v>
      </c>
      <c r="AM58">
        <v>7539047.4432849996</v>
      </c>
    </row>
    <row r="59" spans="1:39" x14ac:dyDescent="0.35">
      <c r="A59">
        <v>54</v>
      </c>
      <c r="B59">
        <v>1849</v>
      </c>
      <c r="C59" s="120">
        <f>_xlfn.XLOOKUP(B59,'Model VMT by TAZ'!A:A,'Model VMT by TAZ'!E:E,0)</f>
        <v>178148.94</v>
      </c>
      <c r="D59" s="120">
        <f>_xlfn.XLOOKUP(B59,'Other Model Data by TAZ'!A:A,'Other Model Data by TAZ'!G:G,0)</f>
        <v>4730</v>
      </c>
      <c r="E59" s="117">
        <f>_xlfn.XLOOKUP(B59,'Model Modeshare by TAZ'!A:A,'Model Modeshare by TAZ'!E:E,0)+_xlfn.XLOOKUP(B59,'Model Modeshare by TAZ'!$A:$A,'Model Modeshare by TAZ'!F:F,0)</f>
        <v>22089.68</v>
      </c>
      <c r="F59" s="117">
        <f>_xlfn.XLOOKUP(B59,'Model Modeshare by TAZ'!A:A,'Model Modeshare by TAZ'!$G:$G,0)</f>
        <v>1992.5</v>
      </c>
      <c r="G59" s="117">
        <f>_xlfn.XLOOKUP(B59,'Model Modeshare by TAZ'!A:A,'Model Modeshare by TAZ'!$J:$J,0)</f>
        <v>27693</v>
      </c>
      <c r="H59">
        <v>61000</v>
      </c>
      <c r="I59">
        <v>22897085</v>
      </c>
      <c r="L59">
        <v>55</v>
      </c>
      <c r="M59" t="s">
        <v>1161</v>
      </c>
      <c r="N59">
        <v>2649</v>
      </c>
      <c r="O59" s="120">
        <f>_xlfn.XLOOKUP(Q59,'Other Model Data by TAZ'!A:A,'Other Model Data by TAZ'!G:G,0)</f>
        <v>159</v>
      </c>
      <c r="P59" s="120">
        <f>_xlfn.XLOOKUP(Q59, 'Model VMT by TAZ'!A:A,'Model VMT by TAZ'!E:E,0)</f>
        <v>298291.71000000002</v>
      </c>
      <c r="Q59">
        <v>1640</v>
      </c>
      <c r="S59" t="s">
        <v>1162</v>
      </c>
      <c r="T59" t="s">
        <v>1162</v>
      </c>
      <c r="U59">
        <v>0</v>
      </c>
      <c r="V59">
        <v>24726812</v>
      </c>
      <c r="W59">
        <v>51707.882784000001</v>
      </c>
      <c r="X59">
        <v>24726712.616831999</v>
      </c>
      <c r="AA59">
        <v>60</v>
      </c>
      <c r="AB59" t="s">
        <v>1161</v>
      </c>
      <c r="AC59">
        <v>2656</v>
      </c>
      <c r="AD59" s="120">
        <f>_xlfn.XLOOKUP(AF59,'Other Model Data by TAZ'!A:A,'Other Model Data by TAZ'!G:G,0)</f>
        <v>0</v>
      </c>
      <c r="AE59" s="120">
        <f>_xlfn.XLOOKUP(AF59, 'Model VMT by TAZ'!A:A,'Model VMT by TAZ'!E:E,0)</f>
        <v>142550.98000000001</v>
      </c>
      <c r="AF59">
        <v>1644</v>
      </c>
      <c r="AH59" t="s">
        <v>1162</v>
      </c>
      <c r="AI59" t="s">
        <v>1162</v>
      </c>
      <c r="AJ59">
        <v>0</v>
      </c>
      <c r="AK59">
        <v>9398684</v>
      </c>
      <c r="AL59">
        <v>28653.621644999999</v>
      </c>
      <c r="AM59">
        <v>9398645.9240860008</v>
      </c>
    </row>
    <row r="60" spans="1:39" x14ac:dyDescent="0.35">
      <c r="A60">
        <v>55</v>
      </c>
      <c r="B60">
        <v>1716</v>
      </c>
      <c r="C60" s="120">
        <f>_xlfn.XLOOKUP(B60,'Model VMT by TAZ'!A:A,'Model VMT by TAZ'!E:E,0)</f>
        <v>582944.64</v>
      </c>
      <c r="D60" s="120">
        <f>_xlfn.XLOOKUP(B60,'Other Model Data by TAZ'!A:A,'Other Model Data by TAZ'!G:G,0)</f>
        <v>3934</v>
      </c>
      <c r="E60" s="117">
        <f>_xlfn.XLOOKUP(B60,'Model Modeshare by TAZ'!A:A,'Model Modeshare by TAZ'!E:E,0)+_xlfn.XLOOKUP(B60,'Model Modeshare by TAZ'!$A:$A,'Model Modeshare by TAZ'!F:F,0)</f>
        <v>70840.260000000009</v>
      </c>
      <c r="F60" s="117">
        <f>_xlfn.XLOOKUP(B60,'Model Modeshare by TAZ'!A:A,'Model Modeshare by TAZ'!$G:$G,0)</f>
        <v>52767.28</v>
      </c>
      <c r="G60" s="117">
        <f>_xlfn.XLOOKUP(B60,'Model Modeshare by TAZ'!A:A,'Model Modeshare by TAZ'!$J:$J,0)</f>
        <v>213780.18</v>
      </c>
      <c r="H60">
        <v>0</v>
      </c>
      <c r="I60">
        <v>5372539</v>
      </c>
      <c r="L60">
        <v>56</v>
      </c>
      <c r="M60" t="s">
        <v>1161</v>
      </c>
      <c r="N60">
        <v>2650</v>
      </c>
      <c r="O60" s="120">
        <f>_xlfn.XLOOKUP(Q60,'Other Model Data by TAZ'!A:A,'Other Model Data by TAZ'!G:G,0)</f>
        <v>0</v>
      </c>
      <c r="P60" s="120">
        <f>_xlfn.XLOOKUP(Q60, 'Model VMT by TAZ'!A:A,'Model VMT by TAZ'!E:E,0)</f>
        <v>389214.54</v>
      </c>
      <c r="Q60">
        <v>1641</v>
      </c>
      <c r="S60" t="s">
        <v>1162</v>
      </c>
      <c r="T60" t="s">
        <v>1162</v>
      </c>
      <c r="U60">
        <v>0</v>
      </c>
      <c r="V60">
        <v>21056755</v>
      </c>
      <c r="W60">
        <v>29061.126098000001</v>
      </c>
      <c r="X60">
        <v>21056670.545921002</v>
      </c>
      <c r="AA60">
        <v>61</v>
      </c>
      <c r="AB60" t="s">
        <v>1161</v>
      </c>
      <c r="AC60">
        <v>2657</v>
      </c>
      <c r="AD60" s="120">
        <f>_xlfn.XLOOKUP(AF60,'Other Model Data by TAZ'!A:A,'Other Model Data by TAZ'!G:G,0)</f>
        <v>1029</v>
      </c>
      <c r="AE60" s="120">
        <f>_xlfn.XLOOKUP(AF60, 'Model VMT by TAZ'!A:A,'Model VMT by TAZ'!E:E,0)</f>
        <v>30616.799999999999</v>
      </c>
      <c r="AF60">
        <v>1525</v>
      </c>
      <c r="AH60" t="s">
        <v>1162</v>
      </c>
      <c r="AI60" t="s">
        <v>1162</v>
      </c>
      <c r="AJ60">
        <v>0</v>
      </c>
      <c r="AK60">
        <v>3329192</v>
      </c>
      <c r="AL60">
        <v>10173.796066000001</v>
      </c>
      <c r="AM60">
        <v>3329178.9766370002</v>
      </c>
    </row>
    <row r="61" spans="1:39" x14ac:dyDescent="0.35">
      <c r="A61">
        <v>56</v>
      </c>
      <c r="B61">
        <v>1717</v>
      </c>
      <c r="C61" s="120">
        <f>_xlfn.XLOOKUP(B61,'Model VMT by TAZ'!A:A,'Model VMT by TAZ'!E:E,0)</f>
        <v>270965.78000000003</v>
      </c>
      <c r="D61" s="120">
        <f>_xlfn.XLOOKUP(B61,'Other Model Data by TAZ'!A:A,'Other Model Data by TAZ'!G:G,0)</f>
        <v>7497</v>
      </c>
      <c r="E61" s="117">
        <f>_xlfn.XLOOKUP(B61,'Model Modeshare by TAZ'!A:A,'Model Modeshare by TAZ'!E:E,0)+_xlfn.XLOOKUP(B61,'Model Modeshare by TAZ'!$A:$A,'Model Modeshare by TAZ'!F:F,0)</f>
        <v>57750.86</v>
      </c>
      <c r="F61" s="117">
        <f>_xlfn.XLOOKUP(B61,'Model Modeshare by TAZ'!A:A,'Model Modeshare by TAZ'!$G:$G,0)</f>
        <v>33122.879999999997</v>
      </c>
      <c r="G61" s="117">
        <f>_xlfn.XLOOKUP(B61,'Model Modeshare by TAZ'!A:A,'Model Modeshare by TAZ'!$J:$J,0)</f>
        <v>146646.29999999999</v>
      </c>
      <c r="H61">
        <v>0</v>
      </c>
      <c r="I61">
        <v>6632304</v>
      </c>
      <c r="L61">
        <v>57</v>
      </c>
      <c r="M61" t="s">
        <v>1161</v>
      </c>
      <c r="N61">
        <v>2651</v>
      </c>
      <c r="O61" s="120">
        <f>_xlfn.XLOOKUP(Q61,'Other Model Data by TAZ'!A:A,'Other Model Data by TAZ'!G:G,0)</f>
        <v>0</v>
      </c>
      <c r="P61" s="120">
        <f>_xlfn.XLOOKUP(Q61, 'Model VMT by TAZ'!A:A,'Model VMT by TAZ'!E:E,0)</f>
        <v>137710.24</v>
      </c>
      <c r="Q61">
        <v>1642</v>
      </c>
      <c r="S61" t="s">
        <v>1162</v>
      </c>
      <c r="T61" t="s">
        <v>1162</v>
      </c>
      <c r="U61">
        <v>0</v>
      </c>
      <c r="V61">
        <v>10811189</v>
      </c>
      <c r="W61">
        <v>16892.210079</v>
      </c>
      <c r="X61">
        <v>10811145.557618</v>
      </c>
      <c r="AA61">
        <v>62</v>
      </c>
      <c r="AB61" t="s">
        <v>1161</v>
      </c>
      <c r="AC61">
        <v>2659</v>
      </c>
      <c r="AD61" s="120">
        <f>_xlfn.XLOOKUP(AF61,'Other Model Data by TAZ'!A:A,'Other Model Data by TAZ'!G:G,0)</f>
        <v>1585</v>
      </c>
      <c r="AE61" s="120">
        <f>_xlfn.XLOOKUP(AF61, 'Model VMT by TAZ'!A:A,'Model VMT by TAZ'!E:E,0)</f>
        <v>135024.21</v>
      </c>
      <c r="AF61">
        <v>1651</v>
      </c>
      <c r="AH61" t="s">
        <v>1162</v>
      </c>
      <c r="AI61" t="s">
        <v>1162</v>
      </c>
      <c r="AJ61">
        <v>0</v>
      </c>
      <c r="AK61">
        <v>6077027</v>
      </c>
      <c r="AL61">
        <v>13605.706652000001</v>
      </c>
      <c r="AM61">
        <v>6077002.2390010003</v>
      </c>
    </row>
    <row r="62" spans="1:39" x14ac:dyDescent="0.35">
      <c r="A62">
        <v>57</v>
      </c>
      <c r="B62">
        <v>1718</v>
      </c>
      <c r="C62" s="120">
        <f>_xlfn.XLOOKUP(B62,'Model VMT by TAZ'!A:A,'Model VMT by TAZ'!E:E,0)</f>
        <v>191398.71</v>
      </c>
      <c r="D62" s="120">
        <f>_xlfn.XLOOKUP(B62,'Other Model Data by TAZ'!A:A,'Other Model Data by TAZ'!G:G,0)</f>
        <v>2175</v>
      </c>
      <c r="E62" s="117">
        <f>_xlfn.XLOOKUP(B62,'Model Modeshare by TAZ'!A:A,'Model Modeshare by TAZ'!E:E,0)+_xlfn.XLOOKUP(B62,'Model Modeshare by TAZ'!$A:$A,'Model Modeshare by TAZ'!F:F,0)</f>
        <v>21118.48</v>
      </c>
      <c r="F62" s="117">
        <f>_xlfn.XLOOKUP(B62,'Model Modeshare by TAZ'!A:A,'Model Modeshare by TAZ'!$G:$G,0)</f>
        <v>8774.98</v>
      </c>
      <c r="G62" s="117">
        <f>_xlfn.XLOOKUP(B62,'Model Modeshare by TAZ'!A:A,'Model Modeshare by TAZ'!$J:$J,0)</f>
        <v>44750.28</v>
      </c>
      <c r="H62">
        <v>0</v>
      </c>
      <c r="I62">
        <v>4671935</v>
      </c>
      <c r="L62">
        <v>58</v>
      </c>
      <c r="M62" t="s">
        <v>1161</v>
      </c>
      <c r="N62">
        <v>2654</v>
      </c>
      <c r="O62" s="120">
        <f>_xlfn.XLOOKUP(Q62,'Other Model Data by TAZ'!A:A,'Other Model Data by TAZ'!G:G,0)</f>
        <v>18</v>
      </c>
      <c r="P62" s="120">
        <f>_xlfn.XLOOKUP(Q62, 'Model VMT by TAZ'!A:A,'Model VMT by TAZ'!E:E,0)</f>
        <v>259642.16</v>
      </c>
      <c r="Q62">
        <v>1934</v>
      </c>
      <c r="S62" t="s">
        <v>1162</v>
      </c>
      <c r="T62" t="s">
        <v>1162</v>
      </c>
      <c r="U62">
        <v>0</v>
      </c>
      <c r="V62">
        <v>4524836</v>
      </c>
      <c r="W62">
        <v>9459.6854820000008</v>
      </c>
      <c r="X62">
        <v>4524818.3076990005</v>
      </c>
      <c r="AA62">
        <v>63</v>
      </c>
      <c r="AB62" t="s">
        <v>1161</v>
      </c>
      <c r="AC62">
        <v>2661</v>
      </c>
      <c r="AD62" s="120">
        <f>_xlfn.XLOOKUP(AF62,'Other Model Data by TAZ'!A:A,'Other Model Data by TAZ'!G:G,0)</f>
        <v>0</v>
      </c>
      <c r="AE62" s="120">
        <f>_xlfn.XLOOKUP(AF62, 'Model VMT by TAZ'!A:A,'Model VMT by TAZ'!E:E,0)</f>
        <v>10630.82</v>
      </c>
      <c r="AF62">
        <v>1527</v>
      </c>
      <c r="AH62" t="s">
        <v>1162</v>
      </c>
      <c r="AI62" t="s">
        <v>1162</v>
      </c>
      <c r="AJ62">
        <v>0</v>
      </c>
      <c r="AK62">
        <v>2363706</v>
      </c>
      <c r="AL62">
        <v>6817.3090990000001</v>
      </c>
      <c r="AM62">
        <v>2363696.3386229998</v>
      </c>
    </row>
    <row r="63" spans="1:39" x14ac:dyDescent="0.35">
      <c r="A63">
        <v>58</v>
      </c>
      <c r="B63">
        <v>1719</v>
      </c>
      <c r="C63" s="120">
        <f>_xlfn.XLOOKUP(B63,'Model VMT by TAZ'!A:A,'Model VMT by TAZ'!E:E,0)</f>
        <v>262141.91</v>
      </c>
      <c r="D63" s="120">
        <f>_xlfn.XLOOKUP(B63,'Other Model Data by TAZ'!A:A,'Other Model Data by TAZ'!G:G,0)</f>
        <v>1104</v>
      </c>
      <c r="E63" s="117">
        <f>_xlfn.XLOOKUP(B63,'Model Modeshare by TAZ'!A:A,'Model Modeshare by TAZ'!E:E,0)+_xlfn.XLOOKUP(B63,'Model Modeshare by TAZ'!$A:$A,'Model Modeshare by TAZ'!F:F,0)</f>
        <v>37801.58</v>
      </c>
      <c r="F63" s="117">
        <f>_xlfn.XLOOKUP(B63,'Model Modeshare by TAZ'!A:A,'Model Modeshare by TAZ'!$G:$G,0)</f>
        <v>12460.54</v>
      </c>
      <c r="G63" s="117">
        <f>_xlfn.XLOOKUP(B63,'Model Modeshare by TAZ'!A:A,'Model Modeshare by TAZ'!$J:$J,0)</f>
        <v>72171.06</v>
      </c>
      <c r="H63">
        <v>0</v>
      </c>
      <c r="I63">
        <v>5461098</v>
      </c>
      <c r="L63">
        <v>59</v>
      </c>
      <c r="M63" t="s">
        <v>1161</v>
      </c>
      <c r="N63">
        <v>2655</v>
      </c>
      <c r="O63" s="120">
        <f>_xlfn.XLOOKUP(Q63,'Other Model Data by TAZ'!A:A,'Other Model Data by TAZ'!G:G,0)</f>
        <v>0</v>
      </c>
      <c r="P63" s="120">
        <f>_xlfn.XLOOKUP(Q63, 'Model VMT by TAZ'!A:A,'Model VMT by TAZ'!E:E,0)</f>
        <v>19964</v>
      </c>
      <c r="Q63">
        <v>1595</v>
      </c>
      <c r="S63" t="s">
        <v>1162</v>
      </c>
      <c r="T63" t="s">
        <v>1162</v>
      </c>
      <c r="U63">
        <v>0</v>
      </c>
      <c r="V63">
        <v>7539078</v>
      </c>
      <c r="W63">
        <v>15705.429971</v>
      </c>
      <c r="X63">
        <v>7539047.4432849996</v>
      </c>
      <c r="AA63">
        <v>64</v>
      </c>
      <c r="AB63" t="s">
        <v>1161</v>
      </c>
      <c r="AC63">
        <v>2662</v>
      </c>
      <c r="AD63" s="120">
        <f>_xlfn.XLOOKUP(AF63,'Other Model Data by TAZ'!A:A,'Other Model Data by TAZ'!G:G,0)</f>
        <v>1578</v>
      </c>
      <c r="AE63" s="120">
        <f>_xlfn.XLOOKUP(AF63, 'Model VMT by TAZ'!A:A,'Model VMT by TAZ'!E:E,0)</f>
        <v>37847.75</v>
      </c>
      <c r="AF63">
        <v>1524</v>
      </c>
      <c r="AH63" t="s">
        <v>1162</v>
      </c>
      <c r="AI63" t="s">
        <v>1162</v>
      </c>
      <c r="AJ63">
        <v>0</v>
      </c>
      <c r="AK63">
        <v>2540662</v>
      </c>
      <c r="AL63">
        <v>6259.4063079999996</v>
      </c>
      <c r="AM63">
        <v>2540651.5434269998</v>
      </c>
    </row>
    <row r="64" spans="1:39" x14ac:dyDescent="0.35">
      <c r="A64">
        <v>59</v>
      </c>
      <c r="B64">
        <v>1721</v>
      </c>
      <c r="C64" s="120">
        <f>_xlfn.XLOOKUP(B64,'Model VMT by TAZ'!A:A,'Model VMT by TAZ'!E:E,0)</f>
        <v>158121.65</v>
      </c>
      <c r="D64" s="120">
        <f>_xlfn.XLOOKUP(B64,'Other Model Data by TAZ'!A:A,'Other Model Data by TAZ'!G:G,0)</f>
        <v>4231</v>
      </c>
      <c r="E64" s="117">
        <f>_xlfn.XLOOKUP(B64,'Model Modeshare by TAZ'!A:A,'Model Modeshare by TAZ'!E:E,0)+_xlfn.XLOOKUP(B64,'Model Modeshare by TAZ'!$A:$A,'Model Modeshare by TAZ'!F:F,0)</f>
        <v>27343.739999999998</v>
      </c>
      <c r="F64" s="117">
        <f>_xlfn.XLOOKUP(B64,'Model Modeshare by TAZ'!A:A,'Model Modeshare by TAZ'!$G:$G,0)</f>
        <v>16293.8</v>
      </c>
      <c r="G64" s="117">
        <f>_xlfn.XLOOKUP(B64,'Model Modeshare by TAZ'!A:A,'Model Modeshare by TAZ'!$J:$J,0)</f>
        <v>73355.399999999994</v>
      </c>
      <c r="H64">
        <v>0</v>
      </c>
      <c r="I64">
        <v>3434408</v>
      </c>
      <c r="L64">
        <v>60</v>
      </c>
      <c r="M64" t="s">
        <v>1161</v>
      </c>
      <c r="N64">
        <v>2656</v>
      </c>
      <c r="O64" s="120">
        <f>_xlfn.XLOOKUP(Q64,'Other Model Data by TAZ'!A:A,'Other Model Data by TAZ'!G:G,0)</f>
        <v>0</v>
      </c>
      <c r="P64" s="120">
        <f>_xlfn.XLOOKUP(Q64, 'Model VMT by TAZ'!A:A,'Model VMT by TAZ'!E:E,0)</f>
        <v>142550.98000000001</v>
      </c>
      <c r="Q64">
        <v>1644</v>
      </c>
      <c r="S64" t="s">
        <v>1162</v>
      </c>
      <c r="T64" t="s">
        <v>1162</v>
      </c>
      <c r="U64">
        <v>0</v>
      </c>
      <c r="V64">
        <v>9398684</v>
      </c>
      <c r="W64">
        <v>28653.621644999999</v>
      </c>
      <c r="X64">
        <v>9398645.9240860008</v>
      </c>
      <c r="AA64">
        <v>65</v>
      </c>
      <c r="AB64" t="s">
        <v>1161</v>
      </c>
      <c r="AC64">
        <v>2663</v>
      </c>
      <c r="AD64" s="120">
        <f>_xlfn.XLOOKUP(AF64,'Other Model Data by TAZ'!A:A,'Other Model Data by TAZ'!G:G,0)</f>
        <v>1663</v>
      </c>
      <c r="AE64" s="120">
        <f>_xlfn.XLOOKUP(AF64, 'Model VMT by TAZ'!A:A,'Model VMT by TAZ'!E:E,0)</f>
        <v>107162.11</v>
      </c>
      <c r="AF64">
        <v>1600</v>
      </c>
      <c r="AH64" t="s">
        <v>1162</v>
      </c>
      <c r="AI64" t="s">
        <v>1162</v>
      </c>
      <c r="AJ64">
        <v>0</v>
      </c>
      <c r="AK64">
        <v>2748815</v>
      </c>
      <c r="AL64">
        <v>8269.2172609999998</v>
      </c>
      <c r="AM64">
        <v>2748804.473979</v>
      </c>
    </row>
    <row r="65" spans="1:39" x14ac:dyDescent="0.35">
      <c r="A65">
        <v>60</v>
      </c>
      <c r="B65">
        <v>1808</v>
      </c>
      <c r="C65" s="120">
        <f>_xlfn.XLOOKUP(B65,'Model VMT by TAZ'!A:A,'Model VMT by TAZ'!E:E,0)</f>
        <v>158560.72</v>
      </c>
      <c r="D65" s="120">
        <f>_xlfn.XLOOKUP(B65,'Other Model Data by TAZ'!A:A,'Other Model Data by TAZ'!G:G,0)</f>
        <v>854</v>
      </c>
      <c r="E65" s="117">
        <f>_xlfn.XLOOKUP(B65,'Model Modeshare by TAZ'!A:A,'Model Modeshare by TAZ'!E:E,0)+_xlfn.XLOOKUP(B65,'Model Modeshare by TAZ'!$A:$A,'Model Modeshare by TAZ'!F:F,0)</f>
        <v>20579.04</v>
      </c>
      <c r="F65" s="117">
        <f>_xlfn.XLOOKUP(B65,'Model Modeshare by TAZ'!A:A,'Model Modeshare by TAZ'!$G:$G,0)</f>
        <v>2666.06</v>
      </c>
      <c r="G65" s="117">
        <f>_xlfn.XLOOKUP(B65,'Model Modeshare by TAZ'!A:A,'Model Modeshare by TAZ'!$J:$J,0)</f>
        <v>28792.560000000001</v>
      </c>
      <c r="H65">
        <v>0</v>
      </c>
      <c r="I65">
        <v>4951999</v>
      </c>
      <c r="L65">
        <v>61</v>
      </c>
      <c r="M65" t="s">
        <v>1161</v>
      </c>
      <c r="N65">
        <v>2657</v>
      </c>
      <c r="O65" s="120">
        <f>_xlfn.XLOOKUP(Q65,'Other Model Data by TAZ'!A:A,'Other Model Data by TAZ'!G:G,0)</f>
        <v>1029</v>
      </c>
      <c r="P65" s="120">
        <f>_xlfn.XLOOKUP(Q65, 'Model VMT by TAZ'!A:A,'Model VMT by TAZ'!E:E,0)</f>
        <v>30616.799999999999</v>
      </c>
      <c r="Q65">
        <v>1525</v>
      </c>
      <c r="S65" t="s">
        <v>1162</v>
      </c>
      <c r="T65" t="s">
        <v>1162</v>
      </c>
      <c r="U65">
        <v>0</v>
      </c>
      <c r="V65">
        <v>3329192</v>
      </c>
      <c r="W65">
        <v>10173.796066000001</v>
      </c>
      <c r="X65">
        <v>3329178.9766370002</v>
      </c>
      <c r="AA65">
        <v>66</v>
      </c>
      <c r="AB65" t="s">
        <v>1161</v>
      </c>
      <c r="AC65">
        <v>2669</v>
      </c>
      <c r="AD65" s="120">
        <f>_xlfn.XLOOKUP(AF65,'Other Model Data by TAZ'!A:A,'Other Model Data by TAZ'!G:G,0)</f>
        <v>73</v>
      </c>
      <c r="AE65" s="120">
        <f>_xlfn.XLOOKUP(AF65, 'Model VMT by TAZ'!A:A,'Model VMT by TAZ'!E:E,0)</f>
        <v>102440.68</v>
      </c>
      <c r="AF65">
        <v>1646</v>
      </c>
      <c r="AH65" t="s">
        <v>1162</v>
      </c>
      <c r="AI65" t="s">
        <v>1162</v>
      </c>
      <c r="AJ65">
        <v>0</v>
      </c>
      <c r="AK65">
        <v>5992428</v>
      </c>
      <c r="AL65">
        <v>11503.756969</v>
      </c>
      <c r="AM65">
        <v>5992404.4262760002</v>
      </c>
    </row>
    <row r="66" spans="1:39" x14ac:dyDescent="0.35">
      <c r="A66">
        <v>61</v>
      </c>
      <c r="B66">
        <v>1809</v>
      </c>
      <c r="C66" s="120">
        <f>_xlfn.XLOOKUP(B66,'Model VMT by TAZ'!A:A,'Model VMT by TAZ'!E:E,0)</f>
        <v>317121.98</v>
      </c>
      <c r="D66" s="120">
        <f>_xlfn.XLOOKUP(B66,'Other Model Data by TAZ'!A:A,'Other Model Data by TAZ'!G:G,0)</f>
        <v>7363</v>
      </c>
      <c r="E66" s="117">
        <f>_xlfn.XLOOKUP(B66,'Model Modeshare by TAZ'!A:A,'Model Modeshare by TAZ'!E:E,0)+_xlfn.XLOOKUP(B66,'Model Modeshare by TAZ'!$A:$A,'Model Modeshare by TAZ'!F:F,0)</f>
        <v>35304.959999999999</v>
      </c>
      <c r="F66" s="117">
        <f>_xlfn.XLOOKUP(B66,'Model Modeshare by TAZ'!A:A,'Model Modeshare by TAZ'!$G:$G,0)</f>
        <v>10140.86</v>
      </c>
      <c r="G66" s="117">
        <f>_xlfn.XLOOKUP(B66,'Model Modeshare by TAZ'!A:A,'Model Modeshare by TAZ'!$J:$J,0)</f>
        <v>65348.800000000003</v>
      </c>
      <c r="H66">
        <v>0</v>
      </c>
      <c r="I66">
        <v>7085968</v>
      </c>
      <c r="L66">
        <v>62</v>
      </c>
      <c r="M66" t="s">
        <v>1161</v>
      </c>
      <c r="N66">
        <v>2659</v>
      </c>
      <c r="O66" s="120">
        <f>_xlfn.XLOOKUP(Q66,'Other Model Data by TAZ'!A:A,'Other Model Data by TAZ'!G:G,0)</f>
        <v>1585</v>
      </c>
      <c r="P66" s="120">
        <f>_xlfn.XLOOKUP(Q66, 'Model VMT by TAZ'!A:A,'Model VMT by TAZ'!E:E,0)</f>
        <v>135024.21</v>
      </c>
      <c r="Q66">
        <v>1651</v>
      </c>
      <c r="S66" t="s">
        <v>1162</v>
      </c>
      <c r="T66" t="s">
        <v>1162</v>
      </c>
      <c r="U66">
        <v>0</v>
      </c>
      <c r="V66">
        <v>6077027</v>
      </c>
      <c r="W66">
        <v>13605.706652000001</v>
      </c>
      <c r="X66">
        <v>6077002.2390010003</v>
      </c>
      <c r="AA66">
        <v>67</v>
      </c>
      <c r="AB66" t="s">
        <v>1161</v>
      </c>
      <c r="AC66">
        <v>2696</v>
      </c>
      <c r="AD66" s="120">
        <f>_xlfn.XLOOKUP(AF66,'Other Model Data by TAZ'!A:A,'Other Model Data by TAZ'!G:G,0)</f>
        <v>1628</v>
      </c>
      <c r="AE66" s="120">
        <f>_xlfn.XLOOKUP(AF66, 'Model VMT by TAZ'!A:A,'Model VMT by TAZ'!E:E,0)</f>
        <v>162922.60999999999</v>
      </c>
      <c r="AF66">
        <v>1529</v>
      </c>
      <c r="AH66" t="s">
        <v>1162</v>
      </c>
      <c r="AI66" t="s">
        <v>1162</v>
      </c>
      <c r="AJ66">
        <v>0</v>
      </c>
      <c r="AK66">
        <v>4898220</v>
      </c>
      <c r="AL66">
        <v>10912.931019</v>
      </c>
      <c r="AM66">
        <v>4898200.3576339995</v>
      </c>
    </row>
    <row r="67" spans="1:39" x14ac:dyDescent="0.35">
      <c r="A67">
        <v>62</v>
      </c>
      <c r="B67">
        <v>1810</v>
      </c>
      <c r="C67" s="120">
        <f>_xlfn.XLOOKUP(B67,'Model VMT by TAZ'!A:A,'Model VMT by TAZ'!E:E,0)</f>
        <v>133688.32000000001</v>
      </c>
      <c r="D67" s="120">
        <f>_xlfn.XLOOKUP(B67,'Other Model Data by TAZ'!A:A,'Other Model Data by TAZ'!G:G,0)</f>
        <v>2312</v>
      </c>
      <c r="E67" s="117">
        <f>_xlfn.XLOOKUP(B67,'Model Modeshare by TAZ'!A:A,'Model Modeshare by TAZ'!E:E,0)+_xlfn.XLOOKUP(B67,'Model Modeshare by TAZ'!$A:$A,'Model Modeshare by TAZ'!F:F,0)</f>
        <v>9731.1200000000008</v>
      </c>
      <c r="F67" s="117">
        <f>_xlfn.XLOOKUP(B67,'Model Modeshare by TAZ'!A:A,'Model Modeshare by TAZ'!$G:$G,0)</f>
        <v>1900.68</v>
      </c>
      <c r="G67" s="117">
        <f>_xlfn.XLOOKUP(B67,'Model Modeshare by TAZ'!A:A,'Model Modeshare by TAZ'!$J:$J,0)</f>
        <v>15123.14</v>
      </c>
      <c r="H67">
        <v>0</v>
      </c>
      <c r="I67">
        <v>12016791</v>
      </c>
      <c r="L67">
        <v>63</v>
      </c>
      <c r="M67" t="s">
        <v>1161</v>
      </c>
      <c r="N67">
        <v>2661</v>
      </c>
      <c r="O67" s="120">
        <f>_xlfn.XLOOKUP(Q67,'Other Model Data by TAZ'!A:A,'Other Model Data by TAZ'!G:G,0)</f>
        <v>0</v>
      </c>
      <c r="P67" s="120">
        <f>_xlfn.XLOOKUP(Q67, 'Model VMT by TAZ'!A:A,'Model VMT by TAZ'!E:E,0)</f>
        <v>10630.82</v>
      </c>
      <c r="Q67">
        <v>1527</v>
      </c>
      <c r="S67" t="s">
        <v>1162</v>
      </c>
      <c r="T67" t="s">
        <v>1162</v>
      </c>
      <c r="U67">
        <v>0</v>
      </c>
      <c r="V67">
        <v>2363706</v>
      </c>
      <c r="W67">
        <v>6817.3090990000001</v>
      </c>
      <c r="X67">
        <v>2363696.3386229998</v>
      </c>
      <c r="AA67">
        <v>68</v>
      </c>
      <c r="AB67" t="s">
        <v>1161</v>
      </c>
      <c r="AC67">
        <v>2698</v>
      </c>
      <c r="AD67" s="120">
        <f>_xlfn.XLOOKUP(AF67,'Other Model Data by TAZ'!A:A,'Other Model Data by TAZ'!G:G,0)</f>
        <v>874</v>
      </c>
      <c r="AE67" s="120">
        <f>_xlfn.XLOOKUP(AF67, 'Model VMT by TAZ'!A:A,'Model VMT by TAZ'!E:E,0)</f>
        <v>21227.52</v>
      </c>
      <c r="AF67">
        <v>1528</v>
      </c>
      <c r="AH67" t="s">
        <v>1162</v>
      </c>
      <c r="AI67" t="s">
        <v>1162</v>
      </c>
      <c r="AJ67">
        <v>0</v>
      </c>
      <c r="AK67">
        <v>4615775</v>
      </c>
      <c r="AL67">
        <v>9886.4237240000002</v>
      </c>
      <c r="AM67">
        <v>4615756.7737870002</v>
      </c>
    </row>
    <row r="68" spans="1:39" x14ac:dyDescent="0.35">
      <c r="A68">
        <v>63</v>
      </c>
      <c r="B68">
        <v>373</v>
      </c>
      <c r="C68" s="120">
        <f>_xlfn.XLOOKUP(B68,'Model VMT by TAZ'!A:A,'Model VMT by TAZ'!E:E,0)</f>
        <v>17149.14</v>
      </c>
      <c r="D68" s="120">
        <f>_xlfn.XLOOKUP(B68,'Other Model Data by TAZ'!A:A,'Other Model Data by TAZ'!G:G,0)</f>
        <v>595</v>
      </c>
      <c r="E68" s="117">
        <f>_xlfn.XLOOKUP(B68,'Model Modeshare by TAZ'!A:A,'Model Modeshare by TAZ'!E:E,0)+_xlfn.XLOOKUP(B68,'Model Modeshare by TAZ'!$A:$A,'Model Modeshare by TAZ'!F:F,0)</f>
        <v>2602.38</v>
      </c>
      <c r="F68" s="117">
        <f>_xlfn.XLOOKUP(B68,'Model Modeshare by TAZ'!A:A,'Model Modeshare by TAZ'!$G:$G,0)</f>
        <v>64.02</v>
      </c>
      <c r="G68" s="117">
        <f>_xlfn.XLOOKUP(B68,'Model Modeshare by TAZ'!A:A,'Model Modeshare by TAZ'!$J:$J,0)</f>
        <v>2977.8</v>
      </c>
      <c r="H68">
        <v>509700</v>
      </c>
      <c r="I68">
        <v>2072269</v>
      </c>
      <c r="L68">
        <v>64</v>
      </c>
      <c r="M68" t="s">
        <v>1161</v>
      </c>
      <c r="N68">
        <v>2662</v>
      </c>
      <c r="O68" s="120">
        <f>_xlfn.XLOOKUP(Q68,'Other Model Data by TAZ'!A:A,'Other Model Data by TAZ'!G:G,0)</f>
        <v>1578</v>
      </c>
      <c r="P68" s="120">
        <f>_xlfn.XLOOKUP(Q68, 'Model VMT by TAZ'!A:A,'Model VMT by TAZ'!E:E,0)</f>
        <v>37847.75</v>
      </c>
      <c r="Q68">
        <v>1524</v>
      </c>
      <c r="S68" t="s">
        <v>1162</v>
      </c>
      <c r="T68" t="s">
        <v>1162</v>
      </c>
      <c r="U68">
        <v>0</v>
      </c>
      <c r="V68">
        <v>2540662</v>
      </c>
      <c r="W68">
        <v>6259.4063079999996</v>
      </c>
      <c r="X68">
        <v>2540651.5434269998</v>
      </c>
      <c r="AA68">
        <v>69</v>
      </c>
      <c r="AB68" t="s">
        <v>1161</v>
      </c>
      <c r="AC68">
        <v>2700</v>
      </c>
      <c r="AD68" s="120">
        <f>_xlfn.XLOOKUP(AF68,'Other Model Data by TAZ'!A:A,'Other Model Data by TAZ'!G:G,0)</f>
        <v>1548</v>
      </c>
      <c r="AE68" s="120">
        <f>_xlfn.XLOOKUP(AF68, 'Model VMT by TAZ'!A:A,'Model VMT by TAZ'!E:E,0)</f>
        <v>41674.65</v>
      </c>
      <c r="AF68">
        <v>1534</v>
      </c>
      <c r="AH68" t="s">
        <v>1162</v>
      </c>
      <c r="AI68" t="s">
        <v>1162</v>
      </c>
      <c r="AJ68">
        <v>0</v>
      </c>
      <c r="AK68">
        <v>18421840</v>
      </c>
      <c r="AL68">
        <v>29724.264662000001</v>
      </c>
      <c r="AM68">
        <v>18421766.435952999</v>
      </c>
    </row>
    <row r="69" spans="1:39" x14ac:dyDescent="0.35">
      <c r="A69">
        <v>64</v>
      </c>
      <c r="B69">
        <v>422</v>
      </c>
      <c r="C69" s="120">
        <f>_xlfn.XLOOKUP(B69,'Model VMT by TAZ'!A:A,'Model VMT by TAZ'!E:E,0)</f>
        <v>87154.81</v>
      </c>
      <c r="D69" s="120">
        <f>_xlfn.XLOOKUP(B69,'Other Model Data by TAZ'!A:A,'Other Model Data by TAZ'!G:G,0)</f>
        <v>32</v>
      </c>
      <c r="E69" s="117">
        <f>_xlfn.XLOOKUP(B69,'Model Modeshare by TAZ'!A:A,'Model Modeshare by TAZ'!E:E,0)+_xlfn.XLOOKUP(B69,'Model Modeshare by TAZ'!$A:$A,'Model Modeshare by TAZ'!F:F,0)</f>
        <v>7554.16</v>
      </c>
      <c r="F69" s="117">
        <f>_xlfn.XLOOKUP(B69,'Model Modeshare by TAZ'!A:A,'Model Modeshare by TAZ'!$G:$G,0)</f>
        <v>476.88</v>
      </c>
      <c r="G69" s="117">
        <f>_xlfn.XLOOKUP(B69,'Model Modeshare by TAZ'!A:A,'Model Modeshare by TAZ'!$J:$J,0)</f>
        <v>8899.2800000000007</v>
      </c>
      <c r="H69">
        <v>511703</v>
      </c>
      <c r="I69">
        <v>2546127</v>
      </c>
      <c r="L69">
        <v>65</v>
      </c>
      <c r="M69" t="s">
        <v>1161</v>
      </c>
      <c r="N69">
        <v>2663</v>
      </c>
      <c r="O69" s="120">
        <f>_xlfn.XLOOKUP(Q69,'Other Model Data by TAZ'!A:A,'Other Model Data by TAZ'!G:G,0)</f>
        <v>1663</v>
      </c>
      <c r="P69" s="120">
        <f>_xlfn.XLOOKUP(Q69, 'Model VMT by TAZ'!A:A,'Model VMT by TAZ'!E:E,0)</f>
        <v>107162.11</v>
      </c>
      <c r="Q69">
        <v>1600</v>
      </c>
      <c r="S69" t="s">
        <v>1162</v>
      </c>
      <c r="T69" t="s">
        <v>1162</v>
      </c>
      <c r="U69">
        <v>0</v>
      </c>
      <c r="V69">
        <v>2748815</v>
      </c>
      <c r="W69">
        <v>8269.2172609999998</v>
      </c>
      <c r="X69">
        <v>2748804.473979</v>
      </c>
      <c r="AA69">
        <v>70</v>
      </c>
      <c r="AB69" t="s">
        <v>1161</v>
      </c>
      <c r="AC69">
        <v>2701</v>
      </c>
      <c r="AD69" s="120">
        <f>_xlfn.XLOOKUP(AF69,'Other Model Data by TAZ'!A:A,'Other Model Data by TAZ'!G:G,0)</f>
        <v>2176</v>
      </c>
      <c r="AE69" s="120">
        <f>_xlfn.XLOOKUP(AF69, 'Model VMT by TAZ'!A:A,'Model VMT by TAZ'!E:E,0)</f>
        <v>74560.72</v>
      </c>
      <c r="AF69">
        <v>1532</v>
      </c>
      <c r="AH69" t="s">
        <v>1162</v>
      </c>
      <c r="AI69" t="s">
        <v>1162</v>
      </c>
      <c r="AJ69">
        <v>0</v>
      </c>
      <c r="AK69">
        <v>6036163</v>
      </c>
      <c r="AL69">
        <v>10405.622888</v>
      </c>
      <c r="AM69">
        <v>6036138.9599059997</v>
      </c>
    </row>
    <row r="70" spans="1:39" x14ac:dyDescent="0.35">
      <c r="A70">
        <v>65</v>
      </c>
      <c r="B70">
        <v>423</v>
      </c>
      <c r="C70" s="120">
        <f>_xlfn.XLOOKUP(B70,'Model VMT by TAZ'!A:A,'Model VMT by TAZ'!E:E,0)</f>
        <v>87522.66</v>
      </c>
      <c r="D70" s="120">
        <f>_xlfn.XLOOKUP(B70,'Other Model Data by TAZ'!A:A,'Other Model Data by TAZ'!G:G,0)</f>
        <v>0</v>
      </c>
      <c r="E70" s="117">
        <f>_xlfn.XLOOKUP(B70,'Model Modeshare by TAZ'!A:A,'Model Modeshare by TAZ'!E:E,0)+_xlfn.XLOOKUP(B70,'Model Modeshare by TAZ'!$A:$A,'Model Modeshare by TAZ'!F:F,0)</f>
        <v>7475.76</v>
      </c>
      <c r="F70" s="117">
        <f>_xlfn.XLOOKUP(B70,'Model Modeshare by TAZ'!A:A,'Model Modeshare by TAZ'!$G:$G,0)</f>
        <v>595.38</v>
      </c>
      <c r="G70" s="117">
        <f>_xlfn.XLOOKUP(B70,'Model Modeshare by TAZ'!A:A,'Model Modeshare by TAZ'!$J:$J,0)</f>
        <v>9102.1</v>
      </c>
      <c r="H70">
        <v>511703</v>
      </c>
      <c r="I70">
        <v>3177379</v>
      </c>
      <c r="L70">
        <v>66</v>
      </c>
      <c r="M70" t="s">
        <v>1161</v>
      </c>
      <c r="N70">
        <v>2669</v>
      </c>
      <c r="O70" s="120">
        <f>_xlfn.XLOOKUP(Q70,'Other Model Data by TAZ'!A:A,'Other Model Data by TAZ'!G:G,0)</f>
        <v>73</v>
      </c>
      <c r="P70" s="120">
        <f>_xlfn.XLOOKUP(Q70, 'Model VMT by TAZ'!A:A,'Model VMT by TAZ'!E:E,0)</f>
        <v>102440.68</v>
      </c>
      <c r="Q70">
        <v>1646</v>
      </c>
      <c r="S70" t="s">
        <v>1162</v>
      </c>
      <c r="T70" t="s">
        <v>1162</v>
      </c>
      <c r="U70">
        <v>0</v>
      </c>
      <c r="V70">
        <v>5992428</v>
      </c>
      <c r="W70">
        <v>11503.756969</v>
      </c>
      <c r="X70">
        <v>5992404.4262760002</v>
      </c>
      <c r="AA70">
        <v>71</v>
      </c>
      <c r="AB70" t="s">
        <v>1161</v>
      </c>
      <c r="AC70">
        <v>2702</v>
      </c>
      <c r="AD70" s="120">
        <f>_xlfn.XLOOKUP(AF70,'Other Model Data by TAZ'!A:A,'Other Model Data by TAZ'!G:G,0)</f>
        <v>2948</v>
      </c>
      <c r="AE70" s="120">
        <f>_xlfn.XLOOKUP(AF70, 'Model VMT by TAZ'!A:A,'Model VMT by TAZ'!E:E,0)</f>
        <v>335486.78000000003</v>
      </c>
      <c r="AF70">
        <v>1951</v>
      </c>
      <c r="AH70" t="s">
        <v>1162</v>
      </c>
      <c r="AI70" t="s">
        <v>1162</v>
      </c>
      <c r="AJ70">
        <v>0</v>
      </c>
      <c r="AK70">
        <v>5177256</v>
      </c>
      <c r="AL70">
        <v>9481.7853379999997</v>
      </c>
      <c r="AM70">
        <v>5177235.339439</v>
      </c>
    </row>
    <row r="71" spans="1:39" x14ac:dyDescent="0.35">
      <c r="A71">
        <v>66</v>
      </c>
      <c r="B71">
        <v>424</v>
      </c>
      <c r="C71" s="120">
        <f>_xlfn.XLOOKUP(B71,'Model VMT by TAZ'!A:A,'Model VMT by TAZ'!E:E,0)</f>
        <v>151122.20000000001</v>
      </c>
      <c r="D71" s="120">
        <f>_xlfn.XLOOKUP(B71,'Other Model Data by TAZ'!A:A,'Other Model Data by TAZ'!G:G,0)</f>
        <v>64</v>
      </c>
      <c r="E71" s="117">
        <f>_xlfn.XLOOKUP(B71,'Model Modeshare by TAZ'!A:A,'Model Modeshare by TAZ'!E:E,0)+_xlfn.XLOOKUP(B71,'Model Modeshare by TAZ'!$A:$A,'Model Modeshare by TAZ'!F:F,0)</f>
        <v>8563.4599999999991</v>
      </c>
      <c r="F71" s="117">
        <f>_xlfn.XLOOKUP(B71,'Model Modeshare by TAZ'!A:A,'Model Modeshare by TAZ'!$G:$G,0)</f>
        <v>1584.44</v>
      </c>
      <c r="G71" s="117">
        <f>_xlfn.XLOOKUP(B71,'Model Modeshare by TAZ'!A:A,'Model Modeshare by TAZ'!$J:$J,0)</f>
        <v>13021.86</v>
      </c>
      <c r="H71">
        <v>511604</v>
      </c>
      <c r="I71">
        <v>1218740</v>
      </c>
      <c r="L71">
        <v>67</v>
      </c>
      <c r="M71" t="s">
        <v>1161</v>
      </c>
      <c r="N71">
        <v>2696</v>
      </c>
      <c r="O71" s="120">
        <f>_xlfn.XLOOKUP(Q71,'Other Model Data by TAZ'!A:A,'Other Model Data by TAZ'!G:G,0)</f>
        <v>1628</v>
      </c>
      <c r="P71" s="120">
        <f>_xlfn.XLOOKUP(Q71, 'Model VMT by TAZ'!A:A,'Model VMT by TAZ'!E:E,0)</f>
        <v>162922.60999999999</v>
      </c>
      <c r="Q71">
        <v>1529</v>
      </c>
      <c r="S71" t="s">
        <v>1162</v>
      </c>
      <c r="T71" t="s">
        <v>1162</v>
      </c>
      <c r="U71">
        <v>0</v>
      </c>
      <c r="V71">
        <v>4898220</v>
      </c>
      <c r="W71">
        <v>10912.931019</v>
      </c>
      <c r="X71">
        <v>4898200.3576339995</v>
      </c>
      <c r="AA71">
        <v>72</v>
      </c>
      <c r="AB71" t="s">
        <v>1161</v>
      </c>
      <c r="AC71">
        <v>2703</v>
      </c>
      <c r="AD71" s="120">
        <f>_xlfn.XLOOKUP(AF71,'Other Model Data by TAZ'!A:A,'Other Model Data by TAZ'!G:G,0)</f>
        <v>906</v>
      </c>
      <c r="AE71" s="120">
        <f>_xlfn.XLOOKUP(AF71, 'Model VMT by TAZ'!A:A,'Model VMT by TAZ'!E:E,0)</f>
        <v>96953.21</v>
      </c>
      <c r="AF71">
        <v>1533</v>
      </c>
      <c r="AH71" t="s">
        <v>1162</v>
      </c>
      <c r="AI71" t="s">
        <v>1162</v>
      </c>
      <c r="AJ71">
        <v>0</v>
      </c>
      <c r="AK71">
        <v>2177229</v>
      </c>
      <c r="AL71">
        <v>6307.1918770000002</v>
      </c>
      <c r="AM71">
        <v>2177220.4579230002</v>
      </c>
    </row>
    <row r="72" spans="1:39" x14ac:dyDescent="0.35">
      <c r="A72">
        <v>67</v>
      </c>
      <c r="B72">
        <v>425</v>
      </c>
      <c r="C72" s="120">
        <f>_xlfn.XLOOKUP(B72,'Model VMT by TAZ'!A:A,'Model VMT by TAZ'!E:E,0)</f>
        <v>32861.5</v>
      </c>
      <c r="D72" s="120">
        <f>_xlfn.XLOOKUP(B72,'Other Model Data by TAZ'!A:A,'Other Model Data by TAZ'!G:G,0)</f>
        <v>0</v>
      </c>
      <c r="E72" s="117">
        <f>_xlfn.XLOOKUP(B72,'Model Modeshare by TAZ'!A:A,'Model Modeshare by TAZ'!E:E,0)+_xlfn.XLOOKUP(B72,'Model Modeshare by TAZ'!$A:$A,'Model Modeshare by TAZ'!F:F,0)</f>
        <v>347.34000000000003</v>
      </c>
      <c r="F72" s="117">
        <f>_xlfn.XLOOKUP(B72,'Model Modeshare by TAZ'!A:A,'Model Modeshare by TAZ'!$G:$G,0)</f>
        <v>13.82</v>
      </c>
      <c r="G72" s="117">
        <f>_xlfn.XLOOKUP(B72,'Model Modeshare by TAZ'!A:A,'Model Modeshare by TAZ'!$J:$J,0)</f>
        <v>492.98</v>
      </c>
      <c r="H72">
        <v>511500</v>
      </c>
      <c r="I72">
        <v>2487326</v>
      </c>
      <c r="L72">
        <v>68</v>
      </c>
      <c r="M72" t="s">
        <v>1161</v>
      </c>
      <c r="N72">
        <v>2698</v>
      </c>
      <c r="O72" s="120">
        <f>_xlfn.XLOOKUP(Q72,'Other Model Data by TAZ'!A:A,'Other Model Data by TAZ'!G:G,0)</f>
        <v>874</v>
      </c>
      <c r="P72" s="120">
        <f>_xlfn.XLOOKUP(Q72, 'Model VMT by TAZ'!A:A,'Model VMT by TAZ'!E:E,0)</f>
        <v>21227.52</v>
      </c>
      <c r="Q72">
        <v>1528</v>
      </c>
      <c r="S72" t="s">
        <v>1162</v>
      </c>
      <c r="T72" t="s">
        <v>1162</v>
      </c>
      <c r="U72">
        <v>0</v>
      </c>
      <c r="V72">
        <v>4615775</v>
      </c>
      <c r="W72">
        <v>9886.4237240000002</v>
      </c>
      <c r="X72">
        <v>4615756.7737870002</v>
      </c>
      <c r="AA72">
        <v>73</v>
      </c>
      <c r="AB72" t="s">
        <v>1161</v>
      </c>
      <c r="AC72">
        <v>2704</v>
      </c>
      <c r="AD72" s="120">
        <f>_xlfn.XLOOKUP(AF72,'Other Model Data by TAZ'!A:A,'Other Model Data by TAZ'!G:G,0)</f>
        <v>2225</v>
      </c>
      <c r="AE72" s="120">
        <f>_xlfn.XLOOKUP(AF72, 'Model VMT by TAZ'!A:A,'Model VMT by TAZ'!E:E,0)</f>
        <v>87456.5</v>
      </c>
      <c r="AF72">
        <v>1606</v>
      </c>
      <c r="AH72" t="s">
        <v>1162</v>
      </c>
      <c r="AI72" t="s">
        <v>1162</v>
      </c>
      <c r="AJ72">
        <v>0</v>
      </c>
      <c r="AK72">
        <v>5573620</v>
      </c>
      <c r="AL72">
        <v>12907.153343</v>
      </c>
      <c r="AM72">
        <v>5573597.9310450004</v>
      </c>
    </row>
    <row r="73" spans="1:39" x14ac:dyDescent="0.35">
      <c r="A73">
        <v>68</v>
      </c>
      <c r="B73">
        <v>429</v>
      </c>
      <c r="C73" s="120">
        <f>_xlfn.XLOOKUP(B73,'Model VMT by TAZ'!A:A,'Model VMT by TAZ'!E:E,0)</f>
        <v>205692.01</v>
      </c>
      <c r="D73" s="120">
        <f>_xlfn.XLOOKUP(B73,'Other Model Data by TAZ'!A:A,'Other Model Data by TAZ'!G:G,0)</f>
        <v>0</v>
      </c>
      <c r="E73" s="117">
        <f>_xlfn.XLOOKUP(B73,'Model Modeshare by TAZ'!A:A,'Model Modeshare by TAZ'!E:E,0)+_xlfn.XLOOKUP(B73,'Model Modeshare by TAZ'!$A:$A,'Model Modeshare by TAZ'!F:F,0)</f>
        <v>12194.5</v>
      </c>
      <c r="F73" s="117">
        <f>_xlfn.XLOOKUP(B73,'Model Modeshare by TAZ'!A:A,'Model Modeshare by TAZ'!$G:$G,0)</f>
        <v>1453.12</v>
      </c>
      <c r="G73" s="117">
        <f>_xlfn.XLOOKUP(B73,'Model Modeshare by TAZ'!A:A,'Model Modeshare by TAZ'!$J:$J,0)</f>
        <v>17219.099999999999</v>
      </c>
      <c r="H73">
        <v>511604</v>
      </c>
      <c r="I73">
        <v>2615995</v>
      </c>
      <c r="L73">
        <v>69</v>
      </c>
      <c r="M73" t="s">
        <v>1161</v>
      </c>
      <c r="N73">
        <v>2700</v>
      </c>
      <c r="O73" s="120">
        <f>_xlfn.XLOOKUP(Q73,'Other Model Data by TAZ'!A:A,'Other Model Data by TAZ'!G:G,0)</f>
        <v>1548</v>
      </c>
      <c r="P73" s="120">
        <f>_xlfn.XLOOKUP(Q73, 'Model VMT by TAZ'!A:A,'Model VMT by TAZ'!E:E,0)</f>
        <v>41674.65</v>
      </c>
      <c r="Q73">
        <v>1534</v>
      </c>
      <c r="S73" t="s">
        <v>1162</v>
      </c>
      <c r="T73" t="s">
        <v>1162</v>
      </c>
      <c r="U73">
        <v>0</v>
      </c>
      <c r="V73">
        <v>18421840</v>
      </c>
      <c r="W73">
        <v>29724.264662000001</v>
      </c>
      <c r="X73">
        <v>18421766.435952999</v>
      </c>
      <c r="AA73">
        <v>74</v>
      </c>
      <c r="AB73" t="s">
        <v>1161</v>
      </c>
      <c r="AC73">
        <v>2705</v>
      </c>
      <c r="AD73" s="120">
        <f>_xlfn.XLOOKUP(AF73,'Other Model Data by TAZ'!A:A,'Other Model Data by TAZ'!G:G,0)</f>
        <v>1451</v>
      </c>
      <c r="AE73" s="120">
        <f>_xlfn.XLOOKUP(AF73, 'Model VMT by TAZ'!A:A,'Model VMT by TAZ'!E:E,0)</f>
        <v>40236.43</v>
      </c>
      <c r="AF73">
        <v>1531</v>
      </c>
      <c r="AH73" t="s">
        <v>1162</v>
      </c>
      <c r="AI73" t="s">
        <v>1162</v>
      </c>
      <c r="AJ73">
        <v>0</v>
      </c>
      <c r="AK73">
        <v>3751014</v>
      </c>
      <c r="AL73">
        <v>8662.7220689999995</v>
      </c>
      <c r="AM73">
        <v>3750998.9997740001</v>
      </c>
    </row>
    <row r="74" spans="1:39" x14ac:dyDescent="0.35">
      <c r="A74">
        <v>69</v>
      </c>
      <c r="B74">
        <v>1214</v>
      </c>
      <c r="C74" s="120">
        <f>_xlfn.XLOOKUP(B74,'Model VMT by TAZ'!A:A,'Model VMT by TAZ'!E:E,0)</f>
        <v>21948.67</v>
      </c>
      <c r="D74" s="120">
        <f>_xlfn.XLOOKUP(B74,'Other Model Data by TAZ'!A:A,'Other Model Data by TAZ'!G:G,0)</f>
        <v>0</v>
      </c>
      <c r="E74" s="117">
        <f>_xlfn.XLOOKUP(B74,'Model Modeshare by TAZ'!A:A,'Model Modeshare by TAZ'!E:E,0)+_xlfn.XLOOKUP(B74,'Model Modeshare by TAZ'!$A:$A,'Model Modeshare by TAZ'!F:F,0)</f>
        <v>2132.16</v>
      </c>
      <c r="F74" s="117">
        <f>_xlfn.XLOOKUP(B74,'Model Modeshare by TAZ'!A:A,'Model Modeshare by TAZ'!$G:$G,0)</f>
        <v>76.599999999999994</v>
      </c>
      <c r="G74" s="117">
        <f>_xlfn.XLOOKUP(B74,'Model Modeshare by TAZ'!A:A,'Model Modeshare by TAZ'!$J:$J,0)</f>
        <v>2367.1799999999998</v>
      </c>
      <c r="H74">
        <v>505202</v>
      </c>
      <c r="I74">
        <v>2270430</v>
      </c>
      <c r="L74">
        <v>70</v>
      </c>
      <c r="M74" t="s">
        <v>1161</v>
      </c>
      <c r="N74">
        <v>2701</v>
      </c>
      <c r="O74" s="120">
        <f>_xlfn.XLOOKUP(Q74,'Other Model Data by TAZ'!A:A,'Other Model Data by TAZ'!G:G,0)</f>
        <v>2176</v>
      </c>
      <c r="P74" s="120">
        <f>_xlfn.XLOOKUP(Q74, 'Model VMT by TAZ'!A:A,'Model VMT by TAZ'!E:E,0)</f>
        <v>74560.72</v>
      </c>
      <c r="Q74">
        <v>1532</v>
      </c>
      <c r="S74" t="s">
        <v>1162</v>
      </c>
      <c r="T74" t="s">
        <v>1162</v>
      </c>
      <c r="U74">
        <v>0</v>
      </c>
      <c r="V74">
        <v>6036163</v>
      </c>
      <c r="W74">
        <v>10405.622888</v>
      </c>
      <c r="X74">
        <v>6036138.9599059997</v>
      </c>
      <c r="AA74">
        <v>75</v>
      </c>
      <c r="AB74" t="s">
        <v>1161</v>
      </c>
      <c r="AC74">
        <v>2706</v>
      </c>
      <c r="AD74" s="120">
        <f>_xlfn.XLOOKUP(AF74,'Other Model Data by TAZ'!A:A,'Other Model Data by TAZ'!G:G,0)</f>
        <v>1992</v>
      </c>
      <c r="AE74" s="120">
        <f>_xlfn.XLOOKUP(AF74, 'Model VMT by TAZ'!A:A,'Model VMT by TAZ'!E:E,0)</f>
        <v>68971.86</v>
      </c>
      <c r="AF74">
        <v>1653</v>
      </c>
      <c r="AH74" t="s">
        <v>1162</v>
      </c>
      <c r="AI74" t="s">
        <v>1162</v>
      </c>
      <c r="AJ74">
        <v>0</v>
      </c>
      <c r="AK74">
        <v>7914650</v>
      </c>
      <c r="AL74">
        <v>11879.117093999999</v>
      </c>
      <c r="AM74">
        <v>7914618.0249929996</v>
      </c>
    </row>
    <row r="75" spans="1:39" x14ac:dyDescent="0.35">
      <c r="A75">
        <v>70</v>
      </c>
      <c r="B75">
        <v>575</v>
      </c>
      <c r="C75" s="120">
        <f>_xlfn.XLOOKUP(B75,'Model VMT by TAZ'!A:A,'Model VMT by TAZ'!E:E,0)</f>
        <v>3933.13</v>
      </c>
      <c r="D75" s="120">
        <f>_xlfn.XLOOKUP(B75,'Other Model Data by TAZ'!A:A,'Other Model Data by TAZ'!G:G,0)</f>
        <v>0</v>
      </c>
      <c r="E75" s="117">
        <f>_xlfn.XLOOKUP(B75,'Model Modeshare by TAZ'!A:A,'Model Modeshare by TAZ'!E:E,0)+_xlfn.XLOOKUP(B75,'Model Modeshare by TAZ'!$A:$A,'Model Modeshare by TAZ'!F:F,0)</f>
        <v>0</v>
      </c>
      <c r="F75" s="117">
        <f>_xlfn.XLOOKUP(B75,'Model Modeshare by TAZ'!A:A,'Model Modeshare by TAZ'!$G:$G,0)</f>
        <v>0</v>
      </c>
      <c r="G75" s="117">
        <f>_xlfn.XLOOKUP(B75,'Model Modeshare by TAZ'!A:A,'Model Modeshare by TAZ'!$J:$J,0)</f>
        <v>0</v>
      </c>
      <c r="H75">
        <v>500800</v>
      </c>
      <c r="I75">
        <v>1367854</v>
      </c>
      <c r="L75">
        <v>71</v>
      </c>
      <c r="M75" t="s">
        <v>1161</v>
      </c>
      <c r="N75">
        <v>2702</v>
      </c>
      <c r="O75" s="120">
        <f>_xlfn.XLOOKUP(Q75,'Other Model Data by TAZ'!A:A,'Other Model Data by TAZ'!G:G,0)</f>
        <v>2948</v>
      </c>
      <c r="P75" s="120">
        <f>_xlfn.XLOOKUP(Q75, 'Model VMT by TAZ'!A:A,'Model VMT by TAZ'!E:E,0)</f>
        <v>335486.78000000003</v>
      </c>
      <c r="Q75">
        <v>1951</v>
      </c>
      <c r="S75" t="s">
        <v>1162</v>
      </c>
      <c r="T75" t="s">
        <v>1162</v>
      </c>
      <c r="U75">
        <v>0</v>
      </c>
      <c r="V75">
        <v>5177256</v>
      </c>
      <c r="W75">
        <v>9481.7853379999997</v>
      </c>
      <c r="X75">
        <v>5177235.339439</v>
      </c>
      <c r="AA75">
        <v>76</v>
      </c>
      <c r="AB75" t="s">
        <v>1161</v>
      </c>
      <c r="AC75">
        <v>2707</v>
      </c>
      <c r="AD75" s="120">
        <f>_xlfn.XLOOKUP(AF75,'Other Model Data by TAZ'!A:A,'Other Model Data by TAZ'!G:G,0)</f>
        <v>18</v>
      </c>
      <c r="AE75" s="120">
        <f>_xlfn.XLOOKUP(AF75, 'Model VMT by TAZ'!A:A,'Model VMT by TAZ'!E:E,0)</f>
        <v>420367.51</v>
      </c>
      <c r="AF75">
        <v>1948</v>
      </c>
      <c r="AH75" t="s">
        <v>1162</v>
      </c>
      <c r="AI75" t="s">
        <v>1162</v>
      </c>
      <c r="AJ75">
        <v>0</v>
      </c>
      <c r="AK75">
        <v>8429656</v>
      </c>
      <c r="AL75">
        <v>16215.643878999999</v>
      </c>
      <c r="AM75">
        <v>8429621.7868140005</v>
      </c>
    </row>
    <row r="76" spans="1:39" x14ac:dyDescent="0.35">
      <c r="A76">
        <v>71</v>
      </c>
      <c r="B76">
        <v>765</v>
      </c>
      <c r="C76" s="120">
        <f>_xlfn.XLOOKUP(B76,'Model VMT by TAZ'!A:A,'Model VMT by TAZ'!E:E,0)</f>
        <v>38891.599999999999</v>
      </c>
      <c r="D76" s="120">
        <f>_xlfn.XLOOKUP(B76,'Other Model Data by TAZ'!A:A,'Other Model Data by TAZ'!G:G,0)</f>
        <v>410</v>
      </c>
      <c r="E76" s="117">
        <f>_xlfn.XLOOKUP(B76,'Model Modeshare by TAZ'!A:A,'Model Modeshare by TAZ'!E:E,0)+_xlfn.XLOOKUP(B76,'Model Modeshare by TAZ'!$A:$A,'Model Modeshare by TAZ'!F:F,0)</f>
        <v>9001.1200000000008</v>
      </c>
      <c r="F76" s="117">
        <f>_xlfn.XLOOKUP(B76,'Model Modeshare by TAZ'!A:A,'Model Modeshare by TAZ'!$G:$G,0)</f>
        <v>275.95999999999998</v>
      </c>
      <c r="G76" s="117">
        <f>_xlfn.XLOOKUP(B76,'Model Modeshare by TAZ'!A:A,'Model Modeshare by TAZ'!$J:$J,0)</f>
        <v>10280.4</v>
      </c>
      <c r="H76">
        <v>500300</v>
      </c>
      <c r="I76">
        <v>5616137</v>
      </c>
      <c r="L76">
        <v>72</v>
      </c>
      <c r="M76" t="s">
        <v>1161</v>
      </c>
      <c r="N76">
        <v>2703</v>
      </c>
      <c r="O76" s="120">
        <f>_xlfn.XLOOKUP(Q76,'Other Model Data by TAZ'!A:A,'Other Model Data by TAZ'!G:G,0)</f>
        <v>906</v>
      </c>
      <c r="P76" s="120">
        <f>_xlfn.XLOOKUP(Q76, 'Model VMT by TAZ'!A:A,'Model VMT by TAZ'!E:E,0)</f>
        <v>96953.21</v>
      </c>
      <c r="Q76">
        <v>1533</v>
      </c>
      <c r="S76" t="s">
        <v>1162</v>
      </c>
      <c r="T76" t="s">
        <v>1162</v>
      </c>
      <c r="U76">
        <v>0</v>
      </c>
      <c r="V76">
        <v>2177229</v>
      </c>
      <c r="W76">
        <v>6307.1918770000002</v>
      </c>
      <c r="X76">
        <v>2177220.4579230002</v>
      </c>
      <c r="AA76">
        <v>77</v>
      </c>
      <c r="AB76" t="s">
        <v>1161</v>
      </c>
      <c r="AC76">
        <v>2709</v>
      </c>
      <c r="AD76" s="120">
        <f>_xlfn.XLOOKUP(AF76,'Other Model Data by TAZ'!A:A,'Other Model Data by TAZ'!G:G,0)</f>
        <v>2399</v>
      </c>
      <c r="AE76" s="120">
        <f>_xlfn.XLOOKUP(AF76, 'Model VMT by TAZ'!A:A,'Model VMT by TAZ'!E:E,0)</f>
        <v>115171.62</v>
      </c>
      <c r="AF76">
        <v>1605</v>
      </c>
      <c r="AH76" t="s">
        <v>1162</v>
      </c>
      <c r="AI76" t="s">
        <v>1162</v>
      </c>
      <c r="AJ76">
        <v>0</v>
      </c>
      <c r="AK76">
        <v>4102673</v>
      </c>
      <c r="AL76">
        <v>9052.2321589999992</v>
      </c>
      <c r="AM76">
        <v>4102656.2757930001</v>
      </c>
    </row>
    <row r="77" spans="1:39" x14ac:dyDescent="0.35">
      <c r="A77">
        <v>72</v>
      </c>
      <c r="B77">
        <v>767</v>
      </c>
      <c r="C77" s="120">
        <f>_xlfn.XLOOKUP(B77,'Model VMT by TAZ'!A:A,'Model VMT by TAZ'!E:E,0)</f>
        <v>51703.3</v>
      </c>
      <c r="D77" s="120">
        <f>_xlfn.XLOOKUP(B77,'Other Model Data by TAZ'!A:A,'Other Model Data by TAZ'!G:G,0)</f>
        <v>402</v>
      </c>
      <c r="E77" s="117">
        <f>_xlfn.XLOOKUP(B77,'Model Modeshare by TAZ'!A:A,'Model Modeshare by TAZ'!E:E,0)+_xlfn.XLOOKUP(B77,'Model Modeshare by TAZ'!$A:$A,'Model Modeshare by TAZ'!F:F,0)</f>
        <v>10738.58</v>
      </c>
      <c r="F77" s="117">
        <f>_xlfn.XLOOKUP(B77,'Model Modeshare by TAZ'!A:A,'Model Modeshare by TAZ'!$G:$G,0)</f>
        <v>825.98</v>
      </c>
      <c r="G77" s="117">
        <f>_xlfn.XLOOKUP(B77,'Model Modeshare by TAZ'!A:A,'Model Modeshare by TAZ'!$J:$J,0)</f>
        <v>13533.48</v>
      </c>
      <c r="H77">
        <v>500300</v>
      </c>
      <c r="I77">
        <v>4024229</v>
      </c>
      <c r="L77">
        <v>73</v>
      </c>
      <c r="M77" t="s">
        <v>1161</v>
      </c>
      <c r="N77">
        <v>2704</v>
      </c>
      <c r="O77" s="120">
        <f>_xlfn.XLOOKUP(Q77,'Other Model Data by TAZ'!A:A,'Other Model Data by TAZ'!G:G,0)</f>
        <v>2225</v>
      </c>
      <c r="P77" s="120">
        <f>_xlfn.XLOOKUP(Q77, 'Model VMT by TAZ'!A:A,'Model VMT by TAZ'!E:E,0)</f>
        <v>87456.5</v>
      </c>
      <c r="Q77">
        <v>1606</v>
      </c>
      <c r="S77" t="s">
        <v>1162</v>
      </c>
      <c r="T77" t="s">
        <v>1162</v>
      </c>
      <c r="U77">
        <v>0</v>
      </c>
      <c r="V77">
        <v>5573620</v>
      </c>
      <c r="W77">
        <v>12907.153343</v>
      </c>
      <c r="X77">
        <v>5573597.9310450004</v>
      </c>
      <c r="AA77">
        <v>79</v>
      </c>
      <c r="AB77" t="s">
        <v>1161</v>
      </c>
      <c r="AC77">
        <v>2716</v>
      </c>
      <c r="AD77" s="120">
        <f>_xlfn.XLOOKUP(AF77,'Other Model Data by TAZ'!A:A,'Other Model Data by TAZ'!G:G,0)</f>
        <v>2506</v>
      </c>
      <c r="AE77" s="120">
        <f>_xlfn.XLOOKUP(AF77, 'Model VMT by TAZ'!A:A,'Model VMT by TAZ'!E:E,0)</f>
        <v>54505.29</v>
      </c>
      <c r="AF77">
        <v>1539</v>
      </c>
      <c r="AH77" t="s">
        <v>1162</v>
      </c>
      <c r="AI77" t="s">
        <v>1162</v>
      </c>
      <c r="AJ77">
        <v>0</v>
      </c>
      <c r="AK77">
        <v>2854780</v>
      </c>
      <c r="AL77">
        <v>7428.8221729999996</v>
      </c>
      <c r="AM77">
        <v>2854768.4656270002</v>
      </c>
    </row>
    <row r="78" spans="1:39" x14ac:dyDescent="0.35">
      <c r="A78">
        <v>73</v>
      </c>
      <c r="B78">
        <v>768</v>
      </c>
      <c r="C78" s="120">
        <f>_xlfn.XLOOKUP(B78,'Model VMT by TAZ'!A:A,'Model VMT by TAZ'!E:E,0)</f>
        <v>65435.34</v>
      </c>
      <c r="D78" s="120">
        <f>_xlfn.XLOOKUP(B78,'Other Model Data by TAZ'!A:A,'Other Model Data by TAZ'!G:G,0)</f>
        <v>949</v>
      </c>
      <c r="E78" s="117">
        <f>_xlfn.XLOOKUP(B78,'Model Modeshare by TAZ'!A:A,'Model Modeshare by TAZ'!E:E,0)+_xlfn.XLOOKUP(B78,'Model Modeshare by TAZ'!$A:$A,'Model Modeshare by TAZ'!F:F,0)</f>
        <v>13265.84</v>
      </c>
      <c r="F78" s="117">
        <f>_xlfn.XLOOKUP(B78,'Model Modeshare by TAZ'!A:A,'Model Modeshare by TAZ'!$G:$G,0)</f>
        <v>519.84</v>
      </c>
      <c r="G78" s="117">
        <f>_xlfn.XLOOKUP(B78,'Model Modeshare by TAZ'!A:A,'Model Modeshare by TAZ'!$J:$J,0)</f>
        <v>15472.4</v>
      </c>
      <c r="H78">
        <v>500600</v>
      </c>
      <c r="I78">
        <v>2813070</v>
      </c>
      <c r="L78">
        <v>74</v>
      </c>
      <c r="M78" t="s">
        <v>1161</v>
      </c>
      <c r="N78">
        <v>2705</v>
      </c>
      <c r="O78" s="120">
        <f>_xlfn.XLOOKUP(Q78,'Other Model Data by TAZ'!A:A,'Other Model Data by TAZ'!G:G,0)</f>
        <v>1451</v>
      </c>
      <c r="P78" s="120">
        <f>_xlfn.XLOOKUP(Q78, 'Model VMT by TAZ'!A:A,'Model VMT by TAZ'!E:E,0)</f>
        <v>40236.43</v>
      </c>
      <c r="Q78">
        <v>1531</v>
      </c>
      <c r="S78" t="s">
        <v>1162</v>
      </c>
      <c r="T78" t="s">
        <v>1162</v>
      </c>
      <c r="U78">
        <v>0</v>
      </c>
      <c r="V78">
        <v>3751014</v>
      </c>
      <c r="W78">
        <v>8662.7220689999995</v>
      </c>
      <c r="X78">
        <v>3750998.9997740001</v>
      </c>
      <c r="AA78">
        <v>80</v>
      </c>
      <c r="AB78" t="s">
        <v>1161</v>
      </c>
      <c r="AC78">
        <v>2717</v>
      </c>
      <c r="AD78" s="120">
        <f>_xlfn.XLOOKUP(AF78,'Other Model Data by TAZ'!A:A,'Other Model Data by TAZ'!G:G,0)</f>
        <v>2777</v>
      </c>
      <c r="AE78" s="120">
        <f>_xlfn.XLOOKUP(AF78, 'Model VMT by TAZ'!A:A,'Model VMT by TAZ'!E:E,0)</f>
        <v>82390.179999999993</v>
      </c>
      <c r="AF78">
        <v>1538</v>
      </c>
      <c r="AH78" t="s">
        <v>1162</v>
      </c>
      <c r="AI78" t="s">
        <v>1162</v>
      </c>
      <c r="AJ78">
        <v>0</v>
      </c>
      <c r="AK78">
        <v>3470791</v>
      </c>
      <c r="AL78">
        <v>7711.1737069999999</v>
      </c>
      <c r="AM78">
        <v>3470776.8947879998</v>
      </c>
    </row>
    <row r="79" spans="1:39" x14ac:dyDescent="0.35">
      <c r="A79">
        <v>74</v>
      </c>
      <c r="B79">
        <v>769</v>
      </c>
      <c r="C79" s="120">
        <f>_xlfn.XLOOKUP(B79,'Model VMT by TAZ'!A:A,'Model VMT by TAZ'!E:E,0)</f>
        <v>49680.59</v>
      </c>
      <c r="D79" s="120">
        <f>_xlfn.XLOOKUP(B79,'Other Model Data by TAZ'!A:A,'Other Model Data by TAZ'!G:G,0)</f>
        <v>716</v>
      </c>
      <c r="E79" s="117">
        <f>_xlfn.XLOOKUP(B79,'Model Modeshare by TAZ'!A:A,'Model Modeshare by TAZ'!E:E,0)+_xlfn.XLOOKUP(B79,'Model Modeshare by TAZ'!$A:$A,'Model Modeshare by TAZ'!F:F,0)</f>
        <v>7715.9000000000005</v>
      </c>
      <c r="F79" s="117">
        <f>_xlfn.XLOOKUP(B79,'Model Modeshare by TAZ'!A:A,'Model Modeshare by TAZ'!$G:$G,0)</f>
        <v>239.62</v>
      </c>
      <c r="G79" s="117">
        <f>_xlfn.XLOOKUP(B79,'Model Modeshare by TAZ'!A:A,'Model Modeshare by TAZ'!$J:$J,0)</f>
        <v>8898.4</v>
      </c>
      <c r="H79">
        <v>500600</v>
      </c>
      <c r="I79">
        <v>3349324</v>
      </c>
      <c r="L79">
        <v>75</v>
      </c>
      <c r="M79" t="s">
        <v>1161</v>
      </c>
      <c r="N79">
        <v>2706</v>
      </c>
      <c r="O79" s="120">
        <f>_xlfn.XLOOKUP(Q79,'Other Model Data by TAZ'!A:A,'Other Model Data by TAZ'!G:G,0)</f>
        <v>1992</v>
      </c>
      <c r="P79" s="120">
        <f>_xlfn.XLOOKUP(Q79, 'Model VMT by TAZ'!A:A,'Model VMT by TAZ'!E:E,0)</f>
        <v>68971.86</v>
      </c>
      <c r="Q79">
        <v>1653</v>
      </c>
      <c r="S79" t="s">
        <v>1162</v>
      </c>
      <c r="T79" t="s">
        <v>1162</v>
      </c>
      <c r="U79">
        <v>0</v>
      </c>
      <c r="V79">
        <v>7914650</v>
      </c>
      <c r="W79">
        <v>11879.117093999999</v>
      </c>
      <c r="X79">
        <v>7914618.0249929996</v>
      </c>
      <c r="AA79">
        <v>81</v>
      </c>
      <c r="AB79" t="s">
        <v>1161</v>
      </c>
      <c r="AC79">
        <v>2718</v>
      </c>
      <c r="AD79" s="120">
        <f>_xlfn.XLOOKUP(AF79,'Other Model Data by TAZ'!A:A,'Other Model Data by TAZ'!G:G,0)</f>
        <v>1025</v>
      </c>
      <c r="AE79" s="120">
        <f>_xlfn.XLOOKUP(AF79, 'Model VMT by TAZ'!A:A,'Model VMT by TAZ'!E:E,0)</f>
        <v>37084.92</v>
      </c>
      <c r="AF79">
        <v>1540</v>
      </c>
      <c r="AH79" t="s">
        <v>1162</v>
      </c>
      <c r="AI79" t="s">
        <v>1162</v>
      </c>
      <c r="AJ79">
        <v>0</v>
      </c>
      <c r="AK79">
        <v>1942320</v>
      </c>
      <c r="AL79">
        <v>7860.3532949999999</v>
      </c>
      <c r="AM79">
        <v>1942312.195272</v>
      </c>
    </row>
    <row r="80" spans="1:39" x14ac:dyDescent="0.35">
      <c r="A80">
        <v>75</v>
      </c>
      <c r="B80">
        <v>770</v>
      </c>
      <c r="C80" s="120">
        <f>_xlfn.XLOOKUP(B80,'Model VMT by TAZ'!A:A,'Model VMT by TAZ'!E:E,0)</f>
        <v>134607.65</v>
      </c>
      <c r="D80" s="120">
        <f>_xlfn.XLOOKUP(B80,'Other Model Data by TAZ'!A:A,'Other Model Data by TAZ'!G:G,0)</f>
        <v>1963</v>
      </c>
      <c r="E80" s="117">
        <f>_xlfn.XLOOKUP(B80,'Model Modeshare by TAZ'!A:A,'Model Modeshare by TAZ'!E:E,0)+_xlfn.XLOOKUP(B80,'Model Modeshare by TAZ'!$A:$A,'Model Modeshare by TAZ'!F:F,0)</f>
        <v>20092.5</v>
      </c>
      <c r="F80" s="117">
        <f>_xlfn.XLOOKUP(B80,'Model Modeshare by TAZ'!A:A,'Model Modeshare by TAZ'!$G:$G,0)</f>
        <v>710.92</v>
      </c>
      <c r="G80" s="117">
        <f>_xlfn.XLOOKUP(B80,'Model Modeshare by TAZ'!A:A,'Model Modeshare by TAZ'!$J:$J,0)</f>
        <v>23399.02</v>
      </c>
      <c r="H80">
        <v>500600</v>
      </c>
      <c r="I80">
        <v>3845819</v>
      </c>
      <c r="L80">
        <v>76</v>
      </c>
      <c r="M80" t="s">
        <v>1161</v>
      </c>
      <c r="N80">
        <v>2707</v>
      </c>
      <c r="O80" s="120">
        <f>_xlfn.XLOOKUP(Q80,'Other Model Data by TAZ'!A:A,'Other Model Data by TAZ'!G:G,0)</f>
        <v>18</v>
      </c>
      <c r="P80" s="120">
        <f>_xlfn.XLOOKUP(Q80, 'Model VMT by TAZ'!A:A,'Model VMT by TAZ'!E:E,0)</f>
        <v>420367.51</v>
      </c>
      <c r="Q80">
        <v>1948</v>
      </c>
      <c r="S80" t="s">
        <v>1162</v>
      </c>
      <c r="T80" t="s">
        <v>1162</v>
      </c>
      <c r="U80">
        <v>0</v>
      </c>
      <c r="V80">
        <v>8429656</v>
      </c>
      <c r="W80">
        <v>16215.643878999999</v>
      </c>
      <c r="X80">
        <v>8429621.7868140005</v>
      </c>
      <c r="AA80">
        <v>82</v>
      </c>
      <c r="AB80" t="s">
        <v>1161</v>
      </c>
      <c r="AC80">
        <v>2719</v>
      </c>
      <c r="AD80" s="120">
        <f>_xlfn.XLOOKUP(AF80,'Other Model Data by TAZ'!A:A,'Other Model Data by TAZ'!G:G,0)</f>
        <v>4232</v>
      </c>
      <c r="AE80" s="120">
        <f>_xlfn.XLOOKUP(AF80, 'Model VMT by TAZ'!A:A,'Model VMT by TAZ'!E:E,0)</f>
        <v>113930</v>
      </c>
      <c r="AF80">
        <v>1611</v>
      </c>
      <c r="AH80" t="s">
        <v>1162</v>
      </c>
      <c r="AI80" t="s">
        <v>1162</v>
      </c>
      <c r="AJ80">
        <v>0</v>
      </c>
      <c r="AK80">
        <v>5584009</v>
      </c>
      <c r="AL80">
        <v>9496.0812979999992</v>
      </c>
      <c r="AM80">
        <v>5583986.2441729996</v>
      </c>
    </row>
    <row r="81" spans="1:39" x14ac:dyDescent="0.35">
      <c r="A81">
        <v>76</v>
      </c>
      <c r="B81">
        <v>771</v>
      </c>
      <c r="C81" s="120">
        <f>_xlfn.XLOOKUP(B81,'Model VMT by TAZ'!A:A,'Model VMT by TAZ'!E:E,0)</f>
        <v>42914.75</v>
      </c>
      <c r="D81" s="120">
        <f>_xlfn.XLOOKUP(B81,'Other Model Data by TAZ'!A:A,'Other Model Data by TAZ'!G:G,0)</f>
        <v>1061</v>
      </c>
      <c r="E81" s="117">
        <f>_xlfn.XLOOKUP(B81,'Model Modeshare by TAZ'!A:A,'Model Modeshare by TAZ'!E:E,0)+_xlfn.XLOOKUP(B81,'Model Modeshare by TAZ'!$A:$A,'Model Modeshare by TAZ'!F:F,0)</f>
        <v>6752.42</v>
      </c>
      <c r="F81" s="117">
        <f>_xlfn.XLOOKUP(B81,'Model Modeshare by TAZ'!A:A,'Model Modeshare by TAZ'!$G:$G,0)</f>
        <v>160.84</v>
      </c>
      <c r="G81" s="117">
        <f>_xlfn.XLOOKUP(B81,'Model Modeshare by TAZ'!A:A,'Model Modeshare by TAZ'!$J:$J,0)</f>
        <v>7704.14</v>
      </c>
      <c r="H81">
        <v>500600</v>
      </c>
      <c r="I81">
        <v>4320365</v>
      </c>
      <c r="L81">
        <v>77</v>
      </c>
      <c r="M81" t="s">
        <v>1161</v>
      </c>
      <c r="N81">
        <v>2709</v>
      </c>
      <c r="O81" s="120">
        <f>_xlfn.XLOOKUP(Q81,'Other Model Data by TAZ'!A:A,'Other Model Data by TAZ'!G:G,0)</f>
        <v>2399</v>
      </c>
      <c r="P81" s="120">
        <f>_xlfn.XLOOKUP(Q81, 'Model VMT by TAZ'!A:A,'Model VMT by TAZ'!E:E,0)</f>
        <v>115171.62</v>
      </c>
      <c r="Q81">
        <v>1605</v>
      </c>
      <c r="S81" t="s">
        <v>1162</v>
      </c>
      <c r="T81" t="s">
        <v>1162</v>
      </c>
      <c r="U81">
        <v>0</v>
      </c>
      <c r="V81">
        <v>4102673</v>
      </c>
      <c r="W81">
        <v>9052.2321589999992</v>
      </c>
      <c r="X81">
        <v>4102656.2757930001</v>
      </c>
      <c r="AA81">
        <v>83</v>
      </c>
      <c r="AB81" t="s">
        <v>1161</v>
      </c>
      <c r="AC81">
        <v>2720</v>
      </c>
      <c r="AD81" s="120">
        <f>_xlfn.XLOOKUP(AF81,'Other Model Data by TAZ'!A:A,'Other Model Data by TAZ'!G:G,0)</f>
        <v>1890</v>
      </c>
      <c r="AE81" s="120">
        <f>_xlfn.XLOOKUP(AF81, 'Model VMT by TAZ'!A:A,'Model VMT by TAZ'!E:E,0)</f>
        <v>39518.160000000003</v>
      </c>
      <c r="AF81">
        <v>1537</v>
      </c>
      <c r="AH81" t="s">
        <v>1162</v>
      </c>
      <c r="AI81" t="s">
        <v>1162</v>
      </c>
      <c r="AJ81">
        <v>0</v>
      </c>
      <c r="AK81">
        <v>4050519</v>
      </c>
      <c r="AL81">
        <v>8219.9489749999993</v>
      </c>
      <c r="AM81">
        <v>4050502.7906689998</v>
      </c>
    </row>
    <row r="82" spans="1:39" x14ac:dyDescent="0.35">
      <c r="A82">
        <v>77</v>
      </c>
      <c r="B82">
        <v>754</v>
      </c>
      <c r="C82" s="120">
        <f>_xlfn.XLOOKUP(B82,'Model VMT by TAZ'!A:A,'Model VMT by TAZ'!E:E,0)</f>
        <v>100519.51</v>
      </c>
      <c r="D82" s="120">
        <f>_xlfn.XLOOKUP(B82,'Other Model Data by TAZ'!A:A,'Other Model Data by TAZ'!G:G,0)</f>
        <v>3043</v>
      </c>
      <c r="E82" s="117">
        <f>_xlfn.XLOOKUP(B82,'Model Modeshare by TAZ'!A:A,'Model Modeshare by TAZ'!E:E,0)+_xlfn.XLOOKUP(B82,'Model Modeshare by TAZ'!$A:$A,'Model Modeshare by TAZ'!F:F,0)</f>
        <v>15576.2</v>
      </c>
      <c r="F82" s="117">
        <f>_xlfn.XLOOKUP(B82,'Model Modeshare by TAZ'!A:A,'Model Modeshare by TAZ'!$G:$G,0)</f>
        <v>539.34</v>
      </c>
      <c r="G82" s="117">
        <f>_xlfn.XLOOKUP(B82,'Model Modeshare by TAZ'!A:A,'Model Modeshare by TAZ'!$J:$J,0)</f>
        <v>19966.66</v>
      </c>
      <c r="H82">
        <v>505203</v>
      </c>
      <c r="I82">
        <v>5463089</v>
      </c>
      <c r="L82">
        <v>79</v>
      </c>
      <c r="M82" t="s">
        <v>1161</v>
      </c>
      <c r="N82">
        <v>2716</v>
      </c>
      <c r="O82" s="120">
        <f>_xlfn.XLOOKUP(Q82,'Other Model Data by TAZ'!A:A,'Other Model Data by TAZ'!G:G,0)</f>
        <v>2506</v>
      </c>
      <c r="P82" s="120">
        <f>_xlfn.XLOOKUP(Q82, 'Model VMT by TAZ'!A:A,'Model VMT by TAZ'!E:E,0)</f>
        <v>54505.29</v>
      </c>
      <c r="Q82">
        <v>1539</v>
      </c>
      <c r="S82" t="s">
        <v>1162</v>
      </c>
      <c r="T82" t="s">
        <v>1162</v>
      </c>
      <c r="U82">
        <v>0</v>
      </c>
      <c r="V82">
        <v>2854780</v>
      </c>
      <c r="W82">
        <v>7428.8221729999996</v>
      </c>
      <c r="X82">
        <v>2854768.4656270002</v>
      </c>
      <c r="AA82">
        <v>84</v>
      </c>
      <c r="AB82" t="s">
        <v>1161</v>
      </c>
      <c r="AC82">
        <v>2721</v>
      </c>
      <c r="AD82" s="120">
        <f>_xlfn.XLOOKUP(AF82,'Other Model Data by TAZ'!A:A,'Other Model Data by TAZ'!G:G,0)</f>
        <v>1250</v>
      </c>
      <c r="AE82" s="120">
        <f>_xlfn.XLOOKUP(AF82, 'Model VMT by TAZ'!A:A,'Model VMT by TAZ'!E:E,0)</f>
        <v>36792.559999999998</v>
      </c>
      <c r="AF82">
        <v>1536</v>
      </c>
      <c r="AH82" t="s">
        <v>1162</v>
      </c>
      <c r="AI82" t="s">
        <v>1162</v>
      </c>
      <c r="AJ82">
        <v>0</v>
      </c>
      <c r="AK82">
        <v>2747898</v>
      </c>
      <c r="AL82">
        <v>7739.0541949999997</v>
      </c>
      <c r="AM82">
        <v>2747886.6132260002</v>
      </c>
    </row>
    <row r="83" spans="1:39" x14ac:dyDescent="0.35">
      <c r="A83">
        <v>78</v>
      </c>
      <c r="B83">
        <v>755</v>
      </c>
      <c r="C83" s="120">
        <f>_xlfn.XLOOKUP(B83,'Model VMT by TAZ'!A:A,'Model VMT by TAZ'!E:E,0)</f>
        <v>2433.0500000000002</v>
      </c>
      <c r="D83" s="120">
        <f>_xlfn.XLOOKUP(B83,'Other Model Data by TAZ'!A:A,'Other Model Data by TAZ'!G:G,0)</f>
        <v>25</v>
      </c>
      <c r="E83" s="117">
        <f>_xlfn.XLOOKUP(B83,'Model Modeshare by TAZ'!A:A,'Model Modeshare by TAZ'!E:E,0)+_xlfn.XLOOKUP(B83,'Model Modeshare by TAZ'!$A:$A,'Model Modeshare by TAZ'!F:F,0)</f>
        <v>757.8</v>
      </c>
      <c r="F83" s="117">
        <f>_xlfn.XLOOKUP(B83,'Model Modeshare by TAZ'!A:A,'Model Modeshare by TAZ'!$G:$G,0)</f>
        <v>18.28</v>
      </c>
      <c r="G83" s="117">
        <f>_xlfn.XLOOKUP(B83,'Model Modeshare by TAZ'!A:A,'Model Modeshare by TAZ'!$J:$J,0)</f>
        <v>866.64</v>
      </c>
      <c r="H83">
        <v>500300</v>
      </c>
      <c r="I83">
        <v>3051827</v>
      </c>
      <c r="L83">
        <v>80</v>
      </c>
      <c r="M83" t="s">
        <v>1161</v>
      </c>
      <c r="N83">
        <v>2717</v>
      </c>
      <c r="O83" s="120">
        <f>_xlfn.XLOOKUP(Q83,'Other Model Data by TAZ'!A:A,'Other Model Data by TAZ'!G:G,0)</f>
        <v>2777</v>
      </c>
      <c r="P83" s="120">
        <f>_xlfn.XLOOKUP(Q83, 'Model VMT by TAZ'!A:A,'Model VMT by TAZ'!E:E,0)</f>
        <v>82390.179999999993</v>
      </c>
      <c r="Q83">
        <v>1538</v>
      </c>
      <c r="S83" t="s">
        <v>1162</v>
      </c>
      <c r="T83" t="s">
        <v>1162</v>
      </c>
      <c r="U83">
        <v>0</v>
      </c>
      <c r="V83">
        <v>3470791</v>
      </c>
      <c r="W83">
        <v>7711.1737069999999</v>
      </c>
      <c r="X83">
        <v>3470776.8947879998</v>
      </c>
      <c r="AA83">
        <v>85</v>
      </c>
      <c r="AB83" t="s">
        <v>1161</v>
      </c>
      <c r="AC83">
        <v>2722</v>
      </c>
      <c r="AD83" s="120">
        <f>_xlfn.XLOOKUP(AF83,'Other Model Data by TAZ'!A:A,'Other Model Data by TAZ'!G:G,0)</f>
        <v>1984</v>
      </c>
      <c r="AE83" s="120">
        <f>_xlfn.XLOOKUP(AF83, 'Model VMT by TAZ'!A:A,'Model VMT by TAZ'!E:E,0)</f>
        <v>74393.61</v>
      </c>
      <c r="AF83">
        <v>1610</v>
      </c>
      <c r="AH83" t="s">
        <v>1162</v>
      </c>
      <c r="AI83" t="s">
        <v>1162</v>
      </c>
      <c r="AJ83">
        <v>0</v>
      </c>
      <c r="AK83">
        <v>3317482</v>
      </c>
      <c r="AL83">
        <v>9635.9564279999995</v>
      </c>
      <c r="AM83">
        <v>3317468.8784340001</v>
      </c>
    </row>
    <row r="84" spans="1:39" x14ac:dyDescent="0.35">
      <c r="A84">
        <v>79</v>
      </c>
      <c r="B84">
        <v>756</v>
      </c>
      <c r="C84" s="120">
        <f>_xlfn.XLOOKUP(B84,'Model VMT by TAZ'!A:A,'Model VMT by TAZ'!E:E,0)</f>
        <v>29365.84</v>
      </c>
      <c r="D84" s="120">
        <f>_xlfn.XLOOKUP(B84,'Other Model Data by TAZ'!A:A,'Other Model Data by TAZ'!G:G,0)</f>
        <v>272</v>
      </c>
      <c r="E84" s="117">
        <f>_xlfn.XLOOKUP(B84,'Model Modeshare by TAZ'!A:A,'Model Modeshare by TAZ'!E:E,0)+_xlfn.XLOOKUP(B84,'Model Modeshare by TAZ'!$A:$A,'Model Modeshare by TAZ'!F:F,0)</f>
        <v>2424.38</v>
      </c>
      <c r="F84" s="117">
        <f>_xlfn.XLOOKUP(B84,'Model Modeshare by TAZ'!A:A,'Model Modeshare by TAZ'!$G:$G,0)</f>
        <v>76.92</v>
      </c>
      <c r="G84" s="117">
        <f>_xlfn.XLOOKUP(B84,'Model Modeshare by TAZ'!A:A,'Model Modeshare by TAZ'!$J:$J,0)</f>
        <v>2766.28</v>
      </c>
      <c r="H84">
        <v>500300</v>
      </c>
      <c r="I84">
        <v>1687109</v>
      </c>
      <c r="L84">
        <v>81</v>
      </c>
      <c r="M84" t="s">
        <v>1161</v>
      </c>
      <c r="N84">
        <v>2718</v>
      </c>
      <c r="O84" s="120">
        <f>_xlfn.XLOOKUP(Q84,'Other Model Data by TAZ'!A:A,'Other Model Data by TAZ'!G:G,0)</f>
        <v>1025</v>
      </c>
      <c r="P84" s="120">
        <f>_xlfn.XLOOKUP(Q84, 'Model VMT by TAZ'!A:A,'Model VMT by TAZ'!E:E,0)</f>
        <v>37084.92</v>
      </c>
      <c r="Q84">
        <v>1540</v>
      </c>
      <c r="S84" t="s">
        <v>1162</v>
      </c>
      <c r="T84" t="s">
        <v>1162</v>
      </c>
      <c r="U84">
        <v>0</v>
      </c>
      <c r="V84">
        <v>1942320</v>
      </c>
      <c r="W84">
        <v>7860.3532949999999</v>
      </c>
      <c r="X84">
        <v>1942312.195272</v>
      </c>
      <c r="AA84">
        <v>86</v>
      </c>
      <c r="AB84" t="s">
        <v>1161</v>
      </c>
      <c r="AC84">
        <v>2723</v>
      </c>
      <c r="AD84" s="120">
        <f>_xlfn.XLOOKUP(AF84,'Other Model Data by TAZ'!A:A,'Other Model Data by TAZ'!G:G,0)</f>
        <v>2531</v>
      </c>
      <c r="AE84" s="120">
        <f>_xlfn.XLOOKUP(AF84, 'Model VMT by TAZ'!A:A,'Model VMT by TAZ'!E:E,0)</f>
        <v>73696.11</v>
      </c>
      <c r="AF84">
        <v>1545</v>
      </c>
      <c r="AH84" t="s">
        <v>1162</v>
      </c>
      <c r="AI84" t="s">
        <v>1162</v>
      </c>
      <c r="AJ84">
        <v>0</v>
      </c>
      <c r="AK84">
        <v>7025361</v>
      </c>
      <c r="AL84">
        <v>10664.683321</v>
      </c>
      <c r="AM84">
        <v>7025332.4708000002</v>
      </c>
    </row>
    <row r="85" spans="1:39" x14ac:dyDescent="0.35">
      <c r="A85">
        <v>80</v>
      </c>
      <c r="B85">
        <v>757</v>
      </c>
      <c r="C85" s="120">
        <f>_xlfn.XLOOKUP(B85,'Model VMT by TAZ'!A:A,'Model VMT by TAZ'!E:E,0)</f>
        <v>3820.47</v>
      </c>
      <c r="D85" s="120">
        <f>_xlfn.XLOOKUP(B85,'Other Model Data by TAZ'!A:A,'Other Model Data by TAZ'!G:G,0)</f>
        <v>21</v>
      </c>
      <c r="E85" s="117">
        <f>_xlfn.XLOOKUP(B85,'Model Modeshare by TAZ'!A:A,'Model Modeshare by TAZ'!E:E,0)+_xlfn.XLOOKUP(B85,'Model Modeshare by TAZ'!$A:$A,'Model Modeshare by TAZ'!F:F,0)</f>
        <v>829.56</v>
      </c>
      <c r="F85" s="117">
        <f>_xlfn.XLOOKUP(B85,'Model Modeshare by TAZ'!A:A,'Model Modeshare by TAZ'!$G:$G,0)</f>
        <v>20.96</v>
      </c>
      <c r="G85" s="117">
        <f>_xlfn.XLOOKUP(B85,'Model Modeshare by TAZ'!A:A,'Model Modeshare by TAZ'!$J:$J,0)</f>
        <v>957.9</v>
      </c>
      <c r="H85">
        <v>500300</v>
      </c>
      <c r="I85">
        <v>4075433</v>
      </c>
      <c r="L85">
        <v>82</v>
      </c>
      <c r="M85" t="s">
        <v>1161</v>
      </c>
      <c r="N85">
        <v>2719</v>
      </c>
      <c r="O85" s="120">
        <f>_xlfn.XLOOKUP(Q85,'Other Model Data by TAZ'!A:A,'Other Model Data by TAZ'!G:G,0)</f>
        <v>4232</v>
      </c>
      <c r="P85" s="120">
        <f>_xlfn.XLOOKUP(Q85, 'Model VMT by TAZ'!A:A,'Model VMT by TAZ'!E:E,0)</f>
        <v>113930</v>
      </c>
      <c r="Q85">
        <v>1611</v>
      </c>
      <c r="S85" t="s">
        <v>1162</v>
      </c>
      <c r="T85" t="s">
        <v>1162</v>
      </c>
      <c r="U85">
        <v>0</v>
      </c>
      <c r="V85">
        <v>5584009</v>
      </c>
      <c r="W85">
        <v>9496.0812979999992</v>
      </c>
      <c r="X85">
        <v>5583986.2441729996</v>
      </c>
      <c r="AA85">
        <v>87</v>
      </c>
      <c r="AB85" t="s">
        <v>1161</v>
      </c>
      <c r="AC85">
        <v>2724</v>
      </c>
      <c r="AD85" s="120">
        <f>_xlfn.XLOOKUP(AF85,'Other Model Data by TAZ'!A:A,'Other Model Data by TAZ'!G:G,0)</f>
        <v>2624</v>
      </c>
      <c r="AE85" s="120">
        <f>_xlfn.XLOOKUP(AF85, 'Model VMT by TAZ'!A:A,'Model VMT by TAZ'!E:E,0)</f>
        <v>123848.92</v>
      </c>
      <c r="AF85">
        <v>1547</v>
      </c>
      <c r="AH85" t="s">
        <v>1162</v>
      </c>
      <c r="AI85" t="s">
        <v>1162</v>
      </c>
      <c r="AJ85">
        <v>0</v>
      </c>
      <c r="AK85">
        <v>5755123</v>
      </c>
      <c r="AL85">
        <v>10357.083073</v>
      </c>
      <c r="AM85">
        <v>5755100.4733210001</v>
      </c>
    </row>
    <row r="86" spans="1:39" x14ac:dyDescent="0.35">
      <c r="A86">
        <v>81</v>
      </c>
      <c r="B86">
        <v>758</v>
      </c>
      <c r="C86" s="120">
        <f>_xlfn.XLOOKUP(B86,'Model VMT by TAZ'!A:A,'Model VMT by TAZ'!E:E,0)</f>
        <v>10785.35</v>
      </c>
      <c r="D86" s="120">
        <f>_xlfn.XLOOKUP(B86,'Other Model Data by TAZ'!A:A,'Other Model Data by TAZ'!G:G,0)</f>
        <v>42</v>
      </c>
      <c r="E86" s="117">
        <f>_xlfn.XLOOKUP(B86,'Model Modeshare by TAZ'!A:A,'Model Modeshare by TAZ'!E:E,0)+_xlfn.XLOOKUP(B86,'Model Modeshare by TAZ'!$A:$A,'Model Modeshare by TAZ'!F:F,0)</f>
        <v>775.7</v>
      </c>
      <c r="F86" s="117">
        <f>_xlfn.XLOOKUP(B86,'Model Modeshare by TAZ'!A:A,'Model Modeshare by TAZ'!$G:$G,0)</f>
        <v>12.48</v>
      </c>
      <c r="G86" s="117">
        <f>_xlfn.XLOOKUP(B86,'Model Modeshare by TAZ'!A:A,'Model Modeshare by TAZ'!$J:$J,0)</f>
        <v>884.04</v>
      </c>
      <c r="H86">
        <v>500300</v>
      </c>
      <c r="I86">
        <v>3506678</v>
      </c>
      <c r="L86">
        <v>83</v>
      </c>
      <c r="M86" t="s">
        <v>1161</v>
      </c>
      <c r="N86">
        <v>2720</v>
      </c>
      <c r="O86" s="120">
        <f>_xlfn.XLOOKUP(Q86,'Other Model Data by TAZ'!A:A,'Other Model Data by TAZ'!G:G,0)</f>
        <v>1890</v>
      </c>
      <c r="P86" s="120">
        <f>_xlfn.XLOOKUP(Q86, 'Model VMT by TAZ'!A:A,'Model VMT by TAZ'!E:E,0)</f>
        <v>39518.160000000003</v>
      </c>
      <c r="Q86">
        <v>1537</v>
      </c>
      <c r="S86" t="s">
        <v>1162</v>
      </c>
      <c r="T86" t="s">
        <v>1162</v>
      </c>
      <c r="U86">
        <v>0</v>
      </c>
      <c r="V86">
        <v>4050519</v>
      </c>
      <c r="W86">
        <v>8219.9489749999993</v>
      </c>
      <c r="X86">
        <v>4050502.7906689998</v>
      </c>
      <c r="AA86">
        <v>88</v>
      </c>
      <c r="AB86" t="s">
        <v>1161</v>
      </c>
      <c r="AC86">
        <v>2725</v>
      </c>
      <c r="AD86" s="120">
        <f>_xlfn.XLOOKUP(AF86,'Other Model Data by TAZ'!A:A,'Other Model Data by TAZ'!G:G,0)</f>
        <v>1108</v>
      </c>
      <c r="AE86" s="120">
        <f>_xlfn.XLOOKUP(AF86, 'Model VMT by TAZ'!A:A,'Model VMT by TAZ'!E:E,0)</f>
        <v>99569.47</v>
      </c>
      <c r="AF86">
        <v>1546</v>
      </c>
      <c r="AH86" t="s">
        <v>1162</v>
      </c>
      <c r="AI86" t="s">
        <v>1162</v>
      </c>
      <c r="AJ86">
        <v>0</v>
      </c>
      <c r="AK86">
        <v>4812288</v>
      </c>
      <c r="AL86">
        <v>11058.048036</v>
      </c>
      <c r="AM86">
        <v>4812268.2887260001</v>
      </c>
    </row>
    <row r="87" spans="1:39" x14ac:dyDescent="0.35">
      <c r="A87">
        <v>82</v>
      </c>
      <c r="B87">
        <v>759</v>
      </c>
      <c r="C87" s="120">
        <f>_xlfn.XLOOKUP(B87,'Model VMT by TAZ'!A:A,'Model VMT by TAZ'!E:E,0)</f>
        <v>24609.03</v>
      </c>
      <c r="D87" s="120">
        <f>_xlfn.XLOOKUP(B87,'Other Model Data by TAZ'!A:A,'Other Model Data by TAZ'!G:G,0)</f>
        <v>166</v>
      </c>
      <c r="E87" s="117">
        <f>_xlfn.XLOOKUP(B87,'Model Modeshare by TAZ'!A:A,'Model Modeshare by TAZ'!E:E,0)+_xlfn.XLOOKUP(B87,'Model Modeshare by TAZ'!$A:$A,'Model Modeshare by TAZ'!F:F,0)</f>
        <v>4820.4000000000005</v>
      </c>
      <c r="F87" s="117">
        <f>_xlfn.XLOOKUP(B87,'Model Modeshare by TAZ'!A:A,'Model Modeshare by TAZ'!$G:$G,0)</f>
        <v>155.86000000000001</v>
      </c>
      <c r="G87" s="117">
        <f>_xlfn.XLOOKUP(B87,'Model Modeshare by TAZ'!A:A,'Model Modeshare by TAZ'!$J:$J,0)</f>
        <v>5443.38</v>
      </c>
      <c r="H87">
        <v>500300</v>
      </c>
      <c r="I87">
        <v>1857590</v>
      </c>
      <c r="L87">
        <v>84</v>
      </c>
      <c r="M87" t="s">
        <v>1161</v>
      </c>
      <c r="N87">
        <v>2721</v>
      </c>
      <c r="O87" s="120">
        <f>_xlfn.XLOOKUP(Q87,'Other Model Data by TAZ'!A:A,'Other Model Data by TAZ'!G:G,0)</f>
        <v>1250</v>
      </c>
      <c r="P87" s="120">
        <f>_xlfn.XLOOKUP(Q87, 'Model VMT by TAZ'!A:A,'Model VMT by TAZ'!E:E,0)</f>
        <v>36792.559999999998</v>
      </c>
      <c r="Q87">
        <v>1536</v>
      </c>
      <c r="S87" t="s">
        <v>1162</v>
      </c>
      <c r="T87" t="s">
        <v>1162</v>
      </c>
      <c r="U87">
        <v>0</v>
      </c>
      <c r="V87">
        <v>2747898</v>
      </c>
      <c r="W87">
        <v>7739.0541949999997</v>
      </c>
      <c r="X87">
        <v>2747886.6132260002</v>
      </c>
      <c r="AA87">
        <v>89</v>
      </c>
      <c r="AB87" t="s">
        <v>1161</v>
      </c>
      <c r="AC87">
        <v>2742</v>
      </c>
      <c r="AD87" s="120">
        <f>_xlfn.XLOOKUP(AF87,'Other Model Data by TAZ'!A:A,'Other Model Data by TAZ'!G:G,0)</f>
        <v>2483</v>
      </c>
      <c r="AE87" s="120">
        <f>_xlfn.XLOOKUP(AF87, 'Model VMT by TAZ'!A:A,'Model VMT by TAZ'!E:E,0)</f>
        <v>70002.179999999993</v>
      </c>
      <c r="AF87">
        <v>1573</v>
      </c>
      <c r="AH87" t="s">
        <v>1162</v>
      </c>
      <c r="AI87" t="s">
        <v>1162</v>
      </c>
      <c r="AJ87">
        <v>0</v>
      </c>
      <c r="AK87">
        <v>3856681</v>
      </c>
      <c r="AL87">
        <v>9695.0026710000002</v>
      </c>
      <c r="AM87">
        <v>3856665.2508439999</v>
      </c>
    </row>
    <row r="88" spans="1:39" x14ac:dyDescent="0.35">
      <c r="A88">
        <v>83</v>
      </c>
      <c r="B88">
        <v>760</v>
      </c>
      <c r="C88" s="120">
        <f>_xlfn.XLOOKUP(B88,'Model VMT by TAZ'!A:A,'Model VMT by TAZ'!E:E,0)</f>
        <v>29240.19</v>
      </c>
      <c r="D88" s="120">
        <f>_xlfn.XLOOKUP(B88,'Other Model Data by TAZ'!A:A,'Other Model Data by TAZ'!G:G,0)</f>
        <v>614</v>
      </c>
      <c r="E88" s="117">
        <f>_xlfn.XLOOKUP(B88,'Model Modeshare by TAZ'!A:A,'Model Modeshare by TAZ'!E:E,0)+_xlfn.XLOOKUP(B88,'Model Modeshare by TAZ'!$A:$A,'Model Modeshare by TAZ'!F:F,0)</f>
        <v>5593.6</v>
      </c>
      <c r="F88" s="117">
        <f>_xlfn.XLOOKUP(B88,'Model Modeshare by TAZ'!A:A,'Model Modeshare by TAZ'!$G:$G,0)</f>
        <v>135.97999999999999</v>
      </c>
      <c r="G88" s="117">
        <f>_xlfn.XLOOKUP(B88,'Model Modeshare by TAZ'!A:A,'Model Modeshare by TAZ'!$J:$J,0)</f>
        <v>7351.16</v>
      </c>
      <c r="H88">
        <v>500400</v>
      </c>
      <c r="I88">
        <v>2140174</v>
      </c>
      <c r="L88">
        <v>85</v>
      </c>
      <c r="M88" t="s">
        <v>1161</v>
      </c>
      <c r="N88">
        <v>2722</v>
      </c>
      <c r="O88" s="120">
        <f>_xlfn.XLOOKUP(Q88,'Other Model Data by TAZ'!A:A,'Other Model Data by TAZ'!G:G,0)</f>
        <v>1984</v>
      </c>
      <c r="P88" s="120">
        <f>_xlfn.XLOOKUP(Q88, 'Model VMT by TAZ'!A:A,'Model VMT by TAZ'!E:E,0)</f>
        <v>74393.61</v>
      </c>
      <c r="Q88">
        <v>1610</v>
      </c>
      <c r="S88" t="s">
        <v>1162</v>
      </c>
      <c r="T88" t="s">
        <v>1162</v>
      </c>
      <c r="U88">
        <v>0</v>
      </c>
      <c r="V88">
        <v>3317482</v>
      </c>
      <c r="W88">
        <v>9635.9564279999995</v>
      </c>
      <c r="X88">
        <v>3317468.8784340001</v>
      </c>
      <c r="AA88">
        <v>90</v>
      </c>
      <c r="AB88" t="s">
        <v>1161</v>
      </c>
      <c r="AC88">
        <v>2743</v>
      </c>
      <c r="AD88" s="120">
        <f>_xlfn.XLOOKUP(AF88,'Other Model Data by TAZ'!A:A,'Other Model Data by TAZ'!G:G,0)</f>
        <v>3300</v>
      </c>
      <c r="AE88" s="120">
        <f>_xlfn.XLOOKUP(AF88, 'Model VMT by TAZ'!A:A,'Model VMT by TAZ'!E:E,0)</f>
        <v>42956.83</v>
      </c>
      <c r="AF88">
        <v>1575</v>
      </c>
      <c r="AH88" t="s">
        <v>1162</v>
      </c>
      <c r="AI88" t="s">
        <v>1162</v>
      </c>
      <c r="AJ88">
        <v>0</v>
      </c>
      <c r="AK88">
        <v>4615093</v>
      </c>
      <c r="AL88">
        <v>10193.396514</v>
      </c>
      <c r="AM88">
        <v>4615075.0387519998</v>
      </c>
    </row>
    <row r="89" spans="1:39" x14ac:dyDescent="0.35">
      <c r="A89">
        <v>84</v>
      </c>
      <c r="B89">
        <v>761</v>
      </c>
      <c r="C89" s="120">
        <f>_xlfn.XLOOKUP(B89,'Model VMT by TAZ'!A:A,'Model VMT by TAZ'!E:E,0)</f>
        <v>29219.46</v>
      </c>
      <c r="D89" s="120">
        <f>_xlfn.XLOOKUP(B89,'Other Model Data by TAZ'!A:A,'Other Model Data by TAZ'!G:G,0)</f>
        <v>626</v>
      </c>
      <c r="E89" s="117">
        <f>_xlfn.XLOOKUP(B89,'Model Modeshare by TAZ'!A:A,'Model Modeshare by TAZ'!E:E,0)+_xlfn.XLOOKUP(B89,'Model Modeshare by TAZ'!$A:$A,'Model Modeshare by TAZ'!F:F,0)</f>
        <v>6546.68</v>
      </c>
      <c r="F89" s="117">
        <f>_xlfn.XLOOKUP(B89,'Model Modeshare by TAZ'!A:A,'Model Modeshare by TAZ'!$G:$G,0)</f>
        <v>222.04</v>
      </c>
      <c r="G89" s="117">
        <f>_xlfn.XLOOKUP(B89,'Model Modeshare by TAZ'!A:A,'Model Modeshare by TAZ'!$J:$J,0)</f>
        <v>8780.5400000000009</v>
      </c>
      <c r="H89">
        <v>500400</v>
      </c>
      <c r="I89">
        <v>3821164</v>
      </c>
      <c r="L89">
        <v>86</v>
      </c>
      <c r="M89" t="s">
        <v>1161</v>
      </c>
      <c r="N89">
        <v>2723</v>
      </c>
      <c r="O89" s="120">
        <f>_xlfn.XLOOKUP(Q89,'Other Model Data by TAZ'!A:A,'Other Model Data by TAZ'!G:G,0)</f>
        <v>2531</v>
      </c>
      <c r="P89" s="120">
        <f>_xlfn.XLOOKUP(Q89, 'Model VMT by TAZ'!A:A,'Model VMT by TAZ'!E:E,0)</f>
        <v>73696.11</v>
      </c>
      <c r="Q89">
        <v>1545</v>
      </c>
      <c r="S89" t="s">
        <v>1162</v>
      </c>
      <c r="T89" t="s">
        <v>1162</v>
      </c>
      <c r="U89">
        <v>0</v>
      </c>
      <c r="V89">
        <v>7025361</v>
      </c>
      <c r="W89">
        <v>10664.683321</v>
      </c>
      <c r="X89">
        <v>7025332.4708000002</v>
      </c>
      <c r="AA89">
        <v>91</v>
      </c>
      <c r="AB89" t="s">
        <v>1161</v>
      </c>
      <c r="AC89">
        <v>2744</v>
      </c>
      <c r="AD89" s="120">
        <f>_xlfn.XLOOKUP(AF89,'Other Model Data by TAZ'!A:A,'Other Model Data by TAZ'!G:G,0)</f>
        <v>489</v>
      </c>
      <c r="AE89" s="120">
        <f>_xlfn.XLOOKUP(AF89, 'Model VMT by TAZ'!A:A,'Model VMT by TAZ'!E:E,0)</f>
        <v>98634.18</v>
      </c>
      <c r="AF89">
        <v>1628</v>
      </c>
      <c r="AH89" t="s">
        <v>1162</v>
      </c>
      <c r="AI89" t="s">
        <v>1162</v>
      </c>
      <c r="AJ89">
        <v>0</v>
      </c>
      <c r="AK89">
        <v>2939435</v>
      </c>
      <c r="AL89">
        <v>9726.0516879999996</v>
      </c>
      <c r="AM89">
        <v>2939423.1482950002</v>
      </c>
    </row>
    <row r="90" spans="1:39" x14ac:dyDescent="0.35">
      <c r="A90">
        <v>85</v>
      </c>
      <c r="B90">
        <v>762</v>
      </c>
      <c r="C90" s="120">
        <f>_xlfn.XLOOKUP(B90,'Model VMT by TAZ'!A:A,'Model VMT by TAZ'!E:E,0)</f>
        <v>14149.65</v>
      </c>
      <c r="D90" s="120">
        <f>_xlfn.XLOOKUP(B90,'Other Model Data by TAZ'!A:A,'Other Model Data by TAZ'!G:G,0)</f>
        <v>566</v>
      </c>
      <c r="E90" s="117">
        <f>_xlfn.XLOOKUP(B90,'Model Modeshare by TAZ'!A:A,'Model Modeshare by TAZ'!E:E,0)+_xlfn.XLOOKUP(B90,'Model Modeshare by TAZ'!$A:$A,'Model Modeshare by TAZ'!F:F,0)</f>
        <v>2391.58</v>
      </c>
      <c r="F90" s="117">
        <f>_xlfn.XLOOKUP(B90,'Model Modeshare by TAZ'!A:A,'Model Modeshare by TAZ'!$G:$G,0)</f>
        <v>57.6</v>
      </c>
      <c r="G90" s="117">
        <f>_xlfn.XLOOKUP(B90,'Model Modeshare by TAZ'!A:A,'Model Modeshare by TAZ'!$J:$J,0)</f>
        <v>2995.36</v>
      </c>
      <c r="H90">
        <v>500400</v>
      </c>
      <c r="I90">
        <v>1995320</v>
      </c>
      <c r="L90">
        <v>87</v>
      </c>
      <c r="M90" t="s">
        <v>1161</v>
      </c>
      <c r="N90">
        <v>2724</v>
      </c>
      <c r="O90" s="120">
        <f>_xlfn.XLOOKUP(Q90,'Other Model Data by TAZ'!A:A,'Other Model Data by TAZ'!G:G,0)</f>
        <v>2624</v>
      </c>
      <c r="P90" s="120">
        <f>_xlfn.XLOOKUP(Q90, 'Model VMT by TAZ'!A:A,'Model VMT by TAZ'!E:E,0)</f>
        <v>123848.92</v>
      </c>
      <c r="Q90">
        <v>1547</v>
      </c>
      <c r="S90" t="s">
        <v>1162</v>
      </c>
      <c r="T90" t="s">
        <v>1162</v>
      </c>
      <c r="U90">
        <v>0</v>
      </c>
      <c r="V90">
        <v>5755123</v>
      </c>
      <c r="W90">
        <v>10357.083073</v>
      </c>
      <c r="X90">
        <v>5755100.4733210001</v>
      </c>
      <c r="AA90">
        <v>92</v>
      </c>
      <c r="AB90" t="s">
        <v>1161</v>
      </c>
      <c r="AC90">
        <v>2745</v>
      </c>
      <c r="AD90" s="120">
        <f>_xlfn.XLOOKUP(AF90,'Other Model Data by TAZ'!A:A,'Other Model Data by TAZ'!G:G,0)</f>
        <v>2841</v>
      </c>
      <c r="AE90" s="120">
        <f>_xlfn.XLOOKUP(AF90, 'Model VMT by TAZ'!A:A,'Model VMT by TAZ'!E:E,0)</f>
        <v>121005.88</v>
      </c>
      <c r="AF90">
        <v>1627</v>
      </c>
      <c r="AH90" t="s">
        <v>1162</v>
      </c>
      <c r="AI90" t="s">
        <v>1162</v>
      </c>
      <c r="AJ90">
        <v>0</v>
      </c>
      <c r="AK90">
        <v>2500466</v>
      </c>
      <c r="AL90">
        <v>7084.7750880000003</v>
      </c>
      <c r="AM90">
        <v>2500456.002694</v>
      </c>
    </row>
    <row r="91" spans="1:39" x14ac:dyDescent="0.35">
      <c r="A91">
        <v>86</v>
      </c>
      <c r="B91">
        <v>763</v>
      </c>
      <c r="C91" s="120">
        <f>_xlfn.XLOOKUP(B91,'Model VMT by TAZ'!A:A,'Model VMT by TAZ'!E:E,0)</f>
        <v>22716.59</v>
      </c>
      <c r="D91" s="120">
        <f>_xlfn.XLOOKUP(B91,'Other Model Data by TAZ'!A:A,'Other Model Data by TAZ'!G:G,0)</f>
        <v>692</v>
      </c>
      <c r="E91" s="117">
        <f>_xlfn.XLOOKUP(B91,'Model Modeshare by TAZ'!A:A,'Model Modeshare by TAZ'!E:E,0)+_xlfn.XLOOKUP(B91,'Model Modeshare by TAZ'!$A:$A,'Model Modeshare by TAZ'!F:F,0)</f>
        <v>3857.2</v>
      </c>
      <c r="F91" s="117">
        <f>_xlfn.XLOOKUP(B91,'Model Modeshare by TAZ'!A:A,'Model Modeshare by TAZ'!$G:$G,0)</f>
        <v>99.48</v>
      </c>
      <c r="G91" s="117">
        <f>_xlfn.XLOOKUP(B91,'Model Modeshare by TAZ'!A:A,'Model Modeshare by TAZ'!$J:$J,0)</f>
        <v>4969.9799999999996</v>
      </c>
      <c r="H91">
        <v>500400</v>
      </c>
      <c r="I91">
        <v>3008375</v>
      </c>
      <c r="L91">
        <v>88</v>
      </c>
      <c r="M91" t="s">
        <v>1161</v>
      </c>
      <c r="N91">
        <v>2725</v>
      </c>
      <c r="O91" s="120">
        <f>_xlfn.XLOOKUP(Q91,'Other Model Data by TAZ'!A:A,'Other Model Data by TAZ'!G:G,0)</f>
        <v>1108</v>
      </c>
      <c r="P91" s="120">
        <f>_xlfn.XLOOKUP(Q91, 'Model VMT by TAZ'!A:A,'Model VMT by TAZ'!E:E,0)</f>
        <v>99569.47</v>
      </c>
      <c r="Q91">
        <v>1546</v>
      </c>
      <c r="S91" t="s">
        <v>1162</v>
      </c>
      <c r="T91" t="s">
        <v>1162</v>
      </c>
      <c r="U91">
        <v>0</v>
      </c>
      <c r="V91">
        <v>4812288</v>
      </c>
      <c r="W91">
        <v>11058.048036</v>
      </c>
      <c r="X91">
        <v>4812268.2887260001</v>
      </c>
      <c r="AA91">
        <v>93</v>
      </c>
      <c r="AB91" t="s">
        <v>1161</v>
      </c>
      <c r="AC91">
        <v>2750</v>
      </c>
      <c r="AD91" s="120">
        <f>_xlfn.XLOOKUP(AF91,'Other Model Data by TAZ'!A:A,'Other Model Data by TAZ'!G:G,0)</f>
        <v>1319</v>
      </c>
      <c r="AE91" s="120">
        <f>_xlfn.XLOOKUP(AF91, 'Model VMT by TAZ'!A:A,'Model VMT by TAZ'!E:E,0)</f>
        <v>24342.959999999999</v>
      </c>
      <c r="AF91">
        <v>1685</v>
      </c>
      <c r="AH91" t="s">
        <v>1162</v>
      </c>
      <c r="AI91" t="s">
        <v>1162</v>
      </c>
      <c r="AJ91">
        <v>0</v>
      </c>
      <c r="AK91">
        <v>23755390</v>
      </c>
      <c r="AL91">
        <v>19651.269699</v>
      </c>
      <c r="AM91">
        <v>23755295.049943998</v>
      </c>
    </row>
    <row r="92" spans="1:39" x14ac:dyDescent="0.35">
      <c r="A92">
        <v>87</v>
      </c>
      <c r="B92">
        <v>764</v>
      </c>
      <c r="C92" s="120">
        <f>_xlfn.XLOOKUP(B92,'Model VMT by TAZ'!A:A,'Model VMT by TAZ'!E:E,0)</f>
        <v>46971.79</v>
      </c>
      <c r="D92" s="120">
        <f>_xlfn.XLOOKUP(B92,'Other Model Data by TAZ'!A:A,'Other Model Data by TAZ'!G:G,0)</f>
        <v>162</v>
      </c>
      <c r="E92" s="117">
        <f>_xlfn.XLOOKUP(B92,'Model Modeshare by TAZ'!A:A,'Model Modeshare by TAZ'!E:E,0)+_xlfn.XLOOKUP(B92,'Model Modeshare by TAZ'!$A:$A,'Model Modeshare by TAZ'!F:F,0)</f>
        <v>1629.26</v>
      </c>
      <c r="F92" s="117">
        <f>_xlfn.XLOOKUP(B92,'Model Modeshare by TAZ'!A:A,'Model Modeshare by TAZ'!$G:$G,0)</f>
        <v>71.06</v>
      </c>
      <c r="G92" s="117">
        <f>_xlfn.XLOOKUP(B92,'Model Modeshare by TAZ'!A:A,'Model Modeshare by TAZ'!$J:$J,0)</f>
        <v>1972.1</v>
      </c>
      <c r="H92">
        <v>500300</v>
      </c>
      <c r="I92">
        <v>2336621</v>
      </c>
      <c r="L92">
        <v>89</v>
      </c>
      <c r="M92" t="s">
        <v>1161</v>
      </c>
      <c r="N92">
        <v>2742</v>
      </c>
      <c r="O92" s="120">
        <f>_xlfn.XLOOKUP(Q92,'Other Model Data by TAZ'!A:A,'Other Model Data by TAZ'!G:G,0)</f>
        <v>2483</v>
      </c>
      <c r="P92" s="120">
        <f>_xlfn.XLOOKUP(Q92, 'Model VMT by TAZ'!A:A,'Model VMT by TAZ'!E:E,0)</f>
        <v>70002.179999999993</v>
      </c>
      <c r="Q92">
        <v>1573</v>
      </c>
      <c r="S92" t="s">
        <v>1162</v>
      </c>
      <c r="T92" t="s">
        <v>1162</v>
      </c>
      <c r="U92">
        <v>0</v>
      </c>
      <c r="V92">
        <v>3856681</v>
      </c>
      <c r="W92">
        <v>9695.0026710000002</v>
      </c>
      <c r="X92">
        <v>3856665.2508439999</v>
      </c>
      <c r="AA92">
        <v>94</v>
      </c>
      <c r="AB92" t="s">
        <v>1161</v>
      </c>
      <c r="AC92">
        <v>2751</v>
      </c>
      <c r="AD92" s="120">
        <f>_xlfn.XLOOKUP(AF92,'Other Model Data by TAZ'!A:A,'Other Model Data by TAZ'!G:G,0)</f>
        <v>449</v>
      </c>
      <c r="AE92" s="120">
        <f>_xlfn.XLOOKUP(AF92, 'Model VMT by TAZ'!A:A,'Model VMT by TAZ'!E:E,0)</f>
        <v>15463.5</v>
      </c>
      <c r="AF92">
        <v>1686</v>
      </c>
      <c r="AH92" t="s">
        <v>1162</v>
      </c>
      <c r="AI92" t="s">
        <v>1162</v>
      </c>
      <c r="AJ92">
        <v>0</v>
      </c>
      <c r="AK92">
        <v>11520911</v>
      </c>
      <c r="AL92">
        <v>14909.457195999999</v>
      </c>
      <c r="AM92">
        <v>11520864.608128</v>
      </c>
    </row>
    <row r="93" spans="1:39" x14ac:dyDescent="0.35">
      <c r="A93">
        <v>88</v>
      </c>
      <c r="B93">
        <v>1372</v>
      </c>
      <c r="C93" s="120">
        <f>_xlfn.XLOOKUP(B93,'Model VMT by TAZ'!A:A,'Model VMT by TAZ'!E:E,0)</f>
        <v>27371.599999999999</v>
      </c>
      <c r="D93" s="120">
        <f>_xlfn.XLOOKUP(B93,'Other Model Data by TAZ'!A:A,'Other Model Data by TAZ'!G:G,0)</f>
        <v>1981</v>
      </c>
      <c r="E93" s="117">
        <f>_xlfn.XLOOKUP(B93,'Model Modeshare by TAZ'!A:A,'Model Modeshare by TAZ'!E:E,0)+_xlfn.XLOOKUP(B93,'Model Modeshare by TAZ'!$A:$A,'Model Modeshare by TAZ'!F:F,0)</f>
        <v>6589.68</v>
      </c>
      <c r="F93" s="117">
        <f>_xlfn.XLOOKUP(B93,'Model Modeshare by TAZ'!A:A,'Model Modeshare by TAZ'!$G:$G,0)</f>
        <v>193.9</v>
      </c>
      <c r="G93" s="117">
        <f>_xlfn.XLOOKUP(B93,'Model Modeshare by TAZ'!A:A,'Model Modeshare by TAZ'!$J:$J,0)</f>
        <v>8695.4</v>
      </c>
      <c r="H93">
        <v>508800</v>
      </c>
      <c r="I93">
        <v>4120900</v>
      </c>
      <c r="L93">
        <v>90</v>
      </c>
      <c r="M93" t="s">
        <v>1161</v>
      </c>
      <c r="N93">
        <v>2743</v>
      </c>
      <c r="O93" s="120">
        <f>_xlfn.XLOOKUP(Q93,'Other Model Data by TAZ'!A:A,'Other Model Data by TAZ'!G:G,0)</f>
        <v>3300</v>
      </c>
      <c r="P93" s="120">
        <f>_xlfn.XLOOKUP(Q93, 'Model VMT by TAZ'!A:A,'Model VMT by TAZ'!E:E,0)</f>
        <v>42956.83</v>
      </c>
      <c r="Q93">
        <v>1575</v>
      </c>
      <c r="S93" t="s">
        <v>1162</v>
      </c>
      <c r="T93" t="s">
        <v>1162</v>
      </c>
      <c r="U93">
        <v>0</v>
      </c>
      <c r="V93">
        <v>4615093</v>
      </c>
      <c r="W93">
        <v>10193.396514</v>
      </c>
      <c r="X93">
        <v>4615075.0387519998</v>
      </c>
      <c r="AA93">
        <v>95</v>
      </c>
      <c r="AB93" t="s">
        <v>1161</v>
      </c>
      <c r="AC93">
        <v>2752</v>
      </c>
      <c r="AD93" s="120">
        <f>_xlfn.XLOOKUP(AF93,'Other Model Data by TAZ'!A:A,'Other Model Data by TAZ'!G:G,0)</f>
        <v>339</v>
      </c>
      <c r="AE93" s="120">
        <f>_xlfn.XLOOKUP(AF93, 'Model VMT by TAZ'!A:A,'Model VMT by TAZ'!E:E,0)</f>
        <v>6018</v>
      </c>
      <c r="AF93">
        <v>1587</v>
      </c>
      <c r="AH93" t="s">
        <v>1162</v>
      </c>
      <c r="AI93" t="s">
        <v>1162</v>
      </c>
      <c r="AJ93">
        <v>0</v>
      </c>
      <c r="AK93">
        <v>6534544</v>
      </c>
      <c r="AL93">
        <v>12299.801328</v>
      </c>
      <c r="AM93">
        <v>6534518.250759</v>
      </c>
    </row>
    <row r="94" spans="1:39" x14ac:dyDescent="0.35">
      <c r="A94">
        <v>89</v>
      </c>
      <c r="B94">
        <v>1448</v>
      </c>
      <c r="C94" s="120">
        <f>_xlfn.XLOOKUP(B94,'Model VMT by TAZ'!A:A,'Model VMT by TAZ'!E:E,0)</f>
        <v>17091.419999999998</v>
      </c>
      <c r="D94" s="120">
        <f>_xlfn.XLOOKUP(B94,'Other Model Data by TAZ'!A:A,'Other Model Data by TAZ'!G:G,0)</f>
        <v>113</v>
      </c>
      <c r="E94" s="117">
        <f>_xlfn.XLOOKUP(B94,'Model Modeshare by TAZ'!A:A,'Model Modeshare by TAZ'!E:E,0)+_xlfn.XLOOKUP(B94,'Model Modeshare by TAZ'!$A:$A,'Model Modeshare by TAZ'!F:F,0)</f>
        <v>11920.880000000001</v>
      </c>
      <c r="F94" s="117">
        <f>_xlfn.XLOOKUP(B94,'Model Modeshare by TAZ'!A:A,'Model Modeshare by TAZ'!$G:$G,0)</f>
        <v>470.02</v>
      </c>
      <c r="G94" s="117">
        <f>_xlfn.XLOOKUP(B94,'Model Modeshare by TAZ'!A:A,'Model Modeshare by TAZ'!$J:$J,0)</f>
        <v>13871.38</v>
      </c>
      <c r="H94">
        <v>508601</v>
      </c>
      <c r="I94">
        <v>1318653</v>
      </c>
      <c r="L94">
        <v>91</v>
      </c>
      <c r="M94" t="s">
        <v>1161</v>
      </c>
      <c r="N94">
        <v>2744</v>
      </c>
      <c r="O94" s="120">
        <f>_xlfn.XLOOKUP(Q94,'Other Model Data by TAZ'!A:A,'Other Model Data by TAZ'!G:G,0)</f>
        <v>489</v>
      </c>
      <c r="P94" s="120">
        <f>_xlfn.XLOOKUP(Q94, 'Model VMT by TAZ'!A:A,'Model VMT by TAZ'!E:E,0)</f>
        <v>98634.18</v>
      </c>
      <c r="Q94">
        <v>1628</v>
      </c>
      <c r="S94" t="s">
        <v>1162</v>
      </c>
      <c r="T94" t="s">
        <v>1162</v>
      </c>
      <c r="U94">
        <v>0</v>
      </c>
      <c r="V94">
        <v>2939435</v>
      </c>
      <c r="W94">
        <v>9726.0516879999996</v>
      </c>
      <c r="X94">
        <v>2939423.1482950002</v>
      </c>
      <c r="AA94">
        <v>96</v>
      </c>
      <c r="AB94" t="s">
        <v>1161</v>
      </c>
      <c r="AC94">
        <v>2753</v>
      </c>
      <c r="AD94" s="120">
        <f>_xlfn.XLOOKUP(AF94,'Other Model Data by TAZ'!A:A,'Other Model Data by TAZ'!G:G,0)</f>
        <v>994</v>
      </c>
      <c r="AE94" s="120">
        <f>_xlfn.XLOOKUP(AF94, 'Model VMT by TAZ'!A:A,'Model VMT by TAZ'!E:E,0)</f>
        <v>53894.12</v>
      </c>
      <c r="AF94">
        <v>1586</v>
      </c>
      <c r="AH94" t="s">
        <v>1162</v>
      </c>
      <c r="AI94" t="s">
        <v>1162</v>
      </c>
      <c r="AJ94">
        <v>0</v>
      </c>
      <c r="AK94">
        <v>4001021</v>
      </c>
      <c r="AL94">
        <v>8243.7983980000008</v>
      </c>
      <c r="AM94">
        <v>4001005.2933740001</v>
      </c>
    </row>
    <row r="95" spans="1:39" x14ac:dyDescent="0.35">
      <c r="A95">
        <v>90</v>
      </c>
      <c r="B95">
        <v>1453</v>
      </c>
      <c r="C95" s="120">
        <f>_xlfn.XLOOKUP(B95,'Model VMT by TAZ'!A:A,'Model VMT by TAZ'!E:E,0)</f>
        <v>13031.72</v>
      </c>
      <c r="D95" s="120">
        <f>_xlfn.XLOOKUP(B95,'Other Model Data by TAZ'!A:A,'Other Model Data by TAZ'!G:G,0)</f>
        <v>938</v>
      </c>
      <c r="E95" s="117">
        <f>_xlfn.XLOOKUP(B95,'Model Modeshare by TAZ'!A:A,'Model Modeshare by TAZ'!E:E,0)+_xlfn.XLOOKUP(B95,'Model Modeshare by TAZ'!$A:$A,'Model Modeshare by TAZ'!F:F,0)</f>
        <v>3487.18</v>
      </c>
      <c r="F95" s="117">
        <f>_xlfn.XLOOKUP(B95,'Model Modeshare by TAZ'!A:A,'Model Modeshare by TAZ'!$G:$G,0)</f>
        <v>82.58</v>
      </c>
      <c r="G95" s="117">
        <f>_xlfn.XLOOKUP(B95,'Model Modeshare by TAZ'!A:A,'Model Modeshare by TAZ'!$J:$J,0)</f>
        <v>4420.8599999999997</v>
      </c>
      <c r="H95">
        <v>508703</v>
      </c>
      <c r="I95">
        <v>3684170</v>
      </c>
      <c r="L95">
        <v>92</v>
      </c>
      <c r="M95" t="s">
        <v>1161</v>
      </c>
      <c r="N95">
        <v>2745</v>
      </c>
      <c r="O95" s="120">
        <f>_xlfn.XLOOKUP(Q95,'Other Model Data by TAZ'!A:A,'Other Model Data by TAZ'!G:G,0)</f>
        <v>2841</v>
      </c>
      <c r="P95" s="120">
        <f>_xlfn.XLOOKUP(Q95, 'Model VMT by TAZ'!A:A,'Model VMT by TAZ'!E:E,0)</f>
        <v>121005.88</v>
      </c>
      <c r="Q95">
        <v>1627</v>
      </c>
      <c r="S95" t="s">
        <v>1162</v>
      </c>
      <c r="T95" t="s">
        <v>1162</v>
      </c>
      <c r="U95">
        <v>0</v>
      </c>
      <c r="V95">
        <v>2500466</v>
      </c>
      <c r="W95">
        <v>7084.7750880000003</v>
      </c>
      <c r="X95">
        <v>2500456.002694</v>
      </c>
      <c r="AA95">
        <v>97</v>
      </c>
      <c r="AB95" t="s">
        <v>1161</v>
      </c>
      <c r="AC95">
        <v>2754</v>
      </c>
      <c r="AD95" s="120">
        <f>_xlfn.XLOOKUP(AF95,'Other Model Data by TAZ'!A:A,'Other Model Data by TAZ'!G:G,0)</f>
        <v>522</v>
      </c>
      <c r="AE95" s="120">
        <f>_xlfn.XLOOKUP(AF95, 'Model VMT by TAZ'!A:A,'Model VMT by TAZ'!E:E,0)</f>
        <v>15737.96</v>
      </c>
      <c r="AF95">
        <v>1584</v>
      </c>
      <c r="AH95" t="s">
        <v>1162</v>
      </c>
      <c r="AI95" t="s">
        <v>1162</v>
      </c>
      <c r="AJ95">
        <v>0</v>
      </c>
      <c r="AK95">
        <v>3997959</v>
      </c>
      <c r="AL95">
        <v>9226.3663250000009</v>
      </c>
      <c r="AM95">
        <v>3997942.7404240002</v>
      </c>
    </row>
    <row r="96" spans="1:39" x14ac:dyDescent="0.35">
      <c r="A96">
        <v>91</v>
      </c>
      <c r="B96">
        <v>1454</v>
      </c>
      <c r="C96" s="120">
        <f>_xlfn.XLOOKUP(B96,'Model VMT by TAZ'!A:A,'Model VMT by TAZ'!E:E,0)</f>
        <v>77476.009999999995</v>
      </c>
      <c r="D96" s="120">
        <f>_xlfn.XLOOKUP(B96,'Other Model Data by TAZ'!A:A,'Other Model Data by TAZ'!G:G,0)</f>
        <v>3376</v>
      </c>
      <c r="E96" s="117">
        <f>_xlfn.XLOOKUP(B96,'Model Modeshare by TAZ'!A:A,'Model Modeshare by TAZ'!E:E,0)+_xlfn.XLOOKUP(B96,'Model Modeshare by TAZ'!$A:$A,'Model Modeshare by TAZ'!F:F,0)</f>
        <v>15930.12</v>
      </c>
      <c r="F96" s="117">
        <f>_xlfn.XLOOKUP(B96,'Model Modeshare by TAZ'!A:A,'Model Modeshare by TAZ'!$G:$G,0)</f>
        <v>464.84</v>
      </c>
      <c r="G96" s="117">
        <f>_xlfn.XLOOKUP(B96,'Model Modeshare by TAZ'!A:A,'Model Modeshare by TAZ'!$J:$J,0)</f>
        <v>18617.46</v>
      </c>
      <c r="H96">
        <v>508703</v>
      </c>
      <c r="I96">
        <v>6152916</v>
      </c>
      <c r="L96">
        <v>93</v>
      </c>
      <c r="M96" t="s">
        <v>1161</v>
      </c>
      <c r="N96">
        <v>2750</v>
      </c>
      <c r="O96" s="120">
        <f>_xlfn.XLOOKUP(Q96,'Other Model Data by TAZ'!A:A,'Other Model Data by TAZ'!G:G,0)</f>
        <v>1319</v>
      </c>
      <c r="P96" s="120">
        <f>_xlfn.XLOOKUP(Q96, 'Model VMT by TAZ'!A:A,'Model VMT by TAZ'!E:E,0)</f>
        <v>24342.959999999999</v>
      </c>
      <c r="Q96">
        <v>1685</v>
      </c>
      <c r="S96" t="s">
        <v>1162</v>
      </c>
      <c r="T96" t="s">
        <v>1162</v>
      </c>
      <c r="U96">
        <v>0</v>
      </c>
      <c r="V96">
        <v>23755390</v>
      </c>
      <c r="W96">
        <v>19651.269699</v>
      </c>
      <c r="X96">
        <v>23755295.049943998</v>
      </c>
      <c r="AA96">
        <v>98</v>
      </c>
      <c r="AB96" t="s">
        <v>1161</v>
      </c>
      <c r="AC96">
        <v>2755</v>
      </c>
      <c r="AD96" s="120">
        <f>_xlfn.XLOOKUP(AF96,'Other Model Data by TAZ'!A:A,'Other Model Data by TAZ'!G:G,0)</f>
        <v>590</v>
      </c>
      <c r="AE96" s="120">
        <f>_xlfn.XLOOKUP(AF96, 'Model VMT by TAZ'!A:A,'Model VMT by TAZ'!E:E,0)</f>
        <v>13210.43</v>
      </c>
      <c r="AF96">
        <v>1633</v>
      </c>
      <c r="AH96" t="s">
        <v>1162</v>
      </c>
      <c r="AI96" t="s">
        <v>1162</v>
      </c>
      <c r="AJ96">
        <v>0</v>
      </c>
      <c r="AK96">
        <v>12420049</v>
      </c>
      <c r="AL96">
        <v>22114.884805000002</v>
      </c>
      <c r="AM96">
        <v>12419998.827493999</v>
      </c>
    </row>
    <row r="97" spans="1:39" x14ac:dyDescent="0.35">
      <c r="A97">
        <v>92</v>
      </c>
      <c r="B97">
        <v>1459</v>
      </c>
      <c r="C97" s="120">
        <f>_xlfn.XLOOKUP(B97,'Model VMT by TAZ'!A:A,'Model VMT by TAZ'!E:E,0)</f>
        <v>25397.84</v>
      </c>
      <c r="D97" s="120">
        <f>_xlfn.XLOOKUP(B97,'Other Model Data by TAZ'!A:A,'Other Model Data by TAZ'!G:G,0)</f>
        <v>1551</v>
      </c>
      <c r="E97" s="117">
        <f>_xlfn.XLOOKUP(B97,'Model Modeshare by TAZ'!A:A,'Model Modeshare by TAZ'!E:E,0)+_xlfn.XLOOKUP(B97,'Model Modeshare by TAZ'!$A:$A,'Model Modeshare by TAZ'!F:F,0)</f>
        <v>8889.86</v>
      </c>
      <c r="F97" s="117">
        <f>_xlfn.XLOOKUP(B97,'Model Modeshare by TAZ'!A:A,'Model Modeshare by TAZ'!$G:$G,0)</f>
        <v>247.62</v>
      </c>
      <c r="G97" s="117">
        <f>_xlfn.XLOOKUP(B97,'Model Modeshare by TAZ'!A:A,'Model Modeshare by TAZ'!$J:$J,0)</f>
        <v>10521.46</v>
      </c>
      <c r="H97">
        <v>508506</v>
      </c>
      <c r="I97">
        <v>6187655</v>
      </c>
      <c r="L97">
        <v>94</v>
      </c>
      <c r="M97" t="s">
        <v>1161</v>
      </c>
      <c r="N97">
        <v>2751</v>
      </c>
      <c r="O97" s="120">
        <f>_xlfn.XLOOKUP(Q97,'Other Model Data by TAZ'!A:A,'Other Model Data by TAZ'!G:G,0)</f>
        <v>449</v>
      </c>
      <c r="P97" s="120">
        <f>_xlfn.XLOOKUP(Q97, 'Model VMT by TAZ'!A:A,'Model VMT by TAZ'!E:E,0)</f>
        <v>15463.5</v>
      </c>
      <c r="Q97">
        <v>1686</v>
      </c>
      <c r="S97" t="s">
        <v>1162</v>
      </c>
      <c r="T97" t="s">
        <v>1162</v>
      </c>
      <c r="U97">
        <v>0</v>
      </c>
      <c r="V97">
        <v>11520911</v>
      </c>
      <c r="W97">
        <v>14909.457195999999</v>
      </c>
      <c r="X97">
        <v>11520864.608128</v>
      </c>
      <c r="AA97">
        <v>99</v>
      </c>
      <c r="AB97" t="s">
        <v>1161</v>
      </c>
      <c r="AC97">
        <v>2756</v>
      </c>
      <c r="AD97" s="120">
        <f>_xlfn.XLOOKUP(AF97,'Other Model Data by TAZ'!A:A,'Other Model Data by TAZ'!G:G,0)</f>
        <v>2480</v>
      </c>
      <c r="AE97" s="120">
        <f>_xlfn.XLOOKUP(AF97, 'Model VMT by TAZ'!A:A,'Model VMT by TAZ'!E:E,0)</f>
        <v>223046.17</v>
      </c>
      <c r="AF97">
        <v>1585</v>
      </c>
      <c r="AH97" t="s">
        <v>1162</v>
      </c>
      <c r="AI97" t="s">
        <v>1162</v>
      </c>
      <c r="AJ97">
        <v>0</v>
      </c>
      <c r="AK97">
        <v>9209268</v>
      </c>
      <c r="AL97">
        <v>17627.748288999999</v>
      </c>
      <c r="AM97">
        <v>9209230.8379919995</v>
      </c>
    </row>
    <row r="98" spans="1:39" x14ac:dyDescent="0.35">
      <c r="A98">
        <v>93</v>
      </c>
      <c r="B98">
        <v>442</v>
      </c>
      <c r="C98" s="120">
        <f>_xlfn.XLOOKUP(B98,'Model VMT by TAZ'!A:A,'Model VMT by TAZ'!E:E,0)</f>
        <v>21750.99</v>
      </c>
      <c r="D98" s="120">
        <f>_xlfn.XLOOKUP(B98,'Other Model Data by TAZ'!A:A,'Other Model Data by TAZ'!G:G,0)</f>
        <v>91</v>
      </c>
      <c r="E98" s="117">
        <f>_xlfn.XLOOKUP(B98,'Model Modeshare by TAZ'!A:A,'Model Modeshare by TAZ'!E:E,0)+_xlfn.XLOOKUP(B98,'Model Modeshare by TAZ'!$A:$A,'Model Modeshare by TAZ'!F:F,0)</f>
        <v>3392.68</v>
      </c>
      <c r="F98" s="117">
        <f>_xlfn.XLOOKUP(B98,'Model Modeshare by TAZ'!A:A,'Model Modeshare by TAZ'!$G:$G,0)</f>
        <v>678.02</v>
      </c>
      <c r="G98" s="117">
        <f>_xlfn.XLOOKUP(B98,'Model Modeshare by TAZ'!A:A,'Model Modeshare by TAZ'!$J:$J,0)</f>
        <v>5845.82</v>
      </c>
      <c r="H98">
        <v>511500</v>
      </c>
      <c r="I98">
        <v>622740</v>
      </c>
      <c r="L98">
        <v>95</v>
      </c>
      <c r="M98" t="s">
        <v>1161</v>
      </c>
      <c r="N98">
        <v>2752</v>
      </c>
      <c r="O98" s="120">
        <f>_xlfn.XLOOKUP(Q98,'Other Model Data by TAZ'!A:A,'Other Model Data by TAZ'!G:G,0)</f>
        <v>339</v>
      </c>
      <c r="P98" s="120">
        <f>_xlfn.XLOOKUP(Q98, 'Model VMT by TAZ'!A:A,'Model VMT by TAZ'!E:E,0)</f>
        <v>6018</v>
      </c>
      <c r="Q98">
        <v>1587</v>
      </c>
      <c r="S98" t="s">
        <v>1162</v>
      </c>
      <c r="T98" t="s">
        <v>1162</v>
      </c>
      <c r="U98">
        <v>0</v>
      </c>
      <c r="V98">
        <v>6534544</v>
      </c>
      <c r="W98">
        <v>12299.801328</v>
      </c>
      <c r="X98">
        <v>6534518.250759</v>
      </c>
      <c r="AA98">
        <v>100</v>
      </c>
      <c r="AB98" t="s">
        <v>1161</v>
      </c>
      <c r="AC98">
        <v>2771</v>
      </c>
      <c r="AD98" s="120">
        <f>_xlfn.XLOOKUP(AF98,'Other Model Data by TAZ'!A:A,'Other Model Data by TAZ'!G:G,0)</f>
        <v>0</v>
      </c>
      <c r="AE98" s="120">
        <f>_xlfn.XLOOKUP(AF98, 'Model VMT by TAZ'!A:A,'Model VMT by TAZ'!E:E,0)</f>
        <v>26890.77</v>
      </c>
      <c r="AF98">
        <v>1669</v>
      </c>
      <c r="AH98" t="s">
        <v>1162</v>
      </c>
      <c r="AI98" t="s">
        <v>1162</v>
      </c>
      <c r="AJ98">
        <v>0</v>
      </c>
      <c r="AK98">
        <v>7213493</v>
      </c>
      <c r="AL98">
        <v>13948.753787</v>
      </c>
      <c r="AM98">
        <v>7213463.8066469999</v>
      </c>
    </row>
    <row r="99" spans="1:39" x14ac:dyDescent="0.35">
      <c r="A99">
        <v>94</v>
      </c>
      <c r="B99">
        <v>443</v>
      </c>
      <c r="C99" s="120">
        <f>_xlfn.XLOOKUP(B99,'Model VMT by TAZ'!A:A,'Model VMT by TAZ'!E:E,0)</f>
        <v>79237.41</v>
      </c>
      <c r="D99" s="120">
        <f>_xlfn.XLOOKUP(B99,'Other Model Data by TAZ'!A:A,'Other Model Data by TAZ'!G:G,0)</f>
        <v>222</v>
      </c>
      <c r="E99" s="117">
        <f>_xlfn.XLOOKUP(B99,'Model Modeshare by TAZ'!A:A,'Model Modeshare by TAZ'!E:E,0)+_xlfn.XLOOKUP(B99,'Model Modeshare by TAZ'!$A:$A,'Model Modeshare by TAZ'!F:F,0)</f>
        <v>13437.36</v>
      </c>
      <c r="F99" s="117">
        <f>_xlfn.XLOOKUP(B99,'Model Modeshare by TAZ'!A:A,'Model Modeshare by TAZ'!$G:$G,0)</f>
        <v>2140.06</v>
      </c>
      <c r="G99" s="117">
        <f>_xlfn.XLOOKUP(B99,'Model Modeshare by TAZ'!A:A,'Model Modeshare by TAZ'!$J:$J,0)</f>
        <v>20165.98</v>
      </c>
      <c r="H99">
        <v>511604</v>
      </c>
      <c r="I99">
        <v>2516712</v>
      </c>
      <c r="L99">
        <v>96</v>
      </c>
      <c r="M99" t="s">
        <v>1161</v>
      </c>
      <c r="N99">
        <v>2753</v>
      </c>
      <c r="O99" s="120">
        <f>_xlfn.XLOOKUP(Q99,'Other Model Data by TAZ'!A:A,'Other Model Data by TAZ'!G:G,0)</f>
        <v>994</v>
      </c>
      <c r="P99" s="120">
        <f>_xlfn.XLOOKUP(Q99, 'Model VMT by TAZ'!A:A,'Model VMT by TAZ'!E:E,0)</f>
        <v>53894.12</v>
      </c>
      <c r="Q99">
        <v>1586</v>
      </c>
      <c r="S99" t="s">
        <v>1162</v>
      </c>
      <c r="T99" t="s">
        <v>1162</v>
      </c>
      <c r="U99">
        <v>0</v>
      </c>
      <c r="V99">
        <v>4001021</v>
      </c>
      <c r="W99">
        <v>8243.7983980000008</v>
      </c>
      <c r="X99">
        <v>4001005.2933740001</v>
      </c>
      <c r="AA99">
        <v>101</v>
      </c>
      <c r="AB99" t="s">
        <v>1161</v>
      </c>
      <c r="AC99">
        <v>2772</v>
      </c>
      <c r="AD99" s="120">
        <f>_xlfn.XLOOKUP(AF99,'Other Model Data by TAZ'!A:A,'Other Model Data by TAZ'!G:G,0)</f>
        <v>46</v>
      </c>
      <c r="AE99" s="120">
        <f>_xlfn.XLOOKUP(AF99, 'Model VMT by TAZ'!A:A,'Model VMT by TAZ'!E:E,0)</f>
        <v>117318.96</v>
      </c>
      <c r="AF99">
        <v>1670</v>
      </c>
      <c r="AH99" t="s">
        <v>1162</v>
      </c>
      <c r="AI99" t="s">
        <v>1162</v>
      </c>
      <c r="AJ99">
        <v>0</v>
      </c>
      <c r="AK99">
        <v>7284932</v>
      </c>
      <c r="AL99">
        <v>14142.213191999999</v>
      </c>
      <c r="AM99">
        <v>7284902.472108</v>
      </c>
    </row>
    <row r="100" spans="1:39" x14ac:dyDescent="0.35">
      <c r="A100">
        <v>95</v>
      </c>
      <c r="B100">
        <v>362</v>
      </c>
      <c r="C100" s="120">
        <f>_xlfn.XLOOKUP(B100,'Model VMT by TAZ'!A:A,'Model VMT by TAZ'!E:E,0)</f>
        <v>266993.67</v>
      </c>
      <c r="D100" s="120">
        <f>_xlfn.XLOOKUP(B100,'Other Model Data by TAZ'!A:A,'Other Model Data by TAZ'!G:G,0)</f>
        <v>3726</v>
      </c>
      <c r="E100" s="117">
        <f>_xlfn.XLOOKUP(B100,'Model Modeshare by TAZ'!A:A,'Model Modeshare by TAZ'!E:E,0)+_xlfn.XLOOKUP(B100,'Model Modeshare by TAZ'!$A:$A,'Model Modeshare by TAZ'!F:F,0)</f>
        <v>25246.480000000003</v>
      </c>
      <c r="F100" s="117">
        <f>_xlfn.XLOOKUP(B100,'Model Modeshare by TAZ'!A:A,'Model Modeshare by TAZ'!$G:$G,0)</f>
        <v>925.96</v>
      </c>
      <c r="G100" s="117">
        <f>_xlfn.XLOOKUP(B100,'Model Modeshare by TAZ'!A:A,'Model Modeshare by TAZ'!$J:$J,0)</f>
        <v>30670.84</v>
      </c>
      <c r="H100">
        <v>509404</v>
      </c>
      <c r="I100">
        <v>6415052</v>
      </c>
      <c r="L100">
        <v>97</v>
      </c>
      <c r="M100" t="s">
        <v>1161</v>
      </c>
      <c r="N100">
        <v>2754</v>
      </c>
      <c r="O100" s="120">
        <f>_xlfn.XLOOKUP(Q100,'Other Model Data by TAZ'!A:A,'Other Model Data by TAZ'!G:G,0)</f>
        <v>522</v>
      </c>
      <c r="P100" s="120">
        <f>_xlfn.XLOOKUP(Q100, 'Model VMT by TAZ'!A:A,'Model VMT by TAZ'!E:E,0)</f>
        <v>15737.96</v>
      </c>
      <c r="Q100">
        <v>1584</v>
      </c>
      <c r="S100" t="s">
        <v>1162</v>
      </c>
      <c r="T100" t="s">
        <v>1162</v>
      </c>
      <c r="U100">
        <v>0</v>
      </c>
      <c r="V100">
        <v>3997959</v>
      </c>
      <c r="W100">
        <v>9226.3663250000009</v>
      </c>
      <c r="X100">
        <v>3997942.7404240002</v>
      </c>
      <c r="AA100">
        <v>102</v>
      </c>
      <c r="AB100" t="s">
        <v>1161</v>
      </c>
      <c r="AC100">
        <v>2773</v>
      </c>
      <c r="AD100" s="120">
        <f>_xlfn.XLOOKUP(AF100,'Other Model Data by TAZ'!A:A,'Other Model Data by TAZ'!G:G,0)</f>
        <v>1391</v>
      </c>
      <c r="AE100" s="120">
        <f>_xlfn.XLOOKUP(AF100, 'Model VMT by TAZ'!A:A,'Model VMT by TAZ'!E:E,0)</f>
        <v>86429.56</v>
      </c>
      <c r="AF100">
        <v>1567</v>
      </c>
      <c r="AH100" t="s">
        <v>1162</v>
      </c>
      <c r="AI100" t="s">
        <v>1162</v>
      </c>
      <c r="AJ100">
        <v>0</v>
      </c>
      <c r="AK100">
        <v>5405765</v>
      </c>
      <c r="AL100">
        <v>11003.595415</v>
      </c>
      <c r="AM100">
        <v>5405742.9323540004</v>
      </c>
    </row>
    <row r="101" spans="1:39" x14ac:dyDescent="0.35">
      <c r="A101">
        <v>96</v>
      </c>
      <c r="B101">
        <v>828</v>
      </c>
      <c r="C101" s="120">
        <f>_xlfn.XLOOKUP(B101,'Model VMT by TAZ'!A:A,'Model VMT by TAZ'!E:E,0)</f>
        <v>55992.36</v>
      </c>
      <c r="D101" s="120">
        <f>_xlfn.XLOOKUP(B101,'Other Model Data by TAZ'!A:A,'Other Model Data by TAZ'!G:G,0)</f>
        <v>12</v>
      </c>
      <c r="E101" s="117">
        <f>_xlfn.XLOOKUP(B101,'Model Modeshare by TAZ'!A:A,'Model Modeshare by TAZ'!E:E,0)+_xlfn.XLOOKUP(B101,'Model Modeshare by TAZ'!$A:$A,'Model Modeshare by TAZ'!F:F,0)</f>
        <v>2165.1</v>
      </c>
      <c r="F101" s="117">
        <f>_xlfn.XLOOKUP(B101,'Model Modeshare by TAZ'!A:A,'Model Modeshare by TAZ'!$G:$G,0)</f>
        <v>49.2</v>
      </c>
      <c r="G101" s="117">
        <f>_xlfn.XLOOKUP(B101,'Model Modeshare by TAZ'!A:A,'Model Modeshare by TAZ'!$J:$J,0)</f>
        <v>2353.6</v>
      </c>
      <c r="H101">
        <v>505100</v>
      </c>
      <c r="I101">
        <v>17037552</v>
      </c>
      <c r="L101">
        <v>98</v>
      </c>
      <c r="M101" t="s">
        <v>1161</v>
      </c>
      <c r="N101">
        <v>2755</v>
      </c>
      <c r="O101" s="120">
        <f>_xlfn.XLOOKUP(Q101,'Other Model Data by TAZ'!A:A,'Other Model Data by TAZ'!G:G,0)</f>
        <v>590</v>
      </c>
      <c r="P101" s="120">
        <f>_xlfn.XLOOKUP(Q101, 'Model VMT by TAZ'!A:A,'Model VMT by TAZ'!E:E,0)</f>
        <v>13210.43</v>
      </c>
      <c r="Q101">
        <v>1633</v>
      </c>
      <c r="S101" t="s">
        <v>1162</v>
      </c>
      <c r="T101" t="s">
        <v>1162</v>
      </c>
      <c r="U101">
        <v>0</v>
      </c>
      <c r="V101">
        <v>12420049</v>
      </c>
      <c r="W101">
        <v>22114.884805000002</v>
      </c>
      <c r="X101">
        <v>12419998.827493999</v>
      </c>
      <c r="AA101">
        <v>103</v>
      </c>
      <c r="AB101" t="s">
        <v>1161</v>
      </c>
      <c r="AC101">
        <v>2774</v>
      </c>
      <c r="AD101" s="120">
        <f>_xlfn.XLOOKUP(AF101,'Other Model Data by TAZ'!A:A,'Other Model Data by TAZ'!G:G,0)</f>
        <v>496</v>
      </c>
      <c r="AE101" s="120">
        <f>_xlfn.XLOOKUP(AF101, 'Model VMT by TAZ'!A:A,'Model VMT by TAZ'!E:E,0)</f>
        <v>82469.490000000005</v>
      </c>
      <c r="AF101">
        <v>1543</v>
      </c>
      <c r="AH101" t="s">
        <v>1162</v>
      </c>
      <c r="AI101" t="s">
        <v>1162</v>
      </c>
      <c r="AJ101">
        <v>0</v>
      </c>
      <c r="AK101">
        <v>6266285</v>
      </c>
      <c r="AL101">
        <v>18037.805903</v>
      </c>
      <c r="AM101">
        <v>6266259.9828570001</v>
      </c>
    </row>
    <row r="102" spans="1:39" x14ac:dyDescent="0.35">
      <c r="A102">
        <v>97</v>
      </c>
      <c r="B102">
        <v>1221</v>
      </c>
      <c r="C102" s="120">
        <f>_xlfn.XLOOKUP(B102,'Model VMT by TAZ'!A:A,'Model VMT by TAZ'!E:E,0)</f>
        <v>24356.57</v>
      </c>
      <c r="D102" s="120">
        <f>_xlfn.XLOOKUP(B102,'Other Model Data by TAZ'!A:A,'Other Model Data by TAZ'!G:G,0)</f>
        <v>547</v>
      </c>
      <c r="E102" s="117">
        <f>_xlfn.XLOOKUP(B102,'Model Modeshare by TAZ'!A:A,'Model Modeshare by TAZ'!E:E,0)+_xlfn.XLOOKUP(B102,'Model Modeshare by TAZ'!$A:$A,'Model Modeshare by TAZ'!F:F,0)</f>
        <v>4514.9399999999996</v>
      </c>
      <c r="F102" s="117">
        <f>_xlfn.XLOOKUP(B102,'Model Modeshare by TAZ'!A:A,'Model Modeshare by TAZ'!$G:$G,0)</f>
        <v>111.74</v>
      </c>
      <c r="G102" s="117">
        <f>_xlfn.XLOOKUP(B102,'Model Modeshare by TAZ'!A:A,'Model Modeshare by TAZ'!$J:$J,0)</f>
        <v>5814.66</v>
      </c>
      <c r="H102">
        <v>505203</v>
      </c>
      <c r="I102">
        <v>1405603</v>
      </c>
      <c r="L102">
        <v>99</v>
      </c>
      <c r="M102" t="s">
        <v>1161</v>
      </c>
      <c r="N102">
        <v>2756</v>
      </c>
      <c r="O102" s="120">
        <f>_xlfn.XLOOKUP(Q102,'Other Model Data by TAZ'!A:A,'Other Model Data by TAZ'!G:G,0)</f>
        <v>2480</v>
      </c>
      <c r="P102" s="120">
        <f>_xlfn.XLOOKUP(Q102, 'Model VMT by TAZ'!A:A,'Model VMT by TAZ'!E:E,0)</f>
        <v>223046.17</v>
      </c>
      <c r="Q102">
        <v>1585</v>
      </c>
      <c r="S102" t="s">
        <v>1162</v>
      </c>
      <c r="T102" t="s">
        <v>1162</v>
      </c>
      <c r="U102">
        <v>0</v>
      </c>
      <c r="V102">
        <v>9209268</v>
      </c>
      <c r="W102">
        <v>17627.748288999999</v>
      </c>
      <c r="X102">
        <v>9209230.8379919995</v>
      </c>
      <c r="AA102">
        <v>104</v>
      </c>
      <c r="AB102" t="s">
        <v>1161</v>
      </c>
      <c r="AC102">
        <v>2776</v>
      </c>
      <c r="AD102" s="120">
        <f>_xlfn.XLOOKUP(AF102,'Other Model Data by TAZ'!A:A,'Other Model Data by TAZ'!G:G,0)</f>
        <v>2341</v>
      </c>
      <c r="AE102" s="120">
        <f>_xlfn.XLOOKUP(AF102, 'Model VMT by TAZ'!A:A,'Model VMT by TAZ'!E:E,0)</f>
        <v>70504.86</v>
      </c>
      <c r="AF102">
        <v>1657</v>
      </c>
      <c r="AH102" t="s">
        <v>1162</v>
      </c>
      <c r="AI102" t="s">
        <v>1162</v>
      </c>
      <c r="AJ102">
        <v>0</v>
      </c>
      <c r="AK102">
        <v>7033142</v>
      </c>
      <c r="AL102">
        <v>13093.572538</v>
      </c>
      <c r="AM102">
        <v>7033114.151389</v>
      </c>
    </row>
    <row r="103" spans="1:39" x14ac:dyDescent="0.35">
      <c r="A103">
        <v>98</v>
      </c>
      <c r="B103">
        <v>1475</v>
      </c>
      <c r="C103" s="120">
        <f>_xlfn.XLOOKUP(B103,'Model VMT by TAZ'!A:A,'Model VMT by TAZ'!E:E,0)</f>
        <v>32089.35</v>
      </c>
      <c r="D103" s="120">
        <f>_xlfn.XLOOKUP(B103,'Other Model Data by TAZ'!A:A,'Other Model Data by TAZ'!G:G,0)</f>
        <v>138</v>
      </c>
      <c r="E103" s="117">
        <f>_xlfn.XLOOKUP(B103,'Model Modeshare by TAZ'!A:A,'Model Modeshare by TAZ'!E:E,0)+_xlfn.XLOOKUP(B103,'Model Modeshare by TAZ'!$A:$A,'Model Modeshare by TAZ'!F:F,0)</f>
        <v>7863</v>
      </c>
      <c r="F103" s="117">
        <f>_xlfn.XLOOKUP(B103,'Model Modeshare by TAZ'!A:A,'Model Modeshare by TAZ'!$G:$G,0)</f>
        <v>268.22000000000003</v>
      </c>
      <c r="G103" s="117">
        <f>_xlfn.XLOOKUP(B103,'Model Modeshare by TAZ'!A:A,'Model Modeshare by TAZ'!$J:$J,0)</f>
        <v>8945.18</v>
      </c>
      <c r="H103">
        <v>508704</v>
      </c>
      <c r="I103">
        <v>3609006</v>
      </c>
      <c r="L103">
        <v>100</v>
      </c>
      <c r="M103" t="s">
        <v>1161</v>
      </c>
      <c r="N103">
        <v>2771</v>
      </c>
      <c r="O103" s="120">
        <f>_xlfn.XLOOKUP(Q103,'Other Model Data by TAZ'!A:A,'Other Model Data by TAZ'!G:G,0)</f>
        <v>0</v>
      </c>
      <c r="P103" s="120">
        <f>_xlfn.XLOOKUP(Q103, 'Model VMT by TAZ'!A:A,'Model VMT by TAZ'!E:E,0)</f>
        <v>26890.77</v>
      </c>
      <c r="Q103">
        <v>1669</v>
      </c>
      <c r="S103" t="s">
        <v>1162</v>
      </c>
      <c r="T103" t="s">
        <v>1162</v>
      </c>
      <c r="U103">
        <v>0</v>
      </c>
      <c r="V103">
        <v>7213493</v>
      </c>
      <c r="W103">
        <v>13948.753787</v>
      </c>
      <c r="X103">
        <v>7213463.8066469999</v>
      </c>
      <c r="AA103">
        <v>105</v>
      </c>
      <c r="AB103" t="s">
        <v>1161</v>
      </c>
      <c r="AC103">
        <v>2777</v>
      </c>
      <c r="AD103" s="120">
        <f>_xlfn.XLOOKUP(AF103,'Other Model Data by TAZ'!A:A,'Other Model Data by TAZ'!G:G,0)</f>
        <v>665</v>
      </c>
      <c r="AE103" s="120">
        <f>_xlfn.XLOOKUP(AF103, 'Model VMT by TAZ'!A:A,'Model VMT by TAZ'!E:E,0)</f>
        <v>28313.52</v>
      </c>
      <c r="AF103">
        <v>1551</v>
      </c>
      <c r="AH103" t="s">
        <v>1162</v>
      </c>
      <c r="AI103" t="s">
        <v>1162</v>
      </c>
      <c r="AJ103">
        <v>0</v>
      </c>
      <c r="AK103">
        <v>2780369</v>
      </c>
      <c r="AL103">
        <v>9940.7143730000007</v>
      </c>
      <c r="AM103">
        <v>2780358.0578000001</v>
      </c>
    </row>
    <row r="104" spans="1:39" x14ac:dyDescent="0.35">
      <c r="A104">
        <v>99</v>
      </c>
      <c r="B104">
        <v>1476</v>
      </c>
      <c r="C104" s="120">
        <f>_xlfn.XLOOKUP(B104,'Model VMT by TAZ'!A:A,'Model VMT by TAZ'!E:E,0)</f>
        <v>27279.49</v>
      </c>
      <c r="D104" s="120">
        <f>_xlfn.XLOOKUP(B104,'Other Model Data by TAZ'!A:A,'Other Model Data by TAZ'!G:G,0)</f>
        <v>830</v>
      </c>
      <c r="E104" s="117">
        <f>_xlfn.XLOOKUP(B104,'Model Modeshare by TAZ'!A:A,'Model Modeshare by TAZ'!E:E,0)+_xlfn.XLOOKUP(B104,'Model Modeshare by TAZ'!$A:$A,'Model Modeshare by TAZ'!F:F,0)</f>
        <v>3570.1000000000004</v>
      </c>
      <c r="F104" s="117">
        <f>_xlfn.XLOOKUP(B104,'Model Modeshare by TAZ'!A:A,'Model Modeshare by TAZ'!$G:$G,0)</f>
        <v>99.64</v>
      </c>
      <c r="G104" s="117">
        <f>_xlfn.XLOOKUP(B104,'Model Modeshare by TAZ'!A:A,'Model Modeshare by TAZ'!$J:$J,0)</f>
        <v>4144.34</v>
      </c>
      <c r="H104">
        <v>508704</v>
      </c>
      <c r="I104">
        <v>1654826</v>
      </c>
      <c r="L104">
        <v>101</v>
      </c>
      <c r="M104" t="s">
        <v>1161</v>
      </c>
      <c r="N104">
        <v>2772</v>
      </c>
      <c r="O104" s="120">
        <f>_xlfn.XLOOKUP(Q104,'Other Model Data by TAZ'!A:A,'Other Model Data by TAZ'!G:G,0)</f>
        <v>46</v>
      </c>
      <c r="P104" s="120">
        <f>_xlfn.XLOOKUP(Q104, 'Model VMT by TAZ'!A:A,'Model VMT by TAZ'!E:E,0)</f>
        <v>117318.96</v>
      </c>
      <c r="Q104">
        <v>1670</v>
      </c>
      <c r="S104" t="s">
        <v>1162</v>
      </c>
      <c r="T104" t="s">
        <v>1162</v>
      </c>
      <c r="U104">
        <v>0</v>
      </c>
      <c r="V104">
        <v>7284932</v>
      </c>
      <c r="W104">
        <v>14142.213191999999</v>
      </c>
      <c r="X104">
        <v>7284902.472108</v>
      </c>
      <c r="AA104">
        <v>106</v>
      </c>
      <c r="AB104" t="s">
        <v>1161</v>
      </c>
      <c r="AC104">
        <v>2789</v>
      </c>
      <c r="AD104" s="120">
        <f>_xlfn.XLOOKUP(AF104,'Other Model Data by TAZ'!A:A,'Other Model Data by TAZ'!G:G,0)</f>
        <v>33</v>
      </c>
      <c r="AE104" s="120">
        <f>_xlfn.XLOOKUP(AF104, 'Model VMT by TAZ'!A:A,'Model VMT by TAZ'!E:E,0)</f>
        <v>116592.42</v>
      </c>
      <c r="AF104">
        <v>1613</v>
      </c>
      <c r="AH104" t="s">
        <v>1162</v>
      </c>
      <c r="AI104" t="s">
        <v>1162</v>
      </c>
      <c r="AJ104">
        <v>0</v>
      </c>
      <c r="AK104">
        <v>7960077</v>
      </c>
      <c r="AL104">
        <v>12590.158847999999</v>
      </c>
      <c r="AM104">
        <v>7960044.756058</v>
      </c>
    </row>
    <row r="105" spans="1:39" x14ac:dyDescent="0.35">
      <c r="A105">
        <v>100</v>
      </c>
      <c r="B105">
        <v>1477</v>
      </c>
      <c r="C105" s="120">
        <f>_xlfn.XLOOKUP(B105,'Model VMT by TAZ'!A:A,'Model VMT by TAZ'!E:E,0)</f>
        <v>44456.97</v>
      </c>
      <c r="D105" s="120">
        <f>_xlfn.XLOOKUP(B105,'Other Model Data by TAZ'!A:A,'Other Model Data by TAZ'!G:G,0)</f>
        <v>833</v>
      </c>
      <c r="E105" s="117">
        <f>_xlfn.XLOOKUP(B105,'Model Modeshare by TAZ'!A:A,'Model Modeshare by TAZ'!E:E,0)+_xlfn.XLOOKUP(B105,'Model Modeshare by TAZ'!$A:$A,'Model Modeshare by TAZ'!F:F,0)</f>
        <v>5845.58</v>
      </c>
      <c r="F105" s="117">
        <f>_xlfn.XLOOKUP(B105,'Model Modeshare by TAZ'!A:A,'Model Modeshare by TAZ'!$G:$G,0)</f>
        <v>96.38</v>
      </c>
      <c r="G105" s="117">
        <f>_xlfn.XLOOKUP(B105,'Model Modeshare by TAZ'!A:A,'Model Modeshare by TAZ'!$J:$J,0)</f>
        <v>6491.76</v>
      </c>
      <c r="H105">
        <v>509102</v>
      </c>
      <c r="I105">
        <v>2468147</v>
      </c>
      <c r="L105">
        <v>102</v>
      </c>
      <c r="M105" t="s">
        <v>1161</v>
      </c>
      <c r="N105">
        <v>2773</v>
      </c>
      <c r="O105" s="120">
        <f>_xlfn.XLOOKUP(Q105,'Other Model Data by TAZ'!A:A,'Other Model Data by TAZ'!G:G,0)</f>
        <v>1391</v>
      </c>
      <c r="P105" s="120">
        <f>_xlfn.XLOOKUP(Q105, 'Model VMT by TAZ'!A:A,'Model VMT by TAZ'!E:E,0)</f>
        <v>86429.56</v>
      </c>
      <c r="Q105">
        <v>1567</v>
      </c>
      <c r="S105" t="s">
        <v>1162</v>
      </c>
      <c r="T105" t="s">
        <v>1162</v>
      </c>
      <c r="U105">
        <v>0</v>
      </c>
      <c r="V105">
        <v>5405765</v>
      </c>
      <c r="W105">
        <v>11003.595415</v>
      </c>
      <c r="X105">
        <v>5405742.9323540004</v>
      </c>
      <c r="AA105">
        <v>107</v>
      </c>
      <c r="AB105" t="s">
        <v>1161</v>
      </c>
      <c r="AC105">
        <v>2790</v>
      </c>
      <c r="AD105" s="120">
        <f>_xlfn.XLOOKUP(AF105,'Other Model Data by TAZ'!A:A,'Other Model Data by TAZ'!G:G,0)</f>
        <v>380</v>
      </c>
      <c r="AE105" s="120">
        <f>_xlfn.XLOOKUP(AF105, 'Model VMT by TAZ'!A:A,'Model VMT by TAZ'!E:E,0)</f>
        <v>99436.6</v>
      </c>
      <c r="AF105">
        <v>1544</v>
      </c>
      <c r="AH105" t="s">
        <v>1162</v>
      </c>
      <c r="AI105" t="s">
        <v>1162</v>
      </c>
      <c r="AJ105">
        <v>0</v>
      </c>
      <c r="AK105">
        <v>2017910</v>
      </c>
      <c r="AL105">
        <v>6948.5966920000001</v>
      </c>
      <c r="AM105">
        <v>2017901.4680310001</v>
      </c>
    </row>
    <row r="106" spans="1:39" x14ac:dyDescent="0.35">
      <c r="A106">
        <v>101</v>
      </c>
      <c r="B106">
        <v>1478</v>
      </c>
      <c r="C106" s="120">
        <f>_xlfn.XLOOKUP(B106,'Model VMT by TAZ'!A:A,'Model VMT by TAZ'!E:E,0)</f>
        <v>20730.900000000001</v>
      </c>
      <c r="D106" s="120">
        <f>_xlfn.XLOOKUP(B106,'Other Model Data by TAZ'!A:A,'Other Model Data by TAZ'!G:G,0)</f>
        <v>836</v>
      </c>
      <c r="E106" s="117">
        <f>_xlfn.XLOOKUP(B106,'Model Modeshare by TAZ'!A:A,'Model Modeshare by TAZ'!E:E,0)+_xlfn.XLOOKUP(B106,'Model Modeshare by TAZ'!$A:$A,'Model Modeshare by TAZ'!F:F,0)</f>
        <v>2819.12</v>
      </c>
      <c r="F106" s="117">
        <f>_xlfn.XLOOKUP(B106,'Model Modeshare by TAZ'!A:A,'Model Modeshare by TAZ'!$G:$G,0)</f>
        <v>63.64</v>
      </c>
      <c r="G106" s="117">
        <f>_xlfn.XLOOKUP(B106,'Model Modeshare by TAZ'!A:A,'Model Modeshare by TAZ'!$J:$J,0)</f>
        <v>3256.4</v>
      </c>
      <c r="H106">
        <v>508601</v>
      </c>
      <c r="I106">
        <v>3105816</v>
      </c>
      <c r="L106">
        <v>103</v>
      </c>
      <c r="M106" t="s">
        <v>1161</v>
      </c>
      <c r="N106">
        <v>2774</v>
      </c>
      <c r="O106" s="120">
        <f>_xlfn.XLOOKUP(Q106,'Other Model Data by TAZ'!A:A,'Other Model Data by TAZ'!G:G,0)</f>
        <v>496</v>
      </c>
      <c r="P106" s="120">
        <f>_xlfn.XLOOKUP(Q106, 'Model VMT by TAZ'!A:A,'Model VMT by TAZ'!E:E,0)</f>
        <v>82469.490000000005</v>
      </c>
      <c r="Q106">
        <v>1543</v>
      </c>
      <c r="S106" t="s">
        <v>1162</v>
      </c>
      <c r="T106" t="s">
        <v>1162</v>
      </c>
      <c r="U106">
        <v>0</v>
      </c>
      <c r="V106">
        <v>6266285</v>
      </c>
      <c r="W106">
        <v>18037.805903</v>
      </c>
      <c r="X106">
        <v>6266259.9828570001</v>
      </c>
      <c r="AA106">
        <v>108</v>
      </c>
      <c r="AB106" t="s">
        <v>1161</v>
      </c>
      <c r="AC106">
        <v>2799</v>
      </c>
      <c r="AD106" s="120">
        <f>_xlfn.XLOOKUP(AF106,'Other Model Data by TAZ'!A:A,'Other Model Data by TAZ'!G:G,0)</f>
        <v>2661</v>
      </c>
      <c r="AE106" s="120">
        <f>_xlfn.XLOOKUP(AF106, 'Model VMT by TAZ'!A:A,'Model VMT by TAZ'!E:E,0)</f>
        <v>93722.33</v>
      </c>
      <c r="AF106">
        <v>1623</v>
      </c>
      <c r="AH106" t="s">
        <v>1162</v>
      </c>
      <c r="AI106" t="s">
        <v>1162</v>
      </c>
      <c r="AJ106">
        <v>0</v>
      </c>
      <c r="AK106">
        <v>8020045</v>
      </c>
      <c r="AL106">
        <v>12271.861166999999</v>
      </c>
      <c r="AM106">
        <v>8020012.5070639998</v>
      </c>
    </row>
    <row r="107" spans="1:39" x14ac:dyDescent="0.35">
      <c r="A107">
        <v>102</v>
      </c>
      <c r="B107">
        <v>1479</v>
      </c>
      <c r="C107" s="120">
        <f>_xlfn.XLOOKUP(B107,'Model VMT by TAZ'!A:A,'Model VMT by TAZ'!E:E,0)</f>
        <v>16657.82</v>
      </c>
      <c r="D107" s="120">
        <f>_xlfn.XLOOKUP(B107,'Other Model Data by TAZ'!A:A,'Other Model Data by TAZ'!G:G,0)</f>
        <v>690</v>
      </c>
      <c r="E107" s="117">
        <f>_xlfn.XLOOKUP(B107,'Model Modeshare by TAZ'!A:A,'Model Modeshare by TAZ'!E:E,0)+_xlfn.XLOOKUP(B107,'Model Modeshare by TAZ'!$A:$A,'Model Modeshare by TAZ'!F:F,0)</f>
        <v>5186.0199999999995</v>
      </c>
      <c r="F107" s="117">
        <f>_xlfn.XLOOKUP(B107,'Model Modeshare by TAZ'!A:A,'Model Modeshare by TAZ'!$G:$G,0)</f>
        <v>111.62</v>
      </c>
      <c r="G107" s="117">
        <f>_xlfn.XLOOKUP(B107,'Model Modeshare by TAZ'!A:A,'Model Modeshare by TAZ'!$J:$J,0)</f>
        <v>5948.72</v>
      </c>
      <c r="H107">
        <v>508601</v>
      </c>
      <c r="I107">
        <v>1660281</v>
      </c>
      <c r="L107">
        <v>104</v>
      </c>
      <c r="M107" t="s">
        <v>1161</v>
      </c>
      <c r="N107">
        <v>2776</v>
      </c>
      <c r="O107" s="120">
        <f>_xlfn.XLOOKUP(Q107,'Other Model Data by TAZ'!A:A,'Other Model Data by TAZ'!G:G,0)</f>
        <v>2341</v>
      </c>
      <c r="P107" s="120">
        <f>_xlfn.XLOOKUP(Q107, 'Model VMT by TAZ'!A:A,'Model VMT by TAZ'!E:E,0)</f>
        <v>70504.86</v>
      </c>
      <c r="Q107">
        <v>1657</v>
      </c>
      <c r="S107" t="s">
        <v>1162</v>
      </c>
      <c r="T107" t="s">
        <v>1162</v>
      </c>
      <c r="U107">
        <v>0</v>
      </c>
      <c r="V107">
        <v>7033142</v>
      </c>
      <c r="W107">
        <v>13093.572538</v>
      </c>
      <c r="X107">
        <v>7033114.151389</v>
      </c>
      <c r="AA107">
        <v>109</v>
      </c>
      <c r="AB107" t="s">
        <v>1161</v>
      </c>
      <c r="AC107">
        <v>2801</v>
      </c>
      <c r="AD107" s="120">
        <f>_xlfn.XLOOKUP(AF107,'Other Model Data by TAZ'!A:A,'Other Model Data by TAZ'!G:G,0)</f>
        <v>2152</v>
      </c>
      <c r="AE107" s="120">
        <f>_xlfn.XLOOKUP(AF107, 'Model VMT by TAZ'!A:A,'Model VMT by TAZ'!E:E,0)</f>
        <v>370563.71</v>
      </c>
      <c r="AF107">
        <v>2015</v>
      </c>
      <c r="AH107" t="s">
        <v>1162</v>
      </c>
      <c r="AI107" t="s">
        <v>1162</v>
      </c>
      <c r="AJ107">
        <v>0</v>
      </c>
      <c r="AK107">
        <v>5513959</v>
      </c>
      <c r="AL107">
        <v>10240.266446</v>
      </c>
      <c r="AM107">
        <v>5513937.4154709997</v>
      </c>
    </row>
    <row r="108" spans="1:39" x14ac:dyDescent="0.35">
      <c r="A108">
        <v>103</v>
      </c>
      <c r="B108">
        <v>1480</v>
      </c>
      <c r="C108" s="120">
        <f>_xlfn.XLOOKUP(B108,'Model VMT by TAZ'!A:A,'Model VMT by TAZ'!E:E,0)</f>
        <v>141769.99</v>
      </c>
      <c r="D108" s="120">
        <f>_xlfn.XLOOKUP(B108,'Other Model Data by TAZ'!A:A,'Other Model Data by TAZ'!G:G,0)</f>
        <v>423</v>
      </c>
      <c r="E108" s="117">
        <f>_xlfn.XLOOKUP(B108,'Model Modeshare by TAZ'!A:A,'Model Modeshare by TAZ'!E:E,0)+_xlfn.XLOOKUP(B108,'Model Modeshare by TAZ'!$A:$A,'Model Modeshare by TAZ'!F:F,0)</f>
        <v>14680.18</v>
      </c>
      <c r="F108" s="117">
        <f>_xlfn.XLOOKUP(B108,'Model Modeshare by TAZ'!A:A,'Model Modeshare by TAZ'!$G:$G,0)</f>
        <v>281.76</v>
      </c>
      <c r="G108" s="117">
        <f>_xlfn.XLOOKUP(B108,'Model Modeshare by TAZ'!A:A,'Model Modeshare by TAZ'!$J:$J,0)</f>
        <v>16596.580000000002</v>
      </c>
      <c r="H108">
        <v>508602</v>
      </c>
      <c r="I108">
        <v>1999664</v>
      </c>
      <c r="L108">
        <v>105</v>
      </c>
      <c r="M108" t="s">
        <v>1161</v>
      </c>
      <c r="N108">
        <v>2777</v>
      </c>
      <c r="O108" s="120">
        <f>_xlfn.XLOOKUP(Q108,'Other Model Data by TAZ'!A:A,'Other Model Data by TAZ'!G:G,0)</f>
        <v>665</v>
      </c>
      <c r="P108" s="120">
        <f>_xlfn.XLOOKUP(Q108, 'Model VMT by TAZ'!A:A,'Model VMT by TAZ'!E:E,0)</f>
        <v>28313.52</v>
      </c>
      <c r="Q108">
        <v>1551</v>
      </c>
      <c r="S108" t="s">
        <v>1162</v>
      </c>
      <c r="T108" t="s">
        <v>1162</v>
      </c>
      <c r="U108">
        <v>0</v>
      </c>
      <c r="V108">
        <v>2780369</v>
      </c>
      <c r="W108">
        <v>9940.7143730000007</v>
      </c>
      <c r="X108">
        <v>2780358.0578000001</v>
      </c>
      <c r="AA108">
        <v>110</v>
      </c>
      <c r="AB108" t="s">
        <v>1161</v>
      </c>
      <c r="AC108">
        <v>2804</v>
      </c>
      <c r="AD108" s="120">
        <f>_xlfn.XLOOKUP(AF108,'Other Model Data by TAZ'!A:A,'Other Model Data by TAZ'!G:G,0)</f>
        <v>0</v>
      </c>
      <c r="AE108" s="120">
        <f>_xlfn.XLOOKUP(AF108, 'Model VMT by TAZ'!A:A,'Model VMT by TAZ'!E:E,0)</f>
        <v>0</v>
      </c>
      <c r="AF108">
        <v>1602</v>
      </c>
      <c r="AH108" t="s">
        <v>1162</v>
      </c>
      <c r="AI108" t="s">
        <v>1162</v>
      </c>
      <c r="AJ108">
        <v>0</v>
      </c>
      <c r="AK108">
        <v>8085201</v>
      </c>
      <c r="AL108">
        <v>13383.125253</v>
      </c>
      <c r="AM108">
        <v>8085168.4060230004</v>
      </c>
    </row>
    <row r="109" spans="1:39" x14ac:dyDescent="0.35">
      <c r="A109">
        <v>104</v>
      </c>
      <c r="B109">
        <v>866</v>
      </c>
      <c r="C109" s="120">
        <f>_xlfn.XLOOKUP(B109,'Model VMT by TAZ'!A:A,'Model VMT by TAZ'!E:E,0)</f>
        <v>86907.98</v>
      </c>
      <c r="D109" s="120">
        <f>_xlfn.XLOOKUP(B109,'Other Model Data by TAZ'!A:A,'Other Model Data by TAZ'!G:G,0)</f>
        <v>316</v>
      </c>
      <c r="E109" s="117">
        <f>_xlfn.XLOOKUP(B109,'Model Modeshare by TAZ'!A:A,'Model Modeshare by TAZ'!E:E,0)+_xlfn.XLOOKUP(B109,'Model Modeshare by TAZ'!$A:$A,'Model Modeshare by TAZ'!F:F,0)</f>
        <v>10164.94</v>
      </c>
      <c r="F109" s="117">
        <f>_xlfn.XLOOKUP(B109,'Model Modeshare by TAZ'!A:A,'Model Modeshare by TAZ'!$G:$G,0)</f>
        <v>635.9</v>
      </c>
      <c r="G109" s="117">
        <f>_xlfn.XLOOKUP(B109,'Model Modeshare by TAZ'!A:A,'Model Modeshare by TAZ'!$J:$J,0)</f>
        <v>13115.68</v>
      </c>
      <c r="H109">
        <v>505203</v>
      </c>
      <c r="I109">
        <v>1916028</v>
      </c>
      <c r="L109">
        <v>106</v>
      </c>
      <c r="M109" t="s">
        <v>1161</v>
      </c>
      <c r="N109">
        <v>2789</v>
      </c>
      <c r="O109" s="120">
        <f>_xlfn.XLOOKUP(Q109,'Other Model Data by TAZ'!A:A,'Other Model Data by TAZ'!G:G,0)</f>
        <v>33</v>
      </c>
      <c r="P109" s="120">
        <f>_xlfn.XLOOKUP(Q109, 'Model VMT by TAZ'!A:A,'Model VMT by TAZ'!E:E,0)</f>
        <v>116592.42</v>
      </c>
      <c r="Q109">
        <v>1613</v>
      </c>
      <c r="S109" t="s">
        <v>1162</v>
      </c>
      <c r="T109" t="s">
        <v>1162</v>
      </c>
      <c r="U109">
        <v>0</v>
      </c>
      <c r="V109">
        <v>7960077</v>
      </c>
      <c r="W109">
        <v>12590.158847999999</v>
      </c>
      <c r="X109">
        <v>7960044.756058</v>
      </c>
      <c r="AA109">
        <v>111</v>
      </c>
      <c r="AB109" t="s">
        <v>1161</v>
      </c>
      <c r="AC109">
        <v>2820</v>
      </c>
      <c r="AD109" s="120">
        <f>_xlfn.XLOOKUP(AF109,'Other Model Data by TAZ'!A:A,'Other Model Data by TAZ'!G:G,0)</f>
        <v>774</v>
      </c>
      <c r="AE109" s="120">
        <f>_xlfn.XLOOKUP(AF109, 'Model VMT by TAZ'!A:A,'Model VMT by TAZ'!E:E,0)</f>
        <v>22575.14</v>
      </c>
      <c r="AF109">
        <v>1572</v>
      </c>
      <c r="AH109" t="s">
        <v>1162</v>
      </c>
      <c r="AI109" t="s">
        <v>1162</v>
      </c>
      <c r="AJ109">
        <v>0</v>
      </c>
      <c r="AK109">
        <v>975651</v>
      </c>
      <c r="AL109">
        <v>4146.2470320000002</v>
      </c>
      <c r="AM109">
        <v>975647.15875399997</v>
      </c>
    </row>
    <row r="110" spans="1:39" x14ac:dyDescent="0.35">
      <c r="A110">
        <v>105</v>
      </c>
      <c r="B110">
        <v>867</v>
      </c>
      <c r="C110" s="120">
        <f>_xlfn.XLOOKUP(B110,'Model VMT by TAZ'!A:A,'Model VMT by TAZ'!E:E,0)</f>
        <v>29356.57</v>
      </c>
      <c r="D110" s="120">
        <f>_xlfn.XLOOKUP(B110,'Other Model Data by TAZ'!A:A,'Other Model Data by TAZ'!G:G,0)</f>
        <v>674</v>
      </c>
      <c r="E110" s="117">
        <f>_xlfn.XLOOKUP(B110,'Model Modeshare by TAZ'!A:A,'Model Modeshare by TAZ'!E:E,0)+_xlfn.XLOOKUP(B110,'Model Modeshare by TAZ'!$A:$A,'Model Modeshare by TAZ'!F:F,0)</f>
        <v>5477.2800000000007</v>
      </c>
      <c r="F110" s="117">
        <f>_xlfn.XLOOKUP(B110,'Model Modeshare by TAZ'!A:A,'Model Modeshare by TAZ'!$G:$G,0)</f>
        <v>222.88</v>
      </c>
      <c r="G110" s="117">
        <f>_xlfn.XLOOKUP(B110,'Model Modeshare by TAZ'!A:A,'Model Modeshare by TAZ'!$J:$J,0)</f>
        <v>7564.74</v>
      </c>
      <c r="H110">
        <v>501900</v>
      </c>
      <c r="I110">
        <v>1469929</v>
      </c>
      <c r="L110">
        <v>107</v>
      </c>
      <c r="M110" t="s">
        <v>1161</v>
      </c>
      <c r="N110">
        <v>2790</v>
      </c>
      <c r="O110" s="120">
        <f>_xlfn.XLOOKUP(Q110,'Other Model Data by TAZ'!A:A,'Other Model Data by TAZ'!G:G,0)</f>
        <v>380</v>
      </c>
      <c r="P110" s="120">
        <f>_xlfn.XLOOKUP(Q110, 'Model VMT by TAZ'!A:A,'Model VMT by TAZ'!E:E,0)</f>
        <v>99436.6</v>
      </c>
      <c r="Q110">
        <v>1544</v>
      </c>
      <c r="S110" t="s">
        <v>1162</v>
      </c>
      <c r="T110" t="s">
        <v>1162</v>
      </c>
      <c r="U110">
        <v>0</v>
      </c>
      <c r="V110">
        <v>2017910</v>
      </c>
      <c r="W110">
        <v>6948.5966920000001</v>
      </c>
      <c r="X110">
        <v>2017901.4680310001</v>
      </c>
      <c r="AA110">
        <v>112</v>
      </c>
      <c r="AB110" t="s">
        <v>1161</v>
      </c>
      <c r="AC110">
        <v>2823</v>
      </c>
      <c r="AD110" s="120">
        <f>_xlfn.XLOOKUP(AF110,'Other Model Data by TAZ'!A:A,'Other Model Data by TAZ'!G:G,0)</f>
        <v>389</v>
      </c>
      <c r="AE110" s="120">
        <f>_xlfn.XLOOKUP(AF110, 'Model VMT by TAZ'!A:A,'Model VMT by TAZ'!E:E,0)</f>
        <v>12585.82</v>
      </c>
      <c r="AF110">
        <v>1576</v>
      </c>
      <c r="AH110" t="s">
        <v>1162</v>
      </c>
      <c r="AI110" t="s">
        <v>1162</v>
      </c>
      <c r="AJ110">
        <v>0</v>
      </c>
      <c r="AK110">
        <v>458179</v>
      </c>
      <c r="AL110">
        <v>2890.6732010000001</v>
      </c>
      <c r="AM110">
        <v>458177.315199</v>
      </c>
    </row>
    <row r="111" spans="1:39" x14ac:dyDescent="0.35">
      <c r="A111">
        <v>106</v>
      </c>
      <c r="B111">
        <v>1483</v>
      </c>
      <c r="C111" s="120">
        <f>_xlfn.XLOOKUP(B111,'Model VMT by TAZ'!A:A,'Model VMT by TAZ'!E:E,0)</f>
        <v>34264.22</v>
      </c>
      <c r="D111" s="120">
        <f>_xlfn.XLOOKUP(B111,'Other Model Data by TAZ'!A:A,'Other Model Data by TAZ'!G:G,0)</f>
        <v>817</v>
      </c>
      <c r="E111" s="117">
        <f>_xlfn.XLOOKUP(B111,'Model Modeshare by TAZ'!A:A,'Model Modeshare by TAZ'!E:E,0)+_xlfn.XLOOKUP(B111,'Model Modeshare by TAZ'!$A:$A,'Model Modeshare by TAZ'!F:F,0)</f>
        <v>1567.52</v>
      </c>
      <c r="F111" s="117">
        <f>_xlfn.XLOOKUP(B111,'Model Modeshare by TAZ'!A:A,'Model Modeshare by TAZ'!$G:$G,0)</f>
        <v>30.74</v>
      </c>
      <c r="G111" s="117">
        <f>_xlfn.XLOOKUP(B111,'Model Modeshare by TAZ'!A:A,'Model Modeshare by TAZ'!$J:$J,0)</f>
        <v>1830.58</v>
      </c>
      <c r="H111">
        <v>508602</v>
      </c>
      <c r="I111">
        <v>973092</v>
      </c>
      <c r="L111">
        <v>108</v>
      </c>
      <c r="M111" t="s">
        <v>1161</v>
      </c>
      <c r="N111">
        <v>2799</v>
      </c>
      <c r="O111" s="120">
        <f>_xlfn.XLOOKUP(Q111,'Other Model Data by TAZ'!A:A,'Other Model Data by TAZ'!G:G,0)</f>
        <v>2661</v>
      </c>
      <c r="P111" s="120">
        <f>_xlfn.XLOOKUP(Q111, 'Model VMT by TAZ'!A:A,'Model VMT by TAZ'!E:E,0)</f>
        <v>93722.33</v>
      </c>
      <c r="Q111">
        <v>1623</v>
      </c>
      <c r="S111" t="s">
        <v>1162</v>
      </c>
      <c r="T111" t="s">
        <v>1162</v>
      </c>
      <c r="U111">
        <v>0</v>
      </c>
      <c r="V111">
        <v>8020045</v>
      </c>
      <c r="W111">
        <v>12271.861166999999</v>
      </c>
      <c r="X111">
        <v>8020012.5070639998</v>
      </c>
      <c r="AA111">
        <v>113</v>
      </c>
      <c r="AB111" t="s">
        <v>1161</v>
      </c>
      <c r="AC111">
        <v>2826</v>
      </c>
      <c r="AD111" s="120">
        <f>_xlfn.XLOOKUP(AF111,'Other Model Data by TAZ'!A:A,'Other Model Data by TAZ'!G:G,0)</f>
        <v>1876</v>
      </c>
      <c r="AE111" s="120">
        <f>_xlfn.XLOOKUP(AF111, 'Model VMT by TAZ'!A:A,'Model VMT by TAZ'!E:E,0)</f>
        <v>31629.98</v>
      </c>
      <c r="AF111">
        <v>1550</v>
      </c>
      <c r="AH111" t="s">
        <v>1162</v>
      </c>
      <c r="AI111" t="s">
        <v>1162</v>
      </c>
      <c r="AJ111">
        <v>0</v>
      </c>
      <c r="AK111">
        <v>6759801</v>
      </c>
      <c r="AL111">
        <v>13522.178371</v>
      </c>
      <c r="AM111">
        <v>6759773.9887030004</v>
      </c>
    </row>
    <row r="112" spans="1:39" x14ac:dyDescent="0.35">
      <c r="A112">
        <v>107</v>
      </c>
      <c r="B112">
        <v>1484</v>
      </c>
      <c r="C112" s="120">
        <f>_xlfn.XLOOKUP(B112,'Model VMT by TAZ'!A:A,'Model VMT by TAZ'!E:E,0)</f>
        <v>13493.74</v>
      </c>
      <c r="D112" s="120">
        <f>_xlfn.XLOOKUP(B112,'Other Model Data by TAZ'!A:A,'Other Model Data by TAZ'!G:G,0)</f>
        <v>596</v>
      </c>
      <c r="E112" s="117">
        <f>_xlfn.XLOOKUP(B112,'Model Modeshare by TAZ'!A:A,'Model Modeshare by TAZ'!E:E,0)+_xlfn.XLOOKUP(B112,'Model Modeshare by TAZ'!$A:$A,'Model Modeshare by TAZ'!F:F,0)</f>
        <v>2419.66</v>
      </c>
      <c r="F112" s="117">
        <f>_xlfn.XLOOKUP(B112,'Model Modeshare by TAZ'!A:A,'Model Modeshare by TAZ'!$G:$G,0)</f>
        <v>64.58</v>
      </c>
      <c r="G112" s="117">
        <f>_xlfn.XLOOKUP(B112,'Model Modeshare by TAZ'!A:A,'Model Modeshare by TAZ'!$J:$J,0)</f>
        <v>2846.3</v>
      </c>
      <c r="H112">
        <v>508602</v>
      </c>
      <c r="I112">
        <v>2397906</v>
      </c>
      <c r="L112">
        <v>109</v>
      </c>
      <c r="M112" t="s">
        <v>1161</v>
      </c>
      <c r="N112">
        <v>2801</v>
      </c>
      <c r="O112" s="120">
        <f>_xlfn.XLOOKUP(Q112,'Other Model Data by TAZ'!A:A,'Other Model Data by TAZ'!G:G,0)</f>
        <v>2152</v>
      </c>
      <c r="P112" s="120">
        <f>_xlfn.XLOOKUP(Q112, 'Model VMT by TAZ'!A:A,'Model VMT by TAZ'!E:E,0)</f>
        <v>370563.71</v>
      </c>
      <c r="Q112">
        <v>2015</v>
      </c>
      <c r="S112" t="s">
        <v>1162</v>
      </c>
      <c r="T112" t="s">
        <v>1162</v>
      </c>
      <c r="U112">
        <v>0</v>
      </c>
      <c r="V112">
        <v>5513959</v>
      </c>
      <c r="W112">
        <v>10240.266446</v>
      </c>
      <c r="X112">
        <v>5513937.4154709997</v>
      </c>
      <c r="AA112">
        <v>114</v>
      </c>
      <c r="AB112" t="s">
        <v>1161</v>
      </c>
      <c r="AC112">
        <v>2827</v>
      </c>
      <c r="AD112" s="120">
        <f>_xlfn.XLOOKUP(AF112,'Other Model Data by TAZ'!A:A,'Other Model Data by TAZ'!G:G,0)</f>
        <v>1650</v>
      </c>
      <c r="AE112" s="120">
        <f>_xlfn.XLOOKUP(AF112, 'Model VMT by TAZ'!A:A,'Model VMT by TAZ'!E:E,0)</f>
        <v>31068.65</v>
      </c>
      <c r="AF112">
        <v>1548</v>
      </c>
      <c r="AH112" t="s">
        <v>1162</v>
      </c>
      <c r="AI112" t="s">
        <v>1162</v>
      </c>
      <c r="AJ112">
        <v>0</v>
      </c>
      <c r="AK112">
        <v>5468937</v>
      </c>
      <c r="AL112">
        <v>10329.349824000001</v>
      </c>
      <c r="AM112">
        <v>5468915.1437969999</v>
      </c>
    </row>
    <row r="113" spans="1:39" x14ac:dyDescent="0.35">
      <c r="A113">
        <v>108</v>
      </c>
      <c r="B113">
        <v>376</v>
      </c>
      <c r="C113" s="120">
        <f>_xlfn.XLOOKUP(B113,'Model VMT by TAZ'!A:A,'Model VMT by TAZ'!E:E,0)</f>
        <v>50151.44</v>
      </c>
      <c r="D113" s="120">
        <f>_xlfn.XLOOKUP(B113,'Other Model Data by TAZ'!A:A,'Other Model Data by TAZ'!G:G,0)</f>
        <v>2856</v>
      </c>
      <c r="E113" s="117">
        <f>_xlfn.XLOOKUP(B113,'Model Modeshare by TAZ'!A:A,'Model Modeshare by TAZ'!E:E,0)+_xlfn.XLOOKUP(B113,'Model Modeshare by TAZ'!$A:$A,'Model Modeshare by TAZ'!F:F,0)</f>
        <v>11074.02</v>
      </c>
      <c r="F113" s="117">
        <f>_xlfn.XLOOKUP(B113,'Model Modeshare by TAZ'!A:A,'Model Modeshare by TAZ'!$G:$G,0)</f>
        <v>297.42</v>
      </c>
      <c r="G113" s="117">
        <f>_xlfn.XLOOKUP(B113,'Model Modeshare by TAZ'!A:A,'Model Modeshare by TAZ'!$J:$J,0)</f>
        <v>14083.32</v>
      </c>
      <c r="H113">
        <v>509109</v>
      </c>
      <c r="I113">
        <v>6510113</v>
      </c>
      <c r="L113">
        <v>110</v>
      </c>
      <c r="M113" t="s">
        <v>1161</v>
      </c>
      <c r="N113">
        <v>2804</v>
      </c>
      <c r="O113" s="120">
        <f>_xlfn.XLOOKUP(Q113,'Other Model Data by TAZ'!A:A,'Other Model Data by TAZ'!G:G,0)</f>
        <v>0</v>
      </c>
      <c r="P113" s="120">
        <f>_xlfn.XLOOKUP(Q113, 'Model VMT by TAZ'!A:A,'Model VMT by TAZ'!E:E,0)</f>
        <v>0</v>
      </c>
      <c r="Q113">
        <v>1602</v>
      </c>
      <c r="S113" t="s">
        <v>1162</v>
      </c>
      <c r="T113" t="s">
        <v>1162</v>
      </c>
      <c r="U113">
        <v>0</v>
      </c>
      <c r="V113">
        <v>8085201</v>
      </c>
      <c r="W113">
        <v>13383.125253</v>
      </c>
      <c r="X113">
        <v>8085168.4060230004</v>
      </c>
      <c r="AA113">
        <v>115</v>
      </c>
      <c r="AB113" t="s">
        <v>1161</v>
      </c>
      <c r="AC113">
        <v>2828</v>
      </c>
      <c r="AD113" s="120">
        <f>_xlfn.XLOOKUP(AF113,'Other Model Data by TAZ'!A:A,'Other Model Data by TAZ'!G:G,0)</f>
        <v>596</v>
      </c>
      <c r="AE113" s="120">
        <f>_xlfn.XLOOKUP(AF113, 'Model VMT by TAZ'!A:A,'Model VMT by TAZ'!E:E,0)</f>
        <v>361223.72</v>
      </c>
      <c r="AF113">
        <v>1549</v>
      </c>
      <c r="AH113" t="s">
        <v>1162</v>
      </c>
      <c r="AI113" t="s">
        <v>1162</v>
      </c>
      <c r="AJ113">
        <v>0</v>
      </c>
      <c r="AK113">
        <v>2939134</v>
      </c>
      <c r="AL113">
        <v>9814.4325129999997</v>
      </c>
      <c r="AM113">
        <v>2939122.4957010001</v>
      </c>
    </row>
    <row r="114" spans="1:39" x14ac:dyDescent="0.35">
      <c r="A114">
        <v>109</v>
      </c>
      <c r="B114">
        <v>378</v>
      </c>
      <c r="C114" s="120">
        <f>_xlfn.XLOOKUP(B114,'Model VMT by TAZ'!A:A,'Model VMT by TAZ'!E:E,0)</f>
        <v>99179.23</v>
      </c>
      <c r="D114" s="120">
        <f>_xlfn.XLOOKUP(B114,'Other Model Data by TAZ'!A:A,'Other Model Data by TAZ'!G:G,0)</f>
        <v>572</v>
      </c>
      <c r="E114" s="117">
        <f>_xlfn.XLOOKUP(B114,'Model Modeshare by TAZ'!A:A,'Model Modeshare by TAZ'!E:E,0)+_xlfn.XLOOKUP(B114,'Model Modeshare by TAZ'!$A:$A,'Model Modeshare by TAZ'!F:F,0)</f>
        <v>7543.5</v>
      </c>
      <c r="F114" s="117">
        <f>_xlfn.XLOOKUP(B114,'Model Modeshare by TAZ'!A:A,'Model Modeshare by TAZ'!$G:$G,0)</f>
        <v>234.62</v>
      </c>
      <c r="G114" s="117">
        <f>_xlfn.XLOOKUP(B114,'Model Modeshare by TAZ'!A:A,'Model Modeshare by TAZ'!$J:$J,0)</f>
        <v>8766.4</v>
      </c>
      <c r="H114">
        <v>509600</v>
      </c>
      <c r="I114">
        <v>2243509</v>
      </c>
      <c r="L114">
        <v>111</v>
      </c>
      <c r="M114" t="s">
        <v>1161</v>
      </c>
      <c r="N114">
        <v>2820</v>
      </c>
      <c r="O114" s="120">
        <f>_xlfn.XLOOKUP(Q114,'Other Model Data by TAZ'!A:A,'Other Model Data by TAZ'!G:G,0)</f>
        <v>774</v>
      </c>
      <c r="P114" s="120">
        <f>_xlfn.XLOOKUP(Q114, 'Model VMT by TAZ'!A:A,'Model VMT by TAZ'!E:E,0)</f>
        <v>22575.14</v>
      </c>
      <c r="Q114">
        <v>1572</v>
      </c>
      <c r="S114" t="s">
        <v>1162</v>
      </c>
      <c r="T114" t="s">
        <v>1162</v>
      </c>
      <c r="U114">
        <v>0</v>
      </c>
      <c r="V114">
        <v>975651</v>
      </c>
      <c r="W114">
        <v>4146.2470320000002</v>
      </c>
      <c r="X114">
        <v>975647.15875399997</v>
      </c>
    </row>
    <row r="115" spans="1:39" x14ac:dyDescent="0.35">
      <c r="A115">
        <v>110</v>
      </c>
      <c r="B115">
        <v>379</v>
      </c>
      <c r="C115" s="120">
        <f>_xlfn.XLOOKUP(B115,'Model VMT by TAZ'!A:A,'Model VMT by TAZ'!E:E,0)</f>
        <v>119634.67</v>
      </c>
      <c r="D115" s="120">
        <f>_xlfn.XLOOKUP(B115,'Other Model Data by TAZ'!A:A,'Other Model Data by TAZ'!G:G,0)</f>
        <v>231</v>
      </c>
      <c r="E115" s="117">
        <f>_xlfn.XLOOKUP(B115,'Model Modeshare by TAZ'!A:A,'Model Modeshare by TAZ'!E:E,0)+_xlfn.XLOOKUP(B115,'Model Modeshare by TAZ'!$A:$A,'Model Modeshare by TAZ'!F:F,0)</f>
        <v>12524.560000000001</v>
      </c>
      <c r="F115" s="117">
        <f>_xlfn.XLOOKUP(B115,'Model Modeshare by TAZ'!A:A,'Model Modeshare by TAZ'!$G:$G,0)</f>
        <v>630.29999999999995</v>
      </c>
      <c r="G115" s="117">
        <f>_xlfn.XLOOKUP(B115,'Model Modeshare by TAZ'!A:A,'Model Modeshare by TAZ'!$J:$J,0)</f>
        <v>14908.62</v>
      </c>
      <c r="H115">
        <v>509600</v>
      </c>
      <c r="I115">
        <v>1566587</v>
      </c>
      <c r="L115">
        <v>112</v>
      </c>
      <c r="M115" t="s">
        <v>1161</v>
      </c>
      <c r="N115">
        <v>2823</v>
      </c>
      <c r="O115" s="120">
        <f>_xlfn.XLOOKUP(Q115,'Other Model Data by TAZ'!A:A,'Other Model Data by TAZ'!G:G,0)</f>
        <v>389</v>
      </c>
      <c r="P115" s="120">
        <f>_xlfn.XLOOKUP(Q115, 'Model VMT by TAZ'!A:A,'Model VMT by TAZ'!E:E,0)</f>
        <v>12585.82</v>
      </c>
      <c r="Q115">
        <v>1576</v>
      </c>
      <c r="S115" t="s">
        <v>1162</v>
      </c>
      <c r="T115" t="s">
        <v>1162</v>
      </c>
      <c r="U115">
        <v>0</v>
      </c>
      <c r="V115">
        <v>458179</v>
      </c>
      <c r="W115">
        <v>2890.6732010000001</v>
      </c>
      <c r="X115">
        <v>458177.315199</v>
      </c>
    </row>
    <row r="116" spans="1:39" x14ac:dyDescent="0.35">
      <c r="A116">
        <v>111</v>
      </c>
      <c r="B116">
        <v>382</v>
      </c>
      <c r="C116" s="120">
        <f>_xlfn.XLOOKUP(B116,'Model VMT by TAZ'!A:A,'Model VMT by TAZ'!E:E,0)</f>
        <v>94209.09</v>
      </c>
      <c r="D116" s="120">
        <f>_xlfn.XLOOKUP(B116,'Other Model Data by TAZ'!A:A,'Other Model Data by TAZ'!G:G,0)</f>
        <v>2926</v>
      </c>
      <c r="E116" s="117">
        <f>_xlfn.XLOOKUP(B116,'Model Modeshare by TAZ'!A:A,'Model Modeshare by TAZ'!E:E,0)+_xlfn.XLOOKUP(B116,'Model Modeshare by TAZ'!$A:$A,'Model Modeshare by TAZ'!F:F,0)</f>
        <v>14672.3</v>
      </c>
      <c r="F116" s="117">
        <f>_xlfn.XLOOKUP(B116,'Model Modeshare by TAZ'!A:A,'Model Modeshare by TAZ'!$G:$G,0)</f>
        <v>545.64</v>
      </c>
      <c r="G116" s="117">
        <f>_xlfn.XLOOKUP(B116,'Model Modeshare by TAZ'!A:A,'Model Modeshare by TAZ'!$J:$J,0)</f>
        <v>17438.080000000002</v>
      </c>
      <c r="H116">
        <v>509500</v>
      </c>
      <c r="I116">
        <v>4824090</v>
      </c>
      <c r="L116">
        <v>113</v>
      </c>
      <c r="M116" t="s">
        <v>1161</v>
      </c>
      <c r="N116">
        <v>2826</v>
      </c>
      <c r="O116" s="120">
        <f>_xlfn.XLOOKUP(Q116,'Other Model Data by TAZ'!A:A,'Other Model Data by TAZ'!G:G,0)</f>
        <v>1876</v>
      </c>
      <c r="P116" s="120">
        <f>_xlfn.XLOOKUP(Q116, 'Model VMT by TAZ'!A:A,'Model VMT by TAZ'!E:E,0)</f>
        <v>31629.98</v>
      </c>
      <c r="Q116">
        <v>1550</v>
      </c>
      <c r="S116" t="s">
        <v>1162</v>
      </c>
      <c r="T116" t="s">
        <v>1162</v>
      </c>
      <c r="U116">
        <v>0</v>
      </c>
      <c r="V116">
        <v>6759801</v>
      </c>
      <c r="W116">
        <v>13522.178371</v>
      </c>
      <c r="X116">
        <v>6759773.9887030004</v>
      </c>
    </row>
    <row r="117" spans="1:39" x14ac:dyDescent="0.35">
      <c r="A117">
        <v>112</v>
      </c>
      <c r="B117">
        <v>392</v>
      </c>
      <c r="C117" s="120">
        <f>_xlfn.XLOOKUP(B117,'Model VMT by TAZ'!A:A,'Model VMT by TAZ'!E:E,0)</f>
        <v>101894.23</v>
      </c>
      <c r="D117" s="120">
        <f>_xlfn.XLOOKUP(B117,'Other Model Data by TAZ'!A:A,'Other Model Data by TAZ'!G:G,0)</f>
        <v>930</v>
      </c>
      <c r="E117" s="117">
        <f>_xlfn.XLOOKUP(B117,'Model Modeshare by TAZ'!A:A,'Model Modeshare by TAZ'!E:E,0)+_xlfn.XLOOKUP(B117,'Model Modeshare by TAZ'!$A:$A,'Model Modeshare by TAZ'!F:F,0)</f>
        <v>9420.56</v>
      </c>
      <c r="F117" s="117">
        <f>_xlfn.XLOOKUP(B117,'Model Modeshare by TAZ'!A:A,'Model Modeshare by TAZ'!$G:$G,0)</f>
        <v>159.18</v>
      </c>
      <c r="G117" s="117">
        <f>_xlfn.XLOOKUP(B117,'Model Modeshare by TAZ'!A:A,'Model Modeshare by TAZ'!$J:$J,0)</f>
        <v>10467.719999999999</v>
      </c>
      <c r="H117">
        <v>509201</v>
      </c>
      <c r="I117">
        <v>6270994</v>
      </c>
      <c r="L117">
        <v>114</v>
      </c>
      <c r="M117" t="s">
        <v>1161</v>
      </c>
      <c r="N117">
        <v>2827</v>
      </c>
      <c r="O117" s="120">
        <f>_xlfn.XLOOKUP(Q117,'Other Model Data by TAZ'!A:A,'Other Model Data by TAZ'!G:G,0)</f>
        <v>1650</v>
      </c>
      <c r="P117" s="120">
        <f>_xlfn.XLOOKUP(Q117, 'Model VMT by TAZ'!A:A,'Model VMT by TAZ'!E:E,0)</f>
        <v>31068.65</v>
      </c>
      <c r="Q117">
        <v>1548</v>
      </c>
      <c r="S117" t="s">
        <v>1162</v>
      </c>
      <c r="T117" t="s">
        <v>1162</v>
      </c>
      <c r="U117">
        <v>0</v>
      </c>
      <c r="V117">
        <v>5468937</v>
      </c>
      <c r="W117">
        <v>10329.349824000001</v>
      </c>
      <c r="X117">
        <v>5468915.1437969999</v>
      </c>
    </row>
    <row r="118" spans="1:39" x14ac:dyDescent="0.35">
      <c r="A118">
        <v>113</v>
      </c>
      <c r="B118">
        <v>400</v>
      </c>
      <c r="C118" s="120">
        <f>_xlfn.XLOOKUP(B118,'Model VMT by TAZ'!A:A,'Model VMT by TAZ'!E:E,0)</f>
        <v>92496.18</v>
      </c>
      <c r="D118" s="120">
        <f>_xlfn.XLOOKUP(B118,'Other Model Data by TAZ'!A:A,'Other Model Data by TAZ'!G:G,0)</f>
        <v>2969</v>
      </c>
      <c r="E118" s="117">
        <f>_xlfn.XLOOKUP(B118,'Model Modeshare by TAZ'!A:A,'Model Modeshare by TAZ'!E:E,0)+_xlfn.XLOOKUP(B118,'Model Modeshare by TAZ'!$A:$A,'Model Modeshare by TAZ'!F:F,0)</f>
        <v>15163.3</v>
      </c>
      <c r="F118" s="117">
        <f>_xlfn.XLOOKUP(B118,'Model Modeshare by TAZ'!A:A,'Model Modeshare by TAZ'!$G:$G,0)</f>
        <v>672.96</v>
      </c>
      <c r="G118" s="117">
        <f>_xlfn.XLOOKUP(B118,'Model Modeshare by TAZ'!A:A,'Model Modeshare by TAZ'!$J:$J,0)</f>
        <v>18776.16</v>
      </c>
      <c r="H118">
        <v>509404</v>
      </c>
      <c r="I118">
        <v>4873057</v>
      </c>
      <c r="L118">
        <v>115</v>
      </c>
      <c r="M118" t="s">
        <v>1161</v>
      </c>
      <c r="N118">
        <v>2828</v>
      </c>
      <c r="O118" s="120">
        <f>_xlfn.XLOOKUP(Q118,'Other Model Data by TAZ'!A:A,'Other Model Data by TAZ'!G:G,0)</f>
        <v>596</v>
      </c>
      <c r="P118" s="120">
        <f>_xlfn.XLOOKUP(Q118, 'Model VMT by TAZ'!A:A,'Model VMT by TAZ'!E:E,0)</f>
        <v>361223.72</v>
      </c>
      <c r="Q118">
        <v>1549</v>
      </c>
      <c r="S118" t="s">
        <v>1162</v>
      </c>
      <c r="T118" t="s">
        <v>1162</v>
      </c>
      <c r="U118">
        <v>0</v>
      </c>
      <c r="V118">
        <v>2939134</v>
      </c>
      <c r="W118">
        <v>9814.4325129999997</v>
      </c>
      <c r="X118">
        <v>2939122.4957010001</v>
      </c>
    </row>
    <row r="119" spans="1:39" x14ac:dyDescent="0.35">
      <c r="A119">
        <v>114</v>
      </c>
      <c r="B119">
        <v>404</v>
      </c>
      <c r="C119" s="120">
        <f>_xlfn.XLOOKUP(B119,'Model VMT by TAZ'!A:A,'Model VMT by TAZ'!E:E,0)</f>
        <v>12155.61</v>
      </c>
      <c r="D119" s="120">
        <f>_xlfn.XLOOKUP(B119,'Other Model Data by TAZ'!A:A,'Other Model Data by TAZ'!G:G,0)</f>
        <v>296</v>
      </c>
      <c r="E119" s="117">
        <f>_xlfn.XLOOKUP(B119,'Model Modeshare by TAZ'!A:A,'Model Modeshare by TAZ'!E:E,0)+_xlfn.XLOOKUP(B119,'Model Modeshare by TAZ'!$A:$A,'Model Modeshare by TAZ'!F:F,0)</f>
        <v>1696.94</v>
      </c>
      <c r="F119" s="117">
        <f>_xlfn.XLOOKUP(B119,'Model Modeshare by TAZ'!A:A,'Model Modeshare by TAZ'!$G:$G,0)</f>
        <v>32.479999999999997</v>
      </c>
      <c r="G119" s="117">
        <f>_xlfn.XLOOKUP(B119,'Model Modeshare by TAZ'!A:A,'Model Modeshare by TAZ'!$J:$J,0)</f>
        <v>2141.64</v>
      </c>
      <c r="H119">
        <v>509201</v>
      </c>
      <c r="I119">
        <v>1819972</v>
      </c>
      <c r="O119" s="120"/>
      <c r="P119" s="120"/>
    </row>
    <row r="120" spans="1:39" x14ac:dyDescent="0.35">
      <c r="A120">
        <v>115</v>
      </c>
      <c r="B120">
        <v>407</v>
      </c>
      <c r="C120" s="120">
        <f>_xlfn.XLOOKUP(B120,'Model VMT by TAZ'!A:A,'Model VMT by TAZ'!E:E,0)</f>
        <v>34452.89</v>
      </c>
      <c r="D120" s="120">
        <f>_xlfn.XLOOKUP(B120,'Other Model Data by TAZ'!A:A,'Other Model Data by TAZ'!G:G,0)</f>
        <v>1138</v>
      </c>
      <c r="E120" s="117">
        <f>_xlfn.XLOOKUP(B120,'Model Modeshare by TAZ'!A:A,'Model Modeshare by TAZ'!E:E,0)+_xlfn.XLOOKUP(B120,'Model Modeshare by TAZ'!$A:$A,'Model Modeshare by TAZ'!F:F,0)</f>
        <v>6559.880000000001</v>
      </c>
      <c r="F120" s="117">
        <f>_xlfn.XLOOKUP(B120,'Model Modeshare by TAZ'!A:A,'Model Modeshare by TAZ'!$G:$G,0)</f>
        <v>174.32</v>
      </c>
      <c r="G120" s="117">
        <f>_xlfn.XLOOKUP(B120,'Model Modeshare by TAZ'!A:A,'Model Modeshare by TAZ'!$J:$J,0)</f>
        <v>8465.02</v>
      </c>
      <c r="H120">
        <v>509201</v>
      </c>
      <c r="I120">
        <v>3214601</v>
      </c>
      <c r="O120" s="120"/>
      <c r="P120" s="120"/>
    </row>
    <row r="121" spans="1:39" x14ac:dyDescent="0.35">
      <c r="A121">
        <v>116</v>
      </c>
      <c r="B121">
        <v>408</v>
      </c>
      <c r="C121" s="120">
        <f>_xlfn.XLOOKUP(B121,'Model VMT by TAZ'!A:A,'Model VMT by TAZ'!E:E,0)</f>
        <v>89531.43</v>
      </c>
      <c r="D121" s="120">
        <f>_xlfn.XLOOKUP(B121,'Other Model Data by TAZ'!A:A,'Other Model Data by TAZ'!G:G,0)</f>
        <v>4171</v>
      </c>
      <c r="E121" s="117">
        <f>_xlfn.XLOOKUP(B121,'Model Modeshare by TAZ'!A:A,'Model Modeshare by TAZ'!E:E,0)+_xlfn.XLOOKUP(B121,'Model Modeshare by TAZ'!$A:$A,'Model Modeshare by TAZ'!F:F,0)</f>
        <v>17437.14</v>
      </c>
      <c r="F121" s="117">
        <f>_xlfn.XLOOKUP(B121,'Model Modeshare by TAZ'!A:A,'Model Modeshare by TAZ'!$G:$G,0)</f>
        <v>471.9</v>
      </c>
      <c r="G121" s="117">
        <f>_xlfn.XLOOKUP(B121,'Model Modeshare by TAZ'!A:A,'Model Modeshare by TAZ'!$J:$J,0)</f>
        <v>20658.060000000001</v>
      </c>
      <c r="H121">
        <v>509202</v>
      </c>
      <c r="I121">
        <v>11553620</v>
      </c>
      <c r="O121" s="120"/>
      <c r="P121" s="120"/>
    </row>
    <row r="122" spans="1:39" x14ac:dyDescent="0.35">
      <c r="A122">
        <v>117</v>
      </c>
      <c r="B122">
        <v>409</v>
      </c>
      <c r="C122" s="120">
        <f>_xlfn.XLOOKUP(B122,'Model VMT by TAZ'!A:A,'Model VMT by TAZ'!E:E,0)</f>
        <v>251402.18</v>
      </c>
      <c r="D122" s="120">
        <f>_xlfn.XLOOKUP(B122,'Other Model Data by TAZ'!A:A,'Other Model Data by TAZ'!G:G,0)</f>
        <v>3055</v>
      </c>
      <c r="E122" s="117">
        <f>_xlfn.XLOOKUP(B122,'Model Modeshare by TAZ'!A:A,'Model Modeshare by TAZ'!E:E,0)+_xlfn.XLOOKUP(B122,'Model Modeshare by TAZ'!$A:$A,'Model Modeshare by TAZ'!F:F,0)</f>
        <v>24425.48</v>
      </c>
      <c r="F122" s="117">
        <f>_xlfn.XLOOKUP(B122,'Model Modeshare by TAZ'!A:A,'Model Modeshare by TAZ'!$G:$G,0)</f>
        <v>449.76</v>
      </c>
      <c r="G122" s="117">
        <f>_xlfn.XLOOKUP(B122,'Model Modeshare by TAZ'!A:A,'Model Modeshare by TAZ'!$J:$J,0)</f>
        <v>28388.38</v>
      </c>
      <c r="H122">
        <v>509302</v>
      </c>
      <c r="I122">
        <v>11591713</v>
      </c>
      <c r="O122" s="120"/>
      <c r="P122" s="120"/>
    </row>
    <row r="123" spans="1:39" x14ac:dyDescent="0.35">
      <c r="A123">
        <v>118</v>
      </c>
      <c r="B123">
        <v>413</v>
      </c>
      <c r="C123" s="120">
        <f>_xlfn.XLOOKUP(B123,'Model VMT by TAZ'!A:A,'Model VMT by TAZ'!E:E,0)</f>
        <v>98879.9</v>
      </c>
      <c r="D123" s="120">
        <f>_xlfn.XLOOKUP(B123,'Other Model Data by TAZ'!A:A,'Other Model Data by TAZ'!G:G,0)</f>
        <v>329</v>
      </c>
      <c r="E123" s="117">
        <f>_xlfn.XLOOKUP(B123,'Model Modeshare by TAZ'!A:A,'Model Modeshare by TAZ'!E:E,0)+_xlfn.XLOOKUP(B123,'Model Modeshare by TAZ'!$A:$A,'Model Modeshare by TAZ'!F:F,0)</f>
        <v>8720.48</v>
      </c>
      <c r="F123" s="117">
        <f>_xlfn.XLOOKUP(B123,'Model Modeshare by TAZ'!A:A,'Model Modeshare by TAZ'!$G:$G,0)</f>
        <v>309</v>
      </c>
      <c r="G123" s="117">
        <f>_xlfn.XLOOKUP(B123,'Model Modeshare by TAZ'!A:A,'Model Modeshare by TAZ'!$J:$J,0)</f>
        <v>10080.879999999999</v>
      </c>
      <c r="H123">
        <v>509600</v>
      </c>
      <c r="I123">
        <v>2055835</v>
      </c>
      <c r="O123" s="120"/>
      <c r="P123" s="120"/>
    </row>
    <row r="124" spans="1:39" x14ac:dyDescent="0.35">
      <c r="A124">
        <v>119</v>
      </c>
      <c r="B124">
        <v>414</v>
      </c>
      <c r="C124" s="120">
        <f>_xlfn.XLOOKUP(B124,'Model VMT by TAZ'!A:A,'Model VMT by TAZ'!E:E,0)</f>
        <v>49696.959999999999</v>
      </c>
      <c r="D124" s="120">
        <f>_xlfn.XLOOKUP(B124,'Other Model Data by TAZ'!A:A,'Other Model Data by TAZ'!G:G,0)</f>
        <v>1545</v>
      </c>
      <c r="E124" s="117">
        <f>_xlfn.XLOOKUP(B124,'Model Modeshare by TAZ'!A:A,'Model Modeshare by TAZ'!E:E,0)+_xlfn.XLOOKUP(B124,'Model Modeshare by TAZ'!$A:$A,'Model Modeshare by TAZ'!F:F,0)</f>
        <v>6624.42</v>
      </c>
      <c r="F124" s="117">
        <f>_xlfn.XLOOKUP(B124,'Model Modeshare by TAZ'!A:A,'Model Modeshare by TAZ'!$G:$G,0)</f>
        <v>167.06</v>
      </c>
      <c r="G124" s="117">
        <f>_xlfn.XLOOKUP(B124,'Model Modeshare by TAZ'!A:A,'Model Modeshare by TAZ'!$J:$J,0)</f>
        <v>7466.48</v>
      </c>
      <c r="H124">
        <v>509700</v>
      </c>
      <c r="I124">
        <v>4707227</v>
      </c>
      <c r="O124" s="120"/>
      <c r="P124" s="120"/>
    </row>
    <row r="125" spans="1:39" x14ac:dyDescent="0.35">
      <c r="A125">
        <v>120</v>
      </c>
      <c r="B125">
        <v>415</v>
      </c>
      <c r="C125" s="120">
        <f>_xlfn.XLOOKUP(B125,'Model VMT by TAZ'!A:A,'Model VMT by TAZ'!E:E,0)</f>
        <v>55011.82</v>
      </c>
      <c r="D125" s="120">
        <f>_xlfn.XLOOKUP(B125,'Other Model Data by TAZ'!A:A,'Other Model Data by TAZ'!G:G,0)</f>
        <v>0</v>
      </c>
      <c r="E125" s="117">
        <f>_xlfn.XLOOKUP(B125,'Model Modeshare by TAZ'!A:A,'Model Modeshare by TAZ'!E:E,0)+_xlfn.XLOOKUP(B125,'Model Modeshare by TAZ'!$A:$A,'Model Modeshare by TAZ'!F:F,0)</f>
        <v>2106.8000000000002</v>
      </c>
      <c r="F125" s="117">
        <f>_xlfn.XLOOKUP(B125,'Model Modeshare by TAZ'!A:A,'Model Modeshare by TAZ'!$G:$G,0)</f>
        <v>47.8</v>
      </c>
      <c r="G125" s="117">
        <f>_xlfn.XLOOKUP(B125,'Model Modeshare by TAZ'!A:A,'Model Modeshare by TAZ'!$J:$J,0)</f>
        <v>2398.48</v>
      </c>
      <c r="H125">
        <v>509109</v>
      </c>
      <c r="I125">
        <v>2885405</v>
      </c>
      <c r="O125" s="120"/>
      <c r="P125" s="120"/>
    </row>
    <row r="126" spans="1:39" x14ac:dyDescent="0.35">
      <c r="A126">
        <v>121</v>
      </c>
      <c r="B126">
        <v>416</v>
      </c>
      <c r="C126" s="120">
        <f>_xlfn.XLOOKUP(B126,'Model VMT by TAZ'!A:A,'Model VMT by TAZ'!E:E,0)</f>
        <v>59073.39</v>
      </c>
      <c r="D126" s="120">
        <f>_xlfn.XLOOKUP(B126,'Other Model Data by TAZ'!A:A,'Other Model Data by TAZ'!G:G,0)</f>
        <v>2302</v>
      </c>
      <c r="E126" s="117">
        <f>_xlfn.XLOOKUP(B126,'Model Modeshare by TAZ'!A:A,'Model Modeshare by TAZ'!E:E,0)+_xlfn.XLOOKUP(B126,'Model Modeshare by TAZ'!$A:$A,'Model Modeshare by TAZ'!F:F,0)</f>
        <v>7958.1</v>
      </c>
      <c r="F126" s="117">
        <f>_xlfn.XLOOKUP(B126,'Model Modeshare by TAZ'!A:A,'Model Modeshare by TAZ'!$G:$G,0)</f>
        <v>207.52</v>
      </c>
      <c r="G126" s="117">
        <f>_xlfn.XLOOKUP(B126,'Model Modeshare by TAZ'!A:A,'Model Modeshare by TAZ'!$J:$J,0)</f>
        <v>10027.459999999999</v>
      </c>
      <c r="H126">
        <v>509201</v>
      </c>
      <c r="I126">
        <v>5536812</v>
      </c>
      <c r="O126" s="120"/>
      <c r="P126" s="120"/>
    </row>
    <row r="127" spans="1:39" x14ac:dyDescent="0.35">
      <c r="A127">
        <v>122</v>
      </c>
      <c r="B127">
        <v>417</v>
      </c>
      <c r="C127" s="120">
        <f>_xlfn.XLOOKUP(B127,'Model VMT by TAZ'!A:A,'Model VMT by TAZ'!E:E,0)</f>
        <v>47367.27</v>
      </c>
      <c r="D127" s="120">
        <f>_xlfn.XLOOKUP(B127,'Other Model Data by TAZ'!A:A,'Other Model Data by TAZ'!G:G,0)</f>
        <v>2413</v>
      </c>
      <c r="E127" s="117">
        <f>_xlfn.XLOOKUP(B127,'Model Modeshare by TAZ'!A:A,'Model Modeshare by TAZ'!E:E,0)+_xlfn.XLOOKUP(B127,'Model Modeshare by TAZ'!$A:$A,'Model Modeshare by TAZ'!F:F,0)</f>
        <v>8194.14</v>
      </c>
      <c r="F127" s="117">
        <f>_xlfn.XLOOKUP(B127,'Model Modeshare by TAZ'!A:A,'Model Modeshare by TAZ'!$G:$G,0)</f>
        <v>193.06</v>
      </c>
      <c r="G127" s="117">
        <f>_xlfn.XLOOKUP(B127,'Model Modeshare by TAZ'!A:A,'Model Modeshare by TAZ'!$J:$J,0)</f>
        <v>10261.780000000001</v>
      </c>
      <c r="H127">
        <v>509108</v>
      </c>
      <c r="I127">
        <v>5954493</v>
      </c>
      <c r="O127" s="120"/>
      <c r="P127" s="120"/>
    </row>
    <row r="128" spans="1:39" x14ac:dyDescent="0.35">
      <c r="A128">
        <v>123</v>
      </c>
      <c r="B128">
        <v>418</v>
      </c>
      <c r="C128" s="120">
        <f>_xlfn.XLOOKUP(B128,'Model VMT by TAZ'!A:A,'Model VMT by TAZ'!E:E,0)</f>
        <v>30760.41</v>
      </c>
      <c r="D128" s="120">
        <f>_xlfn.XLOOKUP(B128,'Other Model Data by TAZ'!A:A,'Other Model Data by TAZ'!G:G,0)</f>
        <v>815</v>
      </c>
      <c r="E128" s="117">
        <f>_xlfn.XLOOKUP(B128,'Model Modeshare by TAZ'!A:A,'Model Modeshare by TAZ'!E:E,0)+_xlfn.XLOOKUP(B128,'Model Modeshare by TAZ'!$A:$A,'Model Modeshare by TAZ'!F:F,0)</f>
        <v>2096.6800000000003</v>
      </c>
      <c r="F128" s="117">
        <f>_xlfn.XLOOKUP(B128,'Model Modeshare by TAZ'!A:A,'Model Modeshare by TAZ'!$G:$G,0)</f>
        <v>63.4</v>
      </c>
      <c r="G128" s="117">
        <f>_xlfn.XLOOKUP(B128,'Model Modeshare by TAZ'!A:A,'Model Modeshare by TAZ'!$J:$J,0)</f>
        <v>2446.5</v>
      </c>
      <c r="H128">
        <v>509600</v>
      </c>
      <c r="I128">
        <v>1055918</v>
      </c>
      <c r="O128" s="120"/>
      <c r="P128" s="120"/>
    </row>
    <row r="129" spans="1:16" x14ac:dyDescent="0.35">
      <c r="A129">
        <v>124</v>
      </c>
      <c r="B129">
        <v>419</v>
      </c>
      <c r="C129" s="120">
        <f>_xlfn.XLOOKUP(B129,'Model VMT by TAZ'!A:A,'Model VMT by TAZ'!E:E,0)</f>
        <v>25281.200000000001</v>
      </c>
      <c r="D129" s="120">
        <f>_xlfn.XLOOKUP(B129,'Other Model Data by TAZ'!A:A,'Other Model Data by TAZ'!G:G,0)</f>
        <v>262</v>
      </c>
      <c r="E129" s="117">
        <f>_xlfn.XLOOKUP(B129,'Model Modeshare by TAZ'!A:A,'Model Modeshare by TAZ'!E:E,0)+_xlfn.XLOOKUP(B129,'Model Modeshare by TAZ'!$A:$A,'Model Modeshare by TAZ'!F:F,0)</f>
        <v>3871.44</v>
      </c>
      <c r="F129" s="117">
        <f>_xlfn.XLOOKUP(B129,'Model Modeshare by TAZ'!A:A,'Model Modeshare by TAZ'!$G:$G,0)</f>
        <v>105.32</v>
      </c>
      <c r="G129" s="117">
        <f>_xlfn.XLOOKUP(B129,'Model Modeshare by TAZ'!A:A,'Model Modeshare by TAZ'!$J:$J,0)</f>
        <v>4458.5</v>
      </c>
      <c r="H129">
        <v>509600</v>
      </c>
      <c r="I129">
        <v>1361414</v>
      </c>
      <c r="O129" s="120"/>
      <c r="P129" s="120"/>
    </row>
    <row r="130" spans="1:16" x14ac:dyDescent="0.35">
      <c r="A130">
        <v>125</v>
      </c>
      <c r="B130">
        <v>460</v>
      </c>
      <c r="C130" s="120">
        <f>_xlfn.XLOOKUP(B130,'Model VMT by TAZ'!A:A,'Model VMT by TAZ'!E:E,0)</f>
        <v>35836.67</v>
      </c>
      <c r="D130" s="120">
        <f>_xlfn.XLOOKUP(B130,'Other Model Data by TAZ'!A:A,'Other Model Data by TAZ'!G:G,0)</f>
        <v>1084</v>
      </c>
      <c r="E130" s="117">
        <f>_xlfn.XLOOKUP(B130,'Model Modeshare by TAZ'!A:A,'Model Modeshare by TAZ'!E:E,0)+_xlfn.XLOOKUP(B130,'Model Modeshare by TAZ'!$A:$A,'Model Modeshare by TAZ'!F:F,0)</f>
        <v>4114.6400000000003</v>
      </c>
      <c r="F130" s="117">
        <f>_xlfn.XLOOKUP(B130,'Model Modeshare by TAZ'!A:A,'Model Modeshare by TAZ'!$G:$G,0)</f>
        <v>497.2</v>
      </c>
      <c r="G130" s="117">
        <f>_xlfn.XLOOKUP(B130,'Model Modeshare by TAZ'!A:A,'Model Modeshare by TAZ'!$J:$J,0)</f>
        <v>5943.54</v>
      </c>
      <c r="H130">
        <v>511300</v>
      </c>
      <c r="I130">
        <v>2682543</v>
      </c>
      <c r="O130" s="120"/>
      <c r="P130" s="120"/>
    </row>
    <row r="131" spans="1:16" x14ac:dyDescent="0.35">
      <c r="A131">
        <v>126</v>
      </c>
      <c r="B131">
        <v>463</v>
      </c>
      <c r="C131" s="120">
        <f>_xlfn.XLOOKUP(B131,'Model VMT by TAZ'!A:A,'Model VMT by TAZ'!E:E,0)</f>
        <v>217.08</v>
      </c>
      <c r="D131" s="120">
        <f>_xlfn.XLOOKUP(B131,'Other Model Data by TAZ'!A:A,'Other Model Data by TAZ'!G:G,0)</f>
        <v>0</v>
      </c>
      <c r="E131" s="117">
        <f>_xlfn.XLOOKUP(B131,'Model Modeshare by TAZ'!A:A,'Model Modeshare by TAZ'!E:E,0)+_xlfn.XLOOKUP(B131,'Model Modeshare by TAZ'!$A:$A,'Model Modeshare by TAZ'!F:F,0)</f>
        <v>0.72</v>
      </c>
      <c r="F131" s="117">
        <f>_xlfn.XLOOKUP(B131,'Model Modeshare by TAZ'!A:A,'Model Modeshare by TAZ'!$G:$G,0)</f>
        <v>0</v>
      </c>
      <c r="G131" s="117">
        <f>_xlfn.XLOOKUP(B131,'Model Modeshare by TAZ'!A:A,'Model Modeshare by TAZ'!$J:$J,0)</f>
        <v>2.7</v>
      </c>
      <c r="H131">
        <v>511604</v>
      </c>
      <c r="I131">
        <v>2356651</v>
      </c>
      <c r="O131" s="120"/>
      <c r="P131" s="120"/>
    </row>
    <row r="132" spans="1:16" x14ac:dyDescent="0.35">
      <c r="A132">
        <v>127</v>
      </c>
      <c r="B132">
        <v>465</v>
      </c>
      <c r="C132" s="120">
        <f>_xlfn.XLOOKUP(B132,'Model VMT by TAZ'!A:A,'Model VMT by TAZ'!E:E,0)</f>
        <v>46087.41</v>
      </c>
      <c r="D132" s="120">
        <f>_xlfn.XLOOKUP(B132,'Other Model Data by TAZ'!A:A,'Other Model Data by TAZ'!G:G,0)</f>
        <v>1036</v>
      </c>
      <c r="E132" s="117">
        <f>_xlfn.XLOOKUP(B132,'Model Modeshare by TAZ'!A:A,'Model Modeshare by TAZ'!E:E,0)+_xlfn.XLOOKUP(B132,'Model Modeshare by TAZ'!$A:$A,'Model Modeshare by TAZ'!F:F,0)</f>
        <v>2386.88</v>
      </c>
      <c r="F132" s="117">
        <f>_xlfn.XLOOKUP(B132,'Model Modeshare by TAZ'!A:A,'Model Modeshare by TAZ'!$G:$G,0)</f>
        <v>437.4</v>
      </c>
      <c r="G132" s="117">
        <f>_xlfn.XLOOKUP(B132,'Model Modeshare by TAZ'!A:A,'Model Modeshare by TAZ'!$J:$J,0)</f>
        <v>3729.58</v>
      </c>
      <c r="H132">
        <v>511604</v>
      </c>
      <c r="I132">
        <v>2159815</v>
      </c>
      <c r="O132" s="120"/>
      <c r="P132" s="120"/>
    </row>
    <row r="133" spans="1:16" x14ac:dyDescent="0.35">
      <c r="A133">
        <v>128</v>
      </c>
      <c r="B133">
        <v>466</v>
      </c>
      <c r="C133" s="120">
        <f>_xlfn.XLOOKUP(B133,'Model VMT by TAZ'!A:A,'Model VMT by TAZ'!E:E,0)</f>
        <v>126076.19</v>
      </c>
      <c r="D133" s="120">
        <f>_xlfn.XLOOKUP(B133,'Other Model Data by TAZ'!A:A,'Other Model Data by TAZ'!G:G,0)</f>
        <v>1660</v>
      </c>
      <c r="E133" s="117">
        <f>_xlfn.XLOOKUP(B133,'Model Modeshare by TAZ'!A:A,'Model Modeshare by TAZ'!E:E,0)+_xlfn.XLOOKUP(B133,'Model Modeshare by TAZ'!$A:$A,'Model Modeshare by TAZ'!F:F,0)</f>
        <v>15372.220000000001</v>
      </c>
      <c r="F133" s="117">
        <f>_xlfn.XLOOKUP(B133,'Model Modeshare by TAZ'!A:A,'Model Modeshare by TAZ'!$G:$G,0)</f>
        <v>2459.1999999999998</v>
      </c>
      <c r="G133" s="117">
        <f>_xlfn.XLOOKUP(B133,'Model Modeshare by TAZ'!A:A,'Model Modeshare by TAZ'!$J:$J,0)</f>
        <v>23067.62</v>
      </c>
      <c r="H133">
        <v>511300</v>
      </c>
      <c r="I133">
        <v>3074942</v>
      </c>
      <c r="O133" s="120"/>
      <c r="P133" s="120"/>
    </row>
    <row r="134" spans="1:16" x14ac:dyDescent="0.35">
      <c r="A134">
        <v>129</v>
      </c>
      <c r="B134">
        <v>467</v>
      </c>
      <c r="C134" s="120">
        <f>_xlfn.XLOOKUP(B134,'Model VMT by TAZ'!A:A,'Model VMT by TAZ'!E:E,0)</f>
        <v>25349.200000000001</v>
      </c>
      <c r="D134" s="120">
        <f>_xlfn.XLOOKUP(B134,'Other Model Data by TAZ'!A:A,'Other Model Data by TAZ'!G:G,0)</f>
        <v>1068</v>
      </c>
      <c r="E134" s="117">
        <f>_xlfn.XLOOKUP(B134,'Model Modeshare by TAZ'!A:A,'Model Modeshare by TAZ'!E:E,0)+_xlfn.XLOOKUP(B134,'Model Modeshare by TAZ'!$A:$A,'Model Modeshare by TAZ'!F:F,0)</f>
        <v>7361.18</v>
      </c>
      <c r="F134" s="117">
        <f>_xlfn.XLOOKUP(B134,'Model Modeshare by TAZ'!A:A,'Model Modeshare by TAZ'!$G:$G,0)</f>
        <v>507.42</v>
      </c>
      <c r="G134" s="117">
        <f>_xlfn.XLOOKUP(B134,'Model Modeshare by TAZ'!A:A,'Model Modeshare by TAZ'!$J:$J,0)</f>
        <v>10185.56</v>
      </c>
      <c r="H134">
        <v>511400</v>
      </c>
      <c r="I134">
        <v>4143279</v>
      </c>
      <c r="O134" s="120"/>
      <c r="P134" s="120"/>
    </row>
    <row r="135" spans="1:16" x14ac:dyDescent="0.35">
      <c r="A135">
        <v>130</v>
      </c>
      <c r="B135">
        <v>468</v>
      </c>
      <c r="C135" s="120">
        <f>_xlfn.XLOOKUP(B135,'Model VMT by TAZ'!A:A,'Model VMT by TAZ'!E:E,0)</f>
        <v>18338.41</v>
      </c>
      <c r="D135" s="120">
        <f>_xlfn.XLOOKUP(B135,'Other Model Data by TAZ'!A:A,'Other Model Data by TAZ'!G:G,0)</f>
        <v>882</v>
      </c>
      <c r="E135" s="117">
        <f>_xlfn.XLOOKUP(B135,'Model Modeshare by TAZ'!A:A,'Model Modeshare by TAZ'!E:E,0)+_xlfn.XLOOKUP(B135,'Model Modeshare by TAZ'!$A:$A,'Model Modeshare by TAZ'!F:F,0)</f>
        <v>3029.44</v>
      </c>
      <c r="F135" s="117">
        <f>_xlfn.XLOOKUP(B135,'Model Modeshare by TAZ'!A:A,'Model Modeshare by TAZ'!$G:$G,0)</f>
        <v>251.18</v>
      </c>
      <c r="G135" s="117">
        <f>_xlfn.XLOOKUP(B135,'Model Modeshare by TAZ'!A:A,'Model Modeshare by TAZ'!$J:$J,0)</f>
        <v>4086.46</v>
      </c>
      <c r="H135">
        <v>511400</v>
      </c>
      <c r="I135">
        <v>3968601</v>
      </c>
      <c r="O135" s="120"/>
      <c r="P135" s="120"/>
    </row>
    <row r="136" spans="1:16" x14ac:dyDescent="0.35">
      <c r="A136">
        <v>131</v>
      </c>
      <c r="B136">
        <v>469</v>
      </c>
      <c r="C136" s="120">
        <f>_xlfn.XLOOKUP(B136,'Model VMT by TAZ'!A:A,'Model VMT by TAZ'!E:E,0)</f>
        <v>25500.13</v>
      </c>
      <c r="D136" s="120">
        <f>_xlfn.XLOOKUP(B136,'Other Model Data by TAZ'!A:A,'Other Model Data by TAZ'!G:G,0)</f>
        <v>1779</v>
      </c>
      <c r="E136" s="117">
        <f>_xlfn.XLOOKUP(B136,'Model Modeshare by TAZ'!A:A,'Model Modeshare by TAZ'!E:E,0)+_xlfn.XLOOKUP(B136,'Model Modeshare by TAZ'!$A:$A,'Model Modeshare by TAZ'!F:F,0)</f>
        <v>5368.96</v>
      </c>
      <c r="F136" s="117">
        <f>_xlfn.XLOOKUP(B136,'Model Modeshare by TAZ'!A:A,'Model Modeshare by TAZ'!$G:$G,0)</f>
        <v>585.96</v>
      </c>
      <c r="G136" s="117">
        <f>_xlfn.XLOOKUP(B136,'Model Modeshare by TAZ'!A:A,'Model Modeshare by TAZ'!$J:$J,0)</f>
        <v>7855.32</v>
      </c>
      <c r="H136">
        <v>510900</v>
      </c>
      <c r="I136">
        <v>4796293</v>
      </c>
      <c r="O136" s="120"/>
      <c r="P136" s="120"/>
    </row>
    <row r="137" spans="1:16" x14ac:dyDescent="0.35">
      <c r="A137">
        <v>132</v>
      </c>
      <c r="B137">
        <v>470</v>
      </c>
      <c r="C137" s="120">
        <f>_xlfn.XLOOKUP(B137,'Model VMT by TAZ'!A:A,'Model VMT by TAZ'!E:E,0)</f>
        <v>3036.2</v>
      </c>
      <c r="D137" s="120">
        <f>_xlfn.XLOOKUP(B137,'Other Model Data by TAZ'!A:A,'Other Model Data by TAZ'!G:G,0)</f>
        <v>314</v>
      </c>
      <c r="E137" s="117">
        <f>_xlfn.XLOOKUP(B137,'Model Modeshare by TAZ'!A:A,'Model Modeshare by TAZ'!E:E,0)+_xlfn.XLOOKUP(B137,'Model Modeshare by TAZ'!$A:$A,'Model Modeshare by TAZ'!F:F,0)</f>
        <v>921.92</v>
      </c>
      <c r="F137" s="117">
        <f>_xlfn.XLOOKUP(B137,'Model Modeshare by TAZ'!A:A,'Model Modeshare by TAZ'!$G:$G,0)</f>
        <v>90.66</v>
      </c>
      <c r="G137" s="117">
        <f>_xlfn.XLOOKUP(B137,'Model Modeshare by TAZ'!A:A,'Model Modeshare by TAZ'!$J:$J,0)</f>
        <v>1421.56</v>
      </c>
      <c r="H137">
        <v>510900</v>
      </c>
      <c r="I137">
        <v>1254151</v>
      </c>
      <c r="O137" s="120"/>
      <c r="P137" s="120"/>
    </row>
    <row r="138" spans="1:16" x14ac:dyDescent="0.35">
      <c r="A138">
        <v>133</v>
      </c>
      <c r="B138">
        <v>483</v>
      </c>
      <c r="C138" s="120">
        <f>_xlfn.XLOOKUP(B138,'Model VMT by TAZ'!A:A,'Model VMT by TAZ'!E:E,0)</f>
        <v>18296.34</v>
      </c>
      <c r="D138" s="120">
        <f>_xlfn.XLOOKUP(B138,'Other Model Data by TAZ'!A:A,'Other Model Data by TAZ'!G:G,0)</f>
        <v>1140</v>
      </c>
      <c r="E138" s="117">
        <f>_xlfn.XLOOKUP(B138,'Model Modeshare by TAZ'!A:A,'Model Modeshare by TAZ'!E:E,0)+_xlfn.XLOOKUP(B138,'Model Modeshare by TAZ'!$A:$A,'Model Modeshare by TAZ'!F:F,0)</f>
        <v>3994.6400000000003</v>
      </c>
      <c r="F138" s="117">
        <f>_xlfn.XLOOKUP(B138,'Model Modeshare by TAZ'!A:A,'Model Modeshare by TAZ'!$G:$G,0)</f>
        <v>341.78</v>
      </c>
      <c r="G138" s="117">
        <f>_xlfn.XLOOKUP(B138,'Model Modeshare by TAZ'!A:A,'Model Modeshare by TAZ'!$J:$J,0)</f>
        <v>5348.22</v>
      </c>
      <c r="H138">
        <v>510802</v>
      </c>
      <c r="I138">
        <v>4846132</v>
      </c>
      <c r="O138" s="120"/>
      <c r="P138" s="120"/>
    </row>
    <row r="139" spans="1:16" x14ac:dyDescent="0.35">
      <c r="A139">
        <v>134</v>
      </c>
      <c r="B139">
        <v>491</v>
      </c>
      <c r="C139" s="120">
        <f>_xlfn.XLOOKUP(B139,'Model VMT by TAZ'!A:A,'Model VMT by TAZ'!E:E,0)</f>
        <v>18159.849999999999</v>
      </c>
      <c r="D139" s="120">
        <f>_xlfn.XLOOKUP(B139,'Other Model Data by TAZ'!A:A,'Other Model Data by TAZ'!G:G,0)</f>
        <v>1339</v>
      </c>
      <c r="E139" s="117">
        <f>_xlfn.XLOOKUP(B139,'Model Modeshare by TAZ'!A:A,'Model Modeshare by TAZ'!E:E,0)+_xlfn.XLOOKUP(B139,'Model Modeshare by TAZ'!$A:$A,'Model Modeshare by TAZ'!F:F,0)</f>
        <v>4660.96</v>
      </c>
      <c r="F139" s="117">
        <f>_xlfn.XLOOKUP(B139,'Model Modeshare by TAZ'!A:A,'Model Modeshare by TAZ'!$G:$G,0)</f>
        <v>572.14</v>
      </c>
      <c r="G139" s="117">
        <f>_xlfn.XLOOKUP(B139,'Model Modeshare by TAZ'!A:A,'Model Modeshare by TAZ'!$J:$J,0)</f>
        <v>7297.18</v>
      </c>
      <c r="H139">
        <v>510900</v>
      </c>
      <c r="I139">
        <v>4054518</v>
      </c>
      <c r="O139" s="120"/>
      <c r="P139" s="120"/>
    </row>
    <row r="140" spans="1:16" x14ac:dyDescent="0.35">
      <c r="A140">
        <v>135</v>
      </c>
      <c r="B140">
        <v>494</v>
      </c>
      <c r="C140" s="120">
        <f>_xlfn.XLOOKUP(B140,'Model VMT by TAZ'!A:A,'Model VMT by TAZ'!E:E,0)</f>
        <v>31695.119999999999</v>
      </c>
      <c r="D140" s="120">
        <f>_xlfn.XLOOKUP(B140,'Other Model Data by TAZ'!A:A,'Other Model Data by TAZ'!G:G,0)</f>
        <v>0</v>
      </c>
      <c r="E140" s="117">
        <f>_xlfn.XLOOKUP(B140,'Model Modeshare by TAZ'!A:A,'Model Modeshare by TAZ'!E:E,0)+_xlfn.XLOOKUP(B140,'Model Modeshare by TAZ'!$A:$A,'Model Modeshare by TAZ'!F:F,0)</f>
        <v>212.62</v>
      </c>
      <c r="F140" s="117">
        <f>_xlfn.XLOOKUP(B140,'Model Modeshare by TAZ'!A:A,'Model Modeshare by TAZ'!$G:$G,0)</f>
        <v>48.96</v>
      </c>
      <c r="G140" s="117">
        <f>_xlfn.XLOOKUP(B140,'Model Modeshare by TAZ'!A:A,'Model Modeshare by TAZ'!$J:$J,0)</f>
        <v>397.96</v>
      </c>
      <c r="H140">
        <v>511604</v>
      </c>
      <c r="I140">
        <v>1922261</v>
      </c>
      <c r="O140" s="120"/>
      <c r="P140" s="120"/>
    </row>
    <row r="141" spans="1:16" x14ac:dyDescent="0.35">
      <c r="A141">
        <v>136</v>
      </c>
      <c r="B141">
        <v>495</v>
      </c>
      <c r="C141" s="120">
        <f>_xlfn.XLOOKUP(B141,'Model VMT by TAZ'!A:A,'Model VMT by TAZ'!E:E,0)</f>
        <v>20447.18</v>
      </c>
      <c r="D141" s="120">
        <f>_xlfn.XLOOKUP(B141,'Other Model Data by TAZ'!A:A,'Other Model Data by TAZ'!G:G,0)</f>
        <v>380</v>
      </c>
      <c r="E141" s="117">
        <f>_xlfn.XLOOKUP(B141,'Model Modeshare by TAZ'!A:A,'Model Modeshare by TAZ'!E:E,0)+_xlfn.XLOOKUP(B141,'Model Modeshare by TAZ'!$A:$A,'Model Modeshare by TAZ'!F:F,0)</f>
        <v>1783.48</v>
      </c>
      <c r="F141" s="117">
        <f>_xlfn.XLOOKUP(B141,'Model Modeshare by TAZ'!A:A,'Model Modeshare by TAZ'!$G:$G,0)</f>
        <v>239.08</v>
      </c>
      <c r="G141" s="117">
        <f>_xlfn.XLOOKUP(B141,'Model Modeshare by TAZ'!A:A,'Model Modeshare by TAZ'!$J:$J,0)</f>
        <v>2537.86</v>
      </c>
      <c r="H141">
        <v>511300</v>
      </c>
      <c r="I141">
        <v>2076790</v>
      </c>
      <c r="O141" s="120"/>
      <c r="P141" s="120"/>
    </row>
    <row r="142" spans="1:16" x14ac:dyDescent="0.35">
      <c r="A142">
        <v>137</v>
      </c>
      <c r="B142">
        <v>503</v>
      </c>
      <c r="C142" s="120">
        <f>_xlfn.XLOOKUP(B142,'Model VMT by TAZ'!A:A,'Model VMT by TAZ'!E:E,0)</f>
        <v>10483.39</v>
      </c>
      <c r="D142" s="120">
        <f>_xlfn.XLOOKUP(B142,'Other Model Data by TAZ'!A:A,'Other Model Data by TAZ'!G:G,0)</f>
        <v>568</v>
      </c>
      <c r="E142" s="117">
        <f>_xlfn.XLOOKUP(B142,'Model Modeshare by TAZ'!A:A,'Model Modeshare by TAZ'!E:E,0)+_xlfn.XLOOKUP(B142,'Model Modeshare by TAZ'!$A:$A,'Model Modeshare by TAZ'!F:F,0)</f>
        <v>3210.7</v>
      </c>
      <c r="F142" s="117">
        <f>_xlfn.XLOOKUP(B142,'Model Modeshare by TAZ'!A:A,'Model Modeshare by TAZ'!$G:$G,0)</f>
        <v>282.64</v>
      </c>
      <c r="G142" s="117">
        <f>_xlfn.XLOOKUP(B142,'Model Modeshare by TAZ'!A:A,'Model Modeshare by TAZ'!$J:$J,0)</f>
        <v>4817.38</v>
      </c>
      <c r="H142">
        <v>510900</v>
      </c>
      <c r="I142">
        <v>2295672</v>
      </c>
      <c r="O142" s="120"/>
      <c r="P142" s="120"/>
    </row>
    <row r="143" spans="1:16" x14ac:dyDescent="0.35">
      <c r="A143">
        <v>138</v>
      </c>
      <c r="B143">
        <v>504</v>
      </c>
      <c r="C143" s="120">
        <f>_xlfn.XLOOKUP(B143,'Model VMT by TAZ'!A:A,'Model VMT by TAZ'!E:E,0)</f>
        <v>24986.16</v>
      </c>
      <c r="D143" s="120">
        <f>_xlfn.XLOOKUP(B143,'Other Model Data by TAZ'!A:A,'Other Model Data by TAZ'!G:G,0)</f>
        <v>1408</v>
      </c>
      <c r="E143" s="117">
        <f>_xlfn.XLOOKUP(B143,'Model Modeshare by TAZ'!A:A,'Model Modeshare by TAZ'!E:E,0)+_xlfn.XLOOKUP(B143,'Model Modeshare by TAZ'!$A:$A,'Model Modeshare by TAZ'!F:F,0)</f>
        <v>4476.2</v>
      </c>
      <c r="F143" s="117">
        <f>_xlfn.XLOOKUP(B143,'Model Modeshare by TAZ'!A:A,'Model Modeshare by TAZ'!$G:$G,0)</f>
        <v>498.68</v>
      </c>
      <c r="G143" s="117">
        <f>_xlfn.XLOOKUP(B143,'Model Modeshare by TAZ'!A:A,'Model Modeshare by TAZ'!$J:$J,0)</f>
        <v>6527.42</v>
      </c>
      <c r="H143">
        <v>511400</v>
      </c>
      <c r="I143">
        <v>6152539</v>
      </c>
      <c r="O143" s="120"/>
      <c r="P143" s="120"/>
    </row>
    <row r="144" spans="1:16" x14ac:dyDescent="0.35">
      <c r="A144">
        <v>139</v>
      </c>
      <c r="B144">
        <v>506</v>
      </c>
      <c r="C144" s="120">
        <f>_xlfn.XLOOKUP(B144,'Model VMT by TAZ'!A:A,'Model VMT by TAZ'!E:E,0)</f>
        <v>57868.72</v>
      </c>
      <c r="D144" s="120">
        <f>_xlfn.XLOOKUP(B144,'Other Model Data by TAZ'!A:A,'Other Model Data by TAZ'!G:G,0)</f>
        <v>1273</v>
      </c>
      <c r="E144" s="117">
        <f>_xlfn.XLOOKUP(B144,'Model Modeshare by TAZ'!A:A,'Model Modeshare by TAZ'!E:E,0)+_xlfn.XLOOKUP(B144,'Model Modeshare by TAZ'!$A:$A,'Model Modeshare by TAZ'!F:F,0)</f>
        <v>7496.62</v>
      </c>
      <c r="F144" s="117">
        <f>_xlfn.XLOOKUP(B144,'Model Modeshare by TAZ'!A:A,'Model Modeshare by TAZ'!$G:$G,0)</f>
        <v>1141.1600000000001</v>
      </c>
      <c r="G144" s="117">
        <f>_xlfn.XLOOKUP(B144,'Model Modeshare by TAZ'!A:A,'Model Modeshare by TAZ'!$J:$J,0)</f>
        <v>12122.98</v>
      </c>
      <c r="H144">
        <v>511500</v>
      </c>
      <c r="I144">
        <v>1277312</v>
      </c>
      <c r="O144" s="120"/>
      <c r="P144" s="120"/>
    </row>
    <row r="145" spans="1:16" x14ac:dyDescent="0.35">
      <c r="A145">
        <v>140</v>
      </c>
      <c r="B145">
        <v>507</v>
      </c>
      <c r="C145" s="120">
        <f>_xlfn.XLOOKUP(B145,'Model VMT by TAZ'!A:A,'Model VMT by TAZ'!E:E,0)</f>
        <v>17554.46</v>
      </c>
      <c r="D145" s="120">
        <f>_xlfn.XLOOKUP(B145,'Other Model Data by TAZ'!A:A,'Other Model Data by TAZ'!G:G,0)</f>
        <v>158</v>
      </c>
      <c r="E145" s="117">
        <f>_xlfn.XLOOKUP(B145,'Model Modeshare by TAZ'!A:A,'Model Modeshare by TAZ'!E:E,0)+_xlfn.XLOOKUP(B145,'Model Modeshare by TAZ'!$A:$A,'Model Modeshare by TAZ'!F:F,0)</f>
        <v>3223.5200000000004</v>
      </c>
      <c r="F145" s="117">
        <f>_xlfn.XLOOKUP(B145,'Model Modeshare by TAZ'!A:A,'Model Modeshare by TAZ'!$G:$G,0)</f>
        <v>522.29999999999995</v>
      </c>
      <c r="G145" s="117">
        <f>_xlfn.XLOOKUP(B145,'Model Modeshare by TAZ'!A:A,'Model Modeshare by TAZ'!$J:$J,0)</f>
        <v>5145.92</v>
      </c>
      <c r="H145">
        <v>511500</v>
      </c>
      <c r="I145">
        <v>590080</v>
      </c>
      <c r="O145" s="120"/>
      <c r="P145" s="120"/>
    </row>
    <row r="146" spans="1:16" x14ac:dyDescent="0.35">
      <c r="A146">
        <v>141</v>
      </c>
      <c r="B146">
        <v>508</v>
      </c>
      <c r="C146" s="120">
        <f>_xlfn.XLOOKUP(B146,'Model VMT by TAZ'!A:A,'Model VMT by TAZ'!E:E,0)</f>
        <v>56350.42</v>
      </c>
      <c r="D146" s="120">
        <f>_xlfn.XLOOKUP(B146,'Other Model Data by TAZ'!A:A,'Other Model Data by TAZ'!G:G,0)</f>
        <v>2070</v>
      </c>
      <c r="E146" s="117">
        <f>_xlfn.XLOOKUP(B146,'Model Modeshare by TAZ'!A:A,'Model Modeshare by TAZ'!E:E,0)+_xlfn.XLOOKUP(B146,'Model Modeshare by TAZ'!$A:$A,'Model Modeshare by TAZ'!F:F,0)</f>
        <v>9441.68</v>
      </c>
      <c r="F146" s="117">
        <f>_xlfn.XLOOKUP(B146,'Model Modeshare by TAZ'!A:A,'Model Modeshare by TAZ'!$G:$G,0)</f>
        <v>1579.76</v>
      </c>
      <c r="G146" s="117">
        <f>_xlfn.XLOOKUP(B146,'Model Modeshare by TAZ'!A:A,'Model Modeshare by TAZ'!$J:$J,0)</f>
        <v>15416.94</v>
      </c>
      <c r="H146">
        <v>511500</v>
      </c>
      <c r="I146">
        <v>5456991</v>
      </c>
      <c r="O146" s="120"/>
      <c r="P146" s="120"/>
    </row>
    <row r="147" spans="1:16" x14ac:dyDescent="0.35">
      <c r="A147">
        <v>142</v>
      </c>
      <c r="B147">
        <v>509</v>
      </c>
      <c r="C147" s="120">
        <f>_xlfn.XLOOKUP(B147,'Model VMT by TAZ'!A:A,'Model VMT by TAZ'!E:E,0)</f>
        <v>75075.97</v>
      </c>
      <c r="D147" s="120">
        <f>_xlfn.XLOOKUP(B147,'Other Model Data by TAZ'!A:A,'Other Model Data by TAZ'!G:G,0)</f>
        <v>3150</v>
      </c>
      <c r="E147" s="117">
        <f>_xlfn.XLOOKUP(B147,'Model Modeshare by TAZ'!A:A,'Model Modeshare by TAZ'!E:E,0)+_xlfn.XLOOKUP(B147,'Model Modeshare by TAZ'!$A:$A,'Model Modeshare by TAZ'!F:F,0)</f>
        <v>11670.82</v>
      </c>
      <c r="F147" s="117">
        <f>_xlfn.XLOOKUP(B147,'Model Modeshare by TAZ'!A:A,'Model Modeshare by TAZ'!$G:$G,0)</f>
        <v>2286.8200000000002</v>
      </c>
      <c r="G147" s="117">
        <f>_xlfn.XLOOKUP(B147,'Model Modeshare by TAZ'!A:A,'Model Modeshare by TAZ'!$J:$J,0)</f>
        <v>19159.419999999998</v>
      </c>
      <c r="H147">
        <v>511606</v>
      </c>
      <c r="I147">
        <v>5427279</v>
      </c>
      <c r="O147" s="120"/>
      <c r="P147" s="120"/>
    </row>
    <row r="148" spans="1:16" x14ac:dyDescent="0.35">
      <c r="A148">
        <v>143</v>
      </c>
      <c r="B148">
        <v>517</v>
      </c>
      <c r="C148" s="120">
        <f>_xlfn.XLOOKUP(B148,'Model VMT by TAZ'!A:A,'Model VMT by TAZ'!E:E,0)</f>
        <v>52573.72</v>
      </c>
      <c r="D148" s="120">
        <f>_xlfn.XLOOKUP(B148,'Other Model Data by TAZ'!A:A,'Other Model Data by TAZ'!G:G,0)</f>
        <v>468</v>
      </c>
      <c r="E148" s="117">
        <f>_xlfn.XLOOKUP(B148,'Model Modeshare by TAZ'!A:A,'Model Modeshare by TAZ'!E:E,0)+_xlfn.XLOOKUP(B148,'Model Modeshare by TAZ'!$A:$A,'Model Modeshare by TAZ'!F:F,0)</f>
        <v>9468.36</v>
      </c>
      <c r="F148" s="117">
        <f>_xlfn.XLOOKUP(B148,'Model Modeshare by TAZ'!A:A,'Model Modeshare by TAZ'!$G:$G,0)</f>
        <v>476.3</v>
      </c>
      <c r="G148" s="117">
        <f>_xlfn.XLOOKUP(B148,'Model Modeshare by TAZ'!A:A,'Model Modeshare by TAZ'!$J:$J,0)</f>
        <v>13210.9</v>
      </c>
      <c r="H148">
        <v>510700</v>
      </c>
      <c r="I148">
        <v>4479463</v>
      </c>
      <c r="O148" s="120"/>
      <c r="P148" s="120"/>
    </row>
    <row r="149" spans="1:16" x14ac:dyDescent="0.35">
      <c r="A149">
        <v>144</v>
      </c>
      <c r="B149">
        <v>1234</v>
      </c>
      <c r="C149" s="120">
        <f>_xlfn.XLOOKUP(B149,'Model VMT by TAZ'!A:A,'Model VMT by TAZ'!E:E,0)</f>
        <v>32185.45</v>
      </c>
      <c r="D149" s="120">
        <f>_xlfn.XLOOKUP(B149,'Other Model Data by TAZ'!A:A,'Other Model Data by TAZ'!G:G,0)</f>
        <v>0</v>
      </c>
      <c r="E149" s="117">
        <f>_xlfn.XLOOKUP(B149,'Model Modeshare by TAZ'!A:A,'Model Modeshare by TAZ'!E:E,0)+_xlfn.XLOOKUP(B149,'Model Modeshare by TAZ'!$A:$A,'Model Modeshare by TAZ'!F:F,0)</f>
        <v>1431.38</v>
      </c>
      <c r="F149" s="117">
        <f>_xlfn.XLOOKUP(B149,'Model Modeshare by TAZ'!A:A,'Model Modeshare by TAZ'!$G:$G,0)</f>
        <v>42.2</v>
      </c>
      <c r="G149" s="117">
        <f>_xlfn.XLOOKUP(B149,'Model Modeshare by TAZ'!A:A,'Model Modeshare by TAZ'!$J:$J,0)</f>
        <v>1595.18</v>
      </c>
      <c r="H149">
        <v>505202</v>
      </c>
      <c r="I149">
        <v>1967744</v>
      </c>
      <c r="O149" s="120"/>
      <c r="P149" s="120"/>
    </row>
    <row r="150" spans="1:16" x14ac:dyDescent="0.35">
      <c r="A150">
        <v>145</v>
      </c>
      <c r="B150">
        <v>1242</v>
      </c>
      <c r="C150" s="120">
        <f>_xlfn.XLOOKUP(B150,'Model VMT by TAZ'!A:A,'Model VMT by TAZ'!E:E,0)</f>
        <v>62214.49</v>
      </c>
      <c r="D150" s="120">
        <f>_xlfn.XLOOKUP(B150,'Other Model Data by TAZ'!A:A,'Other Model Data by TAZ'!G:G,0)</f>
        <v>0</v>
      </c>
      <c r="E150" s="117">
        <f>_xlfn.XLOOKUP(B150,'Model Modeshare by TAZ'!A:A,'Model Modeshare by TAZ'!E:E,0)+_xlfn.XLOOKUP(B150,'Model Modeshare by TAZ'!$A:$A,'Model Modeshare by TAZ'!F:F,0)</f>
        <v>5667.44</v>
      </c>
      <c r="F150" s="117">
        <f>_xlfn.XLOOKUP(B150,'Model Modeshare by TAZ'!A:A,'Model Modeshare by TAZ'!$G:$G,0)</f>
        <v>76.78</v>
      </c>
      <c r="G150" s="117">
        <f>_xlfn.XLOOKUP(B150,'Model Modeshare by TAZ'!A:A,'Model Modeshare by TAZ'!$J:$J,0)</f>
        <v>6050</v>
      </c>
      <c r="H150">
        <v>508704</v>
      </c>
      <c r="I150">
        <v>3311597</v>
      </c>
      <c r="O150" s="120"/>
      <c r="P150" s="120"/>
    </row>
    <row r="151" spans="1:16" x14ac:dyDescent="0.35">
      <c r="A151">
        <v>146</v>
      </c>
      <c r="B151">
        <v>1487</v>
      </c>
      <c r="C151" s="120">
        <f>_xlfn.XLOOKUP(B151,'Model VMT by TAZ'!A:A,'Model VMT by TAZ'!E:E,0)</f>
        <v>31622.74</v>
      </c>
      <c r="D151" s="120">
        <f>_xlfn.XLOOKUP(B151,'Other Model Data by TAZ'!A:A,'Other Model Data by TAZ'!G:G,0)</f>
        <v>0</v>
      </c>
      <c r="E151" s="117">
        <f>_xlfn.XLOOKUP(B151,'Model Modeshare by TAZ'!A:A,'Model Modeshare by TAZ'!E:E,0)+_xlfn.XLOOKUP(B151,'Model Modeshare by TAZ'!$A:$A,'Model Modeshare by TAZ'!F:F,0)</f>
        <v>3083.52</v>
      </c>
      <c r="F151" s="117">
        <f>_xlfn.XLOOKUP(B151,'Model Modeshare by TAZ'!A:A,'Model Modeshare by TAZ'!$G:$G,0)</f>
        <v>34.4</v>
      </c>
      <c r="G151" s="117">
        <f>_xlfn.XLOOKUP(B151,'Model Modeshare by TAZ'!A:A,'Model Modeshare by TAZ'!$J:$J,0)</f>
        <v>3304.1</v>
      </c>
      <c r="H151">
        <v>508704</v>
      </c>
      <c r="I151">
        <v>3013910</v>
      </c>
      <c r="O151" s="120"/>
      <c r="P151" s="120"/>
    </row>
    <row r="152" spans="1:16" x14ac:dyDescent="0.35">
      <c r="A152">
        <v>147</v>
      </c>
      <c r="B152">
        <v>876</v>
      </c>
      <c r="C152" s="120">
        <f>_xlfn.XLOOKUP(B152,'Model VMT by TAZ'!A:A,'Model VMT by TAZ'!E:E,0)</f>
        <v>37190.33</v>
      </c>
      <c r="D152" s="120">
        <f>_xlfn.XLOOKUP(B152,'Other Model Data by TAZ'!A:A,'Other Model Data by TAZ'!G:G,0)</f>
        <v>1534</v>
      </c>
      <c r="E152" s="117">
        <f>_xlfn.XLOOKUP(B152,'Model Modeshare by TAZ'!A:A,'Model Modeshare by TAZ'!E:E,0)+_xlfn.XLOOKUP(B152,'Model Modeshare by TAZ'!$A:$A,'Model Modeshare by TAZ'!F:F,0)</f>
        <v>7408.7199999999993</v>
      </c>
      <c r="F152" s="117">
        <f>_xlfn.XLOOKUP(B152,'Model Modeshare by TAZ'!A:A,'Model Modeshare by TAZ'!$G:$G,0)</f>
        <v>150.88</v>
      </c>
      <c r="G152" s="117">
        <f>_xlfn.XLOOKUP(B152,'Model Modeshare by TAZ'!A:A,'Model Modeshare by TAZ'!$J:$J,0)</f>
        <v>9944.98</v>
      </c>
      <c r="H152">
        <v>505700</v>
      </c>
      <c r="I152">
        <v>4967906</v>
      </c>
      <c r="O152" s="120"/>
      <c r="P152" s="120"/>
    </row>
    <row r="153" spans="1:16" x14ac:dyDescent="0.35">
      <c r="A153">
        <v>148</v>
      </c>
      <c r="B153">
        <v>1243</v>
      </c>
      <c r="C153" s="120">
        <f>_xlfn.XLOOKUP(B153,'Model VMT by TAZ'!A:A,'Model VMT by TAZ'!E:E,0)</f>
        <v>71569.460000000006</v>
      </c>
      <c r="D153" s="120">
        <f>_xlfn.XLOOKUP(B153,'Other Model Data by TAZ'!A:A,'Other Model Data by TAZ'!G:G,0)</f>
        <v>0</v>
      </c>
      <c r="E153" s="117">
        <f>_xlfn.XLOOKUP(B153,'Model Modeshare by TAZ'!A:A,'Model Modeshare by TAZ'!E:E,0)+_xlfn.XLOOKUP(B153,'Model Modeshare by TAZ'!$A:$A,'Model Modeshare by TAZ'!F:F,0)</f>
        <v>6354.24</v>
      </c>
      <c r="F153" s="117">
        <f>_xlfn.XLOOKUP(B153,'Model Modeshare by TAZ'!A:A,'Model Modeshare by TAZ'!$G:$G,0)</f>
        <v>203.14</v>
      </c>
      <c r="G153" s="117">
        <f>_xlfn.XLOOKUP(B153,'Model Modeshare by TAZ'!A:A,'Model Modeshare by TAZ'!$J:$J,0)</f>
        <v>6941.94</v>
      </c>
      <c r="H153">
        <v>505202</v>
      </c>
      <c r="I153">
        <v>4078559</v>
      </c>
      <c r="O153" s="120"/>
      <c r="P153" s="120"/>
    </row>
    <row r="154" spans="1:16" x14ac:dyDescent="0.35">
      <c r="A154">
        <v>149</v>
      </c>
      <c r="B154">
        <v>1267</v>
      </c>
      <c r="C154" s="120">
        <f>_xlfn.XLOOKUP(B154,'Model VMT by TAZ'!A:A,'Model VMT by TAZ'!E:E,0)</f>
        <v>33717.35</v>
      </c>
      <c r="D154" s="120">
        <f>_xlfn.XLOOKUP(B154,'Other Model Data by TAZ'!A:A,'Other Model Data by TAZ'!G:G,0)</f>
        <v>2678</v>
      </c>
      <c r="E154" s="117">
        <f>_xlfn.XLOOKUP(B154,'Model Modeshare by TAZ'!A:A,'Model Modeshare by TAZ'!E:E,0)+_xlfn.XLOOKUP(B154,'Model Modeshare by TAZ'!$A:$A,'Model Modeshare by TAZ'!F:F,0)</f>
        <v>10516.64</v>
      </c>
      <c r="F154" s="117">
        <f>_xlfn.XLOOKUP(B154,'Model Modeshare by TAZ'!A:A,'Model Modeshare by TAZ'!$G:$G,0)</f>
        <v>152.56</v>
      </c>
      <c r="G154" s="117">
        <f>_xlfn.XLOOKUP(B154,'Model Modeshare by TAZ'!A:A,'Model Modeshare by TAZ'!$J:$J,0)</f>
        <v>13498.6</v>
      </c>
      <c r="H154">
        <v>505305</v>
      </c>
      <c r="I154">
        <v>7524442</v>
      </c>
      <c r="O154" s="120"/>
      <c r="P154" s="120"/>
    </row>
    <row r="155" spans="1:16" x14ac:dyDescent="0.35">
      <c r="A155">
        <v>150</v>
      </c>
      <c r="B155">
        <v>1268</v>
      </c>
      <c r="C155" s="120">
        <f>_xlfn.XLOOKUP(B155,'Model VMT by TAZ'!A:A,'Model VMT by TAZ'!E:E,0)</f>
        <v>68853.16</v>
      </c>
      <c r="D155" s="120">
        <f>_xlfn.XLOOKUP(B155,'Other Model Data by TAZ'!A:A,'Other Model Data by TAZ'!G:G,0)</f>
        <v>4076</v>
      </c>
      <c r="E155" s="117">
        <f>_xlfn.XLOOKUP(B155,'Model Modeshare by TAZ'!A:A,'Model Modeshare by TAZ'!E:E,0)+_xlfn.XLOOKUP(B155,'Model Modeshare by TAZ'!$A:$A,'Model Modeshare by TAZ'!F:F,0)</f>
        <v>13737.439999999999</v>
      </c>
      <c r="F155" s="117">
        <f>_xlfn.XLOOKUP(B155,'Model Modeshare by TAZ'!A:A,'Model Modeshare by TAZ'!$G:$G,0)</f>
        <v>275.92</v>
      </c>
      <c r="G155" s="117">
        <f>_xlfn.XLOOKUP(B155,'Model Modeshare by TAZ'!A:A,'Model Modeshare by TAZ'!$J:$J,0)</f>
        <v>16377.62</v>
      </c>
      <c r="H155">
        <v>505301</v>
      </c>
      <c r="I155">
        <v>3550767</v>
      </c>
      <c r="O155" s="120"/>
      <c r="P155" s="120"/>
    </row>
    <row r="156" spans="1:16" x14ac:dyDescent="0.35">
      <c r="A156">
        <v>151</v>
      </c>
      <c r="B156">
        <v>1288</v>
      </c>
      <c r="C156" s="120">
        <f>_xlfn.XLOOKUP(B156,'Model VMT by TAZ'!A:A,'Model VMT by TAZ'!E:E,0)</f>
        <v>48390.96</v>
      </c>
      <c r="D156" s="120">
        <f>_xlfn.XLOOKUP(B156,'Other Model Data by TAZ'!A:A,'Other Model Data by TAZ'!G:G,0)</f>
        <v>952</v>
      </c>
      <c r="E156" s="117">
        <f>_xlfn.XLOOKUP(B156,'Model Modeshare by TAZ'!A:A,'Model Modeshare by TAZ'!E:E,0)+_xlfn.XLOOKUP(B156,'Model Modeshare by TAZ'!$A:$A,'Model Modeshare by TAZ'!F:F,0)</f>
        <v>7861.26</v>
      </c>
      <c r="F156" s="117">
        <f>_xlfn.XLOOKUP(B156,'Model Modeshare by TAZ'!A:A,'Model Modeshare by TAZ'!$G:$G,0)</f>
        <v>436.98</v>
      </c>
      <c r="G156" s="117">
        <f>_xlfn.XLOOKUP(B156,'Model Modeshare by TAZ'!A:A,'Model Modeshare by TAZ'!$J:$J,0)</f>
        <v>10571.1</v>
      </c>
      <c r="H156">
        <v>505600</v>
      </c>
      <c r="I156">
        <v>2614800</v>
      </c>
      <c r="O156" s="120"/>
      <c r="P156" s="120"/>
    </row>
    <row r="157" spans="1:16" x14ac:dyDescent="0.35">
      <c r="A157">
        <v>152</v>
      </c>
      <c r="B157">
        <v>1289</v>
      </c>
      <c r="C157" s="120">
        <f>_xlfn.XLOOKUP(B157,'Model VMT by TAZ'!A:A,'Model VMT by TAZ'!E:E,0)</f>
        <v>24748.33</v>
      </c>
      <c r="D157" s="120">
        <f>_xlfn.XLOOKUP(B157,'Other Model Data by TAZ'!A:A,'Other Model Data by TAZ'!G:G,0)</f>
        <v>1352</v>
      </c>
      <c r="E157" s="117">
        <f>_xlfn.XLOOKUP(B157,'Model Modeshare by TAZ'!A:A,'Model Modeshare by TAZ'!E:E,0)+_xlfn.XLOOKUP(B157,'Model Modeshare by TAZ'!$A:$A,'Model Modeshare by TAZ'!F:F,0)</f>
        <v>5483.08</v>
      </c>
      <c r="F157" s="117">
        <f>_xlfn.XLOOKUP(B157,'Model Modeshare by TAZ'!A:A,'Model Modeshare by TAZ'!$G:$G,0)</f>
        <v>179.7</v>
      </c>
      <c r="G157" s="117">
        <f>_xlfn.XLOOKUP(B157,'Model Modeshare by TAZ'!A:A,'Model Modeshare by TAZ'!$J:$J,0)</f>
        <v>7775.78</v>
      </c>
      <c r="H157">
        <v>505600</v>
      </c>
      <c r="I157">
        <v>2287753</v>
      </c>
      <c r="O157" s="120"/>
      <c r="P157" s="120"/>
    </row>
    <row r="158" spans="1:16" x14ac:dyDescent="0.35">
      <c r="A158">
        <v>153</v>
      </c>
      <c r="B158">
        <v>1290</v>
      </c>
      <c r="C158" s="120">
        <f>_xlfn.XLOOKUP(B158,'Model VMT by TAZ'!A:A,'Model VMT by TAZ'!E:E,0)</f>
        <v>71089.289999999994</v>
      </c>
      <c r="D158" s="120">
        <f>_xlfn.XLOOKUP(B158,'Other Model Data by TAZ'!A:A,'Other Model Data by TAZ'!G:G,0)</f>
        <v>631</v>
      </c>
      <c r="E158" s="117">
        <f>_xlfn.XLOOKUP(B158,'Model Modeshare by TAZ'!A:A,'Model Modeshare by TAZ'!E:E,0)+_xlfn.XLOOKUP(B158,'Model Modeshare by TAZ'!$A:$A,'Model Modeshare by TAZ'!F:F,0)</f>
        <v>13563.4</v>
      </c>
      <c r="F158" s="117">
        <f>_xlfn.XLOOKUP(B158,'Model Modeshare by TAZ'!A:A,'Model Modeshare by TAZ'!$G:$G,0)</f>
        <v>550.08000000000004</v>
      </c>
      <c r="G158" s="117">
        <f>_xlfn.XLOOKUP(B158,'Model Modeshare by TAZ'!A:A,'Model Modeshare by TAZ'!$J:$J,0)</f>
        <v>18152.64</v>
      </c>
      <c r="H158">
        <v>505600</v>
      </c>
      <c r="I158">
        <v>1383299</v>
      </c>
      <c r="O158" s="120"/>
      <c r="P158" s="120"/>
    </row>
    <row r="159" spans="1:16" x14ac:dyDescent="0.35">
      <c r="A159">
        <v>154</v>
      </c>
      <c r="B159">
        <v>1291</v>
      </c>
      <c r="C159" s="120">
        <f>_xlfn.XLOOKUP(B159,'Model VMT by TAZ'!A:A,'Model VMT by TAZ'!E:E,0)</f>
        <v>18857.63</v>
      </c>
      <c r="D159" s="120">
        <f>_xlfn.XLOOKUP(B159,'Other Model Data by TAZ'!A:A,'Other Model Data by TAZ'!G:G,0)</f>
        <v>1426</v>
      </c>
      <c r="E159" s="117">
        <f>_xlfn.XLOOKUP(B159,'Model Modeshare by TAZ'!A:A,'Model Modeshare by TAZ'!E:E,0)+_xlfn.XLOOKUP(B159,'Model Modeshare by TAZ'!$A:$A,'Model Modeshare by TAZ'!F:F,0)</f>
        <v>3879.18</v>
      </c>
      <c r="F159" s="117">
        <f>_xlfn.XLOOKUP(B159,'Model Modeshare by TAZ'!A:A,'Model Modeshare by TAZ'!$G:$G,0)</f>
        <v>188.32</v>
      </c>
      <c r="G159" s="117">
        <f>_xlfn.XLOOKUP(B159,'Model Modeshare by TAZ'!A:A,'Model Modeshare by TAZ'!$J:$J,0)</f>
        <v>5658.38</v>
      </c>
      <c r="H159">
        <v>505600</v>
      </c>
      <c r="I159">
        <v>2382314</v>
      </c>
      <c r="O159" s="120"/>
      <c r="P159" s="120"/>
    </row>
    <row r="160" spans="1:16" x14ac:dyDescent="0.35">
      <c r="A160">
        <v>155</v>
      </c>
      <c r="B160">
        <v>1306</v>
      </c>
      <c r="C160" s="120">
        <f>_xlfn.XLOOKUP(B160,'Model VMT by TAZ'!A:A,'Model VMT by TAZ'!E:E,0)</f>
        <v>60884.42</v>
      </c>
      <c r="D160" s="120">
        <f>_xlfn.XLOOKUP(B160,'Other Model Data by TAZ'!A:A,'Other Model Data by TAZ'!G:G,0)</f>
        <v>13</v>
      </c>
      <c r="E160" s="117">
        <f>_xlfn.XLOOKUP(B160,'Model Modeshare by TAZ'!A:A,'Model Modeshare by TAZ'!E:E,0)+_xlfn.XLOOKUP(B160,'Model Modeshare by TAZ'!$A:$A,'Model Modeshare by TAZ'!F:F,0)</f>
        <v>5547.12</v>
      </c>
      <c r="F160" s="117">
        <f>_xlfn.XLOOKUP(B160,'Model Modeshare by TAZ'!A:A,'Model Modeshare by TAZ'!$G:$G,0)</f>
        <v>134.66</v>
      </c>
      <c r="G160" s="117">
        <f>_xlfn.XLOOKUP(B160,'Model Modeshare by TAZ'!A:A,'Model Modeshare by TAZ'!$J:$J,0)</f>
        <v>6009.26</v>
      </c>
      <c r="H160">
        <v>505202</v>
      </c>
      <c r="I160">
        <v>4153282</v>
      </c>
      <c r="O160" s="120"/>
      <c r="P160" s="120"/>
    </row>
    <row r="161" spans="1:16" x14ac:dyDescent="0.35">
      <c r="A161">
        <v>156</v>
      </c>
      <c r="B161">
        <v>1307</v>
      </c>
      <c r="C161" s="120">
        <f>_xlfn.XLOOKUP(B161,'Model VMT by TAZ'!A:A,'Model VMT by TAZ'!E:E,0)</f>
        <v>36977.019999999997</v>
      </c>
      <c r="D161" s="120">
        <f>_xlfn.XLOOKUP(B161,'Other Model Data by TAZ'!A:A,'Other Model Data by TAZ'!G:G,0)</f>
        <v>0</v>
      </c>
      <c r="E161" s="117">
        <f>_xlfn.XLOOKUP(B161,'Model Modeshare by TAZ'!A:A,'Model Modeshare by TAZ'!E:E,0)+_xlfn.XLOOKUP(B161,'Model Modeshare by TAZ'!$A:$A,'Model Modeshare by TAZ'!F:F,0)</f>
        <v>2906.72</v>
      </c>
      <c r="F161" s="117">
        <f>_xlfn.XLOOKUP(B161,'Model Modeshare by TAZ'!A:A,'Model Modeshare by TAZ'!$G:$G,0)</f>
        <v>58.4</v>
      </c>
      <c r="G161" s="117">
        <f>_xlfn.XLOOKUP(B161,'Model Modeshare by TAZ'!A:A,'Model Modeshare by TAZ'!$J:$J,0)</f>
        <v>3129.74</v>
      </c>
      <c r="H161">
        <v>505202</v>
      </c>
      <c r="I161">
        <v>3588689</v>
      </c>
      <c r="O161" s="120"/>
      <c r="P161" s="120"/>
    </row>
    <row r="162" spans="1:16" x14ac:dyDescent="0.35">
      <c r="A162">
        <v>157</v>
      </c>
      <c r="B162">
        <v>884</v>
      </c>
      <c r="C162" s="120">
        <f>_xlfn.XLOOKUP(B162,'Model VMT by TAZ'!A:A,'Model VMT by TAZ'!E:E,0)</f>
        <v>22684.21</v>
      </c>
      <c r="D162" s="120">
        <f>_xlfn.XLOOKUP(B162,'Other Model Data by TAZ'!A:A,'Other Model Data by TAZ'!G:G,0)</f>
        <v>338</v>
      </c>
      <c r="E162" s="117">
        <f>_xlfn.XLOOKUP(B162,'Model Modeshare by TAZ'!A:A,'Model Modeshare by TAZ'!E:E,0)+_xlfn.XLOOKUP(B162,'Model Modeshare by TAZ'!$A:$A,'Model Modeshare by TAZ'!F:F,0)</f>
        <v>3166.68</v>
      </c>
      <c r="F162" s="117">
        <f>_xlfn.XLOOKUP(B162,'Model Modeshare by TAZ'!A:A,'Model Modeshare by TAZ'!$G:$G,0)</f>
        <v>101.7</v>
      </c>
      <c r="G162" s="117">
        <f>_xlfn.XLOOKUP(B162,'Model Modeshare by TAZ'!A:A,'Model Modeshare by TAZ'!$J:$J,0)</f>
        <v>4000.28</v>
      </c>
      <c r="H162">
        <v>501900</v>
      </c>
      <c r="I162">
        <v>1272302</v>
      </c>
      <c r="O162" s="120"/>
      <c r="P162" s="120"/>
    </row>
    <row r="163" spans="1:16" x14ac:dyDescent="0.35">
      <c r="A163">
        <v>158</v>
      </c>
      <c r="B163">
        <v>885</v>
      </c>
      <c r="C163" s="120">
        <f>_xlfn.XLOOKUP(B163,'Model VMT by TAZ'!A:A,'Model VMT by TAZ'!E:E,0)</f>
        <v>15500.56</v>
      </c>
      <c r="D163" s="120">
        <f>_xlfn.XLOOKUP(B163,'Other Model Data by TAZ'!A:A,'Other Model Data by TAZ'!G:G,0)</f>
        <v>280</v>
      </c>
      <c r="E163" s="117">
        <f>_xlfn.XLOOKUP(B163,'Model Modeshare by TAZ'!A:A,'Model Modeshare by TAZ'!E:E,0)+_xlfn.XLOOKUP(B163,'Model Modeshare by TAZ'!$A:$A,'Model Modeshare by TAZ'!F:F,0)</f>
        <v>3014.5</v>
      </c>
      <c r="F163" s="117">
        <f>_xlfn.XLOOKUP(B163,'Model Modeshare by TAZ'!A:A,'Model Modeshare by TAZ'!$G:$G,0)</f>
        <v>116.08</v>
      </c>
      <c r="G163" s="117">
        <f>_xlfn.XLOOKUP(B163,'Model Modeshare by TAZ'!A:A,'Model Modeshare by TAZ'!$J:$J,0)</f>
        <v>3956.34</v>
      </c>
      <c r="H163">
        <v>501900</v>
      </c>
      <c r="I163">
        <v>1966603</v>
      </c>
      <c r="O163" s="120"/>
      <c r="P163" s="120"/>
    </row>
    <row r="164" spans="1:16" x14ac:dyDescent="0.35">
      <c r="A164">
        <v>159</v>
      </c>
      <c r="B164">
        <v>887</v>
      </c>
      <c r="C164" s="120">
        <f>_xlfn.XLOOKUP(B164,'Model VMT by TAZ'!A:A,'Model VMT by TAZ'!E:E,0)</f>
        <v>11861.94</v>
      </c>
      <c r="D164" s="120">
        <f>_xlfn.XLOOKUP(B164,'Other Model Data by TAZ'!A:A,'Other Model Data by TAZ'!G:G,0)</f>
        <v>11</v>
      </c>
      <c r="E164" s="117">
        <f>_xlfn.XLOOKUP(B164,'Model Modeshare by TAZ'!A:A,'Model Modeshare by TAZ'!E:E,0)+_xlfn.XLOOKUP(B164,'Model Modeshare by TAZ'!$A:$A,'Model Modeshare by TAZ'!F:F,0)</f>
        <v>5316.5599999999995</v>
      </c>
      <c r="F164" s="117">
        <f>_xlfn.XLOOKUP(B164,'Model Modeshare by TAZ'!A:A,'Model Modeshare by TAZ'!$G:$G,0)</f>
        <v>305.14</v>
      </c>
      <c r="G164" s="117">
        <f>_xlfn.XLOOKUP(B164,'Model Modeshare by TAZ'!A:A,'Model Modeshare by TAZ'!$J:$J,0)</f>
        <v>7392.28</v>
      </c>
      <c r="H164">
        <v>501900</v>
      </c>
      <c r="I164">
        <v>1682684</v>
      </c>
      <c r="O164" s="120"/>
      <c r="P164" s="120"/>
    </row>
    <row r="165" spans="1:16" x14ac:dyDescent="0.35">
      <c r="A165">
        <v>160</v>
      </c>
      <c r="B165">
        <v>902</v>
      </c>
      <c r="C165" s="120">
        <f>_xlfn.XLOOKUP(B165,'Model VMT by TAZ'!A:A,'Model VMT by TAZ'!E:E,0)</f>
        <v>44433.88</v>
      </c>
      <c r="D165" s="120">
        <f>_xlfn.XLOOKUP(B165,'Other Model Data by TAZ'!A:A,'Other Model Data by TAZ'!G:G,0)</f>
        <v>1262</v>
      </c>
      <c r="E165" s="117">
        <f>_xlfn.XLOOKUP(B165,'Model Modeshare by TAZ'!A:A,'Model Modeshare by TAZ'!E:E,0)+_xlfn.XLOOKUP(B165,'Model Modeshare by TAZ'!$A:$A,'Model Modeshare by TAZ'!F:F,0)</f>
        <v>6304.34</v>
      </c>
      <c r="F165" s="117">
        <f>_xlfn.XLOOKUP(B165,'Model Modeshare by TAZ'!A:A,'Model Modeshare by TAZ'!$G:$G,0)</f>
        <v>324.48</v>
      </c>
      <c r="G165" s="117">
        <f>_xlfn.XLOOKUP(B165,'Model Modeshare by TAZ'!A:A,'Model Modeshare by TAZ'!$J:$J,0)</f>
        <v>7668.06</v>
      </c>
      <c r="H165">
        <v>500300</v>
      </c>
      <c r="I165">
        <v>3127336</v>
      </c>
      <c r="O165" s="120"/>
      <c r="P165" s="120"/>
    </row>
    <row r="166" spans="1:16" x14ac:dyDescent="0.35">
      <c r="A166">
        <v>161</v>
      </c>
      <c r="B166">
        <v>942</v>
      </c>
      <c r="C166" s="120">
        <f>_xlfn.XLOOKUP(B166,'Model VMT by TAZ'!A:A,'Model VMT by TAZ'!E:E,0)</f>
        <v>7311.56</v>
      </c>
      <c r="D166" s="120">
        <f>_xlfn.XLOOKUP(B166,'Other Model Data by TAZ'!A:A,'Other Model Data by TAZ'!G:G,0)</f>
        <v>4</v>
      </c>
      <c r="E166" s="117">
        <f>_xlfn.XLOOKUP(B166,'Model Modeshare by TAZ'!A:A,'Model Modeshare by TAZ'!E:E,0)+_xlfn.XLOOKUP(B166,'Model Modeshare by TAZ'!$A:$A,'Model Modeshare by TAZ'!F:F,0)</f>
        <v>0</v>
      </c>
      <c r="F166" s="117">
        <f>_xlfn.XLOOKUP(B166,'Model Modeshare by TAZ'!A:A,'Model Modeshare by TAZ'!$G:$G,0)</f>
        <v>0</v>
      </c>
      <c r="G166" s="117">
        <f>_xlfn.XLOOKUP(B166,'Model Modeshare by TAZ'!A:A,'Model Modeshare by TAZ'!$J:$J,0)</f>
        <v>0</v>
      </c>
      <c r="H166">
        <v>505100</v>
      </c>
      <c r="I166">
        <v>15395288</v>
      </c>
      <c r="O166" s="120"/>
      <c r="P166" s="120"/>
    </row>
    <row r="167" spans="1:16" x14ac:dyDescent="0.35">
      <c r="A167">
        <v>162</v>
      </c>
      <c r="B167">
        <v>1078</v>
      </c>
      <c r="C167" s="120">
        <f>_xlfn.XLOOKUP(B167,'Model VMT by TAZ'!A:A,'Model VMT by TAZ'!E:E,0)</f>
        <v>26823.07</v>
      </c>
      <c r="D167" s="120">
        <f>_xlfn.XLOOKUP(B167,'Other Model Data by TAZ'!A:A,'Other Model Data by TAZ'!G:G,0)</f>
        <v>71</v>
      </c>
      <c r="E167" s="117">
        <f>_xlfn.XLOOKUP(B167,'Model Modeshare by TAZ'!A:A,'Model Modeshare by TAZ'!E:E,0)+_xlfn.XLOOKUP(B167,'Model Modeshare by TAZ'!$A:$A,'Model Modeshare by TAZ'!F:F,0)</f>
        <v>2387.2600000000002</v>
      </c>
      <c r="F167" s="117">
        <f>_xlfn.XLOOKUP(B167,'Model Modeshare by TAZ'!A:A,'Model Modeshare by TAZ'!$G:$G,0)</f>
        <v>73.14</v>
      </c>
      <c r="G167" s="117">
        <f>_xlfn.XLOOKUP(B167,'Model Modeshare by TAZ'!A:A,'Model Modeshare by TAZ'!$J:$J,0)</f>
        <v>2633.88</v>
      </c>
      <c r="H167">
        <v>505100</v>
      </c>
      <c r="I167">
        <v>6371830</v>
      </c>
      <c r="O167" s="120"/>
      <c r="P167" s="120"/>
    </row>
    <row r="168" spans="1:16" x14ac:dyDescent="0.35">
      <c r="A168">
        <v>163</v>
      </c>
      <c r="B168">
        <v>1198</v>
      </c>
      <c r="C168" s="120">
        <f>_xlfn.XLOOKUP(B168,'Model VMT by TAZ'!A:A,'Model VMT by TAZ'!E:E,0)</f>
        <v>111169.21</v>
      </c>
      <c r="D168" s="120">
        <f>_xlfn.XLOOKUP(B168,'Other Model Data by TAZ'!A:A,'Other Model Data by TAZ'!G:G,0)</f>
        <v>141</v>
      </c>
      <c r="E168" s="117">
        <f>_xlfn.XLOOKUP(B168,'Model Modeshare by TAZ'!A:A,'Model Modeshare by TAZ'!E:E,0)+_xlfn.XLOOKUP(B168,'Model Modeshare by TAZ'!$A:$A,'Model Modeshare by TAZ'!F:F,0)</f>
        <v>16573.68</v>
      </c>
      <c r="F168" s="117">
        <f>_xlfn.XLOOKUP(B168,'Model Modeshare by TAZ'!A:A,'Model Modeshare by TAZ'!$G:$G,0)</f>
        <v>2009.22</v>
      </c>
      <c r="G168" s="117">
        <f>_xlfn.XLOOKUP(B168,'Model Modeshare by TAZ'!A:A,'Model Modeshare by TAZ'!$J:$J,0)</f>
        <v>23017</v>
      </c>
      <c r="H168">
        <v>500800</v>
      </c>
      <c r="I168">
        <v>1752892</v>
      </c>
      <c r="O168" s="120"/>
      <c r="P168" s="120"/>
    </row>
    <row r="169" spans="1:16" x14ac:dyDescent="0.35">
      <c r="A169">
        <v>164</v>
      </c>
      <c r="B169">
        <v>1199</v>
      </c>
      <c r="C169" s="120">
        <f>_xlfn.XLOOKUP(B169,'Model VMT by TAZ'!A:A,'Model VMT by TAZ'!E:E,0)</f>
        <v>1421.13</v>
      </c>
      <c r="D169" s="120">
        <f>_xlfn.XLOOKUP(B169,'Other Model Data by TAZ'!A:A,'Other Model Data by TAZ'!G:G,0)</f>
        <v>16</v>
      </c>
      <c r="E169" s="117">
        <f>_xlfn.XLOOKUP(B169,'Model Modeshare by TAZ'!A:A,'Model Modeshare by TAZ'!E:E,0)+_xlfn.XLOOKUP(B169,'Model Modeshare by TAZ'!$A:$A,'Model Modeshare by TAZ'!F:F,0)</f>
        <v>452.62</v>
      </c>
      <c r="F169" s="117">
        <f>_xlfn.XLOOKUP(B169,'Model Modeshare by TAZ'!A:A,'Model Modeshare by TAZ'!$G:$G,0)</f>
        <v>18.12</v>
      </c>
      <c r="G169" s="117">
        <f>_xlfn.XLOOKUP(B169,'Model Modeshare by TAZ'!A:A,'Model Modeshare by TAZ'!$J:$J,0)</f>
        <v>579.20000000000005</v>
      </c>
      <c r="H169">
        <v>500800</v>
      </c>
      <c r="I169">
        <v>943347</v>
      </c>
      <c r="O169" s="120"/>
      <c r="P169" s="120"/>
    </row>
    <row r="170" spans="1:16" x14ac:dyDescent="0.35">
      <c r="A170">
        <v>165</v>
      </c>
      <c r="B170">
        <v>1200</v>
      </c>
      <c r="C170" s="120">
        <f>_xlfn.XLOOKUP(B170,'Model VMT by TAZ'!A:A,'Model VMT by TAZ'!E:E,0)</f>
        <v>21916.7</v>
      </c>
      <c r="D170" s="120">
        <f>_xlfn.XLOOKUP(B170,'Other Model Data by TAZ'!A:A,'Other Model Data by TAZ'!G:G,0)</f>
        <v>91</v>
      </c>
      <c r="E170" s="117">
        <f>_xlfn.XLOOKUP(B170,'Model Modeshare by TAZ'!A:A,'Model Modeshare by TAZ'!E:E,0)+_xlfn.XLOOKUP(B170,'Model Modeshare by TAZ'!$A:$A,'Model Modeshare by TAZ'!F:F,0)</f>
        <v>2527.66</v>
      </c>
      <c r="F170" s="117">
        <f>_xlfn.XLOOKUP(B170,'Model Modeshare by TAZ'!A:A,'Model Modeshare by TAZ'!$G:$G,0)</f>
        <v>252.86</v>
      </c>
      <c r="G170" s="117">
        <f>_xlfn.XLOOKUP(B170,'Model Modeshare by TAZ'!A:A,'Model Modeshare by TAZ'!$J:$J,0)</f>
        <v>3391.98</v>
      </c>
      <c r="H170">
        <v>500800</v>
      </c>
      <c r="I170">
        <v>689700</v>
      </c>
      <c r="O170" s="120"/>
      <c r="P170" s="120"/>
    </row>
    <row r="171" spans="1:16" x14ac:dyDescent="0.35">
      <c r="A171">
        <v>166</v>
      </c>
      <c r="B171">
        <v>1201</v>
      </c>
      <c r="C171" s="120">
        <f>_xlfn.XLOOKUP(B171,'Model VMT by TAZ'!A:A,'Model VMT by TAZ'!E:E,0)</f>
        <v>58783.81</v>
      </c>
      <c r="D171" s="120">
        <f>_xlfn.XLOOKUP(B171,'Other Model Data by TAZ'!A:A,'Other Model Data by TAZ'!G:G,0)</f>
        <v>24</v>
      </c>
      <c r="E171" s="117">
        <f>_xlfn.XLOOKUP(B171,'Model Modeshare by TAZ'!A:A,'Model Modeshare by TAZ'!E:E,0)+_xlfn.XLOOKUP(B171,'Model Modeshare by TAZ'!$A:$A,'Model Modeshare by TAZ'!F:F,0)</f>
        <v>7057.96</v>
      </c>
      <c r="F171" s="117">
        <f>_xlfn.XLOOKUP(B171,'Model Modeshare by TAZ'!A:A,'Model Modeshare by TAZ'!$G:$G,0)</f>
        <v>1476</v>
      </c>
      <c r="G171" s="117">
        <f>_xlfn.XLOOKUP(B171,'Model Modeshare by TAZ'!A:A,'Model Modeshare by TAZ'!$J:$J,0)</f>
        <v>11020.98</v>
      </c>
      <c r="H171">
        <v>500800</v>
      </c>
      <c r="I171">
        <v>588716</v>
      </c>
      <c r="O171" s="120"/>
      <c r="P171" s="120"/>
    </row>
    <row r="172" spans="1:16" x14ac:dyDescent="0.35">
      <c r="A172">
        <v>167</v>
      </c>
      <c r="B172">
        <v>1202</v>
      </c>
      <c r="C172" s="120">
        <f>_xlfn.XLOOKUP(B172,'Model VMT by TAZ'!A:A,'Model VMT by TAZ'!E:E,0)</f>
        <v>37796.68</v>
      </c>
      <c r="D172" s="120">
        <f>_xlfn.XLOOKUP(B172,'Other Model Data by TAZ'!A:A,'Other Model Data by TAZ'!G:G,0)</f>
        <v>552</v>
      </c>
      <c r="E172" s="117">
        <f>_xlfn.XLOOKUP(B172,'Model Modeshare by TAZ'!A:A,'Model Modeshare by TAZ'!E:E,0)+_xlfn.XLOOKUP(B172,'Model Modeshare by TAZ'!$A:$A,'Model Modeshare by TAZ'!F:F,0)</f>
        <v>4628.16</v>
      </c>
      <c r="F172" s="117">
        <f>_xlfn.XLOOKUP(B172,'Model Modeshare by TAZ'!A:A,'Model Modeshare by TAZ'!$G:$G,0)</f>
        <v>353.46</v>
      </c>
      <c r="G172" s="117">
        <f>_xlfn.XLOOKUP(B172,'Model Modeshare by TAZ'!A:A,'Model Modeshare by TAZ'!$J:$J,0)</f>
        <v>5888.14</v>
      </c>
      <c r="H172">
        <v>500800</v>
      </c>
      <c r="I172">
        <v>2508812</v>
      </c>
      <c r="O172" s="120"/>
      <c r="P172" s="120"/>
    </row>
    <row r="173" spans="1:16" x14ac:dyDescent="0.35">
      <c r="A173">
        <v>168</v>
      </c>
      <c r="B173">
        <v>2027</v>
      </c>
      <c r="C173" s="120">
        <f>_xlfn.XLOOKUP(B173,'Model VMT by TAZ'!A:A,'Model VMT by TAZ'!E:E,0)</f>
        <v>97273.18</v>
      </c>
      <c r="D173" s="120">
        <f>_xlfn.XLOOKUP(B173,'Other Model Data by TAZ'!A:A,'Other Model Data by TAZ'!G:G,0)</f>
        <v>5921</v>
      </c>
      <c r="E173" s="117">
        <f>_xlfn.XLOOKUP(B173,'Model Modeshare by TAZ'!A:A,'Model Modeshare by TAZ'!E:E,0)+_xlfn.XLOOKUP(B173,'Model Modeshare by TAZ'!$A:$A,'Model Modeshare by TAZ'!F:F,0)</f>
        <v>21740.379999999997</v>
      </c>
      <c r="F173" s="117">
        <f>_xlfn.XLOOKUP(B173,'Model Modeshare by TAZ'!A:A,'Model Modeshare by TAZ'!$G:$G,0)</f>
        <v>757.6</v>
      </c>
      <c r="G173" s="117">
        <f>_xlfn.XLOOKUP(B173,'Model Modeshare by TAZ'!A:A,'Model Modeshare by TAZ'!$J:$J,0)</f>
        <v>28640.959999999999</v>
      </c>
      <c r="H173">
        <v>0</v>
      </c>
      <c r="I173">
        <v>9454204</v>
      </c>
      <c r="O173" s="120"/>
      <c r="P173" s="120"/>
    </row>
    <row r="174" spans="1:16" x14ac:dyDescent="0.35">
      <c r="A174">
        <v>169</v>
      </c>
      <c r="B174">
        <v>2028</v>
      </c>
      <c r="C174" s="120">
        <f>_xlfn.XLOOKUP(B174,'Model VMT by TAZ'!A:A,'Model VMT by TAZ'!E:E,0)</f>
        <v>82218.41</v>
      </c>
      <c r="D174" s="120">
        <f>_xlfn.XLOOKUP(B174,'Other Model Data by TAZ'!A:A,'Other Model Data by TAZ'!G:G,0)</f>
        <v>3721</v>
      </c>
      <c r="E174" s="117">
        <f>_xlfn.XLOOKUP(B174,'Model Modeshare by TAZ'!A:A,'Model Modeshare by TAZ'!E:E,0)+_xlfn.XLOOKUP(B174,'Model Modeshare by TAZ'!$A:$A,'Model Modeshare by TAZ'!F:F,0)</f>
        <v>18967.86</v>
      </c>
      <c r="F174" s="117">
        <f>_xlfn.XLOOKUP(B174,'Model Modeshare by TAZ'!A:A,'Model Modeshare by TAZ'!$G:$G,0)</f>
        <v>291.83999999999997</v>
      </c>
      <c r="G174" s="117">
        <f>_xlfn.XLOOKUP(B174,'Model Modeshare by TAZ'!A:A,'Model Modeshare by TAZ'!$J:$J,0)</f>
        <v>22742.32</v>
      </c>
      <c r="H174">
        <v>0</v>
      </c>
      <c r="I174">
        <v>12004571</v>
      </c>
      <c r="O174" s="120"/>
      <c r="P174" s="120"/>
    </row>
    <row r="175" spans="1:16" x14ac:dyDescent="0.35">
      <c r="A175">
        <v>170</v>
      </c>
      <c r="B175">
        <v>2039</v>
      </c>
      <c r="C175" s="120">
        <f>_xlfn.XLOOKUP(B175,'Model VMT by TAZ'!A:A,'Model VMT by TAZ'!E:E,0)</f>
        <v>59250.37</v>
      </c>
      <c r="D175" s="120">
        <f>_xlfn.XLOOKUP(B175,'Other Model Data by TAZ'!A:A,'Other Model Data by TAZ'!G:G,0)</f>
        <v>1550</v>
      </c>
      <c r="E175" s="117">
        <f>_xlfn.XLOOKUP(B175,'Model Modeshare by TAZ'!A:A,'Model Modeshare by TAZ'!E:E,0)+_xlfn.XLOOKUP(B175,'Model Modeshare by TAZ'!$A:$A,'Model Modeshare by TAZ'!F:F,0)</f>
        <v>8982.2199999999993</v>
      </c>
      <c r="F175" s="117">
        <f>_xlfn.XLOOKUP(B175,'Model Modeshare by TAZ'!A:A,'Model Modeshare by TAZ'!$G:$G,0)</f>
        <v>229.62</v>
      </c>
      <c r="G175" s="117">
        <f>_xlfn.XLOOKUP(B175,'Model Modeshare by TAZ'!A:A,'Model Modeshare by TAZ'!$J:$J,0)</f>
        <v>10317.64</v>
      </c>
      <c r="H175">
        <v>0</v>
      </c>
      <c r="I175">
        <v>26504180</v>
      </c>
      <c r="O175" s="120"/>
      <c r="P175" s="120"/>
    </row>
    <row r="176" spans="1:16" x14ac:dyDescent="0.35">
      <c r="A176">
        <v>171</v>
      </c>
      <c r="B176">
        <v>2040</v>
      </c>
      <c r="C176" s="120">
        <f>_xlfn.XLOOKUP(B176,'Model VMT by TAZ'!A:A,'Model VMT by TAZ'!E:E,0)</f>
        <v>247582.5</v>
      </c>
      <c r="D176" s="120">
        <f>_xlfn.XLOOKUP(B176,'Other Model Data by TAZ'!A:A,'Other Model Data by TAZ'!G:G,0)</f>
        <v>1699</v>
      </c>
      <c r="E176" s="117">
        <f>_xlfn.XLOOKUP(B176,'Model Modeshare by TAZ'!A:A,'Model Modeshare by TAZ'!E:E,0)+_xlfn.XLOOKUP(B176,'Model Modeshare by TAZ'!$A:$A,'Model Modeshare by TAZ'!F:F,0)</f>
        <v>18554.34</v>
      </c>
      <c r="F176" s="117">
        <f>_xlfn.XLOOKUP(B176,'Model Modeshare by TAZ'!A:A,'Model Modeshare by TAZ'!$G:$G,0)</f>
        <v>891.64</v>
      </c>
      <c r="G176" s="117">
        <f>_xlfn.XLOOKUP(B176,'Model Modeshare by TAZ'!A:A,'Model Modeshare by TAZ'!$J:$J,0)</f>
        <v>25103.74</v>
      </c>
      <c r="H176">
        <v>0</v>
      </c>
      <c r="I176">
        <v>12845769</v>
      </c>
      <c r="O176" s="120"/>
      <c r="P176" s="120"/>
    </row>
    <row r="177" spans="1:16" x14ac:dyDescent="0.35">
      <c r="A177">
        <v>172</v>
      </c>
      <c r="B177">
        <v>2041</v>
      </c>
      <c r="C177" s="120">
        <f>_xlfn.XLOOKUP(B177,'Model VMT by TAZ'!A:A,'Model VMT by TAZ'!E:E,0)</f>
        <v>267988.78999999998</v>
      </c>
      <c r="D177" s="120">
        <f>_xlfn.XLOOKUP(B177,'Other Model Data by TAZ'!A:A,'Other Model Data by TAZ'!G:G,0)</f>
        <v>3744</v>
      </c>
      <c r="E177" s="117">
        <f>_xlfn.XLOOKUP(B177,'Model Modeshare by TAZ'!A:A,'Model Modeshare by TAZ'!E:E,0)+_xlfn.XLOOKUP(B177,'Model Modeshare by TAZ'!$A:$A,'Model Modeshare by TAZ'!F:F,0)</f>
        <v>33007.18</v>
      </c>
      <c r="F177" s="117">
        <f>_xlfn.XLOOKUP(B177,'Model Modeshare by TAZ'!A:A,'Model Modeshare by TAZ'!$G:$G,0)</f>
        <v>1292</v>
      </c>
      <c r="G177" s="117">
        <f>_xlfn.XLOOKUP(B177,'Model Modeshare by TAZ'!A:A,'Model Modeshare by TAZ'!$J:$J,0)</f>
        <v>40140.58</v>
      </c>
      <c r="H177">
        <v>0</v>
      </c>
      <c r="I177">
        <v>10110210</v>
      </c>
      <c r="O177" s="120"/>
      <c r="P177" s="120"/>
    </row>
    <row r="178" spans="1:16" x14ac:dyDescent="0.35">
      <c r="A178">
        <v>173</v>
      </c>
      <c r="B178">
        <v>2043</v>
      </c>
      <c r="C178" s="120">
        <f>_xlfn.XLOOKUP(B178,'Model VMT by TAZ'!A:A,'Model VMT by TAZ'!E:E,0)</f>
        <v>42281.98</v>
      </c>
      <c r="D178" s="120">
        <f>_xlfn.XLOOKUP(B178,'Other Model Data by TAZ'!A:A,'Other Model Data by TAZ'!G:G,0)</f>
        <v>2114</v>
      </c>
      <c r="E178" s="117">
        <f>_xlfn.XLOOKUP(B178,'Model Modeshare by TAZ'!A:A,'Model Modeshare by TAZ'!E:E,0)+_xlfn.XLOOKUP(B178,'Model Modeshare by TAZ'!$A:$A,'Model Modeshare by TAZ'!F:F,0)</f>
        <v>9047.18</v>
      </c>
      <c r="F178" s="117">
        <f>_xlfn.XLOOKUP(B178,'Model Modeshare by TAZ'!A:A,'Model Modeshare by TAZ'!$G:$G,0)</f>
        <v>134.22</v>
      </c>
      <c r="G178" s="117">
        <f>_xlfn.XLOOKUP(B178,'Model Modeshare by TAZ'!A:A,'Model Modeshare by TAZ'!$J:$J,0)</f>
        <v>10851.34</v>
      </c>
      <c r="H178">
        <v>0</v>
      </c>
      <c r="I178">
        <v>13823152</v>
      </c>
      <c r="O178" s="120"/>
      <c r="P178" s="120"/>
    </row>
    <row r="179" spans="1:16" x14ac:dyDescent="0.35">
      <c r="A179">
        <v>174</v>
      </c>
      <c r="B179">
        <v>1907</v>
      </c>
      <c r="C179" s="120">
        <f>_xlfn.XLOOKUP(B179,'Model VMT by TAZ'!A:A,'Model VMT by TAZ'!E:E,0)</f>
        <v>114944.55</v>
      </c>
      <c r="D179" s="120">
        <f>_xlfn.XLOOKUP(B179,'Other Model Data by TAZ'!A:A,'Other Model Data by TAZ'!G:G,0)</f>
        <v>3942</v>
      </c>
      <c r="E179" s="117">
        <f>_xlfn.XLOOKUP(B179,'Model Modeshare by TAZ'!A:A,'Model Modeshare by TAZ'!E:E,0)+_xlfn.XLOOKUP(B179,'Model Modeshare by TAZ'!$A:$A,'Model Modeshare by TAZ'!F:F,0)</f>
        <v>19209.04</v>
      </c>
      <c r="F179" s="117">
        <f>_xlfn.XLOOKUP(B179,'Model Modeshare by TAZ'!A:A,'Model Modeshare by TAZ'!$G:$G,0)</f>
        <v>984.22</v>
      </c>
      <c r="G179" s="117">
        <f>_xlfn.XLOOKUP(B179,'Model Modeshare by TAZ'!A:A,'Model Modeshare by TAZ'!$J:$J,0)</f>
        <v>22920.6</v>
      </c>
      <c r="H179">
        <v>0</v>
      </c>
      <c r="I179">
        <v>7943195</v>
      </c>
      <c r="O179" s="120"/>
      <c r="P179" s="120"/>
    </row>
    <row r="180" spans="1:16" x14ac:dyDescent="0.35">
      <c r="A180">
        <v>175</v>
      </c>
      <c r="B180">
        <v>1910</v>
      </c>
      <c r="C180" s="120">
        <f>_xlfn.XLOOKUP(B180,'Model VMT by TAZ'!A:A,'Model VMT by TAZ'!E:E,0)</f>
        <v>107944.97</v>
      </c>
      <c r="D180" s="120">
        <f>_xlfn.XLOOKUP(B180,'Other Model Data by TAZ'!A:A,'Other Model Data by TAZ'!G:G,0)</f>
        <v>3447</v>
      </c>
      <c r="E180" s="117">
        <f>_xlfn.XLOOKUP(B180,'Model Modeshare by TAZ'!A:A,'Model Modeshare by TAZ'!E:E,0)+_xlfn.XLOOKUP(B180,'Model Modeshare by TAZ'!$A:$A,'Model Modeshare by TAZ'!F:F,0)</f>
        <v>18394.22</v>
      </c>
      <c r="F180" s="117">
        <f>_xlfn.XLOOKUP(B180,'Model Modeshare by TAZ'!A:A,'Model Modeshare by TAZ'!$G:$G,0)</f>
        <v>914.92</v>
      </c>
      <c r="G180" s="117">
        <f>_xlfn.XLOOKUP(B180,'Model Modeshare by TAZ'!A:A,'Model Modeshare by TAZ'!$J:$J,0)</f>
        <v>22145.360000000001</v>
      </c>
      <c r="H180">
        <v>0</v>
      </c>
      <c r="I180">
        <v>5288947</v>
      </c>
      <c r="O180" s="120"/>
      <c r="P180" s="120"/>
    </row>
    <row r="181" spans="1:16" x14ac:dyDescent="0.35">
      <c r="A181">
        <v>176</v>
      </c>
      <c r="B181">
        <v>1911</v>
      </c>
      <c r="C181" s="120">
        <f>_xlfn.XLOOKUP(B181,'Model VMT by TAZ'!A:A,'Model VMT by TAZ'!E:E,0)</f>
        <v>129284.92</v>
      </c>
      <c r="D181" s="120">
        <f>_xlfn.XLOOKUP(B181,'Other Model Data by TAZ'!A:A,'Other Model Data by TAZ'!G:G,0)</f>
        <v>3390</v>
      </c>
      <c r="E181" s="117">
        <f>_xlfn.XLOOKUP(B181,'Model Modeshare by TAZ'!A:A,'Model Modeshare by TAZ'!E:E,0)+_xlfn.XLOOKUP(B181,'Model Modeshare by TAZ'!$A:$A,'Model Modeshare by TAZ'!F:F,0)</f>
        <v>23331.4</v>
      </c>
      <c r="F181" s="117">
        <f>_xlfn.XLOOKUP(B181,'Model Modeshare by TAZ'!A:A,'Model Modeshare by TAZ'!$G:$G,0)</f>
        <v>1130.58</v>
      </c>
      <c r="G181" s="117">
        <f>_xlfn.XLOOKUP(B181,'Model Modeshare by TAZ'!A:A,'Model Modeshare by TAZ'!$J:$J,0)</f>
        <v>27848.2</v>
      </c>
      <c r="H181">
        <v>0</v>
      </c>
      <c r="I181">
        <v>4696682</v>
      </c>
      <c r="O181" s="120"/>
      <c r="P181" s="120"/>
    </row>
    <row r="182" spans="1:16" x14ac:dyDescent="0.35">
      <c r="A182">
        <v>177</v>
      </c>
      <c r="B182">
        <v>1912</v>
      </c>
      <c r="C182" s="120">
        <f>_xlfn.XLOOKUP(B182,'Model VMT by TAZ'!A:A,'Model VMT by TAZ'!E:E,0)</f>
        <v>159749.14000000001</v>
      </c>
      <c r="D182" s="120">
        <f>_xlfn.XLOOKUP(B182,'Other Model Data by TAZ'!A:A,'Other Model Data by TAZ'!G:G,0)</f>
        <v>0</v>
      </c>
      <c r="E182" s="117">
        <f>_xlfn.XLOOKUP(B182,'Model Modeshare by TAZ'!A:A,'Model Modeshare by TAZ'!E:E,0)+_xlfn.XLOOKUP(B182,'Model Modeshare by TAZ'!$A:$A,'Model Modeshare by TAZ'!F:F,0)</f>
        <v>18139.419999999998</v>
      </c>
      <c r="F182" s="117">
        <f>_xlfn.XLOOKUP(B182,'Model Modeshare by TAZ'!A:A,'Model Modeshare by TAZ'!$G:$G,0)</f>
        <v>373</v>
      </c>
      <c r="G182" s="117">
        <f>_xlfn.XLOOKUP(B182,'Model Modeshare by TAZ'!A:A,'Model Modeshare by TAZ'!$J:$J,0)</f>
        <v>20091.36</v>
      </c>
      <c r="H182">
        <v>0</v>
      </c>
      <c r="I182">
        <v>20585443</v>
      </c>
      <c r="O182" s="120"/>
      <c r="P182" s="120"/>
    </row>
    <row r="183" spans="1:16" x14ac:dyDescent="0.35">
      <c r="A183">
        <v>178</v>
      </c>
      <c r="B183">
        <v>1935</v>
      </c>
      <c r="C183" s="120">
        <f>_xlfn.XLOOKUP(B183,'Model VMT by TAZ'!A:A,'Model VMT by TAZ'!E:E,0)</f>
        <v>76450.34</v>
      </c>
      <c r="D183" s="120">
        <f>_xlfn.XLOOKUP(B183,'Other Model Data by TAZ'!A:A,'Other Model Data by TAZ'!G:G,0)</f>
        <v>3229</v>
      </c>
      <c r="E183" s="117">
        <f>_xlfn.XLOOKUP(B183,'Model Modeshare by TAZ'!A:A,'Model Modeshare by TAZ'!E:E,0)+_xlfn.XLOOKUP(B183,'Model Modeshare by TAZ'!$A:$A,'Model Modeshare by TAZ'!F:F,0)</f>
        <v>17431.64</v>
      </c>
      <c r="F183" s="117">
        <f>_xlfn.XLOOKUP(B183,'Model Modeshare by TAZ'!A:A,'Model Modeshare by TAZ'!$G:$G,0)</f>
        <v>462.2</v>
      </c>
      <c r="G183" s="117">
        <f>_xlfn.XLOOKUP(B183,'Model Modeshare by TAZ'!A:A,'Model Modeshare by TAZ'!$J:$J,0)</f>
        <v>21491.86</v>
      </c>
      <c r="H183">
        <v>0</v>
      </c>
      <c r="I183">
        <v>9764827</v>
      </c>
      <c r="O183" s="120"/>
      <c r="P183" s="120"/>
    </row>
    <row r="184" spans="1:16" x14ac:dyDescent="0.35">
      <c r="A184">
        <v>179</v>
      </c>
      <c r="B184">
        <v>1647</v>
      </c>
      <c r="C184" s="120">
        <f>_xlfn.XLOOKUP(B184,'Model VMT by TAZ'!A:A,'Model VMT by TAZ'!E:E,0)</f>
        <v>107390.46</v>
      </c>
      <c r="D184" s="120">
        <f>_xlfn.XLOOKUP(B184,'Other Model Data by TAZ'!A:A,'Other Model Data by TAZ'!G:G,0)</f>
        <v>2292</v>
      </c>
      <c r="E184" s="117">
        <f>_xlfn.XLOOKUP(B184,'Model Modeshare by TAZ'!A:A,'Model Modeshare by TAZ'!E:E,0)+_xlfn.XLOOKUP(B184,'Model Modeshare by TAZ'!$A:$A,'Model Modeshare by TAZ'!F:F,0)</f>
        <v>16097.16</v>
      </c>
      <c r="F184" s="117">
        <f>_xlfn.XLOOKUP(B184,'Model Modeshare by TAZ'!A:A,'Model Modeshare by TAZ'!$G:$G,0)</f>
        <v>690.04</v>
      </c>
      <c r="G184" s="117">
        <f>_xlfn.XLOOKUP(B184,'Model Modeshare by TAZ'!A:A,'Model Modeshare by TAZ'!$J:$J,0)</f>
        <v>19097.88</v>
      </c>
      <c r="H184">
        <v>0</v>
      </c>
      <c r="I184">
        <v>3659584</v>
      </c>
      <c r="O184" s="120"/>
      <c r="P184" s="120"/>
    </row>
    <row r="185" spans="1:16" x14ac:dyDescent="0.35">
      <c r="A185">
        <v>180</v>
      </c>
      <c r="B185">
        <v>1599</v>
      </c>
      <c r="C185" s="120">
        <f>_xlfn.XLOOKUP(B185,'Model VMT by TAZ'!A:A,'Model VMT by TAZ'!E:E,0)</f>
        <v>74088.960000000006</v>
      </c>
      <c r="D185" s="120">
        <f>_xlfn.XLOOKUP(B185,'Other Model Data by TAZ'!A:A,'Other Model Data by TAZ'!G:G,0)</f>
        <v>1150</v>
      </c>
      <c r="E185" s="117">
        <f>_xlfn.XLOOKUP(B185,'Model Modeshare by TAZ'!A:A,'Model Modeshare by TAZ'!E:E,0)+_xlfn.XLOOKUP(B185,'Model Modeshare by TAZ'!$A:$A,'Model Modeshare by TAZ'!F:F,0)</f>
        <v>10477.540000000001</v>
      </c>
      <c r="F185" s="117">
        <f>_xlfn.XLOOKUP(B185,'Model Modeshare by TAZ'!A:A,'Model Modeshare by TAZ'!$G:$G,0)</f>
        <v>519.54</v>
      </c>
      <c r="G185" s="117">
        <f>_xlfn.XLOOKUP(B185,'Model Modeshare by TAZ'!A:A,'Model Modeshare by TAZ'!$J:$J,0)</f>
        <v>12387.78</v>
      </c>
      <c r="H185">
        <v>0</v>
      </c>
      <c r="I185">
        <v>3914326</v>
      </c>
      <c r="O185" s="120"/>
      <c r="P185" s="120"/>
    </row>
    <row r="186" spans="1:16" x14ac:dyDescent="0.35">
      <c r="A186">
        <v>181</v>
      </c>
      <c r="B186">
        <v>1938</v>
      </c>
      <c r="C186" s="120">
        <f>_xlfn.XLOOKUP(B186,'Model VMT by TAZ'!A:A,'Model VMT by TAZ'!E:E,0)</f>
        <v>85973.05</v>
      </c>
      <c r="D186" s="120">
        <f>_xlfn.XLOOKUP(B186,'Other Model Data by TAZ'!A:A,'Other Model Data by TAZ'!G:G,0)</f>
        <v>3052</v>
      </c>
      <c r="E186" s="117">
        <f>_xlfn.XLOOKUP(B186,'Model Modeshare by TAZ'!A:A,'Model Modeshare by TAZ'!E:E,0)+_xlfn.XLOOKUP(B186,'Model Modeshare by TAZ'!$A:$A,'Model Modeshare by TAZ'!F:F,0)</f>
        <v>13848.060000000001</v>
      </c>
      <c r="F186" s="117">
        <f>_xlfn.XLOOKUP(B186,'Model Modeshare by TAZ'!A:A,'Model Modeshare by TAZ'!$G:$G,0)</f>
        <v>740.88</v>
      </c>
      <c r="G186" s="117">
        <f>_xlfn.XLOOKUP(B186,'Model Modeshare by TAZ'!A:A,'Model Modeshare by TAZ'!$J:$J,0)</f>
        <v>16543.36</v>
      </c>
      <c r="H186">
        <v>0</v>
      </c>
      <c r="I186">
        <v>11842841</v>
      </c>
      <c r="O186" s="120"/>
      <c r="P186" s="120"/>
    </row>
    <row r="187" spans="1:16" x14ac:dyDescent="0.35">
      <c r="A187">
        <v>183</v>
      </c>
      <c r="B187">
        <v>1940</v>
      </c>
      <c r="C187" s="120">
        <f>_xlfn.XLOOKUP(B187,'Model VMT by TAZ'!A:A,'Model VMT by TAZ'!E:E,0)</f>
        <v>92330.2</v>
      </c>
      <c r="D187" s="120">
        <f>_xlfn.XLOOKUP(B187,'Other Model Data by TAZ'!A:A,'Other Model Data by TAZ'!G:G,0)</f>
        <v>1236</v>
      </c>
      <c r="E187" s="117">
        <f>_xlfn.XLOOKUP(B187,'Model Modeshare by TAZ'!A:A,'Model Modeshare by TAZ'!E:E,0)+_xlfn.XLOOKUP(B187,'Model Modeshare by TAZ'!$A:$A,'Model Modeshare by TAZ'!F:F,0)</f>
        <v>11921.76</v>
      </c>
      <c r="F187" s="117">
        <f>_xlfn.XLOOKUP(B187,'Model Modeshare by TAZ'!A:A,'Model Modeshare by TAZ'!$G:$G,0)</f>
        <v>555.91999999999996</v>
      </c>
      <c r="G187" s="117">
        <f>_xlfn.XLOOKUP(B187,'Model Modeshare by TAZ'!A:A,'Model Modeshare by TAZ'!$J:$J,0)</f>
        <v>13953.36</v>
      </c>
      <c r="H187">
        <v>0</v>
      </c>
      <c r="I187">
        <v>7406502</v>
      </c>
      <c r="O187" s="120"/>
      <c r="P187" s="120"/>
    </row>
    <row r="188" spans="1:16" x14ac:dyDescent="0.35">
      <c r="A188">
        <v>184</v>
      </c>
      <c r="B188">
        <v>1944</v>
      </c>
      <c r="C188" s="120">
        <f>_xlfn.XLOOKUP(B188,'Model VMT by TAZ'!A:A,'Model VMT by TAZ'!E:E,0)</f>
        <v>206906.67</v>
      </c>
      <c r="D188" s="120">
        <f>_xlfn.XLOOKUP(B188,'Other Model Data by TAZ'!A:A,'Other Model Data by TAZ'!G:G,0)</f>
        <v>4970</v>
      </c>
      <c r="E188" s="117">
        <f>_xlfn.XLOOKUP(B188,'Model Modeshare by TAZ'!A:A,'Model Modeshare by TAZ'!E:E,0)+_xlfn.XLOOKUP(B188,'Model Modeshare by TAZ'!$A:$A,'Model Modeshare by TAZ'!F:F,0)</f>
        <v>31192.66</v>
      </c>
      <c r="F188" s="117">
        <f>_xlfn.XLOOKUP(B188,'Model Modeshare by TAZ'!A:A,'Model Modeshare by TAZ'!$G:$G,0)</f>
        <v>1302.96</v>
      </c>
      <c r="G188" s="117">
        <f>_xlfn.XLOOKUP(B188,'Model Modeshare by TAZ'!A:A,'Model Modeshare by TAZ'!$J:$J,0)</f>
        <v>37792.68</v>
      </c>
      <c r="H188">
        <v>0</v>
      </c>
      <c r="I188">
        <v>11373766</v>
      </c>
      <c r="O188" s="120"/>
      <c r="P188" s="120"/>
    </row>
    <row r="189" spans="1:16" x14ac:dyDescent="0.35">
      <c r="A189">
        <v>185</v>
      </c>
      <c r="B189">
        <v>1652</v>
      </c>
      <c r="C189" s="120">
        <f>_xlfn.XLOOKUP(B189,'Model VMT by TAZ'!A:A,'Model VMT by TAZ'!E:E,0)</f>
        <v>151832.92000000001</v>
      </c>
      <c r="D189" s="120">
        <f>_xlfn.XLOOKUP(B189,'Other Model Data by TAZ'!A:A,'Other Model Data by TAZ'!G:G,0)</f>
        <v>4</v>
      </c>
      <c r="E189" s="117">
        <f>_xlfn.XLOOKUP(B189,'Model Modeshare by TAZ'!A:A,'Model Modeshare by TAZ'!E:E,0)+_xlfn.XLOOKUP(B189,'Model Modeshare by TAZ'!$A:$A,'Model Modeshare by TAZ'!F:F,0)</f>
        <v>12355.7</v>
      </c>
      <c r="F189" s="117">
        <f>_xlfn.XLOOKUP(B189,'Model Modeshare by TAZ'!A:A,'Model Modeshare by TAZ'!$G:$G,0)</f>
        <v>449.92</v>
      </c>
      <c r="G189" s="117">
        <f>_xlfn.XLOOKUP(B189,'Model Modeshare by TAZ'!A:A,'Model Modeshare by TAZ'!$J:$J,0)</f>
        <v>13846.92</v>
      </c>
      <c r="H189">
        <v>0</v>
      </c>
      <c r="I189">
        <v>12136629</v>
      </c>
      <c r="O189" s="120"/>
      <c r="P189" s="120"/>
    </row>
    <row r="190" spans="1:16" x14ac:dyDescent="0.35">
      <c r="A190">
        <v>186</v>
      </c>
      <c r="B190">
        <v>1947</v>
      </c>
      <c r="C190" s="120">
        <f>_xlfn.XLOOKUP(B190,'Model VMT by TAZ'!A:A,'Model VMT by TAZ'!E:E,0)</f>
        <v>79690.92</v>
      </c>
      <c r="D190" s="120">
        <f>_xlfn.XLOOKUP(B190,'Other Model Data by TAZ'!A:A,'Other Model Data by TAZ'!G:G,0)</f>
        <v>3745</v>
      </c>
      <c r="E190" s="117">
        <f>_xlfn.XLOOKUP(B190,'Model Modeshare by TAZ'!A:A,'Model Modeshare by TAZ'!E:E,0)+_xlfn.XLOOKUP(B190,'Model Modeshare by TAZ'!$A:$A,'Model Modeshare by TAZ'!F:F,0)</f>
        <v>14125.060000000001</v>
      </c>
      <c r="F190" s="117">
        <f>_xlfn.XLOOKUP(B190,'Model Modeshare by TAZ'!A:A,'Model Modeshare by TAZ'!$G:$G,0)</f>
        <v>474.42</v>
      </c>
      <c r="G190" s="117">
        <f>_xlfn.XLOOKUP(B190,'Model Modeshare by TAZ'!A:A,'Model Modeshare by TAZ'!$J:$J,0)</f>
        <v>17495.96</v>
      </c>
      <c r="H190">
        <v>0</v>
      </c>
      <c r="I190">
        <v>10034122</v>
      </c>
      <c r="O190" s="120"/>
      <c r="P190" s="120"/>
    </row>
    <row r="191" spans="1:16" x14ac:dyDescent="0.35">
      <c r="A191">
        <v>187</v>
      </c>
      <c r="B191">
        <v>1950</v>
      </c>
      <c r="C191" s="120">
        <f>_xlfn.XLOOKUP(B191,'Model VMT by TAZ'!A:A,'Model VMT by TAZ'!E:E,0)</f>
        <v>65681.56</v>
      </c>
      <c r="D191" s="120">
        <f>_xlfn.XLOOKUP(B191,'Other Model Data by TAZ'!A:A,'Other Model Data by TAZ'!G:G,0)</f>
        <v>2526</v>
      </c>
      <c r="E191" s="117">
        <f>_xlfn.XLOOKUP(B191,'Model Modeshare by TAZ'!A:A,'Model Modeshare by TAZ'!E:E,0)+_xlfn.XLOOKUP(B191,'Model Modeshare by TAZ'!$A:$A,'Model Modeshare by TAZ'!F:F,0)</f>
        <v>10630.4</v>
      </c>
      <c r="F191" s="117">
        <f>_xlfn.XLOOKUP(B191,'Model Modeshare by TAZ'!A:A,'Model Modeshare by TAZ'!$G:$G,0)</f>
        <v>378.16</v>
      </c>
      <c r="G191" s="117">
        <f>_xlfn.XLOOKUP(B191,'Model Modeshare by TAZ'!A:A,'Model Modeshare by TAZ'!$J:$J,0)</f>
        <v>12617.94</v>
      </c>
      <c r="H191">
        <v>0</v>
      </c>
      <c r="I191">
        <v>6152169</v>
      </c>
      <c r="O191" s="120"/>
      <c r="P191" s="120"/>
    </row>
    <row r="192" spans="1:16" x14ac:dyDescent="0.35">
      <c r="A192">
        <v>188</v>
      </c>
      <c r="B192">
        <v>1949</v>
      </c>
      <c r="C192" s="120">
        <f>_xlfn.XLOOKUP(B192,'Model VMT by TAZ'!A:A,'Model VMT by TAZ'!E:E,0)</f>
        <v>237707.91</v>
      </c>
      <c r="D192" s="120">
        <f>_xlfn.XLOOKUP(B192,'Other Model Data by TAZ'!A:A,'Other Model Data by TAZ'!G:G,0)</f>
        <v>0</v>
      </c>
      <c r="E192" s="117">
        <f>_xlfn.XLOOKUP(B192,'Model Modeshare by TAZ'!A:A,'Model Modeshare by TAZ'!E:E,0)+_xlfn.XLOOKUP(B192,'Model Modeshare by TAZ'!$A:$A,'Model Modeshare by TAZ'!F:F,0)</f>
        <v>24359.3</v>
      </c>
      <c r="F192" s="117">
        <f>_xlfn.XLOOKUP(B192,'Model Modeshare by TAZ'!A:A,'Model Modeshare by TAZ'!$G:$G,0)</f>
        <v>185.6</v>
      </c>
      <c r="G192" s="117">
        <f>_xlfn.XLOOKUP(B192,'Model Modeshare by TAZ'!A:A,'Model Modeshare by TAZ'!$J:$J,0)</f>
        <v>25613.72</v>
      </c>
      <c r="H192">
        <v>0</v>
      </c>
      <c r="I192">
        <v>10186993</v>
      </c>
      <c r="O192" s="120"/>
      <c r="P192" s="120"/>
    </row>
    <row r="193" spans="1:16" x14ac:dyDescent="0.35">
      <c r="A193">
        <v>189</v>
      </c>
      <c r="B193">
        <v>1607</v>
      </c>
      <c r="C193" s="120">
        <f>_xlfn.XLOOKUP(B193,'Model VMT by TAZ'!A:A,'Model VMT by TAZ'!E:E,0)</f>
        <v>47941.53</v>
      </c>
      <c r="D193" s="120">
        <f>_xlfn.XLOOKUP(B193,'Other Model Data by TAZ'!A:A,'Other Model Data by TAZ'!G:G,0)</f>
        <v>1449</v>
      </c>
      <c r="E193" s="117">
        <f>_xlfn.XLOOKUP(B193,'Model Modeshare by TAZ'!A:A,'Model Modeshare by TAZ'!E:E,0)+_xlfn.XLOOKUP(B193,'Model Modeshare by TAZ'!$A:$A,'Model Modeshare by TAZ'!F:F,0)</f>
        <v>6435.1200000000008</v>
      </c>
      <c r="F193" s="117">
        <f>_xlfn.XLOOKUP(B193,'Model Modeshare by TAZ'!A:A,'Model Modeshare by TAZ'!$G:$G,0)</f>
        <v>204.56</v>
      </c>
      <c r="G193" s="117">
        <f>_xlfn.XLOOKUP(B193,'Model Modeshare by TAZ'!A:A,'Model Modeshare by TAZ'!$J:$J,0)</f>
        <v>7490.18</v>
      </c>
      <c r="H193">
        <v>0</v>
      </c>
      <c r="I193">
        <v>4711961</v>
      </c>
      <c r="O193" s="120"/>
      <c r="P193" s="120"/>
    </row>
    <row r="194" spans="1:16" x14ac:dyDescent="0.35">
      <c r="A194">
        <v>190</v>
      </c>
      <c r="B194">
        <v>1953</v>
      </c>
      <c r="C194" s="120">
        <f>_xlfn.XLOOKUP(B194,'Model VMT by TAZ'!A:A,'Model VMT by TAZ'!E:E,0)</f>
        <v>71424.81</v>
      </c>
      <c r="D194" s="120">
        <f>_xlfn.XLOOKUP(B194,'Other Model Data by TAZ'!A:A,'Other Model Data by TAZ'!G:G,0)</f>
        <v>2573</v>
      </c>
      <c r="E194" s="117">
        <f>_xlfn.XLOOKUP(B194,'Model Modeshare by TAZ'!A:A,'Model Modeshare by TAZ'!E:E,0)+_xlfn.XLOOKUP(B194,'Model Modeshare by TAZ'!$A:$A,'Model Modeshare by TAZ'!F:F,0)</f>
        <v>12526.94</v>
      </c>
      <c r="F194" s="117">
        <f>_xlfn.XLOOKUP(B194,'Model Modeshare by TAZ'!A:A,'Model Modeshare by TAZ'!$G:$G,0)</f>
        <v>353.4</v>
      </c>
      <c r="G194" s="117">
        <f>_xlfn.XLOOKUP(B194,'Model Modeshare by TAZ'!A:A,'Model Modeshare by TAZ'!$J:$J,0)</f>
        <v>14402.36</v>
      </c>
      <c r="H194">
        <v>0</v>
      </c>
      <c r="I194">
        <v>13310133</v>
      </c>
      <c r="O194" s="120"/>
      <c r="P194" s="120"/>
    </row>
    <row r="195" spans="1:16" x14ac:dyDescent="0.35">
      <c r="A195">
        <v>191</v>
      </c>
      <c r="B195">
        <v>1958</v>
      </c>
      <c r="C195" s="120">
        <f>_xlfn.XLOOKUP(B195,'Model VMT by TAZ'!A:A,'Model VMT by TAZ'!E:E,0)</f>
        <v>85917.41</v>
      </c>
      <c r="D195" s="120">
        <f>_xlfn.XLOOKUP(B195,'Other Model Data by TAZ'!A:A,'Other Model Data by TAZ'!G:G,0)</f>
        <v>2914</v>
      </c>
      <c r="E195" s="117">
        <f>_xlfn.XLOOKUP(B195,'Model Modeshare by TAZ'!A:A,'Model Modeshare by TAZ'!E:E,0)+_xlfn.XLOOKUP(B195,'Model Modeshare by TAZ'!$A:$A,'Model Modeshare by TAZ'!F:F,0)</f>
        <v>14179.3</v>
      </c>
      <c r="F195" s="117">
        <f>_xlfn.XLOOKUP(B195,'Model Modeshare by TAZ'!A:A,'Model Modeshare by TAZ'!$G:$G,0)</f>
        <v>535.4</v>
      </c>
      <c r="G195" s="117">
        <f>_xlfn.XLOOKUP(B195,'Model Modeshare by TAZ'!A:A,'Model Modeshare by TAZ'!$J:$J,0)</f>
        <v>17393.18</v>
      </c>
      <c r="H195">
        <v>0</v>
      </c>
      <c r="I195">
        <v>5027183</v>
      </c>
      <c r="O195" s="120"/>
      <c r="P195" s="120"/>
    </row>
    <row r="196" spans="1:16" x14ac:dyDescent="0.35">
      <c r="A196">
        <v>192</v>
      </c>
      <c r="B196">
        <v>1960</v>
      </c>
      <c r="C196" s="120">
        <f>_xlfn.XLOOKUP(B196,'Model VMT by TAZ'!A:A,'Model VMT by TAZ'!E:E,0)</f>
        <v>104550.46</v>
      </c>
      <c r="D196" s="120">
        <f>_xlfn.XLOOKUP(B196,'Other Model Data by TAZ'!A:A,'Other Model Data by TAZ'!G:G,0)</f>
        <v>3290</v>
      </c>
      <c r="E196" s="117">
        <f>_xlfn.XLOOKUP(B196,'Model Modeshare by TAZ'!A:A,'Model Modeshare by TAZ'!E:E,0)+_xlfn.XLOOKUP(B196,'Model Modeshare by TAZ'!$A:$A,'Model Modeshare by TAZ'!F:F,0)</f>
        <v>12396.240000000002</v>
      </c>
      <c r="F196" s="117">
        <f>_xlfn.XLOOKUP(B196,'Model Modeshare by TAZ'!A:A,'Model Modeshare by TAZ'!$G:$G,0)</f>
        <v>692.02</v>
      </c>
      <c r="G196" s="117">
        <f>_xlfn.XLOOKUP(B196,'Model Modeshare by TAZ'!A:A,'Model Modeshare by TAZ'!$J:$J,0)</f>
        <v>15456.36</v>
      </c>
      <c r="H196">
        <v>0</v>
      </c>
      <c r="I196">
        <v>5660824</v>
      </c>
      <c r="O196" s="120"/>
      <c r="P196" s="120"/>
    </row>
    <row r="197" spans="1:16" x14ac:dyDescent="0.35">
      <c r="A197">
        <v>193</v>
      </c>
      <c r="B197">
        <v>1957</v>
      </c>
      <c r="C197" s="120">
        <f>_xlfn.XLOOKUP(B197,'Model VMT by TAZ'!A:A,'Model VMT by TAZ'!E:E,0)</f>
        <v>370010.94</v>
      </c>
      <c r="D197" s="120">
        <f>_xlfn.XLOOKUP(B197,'Other Model Data by TAZ'!A:A,'Other Model Data by TAZ'!G:G,0)</f>
        <v>2381</v>
      </c>
      <c r="E197" s="117">
        <f>_xlfn.XLOOKUP(B197,'Model Modeshare by TAZ'!A:A,'Model Modeshare by TAZ'!E:E,0)+_xlfn.XLOOKUP(B197,'Model Modeshare by TAZ'!$A:$A,'Model Modeshare by TAZ'!F:F,0)</f>
        <v>49371.94</v>
      </c>
      <c r="F197" s="117">
        <f>_xlfn.XLOOKUP(B197,'Model Modeshare by TAZ'!A:A,'Model Modeshare by TAZ'!$G:$G,0)</f>
        <v>1801.5</v>
      </c>
      <c r="G197" s="117">
        <f>_xlfn.XLOOKUP(B197,'Model Modeshare by TAZ'!A:A,'Model Modeshare by TAZ'!$J:$J,0)</f>
        <v>59476.52</v>
      </c>
      <c r="H197">
        <v>0</v>
      </c>
      <c r="I197">
        <v>7091920</v>
      </c>
      <c r="O197" s="120"/>
      <c r="P197" s="120"/>
    </row>
    <row r="198" spans="1:16" x14ac:dyDescent="0.35">
      <c r="A198">
        <v>194</v>
      </c>
      <c r="B198">
        <v>1956</v>
      </c>
      <c r="C198" s="120">
        <f>_xlfn.XLOOKUP(B198,'Model VMT by TAZ'!A:A,'Model VMT by TAZ'!E:E,0)</f>
        <v>65495.23</v>
      </c>
      <c r="D198" s="120">
        <f>_xlfn.XLOOKUP(B198,'Other Model Data by TAZ'!A:A,'Other Model Data by TAZ'!G:G,0)</f>
        <v>1975</v>
      </c>
      <c r="E198" s="117">
        <f>_xlfn.XLOOKUP(B198,'Model Modeshare by TAZ'!A:A,'Model Modeshare by TAZ'!E:E,0)+_xlfn.XLOOKUP(B198,'Model Modeshare by TAZ'!$A:$A,'Model Modeshare by TAZ'!F:F,0)</f>
        <v>10211.459999999999</v>
      </c>
      <c r="F198" s="117">
        <f>_xlfn.XLOOKUP(B198,'Model Modeshare by TAZ'!A:A,'Model Modeshare by TAZ'!$G:$G,0)</f>
        <v>292.66000000000003</v>
      </c>
      <c r="G198" s="117">
        <f>_xlfn.XLOOKUP(B198,'Model Modeshare by TAZ'!A:A,'Model Modeshare by TAZ'!$J:$J,0)</f>
        <v>11799.88</v>
      </c>
      <c r="H198">
        <v>0</v>
      </c>
      <c r="I198">
        <v>3936583</v>
      </c>
      <c r="O198" s="120"/>
      <c r="P198" s="120"/>
    </row>
    <row r="199" spans="1:16" x14ac:dyDescent="0.35">
      <c r="A199">
        <v>195</v>
      </c>
      <c r="B199">
        <v>1980</v>
      </c>
      <c r="C199" s="120">
        <f>_xlfn.XLOOKUP(B199,'Model VMT by TAZ'!A:A,'Model VMT by TAZ'!E:E,0)</f>
        <v>141808.15</v>
      </c>
      <c r="D199" s="120">
        <f>_xlfn.XLOOKUP(B199,'Other Model Data by TAZ'!A:A,'Other Model Data by TAZ'!G:G,0)</f>
        <v>2316</v>
      </c>
      <c r="E199" s="117">
        <f>_xlfn.XLOOKUP(B199,'Model Modeshare by TAZ'!A:A,'Model Modeshare by TAZ'!E:E,0)+_xlfn.XLOOKUP(B199,'Model Modeshare by TAZ'!$A:$A,'Model Modeshare by TAZ'!F:F,0)</f>
        <v>24139.52</v>
      </c>
      <c r="F199" s="117">
        <f>_xlfn.XLOOKUP(B199,'Model Modeshare by TAZ'!A:A,'Model Modeshare by TAZ'!$G:$G,0)</f>
        <v>581.36</v>
      </c>
      <c r="G199" s="117">
        <f>_xlfn.XLOOKUP(B199,'Model Modeshare by TAZ'!A:A,'Model Modeshare by TAZ'!$J:$J,0)</f>
        <v>28473.84</v>
      </c>
      <c r="H199">
        <v>0</v>
      </c>
      <c r="I199">
        <v>7418614</v>
      </c>
      <c r="O199" s="120"/>
      <c r="P199" s="120"/>
    </row>
    <row r="200" spans="1:16" x14ac:dyDescent="0.35">
      <c r="A200">
        <v>196</v>
      </c>
      <c r="B200">
        <v>1984</v>
      </c>
      <c r="C200" s="120">
        <f>_xlfn.XLOOKUP(B200,'Model VMT by TAZ'!A:A,'Model VMT by TAZ'!E:E,0)</f>
        <v>237392.56</v>
      </c>
      <c r="D200" s="120">
        <f>_xlfn.XLOOKUP(B200,'Other Model Data by TAZ'!A:A,'Other Model Data by TAZ'!G:G,0)</f>
        <v>3572</v>
      </c>
      <c r="E200" s="117">
        <f>_xlfn.XLOOKUP(B200,'Model Modeshare by TAZ'!A:A,'Model Modeshare by TAZ'!E:E,0)+_xlfn.XLOOKUP(B200,'Model Modeshare by TAZ'!$A:$A,'Model Modeshare by TAZ'!F:F,0)</f>
        <v>23477.08</v>
      </c>
      <c r="F200" s="117">
        <f>_xlfn.XLOOKUP(B200,'Model Modeshare by TAZ'!A:A,'Model Modeshare by TAZ'!$G:$G,0)</f>
        <v>929.84</v>
      </c>
      <c r="G200" s="117">
        <f>_xlfn.XLOOKUP(B200,'Model Modeshare by TAZ'!A:A,'Model Modeshare by TAZ'!$J:$J,0)</f>
        <v>28280.02</v>
      </c>
      <c r="H200">
        <v>0</v>
      </c>
      <c r="I200">
        <v>7634558</v>
      </c>
      <c r="O200" s="120"/>
      <c r="P200" s="120"/>
    </row>
    <row r="201" spans="1:16" x14ac:dyDescent="0.35">
      <c r="A201">
        <v>197</v>
      </c>
      <c r="B201">
        <v>1981</v>
      </c>
      <c r="C201" s="120">
        <f>_xlfn.XLOOKUP(B201,'Model VMT by TAZ'!A:A,'Model VMT by TAZ'!E:E,0)</f>
        <v>107628.37</v>
      </c>
      <c r="D201" s="120">
        <f>_xlfn.XLOOKUP(B201,'Other Model Data by TAZ'!A:A,'Other Model Data by TAZ'!G:G,0)</f>
        <v>2070</v>
      </c>
      <c r="E201" s="117">
        <f>_xlfn.XLOOKUP(B201,'Model Modeshare by TAZ'!A:A,'Model Modeshare by TAZ'!E:E,0)+_xlfn.XLOOKUP(B201,'Model Modeshare by TAZ'!$A:$A,'Model Modeshare by TAZ'!F:F,0)</f>
        <v>14133.6</v>
      </c>
      <c r="F201" s="117">
        <f>_xlfn.XLOOKUP(B201,'Model Modeshare by TAZ'!A:A,'Model Modeshare by TAZ'!$G:$G,0)</f>
        <v>362.72</v>
      </c>
      <c r="G201" s="117">
        <f>_xlfn.XLOOKUP(B201,'Model Modeshare by TAZ'!A:A,'Model Modeshare by TAZ'!$J:$J,0)</f>
        <v>16289.4</v>
      </c>
      <c r="H201">
        <v>0</v>
      </c>
      <c r="I201">
        <v>5807601</v>
      </c>
      <c r="O201" s="120"/>
      <c r="P201" s="120"/>
    </row>
    <row r="202" spans="1:16" x14ac:dyDescent="0.35">
      <c r="A202">
        <v>198</v>
      </c>
      <c r="B202">
        <v>1978</v>
      </c>
      <c r="C202" s="120">
        <f>_xlfn.XLOOKUP(B202,'Model VMT by TAZ'!A:A,'Model VMT by TAZ'!E:E,0)</f>
        <v>152500.26999999999</v>
      </c>
      <c r="D202" s="120">
        <f>_xlfn.XLOOKUP(B202,'Other Model Data by TAZ'!A:A,'Other Model Data by TAZ'!G:G,0)</f>
        <v>3979</v>
      </c>
      <c r="E202" s="117">
        <f>_xlfn.XLOOKUP(B202,'Model Modeshare by TAZ'!A:A,'Model Modeshare by TAZ'!E:E,0)+_xlfn.XLOOKUP(B202,'Model Modeshare by TAZ'!$A:$A,'Model Modeshare by TAZ'!F:F,0)</f>
        <v>20053.82</v>
      </c>
      <c r="F202" s="117">
        <f>_xlfn.XLOOKUP(B202,'Model Modeshare by TAZ'!A:A,'Model Modeshare by TAZ'!$G:$G,0)</f>
        <v>724.8</v>
      </c>
      <c r="G202" s="117">
        <f>_xlfn.XLOOKUP(B202,'Model Modeshare by TAZ'!A:A,'Model Modeshare by TAZ'!$J:$J,0)</f>
        <v>23019.52</v>
      </c>
      <c r="H202">
        <v>0</v>
      </c>
      <c r="I202">
        <v>10055276</v>
      </c>
      <c r="O202" s="120"/>
      <c r="P202" s="120"/>
    </row>
    <row r="203" spans="1:16" x14ac:dyDescent="0.35">
      <c r="A203">
        <v>199</v>
      </c>
      <c r="B203">
        <v>1979</v>
      </c>
      <c r="C203" s="120">
        <f>_xlfn.XLOOKUP(B203,'Model VMT by TAZ'!A:A,'Model VMT by TAZ'!E:E,0)</f>
        <v>191094.12</v>
      </c>
      <c r="D203" s="120">
        <f>_xlfn.XLOOKUP(B203,'Other Model Data by TAZ'!A:A,'Other Model Data by TAZ'!G:G,0)</f>
        <v>919</v>
      </c>
      <c r="E203" s="117">
        <f>_xlfn.XLOOKUP(B203,'Model Modeshare by TAZ'!A:A,'Model Modeshare by TAZ'!E:E,0)+_xlfn.XLOOKUP(B203,'Model Modeshare by TAZ'!$A:$A,'Model Modeshare by TAZ'!F:F,0)</f>
        <v>33648.74</v>
      </c>
      <c r="F203" s="117">
        <f>_xlfn.XLOOKUP(B203,'Model Modeshare by TAZ'!A:A,'Model Modeshare by TAZ'!$G:$G,0)</f>
        <v>782.76</v>
      </c>
      <c r="G203" s="117">
        <f>_xlfn.XLOOKUP(B203,'Model Modeshare by TAZ'!A:A,'Model Modeshare by TAZ'!$J:$J,0)</f>
        <v>38359.379999999997</v>
      </c>
      <c r="H203">
        <v>0</v>
      </c>
      <c r="I203">
        <v>7293623</v>
      </c>
      <c r="O203" s="120"/>
      <c r="P203" s="120"/>
    </row>
    <row r="204" spans="1:16" x14ac:dyDescent="0.35">
      <c r="A204">
        <v>200</v>
      </c>
      <c r="B204">
        <v>1977</v>
      </c>
      <c r="C204" s="120">
        <f>_xlfn.XLOOKUP(B204,'Model VMT by TAZ'!A:A,'Model VMT by TAZ'!E:E,0)</f>
        <v>110490.02</v>
      </c>
      <c r="D204" s="120">
        <f>_xlfn.XLOOKUP(B204,'Other Model Data by TAZ'!A:A,'Other Model Data by TAZ'!G:G,0)</f>
        <v>4700</v>
      </c>
      <c r="E204" s="117">
        <f>_xlfn.XLOOKUP(B204,'Model Modeshare by TAZ'!A:A,'Model Modeshare by TAZ'!E:E,0)+_xlfn.XLOOKUP(B204,'Model Modeshare by TAZ'!$A:$A,'Model Modeshare by TAZ'!F:F,0)</f>
        <v>19223.080000000002</v>
      </c>
      <c r="F204" s="117">
        <f>_xlfn.XLOOKUP(B204,'Model Modeshare by TAZ'!A:A,'Model Modeshare by TAZ'!$G:$G,0)</f>
        <v>647.54</v>
      </c>
      <c r="G204" s="117">
        <f>_xlfn.XLOOKUP(B204,'Model Modeshare by TAZ'!A:A,'Model Modeshare by TAZ'!$J:$J,0)</f>
        <v>23549.439999999999</v>
      </c>
      <c r="H204">
        <v>0</v>
      </c>
      <c r="I204">
        <v>13854759</v>
      </c>
      <c r="O204" s="120"/>
      <c r="P204" s="120"/>
    </row>
    <row r="205" spans="1:16" x14ac:dyDescent="0.35">
      <c r="A205">
        <v>201</v>
      </c>
      <c r="B205">
        <v>1976</v>
      </c>
      <c r="C205" s="120">
        <f>_xlfn.XLOOKUP(B205,'Model VMT by TAZ'!A:A,'Model VMT by TAZ'!E:E,0)</f>
        <v>53981.85</v>
      </c>
      <c r="D205" s="120">
        <f>_xlfn.XLOOKUP(B205,'Other Model Data by TAZ'!A:A,'Other Model Data by TAZ'!G:G,0)</f>
        <v>2727</v>
      </c>
      <c r="E205" s="117">
        <f>_xlfn.XLOOKUP(B205,'Model Modeshare by TAZ'!A:A,'Model Modeshare by TAZ'!E:E,0)+_xlfn.XLOOKUP(B205,'Model Modeshare by TAZ'!$A:$A,'Model Modeshare by TAZ'!F:F,0)</f>
        <v>12767.46</v>
      </c>
      <c r="F205" s="117">
        <f>_xlfn.XLOOKUP(B205,'Model Modeshare by TAZ'!A:A,'Model Modeshare by TAZ'!$G:$G,0)</f>
        <v>356.54</v>
      </c>
      <c r="G205" s="117">
        <f>_xlfn.XLOOKUP(B205,'Model Modeshare by TAZ'!A:A,'Model Modeshare by TAZ'!$J:$J,0)</f>
        <v>15730.78</v>
      </c>
      <c r="H205">
        <v>0</v>
      </c>
      <c r="I205">
        <v>5200693</v>
      </c>
      <c r="O205" s="120"/>
      <c r="P205" s="120"/>
    </row>
    <row r="206" spans="1:16" x14ac:dyDescent="0.35">
      <c r="A206">
        <v>202</v>
      </c>
      <c r="B206">
        <v>1975</v>
      </c>
      <c r="C206" s="120">
        <f>_xlfn.XLOOKUP(B206,'Model VMT by TAZ'!A:A,'Model VMT by TAZ'!E:E,0)</f>
        <v>140676.29999999999</v>
      </c>
      <c r="D206" s="120">
        <f>_xlfn.XLOOKUP(B206,'Other Model Data by TAZ'!A:A,'Other Model Data by TAZ'!G:G,0)</f>
        <v>4130</v>
      </c>
      <c r="E206" s="117">
        <f>_xlfn.XLOOKUP(B206,'Model Modeshare by TAZ'!A:A,'Model Modeshare by TAZ'!E:E,0)+_xlfn.XLOOKUP(B206,'Model Modeshare by TAZ'!$A:$A,'Model Modeshare by TAZ'!F:F,0)</f>
        <v>20718.32</v>
      </c>
      <c r="F206" s="117">
        <f>_xlfn.XLOOKUP(B206,'Model Modeshare by TAZ'!A:A,'Model Modeshare by TAZ'!$G:$G,0)</f>
        <v>621.29999999999995</v>
      </c>
      <c r="G206" s="117">
        <f>_xlfn.XLOOKUP(B206,'Model Modeshare by TAZ'!A:A,'Model Modeshare by TAZ'!$J:$J,0)</f>
        <v>23835.96</v>
      </c>
      <c r="H206">
        <v>0</v>
      </c>
      <c r="I206">
        <v>11427520</v>
      </c>
      <c r="O206" s="120"/>
      <c r="P206" s="120"/>
    </row>
    <row r="207" spans="1:16" x14ac:dyDescent="0.35">
      <c r="A207">
        <v>203</v>
      </c>
      <c r="B207">
        <v>1614</v>
      </c>
      <c r="C207" s="120">
        <f>_xlfn.XLOOKUP(B207,'Model VMT by TAZ'!A:A,'Model VMT by TAZ'!E:E,0)</f>
        <v>15227.12</v>
      </c>
      <c r="D207" s="120">
        <f>_xlfn.XLOOKUP(B207,'Other Model Data by TAZ'!A:A,'Other Model Data by TAZ'!G:G,0)</f>
        <v>686</v>
      </c>
      <c r="E207" s="117">
        <f>_xlfn.XLOOKUP(B207,'Model Modeshare by TAZ'!A:A,'Model Modeshare by TAZ'!E:E,0)+_xlfn.XLOOKUP(B207,'Model Modeshare by TAZ'!$A:$A,'Model Modeshare by TAZ'!F:F,0)</f>
        <v>3639.2000000000003</v>
      </c>
      <c r="F207" s="117">
        <f>_xlfn.XLOOKUP(B207,'Model Modeshare by TAZ'!A:A,'Model Modeshare by TAZ'!$G:$G,0)</f>
        <v>53.8</v>
      </c>
      <c r="G207" s="117">
        <f>_xlfn.XLOOKUP(B207,'Model Modeshare by TAZ'!A:A,'Model Modeshare by TAZ'!$J:$J,0)</f>
        <v>4791.4799999999996</v>
      </c>
      <c r="H207">
        <v>0</v>
      </c>
      <c r="I207">
        <v>5188987</v>
      </c>
      <c r="O207" s="120"/>
      <c r="P207" s="120"/>
    </row>
    <row r="208" spans="1:16" x14ac:dyDescent="0.35">
      <c r="A208">
        <v>204</v>
      </c>
      <c r="B208">
        <v>1987</v>
      </c>
      <c r="C208" s="120">
        <f>_xlfn.XLOOKUP(B208,'Model VMT by TAZ'!A:A,'Model VMT by TAZ'!E:E,0)</f>
        <v>118212.61</v>
      </c>
      <c r="D208" s="120">
        <f>_xlfn.XLOOKUP(B208,'Other Model Data by TAZ'!A:A,'Other Model Data by TAZ'!G:G,0)</f>
        <v>2445</v>
      </c>
      <c r="E208" s="117">
        <f>_xlfn.XLOOKUP(B208,'Model Modeshare by TAZ'!A:A,'Model Modeshare by TAZ'!E:E,0)+_xlfn.XLOOKUP(B208,'Model Modeshare by TAZ'!$A:$A,'Model Modeshare by TAZ'!F:F,0)</f>
        <v>17283.579999999998</v>
      </c>
      <c r="F208" s="117">
        <f>_xlfn.XLOOKUP(B208,'Model Modeshare by TAZ'!A:A,'Model Modeshare by TAZ'!$G:$G,0)</f>
        <v>389.08</v>
      </c>
      <c r="G208" s="117">
        <f>_xlfn.XLOOKUP(B208,'Model Modeshare by TAZ'!A:A,'Model Modeshare by TAZ'!$J:$J,0)</f>
        <v>20870.419999999998</v>
      </c>
      <c r="H208">
        <v>0</v>
      </c>
      <c r="I208">
        <v>14361621</v>
      </c>
      <c r="O208" s="120"/>
      <c r="P208" s="120"/>
    </row>
    <row r="209" spans="1:16" x14ac:dyDescent="0.35">
      <c r="A209">
        <v>205</v>
      </c>
      <c r="B209">
        <v>2010</v>
      </c>
      <c r="C209" s="120">
        <f>_xlfn.XLOOKUP(B209,'Model VMT by TAZ'!A:A,'Model VMT by TAZ'!E:E,0)</f>
        <v>182948.04</v>
      </c>
      <c r="D209" s="120">
        <f>_xlfn.XLOOKUP(B209,'Other Model Data by TAZ'!A:A,'Other Model Data by TAZ'!G:G,0)</f>
        <v>0</v>
      </c>
      <c r="E209" s="117">
        <f>_xlfn.XLOOKUP(B209,'Model Modeshare by TAZ'!A:A,'Model Modeshare by TAZ'!E:E,0)+_xlfn.XLOOKUP(B209,'Model Modeshare by TAZ'!$A:$A,'Model Modeshare by TAZ'!F:F,0)</f>
        <v>17353.66</v>
      </c>
      <c r="F209" s="117">
        <f>_xlfn.XLOOKUP(B209,'Model Modeshare by TAZ'!A:A,'Model Modeshare by TAZ'!$G:$G,0)</f>
        <v>369.1</v>
      </c>
      <c r="G209" s="117">
        <f>_xlfn.XLOOKUP(B209,'Model Modeshare by TAZ'!A:A,'Model Modeshare by TAZ'!$J:$J,0)</f>
        <v>18899.900000000001</v>
      </c>
      <c r="H209">
        <v>0</v>
      </c>
      <c r="I209">
        <v>12011415</v>
      </c>
      <c r="O209" s="120"/>
      <c r="P209" s="120"/>
    </row>
    <row r="210" spans="1:16" x14ac:dyDescent="0.35">
      <c r="A210">
        <v>206</v>
      </c>
      <c r="B210">
        <v>2009</v>
      </c>
      <c r="C210" s="120">
        <f>_xlfn.XLOOKUP(B210,'Model VMT by TAZ'!A:A,'Model VMT by TAZ'!E:E,0)</f>
        <v>224821.98</v>
      </c>
      <c r="D210" s="120">
        <f>_xlfn.XLOOKUP(B210,'Other Model Data by TAZ'!A:A,'Other Model Data by TAZ'!G:G,0)</f>
        <v>3941</v>
      </c>
      <c r="E210" s="117">
        <f>_xlfn.XLOOKUP(B210,'Model Modeshare by TAZ'!A:A,'Model Modeshare by TAZ'!E:E,0)+_xlfn.XLOOKUP(B210,'Model Modeshare by TAZ'!$A:$A,'Model Modeshare by TAZ'!F:F,0)</f>
        <v>27899</v>
      </c>
      <c r="F210" s="117">
        <f>_xlfn.XLOOKUP(B210,'Model Modeshare by TAZ'!A:A,'Model Modeshare by TAZ'!$G:$G,0)</f>
        <v>713.36</v>
      </c>
      <c r="G210" s="117">
        <f>_xlfn.XLOOKUP(B210,'Model Modeshare by TAZ'!A:A,'Model Modeshare by TAZ'!$J:$J,0)</f>
        <v>37668.32</v>
      </c>
      <c r="H210">
        <v>0</v>
      </c>
      <c r="I210">
        <v>10476192</v>
      </c>
      <c r="O210" s="120"/>
      <c r="P210" s="120"/>
    </row>
    <row r="211" spans="1:16" x14ac:dyDescent="0.35">
      <c r="A211">
        <v>207</v>
      </c>
      <c r="B211">
        <v>2008</v>
      </c>
      <c r="C211" s="120">
        <f>_xlfn.XLOOKUP(B211,'Model VMT by TAZ'!A:A,'Model VMT by TAZ'!E:E,0)</f>
        <v>98995.68</v>
      </c>
      <c r="D211" s="120">
        <f>_xlfn.XLOOKUP(B211,'Other Model Data by TAZ'!A:A,'Other Model Data by TAZ'!G:G,0)</f>
        <v>4618</v>
      </c>
      <c r="E211" s="117">
        <f>_xlfn.XLOOKUP(B211,'Model Modeshare by TAZ'!A:A,'Model Modeshare by TAZ'!E:E,0)+_xlfn.XLOOKUP(B211,'Model Modeshare by TAZ'!$A:$A,'Model Modeshare by TAZ'!F:F,0)</f>
        <v>12343.279999999999</v>
      </c>
      <c r="F211" s="117">
        <f>_xlfn.XLOOKUP(B211,'Model Modeshare by TAZ'!A:A,'Model Modeshare by TAZ'!$G:$G,0)</f>
        <v>192.06</v>
      </c>
      <c r="G211" s="117">
        <f>_xlfn.XLOOKUP(B211,'Model Modeshare by TAZ'!A:A,'Model Modeshare by TAZ'!$J:$J,0)</f>
        <v>13864.14</v>
      </c>
      <c r="H211">
        <v>0</v>
      </c>
      <c r="I211">
        <v>12663001</v>
      </c>
      <c r="O211" s="120"/>
      <c r="P211" s="120"/>
    </row>
    <row r="212" spans="1:16" x14ac:dyDescent="0.35">
      <c r="A212">
        <v>208</v>
      </c>
      <c r="B212">
        <v>2007</v>
      </c>
      <c r="C212" s="120">
        <f>_xlfn.XLOOKUP(B212,'Model VMT by TAZ'!A:A,'Model VMT by TAZ'!E:E,0)</f>
        <v>43709.93</v>
      </c>
      <c r="D212" s="120">
        <f>_xlfn.XLOOKUP(B212,'Other Model Data by TAZ'!A:A,'Other Model Data by TAZ'!G:G,0)</f>
        <v>2710</v>
      </c>
      <c r="E212" s="117">
        <f>_xlfn.XLOOKUP(B212,'Model Modeshare by TAZ'!A:A,'Model Modeshare by TAZ'!E:E,0)+_xlfn.XLOOKUP(B212,'Model Modeshare by TAZ'!$A:$A,'Model Modeshare by TAZ'!F:F,0)</f>
        <v>10671.84</v>
      </c>
      <c r="F212" s="117">
        <f>_xlfn.XLOOKUP(B212,'Model Modeshare by TAZ'!A:A,'Model Modeshare by TAZ'!$G:$G,0)</f>
        <v>151.24</v>
      </c>
      <c r="G212" s="117">
        <f>_xlfn.XLOOKUP(B212,'Model Modeshare by TAZ'!A:A,'Model Modeshare by TAZ'!$J:$J,0)</f>
        <v>12835.22</v>
      </c>
      <c r="H212">
        <v>0</v>
      </c>
      <c r="I212">
        <v>13174344</v>
      </c>
      <c r="O212" s="120"/>
      <c r="P212" s="120"/>
    </row>
    <row r="213" spans="1:16" x14ac:dyDescent="0.35">
      <c r="A213">
        <v>209</v>
      </c>
      <c r="B213">
        <v>2017</v>
      </c>
      <c r="C213" s="120">
        <f>_xlfn.XLOOKUP(B213,'Model VMT by TAZ'!A:A,'Model VMT by TAZ'!E:E,0)</f>
        <v>103131.36</v>
      </c>
      <c r="D213" s="120">
        <f>_xlfn.XLOOKUP(B213,'Other Model Data by TAZ'!A:A,'Other Model Data by TAZ'!G:G,0)</f>
        <v>3071</v>
      </c>
      <c r="E213" s="117">
        <f>_xlfn.XLOOKUP(B213,'Model Modeshare by TAZ'!A:A,'Model Modeshare by TAZ'!E:E,0)+_xlfn.XLOOKUP(B213,'Model Modeshare by TAZ'!$A:$A,'Model Modeshare by TAZ'!F:F,0)</f>
        <v>12853.68</v>
      </c>
      <c r="F213" s="117">
        <f>_xlfn.XLOOKUP(B213,'Model Modeshare by TAZ'!A:A,'Model Modeshare by TAZ'!$G:$G,0)</f>
        <v>414.86</v>
      </c>
      <c r="G213" s="117">
        <f>_xlfn.XLOOKUP(B213,'Model Modeshare by TAZ'!A:A,'Model Modeshare by TAZ'!$J:$J,0)</f>
        <v>16579.3</v>
      </c>
      <c r="H213">
        <v>0</v>
      </c>
      <c r="I213">
        <v>11151947</v>
      </c>
      <c r="O213" s="120"/>
      <c r="P213" s="120"/>
    </row>
    <row r="214" spans="1:16" x14ac:dyDescent="0.35">
      <c r="A214">
        <v>210</v>
      </c>
      <c r="B214">
        <v>2016</v>
      </c>
      <c r="C214" s="120">
        <f>_xlfn.XLOOKUP(B214,'Model VMT by TAZ'!A:A,'Model VMT by TAZ'!E:E,0)</f>
        <v>87127.03</v>
      </c>
      <c r="D214" s="120">
        <f>_xlfn.XLOOKUP(B214,'Other Model Data by TAZ'!A:A,'Other Model Data by TAZ'!G:G,0)</f>
        <v>2233</v>
      </c>
      <c r="E214" s="117">
        <f>_xlfn.XLOOKUP(B214,'Model Modeshare by TAZ'!A:A,'Model Modeshare by TAZ'!E:E,0)+_xlfn.XLOOKUP(B214,'Model Modeshare by TAZ'!$A:$A,'Model Modeshare by TAZ'!F:F,0)</f>
        <v>11707.900000000001</v>
      </c>
      <c r="F214" s="117">
        <f>_xlfn.XLOOKUP(B214,'Model Modeshare by TAZ'!A:A,'Model Modeshare by TAZ'!$G:$G,0)</f>
        <v>389.2</v>
      </c>
      <c r="G214" s="117">
        <f>_xlfn.XLOOKUP(B214,'Model Modeshare by TAZ'!A:A,'Model Modeshare by TAZ'!$J:$J,0)</f>
        <v>13845.24</v>
      </c>
      <c r="H214">
        <v>0</v>
      </c>
      <c r="I214">
        <v>4991620</v>
      </c>
      <c r="O214" s="120"/>
      <c r="P214" s="120"/>
    </row>
    <row r="215" spans="1:16" x14ac:dyDescent="0.35">
      <c r="A215">
        <v>211</v>
      </c>
      <c r="B215">
        <v>1679</v>
      </c>
      <c r="C215" s="120">
        <f>_xlfn.XLOOKUP(B215,'Model VMT by TAZ'!A:A,'Model VMT by TAZ'!E:E,0)</f>
        <v>201492.8</v>
      </c>
      <c r="D215" s="120">
        <f>_xlfn.XLOOKUP(B215,'Other Model Data by TAZ'!A:A,'Other Model Data by TAZ'!G:G,0)</f>
        <v>113</v>
      </c>
      <c r="E215" s="117">
        <f>_xlfn.XLOOKUP(B215,'Model Modeshare by TAZ'!A:A,'Model Modeshare by TAZ'!E:E,0)+_xlfn.XLOOKUP(B215,'Model Modeshare by TAZ'!$A:$A,'Model Modeshare by TAZ'!F:F,0)</f>
        <v>23527.16</v>
      </c>
      <c r="F215" s="117">
        <f>_xlfn.XLOOKUP(B215,'Model Modeshare by TAZ'!A:A,'Model Modeshare by TAZ'!$G:$G,0)</f>
        <v>638.38</v>
      </c>
      <c r="G215" s="117">
        <f>_xlfn.XLOOKUP(B215,'Model Modeshare by TAZ'!A:A,'Model Modeshare by TAZ'!$J:$J,0)</f>
        <v>26611.24</v>
      </c>
      <c r="H215">
        <v>0</v>
      </c>
      <c r="I215">
        <v>9103367</v>
      </c>
      <c r="O215" s="120"/>
      <c r="P215" s="120"/>
    </row>
    <row r="216" spans="1:16" x14ac:dyDescent="0.35">
      <c r="A216">
        <v>212</v>
      </c>
      <c r="B216">
        <v>2026</v>
      </c>
      <c r="C216" s="120">
        <f>_xlfn.XLOOKUP(B216,'Model VMT by TAZ'!A:A,'Model VMT by TAZ'!E:E,0)</f>
        <v>77150.25</v>
      </c>
      <c r="D216" s="120">
        <f>_xlfn.XLOOKUP(B216,'Other Model Data by TAZ'!A:A,'Other Model Data by TAZ'!G:G,0)</f>
        <v>2865</v>
      </c>
      <c r="E216" s="117">
        <f>_xlfn.XLOOKUP(B216,'Model Modeshare by TAZ'!A:A,'Model Modeshare by TAZ'!E:E,0)+_xlfn.XLOOKUP(B216,'Model Modeshare by TAZ'!$A:$A,'Model Modeshare by TAZ'!F:F,0)</f>
        <v>14830.44</v>
      </c>
      <c r="F216" s="117">
        <f>_xlfn.XLOOKUP(B216,'Model Modeshare by TAZ'!A:A,'Model Modeshare by TAZ'!$G:$G,0)</f>
        <v>556.36</v>
      </c>
      <c r="G216" s="117">
        <f>_xlfn.XLOOKUP(B216,'Model Modeshare by TAZ'!A:A,'Model Modeshare by TAZ'!$J:$J,0)</f>
        <v>18123.64</v>
      </c>
      <c r="H216">
        <v>0</v>
      </c>
      <c r="I216">
        <v>3793408</v>
      </c>
      <c r="O216" s="120"/>
      <c r="P216" s="120"/>
    </row>
    <row r="217" spans="1:16" x14ac:dyDescent="0.35">
      <c r="A217">
        <v>213</v>
      </c>
      <c r="B217">
        <v>1636</v>
      </c>
      <c r="C217" s="120">
        <f>_xlfn.XLOOKUP(B217,'Model VMT by TAZ'!A:A,'Model VMT by TAZ'!E:E,0)</f>
        <v>108701.01</v>
      </c>
      <c r="D217" s="120">
        <f>_xlfn.XLOOKUP(B217,'Other Model Data by TAZ'!A:A,'Other Model Data by TAZ'!G:G,0)</f>
        <v>0</v>
      </c>
      <c r="E217" s="117">
        <f>_xlfn.XLOOKUP(B217,'Model Modeshare by TAZ'!A:A,'Model Modeshare by TAZ'!E:E,0)+_xlfn.XLOOKUP(B217,'Model Modeshare by TAZ'!$A:$A,'Model Modeshare by TAZ'!F:F,0)</f>
        <v>8161.44</v>
      </c>
      <c r="F217" s="117">
        <f>_xlfn.XLOOKUP(B217,'Model Modeshare by TAZ'!A:A,'Model Modeshare by TAZ'!$G:$G,0)</f>
        <v>0</v>
      </c>
      <c r="G217" s="117">
        <f>_xlfn.XLOOKUP(B217,'Model Modeshare by TAZ'!A:A,'Model Modeshare by TAZ'!$J:$J,0)</f>
        <v>8444.24</v>
      </c>
      <c r="H217">
        <v>0</v>
      </c>
      <c r="I217">
        <v>36701923</v>
      </c>
      <c r="O217" s="120"/>
      <c r="P217" s="120"/>
    </row>
    <row r="218" spans="1:16" x14ac:dyDescent="0.35">
      <c r="A218">
        <v>214</v>
      </c>
      <c r="B218">
        <v>1637</v>
      </c>
      <c r="C218" s="120">
        <f>_xlfn.XLOOKUP(B218,'Model VMT by TAZ'!A:A,'Model VMT by TAZ'!E:E,0)</f>
        <v>177532.08</v>
      </c>
      <c r="D218" s="120">
        <f>_xlfn.XLOOKUP(B218,'Other Model Data by TAZ'!A:A,'Other Model Data by TAZ'!G:G,0)</f>
        <v>0</v>
      </c>
      <c r="E218" s="117">
        <f>_xlfn.XLOOKUP(B218,'Model Modeshare by TAZ'!A:A,'Model Modeshare by TAZ'!E:E,0)+_xlfn.XLOOKUP(B218,'Model Modeshare by TAZ'!$A:$A,'Model Modeshare by TAZ'!F:F,0)</f>
        <v>6177.8600000000006</v>
      </c>
      <c r="F218" s="117">
        <f>_xlfn.XLOOKUP(B218,'Model Modeshare by TAZ'!A:A,'Model Modeshare by TAZ'!$G:$G,0)</f>
        <v>0.44</v>
      </c>
      <c r="G218" s="117">
        <f>_xlfn.XLOOKUP(B218,'Model Modeshare by TAZ'!A:A,'Model Modeshare by TAZ'!$J:$J,0)</f>
        <v>6319.5</v>
      </c>
      <c r="H218">
        <v>0</v>
      </c>
      <c r="I218">
        <v>13521298</v>
      </c>
      <c r="O218" s="120"/>
      <c r="P218" s="120"/>
    </row>
    <row r="219" spans="1:16" x14ac:dyDescent="0.35">
      <c r="A219">
        <v>215</v>
      </c>
      <c r="B219">
        <v>1592</v>
      </c>
      <c r="C219" s="120">
        <f>_xlfn.XLOOKUP(B219,'Model VMT by TAZ'!A:A,'Model VMT by TAZ'!E:E,0)</f>
        <v>58735.61</v>
      </c>
      <c r="D219" s="120">
        <f>_xlfn.XLOOKUP(B219,'Other Model Data by TAZ'!A:A,'Other Model Data by TAZ'!G:G,0)</f>
        <v>0</v>
      </c>
      <c r="E219" s="117">
        <f>_xlfn.XLOOKUP(B219,'Model Modeshare by TAZ'!A:A,'Model Modeshare by TAZ'!E:E,0)+_xlfn.XLOOKUP(B219,'Model Modeshare by TAZ'!$A:$A,'Model Modeshare by TAZ'!F:F,0)</f>
        <v>4823.7000000000007</v>
      </c>
      <c r="F219" s="117">
        <f>_xlfn.XLOOKUP(B219,'Model Modeshare by TAZ'!A:A,'Model Modeshare by TAZ'!$G:$G,0)</f>
        <v>167.12</v>
      </c>
      <c r="G219" s="117">
        <f>_xlfn.XLOOKUP(B219,'Model Modeshare by TAZ'!A:A,'Model Modeshare by TAZ'!$J:$J,0)</f>
        <v>5519.84</v>
      </c>
      <c r="H219">
        <v>0</v>
      </c>
      <c r="I219">
        <v>4403523</v>
      </c>
      <c r="O219" s="120"/>
      <c r="P219" s="120"/>
    </row>
    <row r="220" spans="1:16" x14ac:dyDescent="0.35">
      <c r="A220">
        <v>216</v>
      </c>
      <c r="B220">
        <v>1909</v>
      </c>
      <c r="C220" s="120">
        <f>_xlfn.XLOOKUP(B220,'Model VMT by TAZ'!A:A,'Model VMT by TAZ'!E:E,0)</f>
        <v>137946.37</v>
      </c>
      <c r="D220" s="120">
        <f>_xlfn.XLOOKUP(B220,'Other Model Data by TAZ'!A:A,'Other Model Data by TAZ'!G:G,0)</f>
        <v>7180</v>
      </c>
      <c r="E220" s="117">
        <f>_xlfn.XLOOKUP(B220,'Model Modeshare by TAZ'!A:A,'Model Modeshare by TAZ'!E:E,0)+_xlfn.XLOOKUP(B220,'Model Modeshare by TAZ'!$A:$A,'Model Modeshare by TAZ'!F:F,0)</f>
        <v>22879.96</v>
      </c>
      <c r="F220" s="117">
        <f>_xlfn.XLOOKUP(B220,'Model Modeshare by TAZ'!A:A,'Model Modeshare by TAZ'!$G:$G,0)</f>
        <v>1063.06</v>
      </c>
      <c r="G220" s="117">
        <f>_xlfn.XLOOKUP(B220,'Model Modeshare by TAZ'!A:A,'Model Modeshare by TAZ'!$J:$J,0)</f>
        <v>27709.52</v>
      </c>
      <c r="H220">
        <v>0</v>
      </c>
      <c r="I220">
        <v>19456934</v>
      </c>
      <c r="O220" s="120"/>
      <c r="P220" s="120"/>
    </row>
    <row r="221" spans="1:16" x14ac:dyDescent="0.35">
      <c r="A221">
        <v>217</v>
      </c>
      <c r="B221">
        <v>1640</v>
      </c>
      <c r="C221" s="120">
        <f>_xlfn.XLOOKUP(B221,'Model VMT by TAZ'!A:A,'Model VMT by TAZ'!E:E,0)</f>
        <v>298291.71000000002</v>
      </c>
      <c r="D221" s="120">
        <f>_xlfn.XLOOKUP(B221,'Other Model Data by TAZ'!A:A,'Other Model Data by TAZ'!G:G,0)</f>
        <v>159</v>
      </c>
      <c r="E221" s="117">
        <f>_xlfn.XLOOKUP(B221,'Model Modeshare by TAZ'!A:A,'Model Modeshare by TAZ'!E:E,0)+_xlfn.XLOOKUP(B221,'Model Modeshare by TAZ'!$A:$A,'Model Modeshare by TAZ'!F:F,0)</f>
        <v>21676.46</v>
      </c>
      <c r="F221" s="117">
        <f>_xlfn.XLOOKUP(B221,'Model Modeshare by TAZ'!A:A,'Model Modeshare by TAZ'!$G:$G,0)</f>
        <v>290.8</v>
      </c>
      <c r="G221" s="117">
        <f>_xlfn.XLOOKUP(B221,'Model Modeshare by TAZ'!A:A,'Model Modeshare by TAZ'!$J:$J,0)</f>
        <v>22847.759999999998</v>
      </c>
      <c r="H221">
        <v>0</v>
      </c>
      <c r="I221">
        <v>24726812</v>
      </c>
      <c r="O221" s="120"/>
      <c r="P221" s="120"/>
    </row>
    <row r="222" spans="1:16" x14ac:dyDescent="0.35">
      <c r="A222">
        <v>218</v>
      </c>
      <c r="B222">
        <v>1641</v>
      </c>
      <c r="C222" s="120">
        <f>_xlfn.XLOOKUP(B222,'Model VMT by TAZ'!A:A,'Model VMT by TAZ'!E:E,0)</f>
        <v>389214.54</v>
      </c>
      <c r="D222" s="120">
        <f>_xlfn.XLOOKUP(B222,'Other Model Data by TAZ'!A:A,'Other Model Data by TAZ'!G:G,0)</f>
        <v>0</v>
      </c>
      <c r="E222" s="117">
        <f>_xlfn.XLOOKUP(B222,'Model Modeshare by TAZ'!A:A,'Model Modeshare by TAZ'!E:E,0)+_xlfn.XLOOKUP(B222,'Model Modeshare by TAZ'!$A:$A,'Model Modeshare by TAZ'!F:F,0)</f>
        <v>33950.32</v>
      </c>
      <c r="F222" s="117">
        <f>_xlfn.XLOOKUP(B222,'Model Modeshare by TAZ'!A:A,'Model Modeshare by TAZ'!$G:$G,0)</f>
        <v>505.88</v>
      </c>
      <c r="G222" s="117">
        <f>_xlfn.XLOOKUP(B222,'Model Modeshare by TAZ'!A:A,'Model Modeshare by TAZ'!$J:$J,0)</f>
        <v>36102.379999999997</v>
      </c>
      <c r="H222">
        <v>0</v>
      </c>
      <c r="I222">
        <v>21056755</v>
      </c>
      <c r="O222" s="120"/>
      <c r="P222" s="120"/>
    </row>
    <row r="223" spans="1:16" x14ac:dyDescent="0.35">
      <c r="A223">
        <v>219</v>
      </c>
      <c r="B223">
        <v>1642</v>
      </c>
      <c r="C223" s="120">
        <f>_xlfn.XLOOKUP(B223,'Model VMT by TAZ'!A:A,'Model VMT by TAZ'!E:E,0)</f>
        <v>137710.24</v>
      </c>
      <c r="D223" s="120">
        <f>_xlfn.XLOOKUP(B223,'Other Model Data by TAZ'!A:A,'Other Model Data by TAZ'!G:G,0)</f>
        <v>0</v>
      </c>
      <c r="E223" s="117">
        <f>_xlfn.XLOOKUP(B223,'Model Modeshare by TAZ'!A:A,'Model Modeshare by TAZ'!E:E,0)+_xlfn.XLOOKUP(B223,'Model Modeshare by TAZ'!$A:$A,'Model Modeshare by TAZ'!F:F,0)</f>
        <v>14333.4</v>
      </c>
      <c r="F223" s="117">
        <f>_xlfn.XLOOKUP(B223,'Model Modeshare by TAZ'!A:A,'Model Modeshare by TAZ'!$G:$G,0)</f>
        <v>282.26</v>
      </c>
      <c r="G223" s="117">
        <f>_xlfn.XLOOKUP(B223,'Model Modeshare by TAZ'!A:A,'Model Modeshare by TAZ'!$J:$J,0)</f>
        <v>15433.02</v>
      </c>
      <c r="H223">
        <v>0</v>
      </c>
      <c r="I223">
        <v>10811189</v>
      </c>
      <c r="O223" s="120"/>
      <c r="P223" s="120"/>
    </row>
    <row r="224" spans="1:16" x14ac:dyDescent="0.35">
      <c r="A224">
        <v>220</v>
      </c>
      <c r="B224">
        <v>1934</v>
      </c>
      <c r="C224" s="120">
        <f>_xlfn.XLOOKUP(B224,'Model VMT by TAZ'!A:A,'Model VMT by TAZ'!E:E,0)</f>
        <v>259642.16</v>
      </c>
      <c r="D224" s="120">
        <f>_xlfn.XLOOKUP(B224,'Other Model Data by TAZ'!A:A,'Other Model Data by TAZ'!G:G,0)</f>
        <v>18</v>
      </c>
      <c r="E224" s="117">
        <f>_xlfn.XLOOKUP(B224,'Model Modeshare by TAZ'!A:A,'Model Modeshare by TAZ'!E:E,0)+_xlfn.XLOOKUP(B224,'Model Modeshare by TAZ'!$A:$A,'Model Modeshare by TAZ'!F:F,0)</f>
        <v>40193.199999999997</v>
      </c>
      <c r="F224" s="117">
        <f>_xlfn.XLOOKUP(B224,'Model Modeshare by TAZ'!A:A,'Model Modeshare by TAZ'!$G:$G,0)</f>
        <v>1568.56</v>
      </c>
      <c r="G224" s="117">
        <f>_xlfn.XLOOKUP(B224,'Model Modeshare by TAZ'!A:A,'Model Modeshare by TAZ'!$J:$J,0)</f>
        <v>46633.94</v>
      </c>
      <c r="H224">
        <v>0</v>
      </c>
      <c r="I224">
        <v>4524836</v>
      </c>
      <c r="O224" s="120"/>
      <c r="P224" s="120"/>
    </row>
    <row r="225" spans="1:16" x14ac:dyDescent="0.35">
      <c r="A225">
        <v>221</v>
      </c>
      <c r="B225">
        <v>1595</v>
      </c>
      <c r="C225" s="120">
        <f>_xlfn.XLOOKUP(B225,'Model VMT by TAZ'!A:A,'Model VMT by TAZ'!E:E,0)</f>
        <v>19964</v>
      </c>
      <c r="D225" s="120">
        <f>_xlfn.XLOOKUP(B225,'Other Model Data by TAZ'!A:A,'Other Model Data by TAZ'!G:G,0)</f>
        <v>0</v>
      </c>
      <c r="E225" s="117">
        <f>_xlfn.XLOOKUP(B225,'Model Modeshare by TAZ'!A:A,'Model Modeshare by TAZ'!E:E,0)+_xlfn.XLOOKUP(B225,'Model Modeshare by TAZ'!$A:$A,'Model Modeshare by TAZ'!F:F,0)</f>
        <v>0</v>
      </c>
      <c r="F225" s="117">
        <f>_xlfn.XLOOKUP(B225,'Model Modeshare by TAZ'!A:A,'Model Modeshare by TAZ'!$G:$G,0)</f>
        <v>0</v>
      </c>
      <c r="G225" s="117">
        <f>_xlfn.XLOOKUP(B225,'Model Modeshare by TAZ'!A:A,'Model Modeshare by TAZ'!$J:$J,0)</f>
        <v>0</v>
      </c>
      <c r="H225">
        <v>0</v>
      </c>
      <c r="I225">
        <v>7539078</v>
      </c>
      <c r="O225" s="120"/>
      <c r="P225" s="120"/>
    </row>
    <row r="226" spans="1:16" x14ac:dyDescent="0.35">
      <c r="A226">
        <v>222</v>
      </c>
      <c r="B226">
        <v>1644</v>
      </c>
      <c r="C226" s="120">
        <f>_xlfn.XLOOKUP(B226,'Model VMT by TAZ'!A:A,'Model VMT by TAZ'!E:E,0)</f>
        <v>142550.98000000001</v>
      </c>
      <c r="D226" s="120">
        <f>_xlfn.XLOOKUP(B226,'Other Model Data by TAZ'!A:A,'Other Model Data by TAZ'!G:G,0)</f>
        <v>0</v>
      </c>
      <c r="E226" s="117">
        <f>_xlfn.XLOOKUP(B226,'Model Modeshare by TAZ'!A:A,'Model Modeshare by TAZ'!E:E,0)+_xlfn.XLOOKUP(B226,'Model Modeshare by TAZ'!$A:$A,'Model Modeshare by TAZ'!F:F,0)</f>
        <v>14624.1</v>
      </c>
      <c r="F226" s="117">
        <f>_xlfn.XLOOKUP(B226,'Model Modeshare by TAZ'!A:A,'Model Modeshare by TAZ'!$G:$G,0)</f>
        <v>269.72000000000003</v>
      </c>
      <c r="G226" s="117">
        <f>_xlfn.XLOOKUP(B226,'Model Modeshare by TAZ'!A:A,'Model Modeshare by TAZ'!$J:$J,0)</f>
        <v>15734.24</v>
      </c>
      <c r="H226">
        <v>0</v>
      </c>
      <c r="I226">
        <v>9398684</v>
      </c>
      <c r="O226" s="120"/>
      <c r="P226" s="120"/>
    </row>
    <row r="227" spans="1:16" x14ac:dyDescent="0.35">
      <c r="A227">
        <v>223</v>
      </c>
      <c r="B227">
        <v>1525</v>
      </c>
      <c r="C227" s="120">
        <f>_xlfn.XLOOKUP(B227,'Model VMT by TAZ'!A:A,'Model VMT by TAZ'!E:E,0)</f>
        <v>30616.799999999999</v>
      </c>
      <c r="D227" s="120">
        <f>_xlfn.XLOOKUP(B227,'Other Model Data by TAZ'!A:A,'Other Model Data by TAZ'!G:G,0)</f>
        <v>1029</v>
      </c>
      <c r="E227" s="117">
        <f>_xlfn.XLOOKUP(B227,'Model Modeshare by TAZ'!A:A,'Model Modeshare by TAZ'!E:E,0)+_xlfn.XLOOKUP(B227,'Model Modeshare by TAZ'!$A:$A,'Model Modeshare by TAZ'!F:F,0)</f>
        <v>5152.7999999999993</v>
      </c>
      <c r="F227" s="117">
        <f>_xlfn.XLOOKUP(B227,'Model Modeshare by TAZ'!A:A,'Model Modeshare by TAZ'!$G:$G,0)</f>
        <v>221.3</v>
      </c>
      <c r="G227" s="117">
        <f>_xlfn.XLOOKUP(B227,'Model Modeshare by TAZ'!A:A,'Model Modeshare by TAZ'!$J:$J,0)</f>
        <v>6122.78</v>
      </c>
      <c r="H227">
        <v>0</v>
      </c>
      <c r="I227">
        <v>3329192</v>
      </c>
      <c r="O227" s="120"/>
      <c r="P227" s="120"/>
    </row>
    <row r="228" spans="1:16" x14ac:dyDescent="0.35">
      <c r="A228">
        <v>224</v>
      </c>
      <c r="B228">
        <v>1651</v>
      </c>
      <c r="C228" s="120">
        <f>_xlfn.XLOOKUP(B228,'Model VMT by TAZ'!A:A,'Model VMT by TAZ'!E:E,0)</f>
        <v>135024.21</v>
      </c>
      <c r="D228" s="120">
        <f>_xlfn.XLOOKUP(B228,'Other Model Data by TAZ'!A:A,'Other Model Data by TAZ'!G:G,0)</f>
        <v>1585</v>
      </c>
      <c r="E228" s="117">
        <f>_xlfn.XLOOKUP(B228,'Model Modeshare by TAZ'!A:A,'Model Modeshare by TAZ'!E:E,0)+_xlfn.XLOOKUP(B228,'Model Modeshare by TAZ'!$A:$A,'Model Modeshare by TAZ'!F:F,0)</f>
        <v>22715.279999999999</v>
      </c>
      <c r="F228" s="117">
        <f>_xlfn.XLOOKUP(B228,'Model Modeshare by TAZ'!A:A,'Model Modeshare by TAZ'!$G:$G,0)</f>
        <v>978.46</v>
      </c>
      <c r="G228" s="117">
        <f>_xlfn.XLOOKUP(B228,'Model Modeshare by TAZ'!A:A,'Model Modeshare by TAZ'!$J:$J,0)</f>
        <v>27107.18</v>
      </c>
      <c r="H228">
        <v>0</v>
      </c>
      <c r="I228">
        <v>6077027</v>
      </c>
      <c r="O228" s="120"/>
      <c r="P228" s="120"/>
    </row>
    <row r="229" spans="1:16" x14ac:dyDescent="0.35">
      <c r="A229">
        <v>225</v>
      </c>
      <c r="B229">
        <v>1527</v>
      </c>
      <c r="C229" s="120">
        <f>_xlfn.XLOOKUP(B229,'Model VMT by TAZ'!A:A,'Model VMT by TAZ'!E:E,0)</f>
        <v>10630.82</v>
      </c>
      <c r="D229" s="120">
        <f>_xlfn.XLOOKUP(B229,'Other Model Data by TAZ'!A:A,'Other Model Data by TAZ'!G:G,0)</f>
        <v>0</v>
      </c>
      <c r="E229" s="117">
        <f>_xlfn.XLOOKUP(B229,'Model Modeshare by TAZ'!A:A,'Model Modeshare by TAZ'!E:E,0)+_xlfn.XLOOKUP(B229,'Model Modeshare by TAZ'!$A:$A,'Model Modeshare by TAZ'!F:F,0)</f>
        <v>1378.02</v>
      </c>
      <c r="F229" s="117">
        <f>_xlfn.XLOOKUP(B229,'Model Modeshare by TAZ'!A:A,'Model Modeshare by TAZ'!$G:$G,0)</f>
        <v>12.66</v>
      </c>
      <c r="G229" s="117">
        <f>_xlfn.XLOOKUP(B229,'Model Modeshare by TAZ'!A:A,'Model Modeshare by TAZ'!$J:$J,0)</f>
        <v>1492.6</v>
      </c>
      <c r="H229">
        <v>0</v>
      </c>
      <c r="I229">
        <v>2363706</v>
      </c>
      <c r="O229" s="120"/>
      <c r="P229" s="120"/>
    </row>
    <row r="230" spans="1:16" x14ac:dyDescent="0.35">
      <c r="A230">
        <v>226</v>
      </c>
      <c r="B230">
        <v>1524</v>
      </c>
      <c r="C230" s="120">
        <f>_xlfn.XLOOKUP(B230,'Model VMT by TAZ'!A:A,'Model VMT by TAZ'!E:E,0)</f>
        <v>37847.75</v>
      </c>
      <c r="D230" s="120">
        <f>_xlfn.XLOOKUP(B230,'Other Model Data by TAZ'!A:A,'Other Model Data by TAZ'!G:G,0)</f>
        <v>1578</v>
      </c>
      <c r="E230" s="117">
        <f>_xlfn.XLOOKUP(B230,'Model Modeshare by TAZ'!A:A,'Model Modeshare by TAZ'!E:E,0)+_xlfn.XLOOKUP(B230,'Model Modeshare by TAZ'!$A:$A,'Model Modeshare by TAZ'!F:F,0)</f>
        <v>6166.4</v>
      </c>
      <c r="F230" s="117">
        <f>_xlfn.XLOOKUP(B230,'Model Modeshare by TAZ'!A:A,'Model Modeshare by TAZ'!$G:$G,0)</f>
        <v>387.34</v>
      </c>
      <c r="G230" s="117">
        <f>_xlfn.XLOOKUP(B230,'Model Modeshare by TAZ'!A:A,'Model Modeshare by TAZ'!$J:$J,0)</f>
        <v>7658.82</v>
      </c>
      <c r="H230">
        <v>0</v>
      </c>
      <c r="I230">
        <v>2540662</v>
      </c>
      <c r="O230" s="120"/>
      <c r="P230" s="120"/>
    </row>
    <row r="231" spans="1:16" x14ac:dyDescent="0.35">
      <c r="A231">
        <v>227</v>
      </c>
      <c r="B231">
        <v>1600</v>
      </c>
      <c r="C231" s="120">
        <f>_xlfn.XLOOKUP(B231,'Model VMT by TAZ'!A:A,'Model VMT by TAZ'!E:E,0)</f>
        <v>107162.11</v>
      </c>
      <c r="D231" s="120">
        <f>_xlfn.XLOOKUP(B231,'Other Model Data by TAZ'!A:A,'Other Model Data by TAZ'!G:G,0)</f>
        <v>1663</v>
      </c>
      <c r="E231" s="117">
        <f>_xlfn.XLOOKUP(B231,'Model Modeshare by TAZ'!A:A,'Model Modeshare by TAZ'!E:E,0)+_xlfn.XLOOKUP(B231,'Model Modeshare by TAZ'!$A:$A,'Model Modeshare by TAZ'!F:F,0)</f>
        <v>16079.760000000002</v>
      </c>
      <c r="F231" s="117">
        <f>_xlfn.XLOOKUP(B231,'Model Modeshare by TAZ'!A:A,'Model Modeshare by TAZ'!$G:$G,0)</f>
        <v>697.78</v>
      </c>
      <c r="G231" s="117">
        <f>_xlfn.XLOOKUP(B231,'Model Modeshare by TAZ'!A:A,'Model Modeshare by TAZ'!$J:$J,0)</f>
        <v>19112.560000000001</v>
      </c>
      <c r="H231">
        <v>0</v>
      </c>
      <c r="I231">
        <v>2748815</v>
      </c>
      <c r="O231" s="120"/>
      <c r="P231" s="120"/>
    </row>
    <row r="232" spans="1:16" x14ac:dyDescent="0.35">
      <c r="A232">
        <v>228</v>
      </c>
      <c r="B232">
        <v>1646</v>
      </c>
      <c r="C232" s="120">
        <f>_xlfn.XLOOKUP(B232,'Model VMT by TAZ'!A:A,'Model VMT by TAZ'!E:E,0)</f>
        <v>102440.68</v>
      </c>
      <c r="D232" s="120">
        <f>_xlfn.XLOOKUP(B232,'Other Model Data by TAZ'!A:A,'Other Model Data by TAZ'!G:G,0)</f>
        <v>73</v>
      </c>
      <c r="E232" s="117">
        <f>_xlfn.XLOOKUP(B232,'Model Modeshare by TAZ'!A:A,'Model Modeshare by TAZ'!E:E,0)+_xlfn.XLOOKUP(B232,'Model Modeshare by TAZ'!$A:$A,'Model Modeshare by TAZ'!F:F,0)</f>
        <v>13624.46</v>
      </c>
      <c r="F232" s="117">
        <f>_xlfn.XLOOKUP(B232,'Model Modeshare by TAZ'!A:A,'Model Modeshare by TAZ'!$G:$G,0)</f>
        <v>355.16</v>
      </c>
      <c r="G232" s="117">
        <f>_xlfn.XLOOKUP(B232,'Model Modeshare by TAZ'!A:A,'Model Modeshare by TAZ'!$J:$J,0)</f>
        <v>15303.22</v>
      </c>
      <c r="H232">
        <v>0</v>
      </c>
      <c r="I232">
        <v>5992428</v>
      </c>
      <c r="O232" s="120"/>
      <c r="P232" s="120"/>
    </row>
    <row r="233" spans="1:16" x14ac:dyDescent="0.35">
      <c r="A233">
        <v>229</v>
      </c>
      <c r="B233">
        <v>1529</v>
      </c>
      <c r="C233" s="120">
        <f>_xlfn.XLOOKUP(B233,'Model VMT by TAZ'!A:A,'Model VMT by TAZ'!E:E,0)</f>
        <v>162922.60999999999</v>
      </c>
      <c r="D233" s="120">
        <f>_xlfn.XLOOKUP(B233,'Other Model Data by TAZ'!A:A,'Other Model Data by TAZ'!G:G,0)</f>
        <v>1628</v>
      </c>
      <c r="E233" s="117">
        <f>_xlfn.XLOOKUP(B233,'Model Modeshare by TAZ'!A:A,'Model Modeshare by TAZ'!E:E,0)+_xlfn.XLOOKUP(B233,'Model Modeshare by TAZ'!$A:$A,'Model Modeshare by TAZ'!F:F,0)</f>
        <v>20986.52</v>
      </c>
      <c r="F233" s="117">
        <f>_xlfn.XLOOKUP(B233,'Model Modeshare by TAZ'!A:A,'Model Modeshare by TAZ'!$G:$G,0)</f>
        <v>1040.08</v>
      </c>
      <c r="G233" s="117">
        <f>_xlfn.XLOOKUP(B233,'Model Modeshare by TAZ'!A:A,'Model Modeshare by TAZ'!$J:$J,0)</f>
        <v>27044.36</v>
      </c>
      <c r="H233">
        <v>0</v>
      </c>
      <c r="I233">
        <v>4898220</v>
      </c>
      <c r="O233" s="120"/>
      <c r="P233" s="120"/>
    </row>
    <row r="234" spans="1:16" x14ac:dyDescent="0.35">
      <c r="A234">
        <v>230</v>
      </c>
      <c r="B234">
        <v>1528</v>
      </c>
      <c r="C234" s="120">
        <f>_xlfn.XLOOKUP(B234,'Model VMT by TAZ'!A:A,'Model VMT by TAZ'!E:E,0)</f>
        <v>21227.52</v>
      </c>
      <c r="D234" s="120">
        <f>_xlfn.XLOOKUP(B234,'Other Model Data by TAZ'!A:A,'Other Model Data by TAZ'!G:G,0)</f>
        <v>874</v>
      </c>
      <c r="E234" s="117">
        <f>_xlfn.XLOOKUP(B234,'Model Modeshare by TAZ'!A:A,'Model Modeshare by TAZ'!E:E,0)+_xlfn.XLOOKUP(B234,'Model Modeshare by TAZ'!$A:$A,'Model Modeshare by TAZ'!F:F,0)</f>
        <v>4975.18</v>
      </c>
      <c r="F234" s="117">
        <f>_xlfn.XLOOKUP(B234,'Model Modeshare by TAZ'!A:A,'Model Modeshare by TAZ'!$G:$G,0)</f>
        <v>161.74</v>
      </c>
      <c r="G234" s="117">
        <f>_xlfn.XLOOKUP(B234,'Model Modeshare by TAZ'!A:A,'Model Modeshare by TAZ'!$J:$J,0)</f>
        <v>6962.08</v>
      </c>
      <c r="H234">
        <v>0</v>
      </c>
      <c r="I234">
        <v>4615775</v>
      </c>
      <c r="O234" s="120"/>
      <c r="P234" s="120"/>
    </row>
    <row r="235" spans="1:16" x14ac:dyDescent="0.35">
      <c r="A235">
        <v>231</v>
      </c>
      <c r="B235">
        <v>1534</v>
      </c>
      <c r="C235" s="120">
        <f>_xlfn.XLOOKUP(B235,'Model VMT by TAZ'!A:A,'Model VMT by TAZ'!E:E,0)</f>
        <v>41674.65</v>
      </c>
      <c r="D235" s="120">
        <f>_xlfn.XLOOKUP(B235,'Other Model Data by TAZ'!A:A,'Other Model Data by TAZ'!G:G,0)</f>
        <v>1548</v>
      </c>
      <c r="E235" s="117">
        <f>_xlfn.XLOOKUP(B235,'Model Modeshare by TAZ'!A:A,'Model Modeshare by TAZ'!E:E,0)+_xlfn.XLOOKUP(B235,'Model Modeshare by TAZ'!$A:$A,'Model Modeshare by TAZ'!F:F,0)</f>
        <v>5441.54</v>
      </c>
      <c r="F235" s="117">
        <f>_xlfn.XLOOKUP(B235,'Model Modeshare by TAZ'!A:A,'Model Modeshare by TAZ'!$G:$G,0)</f>
        <v>94.06</v>
      </c>
      <c r="G235" s="117">
        <f>_xlfn.XLOOKUP(B235,'Model Modeshare by TAZ'!A:A,'Model Modeshare by TAZ'!$J:$J,0)</f>
        <v>5967.26</v>
      </c>
      <c r="H235">
        <v>0</v>
      </c>
      <c r="I235">
        <v>18421840</v>
      </c>
      <c r="O235" s="120"/>
      <c r="P235" s="120"/>
    </row>
    <row r="236" spans="1:16" x14ac:dyDescent="0.35">
      <c r="A236">
        <v>232</v>
      </c>
      <c r="B236">
        <v>1532</v>
      </c>
      <c r="C236" s="120">
        <f>_xlfn.XLOOKUP(B236,'Model VMT by TAZ'!A:A,'Model VMT by TAZ'!E:E,0)</f>
        <v>74560.72</v>
      </c>
      <c r="D236" s="120">
        <f>_xlfn.XLOOKUP(B236,'Other Model Data by TAZ'!A:A,'Other Model Data by TAZ'!G:G,0)</f>
        <v>2176</v>
      </c>
      <c r="E236" s="117">
        <f>_xlfn.XLOOKUP(B236,'Model Modeshare by TAZ'!A:A,'Model Modeshare by TAZ'!E:E,0)+_xlfn.XLOOKUP(B236,'Model Modeshare by TAZ'!$A:$A,'Model Modeshare by TAZ'!F:F,0)</f>
        <v>10991.82</v>
      </c>
      <c r="F236" s="117">
        <f>_xlfn.XLOOKUP(B236,'Model Modeshare by TAZ'!A:A,'Model Modeshare by TAZ'!$G:$G,0)</f>
        <v>430.72</v>
      </c>
      <c r="G236" s="117">
        <f>_xlfn.XLOOKUP(B236,'Model Modeshare by TAZ'!A:A,'Model Modeshare by TAZ'!$J:$J,0)</f>
        <v>13276.36</v>
      </c>
      <c r="H236">
        <v>0</v>
      </c>
      <c r="I236">
        <v>6036163</v>
      </c>
      <c r="O236" s="120"/>
      <c r="P236" s="120"/>
    </row>
    <row r="237" spans="1:16" x14ac:dyDescent="0.35">
      <c r="A237">
        <v>233</v>
      </c>
      <c r="B237">
        <v>1951</v>
      </c>
      <c r="C237" s="120">
        <f>_xlfn.XLOOKUP(B237,'Model VMT by TAZ'!A:A,'Model VMT by TAZ'!E:E,0)</f>
        <v>335486.78000000003</v>
      </c>
      <c r="D237" s="120">
        <f>_xlfn.XLOOKUP(B237,'Other Model Data by TAZ'!A:A,'Other Model Data by TAZ'!G:G,0)</f>
        <v>2948</v>
      </c>
      <c r="E237" s="117">
        <f>_xlfn.XLOOKUP(B237,'Model Modeshare by TAZ'!A:A,'Model Modeshare by TAZ'!E:E,0)+_xlfn.XLOOKUP(B237,'Model Modeshare by TAZ'!$A:$A,'Model Modeshare by TAZ'!F:F,0)</f>
        <v>42232.32</v>
      </c>
      <c r="F237" s="117">
        <f>_xlfn.XLOOKUP(B237,'Model Modeshare by TAZ'!A:A,'Model Modeshare by TAZ'!$G:$G,0)</f>
        <v>1745.98</v>
      </c>
      <c r="G237" s="117">
        <f>_xlfn.XLOOKUP(B237,'Model Modeshare by TAZ'!A:A,'Model Modeshare by TAZ'!$J:$J,0)</f>
        <v>50144.62</v>
      </c>
      <c r="H237">
        <v>0</v>
      </c>
      <c r="I237">
        <v>5177256</v>
      </c>
      <c r="O237" s="120"/>
      <c r="P237" s="120"/>
    </row>
    <row r="238" spans="1:16" x14ac:dyDescent="0.35">
      <c r="A238">
        <v>234</v>
      </c>
      <c r="B238">
        <v>1533</v>
      </c>
      <c r="C238" s="120">
        <f>_xlfn.XLOOKUP(B238,'Model VMT by TAZ'!A:A,'Model VMT by TAZ'!E:E,0)</f>
        <v>96953.21</v>
      </c>
      <c r="D238" s="120">
        <f>_xlfn.XLOOKUP(B238,'Other Model Data by TAZ'!A:A,'Other Model Data by TAZ'!G:G,0)</f>
        <v>906</v>
      </c>
      <c r="E238" s="117">
        <f>_xlfn.XLOOKUP(B238,'Model Modeshare by TAZ'!A:A,'Model Modeshare by TAZ'!E:E,0)+_xlfn.XLOOKUP(B238,'Model Modeshare by TAZ'!$A:$A,'Model Modeshare by TAZ'!F:F,0)</f>
        <v>12613.02</v>
      </c>
      <c r="F238" s="117">
        <f>_xlfn.XLOOKUP(B238,'Model Modeshare by TAZ'!A:A,'Model Modeshare by TAZ'!$G:$G,0)</f>
        <v>394.14</v>
      </c>
      <c r="G238" s="117">
        <f>_xlfn.XLOOKUP(B238,'Model Modeshare by TAZ'!A:A,'Model Modeshare by TAZ'!$J:$J,0)</f>
        <v>14800.06</v>
      </c>
      <c r="H238">
        <v>0</v>
      </c>
      <c r="I238">
        <v>2177229</v>
      </c>
      <c r="O238" s="120"/>
      <c r="P238" s="120"/>
    </row>
    <row r="239" spans="1:16" x14ac:dyDescent="0.35">
      <c r="A239">
        <v>235</v>
      </c>
      <c r="B239">
        <v>1606</v>
      </c>
      <c r="C239" s="120">
        <f>_xlfn.XLOOKUP(B239,'Model VMT by TAZ'!A:A,'Model VMT by TAZ'!E:E,0)</f>
        <v>87456.5</v>
      </c>
      <c r="D239" s="120">
        <f>_xlfn.XLOOKUP(B239,'Other Model Data by TAZ'!A:A,'Other Model Data by TAZ'!G:G,0)</f>
        <v>2225</v>
      </c>
      <c r="E239" s="117">
        <f>_xlfn.XLOOKUP(B239,'Model Modeshare by TAZ'!A:A,'Model Modeshare by TAZ'!E:E,0)+_xlfn.XLOOKUP(B239,'Model Modeshare by TAZ'!$A:$A,'Model Modeshare by TAZ'!F:F,0)</f>
        <v>12723.48</v>
      </c>
      <c r="F239" s="117">
        <f>_xlfn.XLOOKUP(B239,'Model Modeshare by TAZ'!A:A,'Model Modeshare by TAZ'!$G:$G,0)</f>
        <v>281.02</v>
      </c>
      <c r="G239" s="117">
        <f>_xlfn.XLOOKUP(B239,'Model Modeshare by TAZ'!A:A,'Model Modeshare by TAZ'!$J:$J,0)</f>
        <v>14434.8</v>
      </c>
      <c r="H239">
        <v>0</v>
      </c>
      <c r="I239">
        <v>5573620</v>
      </c>
      <c r="O239" s="120"/>
      <c r="P239" s="120"/>
    </row>
    <row r="240" spans="1:16" x14ac:dyDescent="0.35">
      <c r="A240">
        <v>236</v>
      </c>
      <c r="B240">
        <v>1531</v>
      </c>
      <c r="C240" s="120">
        <f>_xlfn.XLOOKUP(B240,'Model VMT by TAZ'!A:A,'Model VMT by TAZ'!E:E,0)</f>
        <v>40236.43</v>
      </c>
      <c r="D240" s="120">
        <f>_xlfn.XLOOKUP(B240,'Other Model Data by TAZ'!A:A,'Other Model Data by TAZ'!G:G,0)</f>
        <v>1451</v>
      </c>
      <c r="E240" s="117">
        <f>_xlfn.XLOOKUP(B240,'Model Modeshare by TAZ'!A:A,'Model Modeshare by TAZ'!E:E,0)+_xlfn.XLOOKUP(B240,'Model Modeshare by TAZ'!$A:$A,'Model Modeshare by TAZ'!F:F,0)</f>
        <v>6326.32</v>
      </c>
      <c r="F240" s="117">
        <f>_xlfn.XLOOKUP(B240,'Model Modeshare by TAZ'!A:A,'Model Modeshare by TAZ'!$G:$G,0)</f>
        <v>209.1</v>
      </c>
      <c r="G240" s="117">
        <f>_xlfn.XLOOKUP(B240,'Model Modeshare by TAZ'!A:A,'Model Modeshare by TAZ'!$J:$J,0)</f>
        <v>7489.36</v>
      </c>
      <c r="H240">
        <v>0</v>
      </c>
      <c r="I240">
        <v>3751014</v>
      </c>
      <c r="O240" s="120"/>
      <c r="P240" s="120"/>
    </row>
    <row r="241" spans="1:16" x14ac:dyDescent="0.35">
      <c r="A241">
        <v>237</v>
      </c>
      <c r="B241">
        <v>1653</v>
      </c>
      <c r="C241" s="120">
        <f>_xlfn.XLOOKUP(B241,'Model VMT by TAZ'!A:A,'Model VMT by TAZ'!E:E,0)</f>
        <v>68971.86</v>
      </c>
      <c r="D241" s="120">
        <f>_xlfn.XLOOKUP(B241,'Other Model Data by TAZ'!A:A,'Other Model Data by TAZ'!G:G,0)</f>
        <v>1992</v>
      </c>
      <c r="E241" s="117">
        <f>_xlfn.XLOOKUP(B241,'Model Modeshare by TAZ'!A:A,'Model Modeshare by TAZ'!E:E,0)+_xlfn.XLOOKUP(B241,'Model Modeshare by TAZ'!$A:$A,'Model Modeshare by TAZ'!F:F,0)</f>
        <v>9753.1</v>
      </c>
      <c r="F241" s="117">
        <f>_xlfn.XLOOKUP(B241,'Model Modeshare by TAZ'!A:A,'Model Modeshare by TAZ'!$G:$G,0)</f>
        <v>213.66</v>
      </c>
      <c r="G241" s="117">
        <f>_xlfn.XLOOKUP(B241,'Model Modeshare by TAZ'!A:A,'Model Modeshare by TAZ'!$J:$J,0)</f>
        <v>11261.36</v>
      </c>
      <c r="H241">
        <v>0</v>
      </c>
      <c r="I241">
        <v>7914650</v>
      </c>
      <c r="O241" s="120"/>
      <c r="P241" s="120"/>
    </row>
    <row r="242" spans="1:16" x14ac:dyDescent="0.35">
      <c r="A242">
        <v>238</v>
      </c>
      <c r="B242">
        <v>1948</v>
      </c>
      <c r="C242" s="120">
        <f>_xlfn.XLOOKUP(B242,'Model VMT by TAZ'!A:A,'Model VMT by TAZ'!E:E,0)</f>
        <v>420367.51</v>
      </c>
      <c r="D242" s="120">
        <f>_xlfn.XLOOKUP(B242,'Other Model Data by TAZ'!A:A,'Other Model Data by TAZ'!G:G,0)</f>
        <v>18</v>
      </c>
      <c r="E242" s="117">
        <f>_xlfn.XLOOKUP(B242,'Model Modeshare by TAZ'!A:A,'Model Modeshare by TAZ'!E:E,0)+_xlfn.XLOOKUP(B242,'Model Modeshare by TAZ'!$A:$A,'Model Modeshare by TAZ'!F:F,0)</f>
        <v>35880.94</v>
      </c>
      <c r="F242" s="117">
        <f>_xlfn.XLOOKUP(B242,'Model Modeshare by TAZ'!A:A,'Model Modeshare by TAZ'!$G:$G,0)</f>
        <v>678.88</v>
      </c>
      <c r="G242" s="117">
        <f>_xlfn.XLOOKUP(B242,'Model Modeshare by TAZ'!A:A,'Model Modeshare by TAZ'!$J:$J,0)</f>
        <v>38760.699999999997</v>
      </c>
      <c r="H242">
        <v>0</v>
      </c>
      <c r="I242">
        <v>8429656</v>
      </c>
      <c r="O242" s="120"/>
      <c r="P242" s="120"/>
    </row>
    <row r="243" spans="1:16" x14ac:dyDescent="0.35">
      <c r="A243">
        <v>239</v>
      </c>
      <c r="B243">
        <v>1605</v>
      </c>
      <c r="C243" s="120">
        <f>_xlfn.XLOOKUP(B243,'Model VMT by TAZ'!A:A,'Model VMT by TAZ'!E:E,0)</f>
        <v>115171.62</v>
      </c>
      <c r="D243" s="120">
        <f>_xlfn.XLOOKUP(B243,'Other Model Data by TAZ'!A:A,'Other Model Data by TAZ'!G:G,0)</f>
        <v>2399</v>
      </c>
      <c r="E243" s="117">
        <f>_xlfn.XLOOKUP(B243,'Model Modeshare by TAZ'!A:A,'Model Modeshare by TAZ'!E:E,0)+_xlfn.XLOOKUP(B243,'Model Modeshare by TAZ'!$A:$A,'Model Modeshare by TAZ'!F:F,0)</f>
        <v>15514.56</v>
      </c>
      <c r="F243" s="117">
        <f>_xlfn.XLOOKUP(B243,'Model Modeshare by TAZ'!A:A,'Model Modeshare by TAZ'!$G:$G,0)</f>
        <v>623.82000000000005</v>
      </c>
      <c r="G243" s="117">
        <f>_xlfn.XLOOKUP(B243,'Model Modeshare by TAZ'!A:A,'Model Modeshare by TAZ'!$J:$J,0)</f>
        <v>18270.16</v>
      </c>
      <c r="H243">
        <v>0</v>
      </c>
      <c r="I243">
        <v>4102673</v>
      </c>
      <c r="O243" s="120"/>
      <c r="P243" s="120"/>
    </row>
    <row r="244" spans="1:16" x14ac:dyDescent="0.35">
      <c r="A244">
        <v>241</v>
      </c>
      <c r="B244">
        <v>1539</v>
      </c>
      <c r="C244" s="120">
        <f>_xlfn.XLOOKUP(B244,'Model VMT by TAZ'!A:A,'Model VMT by TAZ'!E:E,0)</f>
        <v>54505.29</v>
      </c>
      <c r="D244" s="120">
        <f>_xlfn.XLOOKUP(B244,'Other Model Data by TAZ'!A:A,'Other Model Data by TAZ'!G:G,0)</f>
        <v>2506</v>
      </c>
      <c r="E244" s="117">
        <f>_xlfn.XLOOKUP(B244,'Model Modeshare by TAZ'!A:A,'Model Modeshare by TAZ'!E:E,0)+_xlfn.XLOOKUP(B244,'Model Modeshare by TAZ'!$A:$A,'Model Modeshare by TAZ'!F:F,0)</f>
        <v>7965.76</v>
      </c>
      <c r="F244" s="117">
        <f>_xlfn.XLOOKUP(B244,'Model Modeshare by TAZ'!A:A,'Model Modeshare by TAZ'!$G:$G,0)</f>
        <v>316.08</v>
      </c>
      <c r="G244" s="117">
        <f>_xlfn.XLOOKUP(B244,'Model Modeshare by TAZ'!A:A,'Model Modeshare by TAZ'!$J:$J,0)</f>
        <v>9758.1200000000008</v>
      </c>
      <c r="H244">
        <v>0</v>
      </c>
      <c r="I244">
        <v>2854780</v>
      </c>
      <c r="O244" s="120"/>
      <c r="P244" s="120"/>
    </row>
    <row r="245" spans="1:16" x14ac:dyDescent="0.35">
      <c r="A245">
        <v>242</v>
      </c>
      <c r="B245">
        <v>1538</v>
      </c>
      <c r="C245" s="120">
        <f>_xlfn.XLOOKUP(B245,'Model VMT by TAZ'!A:A,'Model VMT by TAZ'!E:E,0)</f>
        <v>82390.179999999993</v>
      </c>
      <c r="D245" s="120">
        <f>_xlfn.XLOOKUP(B245,'Other Model Data by TAZ'!A:A,'Other Model Data by TAZ'!G:G,0)</f>
        <v>2777</v>
      </c>
      <c r="E245" s="117">
        <f>_xlfn.XLOOKUP(B245,'Model Modeshare by TAZ'!A:A,'Model Modeshare by TAZ'!E:E,0)+_xlfn.XLOOKUP(B245,'Model Modeshare by TAZ'!$A:$A,'Model Modeshare by TAZ'!F:F,0)</f>
        <v>12856.42</v>
      </c>
      <c r="F245" s="117">
        <f>_xlfn.XLOOKUP(B245,'Model Modeshare by TAZ'!A:A,'Model Modeshare by TAZ'!$G:$G,0)</f>
        <v>515.64</v>
      </c>
      <c r="G245" s="117">
        <f>_xlfn.XLOOKUP(B245,'Model Modeshare by TAZ'!A:A,'Model Modeshare by TAZ'!$J:$J,0)</f>
        <v>15876.58</v>
      </c>
      <c r="H245">
        <v>0</v>
      </c>
      <c r="I245">
        <v>3470791</v>
      </c>
      <c r="O245" s="120"/>
      <c r="P245" s="120"/>
    </row>
    <row r="246" spans="1:16" x14ac:dyDescent="0.35">
      <c r="A246">
        <v>243</v>
      </c>
      <c r="B246">
        <v>1540</v>
      </c>
      <c r="C246" s="120">
        <f>_xlfn.XLOOKUP(B246,'Model VMT by TAZ'!A:A,'Model VMT by TAZ'!E:E,0)</f>
        <v>37084.92</v>
      </c>
      <c r="D246" s="120">
        <f>_xlfn.XLOOKUP(B246,'Other Model Data by TAZ'!A:A,'Other Model Data by TAZ'!G:G,0)</f>
        <v>1025</v>
      </c>
      <c r="E246" s="117">
        <f>_xlfn.XLOOKUP(B246,'Model Modeshare by TAZ'!A:A,'Model Modeshare by TAZ'!E:E,0)+_xlfn.XLOOKUP(B246,'Model Modeshare by TAZ'!$A:$A,'Model Modeshare by TAZ'!F:F,0)</f>
        <v>4390.04</v>
      </c>
      <c r="F246" s="117">
        <f>_xlfn.XLOOKUP(B246,'Model Modeshare by TAZ'!A:A,'Model Modeshare by TAZ'!$G:$G,0)</f>
        <v>170.74</v>
      </c>
      <c r="G246" s="117">
        <f>_xlfn.XLOOKUP(B246,'Model Modeshare by TAZ'!A:A,'Model Modeshare by TAZ'!$J:$J,0)</f>
        <v>5367.64</v>
      </c>
      <c r="H246">
        <v>0</v>
      </c>
      <c r="I246">
        <v>1942320</v>
      </c>
      <c r="O246" s="120"/>
      <c r="P246" s="120"/>
    </row>
    <row r="247" spans="1:16" x14ac:dyDescent="0.35">
      <c r="A247">
        <v>244</v>
      </c>
      <c r="B247">
        <v>1611</v>
      </c>
      <c r="C247" s="120">
        <f>_xlfn.XLOOKUP(B247,'Model VMT by TAZ'!A:A,'Model VMT by TAZ'!E:E,0)</f>
        <v>113930</v>
      </c>
      <c r="D247" s="120">
        <f>_xlfn.XLOOKUP(B247,'Other Model Data by TAZ'!A:A,'Other Model Data by TAZ'!G:G,0)</f>
        <v>4232</v>
      </c>
      <c r="E247" s="117">
        <f>_xlfn.XLOOKUP(B247,'Model Modeshare by TAZ'!A:A,'Model Modeshare by TAZ'!E:E,0)+_xlfn.XLOOKUP(B247,'Model Modeshare by TAZ'!$A:$A,'Model Modeshare by TAZ'!F:F,0)</f>
        <v>14911.18</v>
      </c>
      <c r="F247" s="117">
        <f>_xlfn.XLOOKUP(B247,'Model Modeshare by TAZ'!A:A,'Model Modeshare by TAZ'!$G:$G,0)</f>
        <v>829.78</v>
      </c>
      <c r="G247" s="117">
        <f>_xlfn.XLOOKUP(B247,'Model Modeshare by TAZ'!A:A,'Model Modeshare by TAZ'!$J:$J,0)</f>
        <v>18621.72</v>
      </c>
      <c r="H247">
        <v>0</v>
      </c>
      <c r="I247">
        <v>5584009</v>
      </c>
      <c r="O247" s="120"/>
      <c r="P247" s="120"/>
    </row>
    <row r="248" spans="1:16" x14ac:dyDescent="0.35">
      <c r="A248">
        <v>245</v>
      </c>
      <c r="B248">
        <v>1537</v>
      </c>
      <c r="C248" s="120">
        <f>_xlfn.XLOOKUP(B248,'Model VMT by TAZ'!A:A,'Model VMT by TAZ'!E:E,0)</f>
        <v>39518.160000000003</v>
      </c>
      <c r="D248" s="120">
        <f>_xlfn.XLOOKUP(B248,'Other Model Data by TAZ'!A:A,'Other Model Data by TAZ'!G:G,0)</f>
        <v>1890</v>
      </c>
      <c r="E248" s="117">
        <f>_xlfn.XLOOKUP(B248,'Model Modeshare by TAZ'!A:A,'Model Modeshare by TAZ'!E:E,0)+_xlfn.XLOOKUP(B248,'Model Modeshare by TAZ'!$A:$A,'Model Modeshare by TAZ'!F:F,0)</f>
        <v>6896.32</v>
      </c>
      <c r="F248" s="117">
        <f>_xlfn.XLOOKUP(B248,'Model Modeshare by TAZ'!A:A,'Model Modeshare by TAZ'!$G:$G,0)</f>
        <v>236.8</v>
      </c>
      <c r="G248" s="117">
        <f>_xlfn.XLOOKUP(B248,'Model Modeshare by TAZ'!A:A,'Model Modeshare by TAZ'!$J:$J,0)</f>
        <v>8315.2000000000007</v>
      </c>
      <c r="H248">
        <v>0</v>
      </c>
      <c r="I248">
        <v>4050519</v>
      </c>
      <c r="O248" s="120"/>
      <c r="P248" s="120"/>
    </row>
    <row r="249" spans="1:16" x14ac:dyDescent="0.35">
      <c r="A249">
        <v>246</v>
      </c>
      <c r="B249">
        <v>1536</v>
      </c>
      <c r="C249" s="120">
        <f>_xlfn.XLOOKUP(B249,'Model VMT by TAZ'!A:A,'Model VMT by TAZ'!E:E,0)</f>
        <v>36792.559999999998</v>
      </c>
      <c r="D249" s="120">
        <f>_xlfn.XLOOKUP(B249,'Other Model Data by TAZ'!A:A,'Other Model Data by TAZ'!G:G,0)</f>
        <v>1250</v>
      </c>
      <c r="E249" s="117">
        <f>_xlfn.XLOOKUP(B249,'Model Modeshare by TAZ'!A:A,'Model Modeshare by TAZ'!E:E,0)+_xlfn.XLOOKUP(B249,'Model Modeshare by TAZ'!$A:$A,'Model Modeshare by TAZ'!F:F,0)</f>
        <v>5703.74</v>
      </c>
      <c r="F249" s="117">
        <f>_xlfn.XLOOKUP(B249,'Model Modeshare by TAZ'!A:A,'Model Modeshare by TAZ'!$G:$G,0)</f>
        <v>218.54</v>
      </c>
      <c r="G249" s="117">
        <f>_xlfn.XLOOKUP(B249,'Model Modeshare by TAZ'!A:A,'Model Modeshare by TAZ'!$J:$J,0)</f>
        <v>6861.74</v>
      </c>
      <c r="H249">
        <v>0</v>
      </c>
      <c r="I249">
        <v>2747898</v>
      </c>
      <c r="O249" s="120"/>
      <c r="P249" s="120"/>
    </row>
    <row r="250" spans="1:16" x14ac:dyDescent="0.35">
      <c r="A250">
        <v>247</v>
      </c>
      <c r="B250">
        <v>1610</v>
      </c>
      <c r="C250" s="120">
        <f>_xlfn.XLOOKUP(B250,'Model VMT by TAZ'!A:A,'Model VMT by TAZ'!E:E,0)</f>
        <v>74393.61</v>
      </c>
      <c r="D250" s="120">
        <f>_xlfn.XLOOKUP(B250,'Other Model Data by TAZ'!A:A,'Other Model Data by TAZ'!G:G,0)</f>
        <v>1984</v>
      </c>
      <c r="E250" s="117">
        <f>_xlfn.XLOOKUP(B250,'Model Modeshare by TAZ'!A:A,'Model Modeshare by TAZ'!E:E,0)+_xlfn.XLOOKUP(B250,'Model Modeshare by TAZ'!$A:$A,'Model Modeshare by TAZ'!F:F,0)</f>
        <v>11908.4</v>
      </c>
      <c r="F250" s="117">
        <f>_xlfn.XLOOKUP(B250,'Model Modeshare by TAZ'!A:A,'Model Modeshare by TAZ'!$G:$G,0)</f>
        <v>476.52</v>
      </c>
      <c r="G250" s="117">
        <f>_xlfn.XLOOKUP(B250,'Model Modeshare by TAZ'!A:A,'Model Modeshare by TAZ'!$J:$J,0)</f>
        <v>13976.4</v>
      </c>
      <c r="H250">
        <v>0</v>
      </c>
      <c r="I250">
        <v>3317482</v>
      </c>
      <c r="O250" s="120"/>
      <c r="P250" s="120"/>
    </row>
    <row r="251" spans="1:16" x14ac:dyDescent="0.35">
      <c r="A251">
        <v>248</v>
      </c>
      <c r="B251">
        <v>1545</v>
      </c>
      <c r="C251" s="120">
        <f>_xlfn.XLOOKUP(B251,'Model VMT by TAZ'!A:A,'Model VMT by TAZ'!E:E,0)</f>
        <v>73696.11</v>
      </c>
      <c r="D251" s="120">
        <f>_xlfn.XLOOKUP(B251,'Other Model Data by TAZ'!A:A,'Other Model Data by TAZ'!G:G,0)</f>
        <v>2531</v>
      </c>
      <c r="E251" s="117">
        <f>_xlfn.XLOOKUP(B251,'Model Modeshare by TAZ'!A:A,'Model Modeshare by TAZ'!E:E,0)+_xlfn.XLOOKUP(B251,'Model Modeshare by TAZ'!$A:$A,'Model Modeshare by TAZ'!F:F,0)</f>
        <v>10908.36</v>
      </c>
      <c r="F251" s="117">
        <f>_xlfn.XLOOKUP(B251,'Model Modeshare by TAZ'!A:A,'Model Modeshare by TAZ'!$G:$G,0)</f>
        <v>360.08</v>
      </c>
      <c r="G251" s="117">
        <f>_xlfn.XLOOKUP(B251,'Model Modeshare by TAZ'!A:A,'Model Modeshare by TAZ'!$J:$J,0)</f>
        <v>13160.28</v>
      </c>
      <c r="H251">
        <v>0</v>
      </c>
      <c r="I251">
        <v>7025361</v>
      </c>
      <c r="O251" s="120"/>
      <c r="P251" s="120"/>
    </row>
    <row r="252" spans="1:16" x14ac:dyDescent="0.35">
      <c r="A252">
        <v>249</v>
      </c>
      <c r="B252">
        <v>1547</v>
      </c>
      <c r="C252" s="120">
        <f>_xlfn.XLOOKUP(B252,'Model VMT by TAZ'!A:A,'Model VMT by TAZ'!E:E,0)</f>
        <v>123848.92</v>
      </c>
      <c r="D252" s="120">
        <f>_xlfn.XLOOKUP(B252,'Other Model Data by TAZ'!A:A,'Other Model Data by TAZ'!G:G,0)</f>
        <v>2624</v>
      </c>
      <c r="E252" s="117">
        <f>_xlfn.XLOOKUP(B252,'Model Modeshare by TAZ'!A:A,'Model Modeshare by TAZ'!E:E,0)+_xlfn.XLOOKUP(B252,'Model Modeshare by TAZ'!$A:$A,'Model Modeshare by TAZ'!F:F,0)</f>
        <v>17361.84</v>
      </c>
      <c r="F252" s="117">
        <f>_xlfn.XLOOKUP(B252,'Model Modeshare by TAZ'!A:A,'Model Modeshare by TAZ'!$G:$G,0)</f>
        <v>434.72</v>
      </c>
      <c r="G252" s="117">
        <f>_xlfn.XLOOKUP(B252,'Model Modeshare by TAZ'!A:A,'Model Modeshare by TAZ'!$J:$J,0)</f>
        <v>20491.64</v>
      </c>
      <c r="H252">
        <v>0</v>
      </c>
      <c r="I252">
        <v>5755123</v>
      </c>
      <c r="O252" s="120"/>
      <c r="P252" s="120"/>
    </row>
    <row r="253" spans="1:16" x14ac:dyDescent="0.35">
      <c r="A253">
        <v>250</v>
      </c>
      <c r="B253">
        <v>1546</v>
      </c>
      <c r="C253" s="120">
        <f>_xlfn.XLOOKUP(B253,'Model VMT by TAZ'!A:A,'Model VMT by TAZ'!E:E,0)</f>
        <v>99569.47</v>
      </c>
      <c r="D253" s="120">
        <f>_xlfn.XLOOKUP(B253,'Other Model Data by TAZ'!A:A,'Other Model Data by TAZ'!G:G,0)</f>
        <v>1108</v>
      </c>
      <c r="E253" s="117">
        <f>_xlfn.XLOOKUP(B253,'Model Modeshare by TAZ'!A:A,'Model Modeshare by TAZ'!E:E,0)+_xlfn.XLOOKUP(B253,'Model Modeshare by TAZ'!$A:$A,'Model Modeshare by TAZ'!F:F,0)</f>
        <v>15648.740000000002</v>
      </c>
      <c r="F253" s="117">
        <f>_xlfn.XLOOKUP(B253,'Model Modeshare by TAZ'!A:A,'Model Modeshare by TAZ'!$G:$G,0)</f>
        <v>392.24</v>
      </c>
      <c r="G253" s="117">
        <f>_xlfn.XLOOKUP(B253,'Model Modeshare by TAZ'!A:A,'Model Modeshare by TAZ'!$J:$J,0)</f>
        <v>18037.240000000002</v>
      </c>
      <c r="H253">
        <v>0</v>
      </c>
      <c r="I253">
        <v>4812288</v>
      </c>
      <c r="O253" s="120"/>
      <c r="P253" s="120"/>
    </row>
    <row r="254" spans="1:16" x14ac:dyDescent="0.35">
      <c r="A254">
        <v>251</v>
      </c>
      <c r="B254">
        <v>1573</v>
      </c>
      <c r="C254" s="120">
        <f>_xlfn.XLOOKUP(B254,'Model VMT by TAZ'!A:A,'Model VMT by TAZ'!E:E,0)</f>
        <v>70002.179999999993</v>
      </c>
      <c r="D254" s="120">
        <f>_xlfn.XLOOKUP(B254,'Other Model Data by TAZ'!A:A,'Other Model Data by TAZ'!G:G,0)</f>
        <v>2483</v>
      </c>
      <c r="E254" s="117">
        <f>_xlfn.XLOOKUP(B254,'Model Modeshare by TAZ'!A:A,'Model Modeshare by TAZ'!E:E,0)+_xlfn.XLOOKUP(B254,'Model Modeshare by TAZ'!$A:$A,'Model Modeshare by TAZ'!F:F,0)</f>
        <v>9691.34</v>
      </c>
      <c r="F254" s="117">
        <f>_xlfn.XLOOKUP(B254,'Model Modeshare by TAZ'!A:A,'Model Modeshare by TAZ'!$G:$G,0)</f>
        <v>252.38</v>
      </c>
      <c r="G254" s="117">
        <f>_xlfn.XLOOKUP(B254,'Model Modeshare by TAZ'!A:A,'Model Modeshare by TAZ'!$J:$J,0)</f>
        <v>11299.84</v>
      </c>
      <c r="H254">
        <v>0</v>
      </c>
      <c r="I254">
        <v>3856681</v>
      </c>
      <c r="O254" s="120"/>
      <c r="P254" s="120"/>
    </row>
    <row r="255" spans="1:16" x14ac:dyDescent="0.35">
      <c r="A255">
        <v>252</v>
      </c>
      <c r="B255">
        <v>1575</v>
      </c>
      <c r="C255" s="120">
        <f>_xlfn.XLOOKUP(B255,'Model VMT by TAZ'!A:A,'Model VMT by TAZ'!E:E,0)</f>
        <v>42956.83</v>
      </c>
      <c r="D255" s="120">
        <f>_xlfn.XLOOKUP(B255,'Other Model Data by TAZ'!A:A,'Other Model Data by TAZ'!G:G,0)</f>
        <v>3300</v>
      </c>
      <c r="E255" s="117">
        <f>_xlfn.XLOOKUP(B255,'Model Modeshare by TAZ'!A:A,'Model Modeshare by TAZ'!E:E,0)+_xlfn.XLOOKUP(B255,'Model Modeshare by TAZ'!$A:$A,'Model Modeshare by TAZ'!F:F,0)</f>
        <v>11593.3</v>
      </c>
      <c r="F255" s="117">
        <f>_xlfn.XLOOKUP(B255,'Model Modeshare by TAZ'!A:A,'Model Modeshare by TAZ'!$G:$G,0)</f>
        <v>300.56</v>
      </c>
      <c r="G255" s="117">
        <f>_xlfn.XLOOKUP(B255,'Model Modeshare by TAZ'!A:A,'Model Modeshare by TAZ'!$J:$J,0)</f>
        <v>15412.08</v>
      </c>
      <c r="H255">
        <v>0</v>
      </c>
      <c r="I255">
        <v>4615093</v>
      </c>
      <c r="O255" s="120"/>
      <c r="P255" s="120"/>
    </row>
    <row r="256" spans="1:16" x14ac:dyDescent="0.35">
      <c r="A256">
        <v>253</v>
      </c>
      <c r="B256">
        <v>1628</v>
      </c>
      <c r="C256" s="120">
        <f>_xlfn.XLOOKUP(B256,'Model VMT by TAZ'!A:A,'Model VMT by TAZ'!E:E,0)</f>
        <v>98634.18</v>
      </c>
      <c r="D256" s="120">
        <f>_xlfn.XLOOKUP(B256,'Other Model Data by TAZ'!A:A,'Other Model Data by TAZ'!G:G,0)</f>
        <v>489</v>
      </c>
      <c r="E256" s="117">
        <f>_xlfn.XLOOKUP(B256,'Model Modeshare by TAZ'!A:A,'Model Modeshare by TAZ'!E:E,0)+_xlfn.XLOOKUP(B256,'Model Modeshare by TAZ'!$A:$A,'Model Modeshare by TAZ'!F:F,0)</f>
        <v>13513.66</v>
      </c>
      <c r="F256" s="117">
        <f>_xlfn.XLOOKUP(B256,'Model Modeshare by TAZ'!A:A,'Model Modeshare by TAZ'!$G:$G,0)</f>
        <v>461.58</v>
      </c>
      <c r="G256" s="117">
        <f>_xlfn.XLOOKUP(B256,'Model Modeshare by TAZ'!A:A,'Model Modeshare by TAZ'!$J:$J,0)</f>
        <v>15761.42</v>
      </c>
      <c r="H256">
        <v>0</v>
      </c>
      <c r="I256">
        <v>2939435</v>
      </c>
      <c r="O256" s="120"/>
      <c r="P256" s="120"/>
    </row>
    <row r="257" spans="1:16" x14ac:dyDescent="0.35">
      <c r="A257">
        <v>254</v>
      </c>
      <c r="B257">
        <v>1627</v>
      </c>
      <c r="C257" s="120">
        <f>_xlfn.XLOOKUP(B257,'Model VMT by TAZ'!A:A,'Model VMT by TAZ'!E:E,0)</f>
        <v>121005.88</v>
      </c>
      <c r="D257" s="120">
        <f>_xlfn.XLOOKUP(B257,'Other Model Data by TAZ'!A:A,'Other Model Data by TAZ'!G:G,0)</f>
        <v>2841</v>
      </c>
      <c r="E257" s="117">
        <f>_xlfn.XLOOKUP(B257,'Model Modeshare by TAZ'!A:A,'Model Modeshare by TAZ'!E:E,0)+_xlfn.XLOOKUP(B257,'Model Modeshare by TAZ'!$A:$A,'Model Modeshare by TAZ'!F:F,0)</f>
        <v>16197.900000000001</v>
      </c>
      <c r="F257" s="117">
        <f>_xlfn.XLOOKUP(B257,'Model Modeshare by TAZ'!A:A,'Model Modeshare by TAZ'!$G:$G,0)</f>
        <v>588.48</v>
      </c>
      <c r="G257" s="117">
        <f>_xlfn.XLOOKUP(B257,'Model Modeshare by TAZ'!A:A,'Model Modeshare by TAZ'!$J:$J,0)</f>
        <v>19328.759999999998</v>
      </c>
      <c r="H257">
        <v>0</v>
      </c>
      <c r="I257">
        <v>2500466</v>
      </c>
      <c r="O257" s="120"/>
      <c r="P257" s="120"/>
    </row>
    <row r="258" spans="1:16" x14ac:dyDescent="0.35">
      <c r="A258">
        <v>255</v>
      </c>
      <c r="B258">
        <v>1685</v>
      </c>
      <c r="C258" s="120">
        <f>_xlfn.XLOOKUP(B258,'Model VMT by TAZ'!A:A,'Model VMT by TAZ'!E:E,0)</f>
        <v>24342.959999999999</v>
      </c>
      <c r="D258" s="120">
        <f>_xlfn.XLOOKUP(B258,'Other Model Data by TAZ'!A:A,'Other Model Data by TAZ'!G:G,0)</f>
        <v>1319</v>
      </c>
      <c r="E258" s="117">
        <f>_xlfn.XLOOKUP(B258,'Model Modeshare by TAZ'!A:A,'Model Modeshare by TAZ'!E:E,0)+_xlfn.XLOOKUP(B258,'Model Modeshare by TAZ'!$A:$A,'Model Modeshare by TAZ'!F:F,0)</f>
        <v>8111.54</v>
      </c>
      <c r="F258" s="117">
        <f>_xlfn.XLOOKUP(B258,'Model Modeshare by TAZ'!A:A,'Model Modeshare by TAZ'!$G:$G,0)</f>
        <v>130.28</v>
      </c>
      <c r="G258" s="117">
        <f>_xlfn.XLOOKUP(B258,'Model Modeshare by TAZ'!A:A,'Model Modeshare by TAZ'!$J:$J,0)</f>
        <v>9033.92</v>
      </c>
      <c r="H258">
        <v>0</v>
      </c>
      <c r="I258">
        <v>23755390</v>
      </c>
      <c r="O258" s="120"/>
      <c r="P258" s="120"/>
    </row>
    <row r="259" spans="1:16" x14ac:dyDescent="0.35">
      <c r="A259">
        <v>256</v>
      </c>
      <c r="B259">
        <v>1686</v>
      </c>
      <c r="C259" s="120">
        <f>_xlfn.XLOOKUP(B259,'Model VMT by TAZ'!A:A,'Model VMT by TAZ'!E:E,0)</f>
        <v>15463.5</v>
      </c>
      <c r="D259" s="120">
        <f>_xlfn.XLOOKUP(B259,'Other Model Data by TAZ'!A:A,'Other Model Data by TAZ'!G:G,0)</f>
        <v>449</v>
      </c>
      <c r="E259" s="117">
        <f>_xlfn.XLOOKUP(B259,'Model Modeshare by TAZ'!A:A,'Model Modeshare by TAZ'!E:E,0)+_xlfn.XLOOKUP(B259,'Model Modeshare by TAZ'!$A:$A,'Model Modeshare by TAZ'!F:F,0)</f>
        <v>2951.2</v>
      </c>
      <c r="F259" s="117">
        <f>_xlfn.XLOOKUP(B259,'Model Modeshare by TAZ'!A:A,'Model Modeshare by TAZ'!$G:$G,0)</f>
        <v>73.78</v>
      </c>
      <c r="G259" s="117">
        <f>_xlfn.XLOOKUP(B259,'Model Modeshare by TAZ'!A:A,'Model Modeshare by TAZ'!$J:$J,0)</f>
        <v>3432.96</v>
      </c>
      <c r="H259">
        <v>0</v>
      </c>
      <c r="I259">
        <v>11520911</v>
      </c>
      <c r="O259" s="120"/>
      <c r="P259" s="120"/>
    </row>
    <row r="260" spans="1:16" x14ac:dyDescent="0.35">
      <c r="A260">
        <v>257</v>
      </c>
      <c r="B260">
        <v>1587</v>
      </c>
      <c r="C260" s="120">
        <f>_xlfn.XLOOKUP(B260,'Model VMT by TAZ'!A:A,'Model VMT by TAZ'!E:E,0)</f>
        <v>6018</v>
      </c>
      <c r="D260" s="120">
        <f>_xlfn.XLOOKUP(B260,'Other Model Data by TAZ'!A:A,'Other Model Data by TAZ'!G:G,0)</f>
        <v>339</v>
      </c>
      <c r="E260" s="117">
        <f>_xlfn.XLOOKUP(B260,'Model Modeshare by TAZ'!A:A,'Model Modeshare by TAZ'!E:E,0)+_xlfn.XLOOKUP(B260,'Model Modeshare by TAZ'!$A:$A,'Model Modeshare by TAZ'!F:F,0)</f>
        <v>4235</v>
      </c>
      <c r="F260" s="117">
        <f>_xlfn.XLOOKUP(B260,'Model Modeshare by TAZ'!A:A,'Model Modeshare by TAZ'!$G:$G,0)</f>
        <v>42.64</v>
      </c>
      <c r="G260" s="117">
        <f>_xlfn.XLOOKUP(B260,'Model Modeshare by TAZ'!A:A,'Model Modeshare by TAZ'!$J:$J,0)</f>
        <v>4631.76</v>
      </c>
      <c r="H260">
        <v>0</v>
      </c>
      <c r="I260">
        <v>6534544</v>
      </c>
      <c r="O260" s="120"/>
      <c r="P260" s="120"/>
    </row>
    <row r="261" spans="1:16" x14ac:dyDescent="0.35">
      <c r="A261">
        <v>258</v>
      </c>
      <c r="B261">
        <v>1586</v>
      </c>
      <c r="C261" s="120">
        <f>_xlfn.XLOOKUP(B261,'Model VMT by TAZ'!A:A,'Model VMT by TAZ'!E:E,0)</f>
        <v>53894.12</v>
      </c>
      <c r="D261" s="120">
        <f>_xlfn.XLOOKUP(B261,'Other Model Data by TAZ'!A:A,'Other Model Data by TAZ'!G:G,0)</f>
        <v>994</v>
      </c>
      <c r="E261" s="117">
        <f>_xlfn.XLOOKUP(B261,'Model Modeshare by TAZ'!A:A,'Model Modeshare by TAZ'!E:E,0)+_xlfn.XLOOKUP(B261,'Model Modeshare by TAZ'!$A:$A,'Model Modeshare by TAZ'!F:F,0)</f>
        <v>6974.34</v>
      </c>
      <c r="F261" s="117">
        <f>_xlfn.XLOOKUP(B261,'Model Modeshare by TAZ'!A:A,'Model Modeshare by TAZ'!$G:$G,0)</f>
        <v>380.48</v>
      </c>
      <c r="G261" s="117">
        <f>_xlfn.XLOOKUP(B261,'Model Modeshare by TAZ'!A:A,'Model Modeshare by TAZ'!$J:$J,0)</f>
        <v>8760.14</v>
      </c>
      <c r="H261">
        <v>0</v>
      </c>
      <c r="I261">
        <v>4001021</v>
      </c>
      <c r="O261" s="120"/>
      <c r="P261" s="120"/>
    </row>
    <row r="262" spans="1:16" x14ac:dyDescent="0.35">
      <c r="A262">
        <v>259</v>
      </c>
      <c r="B262">
        <v>1584</v>
      </c>
      <c r="C262" s="120">
        <f>_xlfn.XLOOKUP(B262,'Model VMT by TAZ'!A:A,'Model VMT by TAZ'!E:E,0)</f>
        <v>15737.96</v>
      </c>
      <c r="D262" s="120">
        <f>_xlfn.XLOOKUP(B262,'Other Model Data by TAZ'!A:A,'Other Model Data by TAZ'!G:G,0)</f>
        <v>522</v>
      </c>
      <c r="E262" s="117">
        <f>_xlfn.XLOOKUP(B262,'Model Modeshare by TAZ'!A:A,'Model Modeshare by TAZ'!E:E,0)+_xlfn.XLOOKUP(B262,'Model Modeshare by TAZ'!$A:$A,'Model Modeshare by TAZ'!F:F,0)</f>
        <v>3211.6400000000003</v>
      </c>
      <c r="F262" s="117">
        <f>_xlfn.XLOOKUP(B262,'Model Modeshare by TAZ'!A:A,'Model Modeshare by TAZ'!$G:$G,0)</f>
        <v>55</v>
      </c>
      <c r="G262" s="117">
        <f>_xlfn.XLOOKUP(B262,'Model Modeshare by TAZ'!A:A,'Model Modeshare by TAZ'!$J:$J,0)</f>
        <v>3586.68</v>
      </c>
      <c r="H262">
        <v>0</v>
      </c>
      <c r="I262">
        <v>3997959</v>
      </c>
      <c r="O262" s="120"/>
      <c r="P262" s="120"/>
    </row>
    <row r="263" spans="1:16" x14ac:dyDescent="0.35">
      <c r="A263">
        <v>260</v>
      </c>
      <c r="B263">
        <v>1633</v>
      </c>
      <c r="C263" s="120">
        <f>_xlfn.XLOOKUP(B263,'Model VMT by TAZ'!A:A,'Model VMT by TAZ'!E:E,0)</f>
        <v>13210.43</v>
      </c>
      <c r="D263" s="120">
        <f>_xlfn.XLOOKUP(B263,'Other Model Data by TAZ'!A:A,'Other Model Data by TAZ'!G:G,0)</f>
        <v>590</v>
      </c>
      <c r="E263" s="117">
        <f>_xlfn.XLOOKUP(B263,'Model Modeshare by TAZ'!A:A,'Model Modeshare by TAZ'!E:E,0)+_xlfn.XLOOKUP(B263,'Model Modeshare by TAZ'!$A:$A,'Model Modeshare by TAZ'!F:F,0)</f>
        <v>2664.08</v>
      </c>
      <c r="F263" s="117">
        <f>_xlfn.XLOOKUP(B263,'Model Modeshare by TAZ'!A:A,'Model Modeshare by TAZ'!$G:$G,0)</f>
        <v>38.32</v>
      </c>
      <c r="G263" s="117">
        <f>_xlfn.XLOOKUP(B263,'Model Modeshare by TAZ'!A:A,'Model Modeshare by TAZ'!$J:$J,0)</f>
        <v>3061.48</v>
      </c>
      <c r="H263">
        <v>0</v>
      </c>
      <c r="I263">
        <v>12420049</v>
      </c>
      <c r="O263" s="120"/>
      <c r="P263" s="120"/>
    </row>
    <row r="264" spans="1:16" x14ac:dyDescent="0.35">
      <c r="A264">
        <v>261</v>
      </c>
      <c r="B264">
        <v>1585</v>
      </c>
      <c r="C264" s="120">
        <f>_xlfn.XLOOKUP(B264,'Model VMT by TAZ'!A:A,'Model VMT by TAZ'!E:E,0)</f>
        <v>223046.17</v>
      </c>
      <c r="D264" s="120">
        <f>_xlfn.XLOOKUP(B264,'Other Model Data by TAZ'!A:A,'Other Model Data by TAZ'!G:G,0)</f>
        <v>2480</v>
      </c>
      <c r="E264" s="117">
        <f>_xlfn.XLOOKUP(B264,'Model Modeshare by TAZ'!A:A,'Model Modeshare by TAZ'!E:E,0)+_xlfn.XLOOKUP(B264,'Model Modeshare by TAZ'!$A:$A,'Model Modeshare by TAZ'!F:F,0)</f>
        <v>24005.52</v>
      </c>
      <c r="F264" s="117">
        <f>_xlfn.XLOOKUP(B264,'Model Modeshare by TAZ'!A:A,'Model Modeshare by TAZ'!$G:$G,0)</f>
        <v>656.4</v>
      </c>
      <c r="G264" s="117">
        <f>_xlfn.XLOOKUP(B264,'Model Modeshare by TAZ'!A:A,'Model Modeshare by TAZ'!$J:$J,0)</f>
        <v>28868.880000000001</v>
      </c>
      <c r="H264">
        <v>0</v>
      </c>
      <c r="I264">
        <v>9209268</v>
      </c>
      <c r="O264" s="120"/>
      <c r="P264" s="120"/>
    </row>
    <row r="265" spans="1:16" x14ac:dyDescent="0.35">
      <c r="A265">
        <v>262</v>
      </c>
      <c r="B265">
        <v>1669</v>
      </c>
      <c r="C265" s="120">
        <f>_xlfn.XLOOKUP(B265,'Model VMT by TAZ'!A:A,'Model VMT by TAZ'!E:E,0)</f>
        <v>26890.77</v>
      </c>
      <c r="D265" s="120">
        <f>_xlfn.XLOOKUP(B265,'Other Model Data by TAZ'!A:A,'Other Model Data by TAZ'!G:G,0)</f>
        <v>0</v>
      </c>
      <c r="E265" s="117">
        <f>_xlfn.XLOOKUP(B265,'Model Modeshare by TAZ'!A:A,'Model Modeshare by TAZ'!E:E,0)+_xlfn.XLOOKUP(B265,'Model Modeshare by TAZ'!$A:$A,'Model Modeshare by TAZ'!F:F,0)</f>
        <v>2568.62</v>
      </c>
      <c r="F265" s="117">
        <f>_xlfn.XLOOKUP(B265,'Model Modeshare by TAZ'!A:A,'Model Modeshare by TAZ'!$G:$G,0)</f>
        <v>25.84</v>
      </c>
      <c r="G265" s="117">
        <f>_xlfn.XLOOKUP(B265,'Model Modeshare by TAZ'!A:A,'Model Modeshare by TAZ'!$J:$J,0)</f>
        <v>2765.92</v>
      </c>
      <c r="H265">
        <v>0</v>
      </c>
      <c r="I265">
        <v>7213493</v>
      </c>
      <c r="O265" s="120"/>
      <c r="P265" s="120"/>
    </row>
    <row r="266" spans="1:16" x14ac:dyDescent="0.35">
      <c r="A266">
        <v>263</v>
      </c>
      <c r="B266">
        <v>1670</v>
      </c>
      <c r="C266" s="120">
        <f>_xlfn.XLOOKUP(B266,'Model VMT by TAZ'!A:A,'Model VMT by TAZ'!E:E,0)</f>
        <v>117318.96</v>
      </c>
      <c r="D266" s="120">
        <f>_xlfn.XLOOKUP(B266,'Other Model Data by TAZ'!A:A,'Other Model Data by TAZ'!G:G,0)</f>
        <v>46</v>
      </c>
      <c r="E266" s="117">
        <f>_xlfn.XLOOKUP(B266,'Model Modeshare by TAZ'!A:A,'Model Modeshare by TAZ'!E:E,0)+_xlfn.XLOOKUP(B266,'Model Modeshare by TAZ'!$A:$A,'Model Modeshare by TAZ'!F:F,0)</f>
        <v>8774.86</v>
      </c>
      <c r="F266" s="117">
        <f>_xlfn.XLOOKUP(B266,'Model Modeshare by TAZ'!A:A,'Model Modeshare by TAZ'!$G:$G,0)</f>
        <v>373.32</v>
      </c>
      <c r="G266" s="117">
        <f>_xlfn.XLOOKUP(B266,'Model Modeshare by TAZ'!A:A,'Model Modeshare by TAZ'!$J:$J,0)</f>
        <v>10225.6</v>
      </c>
      <c r="H266">
        <v>0</v>
      </c>
      <c r="I266">
        <v>7284932</v>
      </c>
      <c r="O266" s="120"/>
      <c r="P266" s="120"/>
    </row>
    <row r="267" spans="1:16" x14ac:dyDescent="0.35">
      <c r="A267">
        <v>264</v>
      </c>
      <c r="B267">
        <v>1567</v>
      </c>
      <c r="C267" s="120">
        <f>_xlfn.XLOOKUP(B267,'Model VMT by TAZ'!A:A,'Model VMT by TAZ'!E:E,0)</f>
        <v>86429.56</v>
      </c>
      <c r="D267" s="120">
        <f>_xlfn.XLOOKUP(B267,'Other Model Data by TAZ'!A:A,'Other Model Data by TAZ'!G:G,0)</f>
        <v>1391</v>
      </c>
      <c r="E267" s="117">
        <f>_xlfn.XLOOKUP(B267,'Model Modeshare by TAZ'!A:A,'Model Modeshare by TAZ'!E:E,0)+_xlfn.XLOOKUP(B267,'Model Modeshare by TAZ'!$A:$A,'Model Modeshare by TAZ'!F:F,0)</f>
        <v>9978.32</v>
      </c>
      <c r="F267" s="117">
        <f>_xlfn.XLOOKUP(B267,'Model Modeshare by TAZ'!A:A,'Model Modeshare by TAZ'!$G:$G,0)</f>
        <v>330.24</v>
      </c>
      <c r="G267" s="117">
        <f>_xlfn.XLOOKUP(B267,'Model Modeshare by TAZ'!A:A,'Model Modeshare by TAZ'!$J:$J,0)</f>
        <v>11654.76</v>
      </c>
      <c r="H267">
        <v>0</v>
      </c>
      <c r="I267">
        <v>5405765</v>
      </c>
      <c r="O267" s="120"/>
      <c r="P267" s="120"/>
    </row>
    <row r="268" spans="1:16" x14ac:dyDescent="0.35">
      <c r="A268">
        <v>265</v>
      </c>
      <c r="B268">
        <v>1543</v>
      </c>
      <c r="C268" s="120">
        <f>_xlfn.XLOOKUP(B268,'Model VMT by TAZ'!A:A,'Model VMT by TAZ'!E:E,0)</f>
        <v>82469.490000000005</v>
      </c>
      <c r="D268" s="120">
        <f>_xlfn.XLOOKUP(B268,'Other Model Data by TAZ'!A:A,'Other Model Data by TAZ'!G:G,0)</f>
        <v>496</v>
      </c>
      <c r="E268" s="117">
        <f>_xlfn.XLOOKUP(B268,'Model Modeshare by TAZ'!A:A,'Model Modeshare by TAZ'!E:E,0)+_xlfn.XLOOKUP(B268,'Model Modeshare by TAZ'!$A:$A,'Model Modeshare by TAZ'!F:F,0)</f>
        <v>8899.0400000000009</v>
      </c>
      <c r="F268" s="117">
        <f>_xlfn.XLOOKUP(B268,'Model Modeshare by TAZ'!A:A,'Model Modeshare by TAZ'!$G:$G,0)</f>
        <v>202.92</v>
      </c>
      <c r="G268" s="117">
        <f>_xlfn.XLOOKUP(B268,'Model Modeshare by TAZ'!A:A,'Model Modeshare by TAZ'!$J:$J,0)</f>
        <v>9822</v>
      </c>
      <c r="H268">
        <v>0</v>
      </c>
      <c r="I268">
        <v>6266285</v>
      </c>
      <c r="O268" s="120"/>
      <c r="P268" s="120"/>
    </row>
    <row r="269" spans="1:16" x14ac:dyDescent="0.35">
      <c r="A269">
        <v>266</v>
      </c>
      <c r="B269">
        <v>1657</v>
      </c>
      <c r="C269" s="120">
        <f>_xlfn.XLOOKUP(B269,'Model VMT by TAZ'!A:A,'Model VMT by TAZ'!E:E,0)</f>
        <v>70504.86</v>
      </c>
      <c r="D269" s="120">
        <f>_xlfn.XLOOKUP(B269,'Other Model Data by TAZ'!A:A,'Other Model Data by TAZ'!G:G,0)</f>
        <v>2341</v>
      </c>
      <c r="E269" s="117">
        <f>_xlfn.XLOOKUP(B269,'Model Modeshare by TAZ'!A:A,'Model Modeshare by TAZ'!E:E,0)+_xlfn.XLOOKUP(B269,'Model Modeshare by TAZ'!$A:$A,'Model Modeshare by TAZ'!F:F,0)</f>
        <v>13601.48</v>
      </c>
      <c r="F269" s="117">
        <f>_xlfn.XLOOKUP(B269,'Model Modeshare by TAZ'!A:A,'Model Modeshare by TAZ'!$G:$G,0)</f>
        <v>318.86</v>
      </c>
      <c r="G269" s="117">
        <f>_xlfn.XLOOKUP(B269,'Model Modeshare by TAZ'!A:A,'Model Modeshare by TAZ'!$J:$J,0)</f>
        <v>16036.56</v>
      </c>
      <c r="H269">
        <v>0</v>
      </c>
      <c r="I269">
        <v>7033142</v>
      </c>
      <c r="O269" s="120"/>
      <c r="P269" s="120"/>
    </row>
    <row r="270" spans="1:16" x14ac:dyDescent="0.35">
      <c r="A270">
        <v>267</v>
      </c>
      <c r="B270">
        <v>1551</v>
      </c>
      <c r="C270" s="120">
        <f>_xlfn.XLOOKUP(B270,'Model VMT by TAZ'!A:A,'Model VMT by TAZ'!E:E,0)</f>
        <v>28313.52</v>
      </c>
      <c r="D270" s="120">
        <f>_xlfn.XLOOKUP(B270,'Other Model Data by TAZ'!A:A,'Other Model Data by TAZ'!G:G,0)</f>
        <v>665</v>
      </c>
      <c r="E270" s="117">
        <f>_xlfn.XLOOKUP(B270,'Model Modeshare by TAZ'!A:A,'Model Modeshare by TAZ'!E:E,0)+_xlfn.XLOOKUP(B270,'Model Modeshare by TAZ'!$A:$A,'Model Modeshare by TAZ'!F:F,0)</f>
        <v>7208.04</v>
      </c>
      <c r="F270" s="117">
        <f>_xlfn.XLOOKUP(B270,'Model Modeshare by TAZ'!A:A,'Model Modeshare by TAZ'!$G:$G,0)</f>
        <v>135.1</v>
      </c>
      <c r="G270" s="117">
        <f>_xlfn.XLOOKUP(B270,'Model Modeshare by TAZ'!A:A,'Model Modeshare by TAZ'!$J:$J,0)</f>
        <v>9470.36</v>
      </c>
      <c r="H270">
        <v>0</v>
      </c>
      <c r="I270">
        <v>2780369</v>
      </c>
      <c r="O270" s="120"/>
      <c r="P270" s="120"/>
    </row>
    <row r="271" spans="1:16" x14ac:dyDescent="0.35">
      <c r="A271">
        <v>268</v>
      </c>
      <c r="B271">
        <v>1613</v>
      </c>
      <c r="C271" s="120">
        <f>_xlfn.XLOOKUP(B271,'Model VMT by TAZ'!A:A,'Model VMT by TAZ'!E:E,0)</f>
        <v>116592.42</v>
      </c>
      <c r="D271" s="120">
        <f>_xlfn.XLOOKUP(B271,'Other Model Data by TAZ'!A:A,'Other Model Data by TAZ'!G:G,0)</f>
        <v>33</v>
      </c>
      <c r="E271" s="117">
        <f>_xlfn.XLOOKUP(B271,'Model Modeshare by TAZ'!A:A,'Model Modeshare by TAZ'!E:E,0)+_xlfn.XLOOKUP(B271,'Model Modeshare by TAZ'!$A:$A,'Model Modeshare by TAZ'!F:F,0)</f>
        <v>9509.7999999999993</v>
      </c>
      <c r="F271" s="117">
        <f>_xlfn.XLOOKUP(B271,'Model Modeshare by TAZ'!A:A,'Model Modeshare by TAZ'!$G:$G,0)</f>
        <v>241.78</v>
      </c>
      <c r="G271" s="117">
        <f>_xlfn.XLOOKUP(B271,'Model Modeshare by TAZ'!A:A,'Model Modeshare by TAZ'!$J:$J,0)</f>
        <v>10652.64</v>
      </c>
      <c r="H271">
        <v>0</v>
      </c>
      <c r="I271">
        <v>7960077</v>
      </c>
      <c r="O271" s="120"/>
      <c r="P271" s="120"/>
    </row>
    <row r="272" spans="1:16" x14ac:dyDescent="0.35">
      <c r="A272">
        <v>269</v>
      </c>
      <c r="B272">
        <v>1544</v>
      </c>
      <c r="C272" s="120">
        <f>_xlfn.XLOOKUP(B272,'Model VMT by TAZ'!A:A,'Model VMT by TAZ'!E:E,0)</f>
        <v>99436.6</v>
      </c>
      <c r="D272" s="120">
        <f>_xlfn.XLOOKUP(B272,'Other Model Data by TAZ'!A:A,'Other Model Data by TAZ'!G:G,0)</f>
        <v>380</v>
      </c>
      <c r="E272" s="117">
        <f>_xlfn.XLOOKUP(B272,'Model Modeshare by TAZ'!A:A,'Model Modeshare by TAZ'!E:E,0)+_xlfn.XLOOKUP(B272,'Model Modeshare by TAZ'!$A:$A,'Model Modeshare by TAZ'!F:F,0)</f>
        <v>8862.26</v>
      </c>
      <c r="F272" s="117">
        <f>_xlfn.XLOOKUP(B272,'Model Modeshare by TAZ'!A:A,'Model Modeshare by TAZ'!$G:$G,0)</f>
        <v>242.94</v>
      </c>
      <c r="G272" s="117">
        <f>_xlfn.XLOOKUP(B272,'Model Modeshare by TAZ'!A:A,'Model Modeshare by TAZ'!$J:$J,0)</f>
        <v>10040.780000000001</v>
      </c>
      <c r="H272">
        <v>0</v>
      </c>
      <c r="I272">
        <v>2017910</v>
      </c>
      <c r="O272" s="120"/>
      <c r="P272" s="120"/>
    </row>
    <row r="273" spans="1:16" x14ac:dyDescent="0.35">
      <c r="A273">
        <v>270</v>
      </c>
      <c r="B273">
        <v>1623</v>
      </c>
      <c r="C273" s="120">
        <f>_xlfn.XLOOKUP(B273,'Model VMT by TAZ'!A:A,'Model VMT by TAZ'!E:E,0)</f>
        <v>93722.33</v>
      </c>
      <c r="D273" s="120">
        <f>_xlfn.XLOOKUP(B273,'Other Model Data by TAZ'!A:A,'Other Model Data by TAZ'!G:G,0)</f>
        <v>2661</v>
      </c>
      <c r="E273" s="117">
        <f>_xlfn.XLOOKUP(B273,'Model Modeshare by TAZ'!A:A,'Model Modeshare by TAZ'!E:E,0)+_xlfn.XLOOKUP(B273,'Model Modeshare by TAZ'!$A:$A,'Model Modeshare by TAZ'!F:F,0)</f>
        <v>14668.04</v>
      </c>
      <c r="F273" s="117">
        <f>_xlfn.XLOOKUP(B273,'Model Modeshare by TAZ'!A:A,'Model Modeshare by TAZ'!$G:$G,0)</f>
        <v>338.62</v>
      </c>
      <c r="G273" s="117">
        <f>_xlfn.XLOOKUP(B273,'Model Modeshare by TAZ'!A:A,'Model Modeshare by TAZ'!$J:$J,0)</f>
        <v>19461.88</v>
      </c>
      <c r="H273">
        <v>0</v>
      </c>
      <c r="I273">
        <v>8020045</v>
      </c>
      <c r="O273" s="120"/>
      <c r="P273" s="120"/>
    </row>
    <row r="274" spans="1:16" x14ac:dyDescent="0.35">
      <c r="A274">
        <v>271</v>
      </c>
      <c r="B274">
        <v>2015</v>
      </c>
      <c r="C274" s="120">
        <f>_xlfn.XLOOKUP(B274,'Model VMT by TAZ'!A:A,'Model VMT by TAZ'!E:E,0)</f>
        <v>370563.71</v>
      </c>
      <c r="D274" s="120">
        <f>_xlfn.XLOOKUP(B274,'Other Model Data by TAZ'!A:A,'Other Model Data by TAZ'!G:G,0)</f>
        <v>2152</v>
      </c>
      <c r="E274" s="117">
        <f>_xlfn.XLOOKUP(B274,'Model Modeshare by TAZ'!A:A,'Model Modeshare by TAZ'!E:E,0)+_xlfn.XLOOKUP(B274,'Model Modeshare by TAZ'!$A:$A,'Model Modeshare by TAZ'!F:F,0)</f>
        <v>43229.46</v>
      </c>
      <c r="F274" s="117">
        <f>_xlfn.XLOOKUP(B274,'Model Modeshare by TAZ'!A:A,'Model Modeshare by TAZ'!$G:$G,0)</f>
        <v>1702.22</v>
      </c>
      <c r="G274" s="117">
        <f>_xlfn.XLOOKUP(B274,'Model Modeshare by TAZ'!A:A,'Model Modeshare by TAZ'!$J:$J,0)</f>
        <v>50693.34</v>
      </c>
      <c r="H274">
        <v>0</v>
      </c>
      <c r="I274">
        <v>5513959</v>
      </c>
      <c r="O274" s="120"/>
      <c r="P274" s="120"/>
    </row>
    <row r="275" spans="1:16" x14ac:dyDescent="0.35">
      <c r="A275">
        <v>272</v>
      </c>
      <c r="B275">
        <v>1602</v>
      </c>
      <c r="C275" s="120">
        <f>_xlfn.XLOOKUP(B275,'Model VMT by TAZ'!A:A,'Model VMT by TAZ'!E:E,0)</f>
        <v>0</v>
      </c>
      <c r="D275" s="120">
        <f>_xlfn.XLOOKUP(B275,'Other Model Data by TAZ'!A:A,'Other Model Data by TAZ'!G:G,0)</f>
        <v>0</v>
      </c>
      <c r="E275" s="117">
        <f>_xlfn.XLOOKUP(B275,'Model Modeshare by TAZ'!A:A,'Model Modeshare by TAZ'!E:E,0)+_xlfn.XLOOKUP(B275,'Model Modeshare by TAZ'!$A:$A,'Model Modeshare by TAZ'!F:F,0)</f>
        <v>0</v>
      </c>
      <c r="F275" s="117">
        <f>_xlfn.XLOOKUP(B275,'Model Modeshare by TAZ'!A:A,'Model Modeshare by TAZ'!$G:$G,0)</f>
        <v>0</v>
      </c>
      <c r="G275" s="117">
        <f>_xlfn.XLOOKUP(B275,'Model Modeshare by TAZ'!A:A,'Model Modeshare by TAZ'!$J:$J,0)</f>
        <v>0</v>
      </c>
      <c r="H275">
        <v>0</v>
      </c>
      <c r="I275">
        <v>8085201</v>
      </c>
      <c r="O275" s="120"/>
      <c r="P275" s="120"/>
    </row>
    <row r="276" spans="1:16" x14ac:dyDescent="0.35">
      <c r="A276">
        <v>273</v>
      </c>
      <c r="B276">
        <v>1572</v>
      </c>
      <c r="C276" s="120">
        <f>_xlfn.XLOOKUP(B276,'Model VMT by TAZ'!A:A,'Model VMT by TAZ'!E:E,0)</f>
        <v>22575.14</v>
      </c>
      <c r="D276" s="120">
        <f>_xlfn.XLOOKUP(B276,'Other Model Data by TAZ'!A:A,'Other Model Data by TAZ'!G:G,0)</f>
        <v>774</v>
      </c>
      <c r="E276" s="117">
        <f>_xlfn.XLOOKUP(B276,'Model Modeshare by TAZ'!A:A,'Model Modeshare by TAZ'!E:E,0)+_xlfn.XLOOKUP(B276,'Model Modeshare by TAZ'!$A:$A,'Model Modeshare by TAZ'!F:F,0)</f>
        <v>3442.7599999999998</v>
      </c>
      <c r="F276" s="117">
        <f>_xlfn.XLOOKUP(B276,'Model Modeshare by TAZ'!A:A,'Model Modeshare by TAZ'!$G:$G,0)</f>
        <v>124.52</v>
      </c>
      <c r="G276" s="117">
        <f>_xlfn.XLOOKUP(B276,'Model Modeshare by TAZ'!A:A,'Model Modeshare by TAZ'!$J:$J,0)</f>
        <v>4153.72</v>
      </c>
      <c r="H276">
        <v>0</v>
      </c>
      <c r="I276">
        <v>975651</v>
      </c>
      <c r="O276" s="120"/>
      <c r="P276" s="120"/>
    </row>
    <row r="277" spans="1:16" x14ac:dyDescent="0.35">
      <c r="A277">
        <v>274</v>
      </c>
      <c r="B277">
        <v>1576</v>
      </c>
      <c r="C277" s="120">
        <f>_xlfn.XLOOKUP(B277,'Model VMT by TAZ'!A:A,'Model VMT by TAZ'!E:E,0)</f>
        <v>12585.82</v>
      </c>
      <c r="D277" s="120">
        <f>_xlfn.XLOOKUP(B277,'Other Model Data by TAZ'!A:A,'Other Model Data by TAZ'!G:G,0)</f>
        <v>389</v>
      </c>
      <c r="E277" s="117">
        <f>_xlfn.XLOOKUP(B277,'Model Modeshare by TAZ'!A:A,'Model Modeshare by TAZ'!E:E,0)+_xlfn.XLOOKUP(B277,'Model Modeshare by TAZ'!$A:$A,'Model Modeshare by TAZ'!F:F,0)</f>
        <v>2822.58</v>
      </c>
      <c r="F277" s="117">
        <f>_xlfn.XLOOKUP(B277,'Model Modeshare by TAZ'!A:A,'Model Modeshare by TAZ'!$G:$G,0)</f>
        <v>101.42</v>
      </c>
      <c r="G277" s="117">
        <f>_xlfn.XLOOKUP(B277,'Model Modeshare by TAZ'!A:A,'Model Modeshare by TAZ'!$J:$J,0)</f>
        <v>3439.56</v>
      </c>
      <c r="H277">
        <v>0</v>
      </c>
      <c r="I277">
        <v>458179</v>
      </c>
      <c r="O277" s="120"/>
      <c r="P277" s="120"/>
    </row>
    <row r="278" spans="1:16" x14ac:dyDescent="0.35">
      <c r="A278">
        <v>275</v>
      </c>
      <c r="B278">
        <v>1550</v>
      </c>
      <c r="C278" s="120">
        <f>_xlfn.XLOOKUP(B278,'Model VMT by TAZ'!A:A,'Model VMT by TAZ'!E:E,0)</f>
        <v>31629.98</v>
      </c>
      <c r="D278" s="120">
        <f>_xlfn.XLOOKUP(B278,'Other Model Data by TAZ'!A:A,'Other Model Data by TAZ'!G:G,0)</f>
        <v>1876</v>
      </c>
      <c r="E278" s="117">
        <f>_xlfn.XLOOKUP(B278,'Model Modeshare by TAZ'!A:A,'Model Modeshare by TAZ'!E:E,0)+_xlfn.XLOOKUP(B278,'Model Modeshare by TAZ'!$A:$A,'Model Modeshare by TAZ'!F:F,0)</f>
        <v>6262.76</v>
      </c>
      <c r="F278" s="117">
        <f>_xlfn.XLOOKUP(B278,'Model Modeshare by TAZ'!A:A,'Model Modeshare by TAZ'!$G:$G,0)</f>
        <v>111.94</v>
      </c>
      <c r="G278" s="117">
        <f>_xlfn.XLOOKUP(B278,'Model Modeshare by TAZ'!A:A,'Model Modeshare by TAZ'!$J:$J,0)</f>
        <v>7466.8</v>
      </c>
      <c r="H278">
        <v>0</v>
      </c>
      <c r="I278">
        <v>6759801</v>
      </c>
      <c r="O278" s="120"/>
      <c r="P278" s="120"/>
    </row>
    <row r="279" spans="1:16" x14ac:dyDescent="0.35">
      <c r="A279">
        <v>276</v>
      </c>
      <c r="B279">
        <v>1548</v>
      </c>
      <c r="C279" s="120">
        <f>_xlfn.XLOOKUP(B279,'Model VMT by TAZ'!A:A,'Model VMT by TAZ'!E:E,0)</f>
        <v>31068.65</v>
      </c>
      <c r="D279" s="120">
        <f>_xlfn.XLOOKUP(B279,'Other Model Data by TAZ'!A:A,'Other Model Data by TAZ'!G:G,0)</f>
        <v>1650</v>
      </c>
      <c r="E279" s="117">
        <f>_xlfn.XLOOKUP(B279,'Model Modeshare by TAZ'!A:A,'Model Modeshare by TAZ'!E:E,0)+_xlfn.XLOOKUP(B279,'Model Modeshare by TAZ'!$A:$A,'Model Modeshare by TAZ'!F:F,0)</f>
        <v>6619.6399999999994</v>
      </c>
      <c r="F279" s="117">
        <f>_xlfn.XLOOKUP(B279,'Model Modeshare by TAZ'!A:A,'Model Modeshare by TAZ'!$G:$G,0)</f>
        <v>124.16</v>
      </c>
      <c r="G279" s="117">
        <f>_xlfn.XLOOKUP(B279,'Model Modeshare by TAZ'!A:A,'Model Modeshare by TAZ'!$J:$J,0)</f>
        <v>8226</v>
      </c>
      <c r="H279">
        <v>0</v>
      </c>
      <c r="I279">
        <v>5468937</v>
      </c>
      <c r="O279" s="120"/>
      <c r="P279" s="120"/>
    </row>
    <row r="280" spans="1:16" x14ac:dyDescent="0.35">
      <c r="A280">
        <v>277</v>
      </c>
      <c r="B280">
        <v>1549</v>
      </c>
      <c r="C280" s="120">
        <f>_xlfn.XLOOKUP(B280,'Model VMT by TAZ'!A:A,'Model VMT by TAZ'!E:E,0)</f>
        <v>361223.72</v>
      </c>
      <c r="D280" s="120">
        <f>_xlfn.XLOOKUP(B280,'Other Model Data by TAZ'!A:A,'Other Model Data by TAZ'!G:G,0)</f>
        <v>596</v>
      </c>
      <c r="E280" s="117">
        <f>_xlfn.XLOOKUP(B280,'Model Modeshare by TAZ'!A:A,'Model Modeshare by TAZ'!E:E,0)+_xlfn.XLOOKUP(B280,'Model Modeshare by TAZ'!$A:$A,'Model Modeshare by TAZ'!F:F,0)</f>
        <v>27599.78</v>
      </c>
      <c r="F280" s="117">
        <f>_xlfn.XLOOKUP(B280,'Model Modeshare by TAZ'!A:A,'Model Modeshare by TAZ'!$G:$G,0)</f>
        <v>860.72</v>
      </c>
      <c r="G280" s="117">
        <f>_xlfn.XLOOKUP(B280,'Model Modeshare by TAZ'!A:A,'Model Modeshare by TAZ'!$J:$J,0)</f>
        <v>32424.46</v>
      </c>
      <c r="H280">
        <v>0</v>
      </c>
      <c r="I280">
        <v>2939134</v>
      </c>
      <c r="O280" s="120"/>
      <c r="P280" s="120"/>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6BC4D-1369-468D-AD76-75C7D7640340}">
  <dimension ref="A1:F24"/>
  <sheetViews>
    <sheetView workbookViewId="0">
      <selection activeCell="C11" sqref="C11"/>
    </sheetView>
  </sheetViews>
  <sheetFormatPr defaultRowHeight="14.5" x14ac:dyDescent="0.35"/>
  <cols>
    <col min="1" max="1" width="23.54296875" customWidth="1"/>
    <col min="2" max="2" width="29.453125" customWidth="1"/>
    <col min="3" max="3" width="28.453125" customWidth="1"/>
    <col min="4" max="4" width="25" customWidth="1"/>
    <col min="5" max="5" width="23.26953125" customWidth="1"/>
    <col min="6" max="6" width="27.54296875" customWidth="1"/>
  </cols>
  <sheetData>
    <row r="1" spans="1:6" x14ac:dyDescent="0.35">
      <c r="A1" s="54" t="s">
        <v>405</v>
      </c>
    </row>
    <row r="2" spans="1:6" x14ac:dyDescent="0.35">
      <c r="A2" s="79"/>
      <c r="B2" s="79" t="s">
        <v>1447</v>
      </c>
      <c r="C2" s="79" t="s">
        <v>438</v>
      </c>
      <c r="D2" s="79" t="s">
        <v>1448</v>
      </c>
      <c r="E2" s="79" t="s">
        <v>1449</v>
      </c>
      <c r="F2" s="79" t="s">
        <v>1450</v>
      </c>
    </row>
    <row r="3" spans="1:6" x14ac:dyDescent="0.35">
      <c r="A3" s="54" t="s">
        <v>1451</v>
      </c>
      <c r="B3" s="99">
        <v>12.246712611175075</v>
      </c>
      <c r="C3" s="99">
        <v>17.486412714988688</v>
      </c>
      <c r="D3" s="100">
        <v>33617132.670000002</v>
      </c>
      <c r="E3" s="101">
        <v>1121841</v>
      </c>
      <c r="F3" s="99">
        <v>29.966040347963752</v>
      </c>
    </row>
    <row r="4" spans="1:6" x14ac:dyDescent="0.35">
      <c r="A4" t="s">
        <v>355</v>
      </c>
      <c r="B4" s="30">
        <v>11.261216177727142</v>
      </c>
      <c r="C4" s="30">
        <v>17.630845225027443</v>
      </c>
      <c r="D4" s="98">
        <v>259797.81</v>
      </c>
      <c r="E4" s="51">
        <v>9755</v>
      </c>
      <c r="F4" s="30">
        <v>26.632271655561251</v>
      </c>
    </row>
    <row r="5" spans="1:6" x14ac:dyDescent="0.35">
      <c r="A5" t="s">
        <v>359</v>
      </c>
      <c r="B5" s="30">
        <v>12.741897746623897</v>
      </c>
      <c r="C5" s="30">
        <v>18.458549050994744</v>
      </c>
      <c r="D5" s="98">
        <v>936486.12000000011</v>
      </c>
      <c r="E5" s="51">
        <v>33997</v>
      </c>
      <c r="F5" s="30">
        <v>27.546139953525316</v>
      </c>
    </row>
    <row r="6" spans="1:6" x14ac:dyDescent="0.35">
      <c r="A6" t="s">
        <v>362</v>
      </c>
      <c r="B6" s="30">
        <v>13.957721057429353</v>
      </c>
      <c r="C6" s="30">
        <v>14.255798427448177</v>
      </c>
      <c r="D6" s="98">
        <v>339020.16000000003</v>
      </c>
      <c r="E6" s="51">
        <v>11383</v>
      </c>
      <c r="F6" s="30">
        <v>29.783023807432137</v>
      </c>
    </row>
    <row r="7" spans="1:6" x14ac:dyDescent="0.35">
      <c r="A7" t="s">
        <v>364</v>
      </c>
      <c r="B7" s="30">
        <v>13.047674919993264</v>
      </c>
      <c r="C7" s="30">
        <v>17.561439672661006</v>
      </c>
      <c r="D7" s="98">
        <v>2172971.0499999998</v>
      </c>
      <c r="E7" s="51">
        <v>58768</v>
      </c>
      <c r="F7" s="30">
        <v>36.975412639531712</v>
      </c>
    </row>
    <row r="8" spans="1:6" x14ac:dyDescent="0.35">
      <c r="A8" t="s">
        <v>366</v>
      </c>
      <c r="B8" s="30">
        <v>7.4879619651347067</v>
      </c>
      <c r="C8" s="30">
        <v>11.841725535610886</v>
      </c>
      <c r="D8" s="98">
        <v>172959.92</v>
      </c>
      <c r="E8" s="51">
        <v>6609</v>
      </c>
      <c r="F8" s="30">
        <v>26.170361628082919</v>
      </c>
    </row>
    <row r="9" spans="1:6" x14ac:dyDescent="0.35">
      <c r="A9" t="s">
        <v>368</v>
      </c>
      <c r="B9" s="30">
        <v>10.328132239715291</v>
      </c>
      <c r="C9" s="30">
        <v>14.313592326800993</v>
      </c>
      <c r="D9" s="98">
        <v>2731437.76</v>
      </c>
      <c r="E9" s="51">
        <v>123175</v>
      </c>
      <c r="F9" s="30">
        <v>22.175260888979093</v>
      </c>
    </row>
    <row r="10" spans="1:6" x14ac:dyDescent="0.35">
      <c r="A10" t="s">
        <v>370</v>
      </c>
      <c r="B10" s="30">
        <v>10.053226034388002</v>
      </c>
      <c r="C10" s="30">
        <v>21.398396025550039</v>
      </c>
      <c r="D10" s="98">
        <v>593800.97</v>
      </c>
      <c r="E10" s="51">
        <v>28292</v>
      </c>
      <c r="F10" s="30">
        <v>20.988299519298742</v>
      </c>
    </row>
    <row r="11" spans="1:6" x14ac:dyDescent="0.35">
      <c r="A11" t="s">
        <v>372</v>
      </c>
      <c r="B11" s="30">
        <v>14.930674667009846</v>
      </c>
      <c r="C11" s="30">
        <v>18.186722155368361</v>
      </c>
      <c r="D11" s="98">
        <v>1439635.3299999998</v>
      </c>
      <c r="E11" s="51">
        <v>46040</v>
      </c>
      <c r="F11" s="30">
        <v>31.269229582971327</v>
      </c>
    </row>
    <row r="12" spans="1:6" x14ac:dyDescent="0.35">
      <c r="A12" t="s">
        <v>373</v>
      </c>
      <c r="B12" s="30">
        <v>15.84162037037037</v>
      </c>
      <c r="C12" s="30">
        <v>18.623645249158788</v>
      </c>
      <c r="D12" s="98">
        <v>649293.56000000006</v>
      </c>
      <c r="E12" s="51">
        <v>16825</v>
      </c>
      <c r="F12" s="30">
        <v>38.590999108469539</v>
      </c>
    </row>
    <row r="13" spans="1:6" x14ac:dyDescent="0.35">
      <c r="A13" t="s">
        <v>374</v>
      </c>
      <c r="B13" s="30">
        <v>15.502226625833183</v>
      </c>
      <c r="C13" s="30">
        <v>20.948057833405265</v>
      </c>
      <c r="D13" s="98">
        <v>405602.39</v>
      </c>
      <c r="E13" s="51">
        <v>13419</v>
      </c>
      <c r="F13" s="30">
        <v>30.22597734555481</v>
      </c>
    </row>
    <row r="14" spans="1:6" x14ac:dyDescent="0.35">
      <c r="A14" t="s">
        <v>375</v>
      </c>
      <c r="B14" s="30">
        <v>10.6071968397672</v>
      </c>
      <c r="C14" s="30">
        <v>18.253771142336717</v>
      </c>
      <c r="D14" s="98">
        <v>1927911.73</v>
      </c>
      <c r="E14" s="51">
        <v>66311</v>
      </c>
      <c r="F14" s="30">
        <v>29.073784590791874</v>
      </c>
    </row>
    <row r="15" spans="1:6" x14ac:dyDescent="0.35">
      <c r="A15" t="s">
        <v>376</v>
      </c>
      <c r="B15" s="30">
        <v>11.269872451231354</v>
      </c>
      <c r="C15" s="30">
        <v>17.71398940397351</v>
      </c>
      <c r="D15" s="98">
        <v>922381.79</v>
      </c>
      <c r="E15" s="51">
        <v>30208</v>
      </c>
      <c r="F15" s="30">
        <v>30.534354806673729</v>
      </c>
    </row>
    <row r="16" spans="1:6" x14ac:dyDescent="0.35">
      <c r="A16" t="s">
        <v>377</v>
      </c>
      <c r="B16" s="30">
        <v>13.994636937118312</v>
      </c>
      <c r="C16" s="30">
        <v>19.132515541740673</v>
      </c>
      <c r="D16" s="98">
        <v>918336.85</v>
      </c>
      <c r="E16" s="51">
        <v>34306</v>
      </c>
      <c r="F16" s="30">
        <v>26.768986474669152</v>
      </c>
    </row>
    <row r="17" spans="1:6" x14ac:dyDescent="0.35">
      <c r="A17" t="s">
        <v>378</v>
      </c>
      <c r="B17" s="30">
        <v>22.150326539557309</v>
      </c>
      <c r="C17" s="30">
        <v>27.519469995619797</v>
      </c>
      <c r="D17" s="98">
        <v>321889.63</v>
      </c>
      <c r="E17" s="51">
        <v>6846</v>
      </c>
      <c r="F17" s="30">
        <v>47.018643003213555</v>
      </c>
    </row>
    <row r="18" spans="1:6" x14ac:dyDescent="0.35">
      <c r="A18" t="s">
        <v>379</v>
      </c>
      <c r="B18" s="30">
        <v>11.877241895701198</v>
      </c>
      <c r="C18" s="30">
        <v>17.570046170387705</v>
      </c>
      <c r="D18" s="98">
        <v>4483578.2699999996</v>
      </c>
      <c r="E18" s="51">
        <v>142708</v>
      </c>
      <c r="F18" s="30">
        <v>31.417848123440869</v>
      </c>
    </row>
    <row r="19" spans="1:6" x14ac:dyDescent="0.35">
      <c r="A19" t="s">
        <v>380</v>
      </c>
      <c r="B19" s="30">
        <v>11.005564008575973</v>
      </c>
      <c r="C19" s="30">
        <v>16.06183969027818</v>
      </c>
      <c r="D19" s="98">
        <v>1653574.41</v>
      </c>
      <c r="E19" s="51">
        <v>57325</v>
      </c>
      <c r="F19" s="30">
        <v>28.845606803314435</v>
      </c>
    </row>
    <row r="20" spans="1:6" x14ac:dyDescent="0.35">
      <c r="A20" t="s">
        <v>381</v>
      </c>
      <c r="B20" s="30">
        <v>12.018442819058032</v>
      </c>
      <c r="C20" s="30">
        <v>16.517802607076352</v>
      </c>
      <c r="D20" s="98">
        <v>1305076.1800000002</v>
      </c>
      <c r="E20" s="51">
        <v>48053</v>
      </c>
      <c r="F20" s="30">
        <v>27.159098911618425</v>
      </c>
    </row>
    <row r="21" spans="1:6" x14ac:dyDescent="0.35">
      <c r="A21" t="s">
        <v>382</v>
      </c>
      <c r="B21" s="30">
        <v>11.86420337926806</v>
      </c>
      <c r="C21" s="30">
        <v>18.129860673296296</v>
      </c>
      <c r="D21" s="98">
        <v>5026884.5099999988</v>
      </c>
      <c r="E21" s="51">
        <v>156908</v>
      </c>
      <c r="F21" s="30">
        <v>32.037146034619006</v>
      </c>
    </row>
    <row r="22" spans="1:6" x14ac:dyDescent="0.35">
      <c r="A22" t="s">
        <v>299</v>
      </c>
      <c r="B22" s="30">
        <v>10.148034885273136</v>
      </c>
      <c r="C22" s="30">
        <v>15.991978947368422</v>
      </c>
      <c r="D22" s="98">
        <v>2922882.03</v>
      </c>
      <c r="E22" s="51">
        <v>108746</v>
      </c>
      <c r="F22" s="30">
        <v>26.878064756404832</v>
      </c>
    </row>
    <row r="23" spans="1:6" x14ac:dyDescent="0.35">
      <c r="A23" t="s">
        <v>383</v>
      </c>
      <c r="B23" s="30">
        <v>20.069526756461595</v>
      </c>
      <c r="C23" s="30">
        <v>26.312200000000001</v>
      </c>
      <c r="D23" s="98">
        <v>177631.80000000002</v>
      </c>
      <c r="E23" s="51">
        <v>3297</v>
      </c>
      <c r="F23" s="30">
        <v>53.876797088262059</v>
      </c>
    </row>
    <row r="24" spans="1:6" x14ac:dyDescent="0.35">
      <c r="A24" t="s">
        <v>1452</v>
      </c>
      <c r="B24" s="30">
        <v>16.065800983453208</v>
      </c>
      <c r="C24" s="30">
        <v>19.00757023213702</v>
      </c>
      <c r="D24" s="98">
        <v>4255980.3999999994</v>
      </c>
      <c r="E24" s="51">
        <v>118870</v>
      </c>
      <c r="F24" s="30">
        <v>35.803654412383274</v>
      </c>
    </row>
  </sheetData>
  <conditionalFormatting sqref="F3:F24">
    <cfRule type="dataBar" priority="1">
      <dataBar>
        <cfvo type="min"/>
        <cfvo type="max"/>
        <color rgb="FFFF555A"/>
      </dataBar>
      <extLst>
        <ext xmlns:x14="http://schemas.microsoft.com/office/spreadsheetml/2009/9/main" uri="{B025F937-C7B1-47D3-B67F-A62EFF666E3E}">
          <x14:id>{D47A68E9-5DF3-4951-AD4D-C60D8B310A6A}</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D47A68E9-5DF3-4951-AD4D-C60D8B310A6A}">
            <x14:dataBar minLength="0" maxLength="100" gradient="0">
              <x14:cfvo type="autoMin"/>
              <x14:cfvo type="autoMax"/>
              <x14:negativeFillColor rgb="FFFF0000"/>
              <x14:axisColor rgb="FF000000"/>
            </x14:dataBar>
          </x14:cfRule>
          <xm:sqref>F3:F24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30589-F1C4-4489-AEC8-39888AB7132B}">
  <sheetPr>
    <tabColor theme="7"/>
  </sheetPr>
  <dimension ref="A1:B383"/>
  <sheetViews>
    <sheetView workbookViewId="0">
      <selection activeCell="C11" sqref="C11"/>
    </sheetView>
  </sheetViews>
  <sheetFormatPr defaultRowHeight="14.5" x14ac:dyDescent="0.35"/>
  <cols>
    <col min="1" max="1" width="8.26953125" customWidth="1"/>
    <col min="2" max="2" width="19" customWidth="1"/>
  </cols>
  <sheetData>
    <row r="1" spans="1:2" x14ac:dyDescent="0.35">
      <c r="A1" s="54" t="s">
        <v>1453</v>
      </c>
      <c r="B1" s="68"/>
    </row>
    <row r="2" spans="1:2" x14ac:dyDescent="0.35">
      <c r="A2" s="85" t="s">
        <v>1151</v>
      </c>
      <c r="B2" s="85" t="s">
        <v>409</v>
      </c>
    </row>
    <row r="3" spans="1:2" x14ac:dyDescent="0.35">
      <c r="A3" s="6">
        <v>1584</v>
      </c>
      <c r="B3" s="6" t="s">
        <v>355</v>
      </c>
    </row>
    <row r="4" spans="1:2" x14ac:dyDescent="0.35">
      <c r="A4" s="6">
        <v>1587</v>
      </c>
      <c r="B4" s="6" t="s">
        <v>355</v>
      </c>
    </row>
    <row r="5" spans="1:2" x14ac:dyDescent="0.35">
      <c r="A5" s="6">
        <v>1633</v>
      </c>
      <c r="B5" s="6" t="s">
        <v>355</v>
      </c>
    </row>
    <row r="6" spans="1:2" x14ac:dyDescent="0.35">
      <c r="A6" s="6">
        <v>1634</v>
      </c>
      <c r="B6" s="6" t="s">
        <v>355</v>
      </c>
    </row>
    <row r="7" spans="1:2" x14ac:dyDescent="0.35">
      <c r="A7" s="6">
        <v>1684</v>
      </c>
      <c r="B7" s="6" t="s">
        <v>355</v>
      </c>
    </row>
    <row r="8" spans="1:2" x14ac:dyDescent="0.35">
      <c r="A8" s="6">
        <v>1685</v>
      </c>
      <c r="B8" s="6" t="s">
        <v>355</v>
      </c>
    </row>
    <row r="9" spans="1:2" x14ac:dyDescent="0.35">
      <c r="A9" s="6">
        <v>1686</v>
      </c>
      <c r="B9" s="6" t="s">
        <v>355</v>
      </c>
    </row>
    <row r="10" spans="1:2" x14ac:dyDescent="0.35">
      <c r="A10" s="6">
        <v>2039</v>
      </c>
      <c r="B10" s="6" t="s">
        <v>355</v>
      </c>
    </row>
    <row r="11" spans="1:2" x14ac:dyDescent="0.35">
      <c r="A11" s="6">
        <v>2042</v>
      </c>
      <c r="B11" s="6" t="s">
        <v>355</v>
      </c>
    </row>
    <row r="12" spans="1:2" x14ac:dyDescent="0.35">
      <c r="A12" s="6">
        <v>1543</v>
      </c>
      <c r="B12" s="6" t="s">
        <v>359</v>
      </c>
    </row>
    <row r="13" spans="1:2" x14ac:dyDescent="0.35">
      <c r="A13" s="6">
        <v>1551</v>
      </c>
      <c r="B13" s="6" t="s">
        <v>359</v>
      </c>
    </row>
    <row r="14" spans="1:2" x14ac:dyDescent="0.35">
      <c r="A14" s="6">
        <v>1552</v>
      </c>
      <c r="B14" s="6" t="s">
        <v>359</v>
      </c>
    </row>
    <row r="15" spans="1:2" x14ac:dyDescent="0.35">
      <c r="A15" s="6">
        <v>1553</v>
      </c>
      <c r="B15" s="6" t="s">
        <v>359</v>
      </c>
    </row>
    <row r="16" spans="1:2" x14ac:dyDescent="0.35">
      <c r="A16" s="6">
        <v>1614</v>
      </c>
      <c r="B16" s="6" t="s">
        <v>359</v>
      </c>
    </row>
    <row r="17" spans="1:2" x14ac:dyDescent="0.35">
      <c r="A17" s="6">
        <v>1657</v>
      </c>
      <c r="B17" s="6" t="s">
        <v>359</v>
      </c>
    </row>
    <row r="18" spans="1:2" x14ac:dyDescent="0.35">
      <c r="A18" s="6">
        <v>1975</v>
      </c>
      <c r="B18" s="6" t="s">
        <v>359</v>
      </c>
    </row>
    <row r="19" spans="1:2" x14ac:dyDescent="0.35">
      <c r="A19" s="6">
        <v>1986</v>
      </c>
      <c r="B19" s="6" t="s">
        <v>359</v>
      </c>
    </row>
    <row r="20" spans="1:2" x14ac:dyDescent="0.35">
      <c r="A20" s="6">
        <v>1987</v>
      </c>
      <c r="B20" s="6" t="s">
        <v>359</v>
      </c>
    </row>
    <row r="21" spans="1:2" x14ac:dyDescent="0.35">
      <c r="A21" s="6">
        <v>1989</v>
      </c>
      <c r="B21" s="6" t="s">
        <v>359</v>
      </c>
    </row>
    <row r="22" spans="1:2" x14ac:dyDescent="0.35">
      <c r="A22" s="6">
        <v>1592</v>
      </c>
      <c r="B22" s="6" t="s">
        <v>362</v>
      </c>
    </row>
    <row r="23" spans="1:2" x14ac:dyDescent="0.35">
      <c r="A23" s="6">
        <v>1636</v>
      </c>
      <c r="B23" s="6" t="s">
        <v>362</v>
      </c>
    </row>
    <row r="24" spans="1:2" x14ac:dyDescent="0.35">
      <c r="A24" s="6">
        <v>1637</v>
      </c>
      <c r="B24" s="6" t="s">
        <v>362</v>
      </c>
    </row>
    <row r="25" spans="1:2" x14ac:dyDescent="0.35">
      <c r="A25" s="6">
        <v>1638</v>
      </c>
      <c r="B25" s="6" t="s">
        <v>362</v>
      </c>
    </row>
    <row r="26" spans="1:2" x14ac:dyDescent="0.35">
      <c r="A26" s="6">
        <v>1639</v>
      </c>
      <c r="B26" s="6" t="s">
        <v>362</v>
      </c>
    </row>
    <row r="27" spans="1:2" x14ac:dyDescent="0.35">
      <c r="A27" s="6">
        <v>1529</v>
      </c>
      <c r="B27" s="6" t="s">
        <v>364</v>
      </c>
    </row>
    <row r="28" spans="1:2" x14ac:dyDescent="0.35">
      <c r="A28" s="6">
        <v>1530</v>
      </c>
      <c r="B28" s="6" t="s">
        <v>364</v>
      </c>
    </row>
    <row r="29" spans="1:2" x14ac:dyDescent="0.35">
      <c r="A29" s="6">
        <v>1531</v>
      </c>
      <c r="B29" s="6" t="s">
        <v>364</v>
      </c>
    </row>
    <row r="30" spans="1:2" x14ac:dyDescent="0.35">
      <c r="A30" s="6">
        <v>1532</v>
      </c>
      <c r="B30" s="6" t="s">
        <v>364</v>
      </c>
    </row>
    <row r="31" spans="1:2" x14ac:dyDescent="0.35">
      <c r="A31" s="6">
        <v>1533</v>
      </c>
      <c r="B31" s="6" t="s">
        <v>364</v>
      </c>
    </row>
    <row r="32" spans="1:2" x14ac:dyDescent="0.35">
      <c r="A32" s="6">
        <v>1605</v>
      </c>
      <c r="B32" s="6" t="s">
        <v>364</v>
      </c>
    </row>
    <row r="33" spans="1:2" x14ac:dyDescent="0.35">
      <c r="A33" s="6">
        <v>1606</v>
      </c>
      <c r="B33" s="6" t="s">
        <v>364</v>
      </c>
    </row>
    <row r="34" spans="1:2" x14ac:dyDescent="0.35">
      <c r="A34" s="6">
        <v>1607</v>
      </c>
      <c r="B34" s="6" t="s">
        <v>364</v>
      </c>
    </row>
    <row r="35" spans="1:2" x14ac:dyDescent="0.35">
      <c r="A35" s="6">
        <v>1652</v>
      </c>
      <c r="B35" s="6" t="s">
        <v>364</v>
      </c>
    </row>
    <row r="36" spans="1:2" x14ac:dyDescent="0.35">
      <c r="A36" s="6">
        <v>1653</v>
      </c>
      <c r="B36" s="6" t="s">
        <v>364</v>
      </c>
    </row>
    <row r="37" spans="1:2" x14ac:dyDescent="0.35">
      <c r="A37" s="6">
        <v>1946</v>
      </c>
      <c r="B37" s="6" t="s">
        <v>364</v>
      </c>
    </row>
    <row r="38" spans="1:2" x14ac:dyDescent="0.35">
      <c r="A38" s="6">
        <v>1947</v>
      </c>
      <c r="B38" s="6" t="s">
        <v>364</v>
      </c>
    </row>
    <row r="39" spans="1:2" x14ac:dyDescent="0.35">
      <c r="A39" s="6">
        <v>1948</v>
      </c>
      <c r="B39" s="6" t="s">
        <v>364</v>
      </c>
    </row>
    <row r="40" spans="1:2" x14ac:dyDescent="0.35">
      <c r="A40" s="6">
        <v>1949</v>
      </c>
      <c r="B40" s="6" t="s">
        <v>364</v>
      </c>
    </row>
    <row r="41" spans="1:2" x14ac:dyDescent="0.35">
      <c r="A41" s="6">
        <v>1950</v>
      </c>
      <c r="B41" s="6" t="s">
        <v>364</v>
      </c>
    </row>
    <row r="42" spans="1:2" x14ac:dyDescent="0.35">
      <c r="A42" s="6">
        <v>1951</v>
      </c>
      <c r="B42" s="6" t="s">
        <v>364</v>
      </c>
    </row>
    <row r="43" spans="1:2" x14ac:dyDescent="0.35">
      <c r="A43" s="6">
        <v>1497</v>
      </c>
      <c r="B43" s="6" t="s">
        <v>366</v>
      </c>
    </row>
    <row r="44" spans="1:2" x14ac:dyDescent="0.35">
      <c r="A44" s="6">
        <v>1900</v>
      </c>
      <c r="B44" s="6" t="s">
        <v>366</v>
      </c>
    </row>
    <row r="45" spans="1:2" x14ac:dyDescent="0.35">
      <c r="A45" s="6">
        <v>1491</v>
      </c>
      <c r="B45" s="6" t="s">
        <v>368</v>
      </c>
    </row>
    <row r="46" spans="1:2" x14ac:dyDescent="0.35">
      <c r="A46" s="6">
        <v>1493</v>
      </c>
      <c r="B46" s="6" t="s">
        <v>368</v>
      </c>
    </row>
    <row r="47" spans="1:2" x14ac:dyDescent="0.35">
      <c r="A47" s="6">
        <v>1494</v>
      </c>
      <c r="B47" s="6" t="s">
        <v>368</v>
      </c>
    </row>
    <row r="48" spans="1:2" x14ac:dyDescent="0.35">
      <c r="A48" s="6">
        <v>1495</v>
      </c>
      <c r="B48" s="6" t="s">
        <v>368</v>
      </c>
    </row>
    <row r="49" spans="1:2" x14ac:dyDescent="0.35">
      <c r="A49" s="6">
        <v>1496</v>
      </c>
      <c r="B49" s="6" t="s">
        <v>368</v>
      </c>
    </row>
    <row r="50" spans="1:2" x14ac:dyDescent="0.35">
      <c r="A50" s="6">
        <v>1498</v>
      </c>
      <c r="B50" s="6" t="s">
        <v>368</v>
      </c>
    </row>
    <row r="51" spans="1:2" x14ac:dyDescent="0.35">
      <c r="A51" s="6">
        <v>1499</v>
      </c>
      <c r="B51" s="6" t="s">
        <v>368</v>
      </c>
    </row>
    <row r="52" spans="1:2" x14ac:dyDescent="0.35">
      <c r="A52" s="6">
        <v>1500</v>
      </c>
      <c r="B52" s="6" t="s">
        <v>368</v>
      </c>
    </row>
    <row r="53" spans="1:2" x14ac:dyDescent="0.35">
      <c r="A53" s="6">
        <v>1501</v>
      </c>
      <c r="B53" s="6" t="s">
        <v>368</v>
      </c>
    </row>
    <row r="54" spans="1:2" x14ac:dyDescent="0.35">
      <c r="A54" s="6">
        <v>1502</v>
      </c>
      <c r="B54" s="6" t="s">
        <v>368</v>
      </c>
    </row>
    <row r="55" spans="1:2" x14ac:dyDescent="0.35">
      <c r="A55" s="6">
        <v>1503</v>
      </c>
      <c r="B55" s="6" t="s">
        <v>368</v>
      </c>
    </row>
    <row r="56" spans="1:2" x14ac:dyDescent="0.35">
      <c r="A56" s="6">
        <v>1512</v>
      </c>
      <c r="B56" s="6" t="s">
        <v>368</v>
      </c>
    </row>
    <row r="57" spans="1:2" x14ac:dyDescent="0.35">
      <c r="A57" s="6">
        <v>1589</v>
      </c>
      <c r="B57" s="6" t="s">
        <v>368</v>
      </c>
    </row>
    <row r="58" spans="1:2" x14ac:dyDescent="0.35">
      <c r="A58" s="6">
        <v>1591</v>
      </c>
      <c r="B58" s="6" t="s">
        <v>368</v>
      </c>
    </row>
    <row r="59" spans="1:2" x14ac:dyDescent="0.35">
      <c r="A59" s="6">
        <v>1892</v>
      </c>
      <c r="B59" s="6" t="s">
        <v>368</v>
      </c>
    </row>
    <row r="60" spans="1:2" x14ac:dyDescent="0.35">
      <c r="A60" s="6">
        <v>1893</v>
      </c>
      <c r="B60" s="6" t="s">
        <v>368</v>
      </c>
    </row>
    <row r="61" spans="1:2" x14ac:dyDescent="0.35">
      <c r="A61" s="6">
        <v>1894</v>
      </c>
      <c r="B61" s="6" t="s">
        <v>368</v>
      </c>
    </row>
    <row r="62" spans="1:2" x14ac:dyDescent="0.35">
      <c r="A62" s="6">
        <v>1895</v>
      </c>
      <c r="B62" s="6" t="s">
        <v>368</v>
      </c>
    </row>
    <row r="63" spans="1:2" x14ac:dyDescent="0.35">
      <c r="A63" s="6">
        <v>1896</v>
      </c>
      <c r="B63" s="6" t="s">
        <v>368</v>
      </c>
    </row>
    <row r="64" spans="1:2" x14ac:dyDescent="0.35">
      <c r="A64" s="6">
        <v>1897</v>
      </c>
      <c r="B64" s="6" t="s">
        <v>368</v>
      </c>
    </row>
    <row r="65" spans="1:2" x14ac:dyDescent="0.35">
      <c r="A65" s="6">
        <v>1898</v>
      </c>
      <c r="B65" s="6" t="s">
        <v>368</v>
      </c>
    </row>
    <row r="66" spans="1:2" x14ac:dyDescent="0.35">
      <c r="A66" s="6">
        <v>1899</v>
      </c>
      <c r="B66" s="6" t="s">
        <v>368</v>
      </c>
    </row>
    <row r="67" spans="1:2" x14ac:dyDescent="0.35">
      <c r="A67" s="6">
        <v>1901</v>
      </c>
      <c r="B67" s="6" t="s">
        <v>368</v>
      </c>
    </row>
    <row r="68" spans="1:2" x14ac:dyDescent="0.35">
      <c r="A68" s="6">
        <v>1902</v>
      </c>
      <c r="B68" s="6" t="s">
        <v>368</v>
      </c>
    </row>
    <row r="69" spans="1:2" x14ac:dyDescent="0.35">
      <c r="A69" s="6">
        <v>1903</v>
      </c>
      <c r="B69" s="6" t="s">
        <v>368</v>
      </c>
    </row>
    <row r="70" spans="1:2" x14ac:dyDescent="0.35">
      <c r="A70" s="6">
        <v>1904</v>
      </c>
      <c r="B70" s="6" t="s">
        <v>368</v>
      </c>
    </row>
    <row r="71" spans="1:2" x14ac:dyDescent="0.35">
      <c r="A71" s="6">
        <v>1905</v>
      </c>
      <c r="B71" s="6" t="s">
        <v>368</v>
      </c>
    </row>
    <row r="72" spans="1:2" x14ac:dyDescent="0.35">
      <c r="A72" s="6">
        <v>1907</v>
      </c>
      <c r="B72" s="6" t="s">
        <v>368</v>
      </c>
    </row>
    <row r="73" spans="1:2" x14ac:dyDescent="0.35">
      <c r="A73" s="6">
        <v>1918</v>
      </c>
      <c r="B73" s="6" t="s">
        <v>368</v>
      </c>
    </row>
    <row r="74" spans="1:2" x14ac:dyDescent="0.35">
      <c r="A74" s="6">
        <v>1919</v>
      </c>
      <c r="B74" s="6" t="s">
        <v>368</v>
      </c>
    </row>
    <row r="75" spans="1:2" x14ac:dyDescent="0.35">
      <c r="A75" s="6">
        <v>1579</v>
      </c>
      <c r="B75" s="6" t="s">
        <v>370</v>
      </c>
    </row>
    <row r="76" spans="1:2" x14ac:dyDescent="0.35">
      <c r="A76" s="6">
        <v>1580</v>
      </c>
      <c r="B76" s="6" t="s">
        <v>370</v>
      </c>
    </row>
    <row r="77" spans="1:2" x14ac:dyDescent="0.35">
      <c r="A77" s="6">
        <v>1632</v>
      </c>
      <c r="B77" s="6" t="s">
        <v>370</v>
      </c>
    </row>
    <row r="78" spans="1:2" x14ac:dyDescent="0.35">
      <c r="A78" s="6">
        <v>1682</v>
      </c>
      <c r="B78" s="6" t="s">
        <v>370</v>
      </c>
    </row>
    <row r="79" spans="1:2" x14ac:dyDescent="0.35">
      <c r="A79" s="6">
        <v>2033</v>
      </c>
      <c r="B79" s="6" t="s">
        <v>370</v>
      </c>
    </row>
    <row r="80" spans="1:2" x14ac:dyDescent="0.35">
      <c r="A80" s="6">
        <v>2034</v>
      </c>
      <c r="B80" s="6" t="s">
        <v>370</v>
      </c>
    </row>
    <row r="81" spans="1:2" x14ac:dyDescent="0.35">
      <c r="A81" s="6">
        <v>2035</v>
      </c>
      <c r="B81" s="6" t="s">
        <v>370</v>
      </c>
    </row>
    <row r="82" spans="1:2" x14ac:dyDescent="0.35">
      <c r="A82" s="6">
        <v>1541</v>
      </c>
      <c r="B82" s="6" t="s">
        <v>372</v>
      </c>
    </row>
    <row r="83" spans="1:2" x14ac:dyDescent="0.35">
      <c r="A83" s="6">
        <v>1612</v>
      </c>
      <c r="B83" s="6" t="s">
        <v>372</v>
      </c>
    </row>
    <row r="84" spans="1:2" x14ac:dyDescent="0.35">
      <c r="A84" s="6">
        <v>1654</v>
      </c>
      <c r="B84" s="6" t="s">
        <v>372</v>
      </c>
    </row>
    <row r="85" spans="1:2" x14ac:dyDescent="0.35">
      <c r="A85" s="6">
        <v>1655</v>
      </c>
      <c r="B85" s="6" t="s">
        <v>372</v>
      </c>
    </row>
    <row r="86" spans="1:2" x14ac:dyDescent="0.35">
      <c r="A86" s="6">
        <v>1966</v>
      </c>
      <c r="B86" s="6" t="s">
        <v>372</v>
      </c>
    </row>
    <row r="87" spans="1:2" x14ac:dyDescent="0.35">
      <c r="A87" s="6">
        <v>1967</v>
      </c>
      <c r="B87" s="6" t="s">
        <v>372</v>
      </c>
    </row>
    <row r="88" spans="1:2" x14ac:dyDescent="0.35">
      <c r="A88" s="6">
        <v>1968</v>
      </c>
      <c r="B88" s="6" t="s">
        <v>372</v>
      </c>
    </row>
    <row r="89" spans="1:2" x14ac:dyDescent="0.35">
      <c r="A89" s="6">
        <v>1969</v>
      </c>
      <c r="B89" s="6" t="s">
        <v>372</v>
      </c>
    </row>
    <row r="90" spans="1:2" x14ac:dyDescent="0.35">
      <c r="A90" s="6">
        <v>1970</v>
      </c>
      <c r="B90" s="6" t="s">
        <v>372</v>
      </c>
    </row>
    <row r="91" spans="1:2" x14ac:dyDescent="0.35">
      <c r="A91" s="6">
        <v>1971</v>
      </c>
      <c r="B91" s="6" t="s">
        <v>372</v>
      </c>
    </row>
    <row r="92" spans="1:2" x14ac:dyDescent="0.35">
      <c r="A92" s="6">
        <v>1972</v>
      </c>
      <c r="B92" s="6" t="s">
        <v>372</v>
      </c>
    </row>
    <row r="93" spans="1:2" x14ac:dyDescent="0.35">
      <c r="A93" s="6">
        <v>1973</v>
      </c>
      <c r="B93" s="6" t="s">
        <v>372</v>
      </c>
    </row>
    <row r="94" spans="1:2" x14ac:dyDescent="0.35">
      <c r="A94" s="6">
        <v>1556</v>
      </c>
      <c r="B94" s="6" t="s">
        <v>373</v>
      </c>
    </row>
    <row r="95" spans="1:2" x14ac:dyDescent="0.35">
      <c r="A95" s="6">
        <v>1557</v>
      </c>
      <c r="B95" s="6" t="s">
        <v>373</v>
      </c>
    </row>
    <row r="96" spans="1:2" x14ac:dyDescent="0.35">
      <c r="A96" s="6">
        <v>1558</v>
      </c>
      <c r="B96" s="6" t="s">
        <v>373</v>
      </c>
    </row>
    <row r="97" spans="1:2" x14ac:dyDescent="0.35">
      <c r="A97" s="6">
        <v>1534</v>
      </c>
      <c r="B97" s="6" t="s">
        <v>374</v>
      </c>
    </row>
    <row r="98" spans="1:2" x14ac:dyDescent="0.35">
      <c r="A98" s="6">
        <v>1535</v>
      </c>
      <c r="B98" s="6" t="s">
        <v>374</v>
      </c>
    </row>
    <row r="99" spans="1:2" x14ac:dyDescent="0.35">
      <c r="A99" s="6">
        <v>1608</v>
      </c>
      <c r="B99" s="6" t="s">
        <v>374</v>
      </c>
    </row>
    <row r="100" spans="1:2" x14ac:dyDescent="0.35">
      <c r="A100" s="6">
        <v>1609</v>
      </c>
      <c r="B100" s="6" t="s">
        <v>374</v>
      </c>
    </row>
    <row r="101" spans="1:2" x14ac:dyDescent="0.35">
      <c r="A101" s="6">
        <v>1952</v>
      </c>
      <c r="B101" s="6" t="s">
        <v>374</v>
      </c>
    </row>
    <row r="102" spans="1:2" x14ac:dyDescent="0.35">
      <c r="A102" s="6">
        <v>1954</v>
      </c>
      <c r="B102" s="6" t="s">
        <v>374</v>
      </c>
    </row>
    <row r="103" spans="1:2" x14ac:dyDescent="0.35">
      <c r="A103" s="6">
        <v>1631</v>
      </c>
      <c r="B103" s="6" t="s">
        <v>375</v>
      </c>
    </row>
    <row r="104" spans="1:2" x14ac:dyDescent="0.35">
      <c r="A104" s="6">
        <v>2032</v>
      </c>
      <c r="B104" s="6" t="s">
        <v>375</v>
      </c>
    </row>
    <row r="105" spans="1:2" x14ac:dyDescent="0.35">
      <c r="A105" s="6">
        <v>1577</v>
      </c>
      <c r="B105" s="6" t="s">
        <v>375</v>
      </c>
    </row>
    <row r="106" spans="1:2" x14ac:dyDescent="0.35">
      <c r="A106" s="6">
        <v>1578</v>
      </c>
      <c r="B106" s="6" t="s">
        <v>375</v>
      </c>
    </row>
    <row r="107" spans="1:2" x14ac:dyDescent="0.35">
      <c r="A107" s="6">
        <v>1581</v>
      </c>
      <c r="B107" s="6" t="s">
        <v>375</v>
      </c>
    </row>
    <row r="108" spans="1:2" x14ac:dyDescent="0.35">
      <c r="A108" s="6">
        <v>1582</v>
      </c>
      <c r="B108" s="6" t="s">
        <v>375</v>
      </c>
    </row>
    <row r="109" spans="1:2" x14ac:dyDescent="0.35">
      <c r="A109" s="6">
        <v>1583</v>
      </c>
      <c r="B109" s="6" t="s">
        <v>375</v>
      </c>
    </row>
    <row r="110" spans="1:2" x14ac:dyDescent="0.35">
      <c r="A110" s="6">
        <v>1585</v>
      </c>
      <c r="B110" s="6" t="s">
        <v>375</v>
      </c>
    </row>
    <row r="111" spans="1:2" x14ac:dyDescent="0.35">
      <c r="A111" s="6">
        <v>1586</v>
      </c>
      <c r="B111" s="6" t="s">
        <v>375</v>
      </c>
    </row>
    <row r="112" spans="1:2" x14ac:dyDescent="0.35">
      <c r="A112" s="6">
        <v>1588</v>
      </c>
      <c r="B112" s="6" t="s">
        <v>375</v>
      </c>
    </row>
    <row r="113" spans="1:2" x14ac:dyDescent="0.35">
      <c r="A113" s="6">
        <v>1630</v>
      </c>
      <c r="B113" s="6" t="s">
        <v>375</v>
      </c>
    </row>
    <row r="114" spans="1:2" x14ac:dyDescent="0.35">
      <c r="A114" s="6">
        <v>1635</v>
      </c>
      <c r="B114" s="6" t="s">
        <v>375</v>
      </c>
    </row>
    <row r="115" spans="1:2" x14ac:dyDescent="0.35">
      <c r="A115" s="6">
        <v>1681</v>
      </c>
      <c r="B115" s="6" t="s">
        <v>375</v>
      </c>
    </row>
    <row r="116" spans="1:2" x14ac:dyDescent="0.35">
      <c r="A116" s="6">
        <v>1683</v>
      </c>
      <c r="B116" s="6" t="s">
        <v>375</v>
      </c>
    </row>
    <row r="117" spans="1:2" x14ac:dyDescent="0.35">
      <c r="A117" s="6">
        <v>2031</v>
      </c>
      <c r="B117" s="6" t="s">
        <v>375</v>
      </c>
    </row>
    <row r="118" spans="1:2" x14ac:dyDescent="0.35">
      <c r="A118" s="6">
        <v>2036</v>
      </c>
      <c r="B118" s="6" t="s">
        <v>375</v>
      </c>
    </row>
    <row r="119" spans="1:2" x14ac:dyDescent="0.35">
      <c r="A119" s="6">
        <v>2038</v>
      </c>
      <c r="B119" s="6" t="s">
        <v>375</v>
      </c>
    </row>
    <row r="120" spans="1:2" x14ac:dyDescent="0.35">
      <c r="A120" s="6">
        <v>2040</v>
      </c>
      <c r="B120" s="6" t="s">
        <v>375</v>
      </c>
    </row>
    <row r="121" spans="1:2" x14ac:dyDescent="0.35">
      <c r="A121" s="6">
        <v>2041</v>
      </c>
      <c r="B121" s="6" t="s">
        <v>375</v>
      </c>
    </row>
    <row r="122" spans="1:2" x14ac:dyDescent="0.35">
      <c r="A122" s="6">
        <v>2043</v>
      </c>
      <c r="B122" s="6" t="s">
        <v>375</v>
      </c>
    </row>
    <row r="123" spans="1:2" x14ac:dyDescent="0.35">
      <c r="A123" s="6">
        <v>2044</v>
      </c>
      <c r="B123" s="6" t="s">
        <v>375</v>
      </c>
    </row>
    <row r="124" spans="1:2" x14ac:dyDescent="0.35">
      <c r="A124" s="6">
        <v>1527</v>
      </c>
      <c r="B124" s="6" t="s">
        <v>376</v>
      </c>
    </row>
    <row r="125" spans="1:2" x14ac:dyDescent="0.35">
      <c r="A125" s="6">
        <v>1528</v>
      </c>
      <c r="B125" s="6" t="s">
        <v>376</v>
      </c>
    </row>
    <row r="126" spans="1:2" x14ac:dyDescent="0.35">
      <c r="A126" s="6">
        <v>1603</v>
      </c>
      <c r="B126" s="6" t="s">
        <v>376</v>
      </c>
    </row>
    <row r="127" spans="1:2" x14ac:dyDescent="0.35">
      <c r="A127" s="6">
        <v>1650</v>
      </c>
      <c r="B127" s="6" t="s">
        <v>376</v>
      </c>
    </row>
    <row r="128" spans="1:2" x14ac:dyDescent="0.35">
      <c r="A128" s="6">
        <v>1651</v>
      </c>
      <c r="B128" s="6" t="s">
        <v>376</v>
      </c>
    </row>
    <row r="129" spans="1:2" x14ac:dyDescent="0.35">
      <c r="A129" s="6">
        <v>1940</v>
      </c>
      <c r="B129" s="6" t="s">
        <v>376</v>
      </c>
    </row>
    <row r="130" spans="1:2" x14ac:dyDescent="0.35">
      <c r="A130" s="6">
        <v>1941</v>
      </c>
      <c r="B130" s="6" t="s">
        <v>376</v>
      </c>
    </row>
    <row r="131" spans="1:2" x14ac:dyDescent="0.35">
      <c r="A131" s="6">
        <v>1942</v>
      </c>
      <c r="B131" s="6" t="s">
        <v>376</v>
      </c>
    </row>
    <row r="132" spans="1:2" x14ac:dyDescent="0.35">
      <c r="A132" s="6">
        <v>1943</v>
      </c>
      <c r="B132" s="6" t="s">
        <v>376</v>
      </c>
    </row>
    <row r="133" spans="1:2" x14ac:dyDescent="0.35">
      <c r="A133" s="6">
        <v>1944</v>
      </c>
      <c r="B133" s="6" t="s">
        <v>376</v>
      </c>
    </row>
    <row r="134" spans="1:2" x14ac:dyDescent="0.35">
      <c r="A134" s="6">
        <v>1945</v>
      </c>
      <c r="B134" s="6" t="s">
        <v>376</v>
      </c>
    </row>
    <row r="135" spans="1:2" x14ac:dyDescent="0.35">
      <c r="A135" s="6">
        <v>1513</v>
      </c>
      <c r="B135" s="6" t="s">
        <v>377</v>
      </c>
    </row>
    <row r="136" spans="1:2" x14ac:dyDescent="0.35">
      <c r="A136" s="6">
        <v>1514</v>
      </c>
      <c r="B136" s="6" t="s">
        <v>377</v>
      </c>
    </row>
    <row r="137" spans="1:2" x14ac:dyDescent="0.35">
      <c r="A137" s="6">
        <v>1515</v>
      </c>
      <c r="B137" s="6" t="s">
        <v>377</v>
      </c>
    </row>
    <row r="138" spans="1:2" x14ac:dyDescent="0.35">
      <c r="A138" s="6">
        <v>1516</v>
      </c>
      <c r="B138" s="6" t="s">
        <v>377</v>
      </c>
    </row>
    <row r="139" spans="1:2" x14ac:dyDescent="0.35">
      <c r="A139" s="6">
        <v>1517</v>
      </c>
      <c r="B139" s="6" t="s">
        <v>377</v>
      </c>
    </row>
    <row r="140" spans="1:2" x14ac:dyDescent="0.35">
      <c r="A140" s="6">
        <v>1518</v>
      </c>
      <c r="B140" s="6" t="s">
        <v>377</v>
      </c>
    </row>
    <row r="141" spans="1:2" x14ac:dyDescent="0.35">
      <c r="A141" s="6">
        <v>1597</v>
      </c>
      <c r="B141" s="6" t="s">
        <v>377</v>
      </c>
    </row>
    <row r="142" spans="1:2" x14ac:dyDescent="0.35">
      <c r="A142" s="6">
        <v>1920</v>
      </c>
      <c r="B142" s="6" t="s">
        <v>377</v>
      </c>
    </row>
    <row r="143" spans="1:2" x14ac:dyDescent="0.35">
      <c r="A143" s="6">
        <v>1921</v>
      </c>
      <c r="B143" s="6" t="s">
        <v>377</v>
      </c>
    </row>
    <row r="144" spans="1:2" x14ac:dyDescent="0.35">
      <c r="A144" s="6">
        <v>1922</v>
      </c>
      <c r="B144" s="6" t="s">
        <v>377</v>
      </c>
    </row>
    <row r="145" spans="1:2" x14ac:dyDescent="0.35">
      <c r="A145" s="6">
        <v>1923</v>
      </c>
      <c r="B145" s="6" t="s">
        <v>377</v>
      </c>
    </row>
    <row r="146" spans="1:2" x14ac:dyDescent="0.35">
      <c r="A146" s="6">
        <v>1924</v>
      </c>
      <c r="B146" s="6" t="s">
        <v>377</v>
      </c>
    </row>
    <row r="147" spans="1:2" x14ac:dyDescent="0.35">
      <c r="A147" s="6">
        <v>1927</v>
      </c>
      <c r="B147" s="6" t="s">
        <v>377</v>
      </c>
    </row>
    <row r="148" spans="1:2" x14ac:dyDescent="0.35">
      <c r="A148" s="6">
        <v>1620</v>
      </c>
      <c r="B148" s="6" t="s">
        <v>378</v>
      </c>
    </row>
    <row r="149" spans="1:2" x14ac:dyDescent="0.35">
      <c r="A149" s="6">
        <v>1998</v>
      </c>
      <c r="B149" s="6" t="s">
        <v>378</v>
      </c>
    </row>
    <row r="150" spans="1:2" x14ac:dyDescent="0.35">
      <c r="A150" s="6">
        <v>1562</v>
      </c>
      <c r="B150" s="6" t="s">
        <v>379</v>
      </c>
    </row>
    <row r="151" spans="1:2" x14ac:dyDescent="0.35">
      <c r="A151" s="6">
        <v>1563</v>
      </c>
      <c r="B151" s="6" t="s">
        <v>379</v>
      </c>
    </row>
    <row r="152" spans="1:2" x14ac:dyDescent="0.35">
      <c r="A152" s="6">
        <v>1568</v>
      </c>
      <c r="B152" s="6" t="s">
        <v>379</v>
      </c>
    </row>
    <row r="153" spans="1:2" x14ac:dyDescent="0.35">
      <c r="A153" s="6">
        <v>1569</v>
      </c>
      <c r="B153" s="6" t="s">
        <v>379</v>
      </c>
    </row>
    <row r="154" spans="1:2" x14ac:dyDescent="0.35">
      <c r="A154" s="6">
        <v>1570</v>
      </c>
      <c r="B154" s="6" t="s">
        <v>379</v>
      </c>
    </row>
    <row r="155" spans="1:2" x14ac:dyDescent="0.35">
      <c r="A155" s="6">
        <v>1571</v>
      </c>
      <c r="B155" s="6" t="s">
        <v>379</v>
      </c>
    </row>
    <row r="156" spans="1:2" x14ac:dyDescent="0.35">
      <c r="A156" s="6">
        <v>1572</v>
      </c>
      <c r="B156" s="6" t="s">
        <v>379</v>
      </c>
    </row>
    <row r="157" spans="1:2" x14ac:dyDescent="0.35">
      <c r="A157" s="6">
        <v>1573</v>
      </c>
      <c r="B157" s="6" t="s">
        <v>379</v>
      </c>
    </row>
    <row r="158" spans="1:2" x14ac:dyDescent="0.35">
      <c r="A158" s="6">
        <v>1574</v>
      </c>
      <c r="B158" s="6" t="s">
        <v>379</v>
      </c>
    </row>
    <row r="159" spans="1:2" x14ac:dyDescent="0.35">
      <c r="A159" s="6">
        <v>1575</v>
      </c>
      <c r="B159" s="6" t="s">
        <v>379</v>
      </c>
    </row>
    <row r="160" spans="1:2" x14ac:dyDescent="0.35">
      <c r="A160" s="6">
        <v>1576</v>
      </c>
      <c r="B160" s="6" t="s">
        <v>379</v>
      </c>
    </row>
    <row r="161" spans="1:2" x14ac:dyDescent="0.35">
      <c r="A161" s="6">
        <v>1622</v>
      </c>
      <c r="B161" s="6" t="s">
        <v>379</v>
      </c>
    </row>
    <row r="162" spans="1:2" x14ac:dyDescent="0.35">
      <c r="A162" s="6">
        <v>1625</v>
      </c>
      <c r="B162" s="6" t="s">
        <v>379</v>
      </c>
    </row>
    <row r="163" spans="1:2" x14ac:dyDescent="0.35">
      <c r="A163" s="6">
        <v>1626</v>
      </c>
      <c r="B163" s="6" t="s">
        <v>379</v>
      </c>
    </row>
    <row r="164" spans="1:2" x14ac:dyDescent="0.35">
      <c r="A164" s="6">
        <v>1627</v>
      </c>
      <c r="B164" s="6" t="s">
        <v>379</v>
      </c>
    </row>
    <row r="165" spans="1:2" x14ac:dyDescent="0.35">
      <c r="A165" s="6">
        <v>1628</v>
      </c>
      <c r="B165" s="6" t="s">
        <v>379</v>
      </c>
    </row>
    <row r="166" spans="1:2" x14ac:dyDescent="0.35">
      <c r="A166" s="6">
        <v>1629</v>
      </c>
      <c r="B166" s="6" t="s">
        <v>379</v>
      </c>
    </row>
    <row r="167" spans="1:2" x14ac:dyDescent="0.35">
      <c r="A167" s="6">
        <v>1671</v>
      </c>
      <c r="B167" s="6" t="s">
        <v>379</v>
      </c>
    </row>
    <row r="168" spans="1:2" x14ac:dyDescent="0.35">
      <c r="A168" s="6">
        <v>1672</v>
      </c>
      <c r="B168" s="6" t="s">
        <v>379</v>
      </c>
    </row>
    <row r="169" spans="1:2" x14ac:dyDescent="0.35">
      <c r="A169" s="6">
        <v>1673</v>
      </c>
      <c r="B169" s="6" t="s">
        <v>379</v>
      </c>
    </row>
    <row r="170" spans="1:2" x14ac:dyDescent="0.35">
      <c r="A170" s="6">
        <v>1674</v>
      </c>
      <c r="B170" s="6" t="s">
        <v>379</v>
      </c>
    </row>
    <row r="171" spans="1:2" x14ac:dyDescent="0.35">
      <c r="A171" s="6">
        <v>1675</v>
      </c>
      <c r="B171" s="6" t="s">
        <v>379</v>
      </c>
    </row>
    <row r="172" spans="1:2" x14ac:dyDescent="0.35">
      <c r="A172" s="6">
        <v>1676</v>
      </c>
      <c r="B172" s="6" t="s">
        <v>379</v>
      </c>
    </row>
    <row r="173" spans="1:2" x14ac:dyDescent="0.35">
      <c r="A173" s="6">
        <v>1677</v>
      </c>
      <c r="B173" s="6" t="s">
        <v>379</v>
      </c>
    </row>
    <row r="174" spans="1:2" x14ac:dyDescent="0.35">
      <c r="A174" s="6">
        <v>1678</v>
      </c>
      <c r="B174" s="6" t="s">
        <v>379</v>
      </c>
    </row>
    <row r="175" spans="1:2" x14ac:dyDescent="0.35">
      <c r="A175" s="6">
        <v>1679</v>
      </c>
      <c r="B175" s="6" t="s">
        <v>379</v>
      </c>
    </row>
    <row r="176" spans="1:2" x14ac:dyDescent="0.35">
      <c r="A176" s="6">
        <v>1680</v>
      </c>
      <c r="B176" s="6" t="s">
        <v>379</v>
      </c>
    </row>
    <row r="177" spans="1:2" x14ac:dyDescent="0.35">
      <c r="A177" s="6">
        <v>2001</v>
      </c>
      <c r="B177" s="6" t="s">
        <v>379</v>
      </c>
    </row>
    <row r="178" spans="1:2" x14ac:dyDescent="0.35">
      <c r="A178" s="6">
        <v>2003</v>
      </c>
      <c r="B178" s="6" t="s">
        <v>379</v>
      </c>
    </row>
    <row r="179" spans="1:2" x14ac:dyDescent="0.35">
      <c r="A179" s="6">
        <v>2011</v>
      </c>
      <c r="B179" s="6" t="s">
        <v>379</v>
      </c>
    </row>
    <row r="180" spans="1:2" x14ac:dyDescent="0.35">
      <c r="A180" s="6">
        <v>2012</v>
      </c>
      <c r="B180" s="6" t="s">
        <v>379</v>
      </c>
    </row>
    <row r="181" spans="1:2" x14ac:dyDescent="0.35">
      <c r="A181" s="6">
        <v>2013</v>
      </c>
      <c r="B181" s="6" t="s">
        <v>379</v>
      </c>
    </row>
    <row r="182" spans="1:2" x14ac:dyDescent="0.35">
      <c r="A182" s="6">
        <v>2014</v>
      </c>
      <c r="B182" s="6" t="s">
        <v>379</v>
      </c>
    </row>
    <row r="183" spans="1:2" x14ac:dyDescent="0.35">
      <c r="A183" s="6">
        <v>2015</v>
      </c>
      <c r="B183" s="6" t="s">
        <v>379</v>
      </c>
    </row>
    <row r="184" spans="1:2" x14ac:dyDescent="0.35">
      <c r="A184" s="6">
        <v>2016</v>
      </c>
      <c r="B184" s="6" t="s">
        <v>379</v>
      </c>
    </row>
    <row r="185" spans="1:2" x14ac:dyDescent="0.35">
      <c r="A185" s="6">
        <v>2017</v>
      </c>
      <c r="B185" s="6" t="s">
        <v>379</v>
      </c>
    </row>
    <row r="186" spans="1:2" x14ac:dyDescent="0.35">
      <c r="A186" s="6">
        <v>2019</v>
      </c>
      <c r="B186" s="6" t="s">
        <v>379</v>
      </c>
    </row>
    <row r="187" spans="1:2" x14ac:dyDescent="0.35">
      <c r="A187" s="6">
        <v>2020</v>
      </c>
      <c r="B187" s="6" t="s">
        <v>379</v>
      </c>
    </row>
    <row r="188" spans="1:2" x14ac:dyDescent="0.35">
      <c r="A188" s="6">
        <v>2021</v>
      </c>
      <c r="B188" s="6" t="s">
        <v>379</v>
      </c>
    </row>
    <row r="189" spans="1:2" x14ac:dyDescent="0.35">
      <c r="A189" s="6">
        <v>2023</v>
      </c>
      <c r="B189" s="6" t="s">
        <v>379</v>
      </c>
    </row>
    <row r="190" spans="1:2" x14ac:dyDescent="0.35">
      <c r="A190" s="6">
        <v>2024</v>
      </c>
      <c r="B190" s="6" t="s">
        <v>379</v>
      </c>
    </row>
    <row r="191" spans="1:2" x14ac:dyDescent="0.35">
      <c r="A191" s="6">
        <v>2025</v>
      </c>
      <c r="B191" s="6" t="s">
        <v>379</v>
      </c>
    </row>
    <row r="192" spans="1:2" x14ac:dyDescent="0.35">
      <c r="A192" s="6">
        <v>2026</v>
      </c>
      <c r="B192" s="6" t="s">
        <v>379</v>
      </c>
    </row>
    <row r="193" spans="1:2" x14ac:dyDescent="0.35">
      <c r="A193" s="6">
        <v>2030</v>
      </c>
      <c r="B193" s="6" t="s">
        <v>379</v>
      </c>
    </row>
    <row r="194" spans="1:2" x14ac:dyDescent="0.35">
      <c r="A194" s="6">
        <v>1519</v>
      </c>
      <c r="B194" s="6" t="s">
        <v>380</v>
      </c>
    </row>
    <row r="195" spans="1:2" x14ac:dyDescent="0.35">
      <c r="A195" s="6">
        <v>1520</v>
      </c>
      <c r="B195" s="6" t="s">
        <v>380</v>
      </c>
    </row>
    <row r="196" spans="1:2" x14ac:dyDescent="0.35">
      <c r="A196" s="6">
        <v>1521</v>
      </c>
      <c r="B196" s="6" t="s">
        <v>380</v>
      </c>
    </row>
    <row r="197" spans="1:2" x14ac:dyDescent="0.35">
      <c r="A197" s="6">
        <v>1522</v>
      </c>
      <c r="B197" s="6" t="s">
        <v>380</v>
      </c>
    </row>
    <row r="198" spans="1:2" x14ac:dyDescent="0.35">
      <c r="A198" s="6">
        <v>1523</v>
      </c>
      <c r="B198" s="6" t="s">
        <v>380</v>
      </c>
    </row>
    <row r="199" spans="1:2" x14ac:dyDescent="0.35">
      <c r="A199" s="6">
        <v>1524</v>
      </c>
      <c r="B199" s="6" t="s">
        <v>380</v>
      </c>
    </row>
    <row r="200" spans="1:2" x14ac:dyDescent="0.35">
      <c r="A200" s="6">
        <v>1525</v>
      </c>
      <c r="B200" s="6" t="s">
        <v>380</v>
      </c>
    </row>
    <row r="201" spans="1:2" x14ac:dyDescent="0.35">
      <c r="A201" s="6">
        <v>1598</v>
      </c>
      <c r="B201" s="6" t="s">
        <v>380</v>
      </c>
    </row>
    <row r="202" spans="1:2" x14ac:dyDescent="0.35">
      <c r="A202" s="6">
        <v>1599</v>
      </c>
      <c r="B202" s="6" t="s">
        <v>380</v>
      </c>
    </row>
    <row r="203" spans="1:2" x14ac:dyDescent="0.35">
      <c r="A203" s="6">
        <v>1600</v>
      </c>
      <c r="B203" s="6" t="s">
        <v>380</v>
      </c>
    </row>
    <row r="204" spans="1:2" x14ac:dyDescent="0.35">
      <c r="A204" s="6">
        <v>1645</v>
      </c>
      <c r="B204" s="6" t="s">
        <v>380</v>
      </c>
    </row>
    <row r="205" spans="1:2" x14ac:dyDescent="0.35">
      <c r="A205" s="6">
        <v>1646</v>
      </c>
      <c r="B205" s="6" t="s">
        <v>380</v>
      </c>
    </row>
    <row r="206" spans="1:2" x14ac:dyDescent="0.35">
      <c r="A206" s="6">
        <v>1647</v>
      </c>
      <c r="B206" s="6" t="s">
        <v>380</v>
      </c>
    </row>
    <row r="207" spans="1:2" x14ac:dyDescent="0.35">
      <c r="A207" s="6">
        <v>1929</v>
      </c>
      <c r="B207" s="6" t="s">
        <v>380</v>
      </c>
    </row>
    <row r="208" spans="1:2" x14ac:dyDescent="0.35">
      <c r="A208" s="6">
        <v>1932</v>
      </c>
      <c r="B208" s="6" t="s">
        <v>380</v>
      </c>
    </row>
    <row r="209" spans="1:2" x14ac:dyDescent="0.35">
      <c r="A209" s="6">
        <v>1933</v>
      </c>
      <c r="B209" s="6" t="s">
        <v>380</v>
      </c>
    </row>
    <row r="210" spans="1:2" x14ac:dyDescent="0.35">
      <c r="A210" s="6">
        <v>1934</v>
      </c>
      <c r="B210" s="6" t="s">
        <v>380</v>
      </c>
    </row>
    <row r="211" spans="1:2" x14ac:dyDescent="0.35">
      <c r="A211" s="6">
        <v>1935</v>
      </c>
      <c r="B211" s="6" t="s">
        <v>380</v>
      </c>
    </row>
    <row r="212" spans="1:2" x14ac:dyDescent="0.35">
      <c r="A212" s="6">
        <v>1936</v>
      </c>
      <c r="B212" s="6" t="s">
        <v>380</v>
      </c>
    </row>
    <row r="213" spans="1:2" x14ac:dyDescent="0.35">
      <c r="A213" s="6">
        <v>1937</v>
      </c>
      <c r="B213" s="6" t="s">
        <v>380</v>
      </c>
    </row>
    <row r="214" spans="1:2" x14ac:dyDescent="0.35">
      <c r="A214" s="6">
        <v>1938</v>
      </c>
      <c r="B214" s="6" t="s">
        <v>380</v>
      </c>
    </row>
    <row r="215" spans="1:2" x14ac:dyDescent="0.35">
      <c r="A215" s="6">
        <v>1564</v>
      </c>
      <c r="B215" s="6" t="s">
        <v>381</v>
      </c>
    </row>
    <row r="216" spans="1:2" x14ac:dyDescent="0.35">
      <c r="A216" s="6">
        <v>1565</v>
      </c>
      <c r="B216" s="6" t="s">
        <v>381</v>
      </c>
    </row>
    <row r="217" spans="1:2" x14ac:dyDescent="0.35">
      <c r="A217" s="6">
        <v>1566</v>
      </c>
      <c r="B217" s="6" t="s">
        <v>381</v>
      </c>
    </row>
    <row r="218" spans="1:2" x14ac:dyDescent="0.35">
      <c r="A218" s="6">
        <v>1567</v>
      </c>
      <c r="B218" s="6" t="s">
        <v>381</v>
      </c>
    </row>
    <row r="219" spans="1:2" x14ac:dyDescent="0.35">
      <c r="A219" s="6">
        <v>1623</v>
      </c>
      <c r="B219" s="6" t="s">
        <v>381</v>
      </c>
    </row>
    <row r="220" spans="1:2" x14ac:dyDescent="0.35">
      <c r="A220" s="6">
        <v>1624</v>
      </c>
      <c r="B220" s="6" t="s">
        <v>381</v>
      </c>
    </row>
    <row r="221" spans="1:2" x14ac:dyDescent="0.35">
      <c r="A221" s="6">
        <v>1669</v>
      </c>
      <c r="B221" s="6" t="s">
        <v>381</v>
      </c>
    </row>
    <row r="222" spans="1:2" x14ac:dyDescent="0.35">
      <c r="A222" s="6">
        <v>1670</v>
      </c>
      <c r="B222" s="6" t="s">
        <v>381</v>
      </c>
    </row>
    <row r="223" spans="1:2" x14ac:dyDescent="0.35">
      <c r="A223" s="6">
        <v>2005</v>
      </c>
      <c r="B223" s="6" t="s">
        <v>381</v>
      </c>
    </row>
    <row r="224" spans="1:2" x14ac:dyDescent="0.35">
      <c r="A224" s="6">
        <v>2006</v>
      </c>
      <c r="B224" s="6" t="s">
        <v>381</v>
      </c>
    </row>
    <row r="225" spans="1:2" x14ac:dyDescent="0.35">
      <c r="A225" s="6">
        <v>2007</v>
      </c>
      <c r="B225" s="6" t="s">
        <v>381</v>
      </c>
    </row>
    <row r="226" spans="1:2" x14ac:dyDescent="0.35">
      <c r="A226" s="6">
        <v>2008</v>
      </c>
      <c r="B226" s="6" t="s">
        <v>381</v>
      </c>
    </row>
    <row r="227" spans="1:2" x14ac:dyDescent="0.35">
      <c r="A227" s="6">
        <v>2009</v>
      </c>
      <c r="B227" s="6" t="s">
        <v>381</v>
      </c>
    </row>
    <row r="228" spans="1:2" x14ac:dyDescent="0.35">
      <c r="A228" s="6">
        <v>2010</v>
      </c>
      <c r="B228" s="6" t="s">
        <v>381</v>
      </c>
    </row>
    <row r="229" spans="1:2" x14ac:dyDescent="0.35">
      <c r="A229" s="6">
        <v>2018</v>
      </c>
      <c r="B229" s="6" t="s">
        <v>381</v>
      </c>
    </row>
    <row r="230" spans="1:2" x14ac:dyDescent="0.35">
      <c r="A230" s="6">
        <v>1536</v>
      </c>
      <c r="B230" s="6" t="s">
        <v>382</v>
      </c>
    </row>
    <row r="231" spans="1:2" x14ac:dyDescent="0.35">
      <c r="A231" s="6">
        <v>1537</v>
      </c>
      <c r="B231" s="6" t="s">
        <v>382</v>
      </c>
    </row>
    <row r="232" spans="1:2" x14ac:dyDescent="0.35">
      <c r="A232" s="6">
        <v>1538</v>
      </c>
      <c r="B232" s="6" t="s">
        <v>382</v>
      </c>
    </row>
    <row r="233" spans="1:2" x14ac:dyDescent="0.35">
      <c r="A233" s="6">
        <v>1539</v>
      </c>
      <c r="B233" s="6" t="s">
        <v>382</v>
      </c>
    </row>
    <row r="234" spans="1:2" x14ac:dyDescent="0.35">
      <c r="A234" s="6">
        <v>1540</v>
      </c>
      <c r="B234" s="6" t="s">
        <v>382</v>
      </c>
    </row>
    <row r="235" spans="1:2" x14ac:dyDescent="0.35">
      <c r="A235" s="6">
        <v>1542</v>
      </c>
      <c r="B235" s="6" t="s">
        <v>382</v>
      </c>
    </row>
    <row r="236" spans="1:2" x14ac:dyDescent="0.35">
      <c r="A236" s="6">
        <v>1544</v>
      </c>
      <c r="B236" s="6" t="s">
        <v>382</v>
      </c>
    </row>
    <row r="237" spans="1:2" x14ac:dyDescent="0.35">
      <c r="A237" s="6">
        <v>1545</v>
      </c>
      <c r="B237" s="6" t="s">
        <v>382</v>
      </c>
    </row>
    <row r="238" spans="1:2" x14ac:dyDescent="0.35">
      <c r="A238" s="6">
        <v>1546</v>
      </c>
      <c r="B238" s="6" t="s">
        <v>382</v>
      </c>
    </row>
    <row r="239" spans="1:2" x14ac:dyDescent="0.35">
      <c r="A239" s="6">
        <v>1547</v>
      </c>
      <c r="B239" s="6" t="s">
        <v>382</v>
      </c>
    </row>
    <row r="240" spans="1:2" x14ac:dyDescent="0.35">
      <c r="A240" s="6">
        <v>1548</v>
      </c>
      <c r="B240" s="6" t="s">
        <v>382</v>
      </c>
    </row>
    <row r="241" spans="1:2" x14ac:dyDescent="0.35">
      <c r="A241" s="6">
        <v>1549</v>
      </c>
      <c r="B241" s="6" t="s">
        <v>382</v>
      </c>
    </row>
    <row r="242" spans="1:2" x14ac:dyDescent="0.35">
      <c r="A242" s="6">
        <v>1550</v>
      </c>
      <c r="B242" s="6" t="s">
        <v>382</v>
      </c>
    </row>
    <row r="243" spans="1:2" x14ac:dyDescent="0.35">
      <c r="A243" s="6">
        <v>1554</v>
      </c>
      <c r="B243" s="6" t="s">
        <v>382</v>
      </c>
    </row>
    <row r="244" spans="1:2" x14ac:dyDescent="0.35">
      <c r="A244" s="6">
        <v>1610</v>
      </c>
      <c r="B244" s="6" t="s">
        <v>382</v>
      </c>
    </row>
    <row r="245" spans="1:2" x14ac:dyDescent="0.35">
      <c r="A245" s="6">
        <v>1611</v>
      </c>
      <c r="B245" s="6" t="s">
        <v>382</v>
      </c>
    </row>
    <row r="246" spans="1:2" x14ac:dyDescent="0.35">
      <c r="A246" s="6">
        <v>1613</v>
      </c>
      <c r="B246" s="6" t="s">
        <v>382</v>
      </c>
    </row>
    <row r="247" spans="1:2" x14ac:dyDescent="0.35">
      <c r="A247" s="6">
        <v>1953</v>
      </c>
      <c r="B247" s="6" t="s">
        <v>382</v>
      </c>
    </row>
    <row r="248" spans="1:2" x14ac:dyDescent="0.35">
      <c r="A248" s="6">
        <v>1955</v>
      </c>
      <c r="B248" s="6" t="s">
        <v>382</v>
      </c>
    </row>
    <row r="249" spans="1:2" x14ac:dyDescent="0.35">
      <c r="A249" s="6">
        <v>1956</v>
      </c>
      <c r="B249" s="6" t="s">
        <v>382</v>
      </c>
    </row>
    <row r="250" spans="1:2" x14ac:dyDescent="0.35">
      <c r="A250" s="6">
        <v>1957</v>
      </c>
      <c r="B250" s="6" t="s">
        <v>382</v>
      </c>
    </row>
    <row r="251" spans="1:2" x14ac:dyDescent="0.35">
      <c r="A251" s="6">
        <v>1958</v>
      </c>
      <c r="B251" s="6" t="s">
        <v>382</v>
      </c>
    </row>
    <row r="252" spans="1:2" x14ac:dyDescent="0.35">
      <c r="A252" s="6">
        <v>1959</v>
      </c>
      <c r="B252" s="6" t="s">
        <v>382</v>
      </c>
    </row>
    <row r="253" spans="1:2" x14ac:dyDescent="0.35">
      <c r="A253" s="6">
        <v>1960</v>
      </c>
      <c r="B253" s="6" t="s">
        <v>382</v>
      </c>
    </row>
    <row r="254" spans="1:2" x14ac:dyDescent="0.35">
      <c r="A254" s="6">
        <v>1961</v>
      </c>
      <c r="B254" s="6" t="s">
        <v>382</v>
      </c>
    </row>
    <row r="255" spans="1:2" x14ac:dyDescent="0.35">
      <c r="A255" s="6">
        <v>1962</v>
      </c>
      <c r="B255" s="6" t="s">
        <v>382</v>
      </c>
    </row>
    <row r="256" spans="1:2" x14ac:dyDescent="0.35">
      <c r="A256" s="6">
        <v>1963</v>
      </c>
      <c r="B256" s="6" t="s">
        <v>382</v>
      </c>
    </row>
    <row r="257" spans="1:2" x14ac:dyDescent="0.35">
      <c r="A257" s="6">
        <v>1964</v>
      </c>
      <c r="B257" s="6" t="s">
        <v>382</v>
      </c>
    </row>
    <row r="258" spans="1:2" x14ac:dyDescent="0.35">
      <c r="A258" s="6">
        <v>1965</v>
      </c>
      <c r="B258" s="6" t="s">
        <v>382</v>
      </c>
    </row>
    <row r="259" spans="1:2" x14ac:dyDescent="0.35">
      <c r="A259" s="6">
        <v>1974</v>
      </c>
      <c r="B259" s="6" t="s">
        <v>382</v>
      </c>
    </row>
    <row r="260" spans="1:2" x14ac:dyDescent="0.35">
      <c r="A260" s="6">
        <v>1976</v>
      </c>
      <c r="B260" s="6" t="s">
        <v>382</v>
      </c>
    </row>
    <row r="261" spans="1:2" x14ac:dyDescent="0.35">
      <c r="A261" s="6">
        <v>1977</v>
      </c>
      <c r="B261" s="6" t="s">
        <v>382</v>
      </c>
    </row>
    <row r="262" spans="1:2" x14ac:dyDescent="0.35">
      <c r="A262" s="6">
        <v>1978</v>
      </c>
      <c r="B262" s="6" t="s">
        <v>382</v>
      </c>
    </row>
    <row r="263" spans="1:2" x14ac:dyDescent="0.35">
      <c r="A263" s="6">
        <v>1979</v>
      </c>
      <c r="B263" s="6" t="s">
        <v>382</v>
      </c>
    </row>
    <row r="264" spans="1:2" x14ac:dyDescent="0.35">
      <c r="A264" s="6">
        <v>1980</v>
      </c>
      <c r="B264" s="6" t="s">
        <v>382</v>
      </c>
    </row>
    <row r="265" spans="1:2" x14ac:dyDescent="0.35">
      <c r="A265" s="6">
        <v>1981</v>
      </c>
      <c r="B265" s="6" t="s">
        <v>382</v>
      </c>
    </row>
    <row r="266" spans="1:2" x14ac:dyDescent="0.35">
      <c r="A266" s="6">
        <v>1982</v>
      </c>
      <c r="B266" s="6" t="s">
        <v>382</v>
      </c>
    </row>
    <row r="267" spans="1:2" x14ac:dyDescent="0.35">
      <c r="A267" s="6">
        <v>1983</v>
      </c>
      <c r="B267" s="6" t="s">
        <v>382</v>
      </c>
    </row>
    <row r="268" spans="1:2" x14ac:dyDescent="0.35">
      <c r="A268" s="6">
        <v>1984</v>
      </c>
      <c r="B268" s="6" t="s">
        <v>382</v>
      </c>
    </row>
    <row r="269" spans="1:2" x14ac:dyDescent="0.35">
      <c r="A269" s="6">
        <v>1985</v>
      </c>
      <c r="B269" s="6" t="s">
        <v>382</v>
      </c>
    </row>
    <row r="270" spans="1:2" x14ac:dyDescent="0.35">
      <c r="A270" s="6">
        <v>1990</v>
      </c>
      <c r="B270" s="6" t="s">
        <v>382</v>
      </c>
    </row>
    <row r="271" spans="1:2" x14ac:dyDescent="0.35">
      <c r="A271" s="6">
        <v>1504</v>
      </c>
      <c r="B271" s="6" t="s">
        <v>299</v>
      </c>
    </row>
    <row r="272" spans="1:2" x14ac:dyDescent="0.35">
      <c r="A272" s="6">
        <v>1505</v>
      </c>
      <c r="B272" s="6" t="s">
        <v>299</v>
      </c>
    </row>
    <row r="273" spans="1:2" x14ac:dyDescent="0.35">
      <c r="A273" s="6">
        <v>1506</v>
      </c>
      <c r="B273" s="6" t="s">
        <v>299</v>
      </c>
    </row>
    <row r="274" spans="1:2" x14ac:dyDescent="0.35">
      <c r="A274" s="6">
        <v>1507</v>
      </c>
      <c r="B274" s="6" t="s">
        <v>299</v>
      </c>
    </row>
    <row r="275" spans="1:2" x14ac:dyDescent="0.35">
      <c r="A275" s="6">
        <v>1508</v>
      </c>
      <c r="B275" s="6" t="s">
        <v>299</v>
      </c>
    </row>
    <row r="276" spans="1:2" x14ac:dyDescent="0.35">
      <c r="A276" s="6">
        <v>1509</v>
      </c>
      <c r="B276" s="6" t="s">
        <v>299</v>
      </c>
    </row>
    <row r="277" spans="1:2" x14ac:dyDescent="0.35">
      <c r="A277" s="6">
        <v>1510</v>
      </c>
      <c r="B277" s="6" t="s">
        <v>299</v>
      </c>
    </row>
    <row r="278" spans="1:2" x14ac:dyDescent="0.35">
      <c r="A278" s="6">
        <v>1511</v>
      </c>
      <c r="B278" s="6" t="s">
        <v>299</v>
      </c>
    </row>
    <row r="279" spans="1:2" x14ac:dyDescent="0.35">
      <c r="A279" s="6">
        <v>1594</v>
      </c>
      <c r="B279" s="6" t="s">
        <v>299</v>
      </c>
    </row>
    <row r="280" spans="1:2" x14ac:dyDescent="0.35">
      <c r="A280" s="6">
        <v>1595</v>
      </c>
      <c r="B280" s="6" t="s">
        <v>299</v>
      </c>
    </row>
    <row r="281" spans="1:2" x14ac:dyDescent="0.35">
      <c r="A281" s="6">
        <v>1596</v>
      </c>
      <c r="B281" s="6" t="s">
        <v>299</v>
      </c>
    </row>
    <row r="282" spans="1:2" x14ac:dyDescent="0.35">
      <c r="A282" s="6">
        <v>1640</v>
      </c>
      <c r="B282" s="6" t="s">
        <v>299</v>
      </c>
    </row>
    <row r="283" spans="1:2" x14ac:dyDescent="0.35">
      <c r="A283" s="6">
        <v>1641</v>
      </c>
      <c r="B283" s="6" t="s">
        <v>299</v>
      </c>
    </row>
    <row r="284" spans="1:2" x14ac:dyDescent="0.35">
      <c r="A284" s="6">
        <v>1642</v>
      </c>
      <c r="B284" s="6" t="s">
        <v>299</v>
      </c>
    </row>
    <row r="285" spans="1:2" x14ac:dyDescent="0.35">
      <c r="A285" s="6">
        <v>1643</v>
      </c>
      <c r="B285" s="6" t="s">
        <v>299</v>
      </c>
    </row>
    <row r="286" spans="1:2" x14ac:dyDescent="0.35">
      <c r="A286" s="6">
        <v>1644</v>
      </c>
      <c r="B286" s="6" t="s">
        <v>299</v>
      </c>
    </row>
    <row r="287" spans="1:2" x14ac:dyDescent="0.35">
      <c r="A287" s="6">
        <v>1656</v>
      </c>
      <c r="B287" s="6" t="s">
        <v>299</v>
      </c>
    </row>
    <row r="288" spans="1:2" x14ac:dyDescent="0.35">
      <c r="A288" s="6">
        <v>1687</v>
      </c>
      <c r="B288" s="6" t="s">
        <v>299</v>
      </c>
    </row>
    <row r="289" spans="1:2" x14ac:dyDescent="0.35">
      <c r="A289" s="6">
        <v>1909</v>
      </c>
      <c r="B289" s="6" t="s">
        <v>299</v>
      </c>
    </row>
    <row r="290" spans="1:2" x14ac:dyDescent="0.35">
      <c r="A290" s="6">
        <v>1910</v>
      </c>
      <c r="B290" s="6" t="s">
        <v>299</v>
      </c>
    </row>
    <row r="291" spans="1:2" x14ac:dyDescent="0.35">
      <c r="A291" s="6">
        <v>1911</v>
      </c>
      <c r="B291" s="6" t="s">
        <v>299</v>
      </c>
    </row>
    <row r="292" spans="1:2" x14ac:dyDescent="0.35">
      <c r="A292" s="6">
        <v>1912</v>
      </c>
      <c r="B292" s="6" t="s">
        <v>299</v>
      </c>
    </row>
    <row r="293" spans="1:2" x14ac:dyDescent="0.35">
      <c r="A293" s="6">
        <v>1913</v>
      </c>
      <c r="B293" s="6" t="s">
        <v>299</v>
      </c>
    </row>
    <row r="294" spans="1:2" x14ac:dyDescent="0.35">
      <c r="A294" s="6">
        <v>1914</v>
      </c>
      <c r="B294" s="6" t="s">
        <v>299</v>
      </c>
    </row>
    <row r="295" spans="1:2" x14ac:dyDescent="0.35">
      <c r="A295" s="6">
        <v>1915</v>
      </c>
      <c r="B295" s="6" t="s">
        <v>299</v>
      </c>
    </row>
    <row r="296" spans="1:2" x14ac:dyDescent="0.35">
      <c r="A296" s="6">
        <v>1916</v>
      </c>
      <c r="B296" s="6" t="s">
        <v>299</v>
      </c>
    </row>
    <row r="297" spans="1:2" x14ac:dyDescent="0.35">
      <c r="A297" s="6">
        <v>1917</v>
      </c>
      <c r="B297" s="6" t="s">
        <v>299</v>
      </c>
    </row>
    <row r="298" spans="1:2" x14ac:dyDescent="0.35">
      <c r="A298" s="6">
        <v>1930</v>
      </c>
      <c r="B298" s="6" t="s">
        <v>299</v>
      </c>
    </row>
    <row r="299" spans="1:2" x14ac:dyDescent="0.35">
      <c r="A299" s="6">
        <v>1931</v>
      </c>
      <c r="B299" s="6" t="s">
        <v>299</v>
      </c>
    </row>
    <row r="300" spans="1:2" x14ac:dyDescent="0.35">
      <c r="A300" s="6">
        <v>2022</v>
      </c>
      <c r="B300" s="6" t="s">
        <v>1452</v>
      </c>
    </row>
    <row r="301" spans="1:2" x14ac:dyDescent="0.35">
      <c r="A301" s="6">
        <v>2027</v>
      </c>
      <c r="B301" s="6" t="s">
        <v>1452</v>
      </c>
    </row>
    <row r="302" spans="1:2" x14ac:dyDescent="0.35">
      <c r="A302" s="6">
        <v>2028</v>
      </c>
      <c r="B302" s="6" t="s">
        <v>1452</v>
      </c>
    </row>
    <row r="303" spans="1:2" x14ac:dyDescent="0.35">
      <c r="A303" s="6">
        <v>2029</v>
      </c>
      <c r="B303" s="6" t="s">
        <v>1452</v>
      </c>
    </row>
    <row r="304" spans="1:2" x14ac:dyDescent="0.35">
      <c r="A304" s="6">
        <v>1988</v>
      </c>
      <c r="B304" s="6" t="s">
        <v>1452</v>
      </c>
    </row>
    <row r="305" spans="1:2" x14ac:dyDescent="0.35">
      <c r="A305" s="6">
        <v>1906</v>
      </c>
      <c r="B305" s="6" t="s">
        <v>1452</v>
      </c>
    </row>
    <row r="306" spans="1:2" x14ac:dyDescent="0.35">
      <c r="A306" s="6">
        <v>1908</v>
      </c>
      <c r="B306" s="6" t="s">
        <v>1452</v>
      </c>
    </row>
    <row r="307" spans="1:2" x14ac:dyDescent="0.35">
      <c r="A307" s="6">
        <v>1590</v>
      </c>
      <c r="B307" s="6" t="s">
        <v>1452</v>
      </c>
    </row>
    <row r="308" spans="1:2" x14ac:dyDescent="0.35">
      <c r="A308" s="6">
        <v>1492</v>
      </c>
      <c r="B308" s="6" t="s">
        <v>1452</v>
      </c>
    </row>
    <row r="309" spans="1:2" x14ac:dyDescent="0.35">
      <c r="A309" s="6">
        <v>1891</v>
      </c>
      <c r="B309" s="6" t="s">
        <v>1452</v>
      </c>
    </row>
    <row r="310" spans="1:2" x14ac:dyDescent="0.35">
      <c r="A310" s="6">
        <v>1616</v>
      </c>
      <c r="B310" s="6" t="s">
        <v>1452</v>
      </c>
    </row>
    <row r="311" spans="1:2" x14ac:dyDescent="0.35">
      <c r="A311" s="6">
        <v>1994</v>
      </c>
      <c r="B311" s="6" t="s">
        <v>1452</v>
      </c>
    </row>
    <row r="312" spans="1:2" x14ac:dyDescent="0.35">
      <c r="A312" s="6">
        <v>1604</v>
      </c>
      <c r="B312" s="6" t="s">
        <v>1452</v>
      </c>
    </row>
    <row r="313" spans="1:2" x14ac:dyDescent="0.35">
      <c r="A313" s="6">
        <v>2037</v>
      </c>
      <c r="B313" s="6" t="s">
        <v>1452</v>
      </c>
    </row>
    <row r="314" spans="1:2" x14ac:dyDescent="0.35">
      <c r="A314" s="6">
        <v>2045</v>
      </c>
      <c r="B314" s="6" t="s">
        <v>1452</v>
      </c>
    </row>
    <row r="315" spans="1:2" x14ac:dyDescent="0.35">
      <c r="A315" s="6">
        <v>2046</v>
      </c>
      <c r="B315" s="6" t="s">
        <v>1452</v>
      </c>
    </row>
    <row r="316" spans="1:2" x14ac:dyDescent="0.35">
      <c r="A316" s="6">
        <v>1993</v>
      </c>
      <c r="B316" s="6" t="s">
        <v>1452</v>
      </c>
    </row>
    <row r="317" spans="1:2" x14ac:dyDescent="0.35">
      <c r="A317" s="6">
        <v>1658</v>
      </c>
      <c r="B317" s="6" t="s">
        <v>1452</v>
      </c>
    </row>
    <row r="318" spans="1:2" x14ac:dyDescent="0.35">
      <c r="A318" s="6">
        <v>1555</v>
      </c>
      <c r="B318" s="6" t="s">
        <v>1452</v>
      </c>
    </row>
    <row r="319" spans="1:2" x14ac:dyDescent="0.35">
      <c r="A319" s="6">
        <v>1615</v>
      </c>
      <c r="B319" s="6" t="s">
        <v>1452</v>
      </c>
    </row>
    <row r="320" spans="1:2" x14ac:dyDescent="0.35">
      <c r="A320" s="6">
        <v>1925</v>
      </c>
      <c r="B320" s="6" t="s">
        <v>1452</v>
      </c>
    </row>
    <row r="321" spans="1:2" x14ac:dyDescent="0.35">
      <c r="A321" s="6">
        <v>1926</v>
      </c>
      <c r="B321" s="6" t="s">
        <v>1452</v>
      </c>
    </row>
    <row r="322" spans="1:2" x14ac:dyDescent="0.35">
      <c r="A322" s="6">
        <v>1666</v>
      </c>
      <c r="B322" s="6" t="s">
        <v>1452</v>
      </c>
    </row>
    <row r="323" spans="1:2" x14ac:dyDescent="0.35">
      <c r="A323" s="6">
        <v>2002</v>
      </c>
      <c r="B323" s="6" t="s">
        <v>1452</v>
      </c>
    </row>
    <row r="324" spans="1:2" x14ac:dyDescent="0.35">
      <c r="A324" s="6">
        <v>1928</v>
      </c>
      <c r="B324" s="6" t="s">
        <v>1452</v>
      </c>
    </row>
    <row r="325" spans="1:2" x14ac:dyDescent="0.35">
      <c r="A325" s="6">
        <v>2004</v>
      </c>
      <c r="B325" s="6" t="s">
        <v>1452</v>
      </c>
    </row>
    <row r="326" spans="1:2" x14ac:dyDescent="0.35">
      <c r="A326" s="6">
        <v>1991</v>
      </c>
      <c r="B326" s="6" t="s">
        <v>1452</v>
      </c>
    </row>
    <row r="327" spans="1:2" x14ac:dyDescent="0.35">
      <c r="A327" s="6">
        <v>1992</v>
      </c>
      <c r="B327" s="6" t="s">
        <v>1452</v>
      </c>
    </row>
    <row r="328" spans="1:2" x14ac:dyDescent="0.35">
      <c r="A328" s="6">
        <v>1593</v>
      </c>
      <c r="B328" s="6" t="s">
        <v>1452</v>
      </c>
    </row>
    <row r="329" spans="1:2" x14ac:dyDescent="0.35">
      <c r="A329" s="6">
        <v>1526</v>
      </c>
      <c r="B329" s="6" t="s">
        <v>1452</v>
      </c>
    </row>
    <row r="330" spans="1:2" x14ac:dyDescent="0.35">
      <c r="A330" s="6">
        <v>1559</v>
      </c>
      <c r="B330" s="6" t="s">
        <v>1452</v>
      </c>
    </row>
    <row r="331" spans="1:2" x14ac:dyDescent="0.35">
      <c r="A331" s="6">
        <v>1601</v>
      </c>
      <c r="B331" s="6" t="s">
        <v>1452</v>
      </c>
    </row>
    <row r="332" spans="1:2" x14ac:dyDescent="0.35">
      <c r="A332" s="6">
        <v>1602</v>
      </c>
      <c r="B332" s="6" t="s">
        <v>1452</v>
      </c>
    </row>
    <row r="333" spans="1:2" x14ac:dyDescent="0.35">
      <c r="A333" s="6">
        <v>1617</v>
      </c>
      <c r="B333" s="6" t="s">
        <v>1452</v>
      </c>
    </row>
    <row r="334" spans="1:2" x14ac:dyDescent="0.35">
      <c r="A334" s="6">
        <v>1618</v>
      </c>
      <c r="B334" s="6" t="s">
        <v>1452</v>
      </c>
    </row>
    <row r="335" spans="1:2" x14ac:dyDescent="0.35">
      <c r="A335" s="6">
        <v>1619</v>
      </c>
      <c r="B335" s="6" t="s">
        <v>1452</v>
      </c>
    </row>
    <row r="336" spans="1:2" x14ac:dyDescent="0.35">
      <c r="A336" s="6">
        <v>1648</v>
      </c>
      <c r="B336" s="6" t="s">
        <v>1452</v>
      </c>
    </row>
    <row r="337" spans="1:2" x14ac:dyDescent="0.35">
      <c r="A337" s="6">
        <v>1649</v>
      </c>
      <c r="B337" s="6" t="s">
        <v>1452</v>
      </c>
    </row>
    <row r="338" spans="1:2" x14ac:dyDescent="0.35">
      <c r="A338" s="6">
        <v>1659</v>
      </c>
      <c r="B338" s="6" t="s">
        <v>1452</v>
      </c>
    </row>
    <row r="339" spans="1:2" x14ac:dyDescent="0.35">
      <c r="A339" s="6">
        <v>1660</v>
      </c>
      <c r="B339" s="6" t="s">
        <v>1452</v>
      </c>
    </row>
    <row r="340" spans="1:2" x14ac:dyDescent="0.35">
      <c r="A340" s="6">
        <v>1661</v>
      </c>
      <c r="B340" s="6" t="s">
        <v>1452</v>
      </c>
    </row>
    <row r="341" spans="1:2" x14ac:dyDescent="0.35">
      <c r="A341" s="6">
        <v>1662</v>
      </c>
      <c r="B341" s="6" t="s">
        <v>1452</v>
      </c>
    </row>
    <row r="342" spans="1:2" x14ac:dyDescent="0.35">
      <c r="A342" s="6">
        <v>1663</v>
      </c>
      <c r="B342" s="6" t="s">
        <v>1452</v>
      </c>
    </row>
    <row r="343" spans="1:2" x14ac:dyDescent="0.35">
      <c r="A343" s="6">
        <v>1664</v>
      </c>
      <c r="B343" s="6" t="s">
        <v>1452</v>
      </c>
    </row>
    <row r="344" spans="1:2" x14ac:dyDescent="0.35">
      <c r="A344" s="6">
        <v>1665</v>
      </c>
      <c r="B344" s="6" t="s">
        <v>1452</v>
      </c>
    </row>
    <row r="345" spans="1:2" x14ac:dyDescent="0.35">
      <c r="A345" s="6">
        <v>1939</v>
      </c>
      <c r="B345" s="6" t="s">
        <v>1452</v>
      </c>
    </row>
    <row r="346" spans="1:2" x14ac:dyDescent="0.35">
      <c r="A346" s="6">
        <v>1995</v>
      </c>
      <c r="B346" s="6" t="s">
        <v>1452</v>
      </c>
    </row>
    <row r="347" spans="1:2" x14ac:dyDescent="0.35">
      <c r="A347" s="6">
        <v>1996</v>
      </c>
      <c r="B347" s="6" t="s">
        <v>1452</v>
      </c>
    </row>
    <row r="348" spans="1:2" x14ac:dyDescent="0.35">
      <c r="A348" s="6">
        <v>1997</v>
      </c>
      <c r="B348" s="6" t="s">
        <v>1452</v>
      </c>
    </row>
    <row r="349" spans="1:2" x14ac:dyDescent="0.35">
      <c r="A349" s="6">
        <v>1560</v>
      </c>
      <c r="B349" s="6" t="s">
        <v>1452</v>
      </c>
    </row>
    <row r="350" spans="1:2" x14ac:dyDescent="0.35">
      <c r="A350" s="6">
        <v>1999</v>
      </c>
      <c r="B350" s="6" t="s">
        <v>1452</v>
      </c>
    </row>
    <row r="351" spans="1:2" x14ac:dyDescent="0.35">
      <c r="A351" s="6">
        <v>1561</v>
      </c>
      <c r="B351" s="6" t="s">
        <v>383</v>
      </c>
    </row>
    <row r="352" spans="1:2" x14ac:dyDescent="0.35">
      <c r="A352" s="6">
        <v>1621</v>
      </c>
      <c r="B352" s="6" t="s">
        <v>383</v>
      </c>
    </row>
    <row r="353" spans="1:2" x14ac:dyDescent="0.35">
      <c r="A353" s="6">
        <v>1667</v>
      </c>
      <c r="B353" s="6" t="s">
        <v>383</v>
      </c>
    </row>
    <row r="354" spans="1:2" x14ac:dyDescent="0.35">
      <c r="A354" s="6">
        <v>1668</v>
      </c>
      <c r="B354" s="6" t="s">
        <v>383</v>
      </c>
    </row>
    <row r="355" spans="1:2" x14ac:dyDescent="0.35">
      <c r="A355" s="6">
        <v>2000</v>
      </c>
      <c r="B355" s="6" t="s">
        <v>383</v>
      </c>
    </row>
    <row r="356" spans="1:2" x14ac:dyDescent="0.35">
      <c r="A356" s="6"/>
      <c r="B356" s="6"/>
    </row>
    <row r="357" spans="1:2" x14ac:dyDescent="0.35">
      <c r="A357" s="6"/>
      <c r="B357" s="6"/>
    </row>
    <row r="358" spans="1:2" x14ac:dyDescent="0.35">
      <c r="A358" s="6"/>
      <c r="B358" s="6"/>
    </row>
    <row r="359" spans="1:2" x14ac:dyDescent="0.35">
      <c r="A359" s="6"/>
      <c r="B359" s="6"/>
    </row>
    <row r="360" spans="1:2" x14ac:dyDescent="0.35">
      <c r="A360" s="6"/>
      <c r="B360" s="6"/>
    </row>
    <row r="361" spans="1:2" x14ac:dyDescent="0.35">
      <c r="A361" s="6"/>
      <c r="B361" s="6"/>
    </row>
    <row r="362" spans="1:2" x14ac:dyDescent="0.35">
      <c r="A362" s="6"/>
      <c r="B362" s="6"/>
    </row>
    <row r="363" spans="1:2" x14ac:dyDescent="0.35">
      <c r="A363" s="6"/>
      <c r="B363" s="6"/>
    </row>
    <row r="364" spans="1:2" x14ac:dyDescent="0.35">
      <c r="A364" s="6"/>
      <c r="B364" s="6"/>
    </row>
    <row r="365" spans="1:2" x14ac:dyDescent="0.35">
      <c r="A365" s="6"/>
      <c r="B365" s="6"/>
    </row>
    <row r="366" spans="1:2" x14ac:dyDescent="0.35">
      <c r="A366" s="6"/>
      <c r="B366" s="6"/>
    </row>
    <row r="367" spans="1:2" x14ac:dyDescent="0.35">
      <c r="A367" s="6"/>
      <c r="B367" s="6"/>
    </row>
    <row r="368" spans="1:2" x14ac:dyDescent="0.35">
      <c r="A368" s="6"/>
      <c r="B368" s="6"/>
    </row>
    <row r="369" spans="1:2" x14ac:dyDescent="0.35">
      <c r="A369" s="6"/>
      <c r="B369" s="6"/>
    </row>
    <row r="370" spans="1:2" x14ac:dyDescent="0.35">
      <c r="A370" s="6"/>
      <c r="B370" s="6"/>
    </row>
    <row r="371" spans="1:2" x14ac:dyDescent="0.35">
      <c r="A371" s="6"/>
      <c r="B371" s="6"/>
    </row>
    <row r="372" spans="1:2" x14ac:dyDescent="0.35">
      <c r="A372" s="6"/>
      <c r="B372" s="6"/>
    </row>
    <row r="373" spans="1:2" x14ac:dyDescent="0.35">
      <c r="A373" s="6"/>
      <c r="B373" s="6"/>
    </row>
    <row r="374" spans="1:2" x14ac:dyDescent="0.35">
      <c r="A374" s="6"/>
      <c r="B374" s="6"/>
    </row>
    <row r="375" spans="1:2" x14ac:dyDescent="0.35">
      <c r="A375" s="6"/>
      <c r="B375" s="6"/>
    </row>
    <row r="376" spans="1:2" x14ac:dyDescent="0.35">
      <c r="A376" s="6"/>
      <c r="B376" s="6"/>
    </row>
    <row r="377" spans="1:2" x14ac:dyDescent="0.35">
      <c r="A377" s="6"/>
      <c r="B377" s="6"/>
    </row>
    <row r="378" spans="1:2" x14ac:dyDescent="0.35">
      <c r="A378" s="6"/>
      <c r="B378" s="6"/>
    </row>
    <row r="379" spans="1:2" x14ac:dyDescent="0.35">
      <c r="A379" s="6"/>
      <c r="B379" s="6"/>
    </row>
    <row r="380" spans="1:2" x14ac:dyDescent="0.35">
      <c r="A380" s="6"/>
      <c r="B380" s="6"/>
    </row>
    <row r="381" spans="1:2" x14ac:dyDescent="0.35">
      <c r="A381" s="6"/>
      <c r="B381" s="6"/>
    </row>
    <row r="382" spans="1:2" x14ac:dyDescent="0.35">
      <c r="A382" s="6"/>
      <c r="B382" s="6"/>
    </row>
    <row r="383" spans="1:2" x14ac:dyDescent="0.35">
      <c r="A383" s="6"/>
      <c r="B383" s="6"/>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91FFA-7C92-4061-B679-6D9976138108}">
  <sheetPr>
    <tabColor theme="7"/>
  </sheetPr>
  <dimension ref="A1:C2833"/>
  <sheetViews>
    <sheetView workbookViewId="0">
      <selection activeCell="C11" sqref="C11"/>
    </sheetView>
  </sheetViews>
  <sheetFormatPr defaultRowHeight="14.5" x14ac:dyDescent="0.35"/>
  <cols>
    <col min="1" max="1" width="8.26953125" customWidth="1"/>
    <col min="2" max="2" width="19" customWidth="1"/>
    <col min="3" max="3" width="13.7265625" customWidth="1"/>
  </cols>
  <sheetData>
    <row r="1" spans="1:3" x14ac:dyDescent="0.35">
      <c r="A1" s="54" t="s">
        <v>1453</v>
      </c>
      <c r="B1" s="68"/>
    </row>
    <row r="2" spans="1:3" x14ac:dyDescent="0.35">
      <c r="A2" s="85" t="s">
        <v>1151</v>
      </c>
      <c r="B2" s="85" t="s">
        <v>409</v>
      </c>
      <c r="C2" s="85" t="s">
        <v>410</v>
      </c>
    </row>
    <row r="3" spans="1:3" x14ac:dyDescent="0.35">
      <c r="A3">
        <v>2280</v>
      </c>
      <c r="B3" t="s">
        <v>1454</v>
      </c>
      <c r="C3">
        <v>4</v>
      </c>
    </row>
    <row r="4" spans="1:3" x14ac:dyDescent="0.35">
      <c r="A4">
        <v>2281</v>
      </c>
      <c r="B4" t="s">
        <v>1454</v>
      </c>
      <c r="C4">
        <v>4</v>
      </c>
    </row>
    <row r="5" spans="1:3" x14ac:dyDescent="0.35">
      <c r="A5">
        <v>2282</v>
      </c>
      <c r="B5" t="s">
        <v>1454</v>
      </c>
      <c r="C5">
        <v>4</v>
      </c>
    </row>
    <row r="6" spans="1:3" x14ac:dyDescent="0.35">
      <c r="A6">
        <v>2283</v>
      </c>
      <c r="B6" t="s">
        <v>1454</v>
      </c>
      <c r="C6">
        <v>4</v>
      </c>
    </row>
    <row r="7" spans="1:3" x14ac:dyDescent="0.35">
      <c r="A7">
        <v>2284</v>
      </c>
      <c r="B7" t="s">
        <v>1454</v>
      </c>
      <c r="C7">
        <v>4</v>
      </c>
    </row>
    <row r="8" spans="1:3" x14ac:dyDescent="0.35">
      <c r="A8">
        <v>2285</v>
      </c>
      <c r="B8" t="s">
        <v>1454</v>
      </c>
      <c r="C8">
        <v>4</v>
      </c>
    </row>
    <row r="9" spans="1:3" x14ac:dyDescent="0.35">
      <c r="A9">
        <v>2286</v>
      </c>
      <c r="B9" t="s">
        <v>1454</v>
      </c>
      <c r="C9">
        <v>4</v>
      </c>
    </row>
    <row r="10" spans="1:3" x14ac:dyDescent="0.35">
      <c r="A10">
        <v>2287</v>
      </c>
      <c r="B10" t="s">
        <v>1454</v>
      </c>
      <c r="C10">
        <v>4</v>
      </c>
    </row>
    <row r="11" spans="1:3" x14ac:dyDescent="0.35">
      <c r="A11">
        <v>2288</v>
      </c>
      <c r="B11" t="s">
        <v>1454</v>
      </c>
      <c r="C11">
        <v>4</v>
      </c>
    </row>
    <row r="12" spans="1:3" x14ac:dyDescent="0.35">
      <c r="A12">
        <v>2289</v>
      </c>
      <c r="B12" t="s">
        <v>1454</v>
      </c>
      <c r="C12">
        <v>4</v>
      </c>
    </row>
    <row r="13" spans="1:3" x14ac:dyDescent="0.35">
      <c r="A13">
        <v>2290</v>
      </c>
      <c r="B13" t="s">
        <v>1454</v>
      </c>
      <c r="C13">
        <v>4</v>
      </c>
    </row>
    <row r="14" spans="1:3" x14ac:dyDescent="0.35">
      <c r="A14">
        <v>2291</v>
      </c>
      <c r="B14" t="s">
        <v>1454</v>
      </c>
      <c r="C14">
        <v>4</v>
      </c>
    </row>
    <row r="15" spans="1:3" x14ac:dyDescent="0.35">
      <c r="A15">
        <v>2292</v>
      </c>
      <c r="B15" t="s">
        <v>1454</v>
      </c>
      <c r="C15">
        <v>4</v>
      </c>
    </row>
    <row r="16" spans="1:3" x14ac:dyDescent="0.35">
      <c r="A16">
        <v>2293</v>
      </c>
      <c r="B16" t="s">
        <v>1454</v>
      </c>
      <c r="C16">
        <v>4</v>
      </c>
    </row>
    <row r="17" spans="1:3" x14ac:dyDescent="0.35">
      <c r="A17">
        <v>2294</v>
      </c>
      <c r="B17" t="s">
        <v>1454</v>
      </c>
      <c r="C17">
        <v>4</v>
      </c>
    </row>
    <row r="18" spans="1:3" x14ac:dyDescent="0.35">
      <c r="A18">
        <v>2295</v>
      </c>
      <c r="B18" t="s">
        <v>1454</v>
      </c>
      <c r="C18">
        <v>4</v>
      </c>
    </row>
    <row r="19" spans="1:3" x14ac:dyDescent="0.35">
      <c r="A19">
        <v>2296</v>
      </c>
      <c r="B19" t="s">
        <v>1454</v>
      </c>
      <c r="C19">
        <v>4</v>
      </c>
    </row>
    <row r="20" spans="1:3" x14ac:dyDescent="0.35">
      <c r="A20">
        <v>2366</v>
      </c>
      <c r="B20" t="s">
        <v>1455</v>
      </c>
      <c r="C20">
        <v>4</v>
      </c>
    </row>
    <row r="21" spans="1:3" x14ac:dyDescent="0.35">
      <c r="A21">
        <v>2367</v>
      </c>
      <c r="B21" t="s">
        <v>1455</v>
      </c>
      <c r="C21">
        <v>4</v>
      </c>
    </row>
    <row r="22" spans="1:3" x14ac:dyDescent="0.35">
      <c r="A22">
        <v>2368</v>
      </c>
      <c r="B22" t="s">
        <v>1455</v>
      </c>
      <c r="C22">
        <v>4</v>
      </c>
    </row>
    <row r="23" spans="1:3" x14ac:dyDescent="0.35">
      <c r="A23">
        <v>2369</v>
      </c>
      <c r="B23" t="s">
        <v>1455</v>
      </c>
      <c r="C23">
        <v>4</v>
      </c>
    </row>
    <row r="24" spans="1:3" x14ac:dyDescent="0.35">
      <c r="A24">
        <v>2370</v>
      </c>
      <c r="B24" t="s">
        <v>1455</v>
      </c>
      <c r="C24">
        <v>4</v>
      </c>
    </row>
    <row r="25" spans="1:3" x14ac:dyDescent="0.35">
      <c r="A25">
        <v>2371</v>
      </c>
      <c r="B25" t="s">
        <v>1455</v>
      </c>
      <c r="C25">
        <v>4</v>
      </c>
    </row>
    <row r="26" spans="1:3" x14ac:dyDescent="0.35">
      <c r="A26">
        <v>2515</v>
      </c>
      <c r="B26" t="s">
        <v>1456</v>
      </c>
      <c r="C26">
        <v>5</v>
      </c>
    </row>
    <row r="27" spans="1:3" x14ac:dyDescent="0.35">
      <c r="A27">
        <v>2516</v>
      </c>
      <c r="B27" t="s">
        <v>1456</v>
      </c>
      <c r="C27">
        <v>5</v>
      </c>
    </row>
    <row r="28" spans="1:3" x14ac:dyDescent="0.35">
      <c r="A28">
        <v>2518</v>
      </c>
      <c r="B28" t="s">
        <v>1456</v>
      </c>
      <c r="C28">
        <v>5</v>
      </c>
    </row>
    <row r="29" spans="1:3" x14ac:dyDescent="0.35">
      <c r="A29">
        <v>2519</v>
      </c>
      <c r="B29" t="s">
        <v>1456</v>
      </c>
      <c r="C29">
        <v>5</v>
      </c>
    </row>
    <row r="30" spans="1:3" x14ac:dyDescent="0.35">
      <c r="A30">
        <v>2520</v>
      </c>
      <c r="B30" t="s">
        <v>1456</v>
      </c>
      <c r="C30">
        <v>5</v>
      </c>
    </row>
    <row r="31" spans="1:3" x14ac:dyDescent="0.35">
      <c r="A31">
        <v>2521</v>
      </c>
      <c r="B31" t="s">
        <v>1456</v>
      </c>
      <c r="C31">
        <v>5</v>
      </c>
    </row>
    <row r="32" spans="1:3" x14ac:dyDescent="0.35">
      <c r="A32">
        <v>2522</v>
      </c>
      <c r="B32" t="s">
        <v>1456</v>
      </c>
      <c r="C32">
        <v>5</v>
      </c>
    </row>
    <row r="33" spans="1:3" x14ac:dyDescent="0.35">
      <c r="A33">
        <v>2523</v>
      </c>
      <c r="B33" t="s">
        <v>1456</v>
      </c>
      <c r="C33">
        <v>5</v>
      </c>
    </row>
    <row r="34" spans="1:3" x14ac:dyDescent="0.35">
      <c r="A34">
        <v>2524</v>
      </c>
      <c r="B34" t="s">
        <v>1456</v>
      </c>
      <c r="C34">
        <v>5</v>
      </c>
    </row>
    <row r="35" spans="1:3" x14ac:dyDescent="0.35">
      <c r="A35">
        <v>2525</v>
      </c>
      <c r="B35" t="s">
        <v>1456</v>
      </c>
      <c r="C35">
        <v>5</v>
      </c>
    </row>
    <row r="36" spans="1:3" x14ac:dyDescent="0.35">
      <c r="A36">
        <v>2526</v>
      </c>
      <c r="B36" t="s">
        <v>1456</v>
      </c>
      <c r="C36">
        <v>5</v>
      </c>
    </row>
    <row r="37" spans="1:3" x14ac:dyDescent="0.35">
      <c r="A37">
        <v>2529</v>
      </c>
      <c r="B37" t="s">
        <v>1456</v>
      </c>
      <c r="C37">
        <v>5</v>
      </c>
    </row>
    <row r="38" spans="1:3" x14ac:dyDescent="0.35">
      <c r="A38">
        <v>1584</v>
      </c>
      <c r="B38" t="s">
        <v>355</v>
      </c>
      <c r="C38">
        <v>2</v>
      </c>
    </row>
    <row r="39" spans="1:3" x14ac:dyDescent="0.35">
      <c r="A39">
        <v>1587</v>
      </c>
      <c r="B39" t="s">
        <v>355</v>
      </c>
      <c r="C39">
        <v>2</v>
      </c>
    </row>
    <row r="40" spans="1:3" x14ac:dyDescent="0.35">
      <c r="A40">
        <v>1633</v>
      </c>
      <c r="B40" t="s">
        <v>355</v>
      </c>
      <c r="C40">
        <v>2</v>
      </c>
    </row>
    <row r="41" spans="1:3" x14ac:dyDescent="0.35">
      <c r="A41">
        <v>1634</v>
      </c>
      <c r="B41" t="s">
        <v>355</v>
      </c>
      <c r="C41">
        <v>2</v>
      </c>
    </row>
    <row r="42" spans="1:3" x14ac:dyDescent="0.35">
      <c r="A42">
        <v>1684</v>
      </c>
      <c r="B42" t="s">
        <v>355</v>
      </c>
      <c r="C42">
        <v>2</v>
      </c>
    </row>
    <row r="43" spans="1:3" x14ac:dyDescent="0.35">
      <c r="A43">
        <v>1685</v>
      </c>
      <c r="B43" t="s">
        <v>355</v>
      </c>
      <c r="C43">
        <v>2</v>
      </c>
    </row>
    <row r="44" spans="1:3" x14ac:dyDescent="0.35">
      <c r="A44">
        <v>1686</v>
      </c>
      <c r="B44" t="s">
        <v>355</v>
      </c>
      <c r="C44">
        <v>2</v>
      </c>
    </row>
    <row r="45" spans="1:3" x14ac:dyDescent="0.35">
      <c r="A45">
        <v>2039</v>
      </c>
      <c r="B45" t="s">
        <v>355</v>
      </c>
      <c r="C45">
        <v>2</v>
      </c>
    </row>
    <row r="46" spans="1:3" x14ac:dyDescent="0.35">
      <c r="A46">
        <v>2042</v>
      </c>
      <c r="B46" t="s">
        <v>355</v>
      </c>
      <c r="C46">
        <v>2</v>
      </c>
    </row>
    <row r="47" spans="1:3" x14ac:dyDescent="0.35">
      <c r="A47">
        <v>1543</v>
      </c>
      <c r="B47" t="s">
        <v>359</v>
      </c>
      <c r="C47">
        <v>2</v>
      </c>
    </row>
    <row r="48" spans="1:3" x14ac:dyDescent="0.35">
      <c r="A48">
        <v>1551</v>
      </c>
      <c r="B48" t="s">
        <v>359</v>
      </c>
      <c r="C48">
        <v>2</v>
      </c>
    </row>
    <row r="49" spans="1:3" x14ac:dyDescent="0.35">
      <c r="A49">
        <v>1552</v>
      </c>
      <c r="B49" t="s">
        <v>359</v>
      </c>
      <c r="C49">
        <v>2</v>
      </c>
    </row>
    <row r="50" spans="1:3" x14ac:dyDescent="0.35">
      <c r="A50">
        <v>1553</v>
      </c>
      <c r="B50" t="s">
        <v>359</v>
      </c>
      <c r="C50">
        <v>2</v>
      </c>
    </row>
    <row r="51" spans="1:3" x14ac:dyDescent="0.35">
      <c r="A51">
        <v>1614</v>
      </c>
      <c r="B51" t="s">
        <v>359</v>
      </c>
      <c r="C51">
        <v>2</v>
      </c>
    </row>
    <row r="52" spans="1:3" x14ac:dyDescent="0.35">
      <c r="A52">
        <v>1657</v>
      </c>
      <c r="B52" t="s">
        <v>359</v>
      </c>
      <c r="C52">
        <v>2</v>
      </c>
    </row>
    <row r="53" spans="1:3" x14ac:dyDescent="0.35">
      <c r="A53">
        <v>1975</v>
      </c>
      <c r="B53" t="s">
        <v>359</v>
      </c>
      <c r="C53">
        <v>2</v>
      </c>
    </row>
    <row r="54" spans="1:3" x14ac:dyDescent="0.35">
      <c r="A54">
        <v>1986</v>
      </c>
      <c r="B54" t="s">
        <v>359</v>
      </c>
      <c r="C54">
        <v>2</v>
      </c>
    </row>
    <row r="55" spans="1:3" x14ac:dyDescent="0.35">
      <c r="A55">
        <v>1987</v>
      </c>
      <c r="B55" t="s">
        <v>359</v>
      </c>
      <c r="C55">
        <v>2</v>
      </c>
    </row>
    <row r="56" spans="1:3" x14ac:dyDescent="0.35">
      <c r="A56">
        <v>1989</v>
      </c>
      <c r="B56" t="s">
        <v>359</v>
      </c>
      <c r="C56">
        <v>2</v>
      </c>
    </row>
    <row r="57" spans="1:3" x14ac:dyDescent="0.35">
      <c r="A57">
        <v>2779</v>
      </c>
      <c r="B57" t="s">
        <v>1457</v>
      </c>
      <c r="C57">
        <v>9</v>
      </c>
    </row>
    <row r="58" spans="1:3" x14ac:dyDescent="0.35">
      <c r="A58">
        <v>2544</v>
      </c>
      <c r="B58" t="s">
        <v>1458</v>
      </c>
      <c r="C58">
        <v>6</v>
      </c>
    </row>
    <row r="59" spans="1:3" x14ac:dyDescent="0.35">
      <c r="A59">
        <v>2545</v>
      </c>
      <c r="B59" t="s">
        <v>1458</v>
      </c>
      <c r="C59">
        <v>6</v>
      </c>
    </row>
    <row r="60" spans="1:3" x14ac:dyDescent="0.35">
      <c r="A60">
        <v>2546</v>
      </c>
      <c r="B60" t="s">
        <v>1458</v>
      </c>
      <c r="C60">
        <v>6</v>
      </c>
    </row>
    <row r="61" spans="1:3" x14ac:dyDescent="0.35">
      <c r="A61">
        <v>2547</v>
      </c>
      <c r="B61" t="s">
        <v>1458</v>
      </c>
      <c r="C61">
        <v>6</v>
      </c>
    </row>
    <row r="62" spans="1:3" x14ac:dyDescent="0.35">
      <c r="A62">
        <v>2548</v>
      </c>
      <c r="B62" t="s">
        <v>1458</v>
      </c>
      <c r="C62">
        <v>6</v>
      </c>
    </row>
    <row r="63" spans="1:3" x14ac:dyDescent="0.35">
      <c r="A63">
        <v>2549</v>
      </c>
      <c r="B63" t="s">
        <v>1458</v>
      </c>
      <c r="C63">
        <v>6</v>
      </c>
    </row>
    <row r="64" spans="1:3" x14ac:dyDescent="0.35">
      <c r="A64">
        <v>2326</v>
      </c>
      <c r="B64" t="s">
        <v>1459</v>
      </c>
      <c r="C64">
        <v>4</v>
      </c>
    </row>
    <row r="65" spans="1:3" x14ac:dyDescent="0.35">
      <c r="A65">
        <v>2327</v>
      </c>
      <c r="B65" t="s">
        <v>1459</v>
      </c>
      <c r="C65">
        <v>4</v>
      </c>
    </row>
    <row r="66" spans="1:3" x14ac:dyDescent="0.35">
      <c r="A66">
        <v>2334</v>
      </c>
      <c r="B66" t="s">
        <v>1459</v>
      </c>
      <c r="C66">
        <v>4</v>
      </c>
    </row>
    <row r="67" spans="1:3" x14ac:dyDescent="0.35">
      <c r="A67">
        <v>2335</v>
      </c>
      <c r="B67" t="s">
        <v>1459</v>
      </c>
      <c r="C67">
        <v>4</v>
      </c>
    </row>
    <row r="68" spans="1:3" x14ac:dyDescent="0.35">
      <c r="A68">
        <v>2336</v>
      </c>
      <c r="B68" t="s">
        <v>1459</v>
      </c>
      <c r="C68">
        <v>4</v>
      </c>
    </row>
    <row r="69" spans="1:3" x14ac:dyDescent="0.35">
      <c r="A69">
        <v>2338</v>
      </c>
      <c r="B69" t="s">
        <v>1459</v>
      </c>
      <c r="C69">
        <v>4</v>
      </c>
    </row>
    <row r="70" spans="1:3" x14ac:dyDescent="0.35">
      <c r="A70">
        <v>2339</v>
      </c>
      <c r="B70" t="s">
        <v>1459</v>
      </c>
      <c r="C70">
        <v>4</v>
      </c>
    </row>
    <row r="71" spans="1:3" x14ac:dyDescent="0.35">
      <c r="A71">
        <v>2340</v>
      </c>
      <c r="B71" t="s">
        <v>1459</v>
      </c>
      <c r="C71">
        <v>4</v>
      </c>
    </row>
    <row r="72" spans="1:3" x14ac:dyDescent="0.35">
      <c r="A72">
        <v>2341</v>
      </c>
      <c r="B72" t="s">
        <v>1459</v>
      </c>
      <c r="C72">
        <v>4</v>
      </c>
    </row>
    <row r="73" spans="1:3" x14ac:dyDescent="0.35">
      <c r="A73">
        <v>2342</v>
      </c>
      <c r="B73" t="s">
        <v>1459</v>
      </c>
      <c r="C73">
        <v>4</v>
      </c>
    </row>
    <row r="74" spans="1:3" x14ac:dyDescent="0.35">
      <c r="A74">
        <v>2343</v>
      </c>
      <c r="B74" t="s">
        <v>1459</v>
      </c>
      <c r="C74">
        <v>4</v>
      </c>
    </row>
    <row r="75" spans="1:3" x14ac:dyDescent="0.35">
      <c r="A75">
        <v>2344</v>
      </c>
      <c r="B75" t="s">
        <v>1459</v>
      </c>
      <c r="C75">
        <v>4</v>
      </c>
    </row>
    <row r="76" spans="1:3" x14ac:dyDescent="0.35">
      <c r="A76">
        <v>2345</v>
      </c>
      <c r="B76" t="s">
        <v>1459</v>
      </c>
      <c r="C76">
        <v>4</v>
      </c>
    </row>
    <row r="77" spans="1:3" x14ac:dyDescent="0.35">
      <c r="A77">
        <v>2346</v>
      </c>
      <c r="B77" t="s">
        <v>1459</v>
      </c>
      <c r="C77">
        <v>4</v>
      </c>
    </row>
    <row r="78" spans="1:3" x14ac:dyDescent="0.35">
      <c r="A78">
        <v>2347</v>
      </c>
      <c r="B78" t="s">
        <v>1459</v>
      </c>
      <c r="C78">
        <v>4</v>
      </c>
    </row>
    <row r="79" spans="1:3" x14ac:dyDescent="0.35">
      <c r="A79">
        <v>2348</v>
      </c>
      <c r="B79" t="s">
        <v>1459</v>
      </c>
      <c r="C79">
        <v>4</v>
      </c>
    </row>
    <row r="80" spans="1:3" x14ac:dyDescent="0.35">
      <c r="A80">
        <v>2349</v>
      </c>
      <c r="B80" t="s">
        <v>1459</v>
      </c>
      <c r="C80">
        <v>4</v>
      </c>
    </row>
    <row r="81" spans="1:3" x14ac:dyDescent="0.35">
      <c r="A81">
        <v>2350</v>
      </c>
      <c r="B81" t="s">
        <v>1459</v>
      </c>
      <c r="C81">
        <v>4</v>
      </c>
    </row>
    <row r="82" spans="1:3" x14ac:dyDescent="0.35">
      <c r="A82">
        <v>2351</v>
      </c>
      <c r="B82" t="s">
        <v>1459</v>
      </c>
      <c r="C82">
        <v>4</v>
      </c>
    </row>
    <row r="83" spans="1:3" x14ac:dyDescent="0.35">
      <c r="A83">
        <v>2352</v>
      </c>
      <c r="B83" t="s">
        <v>1459</v>
      </c>
      <c r="C83">
        <v>4</v>
      </c>
    </row>
    <row r="84" spans="1:3" x14ac:dyDescent="0.35">
      <c r="A84">
        <v>2353</v>
      </c>
      <c r="B84" t="s">
        <v>1459</v>
      </c>
      <c r="C84">
        <v>4</v>
      </c>
    </row>
    <row r="85" spans="1:3" x14ac:dyDescent="0.35">
      <c r="A85">
        <v>2354</v>
      </c>
      <c r="B85" t="s">
        <v>1459</v>
      </c>
      <c r="C85">
        <v>4</v>
      </c>
    </row>
    <row r="86" spans="1:3" x14ac:dyDescent="0.35">
      <c r="A86">
        <v>2355</v>
      </c>
      <c r="B86" t="s">
        <v>1459</v>
      </c>
      <c r="C86">
        <v>4</v>
      </c>
    </row>
    <row r="87" spans="1:3" x14ac:dyDescent="0.35">
      <c r="A87">
        <v>2356</v>
      </c>
      <c r="B87" t="s">
        <v>1459</v>
      </c>
      <c r="C87">
        <v>4</v>
      </c>
    </row>
    <row r="88" spans="1:3" x14ac:dyDescent="0.35">
      <c r="A88">
        <v>2357</v>
      </c>
      <c r="B88" t="s">
        <v>1459</v>
      </c>
      <c r="C88">
        <v>4</v>
      </c>
    </row>
    <row r="89" spans="1:3" x14ac:dyDescent="0.35">
      <c r="A89">
        <v>2358</v>
      </c>
      <c r="B89" t="s">
        <v>1459</v>
      </c>
      <c r="C89">
        <v>4</v>
      </c>
    </row>
    <row r="90" spans="1:3" x14ac:dyDescent="0.35">
      <c r="A90">
        <v>2359</v>
      </c>
      <c r="B90" t="s">
        <v>1459</v>
      </c>
      <c r="C90">
        <v>4</v>
      </c>
    </row>
    <row r="91" spans="1:3" x14ac:dyDescent="0.35">
      <c r="A91">
        <v>2360</v>
      </c>
      <c r="B91" t="s">
        <v>1459</v>
      </c>
      <c r="C91">
        <v>4</v>
      </c>
    </row>
    <row r="92" spans="1:3" x14ac:dyDescent="0.35">
      <c r="A92">
        <v>2361</v>
      </c>
      <c r="B92" t="s">
        <v>1459</v>
      </c>
      <c r="C92">
        <v>4</v>
      </c>
    </row>
    <row r="93" spans="1:3" x14ac:dyDescent="0.35">
      <c r="A93">
        <v>2362</v>
      </c>
      <c r="B93" t="s">
        <v>1459</v>
      </c>
      <c r="C93">
        <v>4</v>
      </c>
    </row>
    <row r="94" spans="1:3" x14ac:dyDescent="0.35">
      <c r="A94">
        <v>2363</v>
      </c>
      <c r="B94" t="s">
        <v>1459</v>
      </c>
      <c r="C94">
        <v>4</v>
      </c>
    </row>
    <row r="95" spans="1:3" x14ac:dyDescent="0.35">
      <c r="A95">
        <v>2364</v>
      </c>
      <c r="B95" t="s">
        <v>1459</v>
      </c>
      <c r="C95">
        <v>4</v>
      </c>
    </row>
    <row r="96" spans="1:3" x14ac:dyDescent="0.35">
      <c r="A96">
        <v>2365</v>
      </c>
      <c r="B96" t="s">
        <v>1459</v>
      </c>
      <c r="C96">
        <v>4</v>
      </c>
    </row>
    <row r="97" spans="1:3" x14ac:dyDescent="0.35">
      <c r="A97">
        <v>2510</v>
      </c>
      <c r="B97" t="s">
        <v>1460</v>
      </c>
      <c r="C97">
        <v>5</v>
      </c>
    </row>
    <row r="98" spans="1:3" x14ac:dyDescent="0.35">
      <c r="A98">
        <v>1592</v>
      </c>
      <c r="B98" t="s">
        <v>362</v>
      </c>
      <c r="C98">
        <v>2</v>
      </c>
    </row>
    <row r="99" spans="1:3" x14ac:dyDescent="0.35">
      <c r="A99">
        <v>1636</v>
      </c>
      <c r="B99" t="s">
        <v>362</v>
      </c>
      <c r="C99">
        <v>2</v>
      </c>
    </row>
    <row r="100" spans="1:3" x14ac:dyDescent="0.35">
      <c r="A100">
        <v>1637</v>
      </c>
      <c r="B100" t="s">
        <v>362</v>
      </c>
      <c r="C100">
        <v>2</v>
      </c>
    </row>
    <row r="101" spans="1:3" x14ac:dyDescent="0.35">
      <c r="A101">
        <v>1638</v>
      </c>
      <c r="B101" t="s">
        <v>362</v>
      </c>
      <c r="C101">
        <v>2</v>
      </c>
    </row>
    <row r="102" spans="1:3" x14ac:dyDescent="0.35">
      <c r="A102">
        <v>1639</v>
      </c>
      <c r="B102" t="s">
        <v>362</v>
      </c>
      <c r="C102">
        <v>2</v>
      </c>
    </row>
    <row r="103" spans="1:3" x14ac:dyDescent="0.35">
      <c r="A103">
        <v>1529</v>
      </c>
      <c r="B103" t="s">
        <v>364</v>
      </c>
      <c r="C103">
        <v>2</v>
      </c>
    </row>
    <row r="104" spans="1:3" x14ac:dyDescent="0.35">
      <c r="A104">
        <v>1530</v>
      </c>
      <c r="B104" t="s">
        <v>364</v>
      </c>
      <c r="C104">
        <v>2</v>
      </c>
    </row>
    <row r="105" spans="1:3" x14ac:dyDescent="0.35">
      <c r="A105">
        <v>1531</v>
      </c>
      <c r="B105" t="s">
        <v>364</v>
      </c>
      <c r="C105">
        <v>2</v>
      </c>
    </row>
    <row r="106" spans="1:3" x14ac:dyDescent="0.35">
      <c r="A106">
        <v>1532</v>
      </c>
      <c r="B106" t="s">
        <v>364</v>
      </c>
      <c r="C106">
        <v>2</v>
      </c>
    </row>
    <row r="107" spans="1:3" x14ac:dyDescent="0.35">
      <c r="A107">
        <v>1533</v>
      </c>
      <c r="B107" t="s">
        <v>364</v>
      </c>
      <c r="C107">
        <v>2</v>
      </c>
    </row>
    <row r="108" spans="1:3" x14ac:dyDescent="0.35">
      <c r="A108">
        <v>1605</v>
      </c>
      <c r="B108" t="s">
        <v>364</v>
      </c>
      <c r="C108">
        <v>2</v>
      </c>
    </row>
    <row r="109" spans="1:3" x14ac:dyDescent="0.35">
      <c r="A109">
        <v>1606</v>
      </c>
      <c r="B109" t="s">
        <v>364</v>
      </c>
      <c r="C109">
        <v>2</v>
      </c>
    </row>
    <row r="110" spans="1:3" x14ac:dyDescent="0.35">
      <c r="A110">
        <v>1607</v>
      </c>
      <c r="B110" t="s">
        <v>364</v>
      </c>
      <c r="C110">
        <v>2</v>
      </c>
    </row>
    <row r="111" spans="1:3" x14ac:dyDescent="0.35">
      <c r="A111">
        <v>1652</v>
      </c>
      <c r="B111" t="s">
        <v>364</v>
      </c>
      <c r="C111">
        <v>2</v>
      </c>
    </row>
    <row r="112" spans="1:3" x14ac:dyDescent="0.35">
      <c r="A112">
        <v>1653</v>
      </c>
      <c r="B112" t="s">
        <v>364</v>
      </c>
      <c r="C112">
        <v>2</v>
      </c>
    </row>
    <row r="113" spans="1:3" x14ac:dyDescent="0.35">
      <c r="A113">
        <v>1946</v>
      </c>
      <c r="B113" t="s">
        <v>364</v>
      </c>
      <c r="C113">
        <v>2</v>
      </c>
    </row>
    <row r="114" spans="1:3" x14ac:dyDescent="0.35">
      <c r="A114">
        <v>1947</v>
      </c>
      <c r="B114" t="s">
        <v>364</v>
      </c>
      <c r="C114">
        <v>2</v>
      </c>
    </row>
    <row r="115" spans="1:3" x14ac:dyDescent="0.35">
      <c r="A115">
        <v>1948</v>
      </c>
      <c r="B115" t="s">
        <v>364</v>
      </c>
      <c r="C115">
        <v>2</v>
      </c>
    </row>
    <row r="116" spans="1:3" x14ac:dyDescent="0.35">
      <c r="A116">
        <v>1949</v>
      </c>
      <c r="B116" t="s">
        <v>364</v>
      </c>
      <c r="C116">
        <v>2</v>
      </c>
    </row>
    <row r="117" spans="1:3" x14ac:dyDescent="0.35">
      <c r="A117">
        <v>1950</v>
      </c>
      <c r="B117" t="s">
        <v>364</v>
      </c>
      <c r="C117">
        <v>2</v>
      </c>
    </row>
    <row r="118" spans="1:3" x14ac:dyDescent="0.35">
      <c r="A118">
        <v>1951</v>
      </c>
      <c r="B118" t="s">
        <v>364</v>
      </c>
      <c r="C118">
        <v>2</v>
      </c>
    </row>
    <row r="119" spans="1:3" x14ac:dyDescent="0.35">
      <c r="A119">
        <v>2649</v>
      </c>
      <c r="B119" t="s">
        <v>1461</v>
      </c>
      <c r="C119">
        <v>7</v>
      </c>
    </row>
    <row r="120" spans="1:3" x14ac:dyDescent="0.35">
      <c r="A120">
        <v>1</v>
      </c>
      <c r="B120" t="s">
        <v>1462</v>
      </c>
      <c r="C120">
        <v>3</v>
      </c>
    </row>
    <row r="121" spans="1:3" x14ac:dyDescent="0.35">
      <c r="A121">
        <v>2</v>
      </c>
      <c r="B121" t="s">
        <v>1462</v>
      </c>
      <c r="C121">
        <v>3</v>
      </c>
    </row>
    <row r="122" spans="1:3" x14ac:dyDescent="0.35">
      <c r="A122">
        <v>3</v>
      </c>
      <c r="B122" t="s">
        <v>1462</v>
      </c>
      <c r="C122">
        <v>3</v>
      </c>
    </row>
    <row r="123" spans="1:3" x14ac:dyDescent="0.35">
      <c r="A123">
        <v>4</v>
      </c>
      <c r="B123" t="s">
        <v>1462</v>
      </c>
      <c r="C123">
        <v>3</v>
      </c>
    </row>
    <row r="124" spans="1:3" x14ac:dyDescent="0.35">
      <c r="A124">
        <v>5</v>
      </c>
      <c r="B124" t="s">
        <v>1462</v>
      </c>
      <c r="C124">
        <v>3</v>
      </c>
    </row>
    <row r="125" spans="1:3" x14ac:dyDescent="0.35">
      <c r="A125">
        <v>6</v>
      </c>
      <c r="B125" t="s">
        <v>1462</v>
      </c>
      <c r="C125">
        <v>3</v>
      </c>
    </row>
    <row r="126" spans="1:3" x14ac:dyDescent="0.35">
      <c r="A126">
        <v>7</v>
      </c>
      <c r="B126" t="s">
        <v>1462</v>
      </c>
      <c r="C126">
        <v>3</v>
      </c>
    </row>
    <row r="127" spans="1:3" x14ac:dyDescent="0.35">
      <c r="A127">
        <v>8</v>
      </c>
      <c r="B127" t="s">
        <v>1462</v>
      </c>
      <c r="C127">
        <v>3</v>
      </c>
    </row>
    <row r="128" spans="1:3" x14ac:dyDescent="0.35">
      <c r="A128">
        <v>9</v>
      </c>
      <c r="B128" t="s">
        <v>1462</v>
      </c>
      <c r="C128">
        <v>3</v>
      </c>
    </row>
    <row r="129" spans="1:3" x14ac:dyDescent="0.35">
      <c r="A129">
        <v>10</v>
      </c>
      <c r="B129" t="s">
        <v>1462</v>
      </c>
      <c r="C129">
        <v>3</v>
      </c>
    </row>
    <row r="130" spans="1:3" x14ac:dyDescent="0.35">
      <c r="A130">
        <v>11</v>
      </c>
      <c r="B130" t="s">
        <v>1462</v>
      </c>
      <c r="C130">
        <v>3</v>
      </c>
    </row>
    <row r="131" spans="1:3" x14ac:dyDescent="0.35">
      <c r="A131">
        <v>12</v>
      </c>
      <c r="B131" t="s">
        <v>1462</v>
      </c>
      <c r="C131">
        <v>3</v>
      </c>
    </row>
    <row r="132" spans="1:3" x14ac:dyDescent="0.35">
      <c r="A132">
        <v>13</v>
      </c>
      <c r="B132" t="s">
        <v>1462</v>
      </c>
      <c r="C132">
        <v>3</v>
      </c>
    </row>
    <row r="133" spans="1:3" x14ac:dyDescent="0.35">
      <c r="A133">
        <v>14</v>
      </c>
      <c r="B133" t="s">
        <v>1462</v>
      </c>
      <c r="C133">
        <v>3</v>
      </c>
    </row>
    <row r="134" spans="1:3" x14ac:dyDescent="0.35">
      <c r="A134">
        <v>15</v>
      </c>
      <c r="B134" t="s">
        <v>1462</v>
      </c>
      <c r="C134">
        <v>3</v>
      </c>
    </row>
    <row r="135" spans="1:3" x14ac:dyDescent="0.35">
      <c r="A135">
        <v>16</v>
      </c>
      <c r="B135" t="s">
        <v>1462</v>
      </c>
      <c r="C135">
        <v>3</v>
      </c>
    </row>
    <row r="136" spans="1:3" x14ac:dyDescent="0.35">
      <c r="A136">
        <v>17</v>
      </c>
      <c r="B136" t="s">
        <v>1462</v>
      </c>
      <c r="C136">
        <v>3</v>
      </c>
    </row>
    <row r="137" spans="1:3" x14ac:dyDescent="0.35">
      <c r="A137">
        <v>18</v>
      </c>
      <c r="B137" t="s">
        <v>1462</v>
      </c>
      <c r="C137">
        <v>3</v>
      </c>
    </row>
    <row r="138" spans="1:3" x14ac:dyDescent="0.35">
      <c r="A138">
        <v>19</v>
      </c>
      <c r="B138" t="s">
        <v>1462</v>
      </c>
      <c r="C138">
        <v>3</v>
      </c>
    </row>
    <row r="139" spans="1:3" x14ac:dyDescent="0.35">
      <c r="A139">
        <v>20</v>
      </c>
      <c r="B139" t="s">
        <v>1462</v>
      </c>
      <c r="C139">
        <v>3</v>
      </c>
    </row>
    <row r="140" spans="1:3" x14ac:dyDescent="0.35">
      <c r="A140">
        <v>21</v>
      </c>
      <c r="B140" t="s">
        <v>1462</v>
      </c>
      <c r="C140">
        <v>3</v>
      </c>
    </row>
    <row r="141" spans="1:3" x14ac:dyDescent="0.35">
      <c r="A141">
        <v>22</v>
      </c>
      <c r="B141" t="s">
        <v>1462</v>
      </c>
      <c r="C141">
        <v>3</v>
      </c>
    </row>
    <row r="142" spans="1:3" x14ac:dyDescent="0.35">
      <c r="A142">
        <v>23</v>
      </c>
      <c r="B142" t="s">
        <v>1462</v>
      </c>
      <c r="C142">
        <v>3</v>
      </c>
    </row>
    <row r="143" spans="1:3" x14ac:dyDescent="0.35">
      <c r="A143">
        <v>24</v>
      </c>
      <c r="B143" t="s">
        <v>1462</v>
      </c>
      <c r="C143">
        <v>3</v>
      </c>
    </row>
    <row r="144" spans="1:3" x14ac:dyDescent="0.35">
      <c r="A144">
        <v>25</v>
      </c>
      <c r="B144" t="s">
        <v>1462</v>
      </c>
      <c r="C144">
        <v>3</v>
      </c>
    </row>
    <row r="145" spans="1:3" x14ac:dyDescent="0.35">
      <c r="A145">
        <v>26</v>
      </c>
      <c r="B145" t="s">
        <v>1462</v>
      </c>
      <c r="C145">
        <v>3</v>
      </c>
    </row>
    <row r="146" spans="1:3" x14ac:dyDescent="0.35">
      <c r="A146">
        <v>27</v>
      </c>
      <c r="B146" t="s">
        <v>1462</v>
      </c>
      <c r="C146">
        <v>3</v>
      </c>
    </row>
    <row r="147" spans="1:3" x14ac:dyDescent="0.35">
      <c r="A147">
        <v>28</v>
      </c>
      <c r="B147" t="s">
        <v>1462</v>
      </c>
      <c r="C147">
        <v>3</v>
      </c>
    </row>
    <row r="148" spans="1:3" x14ac:dyDescent="0.35">
      <c r="A148">
        <v>30</v>
      </c>
      <c r="B148" t="s">
        <v>1462</v>
      </c>
      <c r="C148">
        <v>3</v>
      </c>
    </row>
    <row r="149" spans="1:3" x14ac:dyDescent="0.35">
      <c r="A149">
        <v>32</v>
      </c>
      <c r="B149" t="s">
        <v>1462</v>
      </c>
      <c r="C149">
        <v>3</v>
      </c>
    </row>
    <row r="150" spans="1:3" x14ac:dyDescent="0.35">
      <c r="A150">
        <v>34</v>
      </c>
      <c r="B150" t="s">
        <v>1462</v>
      </c>
      <c r="C150">
        <v>3</v>
      </c>
    </row>
    <row r="151" spans="1:3" x14ac:dyDescent="0.35">
      <c r="A151">
        <v>799</v>
      </c>
      <c r="B151" t="s">
        <v>1462</v>
      </c>
      <c r="C151">
        <v>3</v>
      </c>
    </row>
    <row r="152" spans="1:3" x14ac:dyDescent="0.35">
      <c r="A152">
        <v>907</v>
      </c>
      <c r="B152" t="s">
        <v>1462</v>
      </c>
      <c r="C152">
        <v>3</v>
      </c>
    </row>
    <row r="153" spans="1:3" x14ac:dyDescent="0.35">
      <c r="A153">
        <v>1490</v>
      </c>
      <c r="B153" t="s">
        <v>1462</v>
      </c>
      <c r="C153">
        <v>3</v>
      </c>
    </row>
    <row r="154" spans="1:3" x14ac:dyDescent="0.35">
      <c r="A154">
        <v>2908</v>
      </c>
      <c r="B154" t="s">
        <v>1463</v>
      </c>
      <c r="C154">
        <v>10</v>
      </c>
    </row>
    <row r="155" spans="1:3" x14ac:dyDescent="0.35">
      <c r="A155">
        <v>2432</v>
      </c>
      <c r="B155" t="s">
        <v>1464</v>
      </c>
      <c r="C155">
        <v>5</v>
      </c>
    </row>
    <row r="156" spans="1:3" x14ac:dyDescent="0.35">
      <c r="A156">
        <v>2433</v>
      </c>
      <c r="B156" t="s">
        <v>1464</v>
      </c>
      <c r="C156">
        <v>5</v>
      </c>
    </row>
    <row r="157" spans="1:3" x14ac:dyDescent="0.35">
      <c r="A157">
        <v>1497</v>
      </c>
      <c r="B157" t="s">
        <v>366</v>
      </c>
      <c r="C157">
        <v>2</v>
      </c>
    </row>
    <row r="158" spans="1:3" x14ac:dyDescent="0.35">
      <c r="A158">
        <v>1900</v>
      </c>
      <c r="B158" t="s">
        <v>366</v>
      </c>
      <c r="C158">
        <v>2</v>
      </c>
    </row>
    <row r="159" spans="1:3" x14ac:dyDescent="0.35">
      <c r="A159">
        <v>2430</v>
      </c>
      <c r="B159" t="s">
        <v>1465</v>
      </c>
      <c r="C159">
        <v>5</v>
      </c>
    </row>
    <row r="160" spans="1:3" x14ac:dyDescent="0.35">
      <c r="A160">
        <v>2431</v>
      </c>
      <c r="B160" t="s">
        <v>1465</v>
      </c>
      <c r="C160">
        <v>5</v>
      </c>
    </row>
    <row r="161" spans="1:3" x14ac:dyDescent="0.35">
      <c r="A161">
        <v>2435</v>
      </c>
      <c r="B161" t="s">
        <v>1465</v>
      </c>
      <c r="C161">
        <v>5</v>
      </c>
    </row>
    <row r="162" spans="1:3" x14ac:dyDescent="0.35">
      <c r="A162">
        <v>2436</v>
      </c>
      <c r="B162" t="s">
        <v>1465</v>
      </c>
      <c r="C162">
        <v>5</v>
      </c>
    </row>
    <row r="163" spans="1:3" x14ac:dyDescent="0.35">
      <c r="A163">
        <v>2437</v>
      </c>
      <c r="B163" t="s">
        <v>1465</v>
      </c>
      <c r="C163">
        <v>5</v>
      </c>
    </row>
    <row r="164" spans="1:3" x14ac:dyDescent="0.35">
      <c r="A164">
        <v>2438</v>
      </c>
      <c r="B164" t="s">
        <v>1465</v>
      </c>
      <c r="C164">
        <v>5</v>
      </c>
    </row>
    <row r="165" spans="1:3" x14ac:dyDescent="0.35">
      <c r="A165">
        <v>2439</v>
      </c>
      <c r="B165" t="s">
        <v>1465</v>
      </c>
      <c r="C165">
        <v>5</v>
      </c>
    </row>
    <row r="166" spans="1:3" x14ac:dyDescent="0.35">
      <c r="A166">
        <v>2440</v>
      </c>
      <c r="B166" t="s">
        <v>1465</v>
      </c>
      <c r="C166">
        <v>5</v>
      </c>
    </row>
    <row r="167" spans="1:3" x14ac:dyDescent="0.35">
      <c r="A167">
        <v>2441</v>
      </c>
      <c r="B167" t="s">
        <v>1465</v>
      </c>
      <c r="C167">
        <v>5</v>
      </c>
    </row>
    <row r="168" spans="1:3" x14ac:dyDescent="0.35">
      <c r="A168">
        <v>2442</v>
      </c>
      <c r="B168" t="s">
        <v>1465</v>
      </c>
      <c r="C168">
        <v>5</v>
      </c>
    </row>
    <row r="169" spans="1:3" x14ac:dyDescent="0.35">
      <c r="A169">
        <v>2443</v>
      </c>
      <c r="B169" t="s">
        <v>1465</v>
      </c>
      <c r="C169">
        <v>5</v>
      </c>
    </row>
    <row r="170" spans="1:3" x14ac:dyDescent="0.35">
      <c r="A170">
        <v>2444</v>
      </c>
      <c r="B170" t="s">
        <v>1465</v>
      </c>
      <c r="C170">
        <v>5</v>
      </c>
    </row>
    <row r="171" spans="1:3" x14ac:dyDescent="0.35">
      <c r="A171">
        <v>2445</v>
      </c>
      <c r="B171" t="s">
        <v>1465</v>
      </c>
      <c r="C171">
        <v>5</v>
      </c>
    </row>
    <row r="172" spans="1:3" x14ac:dyDescent="0.35">
      <c r="A172">
        <v>2446</v>
      </c>
      <c r="B172" t="s">
        <v>1465</v>
      </c>
      <c r="C172">
        <v>5</v>
      </c>
    </row>
    <row r="173" spans="1:3" x14ac:dyDescent="0.35">
      <c r="A173">
        <v>2447</v>
      </c>
      <c r="B173" t="s">
        <v>1465</v>
      </c>
      <c r="C173">
        <v>5</v>
      </c>
    </row>
    <row r="174" spans="1:3" x14ac:dyDescent="0.35">
      <c r="A174">
        <v>2448</v>
      </c>
      <c r="B174" t="s">
        <v>1465</v>
      </c>
      <c r="C174">
        <v>5</v>
      </c>
    </row>
    <row r="175" spans="1:3" x14ac:dyDescent="0.35">
      <c r="A175">
        <v>2449</v>
      </c>
      <c r="B175" t="s">
        <v>1465</v>
      </c>
      <c r="C175">
        <v>5</v>
      </c>
    </row>
    <row r="176" spans="1:3" x14ac:dyDescent="0.35">
      <c r="A176">
        <v>2450</v>
      </c>
      <c r="B176" t="s">
        <v>1465</v>
      </c>
      <c r="C176">
        <v>5</v>
      </c>
    </row>
    <row r="177" spans="1:3" x14ac:dyDescent="0.35">
      <c r="A177">
        <v>2451</v>
      </c>
      <c r="B177" t="s">
        <v>1465</v>
      </c>
      <c r="C177">
        <v>5</v>
      </c>
    </row>
    <row r="178" spans="1:3" x14ac:dyDescent="0.35">
      <c r="A178">
        <v>2452</v>
      </c>
      <c r="B178" t="s">
        <v>1465</v>
      </c>
      <c r="C178">
        <v>5</v>
      </c>
    </row>
    <row r="179" spans="1:3" x14ac:dyDescent="0.35">
      <c r="A179">
        <v>2454</v>
      </c>
      <c r="B179" t="s">
        <v>1465</v>
      </c>
      <c r="C179">
        <v>5</v>
      </c>
    </row>
    <row r="180" spans="1:3" x14ac:dyDescent="0.35">
      <c r="A180">
        <v>2770</v>
      </c>
      <c r="B180" t="s">
        <v>1466</v>
      </c>
      <c r="C180">
        <v>9</v>
      </c>
    </row>
    <row r="181" spans="1:3" x14ac:dyDescent="0.35">
      <c r="A181">
        <v>2773</v>
      </c>
      <c r="B181" t="s">
        <v>1466</v>
      </c>
      <c r="C181">
        <v>9</v>
      </c>
    </row>
    <row r="182" spans="1:3" x14ac:dyDescent="0.35">
      <c r="A182">
        <v>2670</v>
      </c>
      <c r="B182" t="s">
        <v>1467</v>
      </c>
      <c r="C182">
        <v>8</v>
      </c>
    </row>
    <row r="183" spans="1:3" x14ac:dyDescent="0.35">
      <c r="A183">
        <v>2671</v>
      </c>
      <c r="B183" t="s">
        <v>1467</v>
      </c>
      <c r="C183">
        <v>8</v>
      </c>
    </row>
    <row r="184" spans="1:3" x14ac:dyDescent="0.35">
      <c r="A184">
        <v>86</v>
      </c>
      <c r="B184" t="s">
        <v>1468</v>
      </c>
      <c r="C184">
        <v>3</v>
      </c>
    </row>
    <row r="185" spans="1:3" x14ac:dyDescent="0.35">
      <c r="A185">
        <v>87</v>
      </c>
      <c r="B185" t="s">
        <v>1468</v>
      </c>
      <c r="C185">
        <v>3</v>
      </c>
    </row>
    <row r="186" spans="1:3" x14ac:dyDescent="0.35">
      <c r="A186">
        <v>88</v>
      </c>
      <c r="B186" t="s">
        <v>1468</v>
      </c>
      <c r="C186">
        <v>3</v>
      </c>
    </row>
    <row r="187" spans="1:3" x14ac:dyDescent="0.35">
      <c r="A187">
        <v>89</v>
      </c>
      <c r="B187" t="s">
        <v>1468</v>
      </c>
      <c r="C187">
        <v>3</v>
      </c>
    </row>
    <row r="188" spans="1:3" x14ac:dyDescent="0.35">
      <c r="A188">
        <v>90</v>
      </c>
      <c r="B188" t="s">
        <v>1468</v>
      </c>
      <c r="C188">
        <v>3</v>
      </c>
    </row>
    <row r="189" spans="1:3" x14ac:dyDescent="0.35">
      <c r="A189">
        <v>91</v>
      </c>
      <c r="B189" t="s">
        <v>1468</v>
      </c>
      <c r="C189">
        <v>3</v>
      </c>
    </row>
    <row r="190" spans="1:3" x14ac:dyDescent="0.35">
      <c r="A190">
        <v>92</v>
      </c>
      <c r="B190" t="s">
        <v>1468</v>
      </c>
      <c r="C190">
        <v>3</v>
      </c>
    </row>
    <row r="191" spans="1:3" x14ac:dyDescent="0.35">
      <c r="A191">
        <v>93</v>
      </c>
      <c r="B191" t="s">
        <v>1468</v>
      </c>
      <c r="C191">
        <v>3</v>
      </c>
    </row>
    <row r="192" spans="1:3" x14ac:dyDescent="0.35">
      <c r="A192">
        <v>94</v>
      </c>
      <c r="B192" t="s">
        <v>1468</v>
      </c>
      <c r="C192">
        <v>3</v>
      </c>
    </row>
    <row r="193" spans="1:3" x14ac:dyDescent="0.35">
      <c r="A193">
        <v>97</v>
      </c>
      <c r="B193" t="s">
        <v>1468</v>
      </c>
      <c r="C193">
        <v>3</v>
      </c>
    </row>
    <row r="194" spans="1:3" x14ac:dyDescent="0.35">
      <c r="A194">
        <v>98</v>
      </c>
      <c r="B194" t="s">
        <v>1468</v>
      </c>
      <c r="C194">
        <v>3</v>
      </c>
    </row>
    <row r="195" spans="1:3" x14ac:dyDescent="0.35">
      <c r="A195">
        <v>100</v>
      </c>
      <c r="B195" t="s">
        <v>1468</v>
      </c>
      <c r="C195">
        <v>3</v>
      </c>
    </row>
    <row r="196" spans="1:3" x14ac:dyDescent="0.35">
      <c r="A196">
        <v>101</v>
      </c>
      <c r="B196" t="s">
        <v>1468</v>
      </c>
      <c r="C196">
        <v>3</v>
      </c>
    </row>
    <row r="197" spans="1:3" x14ac:dyDescent="0.35">
      <c r="A197">
        <v>102</v>
      </c>
      <c r="B197" t="s">
        <v>1468</v>
      </c>
      <c r="C197">
        <v>3</v>
      </c>
    </row>
    <row r="198" spans="1:3" x14ac:dyDescent="0.35">
      <c r="A198">
        <v>103</v>
      </c>
      <c r="B198" t="s">
        <v>1468</v>
      </c>
      <c r="C198">
        <v>3</v>
      </c>
    </row>
    <row r="199" spans="1:3" x14ac:dyDescent="0.35">
      <c r="A199">
        <v>105</v>
      </c>
      <c r="B199" t="s">
        <v>1468</v>
      </c>
      <c r="C199">
        <v>3</v>
      </c>
    </row>
    <row r="200" spans="1:3" x14ac:dyDescent="0.35">
      <c r="A200">
        <v>106</v>
      </c>
      <c r="B200" t="s">
        <v>1468</v>
      </c>
      <c r="C200">
        <v>3</v>
      </c>
    </row>
    <row r="201" spans="1:3" x14ac:dyDescent="0.35">
      <c r="A201">
        <v>107</v>
      </c>
      <c r="B201" t="s">
        <v>1468</v>
      </c>
      <c r="C201">
        <v>3</v>
      </c>
    </row>
    <row r="202" spans="1:3" x14ac:dyDescent="0.35">
      <c r="A202">
        <v>108</v>
      </c>
      <c r="B202" t="s">
        <v>1468</v>
      </c>
      <c r="C202">
        <v>3</v>
      </c>
    </row>
    <row r="203" spans="1:3" x14ac:dyDescent="0.35">
      <c r="A203">
        <v>109</v>
      </c>
      <c r="B203" t="s">
        <v>1468</v>
      </c>
      <c r="C203">
        <v>3</v>
      </c>
    </row>
    <row r="204" spans="1:3" x14ac:dyDescent="0.35">
      <c r="A204">
        <v>110</v>
      </c>
      <c r="B204" t="s">
        <v>1468</v>
      </c>
      <c r="C204">
        <v>3</v>
      </c>
    </row>
    <row r="205" spans="1:3" x14ac:dyDescent="0.35">
      <c r="A205">
        <v>111</v>
      </c>
      <c r="B205" t="s">
        <v>1468</v>
      </c>
      <c r="C205">
        <v>3</v>
      </c>
    </row>
    <row r="206" spans="1:3" x14ac:dyDescent="0.35">
      <c r="A206">
        <v>112</v>
      </c>
      <c r="B206" t="s">
        <v>1468</v>
      </c>
      <c r="C206">
        <v>3</v>
      </c>
    </row>
    <row r="207" spans="1:3" x14ac:dyDescent="0.35">
      <c r="A207">
        <v>113</v>
      </c>
      <c r="B207" t="s">
        <v>1468</v>
      </c>
      <c r="C207">
        <v>3</v>
      </c>
    </row>
    <row r="208" spans="1:3" x14ac:dyDescent="0.35">
      <c r="A208">
        <v>114</v>
      </c>
      <c r="B208" t="s">
        <v>1468</v>
      </c>
      <c r="C208">
        <v>3</v>
      </c>
    </row>
    <row r="209" spans="1:3" x14ac:dyDescent="0.35">
      <c r="A209">
        <v>115</v>
      </c>
      <c r="B209" t="s">
        <v>1468</v>
      </c>
      <c r="C209">
        <v>3</v>
      </c>
    </row>
    <row r="210" spans="1:3" x14ac:dyDescent="0.35">
      <c r="A210">
        <v>116</v>
      </c>
      <c r="B210" t="s">
        <v>1468</v>
      </c>
      <c r="C210">
        <v>3</v>
      </c>
    </row>
    <row r="211" spans="1:3" x14ac:dyDescent="0.35">
      <c r="A211">
        <v>117</v>
      </c>
      <c r="B211" t="s">
        <v>1468</v>
      </c>
      <c r="C211">
        <v>3</v>
      </c>
    </row>
    <row r="212" spans="1:3" x14ac:dyDescent="0.35">
      <c r="A212">
        <v>118</v>
      </c>
      <c r="B212" t="s">
        <v>1468</v>
      </c>
      <c r="C212">
        <v>3</v>
      </c>
    </row>
    <row r="213" spans="1:3" x14ac:dyDescent="0.35">
      <c r="A213">
        <v>119</v>
      </c>
      <c r="B213" t="s">
        <v>1468</v>
      </c>
      <c r="C213">
        <v>3</v>
      </c>
    </row>
    <row r="214" spans="1:3" x14ac:dyDescent="0.35">
      <c r="A214">
        <v>120</v>
      </c>
      <c r="B214" t="s">
        <v>1468</v>
      </c>
      <c r="C214">
        <v>3</v>
      </c>
    </row>
    <row r="215" spans="1:3" x14ac:dyDescent="0.35">
      <c r="A215">
        <v>121</v>
      </c>
      <c r="B215" t="s">
        <v>1468</v>
      </c>
      <c r="C215">
        <v>3</v>
      </c>
    </row>
    <row r="216" spans="1:3" x14ac:dyDescent="0.35">
      <c r="A216">
        <v>122</v>
      </c>
      <c r="B216" t="s">
        <v>1468</v>
      </c>
      <c r="C216">
        <v>3</v>
      </c>
    </row>
    <row r="217" spans="1:3" x14ac:dyDescent="0.35">
      <c r="A217">
        <v>123</v>
      </c>
      <c r="B217" t="s">
        <v>1468</v>
      </c>
      <c r="C217">
        <v>3</v>
      </c>
    </row>
    <row r="218" spans="1:3" x14ac:dyDescent="0.35">
      <c r="A218">
        <v>124</v>
      </c>
      <c r="B218" t="s">
        <v>1468</v>
      </c>
      <c r="C218">
        <v>3</v>
      </c>
    </row>
    <row r="219" spans="1:3" x14ac:dyDescent="0.35">
      <c r="A219">
        <v>125</v>
      </c>
      <c r="B219" t="s">
        <v>1468</v>
      </c>
      <c r="C219">
        <v>3</v>
      </c>
    </row>
    <row r="220" spans="1:3" x14ac:dyDescent="0.35">
      <c r="A220">
        <v>126</v>
      </c>
      <c r="B220" t="s">
        <v>1468</v>
      </c>
      <c r="C220">
        <v>3</v>
      </c>
    </row>
    <row r="221" spans="1:3" x14ac:dyDescent="0.35">
      <c r="A221">
        <v>127</v>
      </c>
      <c r="B221" t="s">
        <v>1468</v>
      </c>
      <c r="C221">
        <v>3</v>
      </c>
    </row>
    <row r="222" spans="1:3" x14ac:dyDescent="0.35">
      <c r="A222">
        <v>128</v>
      </c>
      <c r="B222" t="s">
        <v>1468</v>
      </c>
      <c r="C222">
        <v>3</v>
      </c>
    </row>
    <row r="223" spans="1:3" x14ac:dyDescent="0.35">
      <c r="A223">
        <v>129</v>
      </c>
      <c r="B223" t="s">
        <v>1468</v>
      </c>
      <c r="C223">
        <v>3</v>
      </c>
    </row>
    <row r="224" spans="1:3" x14ac:dyDescent="0.35">
      <c r="A224">
        <v>131</v>
      </c>
      <c r="B224" t="s">
        <v>1468</v>
      </c>
      <c r="C224">
        <v>3</v>
      </c>
    </row>
    <row r="225" spans="1:3" x14ac:dyDescent="0.35">
      <c r="A225">
        <v>132</v>
      </c>
      <c r="B225" t="s">
        <v>1468</v>
      </c>
      <c r="C225">
        <v>3</v>
      </c>
    </row>
    <row r="226" spans="1:3" x14ac:dyDescent="0.35">
      <c r="A226">
        <v>133</v>
      </c>
      <c r="B226" t="s">
        <v>1468</v>
      </c>
      <c r="C226">
        <v>3</v>
      </c>
    </row>
    <row r="227" spans="1:3" x14ac:dyDescent="0.35">
      <c r="A227">
        <v>134</v>
      </c>
      <c r="B227" t="s">
        <v>1468</v>
      </c>
      <c r="C227">
        <v>3</v>
      </c>
    </row>
    <row r="228" spans="1:3" x14ac:dyDescent="0.35">
      <c r="A228">
        <v>135</v>
      </c>
      <c r="B228" t="s">
        <v>1468</v>
      </c>
      <c r="C228">
        <v>3</v>
      </c>
    </row>
    <row r="229" spans="1:3" x14ac:dyDescent="0.35">
      <c r="A229">
        <v>136</v>
      </c>
      <c r="B229" t="s">
        <v>1468</v>
      </c>
      <c r="C229">
        <v>3</v>
      </c>
    </row>
    <row r="230" spans="1:3" x14ac:dyDescent="0.35">
      <c r="A230">
        <v>204</v>
      </c>
      <c r="B230" t="s">
        <v>1468</v>
      </c>
      <c r="C230">
        <v>3</v>
      </c>
    </row>
    <row r="231" spans="1:3" x14ac:dyDescent="0.35">
      <c r="A231">
        <v>1491</v>
      </c>
      <c r="B231" t="s">
        <v>368</v>
      </c>
      <c r="C231">
        <v>2</v>
      </c>
    </row>
    <row r="232" spans="1:3" x14ac:dyDescent="0.35">
      <c r="A232">
        <v>1493</v>
      </c>
      <c r="B232" t="s">
        <v>368</v>
      </c>
      <c r="C232">
        <v>2</v>
      </c>
    </row>
    <row r="233" spans="1:3" x14ac:dyDescent="0.35">
      <c r="A233">
        <v>1494</v>
      </c>
      <c r="B233" t="s">
        <v>368</v>
      </c>
      <c r="C233">
        <v>2</v>
      </c>
    </row>
    <row r="234" spans="1:3" x14ac:dyDescent="0.35">
      <c r="A234">
        <v>1495</v>
      </c>
      <c r="B234" t="s">
        <v>368</v>
      </c>
      <c r="C234">
        <v>2</v>
      </c>
    </row>
    <row r="235" spans="1:3" x14ac:dyDescent="0.35">
      <c r="A235">
        <v>1496</v>
      </c>
      <c r="B235" t="s">
        <v>368</v>
      </c>
      <c r="C235">
        <v>2</v>
      </c>
    </row>
    <row r="236" spans="1:3" x14ac:dyDescent="0.35">
      <c r="A236">
        <v>1498</v>
      </c>
      <c r="B236" t="s">
        <v>368</v>
      </c>
      <c r="C236">
        <v>2</v>
      </c>
    </row>
    <row r="237" spans="1:3" x14ac:dyDescent="0.35">
      <c r="A237">
        <v>1499</v>
      </c>
      <c r="B237" t="s">
        <v>368</v>
      </c>
      <c r="C237">
        <v>2</v>
      </c>
    </row>
    <row r="238" spans="1:3" x14ac:dyDescent="0.35">
      <c r="A238">
        <v>1500</v>
      </c>
      <c r="B238" t="s">
        <v>368</v>
      </c>
      <c r="C238">
        <v>2</v>
      </c>
    </row>
    <row r="239" spans="1:3" x14ac:dyDescent="0.35">
      <c r="A239">
        <v>1501</v>
      </c>
      <c r="B239" t="s">
        <v>368</v>
      </c>
      <c r="C239">
        <v>2</v>
      </c>
    </row>
    <row r="240" spans="1:3" x14ac:dyDescent="0.35">
      <c r="A240">
        <v>1502</v>
      </c>
      <c r="B240" t="s">
        <v>368</v>
      </c>
      <c r="C240">
        <v>2</v>
      </c>
    </row>
    <row r="241" spans="1:3" x14ac:dyDescent="0.35">
      <c r="A241">
        <v>1503</v>
      </c>
      <c r="B241" t="s">
        <v>368</v>
      </c>
      <c r="C241">
        <v>2</v>
      </c>
    </row>
    <row r="242" spans="1:3" x14ac:dyDescent="0.35">
      <c r="A242">
        <v>1512</v>
      </c>
      <c r="B242" t="s">
        <v>368</v>
      </c>
      <c r="C242">
        <v>2</v>
      </c>
    </row>
    <row r="243" spans="1:3" x14ac:dyDescent="0.35">
      <c r="A243">
        <v>1589</v>
      </c>
      <c r="B243" t="s">
        <v>368</v>
      </c>
      <c r="C243">
        <v>2</v>
      </c>
    </row>
    <row r="244" spans="1:3" x14ac:dyDescent="0.35">
      <c r="A244">
        <v>1591</v>
      </c>
      <c r="B244" t="s">
        <v>368</v>
      </c>
      <c r="C244">
        <v>2</v>
      </c>
    </row>
    <row r="245" spans="1:3" x14ac:dyDescent="0.35">
      <c r="A245">
        <v>1892</v>
      </c>
      <c r="B245" t="s">
        <v>368</v>
      </c>
      <c r="C245">
        <v>2</v>
      </c>
    </row>
    <row r="246" spans="1:3" x14ac:dyDescent="0.35">
      <c r="A246">
        <v>1893</v>
      </c>
      <c r="B246" t="s">
        <v>368</v>
      </c>
      <c r="C246">
        <v>2</v>
      </c>
    </row>
    <row r="247" spans="1:3" x14ac:dyDescent="0.35">
      <c r="A247">
        <v>1894</v>
      </c>
      <c r="B247" t="s">
        <v>368</v>
      </c>
      <c r="C247">
        <v>2</v>
      </c>
    </row>
    <row r="248" spans="1:3" x14ac:dyDescent="0.35">
      <c r="A248">
        <v>1895</v>
      </c>
      <c r="B248" t="s">
        <v>368</v>
      </c>
      <c r="C248">
        <v>2</v>
      </c>
    </row>
    <row r="249" spans="1:3" x14ac:dyDescent="0.35">
      <c r="A249">
        <v>1896</v>
      </c>
      <c r="B249" t="s">
        <v>368</v>
      </c>
      <c r="C249">
        <v>2</v>
      </c>
    </row>
    <row r="250" spans="1:3" x14ac:dyDescent="0.35">
      <c r="A250">
        <v>1897</v>
      </c>
      <c r="B250" t="s">
        <v>368</v>
      </c>
      <c r="C250">
        <v>2</v>
      </c>
    </row>
    <row r="251" spans="1:3" x14ac:dyDescent="0.35">
      <c r="A251">
        <v>1898</v>
      </c>
      <c r="B251" t="s">
        <v>368</v>
      </c>
      <c r="C251">
        <v>2</v>
      </c>
    </row>
    <row r="252" spans="1:3" x14ac:dyDescent="0.35">
      <c r="A252">
        <v>1899</v>
      </c>
      <c r="B252" t="s">
        <v>368</v>
      </c>
      <c r="C252">
        <v>2</v>
      </c>
    </row>
    <row r="253" spans="1:3" x14ac:dyDescent="0.35">
      <c r="A253">
        <v>1901</v>
      </c>
      <c r="B253" t="s">
        <v>368</v>
      </c>
      <c r="C253">
        <v>2</v>
      </c>
    </row>
    <row r="254" spans="1:3" x14ac:dyDescent="0.35">
      <c r="A254">
        <v>1902</v>
      </c>
      <c r="B254" t="s">
        <v>368</v>
      </c>
      <c r="C254">
        <v>2</v>
      </c>
    </row>
    <row r="255" spans="1:3" x14ac:dyDescent="0.35">
      <c r="A255">
        <v>1903</v>
      </c>
      <c r="B255" t="s">
        <v>368</v>
      </c>
      <c r="C255">
        <v>2</v>
      </c>
    </row>
    <row r="256" spans="1:3" x14ac:dyDescent="0.35">
      <c r="A256">
        <v>1904</v>
      </c>
      <c r="B256" t="s">
        <v>368</v>
      </c>
      <c r="C256">
        <v>2</v>
      </c>
    </row>
    <row r="257" spans="1:3" x14ac:dyDescent="0.35">
      <c r="A257">
        <v>1905</v>
      </c>
      <c r="B257" t="s">
        <v>368</v>
      </c>
      <c r="C257">
        <v>2</v>
      </c>
    </row>
    <row r="258" spans="1:3" x14ac:dyDescent="0.35">
      <c r="A258">
        <v>1907</v>
      </c>
      <c r="B258" t="s">
        <v>368</v>
      </c>
      <c r="C258">
        <v>2</v>
      </c>
    </row>
    <row r="259" spans="1:3" x14ac:dyDescent="0.35">
      <c r="A259">
        <v>1918</v>
      </c>
      <c r="B259" t="s">
        <v>368</v>
      </c>
      <c r="C259">
        <v>2</v>
      </c>
    </row>
    <row r="260" spans="1:3" x14ac:dyDescent="0.35">
      <c r="A260">
        <v>1919</v>
      </c>
      <c r="B260" t="s">
        <v>368</v>
      </c>
      <c r="C260">
        <v>2</v>
      </c>
    </row>
    <row r="261" spans="1:3" x14ac:dyDescent="0.35">
      <c r="A261">
        <v>2498</v>
      </c>
      <c r="B261" t="s">
        <v>1469</v>
      </c>
      <c r="C261">
        <v>5</v>
      </c>
    </row>
    <row r="262" spans="1:3" x14ac:dyDescent="0.35">
      <c r="A262">
        <v>2499</v>
      </c>
      <c r="B262" t="s">
        <v>1469</v>
      </c>
      <c r="C262">
        <v>5</v>
      </c>
    </row>
    <row r="263" spans="1:3" x14ac:dyDescent="0.35">
      <c r="A263">
        <v>2501</v>
      </c>
      <c r="B263" t="s">
        <v>1469</v>
      </c>
      <c r="C263">
        <v>5</v>
      </c>
    </row>
    <row r="264" spans="1:3" x14ac:dyDescent="0.35">
      <c r="A264">
        <v>2620</v>
      </c>
      <c r="B264" t="s">
        <v>1470</v>
      </c>
      <c r="C264">
        <v>6</v>
      </c>
    </row>
    <row r="265" spans="1:3" x14ac:dyDescent="0.35">
      <c r="A265">
        <v>2621</v>
      </c>
      <c r="B265" t="s">
        <v>1470</v>
      </c>
      <c r="C265">
        <v>6</v>
      </c>
    </row>
    <row r="266" spans="1:3" x14ac:dyDescent="0.35">
      <c r="A266">
        <v>2061</v>
      </c>
      <c r="B266" t="s">
        <v>1471</v>
      </c>
      <c r="C266">
        <v>4</v>
      </c>
    </row>
    <row r="267" spans="1:3" x14ac:dyDescent="0.35">
      <c r="A267">
        <v>2062</v>
      </c>
      <c r="B267" t="s">
        <v>1471</v>
      </c>
      <c r="C267">
        <v>4</v>
      </c>
    </row>
    <row r="268" spans="1:3" x14ac:dyDescent="0.35">
      <c r="A268">
        <v>2063</v>
      </c>
      <c r="B268" t="s">
        <v>1471</v>
      </c>
      <c r="C268">
        <v>4</v>
      </c>
    </row>
    <row r="269" spans="1:3" x14ac:dyDescent="0.35">
      <c r="A269">
        <v>2064</v>
      </c>
      <c r="B269" t="s">
        <v>1471</v>
      </c>
      <c r="C269">
        <v>4</v>
      </c>
    </row>
    <row r="270" spans="1:3" x14ac:dyDescent="0.35">
      <c r="A270">
        <v>2065</v>
      </c>
      <c r="B270" t="s">
        <v>1471</v>
      </c>
      <c r="C270">
        <v>4</v>
      </c>
    </row>
    <row r="271" spans="1:3" x14ac:dyDescent="0.35">
      <c r="A271">
        <v>2066</v>
      </c>
      <c r="B271" t="s">
        <v>1471</v>
      </c>
      <c r="C271">
        <v>4</v>
      </c>
    </row>
    <row r="272" spans="1:3" x14ac:dyDescent="0.35">
      <c r="A272">
        <v>1579</v>
      </c>
      <c r="B272" t="s">
        <v>370</v>
      </c>
      <c r="C272">
        <v>2</v>
      </c>
    </row>
    <row r="273" spans="1:3" x14ac:dyDescent="0.35">
      <c r="A273">
        <v>1580</v>
      </c>
      <c r="B273" t="s">
        <v>370</v>
      </c>
      <c r="C273">
        <v>2</v>
      </c>
    </row>
    <row r="274" spans="1:3" x14ac:dyDescent="0.35">
      <c r="A274">
        <v>1632</v>
      </c>
      <c r="B274" t="s">
        <v>370</v>
      </c>
      <c r="C274">
        <v>2</v>
      </c>
    </row>
    <row r="275" spans="1:3" x14ac:dyDescent="0.35">
      <c r="A275">
        <v>1682</v>
      </c>
      <c r="B275" t="s">
        <v>370</v>
      </c>
      <c r="C275">
        <v>2</v>
      </c>
    </row>
    <row r="276" spans="1:3" x14ac:dyDescent="0.35">
      <c r="A276">
        <v>2033</v>
      </c>
      <c r="B276" t="s">
        <v>370</v>
      </c>
      <c r="C276">
        <v>2</v>
      </c>
    </row>
    <row r="277" spans="1:3" x14ac:dyDescent="0.35">
      <c r="A277">
        <v>2034</v>
      </c>
      <c r="B277" t="s">
        <v>370</v>
      </c>
      <c r="C277">
        <v>2</v>
      </c>
    </row>
    <row r="278" spans="1:3" x14ac:dyDescent="0.35">
      <c r="A278">
        <v>2035</v>
      </c>
      <c r="B278" t="s">
        <v>370</v>
      </c>
      <c r="C278">
        <v>2</v>
      </c>
    </row>
    <row r="279" spans="1:3" x14ac:dyDescent="0.35">
      <c r="A279">
        <v>2372</v>
      </c>
      <c r="B279" t="s">
        <v>1472</v>
      </c>
      <c r="C279">
        <v>5</v>
      </c>
    </row>
    <row r="280" spans="1:3" x14ac:dyDescent="0.35">
      <c r="A280">
        <v>2373</v>
      </c>
      <c r="B280" t="s">
        <v>1472</v>
      </c>
      <c r="C280">
        <v>5</v>
      </c>
    </row>
    <row r="281" spans="1:3" x14ac:dyDescent="0.35">
      <c r="A281">
        <v>2374</v>
      </c>
      <c r="B281" t="s">
        <v>1472</v>
      </c>
      <c r="C281">
        <v>5</v>
      </c>
    </row>
    <row r="282" spans="1:3" x14ac:dyDescent="0.35">
      <c r="A282">
        <v>2377</v>
      </c>
      <c r="B282" t="s">
        <v>1472</v>
      </c>
      <c r="C282">
        <v>5</v>
      </c>
    </row>
    <row r="283" spans="1:3" x14ac:dyDescent="0.35">
      <c r="A283">
        <v>2378</v>
      </c>
      <c r="B283" t="s">
        <v>1472</v>
      </c>
      <c r="C283">
        <v>5</v>
      </c>
    </row>
    <row r="284" spans="1:3" x14ac:dyDescent="0.35">
      <c r="A284">
        <v>2379</v>
      </c>
      <c r="B284" t="s">
        <v>1472</v>
      </c>
      <c r="C284">
        <v>5</v>
      </c>
    </row>
    <row r="285" spans="1:3" x14ac:dyDescent="0.35">
      <c r="A285">
        <v>2380</v>
      </c>
      <c r="B285" t="s">
        <v>1472</v>
      </c>
      <c r="C285">
        <v>5</v>
      </c>
    </row>
    <row r="286" spans="1:3" x14ac:dyDescent="0.35">
      <c r="A286">
        <v>2383</v>
      </c>
      <c r="B286" t="s">
        <v>1472</v>
      </c>
      <c r="C286">
        <v>5</v>
      </c>
    </row>
    <row r="287" spans="1:3" x14ac:dyDescent="0.35">
      <c r="A287">
        <v>2384</v>
      </c>
      <c r="B287" t="s">
        <v>1472</v>
      </c>
      <c r="C287">
        <v>5</v>
      </c>
    </row>
    <row r="288" spans="1:3" x14ac:dyDescent="0.35">
      <c r="A288">
        <v>2385</v>
      </c>
      <c r="B288" t="s">
        <v>1472</v>
      </c>
      <c r="C288">
        <v>5</v>
      </c>
    </row>
    <row r="289" spans="1:3" x14ac:dyDescent="0.35">
      <c r="A289">
        <v>2323</v>
      </c>
      <c r="B289" t="s">
        <v>1473</v>
      </c>
      <c r="C289">
        <v>4</v>
      </c>
    </row>
    <row r="290" spans="1:3" x14ac:dyDescent="0.35">
      <c r="A290">
        <v>2584</v>
      </c>
      <c r="B290" t="s">
        <v>1474</v>
      </c>
      <c r="C290">
        <v>6</v>
      </c>
    </row>
    <row r="291" spans="1:3" x14ac:dyDescent="0.35">
      <c r="A291">
        <v>2589</v>
      </c>
      <c r="B291" t="s">
        <v>1474</v>
      </c>
      <c r="C291">
        <v>6</v>
      </c>
    </row>
    <row r="292" spans="1:3" x14ac:dyDescent="0.35">
      <c r="A292">
        <v>2590</v>
      </c>
      <c r="B292" t="s">
        <v>1474</v>
      </c>
      <c r="C292">
        <v>6</v>
      </c>
    </row>
    <row r="293" spans="1:3" x14ac:dyDescent="0.35">
      <c r="A293">
        <v>2591</v>
      </c>
      <c r="B293" t="s">
        <v>1474</v>
      </c>
      <c r="C293">
        <v>6</v>
      </c>
    </row>
    <row r="294" spans="1:3" x14ac:dyDescent="0.35">
      <c r="A294">
        <v>2592</v>
      </c>
      <c r="B294" t="s">
        <v>1474</v>
      </c>
      <c r="C294">
        <v>6</v>
      </c>
    </row>
    <row r="295" spans="1:3" x14ac:dyDescent="0.35">
      <c r="A295">
        <v>2594</v>
      </c>
      <c r="B295" t="s">
        <v>1474</v>
      </c>
      <c r="C295">
        <v>6</v>
      </c>
    </row>
    <row r="296" spans="1:3" x14ac:dyDescent="0.35">
      <c r="A296">
        <v>2595</v>
      </c>
      <c r="B296" t="s">
        <v>1474</v>
      </c>
      <c r="C296">
        <v>6</v>
      </c>
    </row>
    <row r="297" spans="1:3" x14ac:dyDescent="0.35">
      <c r="A297">
        <v>2596</v>
      </c>
      <c r="B297" t="s">
        <v>1474</v>
      </c>
      <c r="C297">
        <v>6</v>
      </c>
    </row>
    <row r="298" spans="1:3" x14ac:dyDescent="0.35">
      <c r="A298">
        <v>2597</v>
      </c>
      <c r="B298" t="s">
        <v>1474</v>
      </c>
      <c r="C298">
        <v>6</v>
      </c>
    </row>
    <row r="299" spans="1:3" x14ac:dyDescent="0.35">
      <c r="A299">
        <v>2598</v>
      </c>
      <c r="B299" t="s">
        <v>1474</v>
      </c>
      <c r="C299">
        <v>6</v>
      </c>
    </row>
    <row r="300" spans="1:3" x14ac:dyDescent="0.35">
      <c r="A300">
        <v>2599</v>
      </c>
      <c r="B300" t="s">
        <v>1474</v>
      </c>
      <c r="C300">
        <v>6</v>
      </c>
    </row>
    <row r="301" spans="1:3" x14ac:dyDescent="0.35">
      <c r="A301">
        <v>2601</v>
      </c>
      <c r="B301" t="s">
        <v>1474</v>
      </c>
      <c r="C301">
        <v>6</v>
      </c>
    </row>
    <row r="302" spans="1:3" x14ac:dyDescent="0.35">
      <c r="A302">
        <v>2602</v>
      </c>
      <c r="B302" t="s">
        <v>1474</v>
      </c>
      <c r="C302">
        <v>6</v>
      </c>
    </row>
    <row r="303" spans="1:3" x14ac:dyDescent="0.35">
      <c r="A303">
        <v>1541</v>
      </c>
      <c r="B303" t="s">
        <v>372</v>
      </c>
      <c r="C303">
        <v>2</v>
      </c>
    </row>
    <row r="304" spans="1:3" x14ac:dyDescent="0.35">
      <c r="A304">
        <v>1612</v>
      </c>
      <c r="B304" t="s">
        <v>372</v>
      </c>
      <c r="C304">
        <v>2</v>
      </c>
    </row>
    <row r="305" spans="1:3" x14ac:dyDescent="0.35">
      <c r="A305">
        <v>1654</v>
      </c>
      <c r="B305" t="s">
        <v>372</v>
      </c>
      <c r="C305">
        <v>2</v>
      </c>
    </row>
    <row r="306" spans="1:3" x14ac:dyDescent="0.35">
      <c r="A306">
        <v>1655</v>
      </c>
      <c r="B306" t="s">
        <v>372</v>
      </c>
      <c r="C306">
        <v>2</v>
      </c>
    </row>
    <row r="307" spans="1:3" x14ac:dyDescent="0.35">
      <c r="A307">
        <v>1966</v>
      </c>
      <c r="B307" t="s">
        <v>372</v>
      </c>
      <c r="C307">
        <v>2</v>
      </c>
    </row>
    <row r="308" spans="1:3" x14ac:dyDescent="0.35">
      <c r="A308">
        <v>1967</v>
      </c>
      <c r="B308" t="s">
        <v>372</v>
      </c>
      <c r="C308">
        <v>2</v>
      </c>
    </row>
    <row r="309" spans="1:3" x14ac:dyDescent="0.35">
      <c r="A309">
        <v>1968</v>
      </c>
      <c r="B309" t="s">
        <v>372</v>
      </c>
      <c r="C309">
        <v>2</v>
      </c>
    </row>
    <row r="310" spans="1:3" x14ac:dyDescent="0.35">
      <c r="A310">
        <v>1969</v>
      </c>
      <c r="B310" t="s">
        <v>372</v>
      </c>
      <c r="C310">
        <v>2</v>
      </c>
    </row>
    <row r="311" spans="1:3" x14ac:dyDescent="0.35">
      <c r="A311">
        <v>1970</v>
      </c>
      <c r="B311" t="s">
        <v>372</v>
      </c>
      <c r="C311">
        <v>2</v>
      </c>
    </row>
    <row r="312" spans="1:3" x14ac:dyDescent="0.35">
      <c r="A312">
        <v>1971</v>
      </c>
      <c r="B312" t="s">
        <v>372</v>
      </c>
      <c r="C312">
        <v>2</v>
      </c>
    </row>
    <row r="313" spans="1:3" x14ac:dyDescent="0.35">
      <c r="A313">
        <v>1972</v>
      </c>
      <c r="B313" t="s">
        <v>372</v>
      </c>
      <c r="C313">
        <v>2</v>
      </c>
    </row>
    <row r="314" spans="1:3" x14ac:dyDescent="0.35">
      <c r="A314">
        <v>1973</v>
      </c>
      <c r="B314" t="s">
        <v>372</v>
      </c>
      <c r="C314">
        <v>2</v>
      </c>
    </row>
    <row r="315" spans="1:3" x14ac:dyDescent="0.35">
      <c r="A315">
        <v>2079</v>
      </c>
      <c r="B315" t="s">
        <v>1475</v>
      </c>
      <c r="C315">
        <v>4</v>
      </c>
    </row>
    <row r="316" spans="1:3" x14ac:dyDescent="0.35">
      <c r="A316">
        <v>2080</v>
      </c>
      <c r="B316" t="s">
        <v>1475</v>
      </c>
      <c r="C316">
        <v>4</v>
      </c>
    </row>
    <row r="317" spans="1:3" x14ac:dyDescent="0.35">
      <c r="A317">
        <v>2081</v>
      </c>
      <c r="B317" t="s">
        <v>1475</v>
      </c>
      <c r="C317">
        <v>4</v>
      </c>
    </row>
    <row r="318" spans="1:3" x14ac:dyDescent="0.35">
      <c r="A318">
        <v>2082</v>
      </c>
      <c r="B318" t="s">
        <v>1475</v>
      </c>
      <c r="C318">
        <v>4</v>
      </c>
    </row>
    <row r="319" spans="1:3" x14ac:dyDescent="0.35">
      <c r="A319">
        <v>2083</v>
      </c>
      <c r="B319" t="s">
        <v>1475</v>
      </c>
      <c r="C319">
        <v>4</v>
      </c>
    </row>
    <row r="320" spans="1:3" x14ac:dyDescent="0.35">
      <c r="A320">
        <v>2084</v>
      </c>
      <c r="B320" t="s">
        <v>1475</v>
      </c>
      <c r="C320">
        <v>4</v>
      </c>
    </row>
    <row r="321" spans="1:3" x14ac:dyDescent="0.35">
      <c r="A321">
        <v>2085</v>
      </c>
      <c r="B321" t="s">
        <v>1475</v>
      </c>
      <c r="C321">
        <v>4</v>
      </c>
    </row>
    <row r="322" spans="1:3" x14ac:dyDescent="0.35">
      <c r="A322">
        <v>2086</v>
      </c>
      <c r="B322" t="s">
        <v>1475</v>
      </c>
      <c r="C322">
        <v>4</v>
      </c>
    </row>
    <row r="323" spans="1:3" x14ac:dyDescent="0.35">
      <c r="A323">
        <v>2087</v>
      </c>
      <c r="B323" t="s">
        <v>1475</v>
      </c>
      <c r="C323">
        <v>4</v>
      </c>
    </row>
    <row r="324" spans="1:3" x14ac:dyDescent="0.35">
      <c r="A324">
        <v>2088</v>
      </c>
      <c r="B324" t="s">
        <v>1475</v>
      </c>
      <c r="C324">
        <v>4</v>
      </c>
    </row>
    <row r="325" spans="1:3" x14ac:dyDescent="0.35">
      <c r="A325">
        <v>2089</v>
      </c>
      <c r="B325" t="s">
        <v>1475</v>
      </c>
      <c r="C325">
        <v>4</v>
      </c>
    </row>
    <row r="326" spans="1:3" x14ac:dyDescent="0.35">
      <c r="A326">
        <v>2090</v>
      </c>
      <c r="B326" t="s">
        <v>1475</v>
      </c>
      <c r="C326">
        <v>4</v>
      </c>
    </row>
    <row r="327" spans="1:3" x14ac:dyDescent="0.35">
      <c r="A327">
        <v>2091</v>
      </c>
      <c r="B327" t="s">
        <v>1475</v>
      </c>
      <c r="C327">
        <v>4</v>
      </c>
    </row>
    <row r="328" spans="1:3" x14ac:dyDescent="0.35">
      <c r="A328">
        <v>2092</v>
      </c>
      <c r="B328" t="s">
        <v>1475</v>
      </c>
      <c r="C328">
        <v>4</v>
      </c>
    </row>
    <row r="329" spans="1:3" x14ac:dyDescent="0.35">
      <c r="A329">
        <v>2093</v>
      </c>
      <c r="B329" t="s">
        <v>1475</v>
      </c>
      <c r="C329">
        <v>4</v>
      </c>
    </row>
    <row r="330" spans="1:3" x14ac:dyDescent="0.35">
      <c r="A330">
        <v>2094</v>
      </c>
      <c r="B330" t="s">
        <v>1475</v>
      </c>
      <c r="C330">
        <v>4</v>
      </c>
    </row>
    <row r="331" spans="1:3" x14ac:dyDescent="0.35">
      <c r="A331">
        <v>2095</v>
      </c>
      <c r="B331" t="s">
        <v>1475</v>
      </c>
      <c r="C331">
        <v>4</v>
      </c>
    </row>
    <row r="332" spans="1:3" x14ac:dyDescent="0.35">
      <c r="A332">
        <v>2096</v>
      </c>
      <c r="B332" t="s">
        <v>1475</v>
      </c>
      <c r="C332">
        <v>4</v>
      </c>
    </row>
    <row r="333" spans="1:3" x14ac:dyDescent="0.35">
      <c r="A333">
        <v>2097</v>
      </c>
      <c r="B333" t="s">
        <v>1475</v>
      </c>
      <c r="C333">
        <v>4</v>
      </c>
    </row>
    <row r="334" spans="1:3" x14ac:dyDescent="0.35">
      <c r="A334">
        <v>2098</v>
      </c>
      <c r="B334" t="s">
        <v>1475</v>
      </c>
      <c r="C334">
        <v>4</v>
      </c>
    </row>
    <row r="335" spans="1:3" x14ac:dyDescent="0.35">
      <c r="A335">
        <v>2101</v>
      </c>
      <c r="B335" t="s">
        <v>1475</v>
      </c>
      <c r="C335">
        <v>4</v>
      </c>
    </row>
    <row r="336" spans="1:3" x14ac:dyDescent="0.35">
      <c r="A336">
        <v>2106</v>
      </c>
      <c r="B336" t="s">
        <v>1475</v>
      </c>
      <c r="C336">
        <v>4</v>
      </c>
    </row>
    <row r="337" spans="1:3" x14ac:dyDescent="0.35">
      <c r="A337">
        <v>2107</v>
      </c>
      <c r="B337" t="s">
        <v>1475</v>
      </c>
      <c r="C337">
        <v>4</v>
      </c>
    </row>
    <row r="338" spans="1:3" x14ac:dyDescent="0.35">
      <c r="A338">
        <v>2108</v>
      </c>
      <c r="B338" t="s">
        <v>1475</v>
      </c>
      <c r="C338">
        <v>4</v>
      </c>
    </row>
    <row r="339" spans="1:3" x14ac:dyDescent="0.35">
      <c r="A339">
        <v>2109</v>
      </c>
      <c r="B339" t="s">
        <v>1475</v>
      </c>
      <c r="C339">
        <v>4</v>
      </c>
    </row>
    <row r="340" spans="1:3" x14ac:dyDescent="0.35">
      <c r="A340">
        <v>2110</v>
      </c>
      <c r="B340" t="s">
        <v>1475</v>
      </c>
      <c r="C340">
        <v>4</v>
      </c>
    </row>
    <row r="341" spans="1:3" x14ac:dyDescent="0.35">
      <c r="A341">
        <v>2111</v>
      </c>
      <c r="B341" t="s">
        <v>1475</v>
      </c>
      <c r="C341">
        <v>4</v>
      </c>
    </row>
    <row r="342" spans="1:3" x14ac:dyDescent="0.35">
      <c r="A342">
        <v>2112</v>
      </c>
      <c r="B342" t="s">
        <v>1475</v>
      </c>
      <c r="C342">
        <v>4</v>
      </c>
    </row>
    <row r="343" spans="1:3" x14ac:dyDescent="0.35">
      <c r="A343">
        <v>2113</v>
      </c>
      <c r="B343" t="s">
        <v>1475</v>
      </c>
      <c r="C343">
        <v>4</v>
      </c>
    </row>
    <row r="344" spans="1:3" x14ac:dyDescent="0.35">
      <c r="A344">
        <v>2114</v>
      </c>
      <c r="B344" t="s">
        <v>1475</v>
      </c>
      <c r="C344">
        <v>4</v>
      </c>
    </row>
    <row r="345" spans="1:3" x14ac:dyDescent="0.35">
      <c r="A345">
        <v>2115</v>
      </c>
      <c r="B345" t="s">
        <v>1475</v>
      </c>
      <c r="C345">
        <v>4</v>
      </c>
    </row>
    <row r="346" spans="1:3" x14ac:dyDescent="0.35">
      <c r="A346">
        <v>2116</v>
      </c>
      <c r="B346" t="s">
        <v>1475</v>
      </c>
      <c r="C346">
        <v>4</v>
      </c>
    </row>
    <row r="347" spans="1:3" x14ac:dyDescent="0.35">
      <c r="A347">
        <v>2117</v>
      </c>
      <c r="B347" t="s">
        <v>1475</v>
      </c>
      <c r="C347">
        <v>4</v>
      </c>
    </row>
    <row r="348" spans="1:3" x14ac:dyDescent="0.35">
      <c r="A348">
        <v>2118</v>
      </c>
      <c r="B348" t="s">
        <v>1475</v>
      </c>
      <c r="C348">
        <v>4</v>
      </c>
    </row>
    <row r="349" spans="1:3" x14ac:dyDescent="0.35">
      <c r="A349">
        <v>2119</v>
      </c>
      <c r="B349" t="s">
        <v>1475</v>
      </c>
      <c r="C349">
        <v>4</v>
      </c>
    </row>
    <row r="350" spans="1:3" x14ac:dyDescent="0.35">
      <c r="A350">
        <v>2120</v>
      </c>
      <c r="B350" t="s">
        <v>1475</v>
      </c>
      <c r="C350">
        <v>4</v>
      </c>
    </row>
    <row r="351" spans="1:3" x14ac:dyDescent="0.35">
      <c r="A351">
        <v>2121</v>
      </c>
      <c r="B351" t="s">
        <v>1475</v>
      </c>
      <c r="C351">
        <v>4</v>
      </c>
    </row>
    <row r="352" spans="1:3" x14ac:dyDescent="0.35">
      <c r="A352">
        <v>2131</v>
      </c>
      <c r="B352" t="s">
        <v>1475</v>
      </c>
      <c r="C352">
        <v>4</v>
      </c>
    </row>
    <row r="353" spans="1:3" x14ac:dyDescent="0.35">
      <c r="A353">
        <v>33</v>
      </c>
      <c r="B353" t="s">
        <v>1476</v>
      </c>
      <c r="C353">
        <v>3</v>
      </c>
    </row>
    <row r="354" spans="1:3" x14ac:dyDescent="0.35">
      <c r="A354">
        <v>138</v>
      </c>
      <c r="B354" t="s">
        <v>1476</v>
      </c>
      <c r="C354">
        <v>3</v>
      </c>
    </row>
    <row r="355" spans="1:3" x14ac:dyDescent="0.35">
      <c r="A355">
        <v>139</v>
      </c>
      <c r="B355" t="s">
        <v>1476</v>
      </c>
      <c r="C355">
        <v>3</v>
      </c>
    </row>
    <row r="356" spans="1:3" x14ac:dyDescent="0.35">
      <c r="A356">
        <v>140</v>
      </c>
      <c r="B356" t="s">
        <v>1476</v>
      </c>
      <c r="C356">
        <v>3</v>
      </c>
    </row>
    <row r="357" spans="1:3" x14ac:dyDescent="0.35">
      <c r="A357">
        <v>141</v>
      </c>
      <c r="B357" t="s">
        <v>1476</v>
      </c>
      <c r="C357">
        <v>3</v>
      </c>
    </row>
    <row r="358" spans="1:3" x14ac:dyDescent="0.35">
      <c r="A358">
        <v>143</v>
      </c>
      <c r="B358" t="s">
        <v>1476</v>
      </c>
      <c r="C358">
        <v>3</v>
      </c>
    </row>
    <row r="359" spans="1:3" x14ac:dyDescent="0.35">
      <c r="A359">
        <v>144</v>
      </c>
      <c r="B359" t="s">
        <v>1476</v>
      </c>
      <c r="C359">
        <v>3</v>
      </c>
    </row>
    <row r="360" spans="1:3" x14ac:dyDescent="0.35">
      <c r="A360">
        <v>145</v>
      </c>
      <c r="B360" t="s">
        <v>1476</v>
      </c>
      <c r="C360">
        <v>3</v>
      </c>
    </row>
    <row r="361" spans="1:3" x14ac:dyDescent="0.35">
      <c r="A361">
        <v>146</v>
      </c>
      <c r="B361" t="s">
        <v>1476</v>
      </c>
      <c r="C361">
        <v>3</v>
      </c>
    </row>
    <row r="362" spans="1:3" x14ac:dyDescent="0.35">
      <c r="A362">
        <v>147</v>
      </c>
      <c r="B362" t="s">
        <v>1476</v>
      </c>
      <c r="C362">
        <v>3</v>
      </c>
    </row>
    <row r="363" spans="1:3" x14ac:dyDescent="0.35">
      <c r="A363">
        <v>148</v>
      </c>
      <c r="B363" t="s">
        <v>1476</v>
      </c>
      <c r="C363">
        <v>3</v>
      </c>
    </row>
    <row r="364" spans="1:3" x14ac:dyDescent="0.35">
      <c r="A364">
        <v>150</v>
      </c>
      <c r="B364" t="s">
        <v>1476</v>
      </c>
      <c r="C364">
        <v>3</v>
      </c>
    </row>
    <row r="365" spans="1:3" x14ac:dyDescent="0.35">
      <c r="A365">
        <v>151</v>
      </c>
      <c r="B365" t="s">
        <v>1476</v>
      </c>
      <c r="C365">
        <v>3</v>
      </c>
    </row>
    <row r="366" spans="1:3" x14ac:dyDescent="0.35">
      <c r="A366">
        <v>152</v>
      </c>
      <c r="B366" t="s">
        <v>1476</v>
      </c>
      <c r="C366">
        <v>3</v>
      </c>
    </row>
    <row r="367" spans="1:3" x14ac:dyDescent="0.35">
      <c r="A367">
        <v>153</v>
      </c>
      <c r="B367" t="s">
        <v>1476</v>
      </c>
      <c r="C367">
        <v>3</v>
      </c>
    </row>
    <row r="368" spans="1:3" x14ac:dyDescent="0.35">
      <c r="A368">
        <v>154</v>
      </c>
      <c r="B368" t="s">
        <v>1476</v>
      </c>
      <c r="C368">
        <v>3</v>
      </c>
    </row>
    <row r="369" spans="1:3" x14ac:dyDescent="0.35">
      <c r="A369">
        <v>155</v>
      </c>
      <c r="B369" t="s">
        <v>1476</v>
      </c>
      <c r="C369">
        <v>3</v>
      </c>
    </row>
    <row r="370" spans="1:3" x14ac:dyDescent="0.35">
      <c r="A370">
        <v>156</v>
      </c>
      <c r="B370" t="s">
        <v>1476</v>
      </c>
      <c r="C370">
        <v>3</v>
      </c>
    </row>
    <row r="371" spans="1:3" x14ac:dyDescent="0.35">
      <c r="A371">
        <v>157</v>
      </c>
      <c r="B371" t="s">
        <v>1476</v>
      </c>
      <c r="C371">
        <v>3</v>
      </c>
    </row>
    <row r="372" spans="1:3" x14ac:dyDescent="0.35">
      <c r="A372">
        <v>158</v>
      </c>
      <c r="B372" t="s">
        <v>1476</v>
      </c>
      <c r="C372">
        <v>3</v>
      </c>
    </row>
    <row r="373" spans="1:3" x14ac:dyDescent="0.35">
      <c r="A373">
        <v>159</v>
      </c>
      <c r="B373" t="s">
        <v>1476</v>
      </c>
      <c r="C373">
        <v>3</v>
      </c>
    </row>
    <row r="374" spans="1:3" x14ac:dyDescent="0.35">
      <c r="A374">
        <v>160</v>
      </c>
      <c r="B374" t="s">
        <v>1476</v>
      </c>
      <c r="C374">
        <v>3</v>
      </c>
    </row>
    <row r="375" spans="1:3" x14ac:dyDescent="0.35">
      <c r="A375">
        <v>161</v>
      </c>
      <c r="B375" t="s">
        <v>1476</v>
      </c>
      <c r="C375">
        <v>3</v>
      </c>
    </row>
    <row r="376" spans="1:3" x14ac:dyDescent="0.35">
      <c r="A376">
        <v>162</v>
      </c>
      <c r="B376" t="s">
        <v>1476</v>
      </c>
      <c r="C376">
        <v>3</v>
      </c>
    </row>
    <row r="377" spans="1:3" x14ac:dyDescent="0.35">
      <c r="A377">
        <v>163</v>
      </c>
      <c r="B377" t="s">
        <v>1476</v>
      </c>
      <c r="C377">
        <v>3</v>
      </c>
    </row>
    <row r="378" spans="1:3" x14ac:dyDescent="0.35">
      <c r="A378">
        <v>164</v>
      </c>
      <c r="B378" t="s">
        <v>1476</v>
      </c>
      <c r="C378">
        <v>3</v>
      </c>
    </row>
    <row r="379" spans="1:3" x14ac:dyDescent="0.35">
      <c r="A379">
        <v>165</v>
      </c>
      <c r="B379" t="s">
        <v>1476</v>
      </c>
      <c r="C379">
        <v>3</v>
      </c>
    </row>
    <row r="380" spans="1:3" x14ac:dyDescent="0.35">
      <c r="A380">
        <v>166</v>
      </c>
      <c r="B380" t="s">
        <v>1476</v>
      </c>
      <c r="C380">
        <v>3</v>
      </c>
    </row>
    <row r="381" spans="1:3" x14ac:dyDescent="0.35">
      <c r="A381">
        <v>167</v>
      </c>
      <c r="B381" t="s">
        <v>1476</v>
      </c>
      <c r="C381">
        <v>3</v>
      </c>
    </row>
    <row r="382" spans="1:3" x14ac:dyDescent="0.35">
      <c r="A382">
        <v>168</v>
      </c>
      <c r="B382" t="s">
        <v>1476</v>
      </c>
      <c r="C382">
        <v>3</v>
      </c>
    </row>
    <row r="383" spans="1:3" x14ac:dyDescent="0.35">
      <c r="A383">
        <v>169</v>
      </c>
      <c r="B383" t="s">
        <v>1476</v>
      </c>
      <c r="C383">
        <v>3</v>
      </c>
    </row>
    <row r="384" spans="1:3" x14ac:dyDescent="0.35">
      <c r="A384">
        <v>170</v>
      </c>
      <c r="B384" t="s">
        <v>1476</v>
      </c>
      <c r="C384">
        <v>3</v>
      </c>
    </row>
    <row r="385" spans="1:3" x14ac:dyDescent="0.35">
      <c r="A385">
        <v>174</v>
      </c>
      <c r="B385" t="s">
        <v>1476</v>
      </c>
      <c r="C385">
        <v>3</v>
      </c>
    </row>
    <row r="386" spans="1:3" x14ac:dyDescent="0.35">
      <c r="A386">
        <v>176</v>
      </c>
      <c r="B386" t="s">
        <v>1476</v>
      </c>
      <c r="C386">
        <v>3</v>
      </c>
    </row>
    <row r="387" spans="1:3" x14ac:dyDescent="0.35">
      <c r="A387">
        <v>177</v>
      </c>
      <c r="B387" t="s">
        <v>1476</v>
      </c>
      <c r="C387">
        <v>3</v>
      </c>
    </row>
    <row r="388" spans="1:3" x14ac:dyDescent="0.35">
      <c r="A388">
        <v>178</v>
      </c>
      <c r="B388" t="s">
        <v>1476</v>
      </c>
      <c r="C388">
        <v>3</v>
      </c>
    </row>
    <row r="389" spans="1:3" x14ac:dyDescent="0.35">
      <c r="A389">
        <v>179</v>
      </c>
      <c r="B389" t="s">
        <v>1476</v>
      </c>
      <c r="C389">
        <v>3</v>
      </c>
    </row>
    <row r="390" spans="1:3" x14ac:dyDescent="0.35">
      <c r="A390">
        <v>180</v>
      </c>
      <c r="B390" t="s">
        <v>1476</v>
      </c>
      <c r="C390">
        <v>3</v>
      </c>
    </row>
    <row r="391" spans="1:3" x14ac:dyDescent="0.35">
      <c r="A391">
        <v>181</v>
      </c>
      <c r="B391" t="s">
        <v>1476</v>
      </c>
      <c r="C391">
        <v>3</v>
      </c>
    </row>
    <row r="392" spans="1:3" x14ac:dyDescent="0.35">
      <c r="A392">
        <v>187</v>
      </c>
      <c r="B392" t="s">
        <v>1476</v>
      </c>
      <c r="C392">
        <v>3</v>
      </c>
    </row>
    <row r="393" spans="1:3" x14ac:dyDescent="0.35">
      <c r="A393">
        <v>188</v>
      </c>
      <c r="B393" t="s">
        <v>1476</v>
      </c>
      <c r="C393">
        <v>3</v>
      </c>
    </row>
    <row r="394" spans="1:3" x14ac:dyDescent="0.35">
      <c r="A394">
        <v>189</v>
      </c>
      <c r="B394" t="s">
        <v>1476</v>
      </c>
      <c r="C394">
        <v>3</v>
      </c>
    </row>
    <row r="395" spans="1:3" x14ac:dyDescent="0.35">
      <c r="A395">
        <v>190</v>
      </c>
      <c r="B395" t="s">
        <v>1476</v>
      </c>
      <c r="C395">
        <v>3</v>
      </c>
    </row>
    <row r="396" spans="1:3" x14ac:dyDescent="0.35">
      <c r="A396">
        <v>191</v>
      </c>
      <c r="B396" t="s">
        <v>1476</v>
      </c>
      <c r="C396">
        <v>3</v>
      </c>
    </row>
    <row r="397" spans="1:3" x14ac:dyDescent="0.35">
      <c r="A397">
        <v>192</v>
      </c>
      <c r="B397" t="s">
        <v>1476</v>
      </c>
      <c r="C397">
        <v>3</v>
      </c>
    </row>
    <row r="398" spans="1:3" x14ac:dyDescent="0.35">
      <c r="A398">
        <v>193</v>
      </c>
      <c r="B398" t="s">
        <v>1476</v>
      </c>
      <c r="C398">
        <v>3</v>
      </c>
    </row>
    <row r="399" spans="1:3" x14ac:dyDescent="0.35">
      <c r="A399">
        <v>1556</v>
      </c>
      <c r="B399" t="s">
        <v>373</v>
      </c>
      <c r="C399">
        <v>2</v>
      </c>
    </row>
    <row r="400" spans="1:3" x14ac:dyDescent="0.35">
      <c r="A400">
        <v>1557</v>
      </c>
      <c r="B400" t="s">
        <v>373</v>
      </c>
      <c r="C400">
        <v>2</v>
      </c>
    </row>
    <row r="401" spans="1:3" x14ac:dyDescent="0.35">
      <c r="A401">
        <v>1558</v>
      </c>
      <c r="B401" t="s">
        <v>373</v>
      </c>
      <c r="C401">
        <v>2</v>
      </c>
    </row>
    <row r="402" spans="1:3" x14ac:dyDescent="0.35">
      <c r="A402">
        <v>2136</v>
      </c>
      <c r="B402" t="s">
        <v>1477</v>
      </c>
      <c r="C402">
        <v>4</v>
      </c>
    </row>
    <row r="403" spans="1:3" x14ac:dyDescent="0.35">
      <c r="A403">
        <v>2137</v>
      </c>
      <c r="B403" t="s">
        <v>1477</v>
      </c>
      <c r="C403">
        <v>4</v>
      </c>
    </row>
    <row r="404" spans="1:3" x14ac:dyDescent="0.35">
      <c r="A404">
        <v>2138</v>
      </c>
      <c r="B404" t="s">
        <v>1477</v>
      </c>
      <c r="C404">
        <v>4</v>
      </c>
    </row>
    <row r="405" spans="1:3" x14ac:dyDescent="0.35">
      <c r="A405">
        <v>2139</v>
      </c>
      <c r="B405" t="s">
        <v>1477</v>
      </c>
      <c r="C405">
        <v>4</v>
      </c>
    </row>
    <row r="406" spans="1:3" x14ac:dyDescent="0.35">
      <c r="A406">
        <v>2140</v>
      </c>
      <c r="B406" t="s">
        <v>1477</v>
      </c>
      <c r="C406">
        <v>4</v>
      </c>
    </row>
    <row r="407" spans="1:3" x14ac:dyDescent="0.35">
      <c r="A407">
        <v>2141</v>
      </c>
      <c r="B407" t="s">
        <v>1477</v>
      </c>
      <c r="C407">
        <v>4</v>
      </c>
    </row>
    <row r="408" spans="1:3" x14ac:dyDescent="0.35">
      <c r="A408">
        <v>2142</v>
      </c>
      <c r="B408" t="s">
        <v>1477</v>
      </c>
      <c r="C408">
        <v>4</v>
      </c>
    </row>
    <row r="409" spans="1:3" x14ac:dyDescent="0.35">
      <c r="A409">
        <v>2143</v>
      </c>
      <c r="B409" t="s">
        <v>1477</v>
      </c>
      <c r="C409">
        <v>4</v>
      </c>
    </row>
    <row r="410" spans="1:3" x14ac:dyDescent="0.35">
      <c r="A410">
        <v>2144</v>
      </c>
      <c r="B410" t="s">
        <v>1477</v>
      </c>
      <c r="C410">
        <v>4</v>
      </c>
    </row>
    <row r="411" spans="1:3" x14ac:dyDescent="0.35">
      <c r="A411">
        <v>2145</v>
      </c>
      <c r="B411" t="s">
        <v>1477</v>
      </c>
      <c r="C411">
        <v>4</v>
      </c>
    </row>
    <row r="412" spans="1:3" x14ac:dyDescent="0.35">
      <c r="A412">
        <v>2146</v>
      </c>
      <c r="B412" t="s">
        <v>1477</v>
      </c>
      <c r="C412">
        <v>4</v>
      </c>
    </row>
    <row r="413" spans="1:3" x14ac:dyDescent="0.35">
      <c r="A413">
        <v>2147</v>
      </c>
      <c r="B413" t="s">
        <v>1477</v>
      </c>
      <c r="C413">
        <v>4</v>
      </c>
    </row>
    <row r="414" spans="1:3" x14ac:dyDescent="0.35">
      <c r="A414">
        <v>2148</v>
      </c>
      <c r="B414" t="s">
        <v>1477</v>
      </c>
      <c r="C414">
        <v>4</v>
      </c>
    </row>
    <row r="415" spans="1:3" x14ac:dyDescent="0.35">
      <c r="A415">
        <v>2149</v>
      </c>
      <c r="B415" t="s">
        <v>1477</v>
      </c>
      <c r="C415">
        <v>4</v>
      </c>
    </row>
    <row r="416" spans="1:3" x14ac:dyDescent="0.35">
      <c r="A416">
        <v>2150</v>
      </c>
      <c r="B416" t="s">
        <v>1477</v>
      </c>
      <c r="C416">
        <v>4</v>
      </c>
    </row>
    <row r="417" spans="1:3" x14ac:dyDescent="0.35">
      <c r="A417">
        <v>2151</v>
      </c>
      <c r="B417" t="s">
        <v>1477</v>
      </c>
      <c r="C417">
        <v>4</v>
      </c>
    </row>
    <row r="418" spans="1:3" x14ac:dyDescent="0.35">
      <c r="A418">
        <v>2153</v>
      </c>
      <c r="B418" t="s">
        <v>1477</v>
      </c>
      <c r="C418">
        <v>4</v>
      </c>
    </row>
    <row r="419" spans="1:3" x14ac:dyDescent="0.35">
      <c r="A419">
        <v>2155</v>
      </c>
      <c r="B419" t="s">
        <v>1477</v>
      </c>
      <c r="C419">
        <v>4</v>
      </c>
    </row>
    <row r="420" spans="1:3" x14ac:dyDescent="0.35">
      <c r="A420">
        <v>2156</v>
      </c>
      <c r="B420" t="s">
        <v>1477</v>
      </c>
      <c r="C420">
        <v>4</v>
      </c>
    </row>
    <row r="421" spans="1:3" x14ac:dyDescent="0.35">
      <c r="A421">
        <v>2157</v>
      </c>
      <c r="B421" t="s">
        <v>1477</v>
      </c>
      <c r="C421">
        <v>4</v>
      </c>
    </row>
    <row r="422" spans="1:3" x14ac:dyDescent="0.35">
      <c r="A422">
        <v>2158</v>
      </c>
      <c r="B422" t="s">
        <v>1477</v>
      </c>
      <c r="C422">
        <v>4</v>
      </c>
    </row>
    <row r="423" spans="1:3" x14ac:dyDescent="0.35">
      <c r="A423">
        <v>2159</v>
      </c>
      <c r="B423" t="s">
        <v>1477</v>
      </c>
      <c r="C423">
        <v>4</v>
      </c>
    </row>
    <row r="424" spans="1:3" x14ac:dyDescent="0.35">
      <c r="A424">
        <v>2160</v>
      </c>
      <c r="B424" t="s">
        <v>1477</v>
      </c>
      <c r="C424">
        <v>4</v>
      </c>
    </row>
    <row r="425" spans="1:3" x14ac:dyDescent="0.35">
      <c r="A425">
        <v>2161</v>
      </c>
      <c r="B425" t="s">
        <v>1477</v>
      </c>
      <c r="C425">
        <v>4</v>
      </c>
    </row>
    <row r="426" spans="1:3" x14ac:dyDescent="0.35">
      <c r="A426">
        <v>2162</v>
      </c>
      <c r="B426" t="s">
        <v>1477</v>
      </c>
      <c r="C426">
        <v>4</v>
      </c>
    </row>
    <row r="427" spans="1:3" x14ac:dyDescent="0.35">
      <c r="A427">
        <v>2171</v>
      </c>
      <c r="B427" t="s">
        <v>1477</v>
      </c>
      <c r="C427">
        <v>4</v>
      </c>
    </row>
    <row r="428" spans="1:3" x14ac:dyDescent="0.35">
      <c r="A428">
        <v>2173</v>
      </c>
      <c r="B428" t="s">
        <v>1477</v>
      </c>
      <c r="C428">
        <v>4</v>
      </c>
    </row>
    <row r="429" spans="1:3" x14ac:dyDescent="0.35">
      <c r="A429">
        <v>2730</v>
      </c>
      <c r="B429" t="s">
        <v>1478</v>
      </c>
      <c r="C429">
        <v>8</v>
      </c>
    </row>
    <row r="430" spans="1:3" x14ac:dyDescent="0.35">
      <c r="A430">
        <v>2731</v>
      </c>
      <c r="B430" t="s">
        <v>1478</v>
      </c>
      <c r="C430">
        <v>8</v>
      </c>
    </row>
    <row r="431" spans="1:3" x14ac:dyDescent="0.35">
      <c r="A431">
        <v>2415</v>
      </c>
      <c r="B431" t="s">
        <v>1479</v>
      </c>
      <c r="C431">
        <v>5</v>
      </c>
    </row>
    <row r="432" spans="1:3" x14ac:dyDescent="0.35">
      <c r="A432">
        <v>2417</v>
      </c>
      <c r="B432" t="s">
        <v>1479</v>
      </c>
      <c r="C432">
        <v>5</v>
      </c>
    </row>
    <row r="433" spans="1:3" x14ac:dyDescent="0.35">
      <c r="A433">
        <v>2418</v>
      </c>
      <c r="B433" t="s">
        <v>1479</v>
      </c>
      <c r="C433">
        <v>5</v>
      </c>
    </row>
    <row r="434" spans="1:3" x14ac:dyDescent="0.35">
      <c r="A434">
        <v>1534</v>
      </c>
      <c r="B434" t="s">
        <v>374</v>
      </c>
      <c r="C434">
        <v>2</v>
      </c>
    </row>
    <row r="435" spans="1:3" x14ac:dyDescent="0.35">
      <c r="A435">
        <v>1535</v>
      </c>
      <c r="B435" t="s">
        <v>374</v>
      </c>
      <c r="C435">
        <v>2</v>
      </c>
    </row>
    <row r="436" spans="1:3" x14ac:dyDescent="0.35">
      <c r="A436">
        <v>1608</v>
      </c>
      <c r="B436" t="s">
        <v>374</v>
      </c>
      <c r="C436">
        <v>2</v>
      </c>
    </row>
    <row r="437" spans="1:3" x14ac:dyDescent="0.35">
      <c r="A437">
        <v>1609</v>
      </c>
      <c r="B437" t="s">
        <v>374</v>
      </c>
      <c r="C437">
        <v>2</v>
      </c>
    </row>
    <row r="438" spans="1:3" x14ac:dyDescent="0.35">
      <c r="A438">
        <v>1952</v>
      </c>
      <c r="B438" t="s">
        <v>374</v>
      </c>
      <c r="C438">
        <v>2</v>
      </c>
    </row>
    <row r="439" spans="1:3" x14ac:dyDescent="0.35">
      <c r="A439">
        <v>1954</v>
      </c>
      <c r="B439" t="s">
        <v>374</v>
      </c>
      <c r="C439">
        <v>2</v>
      </c>
    </row>
    <row r="440" spans="1:3" x14ac:dyDescent="0.35">
      <c r="A440">
        <v>2918</v>
      </c>
      <c r="B440" t="s">
        <v>1480</v>
      </c>
      <c r="C440">
        <v>12</v>
      </c>
    </row>
    <row r="441" spans="1:3" x14ac:dyDescent="0.35">
      <c r="A441">
        <v>2464</v>
      </c>
      <c r="B441" t="s">
        <v>1481</v>
      </c>
      <c r="C441">
        <v>5</v>
      </c>
    </row>
    <row r="442" spans="1:3" x14ac:dyDescent="0.35">
      <c r="A442">
        <v>2482</v>
      </c>
      <c r="B442" t="s">
        <v>1481</v>
      </c>
      <c r="C442">
        <v>5</v>
      </c>
    </row>
    <row r="443" spans="1:3" x14ac:dyDescent="0.35">
      <c r="A443">
        <v>2483</v>
      </c>
      <c r="B443" t="s">
        <v>1481</v>
      </c>
      <c r="C443">
        <v>5</v>
      </c>
    </row>
    <row r="444" spans="1:3" x14ac:dyDescent="0.35">
      <c r="A444">
        <v>2484</v>
      </c>
      <c r="B444" t="s">
        <v>1481</v>
      </c>
      <c r="C444">
        <v>5</v>
      </c>
    </row>
    <row r="445" spans="1:3" x14ac:dyDescent="0.35">
      <c r="A445">
        <v>2769</v>
      </c>
      <c r="B445" t="s">
        <v>1482</v>
      </c>
      <c r="C445">
        <v>9</v>
      </c>
    </row>
    <row r="446" spans="1:3" x14ac:dyDescent="0.35">
      <c r="A446">
        <v>2772</v>
      </c>
      <c r="B446" t="s">
        <v>1482</v>
      </c>
      <c r="C446">
        <v>9</v>
      </c>
    </row>
    <row r="447" spans="1:3" x14ac:dyDescent="0.35">
      <c r="A447">
        <v>2939</v>
      </c>
      <c r="B447" t="s">
        <v>1483</v>
      </c>
      <c r="C447">
        <v>13</v>
      </c>
    </row>
    <row r="448" spans="1:3" x14ac:dyDescent="0.35">
      <c r="A448">
        <v>2048</v>
      </c>
      <c r="B448" t="s">
        <v>1484</v>
      </c>
      <c r="C448">
        <v>4</v>
      </c>
    </row>
    <row r="449" spans="1:3" x14ac:dyDescent="0.35">
      <c r="A449">
        <v>2049</v>
      </c>
      <c r="B449" t="s">
        <v>1484</v>
      </c>
      <c r="C449">
        <v>4</v>
      </c>
    </row>
    <row r="450" spans="1:3" x14ac:dyDescent="0.35">
      <c r="A450">
        <v>2050</v>
      </c>
      <c r="B450" t="s">
        <v>1484</v>
      </c>
      <c r="C450">
        <v>4</v>
      </c>
    </row>
    <row r="451" spans="1:3" x14ac:dyDescent="0.35">
      <c r="A451">
        <v>2051</v>
      </c>
      <c r="B451" t="s">
        <v>1484</v>
      </c>
      <c r="C451">
        <v>4</v>
      </c>
    </row>
    <row r="452" spans="1:3" x14ac:dyDescent="0.35">
      <c r="A452">
        <v>2053</v>
      </c>
      <c r="B452" t="s">
        <v>1484</v>
      </c>
      <c r="C452">
        <v>4</v>
      </c>
    </row>
    <row r="453" spans="1:3" x14ac:dyDescent="0.35">
      <c r="A453">
        <v>2054</v>
      </c>
      <c r="B453" t="s">
        <v>1484</v>
      </c>
      <c r="C453">
        <v>4</v>
      </c>
    </row>
    <row r="454" spans="1:3" x14ac:dyDescent="0.35">
      <c r="A454">
        <v>2055</v>
      </c>
      <c r="B454" t="s">
        <v>1484</v>
      </c>
      <c r="C454">
        <v>4</v>
      </c>
    </row>
    <row r="455" spans="1:3" x14ac:dyDescent="0.35">
      <c r="A455">
        <v>2056</v>
      </c>
      <c r="B455" t="s">
        <v>1484</v>
      </c>
      <c r="C455">
        <v>4</v>
      </c>
    </row>
    <row r="456" spans="1:3" x14ac:dyDescent="0.35">
      <c r="A456">
        <v>2057</v>
      </c>
      <c r="B456" t="s">
        <v>1484</v>
      </c>
      <c r="C456">
        <v>4</v>
      </c>
    </row>
    <row r="457" spans="1:3" x14ac:dyDescent="0.35">
      <c r="A457">
        <v>2058</v>
      </c>
      <c r="B457" t="s">
        <v>1484</v>
      </c>
      <c r="C457">
        <v>4</v>
      </c>
    </row>
    <row r="458" spans="1:3" x14ac:dyDescent="0.35">
      <c r="A458">
        <v>2059</v>
      </c>
      <c r="B458" t="s">
        <v>1484</v>
      </c>
      <c r="C458">
        <v>4</v>
      </c>
    </row>
    <row r="459" spans="1:3" x14ac:dyDescent="0.35">
      <c r="A459">
        <v>2060</v>
      </c>
      <c r="B459" t="s">
        <v>1484</v>
      </c>
      <c r="C459">
        <v>4</v>
      </c>
    </row>
    <row r="460" spans="1:3" x14ac:dyDescent="0.35">
      <c r="A460">
        <v>194</v>
      </c>
      <c r="B460" t="s">
        <v>1485</v>
      </c>
      <c r="C460">
        <v>3</v>
      </c>
    </row>
    <row r="461" spans="1:3" x14ac:dyDescent="0.35">
      <c r="A461">
        <v>195</v>
      </c>
      <c r="B461" t="s">
        <v>1485</v>
      </c>
      <c r="C461">
        <v>3</v>
      </c>
    </row>
    <row r="462" spans="1:3" x14ac:dyDescent="0.35">
      <c r="A462">
        <v>196</v>
      </c>
      <c r="B462" t="s">
        <v>1485</v>
      </c>
      <c r="C462">
        <v>3</v>
      </c>
    </row>
    <row r="463" spans="1:3" x14ac:dyDescent="0.35">
      <c r="A463">
        <v>197</v>
      </c>
      <c r="B463" t="s">
        <v>1485</v>
      </c>
      <c r="C463">
        <v>3</v>
      </c>
    </row>
    <row r="464" spans="1:3" x14ac:dyDescent="0.35">
      <c r="A464">
        <v>198</v>
      </c>
      <c r="B464" t="s">
        <v>1485</v>
      </c>
      <c r="C464">
        <v>3</v>
      </c>
    </row>
    <row r="465" spans="1:3" x14ac:dyDescent="0.35">
      <c r="A465">
        <v>199</v>
      </c>
      <c r="B465" t="s">
        <v>1485</v>
      </c>
      <c r="C465">
        <v>3</v>
      </c>
    </row>
    <row r="466" spans="1:3" x14ac:dyDescent="0.35">
      <c r="A466">
        <v>200</v>
      </c>
      <c r="B466" t="s">
        <v>1485</v>
      </c>
      <c r="C466">
        <v>3</v>
      </c>
    </row>
    <row r="467" spans="1:3" x14ac:dyDescent="0.35">
      <c r="A467">
        <v>201</v>
      </c>
      <c r="B467" t="s">
        <v>1485</v>
      </c>
      <c r="C467">
        <v>3</v>
      </c>
    </row>
    <row r="468" spans="1:3" x14ac:dyDescent="0.35">
      <c r="A468">
        <v>202</v>
      </c>
      <c r="B468" t="s">
        <v>1485</v>
      </c>
      <c r="C468">
        <v>3</v>
      </c>
    </row>
    <row r="469" spans="1:3" x14ac:dyDescent="0.35">
      <c r="A469">
        <v>203</v>
      </c>
      <c r="B469" t="s">
        <v>1485</v>
      </c>
      <c r="C469">
        <v>3</v>
      </c>
    </row>
    <row r="470" spans="1:3" x14ac:dyDescent="0.35">
      <c r="A470">
        <v>205</v>
      </c>
      <c r="B470" t="s">
        <v>1485</v>
      </c>
      <c r="C470">
        <v>3</v>
      </c>
    </row>
    <row r="471" spans="1:3" x14ac:dyDescent="0.35">
      <c r="A471">
        <v>206</v>
      </c>
      <c r="B471" t="s">
        <v>1485</v>
      </c>
      <c r="C471">
        <v>3</v>
      </c>
    </row>
    <row r="472" spans="1:3" x14ac:dyDescent="0.35">
      <c r="A472">
        <v>207</v>
      </c>
      <c r="B472" t="s">
        <v>1485</v>
      </c>
      <c r="C472">
        <v>3</v>
      </c>
    </row>
    <row r="473" spans="1:3" x14ac:dyDescent="0.35">
      <c r="A473">
        <v>209</v>
      </c>
      <c r="B473" t="s">
        <v>1485</v>
      </c>
      <c r="C473">
        <v>3</v>
      </c>
    </row>
    <row r="474" spans="1:3" x14ac:dyDescent="0.35">
      <c r="A474">
        <v>210</v>
      </c>
      <c r="B474" t="s">
        <v>1485</v>
      </c>
      <c r="C474">
        <v>3</v>
      </c>
    </row>
    <row r="475" spans="1:3" x14ac:dyDescent="0.35">
      <c r="A475">
        <v>211</v>
      </c>
      <c r="B475" t="s">
        <v>1485</v>
      </c>
      <c r="C475">
        <v>3</v>
      </c>
    </row>
    <row r="476" spans="1:3" x14ac:dyDescent="0.35">
      <c r="A476">
        <v>212</v>
      </c>
      <c r="B476" t="s">
        <v>1485</v>
      </c>
      <c r="C476">
        <v>3</v>
      </c>
    </row>
    <row r="477" spans="1:3" x14ac:dyDescent="0.35">
      <c r="A477">
        <v>213</v>
      </c>
      <c r="B477" t="s">
        <v>1485</v>
      </c>
      <c r="C477">
        <v>3</v>
      </c>
    </row>
    <row r="478" spans="1:3" x14ac:dyDescent="0.35">
      <c r="A478">
        <v>214</v>
      </c>
      <c r="B478" t="s">
        <v>1485</v>
      </c>
      <c r="C478">
        <v>3</v>
      </c>
    </row>
    <row r="479" spans="1:3" x14ac:dyDescent="0.35">
      <c r="A479">
        <v>215</v>
      </c>
      <c r="B479" t="s">
        <v>1485</v>
      </c>
      <c r="C479">
        <v>3</v>
      </c>
    </row>
    <row r="480" spans="1:3" x14ac:dyDescent="0.35">
      <c r="A480">
        <v>216</v>
      </c>
      <c r="B480" t="s">
        <v>1485</v>
      </c>
      <c r="C480">
        <v>3</v>
      </c>
    </row>
    <row r="481" spans="1:3" x14ac:dyDescent="0.35">
      <c r="A481">
        <v>217</v>
      </c>
      <c r="B481" t="s">
        <v>1485</v>
      </c>
      <c r="C481">
        <v>3</v>
      </c>
    </row>
    <row r="482" spans="1:3" x14ac:dyDescent="0.35">
      <c r="A482">
        <v>218</v>
      </c>
      <c r="B482" t="s">
        <v>1485</v>
      </c>
      <c r="C482">
        <v>3</v>
      </c>
    </row>
    <row r="483" spans="1:3" x14ac:dyDescent="0.35">
      <c r="A483">
        <v>219</v>
      </c>
      <c r="B483" t="s">
        <v>1486</v>
      </c>
      <c r="C483">
        <v>3</v>
      </c>
    </row>
    <row r="484" spans="1:3" x14ac:dyDescent="0.35">
      <c r="A484">
        <v>220</v>
      </c>
      <c r="B484" t="s">
        <v>1486</v>
      </c>
      <c r="C484">
        <v>3</v>
      </c>
    </row>
    <row r="485" spans="1:3" x14ac:dyDescent="0.35">
      <c r="A485">
        <v>221</v>
      </c>
      <c r="B485" t="s">
        <v>1486</v>
      </c>
      <c r="C485">
        <v>3</v>
      </c>
    </row>
    <row r="486" spans="1:3" x14ac:dyDescent="0.35">
      <c r="A486">
        <v>222</v>
      </c>
      <c r="B486" t="s">
        <v>1486</v>
      </c>
      <c r="C486">
        <v>3</v>
      </c>
    </row>
    <row r="487" spans="1:3" x14ac:dyDescent="0.35">
      <c r="A487">
        <v>451</v>
      </c>
      <c r="B487" t="s">
        <v>1486</v>
      </c>
      <c r="C487">
        <v>3</v>
      </c>
    </row>
    <row r="488" spans="1:3" x14ac:dyDescent="0.35">
      <c r="A488">
        <v>452</v>
      </c>
      <c r="B488" t="s">
        <v>1486</v>
      </c>
      <c r="C488">
        <v>3</v>
      </c>
    </row>
    <row r="489" spans="1:3" x14ac:dyDescent="0.35">
      <c r="A489">
        <v>453</v>
      </c>
      <c r="B489" t="s">
        <v>1486</v>
      </c>
      <c r="C489">
        <v>3</v>
      </c>
    </row>
    <row r="490" spans="1:3" x14ac:dyDescent="0.35">
      <c r="A490">
        <v>454</v>
      </c>
      <c r="B490" t="s">
        <v>1486</v>
      </c>
      <c r="C490">
        <v>3</v>
      </c>
    </row>
    <row r="491" spans="1:3" x14ac:dyDescent="0.35">
      <c r="A491">
        <v>455</v>
      </c>
      <c r="B491" t="s">
        <v>1486</v>
      </c>
      <c r="C491">
        <v>3</v>
      </c>
    </row>
    <row r="492" spans="1:3" x14ac:dyDescent="0.35">
      <c r="A492">
        <v>223</v>
      </c>
      <c r="B492" t="s">
        <v>1487</v>
      </c>
      <c r="C492">
        <v>3</v>
      </c>
    </row>
    <row r="493" spans="1:3" x14ac:dyDescent="0.35">
      <c r="A493">
        <v>224</v>
      </c>
      <c r="B493" t="s">
        <v>1487</v>
      </c>
      <c r="C493">
        <v>3</v>
      </c>
    </row>
    <row r="494" spans="1:3" x14ac:dyDescent="0.35">
      <c r="A494">
        <v>225</v>
      </c>
      <c r="B494" t="s">
        <v>1487</v>
      </c>
      <c r="C494">
        <v>3</v>
      </c>
    </row>
    <row r="495" spans="1:3" x14ac:dyDescent="0.35">
      <c r="A495">
        <v>226</v>
      </c>
      <c r="B495" t="s">
        <v>1487</v>
      </c>
      <c r="C495">
        <v>3</v>
      </c>
    </row>
    <row r="496" spans="1:3" x14ac:dyDescent="0.35">
      <c r="A496">
        <v>227</v>
      </c>
      <c r="B496" t="s">
        <v>1487</v>
      </c>
      <c r="C496">
        <v>3</v>
      </c>
    </row>
    <row r="497" spans="1:3" x14ac:dyDescent="0.35">
      <c r="A497">
        <v>228</v>
      </c>
      <c r="B497" t="s">
        <v>1487</v>
      </c>
      <c r="C497">
        <v>3</v>
      </c>
    </row>
    <row r="498" spans="1:3" x14ac:dyDescent="0.35">
      <c r="A498">
        <v>229</v>
      </c>
      <c r="B498" t="s">
        <v>1487</v>
      </c>
      <c r="C498">
        <v>3</v>
      </c>
    </row>
    <row r="499" spans="1:3" x14ac:dyDescent="0.35">
      <c r="A499">
        <v>230</v>
      </c>
      <c r="B499" t="s">
        <v>1487</v>
      </c>
      <c r="C499">
        <v>3</v>
      </c>
    </row>
    <row r="500" spans="1:3" x14ac:dyDescent="0.35">
      <c r="A500">
        <v>231</v>
      </c>
      <c r="B500" t="s">
        <v>1487</v>
      </c>
      <c r="C500">
        <v>3</v>
      </c>
    </row>
    <row r="501" spans="1:3" x14ac:dyDescent="0.35">
      <c r="A501">
        <v>232</v>
      </c>
      <c r="B501" t="s">
        <v>1487</v>
      </c>
      <c r="C501">
        <v>3</v>
      </c>
    </row>
    <row r="502" spans="1:3" x14ac:dyDescent="0.35">
      <c r="A502">
        <v>233</v>
      </c>
      <c r="B502" t="s">
        <v>1487</v>
      </c>
      <c r="C502">
        <v>3</v>
      </c>
    </row>
    <row r="503" spans="1:3" x14ac:dyDescent="0.35">
      <c r="A503">
        <v>234</v>
      </c>
      <c r="B503" t="s">
        <v>1487</v>
      </c>
      <c r="C503">
        <v>3</v>
      </c>
    </row>
    <row r="504" spans="1:3" x14ac:dyDescent="0.35">
      <c r="A504">
        <v>235</v>
      </c>
      <c r="B504" t="s">
        <v>1487</v>
      </c>
      <c r="C504">
        <v>3</v>
      </c>
    </row>
    <row r="505" spans="1:3" x14ac:dyDescent="0.35">
      <c r="A505">
        <v>236</v>
      </c>
      <c r="B505" t="s">
        <v>1487</v>
      </c>
      <c r="C505">
        <v>3</v>
      </c>
    </row>
    <row r="506" spans="1:3" x14ac:dyDescent="0.35">
      <c r="A506">
        <v>237</v>
      </c>
      <c r="B506" t="s">
        <v>1487</v>
      </c>
      <c r="C506">
        <v>3</v>
      </c>
    </row>
    <row r="507" spans="1:3" x14ac:dyDescent="0.35">
      <c r="A507">
        <v>238</v>
      </c>
      <c r="B507" t="s">
        <v>1487</v>
      </c>
      <c r="C507">
        <v>3</v>
      </c>
    </row>
    <row r="508" spans="1:3" x14ac:dyDescent="0.35">
      <c r="A508">
        <v>239</v>
      </c>
      <c r="B508" t="s">
        <v>1487</v>
      </c>
      <c r="C508">
        <v>3</v>
      </c>
    </row>
    <row r="509" spans="1:3" x14ac:dyDescent="0.35">
      <c r="A509">
        <v>240</v>
      </c>
      <c r="B509" t="s">
        <v>1487</v>
      </c>
      <c r="C509">
        <v>3</v>
      </c>
    </row>
    <row r="510" spans="1:3" x14ac:dyDescent="0.35">
      <c r="A510">
        <v>241</v>
      </c>
      <c r="B510" t="s">
        <v>1487</v>
      </c>
      <c r="C510">
        <v>3</v>
      </c>
    </row>
    <row r="511" spans="1:3" x14ac:dyDescent="0.35">
      <c r="A511">
        <v>242</v>
      </c>
      <c r="B511" t="s">
        <v>1487</v>
      </c>
      <c r="C511">
        <v>3</v>
      </c>
    </row>
    <row r="512" spans="1:3" x14ac:dyDescent="0.35">
      <c r="A512">
        <v>244</v>
      </c>
      <c r="B512" t="s">
        <v>1487</v>
      </c>
      <c r="C512">
        <v>3</v>
      </c>
    </row>
    <row r="513" spans="1:3" x14ac:dyDescent="0.35">
      <c r="A513">
        <v>245</v>
      </c>
      <c r="B513" t="s">
        <v>1487</v>
      </c>
      <c r="C513">
        <v>3</v>
      </c>
    </row>
    <row r="514" spans="1:3" x14ac:dyDescent="0.35">
      <c r="A514">
        <v>246</v>
      </c>
      <c r="B514" t="s">
        <v>1487</v>
      </c>
      <c r="C514">
        <v>3</v>
      </c>
    </row>
    <row r="515" spans="1:3" x14ac:dyDescent="0.35">
      <c r="A515">
        <v>249</v>
      </c>
      <c r="B515" t="s">
        <v>1487</v>
      </c>
      <c r="C515">
        <v>3</v>
      </c>
    </row>
    <row r="516" spans="1:3" x14ac:dyDescent="0.35">
      <c r="A516">
        <v>250</v>
      </c>
      <c r="B516" t="s">
        <v>1487</v>
      </c>
      <c r="C516">
        <v>3</v>
      </c>
    </row>
    <row r="517" spans="1:3" x14ac:dyDescent="0.35">
      <c r="A517">
        <v>251</v>
      </c>
      <c r="B517" t="s">
        <v>1487</v>
      </c>
      <c r="C517">
        <v>3</v>
      </c>
    </row>
    <row r="518" spans="1:3" x14ac:dyDescent="0.35">
      <c r="A518">
        <v>812</v>
      </c>
      <c r="B518" t="s">
        <v>1487</v>
      </c>
      <c r="C518">
        <v>3</v>
      </c>
    </row>
    <row r="519" spans="1:3" x14ac:dyDescent="0.35">
      <c r="A519">
        <v>869</v>
      </c>
      <c r="B519" t="s">
        <v>1487</v>
      </c>
      <c r="C519">
        <v>3</v>
      </c>
    </row>
    <row r="520" spans="1:3" x14ac:dyDescent="0.35">
      <c r="A520">
        <v>872</v>
      </c>
      <c r="B520" t="s">
        <v>1487</v>
      </c>
      <c r="C520">
        <v>3</v>
      </c>
    </row>
    <row r="521" spans="1:3" x14ac:dyDescent="0.35">
      <c r="A521">
        <v>873</v>
      </c>
      <c r="B521" t="s">
        <v>1487</v>
      </c>
      <c r="C521">
        <v>3</v>
      </c>
    </row>
    <row r="522" spans="1:3" x14ac:dyDescent="0.35">
      <c r="A522">
        <v>874</v>
      </c>
      <c r="B522" t="s">
        <v>1487</v>
      </c>
      <c r="C522">
        <v>3</v>
      </c>
    </row>
    <row r="523" spans="1:3" x14ac:dyDescent="0.35">
      <c r="A523">
        <v>2938</v>
      </c>
      <c r="B523" t="s">
        <v>1488</v>
      </c>
      <c r="C523">
        <v>13</v>
      </c>
    </row>
    <row r="524" spans="1:3" x14ac:dyDescent="0.35">
      <c r="A524">
        <v>2424</v>
      </c>
      <c r="B524" t="s">
        <v>1489</v>
      </c>
      <c r="C524">
        <v>5</v>
      </c>
    </row>
    <row r="525" spans="1:3" x14ac:dyDescent="0.35">
      <c r="A525">
        <v>2425</v>
      </c>
      <c r="B525" t="s">
        <v>1489</v>
      </c>
      <c r="C525">
        <v>5</v>
      </c>
    </row>
    <row r="526" spans="1:3" x14ac:dyDescent="0.35">
      <c r="A526">
        <v>2426</v>
      </c>
      <c r="B526" t="s">
        <v>1489</v>
      </c>
      <c r="C526">
        <v>5</v>
      </c>
    </row>
    <row r="527" spans="1:3" x14ac:dyDescent="0.35">
      <c r="A527">
        <v>2428</v>
      </c>
      <c r="B527" t="s">
        <v>1489</v>
      </c>
      <c r="C527">
        <v>5</v>
      </c>
    </row>
    <row r="528" spans="1:3" x14ac:dyDescent="0.35">
      <c r="A528">
        <v>2456</v>
      </c>
      <c r="B528" t="s">
        <v>1489</v>
      </c>
      <c r="C528">
        <v>5</v>
      </c>
    </row>
    <row r="529" spans="1:3" x14ac:dyDescent="0.35">
      <c r="A529">
        <v>2457</v>
      </c>
      <c r="B529" t="s">
        <v>1489</v>
      </c>
      <c r="C529">
        <v>5</v>
      </c>
    </row>
    <row r="530" spans="1:3" x14ac:dyDescent="0.35">
      <c r="A530">
        <v>2458</v>
      </c>
      <c r="B530" t="s">
        <v>1489</v>
      </c>
      <c r="C530">
        <v>5</v>
      </c>
    </row>
    <row r="531" spans="1:3" x14ac:dyDescent="0.35">
      <c r="A531">
        <v>1631</v>
      </c>
      <c r="B531" t="s">
        <v>375</v>
      </c>
      <c r="C531">
        <v>2</v>
      </c>
    </row>
    <row r="532" spans="1:3" x14ac:dyDescent="0.35">
      <c r="A532">
        <v>2032</v>
      </c>
      <c r="B532" t="s">
        <v>375</v>
      </c>
      <c r="C532">
        <v>2</v>
      </c>
    </row>
    <row r="533" spans="1:3" x14ac:dyDescent="0.35">
      <c r="A533">
        <v>1577</v>
      </c>
      <c r="B533" t="s">
        <v>375</v>
      </c>
      <c r="C533">
        <v>2</v>
      </c>
    </row>
    <row r="534" spans="1:3" x14ac:dyDescent="0.35">
      <c r="A534">
        <v>1578</v>
      </c>
      <c r="B534" t="s">
        <v>375</v>
      </c>
      <c r="C534">
        <v>2</v>
      </c>
    </row>
    <row r="535" spans="1:3" x14ac:dyDescent="0.35">
      <c r="A535">
        <v>1581</v>
      </c>
      <c r="B535" t="s">
        <v>375</v>
      </c>
      <c r="C535">
        <v>2</v>
      </c>
    </row>
    <row r="536" spans="1:3" x14ac:dyDescent="0.35">
      <c r="A536">
        <v>1582</v>
      </c>
      <c r="B536" t="s">
        <v>375</v>
      </c>
      <c r="C536">
        <v>2</v>
      </c>
    </row>
    <row r="537" spans="1:3" x14ac:dyDescent="0.35">
      <c r="A537">
        <v>1583</v>
      </c>
      <c r="B537" t="s">
        <v>375</v>
      </c>
      <c r="C537">
        <v>2</v>
      </c>
    </row>
    <row r="538" spans="1:3" x14ac:dyDescent="0.35">
      <c r="A538">
        <v>1585</v>
      </c>
      <c r="B538" t="s">
        <v>375</v>
      </c>
      <c r="C538">
        <v>2</v>
      </c>
    </row>
    <row r="539" spans="1:3" x14ac:dyDescent="0.35">
      <c r="A539">
        <v>1586</v>
      </c>
      <c r="B539" t="s">
        <v>375</v>
      </c>
      <c r="C539">
        <v>2</v>
      </c>
    </row>
    <row r="540" spans="1:3" x14ac:dyDescent="0.35">
      <c r="A540">
        <v>1588</v>
      </c>
      <c r="B540" t="s">
        <v>375</v>
      </c>
      <c r="C540">
        <v>2</v>
      </c>
    </row>
    <row r="541" spans="1:3" x14ac:dyDescent="0.35">
      <c r="A541">
        <v>1630</v>
      </c>
      <c r="B541" t="s">
        <v>375</v>
      </c>
      <c r="C541">
        <v>2</v>
      </c>
    </row>
    <row r="542" spans="1:3" x14ac:dyDescent="0.35">
      <c r="A542">
        <v>1635</v>
      </c>
      <c r="B542" t="s">
        <v>375</v>
      </c>
      <c r="C542">
        <v>2</v>
      </c>
    </row>
    <row r="543" spans="1:3" x14ac:dyDescent="0.35">
      <c r="A543">
        <v>1681</v>
      </c>
      <c r="B543" t="s">
        <v>375</v>
      </c>
      <c r="C543">
        <v>2</v>
      </c>
    </row>
    <row r="544" spans="1:3" x14ac:dyDescent="0.35">
      <c r="A544">
        <v>1683</v>
      </c>
      <c r="B544" t="s">
        <v>375</v>
      </c>
      <c r="C544">
        <v>2</v>
      </c>
    </row>
    <row r="545" spans="1:3" x14ac:dyDescent="0.35">
      <c r="A545">
        <v>2031</v>
      </c>
      <c r="B545" t="s">
        <v>375</v>
      </c>
      <c r="C545">
        <v>2</v>
      </c>
    </row>
    <row r="546" spans="1:3" x14ac:dyDescent="0.35">
      <c r="A546">
        <v>2036</v>
      </c>
      <c r="B546" t="s">
        <v>375</v>
      </c>
      <c r="C546">
        <v>2</v>
      </c>
    </row>
    <row r="547" spans="1:3" x14ac:dyDescent="0.35">
      <c r="A547">
        <v>2038</v>
      </c>
      <c r="B547" t="s">
        <v>375</v>
      </c>
      <c r="C547">
        <v>2</v>
      </c>
    </row>
    <row r="548" spans="1:3" x14ac:dyDescent="0.35">
      <c r="A548">
        <v>2040</v>
      </c>
      <c r="B548" t="s">
        <v>375</v>
      </c>
      <c r="C548">
        <v>2</v>
      </c>
    </row>
    <row r="549" spans="1:3" x14ac:dyDescent="0.35">
      <c r="A549">
        <v>2041</v>
      </c>
      <c r="B549" t="s">
        <v>375</v>
      </c>
      <c r="C549">
        <v>2</v>
      </c>
    </row>
    <row r="550" spans="1:3" x14ac:dyDescent="0.35">
      <c r="A550">
        <v>2043</v>
      </c>
      <c r="B550" t="s">
        <v>375</v>
      </c>
      <c r="C550">
        <v>2</v>
      </c>
    </row>
    <row r="551" spans="1:3" x14ac:dyDescent="0.35">
      <c r="A551">
        <v>2044</v>
      </c>
      <c r="B551" t="s">
        <v>375</v>
      </c>
      <c r="C551">
        <v>2</v>
      </c>
    </row>
    <row r="552" spans="1:3" x14ac:dyDescent="0.35">
      <c r="A552">
        <v>2774</v>
      </c>
      <c r="B552" t="s">
        <v>1490</v>
      </c>
      <c r="C552">
        <v>9</v>
      </c>
    </row>
    <row r="553" spans="1:3" x14ac:dyDescent="0.35">
      <c r="A553">
        <v>2775</v>
      </c>
      <c r="B553" t="s">
        <v>1490</v>
      </c>
      <c r="C553">
        <v>9</v>
      </c>
    </row>
    <row r="554" spans="1:3" x14ac:dyDescent="0.35">
      <c r="A554">
        <v>2784</v>
      </c>
      <c r="B554" t="s">
        <v>1490</v>
      </c>
      <c r="C554">
        <v>9</v>
      </c>
    </row>
    <row r="555" spans="1:3" x14ac:dyDescent="0.35">
      <c r="A555">
        <v>1527</v>
      </c>
      <c r="B555" t="s">
        <v>376</v>
      </c>
      <c r="C555">
        <v>2</v>
      </c>
    </row>
    <row r="556" spans="1:3" x14ac:dyDescent="0.35">
      <c r="A556">
        <v>1528</v>
      </c>
      <c r="B556" t="s">
        <v>376</v>
      </c>
      <c r="C556">
        <v>2</v>
      </c>
    </row>
    <row r="557" spans="1:3" x14ac:dyDescent="0.35">
      <c r="A557">
        <v>1603</v>
      </c>
      <c r="B557" t="s">
        <v>376</v>
      </c>
      <c r="C557">
        <v>2</v>
      </c>
    </row>
    <row r="558" spans="1:3" x14ac:dyDescent="0.35">
      <c r="A558">
        <v>1650</v>
      </c>
      <c r="B558" t="s">
        <v>376</v>
      </c>
      <c r="C558">
        <v>2</v>
      </c>
    </row>
    <row r="559" spans="1:3" x14ac:dyDescent="0.35">
      <c r="A559">
        <v>1651</v>
      </c>
      <c r="B559" t="s">
        <v>376</v>
      </c>
      <c r="C559">
        <v>2</v>
      </c>
    </row>
    <row r="560" spans="1:3" x14ac:dyDescent="0.35">
      <c r="A560">
        <v>1940</v>
      </c>
      <c r="B560" t="s">
        <v>376</v>
      </c>
      <c r="C560">
        <v>2</v>
      </c>
    </row>
    <row r="561" spans="1:3" x14ac:dyDescent="0.35">
      <c r="A561">
        <v>1941</v>
      </c>
      <c r="B561" t="s">
        <v>376</v>
      </c>
      <c r="C561">
        <v>2</v>
      </c>
    </row>
    <row r="562" spans="1:3" x14ac:dyDescent="0.35">
      <c r="A562">
        <v>1942</v>
      </c>
      <c r="B562" t="s">
        <v>376</v>
      </c>
      <c r="C562">
        <v>2</v>
      </c>
    </row>
    <row r="563" spans="1:3" x14ac:dyDescent="0.35">
      <c r="A563">
        <v>1943</v>
      </c>
      <c r="B563" t="s">
        <v>376</v>
      </c>
      <c r="C563">
        <v>2</v>
      </c>
    </row>
    <row r="564" spans="1:3" x14ac:dyDescent="0.35">
      <c r="A564">
        <v>1944</v>
      </c>
      <c r="B564" t="s">
        <v>376</v>
      </c>
      <c r="C564">
        <v>2</v>
      </c>
    </row>
    <row r="565" spans="1:3" x14ac:dyDescent="0.35">
      <c r="A565">
        <v>1945</v>
      </c>
      <c r="B565" t="s">
        <v>376</v>
      </c>
      <c r="C565">
        <v>2</v>
      </c>
    </row>
    <row r="566" spans="1:3" x14ac:dyDescent="0.35">
      <c r="A566">
        <v>35</v>
      </c>
      <c r="B566" t="s">
        <v>1491</v>
      </c>
      <c r="C566">
        <v>3</v>
      </c>
    </row>
    <row r="567" spans="1:3" x14ac:dyDescent="0.35">
      <c r="A567">
        <v>252</v>
      </c>
      <c r="B567" t="s">
        <v>1491</v>
      </c>
      <c r="C567">
        <v>3</v>
      </c>
    </row>
    <row r="568" spans="1:3" x14ac:dyDescent="0.35">
      <c r="A568">
        <v>253</v>
      </c>
      <c r="B568" t="s">
        <v>1491</v>
      </c>
      <c r="C568">
        <v>3</v>
      </c>
    </row>
    <row r="569" spans="1:3" x14ac:dyDescent="0.35">
      <c r="A569">
        <v>254</v>
      </c>
      <c r="B569" t="s">
        <v>1491</v>
      </c>
      <c r="C569">
        <v>3</v>
      </c>
    </row>
    <row r="570" spans="1:3" x14ac:dyDescent="0.35">
      <c r="A570">
        <v>255</v>
      </c>
      <c r="B570" t="s">
        <v>1491</v>
      </c>
      <c r="C570">
        <v>3</v>
      </c>
    </row>
    <row r="571" spans="1:3" x14ac:dyDescent="0.35">
      <c r="A571">
        <v>256</v>
      </c>
      <c r="B571" t="s">
        <v>1491</v>
      </c>
      <c r="C571">
        <v>3</v>
      </c>
    </row>
    <row r="572" spans="1:3" x14ac:dyDescent="0.35">
      <c r="A572">
        <v>257</v>
      </c>
      <c r="B572" t="s">
        <v>1491</v>
      </c>
      <c r="C572">
        <v>3</v>
      </c>
    </row>
    <row r="573" spans="1:3" x14ac:dyDescent="0.35">
      <c r="A573">
        <v>258</v>
      </c>
      <c r="B573" t="s">
        <v>1491</v>
      </c>
      <c r="C573">
        <v>3</v>
      </c>
    </row>
    <row r="574" spans="1:3" x14ac:dyDescent="0.35">
      <c r="A574">
        <v>259</v>
      </c>
      <c r="B574" t="s">
        <v>1491</v>
      </c>
      <c r="C574">
        <v>3</v>
      </c>
    </row>
    <row r="575" spans="1:3" x14ac:dyDescent="0.35">
      <c r="A575">
        <v>260</v>
      </c>
      <c r="B575" t="s">
        <v>1491</v>
      </c>
      <c r="C575">
        <v>3</v>
      </c>
    </row>
    <row r="576" spans="1:3" x14ac:dyDescent="0.35">
      <c r="A576">
        <v>261</v>
      </c>
      <c r="B576" t="s">
        <v>1491</v>
      </c>
      <c r="C576">
        <v>3</v>
      </c>
    </row>
    <row r="577" spans="1:3" x14ac:dyDescent="0.35">
      <c r="A577">
        <v>262</v>
      </c>
      <c r="B577" t="s">
        <v>1491</v>
      </c>
      <c r="C577">
        <v>3</v>
      </c>
    </row>
    <row r="578" spans="1:3" x14ac:dyDescent="0.35">
      <c r="A578">
        <v>263</v>
      </c>
      <c r="B578" t="s">
        <v>1491</v>
      </c>
      <c r="C578">
        <v>3</v>
      </c>
    </row>
    <row r="579" spans="1:3" x14ac:dyDescent="0.35">
      <c r="A579">
        <v>264</v>
      </c>
      <c r="B579" t="s">
        <v>1491</v>
      </c>
      <c r="C579">
        <v>3</v>
      </c>
    </row>
    <row r="580" spans="1:3" x14ac:dyDescent="0.35">
      <c r="A580">
        <v>265</v>
      </c>
      <c r="B580" t="s">
        <v>1491</v>
      </c>
      <c r="C580">
        <v>3</v>
      </c>
    </row>
    <row r="581" spans="1:3" x14ac:dyDescent="0.35">
      <c r="A581">
        <v>266</v>
      </c>
      <c r="B581" t="s">
        <v>1491</v>
      </c>
      <c r="C581">
        <v>3</v>
      </c>
    </row>
    <row r="582" spans="1:3" x14ac:dyDescent="0.35">
      <c r="A582">
        <v>267</v>
      </c>
      <c r="B582" t="s">
        <v>1491</v>
      </c>
      <c r="C582">
        <v>3</v>
      </c>
    </row>
    <row r="583" spans="1:3" x14ac:dyDescent="0.35">
      <c r="A583">
        <v>268</v>
      </c>
      <c r="B583" t="s">
        <v>1491</v>
      </c>
      <c r="C583">
        <v>3</v>
      </c>
    </row>
    <row r="584" spans="1:3" x14ac:dyDescent="0.35">
      <c r="A584">
        <v>269</v>
      </c>
      <c r="B584" t="s">
        <v>1491</v>
      </c>
      <c r="C584">
        <v>3</v>
      </c>
    </row>
    <row r="585" spans="1:3" x14ac:dyDescent="0.35">
      <c r="A585">
        <v>270</v>
      </c>
      <c r="B585" t="s">
        <v>1491</v>
      </c>
      <c r="C585">
        <v>3</v>
      </c>
    </row>
    <row r="586" spans="1:3" x14ac:dyDescent="0.35">
      <c r="A586">
        <v>271</v>
      </c>
      <c r="B586" t="s">
        <v>1491</v>
      </c>
      <c r="C586">
        <v>3</v>
      </c>
    </row>
    <row r="587" spans="1:3" x14ac:dyDescent="0.35">
      <c r="A587">
        <v>272</v>
      </c>
      <c r="B587" t="s">
        <v>1491</v>
      </c>
      <c r="C587">
        <v>3</v>
      </c>
    </row>
    <row r="588" spans="1:3" x14ac:dyDescent="0.35">
      <c r="A588">
        <v>273</v>
      </c>
      <c r="B588" t="s">
        <v>1491</v>
      </c>
      <c r="C588">
        <v>3</v>
      </c>
    </row>
    <row r="589" spans="1:3" x14ac:dyDescent="0.35">
      <c r="A589">
        <v>274</v>
      </c>
      <c r="B589" t="s">
        <v>1491</v>
      </c>
      <c r="C589">
        <v>3</v>
      </c>
    </row>
    <row r="590" spans="1:3" x14ac:dyDescent="0.35">
      <c r="A590">
        <v>275</v>
      </c>
      <c r="B590" t="s">
        <v>1491</v>
      </c>
      <c r="C590">
        <v>3</v>
      </c>
    </row>
    <row r="591" spans="1:3" x14ac:dyDescent="0.35">
      <c r="A591">
        <v>276</v>
      </c>
      <c r="B591" t="s">
        <v>1491</v>
      </c>
      <c r="C591">
        <v>3</v>
      </c>
    </row>
    <row r="592" spans="1:3" x14ac:dyDescent="0.35">
      <c r="A592">
        <v>277</v>
      </c>
      <c r="B592" t="s">
        <v>1491</v>
      </c>
      <c r="C592">
        <v>3</v>
      </c>
    </row>
    <row r="593" spans="1:3" x14ac:dyDescent="0.35">
      <c r="A593">
        <v>278</v>
      </c>
      <c r="B593" t="s">
        <v>1491</v>
      </c>
      <c r="C593">
        <v>3</v>
      </c>
    </row>
    <row r="594" spans="1:3" x14ac:dyDescent="0.35">
      <c r="A594">
        <v>279</v>
      </c>
      <c r="B594" t="s">
        <v>1491</v>
      </c>
      <c r="C594">
        <v>3</v>
      </c>
    </row>
    <row r="595" spans="1:3" x14ac:dyDescent="0.35">
      <c r="A595">
        <v>280</v>
      </c>
      <c r="B595" t="s">
        <v>1491</v>
      </c>
      <c r="C595">
        <v>3</v>
      </c>
    </row>
    <row r="596" spans="1:3" x14ac:dyDescent="0.35">
      <c r="A596">
        <v>281</v>
      </c>
      <c r="B596" t="s">
        <v>1491</v>
      </c>
      <c r="C596">
        <v>3</v>
      </c>
    </row>
    <row r="597" spans="1:3" x14ac:dyDescent="0.35">
      <c r="A597">
        <v>282</v>
      </c>
      <c r="B597" t="s">
        <v>1491</v>
      </c>
      <c r="C597">
        <v>3</v>
      </c>
    </row>
    <row r="598" spans="1:3" x14ac:dyDescent="0.35">
      <c r="A598">
        <v>283</v>
      </c>
      <c r="B598" t="s">
        <v>1491</v>
      </c>
      <c r="C598">
        <v>3</v>
      </c>
    </row>
    <row r="599" spans="1:3" x14ac:dyDescent="0.35">
      <c r="A599">
        <v>284</v>
      </c>
      <c r="B599" t="s">
        <v>1491</v>
      </c>
      <c r="C599">
        <v>3</v>
      </c>
    </row>
    <row r="600" spans="1:3" x14ac:dyDescent="0.35">
      <c r="A600">
        <v>285</v>
      </c>
      <c r="B600" t="s">
        <v>1491</v>
      </c>
      <c r="C600">
        <v>3</v>
      </c>
    </row>
    <row r="601" spans="1:3" x14ac:dyDescent="0.35">
      <c r="A601">
        <v>286</v>
      </c>
      <c r="B601" t="s">
        <v>1491</v>
      </c>
      <c r="C601">
        <v>3</v>
      </c>
    </row>
    <row r="602" spans="1:3" x14ac:dyDescent="0.35">
      <c r="A602">
        <v>287</v>
      </c>
      <c r="B602" t="s">
        <v>1491</v>
      </c>
      <c r="C602">
        <v>3</v>
      </c>
    </row>
    <row r="603" spans="1:3" x14ac:dyDescent="0.35">
      <c r="A603">
        <v>288</v>
      </c>
      <c r="B603" t="s">
        <v>1491</v>
      </c>
      <c r="C603">
        <v>3</v>
      </c>
    </row>
    <row r="604" spans="1:3" x14ac:dyDescent="0.35">
      <c r="A604">
        <v>289</v>
      </c>
      <c r="B604" t="s">
        <v>1491</v>
      </c>
      <c r="C604">
        <v>3</v>
      </c>
    </row>
    <row r="605" spans="1:3" x14ac:dyDescent="0.35">
      <c r="A605">
        <v>290</v>
      </c>
      <c r="B605" t="s">
        <v>1491</v>
      </c>
      <c r="C605">
        <v>3</v>
      </c>
    </row>
    <row r="606" spans="1:3" x14ac:dyDescent="0.35">
      <c r="A606">
        <v>291</v>
      </c>
      <c r="B606" t="s">
        <v>1491</v>
      </c>
      <c r="C606">
        <v>3</v>
      </c>
    </row>
    <row r="607" spans="1:3" x14ac:dyDescent="0.35">
      <c r="A607">
        <v>292</v>
      </c>
      <c r="B607" t="s">
        <v>1491</v>
      </c>
      <c r="C607">
        <v>3</v>
      </c>
    </row>
    <row r="608" spans="1:3" x14ac:dyDescent="0.35">
      <c r="A608">
        <v>293</v>
      </c>
      <c r="B608" t="s">
        <v>1491</v>
      </c>
      <c r="C608">
        <v>3</v>
      </c>
    </row>
    <row r="609" spans="1:3" x14ac:dyDescent="0.35">
      <c r="A609">
        <v>294</v>
      </c>
      <c r="B609" t="s">
        <v>1491</v>
      </c>
      <c r="C609">
        <v>3</v>
      </c>
    </row>
    <row r="610" spans="1:3" x14ac:dyDescent="0.35">
      <c r="A610">
        <v>295</v>
      </c>
      <c r="B610" t="s">
        <v>1491</v>
      </c>
      <c r="C610">
        <v>3</v>
      </c>
    </row>
    <row r="611" spans="1:3" x14ac:dyDescent="0.35">
      <c r="A611">
        <v>296</v>
      </c>
      <c r="B611" t="s">
        <v>1491</v>
      </c>
      <c r="C611">
        <v>3</v>
      </c>
    </row>
    <row r="612" spans="1:3" x14ac:dyDescent="0.35">
      <c r="A612">
        <v>297</v>
      </c>
      <c r="B612" t="s">
        <v>1491</v>
      </c>
      <c r="C612">
        <v>3</v>
      </c>
    </row>
    <row r="613" spans="1:3" x14ac:dyDescent="0.35">
      <c r="A613">
        <v>298</v>
      </c>
      <c r="B613" t="s">
        <v>1491</v>
      </c>
      <c r="C613">
        <v>3</v>
      </c>
    </row>
    <row r="614" spans="1:3" x14ac:dyDescent="0.35">
      <c r="A614">
        <v>299</v>
      </c>
      <c r="B614" t="s">
        <v>1491</v>
      </c>
      <c r="C614">
        <v>3</v>
      </c>
    </row>
    <row r="615" spans="1:3" x14ac:dyDescent="0.35">
      <c r="A615">
        <v>300</v>
      </c>
      <c r="B615" t="s">
        <v>1491</v>
      </c>
      <c r="C615">
        <v>3</v>
      </c>
    </row>
    <row r="616" spans="1:3" x14ac:dyDescent="0.35">
      <c r="A616">
        <v>301</v>
      </c>
      <c r="B616" t="s">
        <v>1491</v>
      </c>
      <c r="C616">
        <v>3</v>
      </c>
    </row>
    <row r="617" spans="1:3" x14ac:dyDescent="0.35">
      <c r="A617">
        <v>302</v>
      </c>
      <c r="B617" t="s">
        <v>1491</v>
      </c>
      <c r="C617">
        <v>3</v>
      </c>
    </row>
    <row r="618" spans="1:3" x14ac:dyDescent="0.35">
      <c r="A618">
        <v>303</v>
      </c>
      <c r="B618" t="s">
        <v>1491</v>
      </c>
      <c r="C618">
        <v>3</v>
      </c>
    </row>
    <row r="619" spans="1:3" x14ac:dyDescent="0.35">
      <c r="A619">
        <v>304</v>
      </c>
      <c r="B619" t="s">
        <v>1491</v>
      </c>
      <c r="C619">
        <v>3</v>
      </c>
    </row>
    <row r="620" spans="1:3" x14ac:dyDescent="0.35">
      <c r="A620">
        <v>305</v>
      </c>
      <c r="B620" t="s">
        <v>1491</v>
      </c>
      <c r="C620">
        <v>3</v>
      </c>
    </row>
    <row r="621" spans="1:3" x14ac:dyDescent="0.35">
      <c r="A621">
        <v>306</v>
      </c>
      <c r="B621" t="s">
        <v>1491</v>
      </c>
      <c r="C621">
        <v>3</v>
      </c>
    </row>
    <row r="622" spans="1:3" x14ac:dyDescent="0.35">
      <c r="A622">
        <v>307</v>
      </c>
      <c r="B622" t="s">
        <v>1491</v>
      </c>
      <c r="C622">
        <v>3</v>
      </c>
    </row>
    <row r="623" spans="1:3" x14ac:dyDescent="0.35">
      <c r="A623">
        <v>308</v>
      </c>
      <c r="B623" t="s">
        <v>1491</v>
      </c>
      <c r="C623">
        <v>3</v>
      </c>
    </row>
    <row r="624" spans="1:3" x14ac:dyDescent="0.35">
      <c r="A624">
        <v>311</v>
      </c>
      <c r="B624" t="s">
        <v>1491</v>
      </c>
      <c r="C624">
        <v>3</v>
      </c>
    </row>
    <row r="625" spans="1:3" x14ac:dyDescent="0.35">
      <c r="A625">
        <v>312</v>
      </c>
      <c r="B625" t="s">
        <v>1491</v>
      </c>
      <c r="C625">
        <v>3</v>
      </c>
    </row>
    <row r="626" spans="1:3" x14ac:dyDescent="0.35">
      <c r="A626">
        <v>313</v>
      </c>
      <c r="B626" t="s">
        <v>1491</v>
      </c>
      <c r="C626">
        <v>3</v>
      </c>
    </row>
    <row r="627" spans="1:3" x14ac:dyDescent="0.35">
      <c r="A627">
        <v>314</v>
      </c>
      <c r="B627" t="s">
        <v>1491</v>
      </c>
      <c r="C627">
        <v>3</v>
      </c>
    </row>
    <row r="628" spans="1:3" x14ac:dyDescent="0.35">
      <c r="A628">
        <v>315</v>
      </c>
      <c r="B628" t="s">
        <v>1491</v>
      </c>
      <c r="C628">
        <v>3</v>
      </c>
    </row>
    <row r="629" spans="1:3" x14ac:dyDescent="0.35">
      <c r="A629">
        <v>316</v>
      </c>
      <c r="B629" t="s">
        <v>1491</v>
      </c>
      <c r="C629">
        <v>3</v>
      </c>
    </row>
    <row r="630" spans="1:3" x14ac:dyDescent="0.35">
      <c r="A630">
        <v>317</v>
      </c>
      <c r="B630" t="s">
        <v>1491</v>
      </c>
      <c r="C630">
        <v>3</v>
      </c>
    </row>
    <row r="631" spans="1:3" x14ac:dyDescent="0.35">
      <c r="A631">
        <v>318</v>
      </c>
      <c r="B631" t="s">
        <v>1491</v>
      </c>
      <c r="C631">
        <v>3</v>
      </c>
    </row>
    <row r="632" spans="1:3" x14ac:dyDescent="0.35">
      <c r="A632">
        <v>319</v>
      </c>
      <c r="B632" t="s">
        <v>1491</v>
      </c>
      <c r="C632">
        <v>3</v>
      </c>
    </row>
    <row r="633" spans="1:3" x14ac:dyDescent="0.35">
      <c r="A633">
        <v>320</v>
      </c>
      <c r="B633" t="s">
        <v>1491</v>
      </c>
      <c r="C633">
        <v>3</v>
      </c>
    </row>
    <row r="634" spans="1:3" x14ac:dyDescent="0.35">
      <c r="A634">
        <v>321</v>
      </c>
      <c r="B634" t="s">
        <v>1491</v>
      </c>
      <c r="C634">
        <v>3</v>
      </c>
    </row>
    <row r="635" spans="1:3" x14ac:dyDescent="0.35">
      <c r="A635">
        <v>322</v>
      </c>
      <c r="B635" t="s">
        <v>1491</v>
      </c>
      <c r="C635">
        <v>3</v>
      </c>
    </row>
    <row r="636" spans="1:3" x14ac:dyDescent="0.35">
      <c r="A636">
        <v>323</v>
      </c>
      <c r="B636" t="s">
        <v>1492</v>
      </c>
      <c r="C636">
        <v>3</v>
      </c>
    </row>
    <row r="637" spans="1:3" x14ac:dyDescent="0.35">
      <c r="A637">
        <v>324</v>
      </c>
      <c r="B637" t="s">
        <v>1492</v>
      </c>
      <c r="C637">
        <v>3</v>
      </c>
    </row>
    <row r="638" spans="1:3" x14ac:dyDescent="0.35">
      <c r="A638">
        <v>2490</v>
      </c>
      <c r="B638" t="s">
        <v>1493</v>
      </c>
      <c r="C638">
        <v>5</v>
      </c>
    </row>
    <row r="639" spans="1:3" x14ac:dyDescent="0.35">
      <c r="A639">
        <v>325</v>
      </c>
      <c r="B639" t="s">
        <v>1494</v>
      </c>
      <c r="C639">
        <v>3</v>
      </c>
    </row>
    <row r="640" spans="1:3" x14ac:dyDescent="0.35">
      <c r="A640">
        <v>326</v>
      </c>
      <c r="B640" t="s">
        <v>1494</v>
      </c>
      <c r="C640">
        <v>3</v>
      </c>
    </row>
    <row r="641" spans="1:3" x14ac:dyDescent="0.35">
      <c r="A641">
        <v>327</v>
      </c>
      <c r="B641" t="s">
        <v>1494</v>
      </c>
      <c r="C641">
        <v>3</v>
      </c>
    </row>
    <row r="642" spans="1:3" x14ac:dyDescent="0.35">
      <c r="A642">
        <v>328</v>
      </c>
      <c r="B642" t="s">
        <v>1494</v>
      </c>
      <c r="C642">
        <v>3</v>
      </c>
    </row>
    <row r="643" spans="1:3" x14ac:dyDescent="0.35">
      <c r="A643">
        <v>330</v>
      </c>
      <c r="B643" t="s">
        <v>1494</v>
      </c>
      <c r="C643">
        <v>3</v>
      </c>
    </row>
    <row r="644" spans="1:3" x14ac:dyDescent="0.35">
      <c r="A644">
        <v>332</v>
      </c>
      <c r="B644" t="s">
        <v>1494</v>
      </c>
      <c r="C644">
        <v>3</v>
      </c>
    </row>
    <row r="645" spans="1:3" x14ac:dyDescent="0.35">
      <c r="A645">
        <v>333</v>
      </c>
      <c r="B645" t="s">
        <v>1494</v>
      </c>
      <c r="C645">
        <v>3</v>
      </c>
    </row>
    <row r="646" spans="1:3" x14ac:dyDescent="0.35">
      <c r="A646">
        <v>334</v>
      </c>
      <c r="B646" t="s">
        <v>1494</v>
      </c>
      <c r="C646">
        <v>3</v>
      </c>
    </row>
    <row r="647" spans="1:3" x14ac:dyDescent="0.35">
      <c r="A647">
        <v>335</v>
      </c>
      <c r="B647" t="s">
        <v>1494</v>
      </c>
      <c r="C647">
        <v>3</v>
      </c>
    </row>
    <row r="648" spans="1:3" x14ac:dyDescent="0.35">
      <c r="A648">
        <v>336</v>
      </c>
      <c r="B648" t="s">
        <v>1494</v>
      </c>
      <c r="C648">
        <v>3</v>
      </c>
    </row>
    <row r="649" spans="1:3" x14ac:dyDescent="0.35">
      <c r="A649">
        <v>337</v>
      </c>
      <c r="B649" t="s">
        <v>1494</v>
      </c>
      <c r="C649">
        <v>3</v>
      </c>
    </row>
    <row r="650" spans="1:3" x14ac:dyDescent="0.35">
      <c r="A650">
        <v>338</v>
      </c>
      <c r="B650" t="s">
        <v>1494</v>
      </c>
      <c r="C650">
        <v>3</v>
      </c>
    </row>
    <row r="651" spans="1:3" x14ac:dyDescent="0.35">
      <c r="A651">
        <v>339</v>
      </c>
      <c r="B651" t="s">
        <v>1494</v>
      </c>
      <c r="C651">
        <v>3</v>
      </c>
    </row>
    <row r="652" spans="1:3" x14ac:dyDescent="0.35">
      <c r="A652">
        <v>340</v>
      </c>
      <c r="B652" t="s">
        <v>1494</v>
      </c>
      <c r="C652">
        <v>3</v>
      </c>
    </row>
    <row r="653" spans="1:3" x14ac:dyDescent="0.35">
      <c r="A653">
        <v>341</v>
      </c>
      <c r="B653" t="s">
        <v>1494</v>
      </c>
      <c r="C653">
        <v>3</v>
      </c>
    </row>
    <row r="654" spans="1:3" x14ac:dyDescent="0.35">
      <c r="A654">
        <v>342</v>
      </c>
      <c r="B654" t="s">
        <v>1494</v>
      </c>
      <c r="C654">
        <v>3</v>
      </c>
    </row>
    <row r="655" spans="1:3" x14ac:dyDescent="0.35">
      <c r="A655">
        <v>343</v>
      </c>
      <c r="B655" t="s">
        <v>1494</v>
      </c>
      <c r="C655">
        <v>3</v>
      </c>
    </row>
    <row r="656" spans="1:3" x14ac:dyDescent="0.35">
      <c r="A656">
        <v>344</v>
      </c>
      <c r="B656" t="s">
        <v>1494</v>
      </c>
      <c r="C656">
        <v>3</v>
      </c>
    </row>
    <row r="657" spans="1:3" x14ac:dyDescent="0.35">
      <c r="A657">
        <v>345</v>
      </c>
      <c r="B657" t="s">
        <v>1494</v>
      </c>
      <c r="C657">
        <v>3</v>
      </c>
    </row>
    <row r="658" spans="1:3" x14ac:dyDescent="0.35">
      <c r="A658">
        <v>348</v>
      </c>
      <c r="B658" t="s">
        <v>1494</v>
      </c>
      <c r="C658">
        <v>3</v>
      </c>
    </row>
    <row r="659" spans="1:3" x14ac:dyDescent="0.35">
      <c r="A659">
        <v>349</v>
      </c>
      <c r="B659" t="s">
        <v>1494</v>
      </c>
      <c r="C659">
        <v>3</v>
      </c>
    </row>
    <row r="660" spans="1:3" x14ac:dyDescent="0.35">
      <c r="A660">
        <v>351</v>
      </c>
      <c r="B660" t="s">
        <v>1494</v>
      </c>
      <c r="C660">
        <v>3</v>
      </c>
    </row>
    <row r="661" spans="1:3" x14ac:dyDescent="0.35">
      <c r="A661">
        <v>353</v>
      </c>
      <c r="B661" t="s">
        <v>1494</v>
      </c>
      <c r="C661">
        <v>3</v>
      </c>
    </row>
    <row r="662" spans="1:3" x14ac:dyDescent="0.35">
      <c r="A662">
        <v>354</v>
      </c>
      <c r="B662" t="s">
        <v>1494</v>
      </c>
      <c r="C662">
        <v>3</v>
      </c>
    </row>
    <row r="663" spans="1:3" x14ac:dyDescent="0.35">
      <c r="A663">
        <v>357</v>
      </c>
      <c r="B663" t="s">
        <v>1494</v>
      </c>
      <c r="C663">
        <v>3</v>
      </c>
    </row>
    <row r="664" spans="1:3" x14ac:dyDescent="0.35">
      <c r="A664">
        <v>358</v>
      </c>
      <c r="B664" t="s">
        <v>1494</v>
      </c>
      <c r="C664">
        <v>3</v>
      </c>
    </row>
    <row r="665" spans="1:3" x14ac:dyDescent="0.35">
      <c r="A665">
        <v>359</v>
      </c>
      <c r="B665" t="s">
        <v>1495</v>
      </c>
      <c r="C665">
        <v>3</v>
      </c>
    </row>
    <row r="666" spans="1:3" x14ac:dyDescent="0.35">
      <c r="A666">
        <v>360</v>
      </c>
      <c r="B666" t="s">
        <v>1495</v>
      </c>
      <c r="C666">
        <v>3</v>
      </c>
    </row>
    <row r="667" spans="1:3" x14ac:dyDescent="0.35">
      <c r="A667">
        <v>361</v>
      </c>
      <c r="B667" t="s">
        <v>1495</v>
      </c>
      <c r="C667">
        <v>3</v>
      </c>
    </row>
    <row r="668" spans="1:3" x14ac:dyDescent="0.35">
      <c r="A668">
        <v>362</v>
      </c>
      <c r="B668" t="s">
        <v>1495</v>
      </c>
      <c r="C668">
        <v>3</v>
      </c>
    </row>
    <row r="669" spans="1:3" x14ac:dyDescent="0.35">
      <c r="A669">
        <v>363</v>
      </c>
      <c r="B669" t="s">
        <v>1495</v>
      </c>
      <c r="C669">
        <v>3</v>
      </c>
    </row>
    <row r="670" spans="1:3" x14ac:dyDescent="0.35">
      <c r="A670">
        <v>364</v>
      </c>
      <c r="B670" t="s">
        <v>1495</v>
      </c>
      <c r="C670">
        <v>3</v>
      </c>
    </row>
    <row r="671" spans="1:3" x14ac:dyDescent="0.35">
      <c r="A671">
        <v>365</v>
      </c>
      <c r="B671" t="s">
        <v>1495</v>
      </c>
      <c r="C671">
        <v>3</v>
      </c>
    </row>
    <row r="672" spans="1:3" x14ac:dyDescent="0.35">
      <c r="A672">
        <v>366</v>
      </c>
      <c r="B672" t="s">
        <v>1495</v>
      </c>
      <c r="C672">
        <v>3</v>
      </c>
    </row>
    <row r="673" spans="1:3" x14ac:dyDescent="0.35">
      <c r="A673">
        <v>367</v>
      </c>
      <c r="B673" t="s">
        <v>1495</v>
      </c>
      <c r="C673">
        <v>3</v>
      </c>
    </row>
    <row r="674" spans="1:3" x14ac:dyDescent="0.35">
      <c r="A674">
        <v>368</v>
      </c>
      <c r="B674" t="s">
        <v>1495</v>
      </c>
      <c r="C674">
        <v>3</v>
      </c>
    </row>
    <row r="675" spans="1:3" x14ac:dyDescent="0.35">
      <c r="A675">
        <v>370</v>
      </c>
      <c r="B675" t="s">
        <v>1495</v>
      </c>
      <c r="C675">
        <v>3</v>
      </c>
    </row>
    <row r="676" spans="1:3" x14ac:dyDescent="0.35">
      <c r="A676">
        <v>371</v>
      </c>
      <c r="B676" t="s">
        <v>1495</v>
      </c>
      <c r="C676">
        <v>3</v>
      </c>
    </row>
    <row r="677" spans="1:3" x14ac:dyDescent="0.35">
      <c r="A677">
        <v>372</v>
      </c>
      <c r="B677" t="s">
        <v>1495</v>
      </c>
      <c r="C677">
        <v>3</v>
      </c>
    </row>
    <row r="678" spans="1:3" x14ac:dyDescent="0.35">
      <c r="A678">
        <v>373</v>
      </c>
      <c r="B678" t="s">
        <v>1495</v>
      </c>
      <c r="C678">
        <v>3</v>
      </c>
    </row>
    <row r="679" spans="1:3" x14ac:dyDescent="0.35">
      <c r="A679">
        <v>374</v>
      </c>
      <c r="B679" t="s">
        <v>1495</v>
      </c>
      <c r="C679">
        <v>3</v>
      </c>
    </row>
    <row r="680" spans="1:3" x14ac:dyDescent="0.35">
      <c r="A680">
        <v>375</v>
      </c>
      <c r="B680" t="s">
        <v>1495</v>
      </c>
      <c r="C680">
        <v>3</v>
      </c>
    </row>
    <row r="681" spans="1:3" x14ac:dyDescent="0.35">
      <c r="A681">
        <v>376</v>
      </c>
      <c r="B681" t="s">
        <v>1495</v>
      </c>
      <c r="C681">
        <v>3</v>
      </c>
    </row>
    <row r="682" spans="1:3" x14ac:dyDescent="0.35">
      <c r="A682">
        <v>377</v>
      </c>
      <c r="B682" t="s">
        <v>1495</v>
      </c>
      <c r="C682">
        <v>3</v>
      </c>
    </row>
    <row r="683" spans="1:3" x14ac:dyDescent="0.35">
      <c r="A683">
        <v>378</v>
      </c>
      <c r="B683" t="s">
        <v>1495</v>
      </c>
      <c r="C683">
        <v>3</v>
      </c>
    </row>
    <row r="684" spans="1:3" x14ac:dyDescent="0.35">
      <c r="A684">
        <v>379</v>
      </c>
      <c r="B684" t="s">
        <v>1495</v>
      </c>
      <c r="C684">
        <v>3</v>
      </c>
    </row>
    <row r="685" spans="1:3" x14ac:dyDescent="0.35">
      <c r="A685">
        <v>380</v>
      </c>
      <c r="B685" t="s">
        <v>1495</v>
      </c>
      <c r="C685">
        <v>3</v>
      </c>
    </row>
    <row r="686" spans="1:3" x14ac:dyDescent="0.35">
      <c r="A686">
        <v>381</v>
      </c>
      <c r="B686" t="s">
        <v>1495</v>
      </c>
      <c r="C686">
        <v>3</v>
      </c>
    </row>
    <row r="687" spans="1:3" x14ac:dyDescent="0.35">
      <c r="A687">
        <v>382</v>
      </c>
      <c r="B687" t="s">
        <v>1495</v>
      </c>
      <c r="C687">
        <v>3</v>
      </c>
    </row>
    <row r="688" spans="1:3" x14ac:dyDescent="0.35">
      <c r="A688">
        <v>383</v>
      </c>
      <c r="B688" t="s">
        <v>1495</v>
      </c>
      <c r="C688">
        <v>3</v>
      </c>
    </row>
    <row r="689" spans="1:3" x14ac:dyDescent="0.35">
      <c r="A689">
        <v>384</v>
      </c>
      <c r="B689" t="s">
        <v>1495</v>
      </c>
      <c r="C689">
        <v>3</v>
      </c>
    </row>
    <row r="690" spans="1:3" x14ac:dyDescent="0.35">
      <c r="A690">
        <v>385</v>
      </c>
      <c r="B690" t="s">
        <v>1495</v>
      </c>
      <c r="C690">
        <v>3</v>
      </c>
    </row>
    <row r="691" spans="1:3" x14ac:dyDescent="0.35">
      <c r="A691">
        <v>386</v>
      </c>
      <c r="B691" t="s">
        <v>1495</v>
      </c>
      <c r="C691">
        <v>3</v>
      </c>
    </row>
    <row r="692" spans="1:3" x14ac:dyDescent="0.35">
      <c r="A692">
        <v>387</v>
      </c>
      <c r="B692" t="s">
        <v>1495</v>
      </c>
      <c r="C692">
        <v>3</v>
      </c>
    </row>
    <row r="693" spans="1:3" x14ac:dyDescent="0.35">
      <c r="A693">
        <v>388</v>
      </c>
      <c r="B693" t="s">
        <v>1495</v>
      </c>
      <c r="C693">
        <v>3</v>
      </c>
    </row>
    <row r="694" spans="1:3" x14ac:dyDescent="0.35">
      <c r="A694">
        <v>389</v>
      </c>
      <c r="B694" t="s">
        <v>1495</v>
      </c>
      <c r="C694">
        <v>3</v>
      </c>
    </row>
    <row r="695" spans="1:3" x14ac:dyDescent="0.35">
      <c r="A695">
        <v>390</v>
      </c>
      <c r="B695" t="s">
        <v>1495</v>
      </c>
      <c r="C695">
        <v>3</v>
      </c>
    </row>
    <row r="696" spans="1:3" x14ac:dyDescent="0.35">
      <c r="A696">
        <v>391</v>
      </c>
      <c r="B696" t="s">
        <v>1495</v>
      </c>
      <c r="C696">
        <v>3</v>
      </c>
    </row>
    <row r="697" spans="1:3" x14ac:dyDescent="0.35">
      <c r="A697">
        <v>392</v>
      </c>
      <c r="B697" t="s">
        <v>1495</v>
      </c>
      <c r="C697">
        <v>3</v>
      </c>
    </row>
    <row r="698" spans="1:3" x14ac:dyDescent="0.35">
      <c r="A698">
        <v>393</v>
      </c>
      <c r="B698" t="s">
        <v>1495</v>
      </c>
      <c r="C698">
        <v>3</v>
      </c>
    </row>
    <row r="699" spans="1:3" x14ac:dyDescent="0.35">
      <c r="A699">
        <v>394</v>
      </c>
      <c r="B699" t="s">
        <v>1495</v>
      </c>
      <c r="C699">
        <v>3</v>
      </c>
    </row>
    <row r="700" spans="1:3" x14ac:dyDescent="0.35">
      <c r="A700">
        <v>395</v>
      </c>
      <c r="B700" t="s">
        <v>1495</v>
      </c>
      <c r="C700">
        <v>3</v>
      </c>
    </row>
    <row r="701" spans="1:3" x14ac:dyDescent="0.35">
      <c r="A701">
        <v>396</v>
      </c>
      <c r="B701" t="s">
        <v>1495</v>
      </c>
      <c r="C701">
        <v>3</v>
      </c>
    </row>
    <row r="702" spans="1:3" x14ac:dyDescent="0.35">
      <c r="A702">
        <v>397</v>
      </c>
      <c r="B702" t="s">
        <v>1495</v>
      </c>
      <c r="C702">
        <v>3</v>
      </c>
    </row>
    <row r="703" spans="1:3" x14ac:dyDescent="0.35">
      <c r="A703">
        <v>398</v>
      </c>
      <c r="B703" t="s">
        <v>1495</v>
      </c>
      <c r="C703">
        <v>3</v>
      </c>
    </row>
    <row r="704" spans="1:3" x14ac:dyDescent="0.35">
      <c r="A704">
        <v>399</v>
      </c>
      <c r="B704" t="s">
        <v>1495</v>
      </c>
      <c r="C704">
        <v>3</v>
      </c>
    </row>
    <row r="705" spans="1:3" x14ac:dyDescent="0.35">
      <c r="A705">
        <v>400</v>
      </c>
      <c r="B705" t="s">
        <v>1495</v>
      </c>
      <c r="C705">
        <v>3</v>
      </c>
    </row>
    <row r="706" spans="1:3" x14ac:dyDescent="0.35">
      <c r="A706">
        <v>401</v>
      </c>
      <c r="B706" t="s">
        <v>1495</v>
      </c>
      <c r="C706">
        <v>3</v>
      </c>
    </row>
    <row r="707" spans="1:3" x14ac:dyDescent="0.35">
      <c r="A707">
        <v>402</v>
      </c>
      <c r="B707" t="s">
        <v>1495</v>
      </c>
      <c r="C707">
        <v>3</v>
      </c>
    </row>
    <row r="708" spans="1:3" x14ac:dyDescent="0.35">
      <c r="A708">
        <v>403</v>
      </c>
      <c r="B708" t="s">
        <v>1495</v>
      </c>
      <c r="C708">
        <v>3</v>
      </c>
    </row>
    <row r="709" spans="1:3" x14ac:dyDescent="0.35">
      <c r="A709">
        <v>404</v>
      </c>
      <c r="B709" t="s">
        <v>1495</v>
      </c>
      <c r="C709">
        <v>3</v>
      </c>
    </row>
    <row r="710" spans="1:3" x14ac:dyDescent="0.35">
      <c r="A710">
        <v>405</v>
      </c>
      <c r="B710" t="s">
        <v>1495</v>
      </c>
      <c r="C710">
        <v>3</v>
      </c>
    </row>
    <row r="711" spans="1:3" x14ac:dyDescent="0.35">
      <c r="A711">
        <v>406</v>
      </c>
      <c r="B711" t="s">
        <v>1495</v>
      </c>
      <c r="C711">
        <v>3</v>
      </c>
    </row>
    <row r="712" spans="1:3" x14ac:dyDescent="0.35">
      <c r="A712">
        <v>407</v>
      </c>
      <c r="B712" t="s">
        <v>1495</v>
      </c>
      <c r="C712">
        <v>3</v>
      </c>
    </row>
    <row r="713" spans="1:3" x14ac:dyDescent="0.35">
      <c r="A713">
        <v>408</v>
      </c>
      <c r="B713" t="s">
        <v>1495</v>
      </c>
      <c r="C713">
        <v>3</v>
      </c>
    </row>
    <row r="714" spans="1:3" x14ac:dyDescent="0.35">
      <c r="A714">
        <v>409</v>
      </c>
      <c r="B714" t="s">
        <v>1495</v>
      </c>
      <c r="C714">
        <v>3</v>
      </c>
    </row>
    <row r="715" spans="1:3" x14ac:dyDescent="0.35">
      <c r="A715">
        <v>410</v>
      </c>
      <c r="B715" t="s">
        <v>1495</v>
      </c>
      <c r="C715">
        <v>3</v>
      </c>
    </row>
    <row r="716" spans="1:3" x14ac:dyDescent="0.35">
      <c r="A716">
        <v>411</v>
      </c>
      <c r="B716" t="s">
        <v>1495</v>
      </c>
      <c r="C716">
        <v>3</v>
      </c>
    </row>
    <row r="717" spans="1:3" x14ac:dyDescent="0.35">
      <c r="A717">
        <v>412</v>
      </c>
      <c r="B717" t="s">
        <v>1495</v>
      </c>
      <c r="C717">
        <v>3</v>
      </c>
    </row>
    <row r="718" spans="1:3" x14ac:dyDescent="0.35">
      <c r="A718">
        <v>413</v>
      </c>
      <c r="B718" t="s">
        <v>1495</v>
      </c>
      <c r="C718">
        <v>3</v>
      </c>
    </row>
    <row r="719" spans="1:3" x14ac:dyDescent="0.35">
      <c r="A719">
        <v>414</v>
      </c>
      <c r="B719" t="s">
        <v>1495</v>
      </c>
      <c r="C719">
        <v>3</v>
      </c>
    </row>
    <row r="720" spans="1:3" x14ac:dyDescent="0.35">
      <c r="A720">
        <v>415</v>
      </c>
      <c r="B720" t="s">
        <v>1495</v>
      </c>
      <c r="C720">
        <v>3</v>
      </c>
    </row>
    <row r="721" spans="1:3" x14ac:dyDescent="0.35">
      <c r="A721">
        <v>416</v>
      </c>
      <c r="B721" t="s">
        <v>1495</v>
      </c>
      <c r="C721">
        <v>3</v>
      </c>
    </row>
    <row r="722" spans="1:3" x14ac:dyDescent="0.35">
      <c r="A722">
        <v>417</v>
      </c>
      <c r="B722" t="s">
        <v>1495</v>
      </c>
      <c r="C722">
        <v>3</v>
      </c>
    </row>
    <row r="723" spans="1:3" x14ac:dyDescent="0.35">
      <c r="A723">
        <v>418</v>
      </c>
      <c r="B723" t="s">
        <v>1495</v>
      </c>
      <c r="C723">
        <v>3</v>
      </c>
    </row>
    <row r="724" spans="1:3" x14ac:dyDescent="0.35">
      <c r="A724">
        <v>419</v>
      </c>
      <c r="B724" t="s">
        <v>1495</v>
      </c>
      <c r="C724">
        <v>3</v>
      </c>
    </row>
    <row r="725" spans="1:3" x14ac:dyDescent="0.35">
      <c r="A725">
        <v>456</v>
      </c>
      <c r="B725" t="s">
        <v>1495</v>
      </c>
      <c r="C725">
        <v>3</v>
      </c>
    </row>
    <row r="726" spans="1:3" x14ac:dyDescent="0.35">
      <c r="A726">
        <v>1471</v>
      </c>
      <c r="B726" t="s">
        <v>1495</v>
      </c>
      <c r="C726">
        <v>3</v>
      </c>
    </row>
    <row r="727" spans="1:3" x14ac:dyDescent="0.35">
      <c r="A727">
        <v>2626</v>
      </c>
      <c r="B727" t="s">
        <v>1496</v>
      </c>
      <c r="C727">
        <v>7</v>
      </c>
    </row>
    <row r="728" spans="1:3" x14ac:dyDescent="0.35">
      <c r="A728">
        <v>2627</v>
      </c>
      <c r="B728" t="s">
        <v>1496</v>
      </c>
      <c r="C728">
        <v>7</v>
      </c>
    </row>
    <row r="729" spans="1:3" x14ac:dyDescent="0.35">
      <c r="A729">
        <v>2629</v>
      </c>
      <c r="B729" t="s">
        <v>1496</v>
      </c>
      <c r="C729">
        <v>7</v>
      </c>
    </row>
    <row r="730" spans="1:3" x14ac:dyDescent="0.35">
      <c r="A730">
        <v>2630</v>
      </c>
      <c r="B730" t="s">
        <v>1496</v>
      </c>
      <c r="C730">
        <v>7</v>
      </c>
    </row>
    <row r="731" spans="1:3" x14ac:dyDescent="0.35">
      <c r="A731">
        <v>2631</v>
      </c>
      <c r="B731" t="s">
        <v>1496</v>
      </c>
      <c r="C731">
        <v>7</v>
      </c>
    </row>
    <row r="732" spans="1:3" x14ac:dyDescent="0.35">
      <c r="A732">
        <v>2632</v>
      </c>
      <c r="B732" t="s">
        <v>1496</v>
      </c>
      <c r="C732">
        <v>7</v>
      </c>
    </row>
    <row r="733" spans="1:3" x14ac:dyDescent="0.35">
      <c r="A733">
        <v>2633</v>
      </c>
      <c r="B733" t="s">
        <v>1496</v>
      </c>
      <c r="C733">
        <v>7</v>
      </c>
    </row>
    <row r="734" spans="1:3" x14ac:dyDescent="0.35">
      <c r="A734">
        <v>2635</v>
      </c>
      <c r="B734" t="s">
        <v>1496</v>
      </c>
      <c r="C734">
        <v>7</v>
      </c>
    </row>
    <row r="735" spans="1:3" x14ac:dyDescent="0.35">
      <c r="A735">
        <v>2636</v>
      </c>
      <c r="B735" t="s">
        <v>1496</v>
      </c>
      <c r="C735">
        <v>7</v>
      </c>
    </row>
    <row r="736" spans="1:3" x14ac:dyDescent="0.35">
      <c r="A736">
        <v>2637</v>
      </c>
      <c r="B736" t="s">
        <v>1496</v>
      </c>
      <c r="C736">
        <v>7</v>
      </c>
    </row>
    <row r="737" spans="1:3" x14ac:dyDescent="0.35">
      <c r="A737">
        <v>2638</v>
      </c>
      <c r="B737" t="s">
        <v>1496</v>
      </c>
      <c r="C737">
        <v>7</v>
      </c>
    </row>
    <row r="738" spans="1:3" x14ac:dyDescent="0.35">
      <c r="A738">
        <v>2639</v>
      </c>
      <c r="B738" t="s">
        <v>1496</v>
      </c>
      <c r="C738">
        <v>7</v>
      </c>
    </row>
    <row r="739" spans="1:3" x14ac:dyDescent="0.35">
      <c r="A739">
        <v>2099</v>
      </c>
      <c r="B739" t="s">
        <v>1497</v>
      </c>
      <c r="C739">
        <v>4</v>
      </c>
    </row>
    <row r="740" spans="1:3" x14ac:dyDescent="0.35">
      <c r="A740">
        <v>2100</v>
      </c>
      <c r="B740" t="s">
        <v>1497</v>
      </c>
      <c r="C740">
        <v>4</v>
      </c>
    </row>
    <row r="741" spans="1:3" x14ac:dyDescent="0.35">
      <c r="A741">
        <v>2102</v>
      </c>
      <c r="B741" t="s">
        <v>1497</v>
      </c>
      <c r="C741">
        <v>4</v>
      </c>
    </row>
    <row r="742" spans="1:3" x14ac:dyDescent="0.35">
      <c r="A742">
        <v>2103</v>
      </c>
      <c r="B742" t="s">
        <v>1497</v>
      </c>
      <c r="C742">
        <v>4</v>
      </c>
    </row>
    <row r="743" spans="1:3" x14ac:dyDescent="0.35">
      <c r="A743">
        <v>2104</v>
      </c>
      <c r="B743" t="s">
        <v>1497</v>
      </c>
      <c r="C743">
        <v>4</v>
      </c>
    </row>
    <row r="744" spans="1:3" x14ac:dyDescent="0.35">
      <c r="A744">
        <v>2105</v>
      </c>
      <c r="B744" t="s">
        <v>1497</v>
      </c>
      <c r="C744">
        <v>4</v>
      </c>
    </row>
    <row r="745" spans="1:3" x14ac:dyDescent="0.35">
      <c r="A745">
        <v>2737</v>
      </c>
      <c r="B745" t="s">
        <v>1498</v>
      </c>
      <c r="C745">
        <v>9</v>
      </c>
    </row>
    <row r="746" spans="1:3" x14ac:dyDescent="0.35">
      <c r="A746">
        <v>2739</v>
      </c>
      <c r="B746" t="s">
        <v>1498</v>
      </c>
      <c r="C746">
        <v>9</v>
      </c>
    </row>
    <row r="747" spans="1:3" x14ac:dyDescent="0.35">
      <c r="A747">
        <v>2740</v>
      </c>
      <c r="B747" t="s">
        <v>1498</v>
      </c>
      <c r="C747">
        <v>9</v>
      </c>
    </row>
    <row r="748" spans="1:3" x14ac:dyDescent="0.35">
      <c r="A748">
        <v>2741</v>
      </c>
      <c r="B748" t="s">
        <v>1498</v>
      </c>
      <c r="C748">
        <v>9</v>
      </c>
    </row>
    <row r="749" spans="1:3" x14ac:dyDescent="0.35">
      <c r="A749">
        <v>2742</v>
      </c>
      <c r="B749" t="s">
        <v>1498</v>
      </c>
      <c r="C749">
        <v>9</v>
      </c>
    </row>
    <row r="750" spans="1:3" x14ac:dyDescent="0.35">
      <c r="A750">
        <v>2743</v>
      </c>
      <c r="B750" t="s">
        <v>1498</v>
      </c>
      <c r="C750">
        <v>9</v>
      </c>
    </row>
    <row r="751" spans="1:3" x14ac:dyDescent="0.35">
      <c r="A751">
        <v>2744</v>
      </c>
      <c r="B751" t="s">
        <v>1498</v>
      </c>
      <c r="C751">
        <v>9</v>
      </c>
    </row>
    <row r="752" spans="1:3" x14ac:dyDescent="0.35">
      <c r="A752">
        <v>2745</v>
      </c>
      <c r="B752" t="s">
        <v>1498</v>
      </c>
      <c r="C752">
        <v>9</v>
      </c>
    </row>
    <row r="753" spans="1:3" x14ac:dyDescent="0.35">
      <c r="A753">
        <v>2206</v>
      </c>
      <c r="B753" t="s">
        <v>1499</v>
      </c>
      <c r="C753">
        <v>4</v>
      </c>
    </row>
    <row r="754" spans="1:3" x14ac:dyDescent="0.35">
      <c r="A754">
        <v>2207</v>
      </c>
      <c r="B754" t="s">
        <v>1499</v>
      </c>
      <c r="C754">
        <v>4</v>
      </c>
    </row>
    <row r="755" spans="1:3" x14ac:dyDescent="0.35">
      <c r="A755">
        <v>2208</v>
      </c>
      <c r="B755" t="s">
        <v>1499</v>
      </c>
      <c r="C755">
        <v>4</v>
      </c>
    </row>
    <row r="756" spans="1:3" x14ac:dyDescent="0.35">
      <c r="A756">
        <v>2209</v>
      </c>
      <c r="B756" t="s">
        <v>1499</v>
      </c>
      <c r="C756">
        <v>4</v>
      </c>
    </row>
    <row r="757" spans="1:3" x14ac:dyDescent="0.35">
      <c r="A757">
        <v>2210</v>
      </c>
      <c r="B757" t="s">
        <v>1499</v>
      </c>
      <c r="C757">
        <v>4</v>
      </c>
    </row>
    <row r="758" spans="1:3" x14ac:dyDescent="0.35">
      <c r="A758">
        <v>2211</v>
      </c>
      <c r="B758" t="s">
        <v>1499</v>
      </c>
      <c r="C758">
        <v>4</v>
      </c>
    </row>
    <row r="759" spans="1:3" x14ac:dyDescent="0.35">
      <c r="A759">
        <v>2212</v>
      </c>
      <c r="B759" t="s">
        <v>1499</v>
      </c>
      <c r="C759">
        <v>4</v>
      </c>
    </row>
    <row r="760" spans="1:3" x14ac:dyDescent="0.35">
      <c r="A760">
        <v>2213</v>
      </c>
      <c r="B760" t="s">
        <v>1499</v>
      </c>
      <c r="C760">
        <v>4</v>
      </c>
    </row>
    <row r="761" spans="1:3" x14ac:dyDescent="0.35">
      <c r="A761">
        <v>2214</v>
      </c>
      <c r="B761" t="s">
        <v>1499</v>
      </c>
      <c r="C761">
        <v>4</v>
      </c>
    </row>
    <row r="762" spans="1:3" x14ac:dyDescent="0.35">
      <c r="A762">
        <v>2215</v>
      </c>
      <c r="B762" t="s">
        <v>1499</v>
      </c>
      <c r="C762">
        <v>4</v>
      </c>
    </row>
    <row r="763" spans="1:3" x14ac:dyDescent="0.35">
      <c r="A763">
        <v>2216</v>
      </c>
      <c r="B763" t="s">
        <v>1499</v>
      </c>
      <c r="C763">
        <v>4</v>
      </c>
    </row>
    <row r="764" spans="1:3" x14ac:dyDescent="0.35">
      <c r="A764">
        <v>2217</v>
      </c>
      <c r="B764" t="s">
        <v>1499</v>
      </c>
      <c r="C764">
        <v>4</v>
      </c>
    </row>
    <row r="765" spans="1:3" x14ac:dyDescent="0.35">
      <c r="A765">
        <v>2218</v>
      </c>
      <c r="B765" t="s">
        <v>1499</v>
      </c>
      <c r="C765">
        <v>4</v>
      </c>
    </row>
    <row r="766" spans="1:3" x14ac:dyDescent="0.35">
      <c r="A766">
        <v>2219</v>
      </c>
      <c r="B766" t="s">
        <v>1499</v>
      </c>
      <c r="C766">
        <v>4</v>
      </c>
    </row>
    <row r="767" spans="1:3" x14ac:dyDescent="0.35">
      <c r="A767">
        <v>2220</v>
      </c>
      <c r="B767" t="s">
        <v>1499</v>
      </c>
      <c r="C767">
        <v>4</v>
      </c>
    </row>
    <row r="768" spans="1:3" x14ac:dyDescent="0.35">
      <c r="A768">
        <v>2221</v>
      </c>
      <c r="B768" t="s">
        <v>1499</v>
      </c>
      <c r="C768">
        <v>4</v>
      </c>
    </row>
    <row r="769" spans="1:3" x14ac:dyDescent="0.35">
      <c r="A769">
        <v>2222</v>
      </c>
      <c r="B769" t="s">
        <v>1499</v>
      </c>
      <c r="C769">
        <v>4</v>
      </c>
    </row>
    <row r="770" spans="1:3" x14ac:dyDescent="0.35">
      <c r="A770">
        <v>2223</v>
      </c>
      <c r="B770" t="s">
        <v>1499</v>
      </c>
      <c r="C770">
        <v>4</v>
      </c>
    </row>
    <row r="771" spans="1:3" x14ac:dyDescent="0.35">
      <c r="A771">
        <v>2224</v>
      </c>
      <c r="B771" t="s">
        <v>1499</v>
      </c>
      <c r="C771">
        <v>4</v>
      </c>
    </row>
    <row r="772" spans="1:3" x14ac:dyDescent="0.35">
      <c r="A772">
        <v>2225</v>
      </c>
      <c r="B772" t="s">
        <v>1499</v>
      </c>
      <c r="C772">
        <v>4</v>
      </c>
    </row>
    <row r="773" spans="1:3" x14ac:dyDescent="0.35">
      <c r="A773">
        <v>2226</v>
      </c>
      <c r="B773" t="s">
        <v>1499</v>
      </c>
      <c r="C773">
        <v>4</v>
      </c>
    </row>
    <row r="774" spans="1:3" x14ac:dyDescent="0.35">
      <c r="A774">
        <v>2227</v>
      </c>
      <c r="B774" t="s">
        <v>1499</v>
      </c>
      <c r="C774">
        <v>4</v>
      </c>
    </row>
    <row r="775" spans="1:3" x14ac:dyDescent="0.35">
      <c r="A775">
        <v>2228</v>
      </c>
      <c r="B775" t="s">
        <v>1499</v>
      </c>
      <c r="C775">
        <v>4</v>
      </c>
    </row>
    <row r="776" spans="1:3" x14ac:dyDescent="0.35">
      <c r="A776">
        <v>2229</v>
      </c>
      <c r="B776" t="s">
        <v>1499</v>
      </c>
      <c r="C776">
        <v>4</v>
      </c>
    </row>
    <row r="777" spans="1:3" x14ac:dyDescent="0.35">
      <c r="A777">
        <v>2230</v>
      </c>
      <c r="B777" t="s">
        <v>1499</v>
      </c>
      <c r="C777">
        <v>4</v>
      </c>
    </row>
    <row r="778" spans="1:3" x14ac:dyDescent="0.35">
      <c r="A778">
        <v>2231</v>
      </c>
      <c r="B778" t="s">
        <v>1499</v>
      </c>
      <c r="C778">
        <v>4</v>
      </c>
    </row>
    <row r="779" spans="1:3" x14ac:dyDescent="0.35">
      <c r="A779">
        <v>2232</v>
      </c>
      <c r="B779" t="s">
        <v>1499</v>
      </c>
      <c r="C779">
        <v>4</v>
      </c>
    </row>
    <row r="780" spans="1:3" x14ac:dyDescent="0.35">
      <c r="A780">
        <v>2233</v>
      </c>
      <c r="B780" t="s">
        <v>1499</v>
      </c>
      <c r="C780">
        <v>4</v>
      </c>
    </row>
    <row r="781" spans="1:3" x14ac:dyDescent="0.35">
      <c r="A781">
        <v>2234</v>
      </c>
      <c r="B781" t="s">
        <v>1499</v>
      </c>
      <c r="C781">
        <v>4</v>
      </c>
    </row>
    <row r="782" spans="1:3" x14ac:dyDescent="0.35">
      <c r="A782">
        <v>2235</v>
      </c>
      <c r="B782" t="s">
        <v>1499</v>
      </c>
      <c r="C782">
        <v>4</v>
      </c>
    </row>
    <row r="783" spans="1:3" x14ac:dyDescent="0.35">
      <c r="A783">
        <v>2236</v>
      </c>
      <c r="B783" t="s">
        <v>1499</v>
      </c>
      <c r="C783">
        <v>4</v>
      </c>
    </row>
    <row r="784" spans="1:3" x14ac:dyDescent="0.35">
      <c r="A784">
        <v>2237</v>
      </c>
      <c r="B784" t="s">
        <v>1499</v>
      </c>
      <c r="C784">
        <v>4</v>
      </c>
    </row>
    <row r="785" spans="1:3" x14ac:dyDescent="0.35">
      <c r="A785">
        <v>2238</v>
      </c>
      <c r="B785" t="s">
        <v>1499</v>
      </c>
      <c r="C785">
        <v>4</v>
      </c>
    </row>
    <row r="786" spans="1:3" x14ac:dyDescent="0.35">
      <c r="A786">
        <v>2239</v>
      </c>
      <c r="B786" t="s">
        <v>1499</v>
      </c>
      <c r="C786">
        <v>4</v>
      </c>
    </row>
    <row r="787" spans="1:3" x14ac:dyDescent="0.35">
      <c r="A787">
        <v>2240</v>
      </c>
      <c r="B787" t="s">
        <v>1499</v>
      </c>
      <c r="C787">
        <v>4</v>
      </c>
    </row>
    <row r="788" spans="1:3" x14ac:dyDescent="0.35">
      <c r="A788">
        <v>2241</v>
      </c>
      <c r="B788" t="s">
        <v>1499</v>
      </c>
      <c r="C788">
        <v>4</v>
      </c>
    </row>
    <row r="789" spans="1:3" x14ac:dyDescent="0.35">
      <c r="A789">
        <v>2242</v>
      </c>
      <c r="B789" t="s">
        <v>1499</v>
      </c>
      <c r="C789">
        <v>4</v>
      </c>
    </row>
    <row r="790" spans="1:3" x14ac:dyDescent="0.35">
      <c r="A790">
        <v>2243</v>
      </c>
      <c r="B790" t="s">
        <v>1499</v>
      </c>
      <c r="C790">
        <v>4</v>
      </c>
    </row>
    <row r="791" spans="1:3" x14ac:dyDescent="0.35">
      <c r="A791">
        <v>2244</v>
      </c>
      <c r="B791" t="s">
        <v>1499</v>
      </c>
      <c r="C791">
        <v>4</v>
      </c>
    </row>
    <row r="792" spans="1:3" x14ac:dyDescent="0.35">
      <c r="A792">
        <v>2245</v>
      </c>
      <c r="B792" t="s">
        <v>1499</v>
      </c>
      <c r="C792">
        <v>4</v>
      </c>
    </row>
    <row r="793" spans="1:3" x14ac:dyDescent="0.35">
      <c r="A793">
        <v>2246</v>
      </c>
      <c r="B793" t="s">
        <v>1499</v>
      </c>
      <c r="C793">
        <v>4</v>
      </c>
    </row>
    <row r="794" spans="1:3" x14ac:dyDescent="0.35">
      <c r="A794">
        <v>2247</v>
      </c>
      <c r="B794" t="s">
        <v>1499</v>
      </c>
      <c r="C794">
        <v>4</v>
      </c>
    </row>
    <row r="795" spans="1:3" x14ac:dyDescent="0.35">
      <c r="A795">
        <v>2248</v>
      </c>
      <c r="B795" t="s">
        <v>1499</v>
      </c>
      <c r="C795">
        <v>4</v>
      </c>
    </row>
    <row r="796" spans="1:3" x14ac:dyDescent="0.35">
      <c r="A796">
        <v>2251</v>
      </c>
      <c r="B796" t="s">
        <v>1499</v>
      </c>
      <c r="C796">
        <v>4</v>
      </c>
    </row>
    <row r="797" spans="1:3" x14ac:dyDescent="0.35">
      <c r="A797">
        <v>2252</v>
      </c>
      <c r="B797" t="s">
        <v>1499</v>
      </c>
      <c r="C797">
        <v>4</v>
      </c>
    </row>
    <row r="798" spans="1:3" x14ac:dyDescent="0.35">
      <c r="A798">
        <v>2253</v>
      </c>
      <c r="B798" t="s">
        <v>1499</v>
      </c>
      <c r="C798">
        <v>4</v>
      </c>
    </row>
    <row r="799" spans="1:3" x14ac:dyDescent="0.35">
      <c r="A799">
        <v>2254</v>
      </c>
      <c r="B799" t="s">
        <v>1499</v>
      </c>
      <c r="C799">
        <v>4</v>
      </c>
    </row>
    <row r="800" spans="1:3" x14ac:dyDescent="0.35">
      <c r="A800">
        <v>2255</v>
      </c>
      <c r="B800" t="s">
        <v>1499</v>
      </c>
      <c r="C800">
        <v>4</v>
      </c>
    </row>
    <row r="801" spans="1:3" x14ac:dyDescent="0.35">
      <c r="A801">
        <v>2256</v>
      </c>
      <c r="B801" t="s">
        <v>1499</v>
      </c>
      <c r="C801">
        <v>4</v>
      </c>
    </row>
    <row r="802" spans="1:3" x14ac:dyDescent="0.35">
      <c r="A802">
        <v>2257</v>
      </c>
      <c r="B802" t="s">
        <v>1499</v>
      </c>
      <c r="C802">
        <v>4</v>
      </c>
    </row>
    <row r="803" spans="1:3" x14ac:dyDescent="0.35">
      <c r="A803">
        <v>2258</v>
      </c>
      <c r="B803" t="s">
        <v>1499</v>
      </c>
      <c r="C803">
        <v>4</v>
      </c>
    </row>
    <row r="804" spans="1:3" x14ac:dyDescent="0.35">
      <c r="A804">
        <v>2259</v>
      </c>
      <c r="B804" t="s">
        <v>1499</v>
      </c>
      <c r="C804">
        <v>4</v>
      </c>
    </row>
    <row r="805" spans="1:3" x14ac:dyDescent="0.35">
      <c r="A805">
        <v>2260</v>
      </c>
      <c r="B805" t="s">
        <v>1499</v>
      </c>
      <c r="C805">
        <v>4</v>
      </c>
    </row>
    <row r="806" spans="1:3" x14ac:dyDescent="0.35">
      <c r="A806">
        <v>2261</v>
      </c>
      <c r="B806" t="s">
        <v>1499</v>
      </c>
      <c r="C806">
        <v>4</v>
      </c>
    </row>
    <row r="807" spans="1:3" x14ac:dyDescent="0.35">
      <c r="A807">
        <v>2262</v>
      </c>
      <c r="B807" t="s">
        <v>1499</v>
      </c>
      <c r="C807">
        <v>4</v>
      </c>
    </row>
    <row r="808" spans="1:3" x14ac:dyDescent="0.35">
      <c r="A808">
        <v>2263</v>
      </c>
      <c r="B808" t="s">
        <v>1499</v>
      </c>
      <c r="C808">
        <v>4</v>
      </c>
    </row>
    <row r="809" spans="1:3" x14ac:dyDescent="0.35">
      <c r="A809">
        <v>2264</v>
      </c>
      <c r="B809" t="s">
        <v>1499</v>
      </c>
      <c r="C809">
        <v>4</v>
      </c>
    </row>
    <row r="810" spans="1:3" x14ac:dyDescent="0.35">
      <c r="A810">
        <v>2265</v>
      </c>
      <c r="B810" t="s">
        <v>1499</v>
      </c>
      <c r="C810">
        <v>4</v>
      </c>
    </row>
    <row r="811" spans="1:3" x14ac:dyDescent="0.35">
      <c r="A811">
        <v>2266</v>
      </c>
      <c r="B811" t="s">
        <v>1499</v>
      </c>
      <c r="C811">
        <v>4</v>
      </c>
    </row>
    <row r="812" spans="1:3" x14ac:dyDescent="0.35">
      <c r="A812">
        <v>2267</v>
      </c>
      <c r="B812" t="s">
        <v>1499</v>
      </c>
      <c r="C812">
        <v>4</v>
      </c>
    </row>
    <row r="813" spans="1:3" x14ac:dyDescent="0.35">
      <c r="A813">
        <v>2268</v>
      </c>
      <c r="B813" t="s">
        <v>1499</v>
      </c>
      <c r="C813">
        <v>4</v>
      </c>
    </row>
    <row r="814" spans="1:3" x14ac:dyDescent="0.35">
      <c r="A814">
        <v>2269</v>
      </c>
      <c r="B814" t="s">
        <v>1499</v>
      </c>
      <c r="C814">
        <v>4</v>
      </c>
    </row>
    <row r="815" spans="1:3" x14ac:dyDescent="0.35">
      <c r="A815">
        <v>2270</v>
      </c>
      <c r="B815" t="s">
        <v>1499</v>
      </c>
      <c r="C815">
        <v>4</v>
      </c>
    </row>
    <row r="816" spans="1:3" x14ac:dyDescent="0.35">
      <c r="A816">
        <v>2271</v>
      </c>
      <c r="B816" t="s">
        <v>1499</v>
      </c>
      <c r="C816">
        <v>4</v>
      </c>
    </row>
    <row r="817" spans="1:3" x14ac:dyDescent="0.35">
      <c r="A817">
        <v>2272</v>
      </c>
      <c r="B817" t="s">
        <v>1499</v>
      </c>
      <c r="C817">
        <v>4</v>
      </c>
    </row>
    <row r="818" spans="1:3" x14ac:dyDescent="0.35">
      <c r="A818">
        <v>2273</v>
      </c>
      <c r="B818" t="s">
        <v>1499</v>
      </c>
      <c r="C818">
        <v>4</v>
      </c>
    </row>
    <row r="819" spans="1:3" x14ac:dyDescent="0.35">
      <c r="A819">
        <v>2274</v>
      </c>
      <c r="B819" t="s">
        <v>1499</v>
      </c>
      <c r="C819">
        <v>4</v>
      </c>
    </row>
    <row r="820" spans="1:3" x14ac:dyDescent="0.35">
      <c r="A820">
        <v>2275</v>
      </c>
      <c r="B820" t="s">
        <v>1499</v>
      </c>
      <c r="C820">
        <v>4</v>
      </c>
    </row>
    <row r="821" spans="1:3" x14ac:dyDescent="0.35">
      <c r="A821">
        <v>2276</v>
      </c>
      <c r="B821" t="s">
        <v>1499</v>
      </c>
      <c r="C821">
        <v>4</v>
      </c>
    </row>
    <row r="822" spans="1:3" x14ac:dyDescent="0.35">
      <c r="A822">
        <v>2277</v>
      </c>
      <c r="B822" t="s">
        <v>1499</v>
      </c>
      <c r="C822">
        <v>4</v>
      </c>
    </row>
    <row r="823" spans="1:3" x14ac:dyDescent="0.35">
      <c r="A823">
        <v>2278</v>
      </c>
      <c r="B823" t="s">
        <v>1499</v>
      </c>
      <c r="C823">
        <v>4</v>
      </c>
    </row>
    <row r="824" spans="1:3" x14ac:dyDescent="0.35">
      <c r="A824">
        <v>2279</v>
      </c>
      <c r="B824" t="s">
        <v>1499</v>
      </c>
      <c r="C824">
        <v>4</v>
      </c>
    </row>
    <row r="825" spans="1:3" x14ac:dyDescent="0.35">
      <c r="A825">
        <v>2297</v>
      </c>
      <c r="B825" t="s">
        <v>1499</v>
      </c>
      <c r="C825">
        <v>4</v>
      </c>
    </row>
    <row r="826" spans="1:3" x14ac:dyDescent="0.35">
      <c r="A826">
        <v>2298</v>
      </c>
      <c r="B826" t="s">
        <v>1499</v>
      </c>
      <c r="C826">
        <v>4</v>
      </c>
    </row>
    <row r="827" spans="1:3" x14ac:dyDescent="0.35">
      <c r="A827">
        <v>2299</v>
      </c>
      <c r="B827" t="s">
        <v>1499</v>
      </c>
      <c r="C827">
        <v>4</v>
      </c>
    </row>
    <row r="828" spans="1:3" x14ac:dyDescent="0.35">
      <c r="A828">
        <v>2300</v>
      </c>
      <c r="B828" t="s">
        <v>1499</v>
      </c>
      <c r="C828">
        <v>4</v>
      </c>
    </row>
    <row r="829" spans="1:3" x14ac:dyDescent="0.35">
      <c r="A829">
        <v>2301</v>
      </c>
      <c r="B829" t="s">
        <v>1499</v>
      </c>
      <c r="C829">
        <v>4</v>
      </c>
    </row>
    <row r="830" spans="1:3" x14ac:dyDescent="0.35">
      <c r="A830">
        <v>2302</v>
      </c>
      <c r="B830" t="s">
        <v>1499</v>
      </c>
      <c r="C830">
        <v>4</v>
      </c>
    </row>
    <row r="831" spans="1:3" x14ac:dyDescent="0.35">
      <c r="A831">
        <v>2303</v>
      </c>
      <c r="B831" t="s">
        <v>1499</v>
      </c>
      <c r="C831">
        <v>4</v>
      </c>
    </row>
    <row r="832" spans="1:3" x14ac:dyDescent="0.35">
      <c r="A832">
        <v>2304</v>
      </c>
      <c r="B832" t="s">
        <v>1499</v>
      </c>
      <c r="C832">
        <v>4</v>
      </c>
    </row>
    <row r="833" spans="1:3" x14ac:dyDescent="0.35">
      <c r="A833">
        <v>2305</v>
      </c>
      <c r="B833" t="s">
        <v>1499</v>
      </c>
      <c r="C833">
        <v>4</v>
      </c>
    </row>
    <row r="834" spans="1:3" x14ac:dyDescent="0.35">
      <c r="A834">
        <v>2306</v>
      </c>
      <c r="B834" t="s">
        <v>1499</v>
      </c>
      <c r="C834">
        <v>4</v>
      </c>
    </row>
    <row r="835" spans="1:3" x14ac:dyDescent="0.35">
      <c r="A835">
        <v>2307</v>
      </c>
      <c r="B835" t="s">
        <v>1499</v>
      </c>
      <c r="C835">
        <v>4</v>
      </c>
    </row>
    <row r="836" spans="1:3" x14ac:dyDescent="0.35">
      <c r="A836">
        <v>2308</v>
      </c>
      <c r="B836" t="s">
        <v>1499</v>
      </c>
      <c r="C836">
        <v>4</v>
      </c>
    </row>
    <row r="837" spans="1:3" x14ac:dyDescent="0.35">
      <c r="A837">
        <v>2309</v>
      </c>
      <c r="B837" t="s">
        <v>1499</v>
      </c>
      <c r="C837">
        <v>4</v>
      </c>
    </row>
    <row r="838" spans="1:3" x14ac:dyDescent="0.35">
      <c r="A838">
        <v>2310</v>
      </c>
      <c r="B838" t="s">
        <v>1499</v>
      </c>
      <c r="C838">
        <v>4</v>
      </c>
    </row>
    <row r="839" spans="1:3" x14ac:dyDescent="0.35">
      <c r="A839">
        <v>2311</v>
      </c>
      <c r="B839" t="s">
        <v>1499</v>
      </c>
      <c r="C839">
        <v>4</v>
      </c>
    </row>
    <row r="840" spans="1:3" x14ac:dyDescent="0.35">
      <c r="A840">
        <v>2312</v>
      </c>
      <c r="B840" t="s">
        <v>1499</v>
      </c>
      <c r="C840">
        <v>4</v>
      </c>
    </row>
    <row r="841" spans="1:3" x14ac:dyDescent="0.35">
      <c r="A841">
        <v>2313</v>
      </c>
      <c r="B841" t="s">
        <v>1499</v>
      </c>
      <c r="C841">
        <v>4</v>
      </c>
    </row>
    <row r="842" spans="1:3" x14ac:dyDescent="0.35">
      <c r="A842">
        <v>2314</v>
      </c>
      <c r="B842" t="s">
        <v>1499</v>
      </c>
      <c r="C842">
        <v>4</v>
      </c>
    </row>
    <row r="843" spans="1:3" x14ac:dyDescent="0.35">
      <c r="A843">
        <v>2315</v>
      </c>
      <c r="B843" t="s">
        <v>1499</v>
      </c>
      <c r="C843">
        <v>4</v>
      </c>
    </row>
    <row r="844" spans="1:3" x14ac:dyDescent="0.35">
      <c r="A844">
        <v>2316</v>
      </c>
      <c r="B844" t="s">
        <v>1499</v>
      </c>
      <c r="C844">
        <v>4</v>
      </c>
    </row>
    <row r="845" spans="1:3" x14ac:dyDescent="0.35">
      <c r="A845">
        <v>2317</v>
      </c>
      <c r="B845" t="s">
        <v>1499</v>
      </c>
      <c r="C845">
        <v>4</v>
      </c>
    </row>
    <row r="846" spans="1:3" x14ac:dyDescent="0.35">
      <c r="A846">
        <v>2318</v>
      </c>
      <c r="B846" t="s">
        <v>1499</v>
      </c>
      <c r="C846">
        <v>4</v>
      </c>
    </row>
    <row r="847" spans="1:3" x14ac:dyDescent="0.35">
      <c r="A847">
        <v>2319</v>
      </c>
      <c r="B847" t="s">
        <v>1499</v>
      </c>
      <c r="C847">
        <v>4</v>
      </c>
    </row>
    <row r="848" spans="1:3" x14ac:dyDescent="0.35">
      <c r="A848">
        <v>2320</v>
      </c>
      <c r="B848" t="s">
        <v>1499</v>
      </c>
      <c r="C848">
        <v>4</v>
      </c>
    </row>
    <row r="849" spans="1:3" x14ac:dyDescent="0.35">
      <c r="A849">
        <v>2321</v>
      </c>
      <c r="B849" t="s">
        <v>1499</v>
      </c>
      <c r="C849">
        <v>4</v>
      </c>
    </row>
    <row r="850" spans="1:3" x14ac:dyDescent="0.35">
      <c r="A850">
        <v>2322</v>
      </c>
      <c r="B850" t="s">
        <v>1499</v>
      </c>
      <c r="C850">
        <v>4</v>
      </c>
    </row>
    <row r="851" spans="1:3" x14ac:dyDescent="0.35">
      <c r="A851">
        <v>2324</v>
      </c>
      <c r="B851" t="s">
        <v>1499</v>
      </c>
      <c r="C851">
        <v>4</v>
      </c>
    </row>
    <row r="852" spans="1:3" x14ac:dyDescent="0.35">
      <c r="A852">
        <v>2325</v>
      </c>
      <c r="B852" t="s">
        <v>1499</v>
      </c>
      <c r="C852">
        <v>4</v>
      </c>
    </row>
    <row r="853" spans="1:3" x14ac:dyDescent="0.35">
      <c r="A853">
        <v>2328</v>
      </c>
      <c r="B853" t="s">
        <v>1499</v>
      </c>
      <c r="C853">
        <v>4</v>
      </c>
    </row>
    <row r="854" spans="1:3" x14ac:dyDescent="0.35">
      <c r="A854">
        <v>2329</v>
      </c>
      <c r="B854" t="s">
        <v>1499</v>
      </c>
      <c r="C854">
        <v>4</v>
      </c>
    </row>
    <row r="855" spans="1:3" x14ac:dyDescent="0.35">
      <c r="A855">
        <v>2330</v>
      </c>
      <c r="B855" t="s">
        <v>1499</v>
      </c>
      <c r="C855">
        <v>4</v>
      </c>
    </row>
    <row r="856" spans="1:3" x14ac:dyDescent="0.35">
      <c r="A856">
        <v>2331</v>
      </c>
      <c r="B856" t="s">
        <v>1499</v>
      </c>
      <c r="C856">
        <v>4</v>
      </c>
    </row>
    <row r="857" spans="1:3" x14ac:dyDescent="0.35">
      <c r="A857">
        <v>2332</v>
      </c>
      <c r="B857" t="s">
        <v>1499</v>
      </c>
      <c r="C857">
        <v>4</v>
      </c>
    </row>
    <row r="858" spans="1:3" x14ac:dyDescent="0.35">
      <c r="A858">
        <v>2333</v>
      </c>
      <c r="B858" t="s">
        <v>1499</v>
      </c>
      <c r="C858">
        <v>4</v>
      </c>
    </row>
    <row r="859" spans="1:3" x14ac:dyDescent="0.35">
      <c r="A859">
        <v>2337</v>
      </c>
      <c r="B859" t="s">
        <v>1499</v>
      </c>
      <c r="C859">
        <v>4</v>
      </c>
    </row>
    <row r="860" spans="1:3" x14ac:dyDescent="0.35">
      <c r="A860">
        <v>2512</v>
      </c>
      <c r="B860" t="s">
        <v>1500</v>
      </c>
      <c r="C860">
        <v>5</v>
      </c>
    </row>
    <row r="861" spans="1:3" x14ac:dyDescent="0.35">
      <c r="A861">
        <v>2514</v>
      </c>
      <c r="B861" t="s">
        <v>1500</v>
      </c>
      <c r="C861">
        <v>5</v>
      </c>
    </row>
    <row r="862" spans="1:3" x14ac:dyDescent="0.35">
      <c r="A862">
        <v>2517</v>
      </c>
      <c r="B862" t="s">
        <v>1500</v>
      </c>
      <c r="C862">
        <v>5</v>
      </c>
    </row>
    <row r="863" spans="1:3" x14ac:dyDescent="0.35">
      <c r="A863">
        <v>2485</v>
      </c>
      <c r="B863" t="s">
        <v>1501</v>
      </c>
      <c r="C863">
        <v>5</v>
      </c>
    </row>
    <row r="864" spans="1:3" x14ac:dyDescent="0.35">
      <c r="A864">
        <v>2486</v>
      </c>
      <c r="B864" t="s">
        <v>1501</v>
      </c>
      <c r="C864">
        <v>5</v>
      </c>
    </row>
    <row r="865" spans="1:3" x14ac:dyDescent="0.35">
      <c r="A865">
        <v>2488</v>
      </c>
      <c r="B865" t="s">
        <v>1501</v>
      </c>
      <c r="C865">
        <v>5</v>
      </c>
    </row>
    <row r="866" spans="1:3" x14ac:dyDescent="0.35">
      <c r="A866">
        <v>1513</v>
      </c>
      <c r="B866" t="s">
        <v>377</v>
      </c>
      <c r="C866">
        <v>2</v>
      </c>
    </row>
    <row r="867" spans="1:3" x14ac:dyDescent="0.35">
      <c r="A867">
        <v>1514</v>
      </c>
      <c r="B867" t="s">
        <v>377</v>
      </c>
      <c r="C867">
        <v>2</v>
      </c>
    </row>
    <row r="868" spans="1:3" x14ac:dyDescent="0.35">
      <c r="A868">
        <v>1515</v>
      </c>
      <c r="B868" t="s">
        <v>377</v>
      </c>
      <c r="C868">
        <v>2</v>
      </c>
    </row>
    <row r="869" spans="1:3" x14ac:dyDescent="0.35">
      <c r="A869">
        <v>1516</v>
      </c>
      <c r="B869" t="s">
        <v>377</v>
      </c>
      <c r="C869">
        <v>2</v>
      </c>
    </row>
    <row r="870" spans="1:3" x14ac:dyDescent="0.35">
      <c r="A870">
        <v>1517</v>
      </c>
      <c r="B870" t="s">
        <v>377</v>
      </c>
      <c r="C870">
        <v>2</v>
      </c>
    </row>
    <row r="871" spans="1:3" x14ac:dyDescent="0.35">
      <c r="A871">
        <v>1518</v>
      </c>
      <c r="B871" t="s">
        <v>377</v>
      </c>
      <c r="C871">
        <v>2</v>
      </c>
    </row>
    <row r="872" spans="1:3" x14ac:dyDescent="0.35">
      <c r="A872">
        <v>1597</v>
      </c>
      <c r="B872" t="s">
        <v>377</v>
      </c>
      <c r="C872">
        <v>2</v>
      </c>
    </row>
    <row r="873" spans="1:3" x14ac:dyDescent="0.35">
      <c r="A873">
        <v>1920</v>
      </c>
      <c r="B873" t="s">
        <v>377</v>
      </c>
      <c r="C873">
        <v>2</v>
      </c>
    </row>
    <row r="874" spans="1:3" x14ac:dyDescent="0.35">
      <c r="A874">
        <v>1921</v>
      </c>
      <c r="B874" t="s">
        <v>377</v>
      </c>
      <c r="C874">
        <v>2</v>
      </c>
    </row>
    <row r="875" spans="1:3" x14ac:dyDescent="0.35">
      <c r="A875">
        <v>1922</v>
      </c>
      <c r="B875" t="s">
        <v>377</v>
      </c>
      <c r="C875">
        <v>2</v>
      </c>
    </row>
    <row r="876" spans="1:3" x14ac:dyDescent="0.35">
      <c r="A876">
        <v>1923</v>
      </c>
      <c r="B876" t="s">
        <v>377</v>
      </c>
      <c r="C876">
        <v>2</v>
      </c>
    </row>
    <row r="877" spans="1:3" x14ac:dyDescent="0.35">
      <c r="A877">
        <v>1924</v>
      </c>
      <c r="B877" t="s">
        <v>377</v>
      </c>
      <c r="C877">
        <v>2</v>
      </c>
    </row>
    <row r="878" spans="1:3" x14ac:dyDescent="0.35">
      <c r="A878">
        <v>1927</v>
      </c>
      <c r="B878" t="s">
        <v>377</v>
      </c>
      <c r="C878">
        <v>2</v>
      </c>
    </row>
    <row r="879" spans="1:3" x14ac:dyDescent="0.35">
      <c r="A879">
        <v>420</v>
      </c>
      <c r="B879" t="s">
        <v>1502</v>
      </c>
      <c r="C879">
        <v>3</v>
      </c>
    </row>
    <row r="880" spans="1:3" x14ac:dyDescent="0.35">
      <c r="A880">
        <v>421</v>
      </c>
      <c r="B880" t="s">
        <v>1502</v>
      </c>
      <c r="C880">
        <v>3</v>
      </c>
    </row>
    <row r="881" spans="1:3" x14ac:dyDescent="0.35">
      <c r="A881">
        <v>422</v>
      </c>
      <c r="B881" t="s">
        <v>1502</v>
      </c>
      <c r="C881">
        <v>3</v>
      </c>
    </row>
    <row r="882" spans="1:3" x14ac:dyDescent="0.35">
      <c r="A882">
        <v>423</v>
      </c>
      <c r="B882" t="s">
        <v>1502</v>
      </c>
      <c r="C882">
        <v>3</v>
      </c>
    </row>
    <row r="883" spans="1:3" x14ac:dyDescent="0.35">
      <c r="A883">
        <v>424</v>
      </c>
      <c r="B883" t="s">
        <v>1502</v>
      </c>
      <c r="C883">
        <v>3</v>
      </c>
    </row>
    <row r="884" spans="1:3" x14ac:dyDescent="0.35">
      <c r="A884">
        <v>425</v>
      </c>
      <c r="B884" t="s">
        <v>1502</v>
      </c>
      <c r="C884">
        <v>3</v>
      </c>
    </row>
    <row r="885" spans="1:3" x14ac:dyDescent="0.35">
      <c r="A885">
        <v>426</v>
      </c>
      <c r="B885" t="s">
        <v>1502</v>
      </c>
      <c r="C885">
        <v>3</v>
      </c>
    </row>
    <row r="886" spans="1:3" x14ac:dyDescent="0.35">
      <c r="A886">
        <v>427</v>
      </c>
      <c r="B886" t="s">
        <v>1502</v>
      </c>
      <c r="C886">
        <v>3</v>
      </c>
    </row>
    <row r="887" spans="1:3" x14ac:dyDescent="0.35">
      <c r="A887">
        <v>429</v>
      </c>
      <c r="B887" t="s">
        <v>1502</v>
      </c>
      <c r="C887">
        <v>3</v>
      </c>
    </row>
    <row r="888" spans="1:3" x14ac:dyDescent="0.35">
      <c r="A888">
        <v>430</v>
      </c>
      <c r="B888" t="s">
        <v>1502</v>
      </c>
      <c r="C888">
        <v>3</v>
      </c>
    </row>
    <row r="889" spans="1:3" x14ac:dyDescent="0.35">
      <c r="A889">
        <v>431</v>
      </c>
      <c r="B889" t="s">
        <v>1502</v>
      </c>
      <c r="C889">
        <v>3</v>
      </c>
    </row>
    <row r="890" spans="1:3" x14ac:dyDescent="0.35">
      <c r="A890">
        <v>432</v>
      </c>
      <c r="B890" t="s">
        <v>1502</v>
      </c>
      <c r="C890">
        <v>3</v>
      </c>
    </row>
    <row r="891" spans="1:3" x14ac:dyDescent="0.35">
      <c r="A891">
        <v>433</v>
      </c>
      <c r="B891" t="s">
        <v>1502</v>
      </c>
      <c r="C891">
        <v>3</v>
      </c>
    </row>
    <row r="892" spans="1:3" x14ac:dyDescent="0.35">
      <c r="A892">
        <v>434</v>
      </c>
      <c r="B892" t="s">
        <v>1502</v>
      </c>
      <c r="C892">
        <v>3</v>
      </c>
    </row>
    <row r="893" spans="1:3" x14ac:dyDescent="0.35">
      <c r="A893">
        <v>435</v>
      </c>
      <c r="B893" t="s">
        <v>1502</v>
      </c>
      <c r="C893">
        <v>3</v>
      </c>
    </row>
    <row r="894" spans="1:3" x14ac:dyDescent="0.35">
      <c r="A894">
        <v>436</v>
      </c>
      <c r="B894" t="s">
        <v>1502</v>
      </c>
      <c r="C894">
        <v>3</v>
      </c>
    </row>
    <row r="895" spans="1:3" x14ac:dyDescent="0.35">
      <c r="A895">
        <v>437</v>
      </c>
      <c r="B895" t="s">
        <v>1502</v>
      </c>
      <c r="C895">
        <v>3</v>
      </c>
    </row>
    <row r="896" spans="1:3" x14ac:dyDescent="0.35">
      <c r="A896">
        <v>438</v>
      </c>
      <c r="B896" t="s">
        <v>1502</v>
      </c>
      <c r="C896">
        <v>3</v>
      </c>
    </row>
    <row r="897" spans="1:3" x14ac:dyDescent="0.35">
      <c r="A897">
        <v>439</v>
      </c>
      <c r="B897" t="s">
        <v>1502</v>
      </c>
      <c r="C897">
        <v>3</v>
      </c>
    </row>
    <row r="898" spans="1:3" x14ac:dyDescent="0.35">
      <c r="A898">
        <v>440</v>
      </c>
      <c r="B898" t="s">
        <v>1502</v>
      </c>
      <c r="C898">
        <v>3</v>
      </c>
    </row>
    <row r="899" spans="1:3" x14ac:dyDescent="0.35">
      <c r="A899">
        <v>441</v>
      </c>
      <c r="B899" t="s">
        <v>1502</v>
      </c>
      <c r="C899">
        <v>3</v>
      </c>
    </row>
    <row r="900" spans="1:3" x14ac:dyDescent="0.35">
      <c r="A900">
        <v>442</v>
      </c>
      <c r="B900" t="s">
        <v>1502</v>
      </c>
      <c r="C900">
        <v>3</v>
      </c>
    </row>
    <row r="901" spans="1:3" x14ac:dyDescent="0.35">
      <c r="A901">
        <v>443</v>
      </c>
      <c r="B901" t="s">
        <v>1502</v>
      </c>
      <c r="C901">
        <v>3</v>
      </c>
    </row>
    <row r="902" spans="1:3" x14ac:dyDescent="0.35">
      <c r="A902">
        <v>444</v>
      </c>
      <c r="B902" t="s">
        <v>1502</v>
      </c>
      <c r="C902">
        <v>3</v>
      </c>
    </row>
    <row r="903" spans="1:3" x14ac:dyDescent="0.35">
      <c r="A903">
        <v>457</v>
      </c>
      <c r="B903" t="s">
        <v>1502</v>
      </c>
      <c r="C903">
        <v>3</v>
      </c>
    </row>
    <row r="904" spans="1:3" x14ac:dyDescent="0.35">
      <c r="A904">
        <v>458</v>
      </c>
      <c r="B904" t="s">
        <v>1502</v>
      </c>
      <c r="C904">
        <v>3</v>
      </c>
    </row>
    <row r="905" spans="1:3" x14ac:dyDescent="0.35">
      <c r="A905">
        <v>460</v>
      </c>
      <c r="B905" t="s">
        <v>1502</v>
      </c>
      <c r="C905">
        <v>3</v>
      </c>
    </row>
    <row r="906" spans="1:3" x14ac:dyDescent="0.35">
      <c r="A906">
        <v>465</v>
      </c>
      <c r="B906" t="s">
        <v>1502</v>
      </c>
      <c r="C906">
        <v>3</v>
      </c>
    </row>
    <row r="907" spans="1:3" x14ac:dyDescent="0.35">
      <c r="A907">
        <v>466</v>
      </c>
      <c r="B907" t="s">
        <v>1502</v>
      </c>
      <c r="C907">
        <v>3</v>
      </c>
    </row>
    <row r="908" spans="1:3" x14ac:dyDescent="0.35">
      <c r="A908">
        <v>467</v>
      </c>
      <c r="B908" t="s">
        <v>1502</v>
      </c>
      <c r="C908">
        <v>3</v>
      </c>
    </row>
    <row r="909" spans="1:3" x14ac:dyDescent="0.35">
      <c r="A909">
        <v>468</v>
      </c>
      <c r="B909" t="s">
        <v>1502</v>
      </c>
      <c r="C909">
        <v>3</v>
      </c>
    </row>
    <row r="910" spans="1:3" x14ac:dyDescent="0.35">
      <c r="A910">
        <v>469</v>
      </c>
      <c r="B910" t="s">
        <v>1502</v>
      </c>
      <c r="C910">
        <v>3</v>
      </c>
    </row>
    <row r="911" spans="1:3" x14ac:dyDescent="0.35">
      <c r="A911">
        <v>470</v>
      </c>
      <c r="B911" t="s">
        <v>1502</v>
      </c>
      <c r="C911">
        <v>3</v>
      </c>
    </row>
    <row r="912" spans="1:3" x14ac:dyDescent="0.35">
      <c r="A912">
        <v>471</v>
      </c>
      <c r="B912" t="s">
        <v>1502</v>
      </c>
      <c r="C912">
        <v>3</v>
      </c>
    </row>
    <row r="913" spans="1:3" x14ac:dyDescent="0.35">
      <c r="A913">
        <v>472</v>
      </c>
      <c r="B913" t="s">
        <v>1502</v>
      </c>
      <c r="C913">
        <v>3</v>
      </c>
    </row>
    <row r="914" spans="1:3" x14ac:dyDescent="0.35">
      <c r="A914">
        <v>473</v>
      </c>
      <c r="B914" t="s">
        <v>1502</v>
      </c>
      <c r="C914">
        <v>3</v>
      </c>
    </row>
    <row r="915" spans="1:3" x14ac:dyDescent="0.35">
      <c r="A915">
        <v>474</v>
      </c>
      <c r="B915" t="s">
        <v>1502</v>
      </c>
      <c r="C915">
        <v>3</v>
      </c>
    </row>
    <row r="916" spans="1:3" x14ac:dyDescent="0.35">
      <c r="A916">
        <v>475</v>
      </c>
      <c r="B916" t="s">
        <v>1502</v>
      </c>
      <c r="C916">
        <v>3</v>
      </c>
    </row>
    <row r="917" spans="1:3" x14ac:dyDescent="0.35">
      <c r="A917">
        <v>476</v>
      </c>
      <c r="B917" t="s">
        <v>1502</v>
      </c>
      <c r="C917">
        <v>3</v>
      </c>
    </row>
    <row r="918" spans="1:3" x14ac:dyDescent="0.35">
      <c r="A918">
        <v>477</v>
      </c>
      <c r="B918" t="s">
        <v>1502</v>
      </c>
      <c r="C918">
        <v>3</v>
      </c>
    </row>
    <row r="919" spans="1:3" x14ac:dyDescent="0.35">
      <c r="A919">
        <v>479</v>
      </c>
      <c r="B919" t="s">
        <v>1502</v>
      </c>
      <c r="C919">
        <v>3</v>
      </c>
    </row>
    <row r="920" spans="1:3" x14ac:dyDescent="0.35">
      <c r="A920">
        <v>480</v>
      </c>
      <c r="B920" t="s">
        <v>1502</v>
      </c>
      <c r="C920">
        <v>3</v>
      </c>
    </row>
    <row r="921" spans="1:3" x14ac:dyDescent="0.35">
      <c r="A921">
        <v>482</v>
      </c>
      <c r="B921" t="s">
        <v>1502</v>
      </c>
      <c r="C921">
        <v>3</v>
      </c>
    </row>
    <row r="922" spans="1:3" x14ac:dyDescent="0.35">
      <c r="A922">
        <v>483</v>
      </c>
      <c r="B922" t="s">
        <v>1502</v>
      </c>
      <c r="C922">
        <v>3</v>
      </c>
    </row>
    <row r="923" spans="1:3" x14ac:dyDescent="0.35">
      <c r="A923">
        <v>484</v>
      </c>
      <c r="B923" t="s">
        <v>1502</v>
      </c>
      <c r="C923">
        <v>3</v>
      </c>
    </row>
    <row r="924" spans="1:3" x14ac:dyDescent="0.35">
      <c r="A924">
        <v>485</v>
      </c>
      <c r="B924" t="s">
        <v>1502</v>
      </c>
      <c r="C924">
        <v>3</v>
      </c>
    </row>
    <row r="925" spans="1:3" x14ac:dyDescent="0.35">
      <c r="A925">
        <v>486</v>
      </c>
      <c r="B925" t="s">
        <v>1502</v>
      </c>
      <c r="C925">
        <v>3</v>
      </c>
    </row>
    <row r="926" spans="1:3" x14ac:dyDescent="0.35">
      <c r="A926">
        <v>487</v>
      </c>
      <c r="B926" t="s">
        <v>1502</v>
      </c>
      <c r="C926">
        <v>3</v>
      </c>
    </row>
    <row r="927" spans="1:3" x14ac:dyDescent="0.35">
      <c r="A927">
        <v>488</v>
      </c>
      <c r="B927" t="s">
        <v>1502</v>
      </c>
      <c r="C927">
        <v>3</v>
      </c>
    </row>
    <row r="928" spans="1:3" x14ac:dyDescent="0.35">
      <c r="A928">
        <v>489</v>
      </c>
      <c r="B928" t="s">
        <v>1502</v>
      </c>
      <c r="C928">
        <v>3</v>
      </c>
    </row>
    <row r="929" spans="1:3" x14ac:dyDescent="0.35">
      <c r="A929">
        <v>490</v>
      </c>
      <c r="B929" t="s">
        <v>1502</v>
      </c>
      <c r="C929">
        <v>3</v>
      </c>
    </row>
    <row r="930" spans="1:3" x14ac:dyDescent="0.35">
      <c r="A930">
        <v>491</v>
      </c>
      <c r="B930" t="s">
        <v>1502</v>
      </c>
      <c r="C930">
        <v>3</v>
      </c>
    </row>
    <row r="931" spans="1:3" x14ac:dyDescent="0.35">
      <c r="A931">
        <v>492</v>
      </c>
      <c r="B931" t="s">
        <v>1502</v>
      </c>
      <c r="C931">
        <v>3</v>
      </c>
    </row>
    <row r="932" spans="1:3" x14ac:dyDescent="0.35">
      <c r="A932">
        <v>493</v>
      </c>
      <c r="B932" t="s">
        <v>1502</v>
      </c>
      <c r="C932">
        <v>3</v>
      </c>
    </row>
    <row r="933" spans="1:3" x14ac:dyDescent="0.35">
      <c r="A933">
        <v>495</v>
      </c>
      <c r="B933" t="s">
        <v>1502</v>
      </c>
      <c r="C933">
        <v>3</v>
      </c>
    </row>
    <row r="934" spans="1:3" x14ac:dyDescent="0.35">
      <c r="A934">
        <v>496</v>
      </c>
      <c r="B934" t="s">
        <v>1502</v>
      </c>
      <c r="C934">
        <v>3</v>
      </c>
    </row>
    <row r="935" spans="1:3" x14ac:dyDescent="0.35">
      <c r="A935">
        <v>497</v>
      </c>
      <c r="B935" t="s">
        <v>1502</v>
      </c>
      <c r="C935">
        <v>3</v>
      </c>
    </row>
    <row r="936" spans="1:3" x14ac:dyDescent="0.35">
      <c r="A936">
        <v>498</v>
      </c>
      <c r="B936" t="s">
        <v>1502</v>
      </c>
      <c r="C936">
        <v>3</v>
      </c>
    </row>
    <row r="937" spans="1:3" x14ac:dyDescent="0.35">
      <c r="A937">
        <v>499</v>
      </c>
      <c r="B937" t="s">
        <v>1502</v>
      </c>
      <c r="C937">
        <v>3</v>
      </c>
    </row>
    <row r="938" spans="1:3" x14ac:dyDescent="0.35">
      <c r="A938">
        <v>500</v>
      </c>
      <c r="B938" t="s">
        <v>1502</v>
      </c>
      <c r="C938">
        <v>3</v>
      </c>
    </row>
    <row r="939" spans="1:3" x14ac:dyDescent="0.35">
      <c r="A939">
        <v>501</v>
      </c>
      <c r="B939" t="s">
        <v>1502</v>
      </c>
      <c r="C939">
        <v>3</v>
      </c>
    </row>
    <row r="940" spans="1:3" x14ac:dyDescent="0.35">
      <c r="A940">
        <v>502</v>
      </c>
      <c r="B940" t="s">
        <v>1502</v>
      </c>
      <c r="C940">
        <v>3</v>
      </c>
    </row>
    <row r="941" spans="1:3" x14ac:dyDescent="0.35">
      <c r="A941">
        <v>503</v>
      </c>
      <c r="B941" t="s">
        <v>1502</v>
      </c>
      <c r="C941">
        <v>3</v>
      </c>
    </row>
    <row r="942" spans="1:3" x14ac:dyDescent="0.35">
      <c r="A942">
        <v>504</v>
      </c>
      <c r="B942" t="s">
        <v>1502</v>
      </c>
      <c r="C942">
        <v>3</v>
      </c>
    </row>
    <row r="943" spans="1:3" x14ac:dyDescent="0.35">
      <c r="A943">
        <v>505</v>
      </c>
      <c r="B943" t="s">
        <v>1502</v>
      </c>
      <c r="C943">
        <v>3</v>
      </c>
    </row>
    <row r="944" spans="1:3" x14ac:dyDescent="0.35">
      <c r="A944">
        <v>506</v>
      </c>
      <c r="B944" t="s">
        <v>1502</v>
      </c>
      <c r="C944">
        <v>3</v>
      </c>
    </row>
    <row r="945" spans="1:3" x14ac:dyDescent="0.35">
      <c r="A945">
        <v>507</v>
      </c>
      <c r="B945" t="s">
        <v>1502</v>
      </c>
      <c r="C945">
        <v>3</v>
      </c>
    </row>
    <row r="946" spans="1:3" x14ac:dyDescent="0.35">
      <c r="A946">
        <v>508</v>
      </c>
      <c r="B946" t="s">
        <v>1502</v>
      </c>
      <c r="C946">
        <v>3</v>
      </c>
    </row>
    <row r="947" spans="1:3" x14ac:dyDescent="0.35">
      <c r="A947">
        <v>513</v>
      </c>
      <c r="B947" t="s">
        <v>1502</v>
      </c>
      <c r="C947">
        <v>3</v>
      </c>
    </row>
    <row r="948" spans="1:3" x14ac:dyDescent="0.35">
      <c r="A948">
        <v>514</v>
      </c>
      <c r="B948" t="s">
        <v>1502</v>
      </c>
      <c r="C948">
        <v>3</v>
      </c>
    </row>
    <row r="949" spans="1:3" x14ac:dyDescent="0.35">
      <c r="A949">
        <v>515</v>
      </c>
      <c r="B949" t="s">
        <v>1502</v>
      </c>
      <c r="C949">
        <v>3</v>
      </c>
    </row>
    <row r="950" spans="1:3" x14ac:dyDescent="0.35">
      <c r="A950">
        <v>516</v>
      </c>
      <c r="B950" t="s">
        <v>1502</v>
      </c>
      <c r="C950">
        <v>3</v>
      </c>
    </row>
    <row r="951" spans="1:3" x14ac:dyDescent="0.35">
      <c r="A951">
        <v>517</v>
      </c>
      <c r="B951" t="s">
        <v>1502</v>
      </c>
      <c r="C951">
        <v>3</v>
      </c>
    </row>
    <row r="952" spans="1:3" x14ac:dyDescent="0.35">
      <c r="A952">
        <v>518</v>
      </c>
      <c r="B952" t="s">
        <v>1502</v>
      </c>
      <c r="C952">
        <v>3</v>
      </c>
    </row>
    <row r="953" spans="1:3" x14ac:dyDescent="0.35">
      <c r="A953">
        <v>519</v>
      </c>
      <c r="B953" t="s">
        <v>1502</v>
      </c>
      <c r="C953">
        <v>3</v>
      </c>
    </row>
    <row r="954" spans="1:3" x14ac:dyDescent="0.35">
      <c r="A954">
        <v>520</v>
      </c>
      <c r="B954" t="s">
        <v>1502</v>
      </c>
      <c r="C954">
        <v>3</v>
      </c>
    </row>
    <row r="955" spans="1:3" x14ac:dyDescent="0.35">
      <c r="A955">
        <v>521</v>
      </c>
      <c r="B955" t="s">
        <v>1502</v>
      </c>
      <c r="C955">
        <v>3</v>
      </c>
    </row>
    <row r="956" spans="1:3" x14ac:dyDescent="0.35">
      <c r="A956">
        <v>522</v>
      </c>
      <c r="B956" t="s">
        <v>1502</v>
      </c>
      <c r="C956">
        <v>3</v>
      </c>
    </row>
    <row r="957" spans="1:3" x14ac:dyDescent="0.35">
      <c r="A957">
        <v>523</v>
      </c>
      <c r="B957" t="s">
        <v>1502</v>
      </c>
      <c r="C957">
        <v>3</v>
      </c>
    </row>
    <row r="958" spans="1:3" x14ac:dyDescent="0.35">
      <c r="A958">
        <v>524</v>
      </c>
      <c r="B958" t="s">
        <v>1502</v>
      </c>
      <c r="C958">
        <v>3</v>
      </c>
    </row>
    <row r="959" spans="1:3" x14ac:dyDescent="0.35">
      <c r="A959">
        <v>525</v>
      </c>
      <c r="B959" t="s">
        <v>1502</v>
      </c>
      <c r="C959">
        <v>3</v>
      </c>
    </row>
    <row r="960" spans="1:3" x14ac:dyDescent="0.35">
      <c r="A960">
        <v>526</v>
      </c>
      <c r="B960" t="s">
        <v>1502</v>
      </c>
      <c r="C960">
        <v>3</v>
      </c>
    </row>
    <row r="961" spans="1:3" x14ac:dyDescent="0.35">
      <c r="A961">
        <v>527</v>
      </c>
      <c r="B961" t="s">
        <v>1502</v>
      </c>
      <c r="C961">
        <v>3</v>
      </c>
    </row>
    <row r="962" spans="1:3" x14ac:dyDescent="0.35">
      <c r="A962">
        <v>528</v>
      </c>
      <c r="B962" t="s">
        <v>1502</v>
      </c>
      <c r="C962">
        <v>3</v>
      </c>
    </row>
    <row r="963" spans="1:3" x14ac:dyDescent="0.35">
      <c r="A963">
        <v>529</v>
      </c>
      <c r="B963" t="s">
        <v>1502</v>
      </c>
      <c r="C963">
        <v>3</v>
      </c>
    </row>
    <row r="964" spans="1:3" x14ac:dyDescent="0.35">
      <c r="A964">
        <v>532</v>
      </c>
      <c r="B964" t="s">
        <v>1502</v>
      </c>
      <c r="C964">
        <v>3</v>
      </c>
    </row>
    <row r="965" spans="1:3" x14ac:dyDescent="0.35">
      <c r="A965">
        <v>533</v>
      </c>
      <c r="B965" t="s">
        <v>1502</v>
      </c>
      <c r="C965">
        <v>3</v>
      </c>
    </row>
    <row r="966" spans="1:3" x14ac:dyDescent="0.35">
      <c r="A966">
        <v>534</v>
      </c>
      <c r="B966" t="s">
        <v>1502</v>
      </c>
      <c r="C966">
        <v>3</v>
      </c>
    </row>
    <row r="967" spans="1:3" x14ac:dyDescent="0.35">
      <c r="A967">
        <v>535</v>
      </c>
      <c r="B967" t="s">
        <v>1502</v>
      </c>
      <c r="C967">
        <v>3</v>
      </c>
    </row>
    <row r="968" spans="1:3" x14ac:dyDescent="0.35">
      <c r="A968">
        <v>536</v>
      </c>
      <c r="B968" t="s">
        <v>1502</v>
      </c>
      <c r="C968">
        <v>3</v>
      </c>
    </row>
    <row r="969" spans="1:3" x14ac:dyDescent="0.35">
      <c r="A969">
        <v>537</v>
      </c>
      <c r="B969" t="s">
        <v>1502</v>
      </c>
      <c r="C969">
        <v>3</v>
      </c>
    </row>
    <row r="970" spans="1:3" x14ac:dyDescent="0.35">
      <c r="A970">
        <v>2662</v>
      </c>
      <c r="B970" t="s">
        <v>1503</v>
      </c>
      <c r="C970">
        <v>8</v>
      </c>
    </row>
    <row r="971" spans="1:3" x14ac:dyDescent="0.35">
      <c r="A971">
        <v>2663</v>
      </c>
      <c r="B971" t="s">
        <v>1503</v>
      </c>
      <c r="C971">
        <v>8</v>
      </c>
    </row>
    <row r="972" spans="1:3" x14ac:dyDescent="0.35">
      <c r="A972">
        <v>2664</v>
      </c>
      <c r="B972" t="s">
        <v>1503</v>
      </c>
      <c r="C972">
        <v>8</v>
      </c>
    </row>
    <row r="973" spans="1:3" x14ac:dyDescent="0.35">
      <c r="A973">
        <v>2665</v>
      </c>
      <c r="B973" t="s">
        <v>1503</v>
      </c>
      <c r="C973">
        <v>8</v>
      </c>
    </row>
    <row r="974" spans="1:3" x14ac:dyDescent="0.35">
      <c r="A974">
        <v>2666</v>
      </c>
      <c r="B974" t="s">
        <v>1503</v>
      </c>
      <c r="C974">
        <v>8</v>
      </c>
    </row>
    <row r="975" spans="1:3" x14ac:dyDescent="0.35">
      <c r="A975">
        <v>2667</v>
      </c>
      <c r="B975" t="s">
        <v>1503</v>
      </c>
      <c r="C975">
        <v>8</v>
      </c>
    </row>
    <row r="976" spans="1:3" x14ac:dyDescent="0.35">
      <c r="A976">
        <v>2249</v>
      </c>
      <c r="B976" t="s">
        <v>1504</v>
      </c>
      <c r="C976">
        <v>4</v>
      </c>
    </row>
    <row r="977" spans="1:3" x14ac:dyDescent="0.35">
      <c r="A977">
        <v>2250</v>
      </c>
      <c r="B977" t="s">
        <v>1504</v>
      </c>
      <c r="C977">
        <v>4</v>
      </c>
    </row>
    <row r="978" spans="1:3" x14ac:dyDescent="0.35">
      <c r="A978">
        <v>2414</v>
      </c>
      <c r="B978" t="s">
        <v>1505</v>
      </c>
      <c r="C978">
        <v>5</v>
      </c>
    </row>
    <row r="979" spans="1:3" x14ac:dyDescent="0.35">
      <c r="A979">
        <v>2416</v>
      </c>
      <c r="B979" t="s">
        <v>1505</v>
      </c>
      <c r="C979">
        <v>5</v>
      </c>
    </row>
    <row r="980" spans="1:3" x14ac:dyDescent="0.35">
      <c r="A980">
        <v>2530</v>
      </c>
      <c r="B980" t="s">
        <v>1506</v>
      </c>
      <c r="C980">
        <v>5</v>
      </c>
    </row>
    <row r="981" spans="1:3" x14ac:dyDescent="0.35">
      <c r="A981">
        <v>2531</v>
      </c>
      <c r="B981" t="s">
        <v>1506</v>
      </c>
      <c r="C981">
        <v>5</v>
      </c>
    </row>
    <row r="982" spans="1:3" x14ac:dyDescent="0.35">
      <c r="A982">
        <v>2533</v>
      </c>
      <c r="B982" t="s">
        <v>1506</v>
      </c>
      <c r="C982">
        <v>5</v>
      </c>
    </row>
    <row r="983" spans="1:3" x14ac:dyDescent="0.35">
      <c r="A983">
        <v>2534</v>
      </c>
      <c r="B983" t="s">
        <v>1506</v>
      </c>
      <c r="C983">
        <v>5</v>
      </c>
    </row>
    <row r="984" spans="1:3" x14ac:dyDescent="0.35">
      <c r="A984">
        <v>2535</v>
      </c>
      <c r="B984" t="s">
        <v>1506</v>
      </c>
      <c r="C984">
        <v>5</v>
      </c>
    </row>
    <row r="985" spans="1:3" x14ac:dyDescent="0.35">
      <c r="A985">
        <v>2536</v>
      </c>
      <c r="B985" t="s">
        <v>1506</v>
      </c>
      <c r="C985">
        <v>5</v>
      </c>
    </row>
    <row r="986" spans="1:3" x14ac:dyDescent="0.35">
      <c r="A986">
        <v>2537</v>
      </c>
      <c r="B986" t="s">
        <v>1506</v>
      </c>
      <c r="C986">
        <v>5</v>
      </c>
    </row>
    <row r="987" spans="1:3" x14ac:dyDescent="0.35">
      <c r="A987">
        <v>2538</v>
      </c>
      <c r="B987" t="s">
        <v>1506</v>
      </c>
      <c r="C987">
        <v>5</v>
      </c>
    </row>
    <row r="988" spans="1:3" x14ac:dyDescent="0.35">
      <c r="A988">
        <v>2539</v>
      </c>
      <c r="B988" t="s">
        <v>1506</v>
      </c>
      <c r="C988">
        <v>5</v>
      </c>
    </row>
    <row r="989" spans="1:3" x14ac:dyDescent="0.35">
      <c r="A989">
        <v>2453</v>
      </c>
      <c r="B989" t="s">
        <v>1507</v>
      </c>
      <c r="C989">
        <v>5</v>
      </c>
    </row>
    <row r="990" spans="1:3" x14ac:dyDescent="0.35">
      <c r="A990">
        <v>2459</v>
      </c>
      <c r="B990" t="s">
        <v>1507</v>
      </c>
      <c r="C990">
        <v>5</v>
      </c>
    </row>
    <row r="991" spans="1:3" x14ac:dyDescent="0.35">
      <c r="A991">
        <v>2460</v>
      </c>
      <c r="B991" t="s">
        <v>1507</v>
      </c>
      <c r="C991">
        <v>5</v>
      </c>
    </row>
    <row r="992" spans="1:3" x14ac:dyDescent="0.35">
      <c r="A992">
        <v>2461</v>
      </c>
      <c r="B992" t="s">
        <v>1507</v>
      </c>
      <c r="C992">
        <v>5</v>
      </c>
    </row>
    <row r="993" spans="1:3" x14ac:dyDescent="0.35">
      <c r="A993">
        <v>2462</v>
      </c>
      <c r="B993" t="s">
        <v>1507</v>
      </c>
      <c r="C993">
        <v>5</v>
      </c>
    </row>
    <row r="994" spans="1:3" x14ac:dyDescent="0.35">
      <c r="A994">
        <v>2068</v>
      </c>
      <c r="B994" t="s">
        <v>1508</v>
      </c>
      <c r="C994">
        <v>4</v>
      </c>
    </row>
    <row r="995" spans="1:3" x14ac:dyDescent="0.35">
      <c r="A995">
        <v>2069</v>
      </c>
      <c r="B995" t="s">
        <v>1508</v>
      </c>
      <c r="C995">
        <v>4</v>
      </c>
    </row>
    <row r="996" spans="1:3" x14ac:dyDescent="0.35">
      <c r="A996">
        <v>2070</v>
      </c>
      <c r="B996" t="s">
        <v>1508</v>
      </c>
      <c r="C996">
        <v>4</v>
      </c>
    </row>
    <row r="997" spans="1:3" x14ac:dyDescent="0.35">
      <c r="A997">
        <v>2071</v>
      </c>
      <c r="B997" t="s">
        <v>1508</v>
      </c>
      <c r="C997">
        <v>4</v>
      </c>
    </row>
    <row r="998" spans="1:3" x14ac:dyDescent="0.35">
      <c r="A998">
        <v>2072</v>
      </c>
      <c r="B998" t="s">
        <v>1508</v>
      </c>
      <c r="C998">
        <v>4</v>
      </c>
    </row>
    <row r="999" spans="1:3" x14ac:dyDescent="0.35">
      <c r="A999">
        <v>2073</v>
      </c>
      <c r="B999" t="s">
        <v>1508</v>
      </c>
      <c r="C999">
        <v>4</v>
      </c>
    </row>
    <row r="1000" spans="1:3" x14ac:dyDescent="0.35">
      <c r="A1000">
        <v>2074</v>
      </c>
      <c r="B1000" t="s">
        <v>1508</v>
      </c>
      <c r="C1000">
        <v>4</v>
      </c>
    </row>
    <row r="1001" spans="1:3" x14ac:dyDescent="0.35">
      <c r="A1001">
        <v>2075</v>
      </c>
      <c r="B1001" t="s">
        <v>1508</v>
      </c>
      <c r="C1001">
        <v>4</v>
      </c>
    </row>
    <row r="1002" spans="1:3" x14ac:dyDescent="0.35">
      <c r="A1002">
        <v>2076</v>
      </c>
      <c r="B1002" t="s">
        <v>1508</v>
      </c>
      <c r="C1002">
        <v>4</v>
      </c>
    </row>
    <row r="1003" spans="1:3" x14ac:dyDescent="0.35">
      <c r="A1003">
        <v>1620</v>
      </c>
      <c r="B1003" t="s">
        <v>378</v>
      </c>
      <c r="C1003">
        <v>2</v>
      </c>
    </row>
    <row r="1004" spans="1:3" x14ac:dyDescent="0.35">
      <c r="A1004">
        <v>1998</v>
      </c>
      <c r="B1004" t="s">
        <v>378</v>
      </c>
      <c r="C1004">
        <v>2</v>
      </c>
    </row>
    <row r="1005" spans="1:3" x14ac:dyDescent="0.35">
      <c r="A1005">
        <v>1562</v>
      </c>
      <c r="B1005" t="s">
        <v>379</v>
      </c>
      <c r="C1005">
        <v>2</v>
      </c>
    </row>
    <row r="1006" spans="1:3" x14ac:dyDescent="0.35">
      <c r="A1006">
        <v>1563</v>
      </c>
      <c r="B1006" t="s">
        <v>379</v>
      </c>
      <c r="C1006">
        <v>2</v>
      </c>
    </row>
    <row r="1007" spans="1:3" x14ac:dyDescent="0.35">
      <c r="A1007">
        <v>1568</v>
      </c>
      <c r="B1007" t="s">
        <v>379</v>
      </c>
      <c r="C1007">
        <v>2</v>
      </c>
    </row>
    <row r="1008" spans="1:3" x14ac:dyDescent="0.35">
      <c r="A1008">
        <v>1569</v>
      </c>
      <c r="B1008" t="s">
        <v>379</v>
      </c>
      <c r="C1008">
        <v>2</v>
      </c>
    </row>
    <row r="1009" spans="1:3" x14ac:dyDescent="0.35">
      <c r="A1009">
        <v>1570</v>
      </c>
      <c r="B1009" t="s">
        <v>379</v>
      </c>
      <c r="C1009">
        <v>2</v>
      </c>
    </row>
    <row r="1010" spans="1:3" x14ac:dyDescent="0.35">
      <c r="A1010">
        <v>1571</v>
      </c>
      <c r="B1010" t="s">
        <v>379</v>
      </c>
      <c r="C1010">
        <v>2</v>
      </c>
    </row>
    <row r="1011" spans="1:3" x14ac:dyDescent="0.35">
      <c r="A1011">
        <v>1572</v>
      </c>
      <c r="B1011" t="s">
        <v>379</v>
      </c>
      <c r="C1011">
        <v>2</v>
      </c>
    </row>
    <row r="1012" spans="1:3" x14ac:dyDescent="0.35">
      <c r="A1012">
        <v>1573</v>
      </c>
      <c r="B1012" t="s">
        <v>379</v>
      </c>
      <c r="C1012">
        <v>2</v>
      </c>
    </row>
    <row r="1013" spans="1:3" x14ac:dyDescent="0.35">
      <c r="A1013">
        <v>1574</v>
      </c>
      <c r="B1013" t="s">
        <v>379</v>
      </c>
      <c r="C1013">
        <v>2</v>
      </c>
    </row>
    <row r="1014" spans="1:3" x14ac:dyDescent="0.35">
      <c r="A1014">
        <v>1575</v>
      </c>
      <c r="B1014" t="s">
        <v>379</v>
      </c>
      <c r="C1014">
        <v>2</v>
      </c>
    </row>
    <row r="1015" spans="1:3" x14ac:dyDescent="0.35">
      <c r="A1015">
        <v>1576</v>
      </c>
      <c r="B1015" t="s">
        <v>379</v>
      </c>
      <c r="C1015">
        <v>2</v>
      </c>
    </row>
    <row r="1016" spans="1:3" x14ac:dyDescent="0.35">
      <c r="A1016">
        <v>1622</v>
      </c>
      <c r="B1016" t="s">
        <v>379</v>
      </c>
      <c r="C1016">
        <v>2</v>
      </c>
    </row>
    <row r="1017" spans="1:3" x14ac:dyDescent="0.35">
      <c r="A1017">
        <v>1625</v>
      </c>
      <c r="B1017" t="s">
        <v>379</v>
      </c>
      <c r="C1017">
        <v>2</v>
      </c>
    </row>
    <row r="1018" spans="1:3" x14ac:dyDescent="0.35">
      <c r="A1018">
        <v>1626</v>
      </c>
      <c r="B1018" t="s">
        <v>379</v>
      </c>
      <c r="C1018">
        <v>2</v>
      </c>
    </row>
    <row r="1019" spans="1:3" x14ac:dyDescent="0.35">
      <c r="A1019">
        <v>1627</v>
      </c>
      <c r="B1019" t="s">
        <v>379</v>
      </c>
      <c r="C1019">
        <v>2</v>
      </c>
    </row>
    <row r="1020" spans="1:3" x14ac:dyDescent="0.35">
      <c r="A1020">
        <v>1628</v>
      </c>
      <c r="B1020" t="s">
        <v>379</v>
      </c>
      <c r="C1020">
        <v>2</v>
      </c>
    </row>
    <row r="1021" spans="1:3" x14ac:dyDescent="0.35">
      <c r="A1021">
        <v>1629</v>
      </c>
      <c r="B1021" t="s">
        <v>379</v>
      </c>
      <c r="C1021">
        <v>2</v>
      </c>
    </row>
    <row r="1022" spans="1:3" x14ac:dyDescent="0.35">
      <c r="A1022">
        <v>1671</v>
      </c>
      <c r="B1022" t="s">
        <v>379</v>
      </c>
      <c r="C1022">
        <v>2</v>
      </c>
    </row>
    <row r="1023" spans="1:3" x14ac:dyDescent="0.35">
      <c r="A1023">
        <v>1672</v>
      </c>
      <c r="B1023" t="s">
        <v>379</v>
      </c>
      <c r="C1023">
        <v>2</v>
      </c>
    </row>
    <row r="1024" spans="1:3" x14ac:dyDescent="0.35">
      <c r="A1024">
        <v>1673</v>
      </c>
      <c r="B1024" t="s">
        <v>379</v>
      </c>
      <c r="C1024">
        <v>2</v>
      </c>
    </row>
    <row r="1025" spans="1:3" x14ac:dyDescent="0.35">
      <c r="A1025">
        <v>1674</v>
      </c>
      <c r="B1025" t="s">
        <v>379</v>
      </c>
      <c r="C1025">
        <v>2</v>
      </c>
    </row>
    <row r="1026" spans="1:3" x14ac:dyDescent="0.35">
      <c r="A1026">
        <v>1675</v>
      </c>
      <c r="B1026" t="s">
        <v>379</v>
      </c>
      <c r="C1026">
        <v>2</v>
      </c>
    </row>
    <row r="1027" spans="1:3" x14ac:dyDescent="0.35">
      <c r="A1027">
        <v>1676</v>
      </c>
      <c r="B1027" t="s">
        <v>379</v>
      </c>
      <c r="C1027">
        <v>2</v>
      </c>
    </row>
    <row r="1028" spans="1:3" x14ac:dyDescent="0.35">
      <c r="A1028">
        <v>1677</v>
      </c>
      <c r="B1028" t="s">
        <v>379</v>
      </c>
      <c r="C1028">
        <v>2</v>
      </c>
    </row>
    <row r="1029" spans="1:3" x14ac:dyDescent="0.35">
      <c r="A1029">
        <v>1678</v>
      </c>
      <c r="B1029" t="s">
        <v>379</v>
      </c>
      <c r="C1029">
        <v>2</v>
      </c>
    </row>
    <row r="1030" spans="1:3" x14ac:dyDescent="0.35">
      <c r="A1030">
        <v>1679</v>
      </c>
      <c r="B1030" t="s">
        <v>379</v>
      </c>
      <c r="C1030">
        <v>2</v>
      </c>
    </row>
    <row r="1031" spans="1:3" x14ac:dyDescent="0.35">
      <c r="A1031">
        <v>1680</v>
      </c>
      <c r="B1031" t="s">
        <v>379</v>
      </c>
      <c r="C1031">
        <v>2</v>
      </c>
    </row>
    <row r="1032" spans="1:3" x14ac:dyDescent="0.35">
      <c r="A1032">
        <v>2001</v>
      </c>
      <c r="B1032" t="s">
        <v>379</v>
      </c>
      <c r="C1032">
        <v>2</v>
      </c>
    </row>
    <row r="1033" spans="1:3" x14ac:dyDescent="0.35">
      <c r="A1033">
        <v>2003</v>
      </c>
      <c r="B1033" t="s">
        <v>379</v>
      </c>
      <c r="C1033">
        <v>2</v>
      </c>
    </row>
    <row r="1034" spans="1:3" x14ac:dyDescent="0.35">
      <c r="A1034">
        <v>2011</v>
      </c>
      <c r="B1034" t="s">
        <v>379</v>
      </c>
      <c r="C1034">
        <v>2</v>
      </c>
    </row>
    <row r="1035" spans="1:3" x14ac:dyDescent="0.35">
      <c r="A1035">
        <v>2012</v>
      </c>
      <c r="B1035" t="s">
        <v>379</v>
      </c>
      <c r="C1035">
        <v>2</v>
      </c>
    </row>
    <row r="1036" spans="1:3" x14ac:dyDescent="0.35">
      <c r="A1036">
        <v>2013</v>
      </c>
      <c r="B1036" t="s">
        <v>379</v>
      </c>
      <c r="C1036">
        <v>2</v>
      </c>
    </row>
    <row r="1037" spans="1:3" x14ac:dyDescent="0.35">
      <c r="A1037">
        <v>2014</v>
      </c>
      <c r="B1037" t="s">
        <v>379</v>
      </c>
      <c r="C1037">
        <v>2</v>
      </c>
    </row>
    <row r="1038" spans="1:3" x14ac:dyDescent="0.35">
      <c r="A1038">
        <v>2015</v>
      </c>
      <c r="B1038" t="s">
        <v>379</v>
      </c>
      <c r="C1038">
        <v>2</v>
      </c>
    </row>
    <row r="1039" spans="1:3" x14ac:dyDescent="0.35">
      <c r="A1039">
        <v>2016</v>
      </c>
      <c r="B1039" t="s">
        <v>379</v>
      </c>
      <c r="C1039">
        <v>2</v>
      </c>
    </row>
    <row r="1040" spans="1:3" x14ac:dyDescent="0.35">
      <c r="A1040">
        <v>2017</v>
      </c>
      <c r="B1040" t="s">
        <v>379</v>
      </c>
      <c r="C1040">
        <v>2</v>
      </c>
    </row>
    <row r="1041" spans="1:3" x14ac:dyDescent="0.35">
      <c r="A1041">
        <v>2019</v>
      </c>
      <c r="B1041" t="s">
        <v>379</v>
      </c>
      <c r="C1041">
        <v>2</v>
      </c>
    </row>
    <row r="1042" spans="1:3" x14ac:dyDescent="0.35">
      <c r="A1042">
        <v>2020</v>
      </c>
      <c r="B1042" t="s">
        <v>379</v>
      </c>
      <c r="C1042">
        <v>2</v>
      </c>
    </row>
    <row r="1043" spans="1:3" x14ac:dyDescent="0.35">
      <c r="A1043">
        <v>2021</v>
      </c>
      <c r="B1043" t="s">
        <v>379</v>
      </c>
      <c r="C1043">
        <v>2</v>
      </c>
    </row>
    <row r="1044" spans="1:3" x14ac:dyDescent="0.35">
      <c r="A1044">
        <v>2023</v>
      </c>
      <c r="B1044" t="s">
        <v>379</v>
      </c>
      <c r="C1044">
        <v>2</v>
      </c>
    </row>
    <row r="1045" spans="1:3" x14ac:dyDescent="0.35">
      <c r="A1045">
        <v>2024</v>
      </c>
      <c r="B1045" t="s">
        <v>379</v>
      </c>
      <c r="C1045">
        <v>2</v>
      </c>
    </row>
    <row r="1046" spans="1:3" x14ac:dyDescent="0.35">
      <c r="A1046">
        <v>2025</v>
      </c>
      <c r="B1046" t="s">
        <v>379</v>
      </c>
      <c r="C1046">
        <v>2</v>
      </c>
    </row>
    <row r="1047" spans="1:3" x14ac:dyDescent="0.35">
      <c r="A1047">
        <v>2026</v>
      </c>
      <c r="B1047" t="s">
        <v>379</v>
      </c>
      <c r="C1047">
        <v>2</v>
      </c>
    </row>
    <row r="1048" spans="1:3" x14ac:dyDescent="0.35">
      <c r="A1048">
        <v>2030</v>
      </c>
      <c r="B1048" t="s">
        <v>379</v>
      </c>
      <c r="C1048">
        <v>2</v>
      </c>
    </row>
    <row r="1049" spans="1:3" x14ac:dyDescent="0.35">
      <c r="A1049">
        <v>2381</v>
      </c>
      <c r="B1049" t="s">
        <v>1509</v>
      </c>
      <c r="C1049">
        <v>5</v>
      </c>
    </row>
    <row r="1050" spans="1:3" x14ac:dyDescent="0.35">
      <c r="A1050">
        <v>2382</v>
      </c>
      <c r="B1050" t="s">
        <v>1509</v>
      </c>
      <c r="C1050">
        <v>5</v>
      </c>
    </row>
    <row r="1051" spans="1:3" x14ac:dyDescent="0.35">
      <c r="A1051">
        <v>2386</v>
      </c>
      <c r="B1051" t="s">
        <v>1509</v>
      </c>
      <c r="C1051">
        <v>5</v>
      </c>
    </row>
    <row r="1052" spans="1:3" x14ac:dyDescent="0.35">
      <c r="A1052">
        <v>2387</v>
      </c>
      <c r="B1052" t="s">
        <v>1509</v>
      </c>
      <c r="C1052">
        <v>5</v>
      </c>
    </row>
    <row r="1053" spans="1:3" x14ac:dyDescent="0.35">
      <c r="A1053">
        <v>2388</v>
      </c>
      <c r="B1053" t="s">
        <v>1509</v>
      </c>
      <c r="C1053">
        <v>5</v>
      </c>
    </row>
    <row r="1054" spans="1:3" x14ac:dyDescent="0.35">
      <c r="A1054">
        <v>2389</v>
      </c>
      <c r="B1054" t="s">
        <v>1509</v>
      </c>
      <c r="C1054">
        <v>5</v>
      </c>
    </row>
    <row r="1055" spans="1:3" x14ac:dyDescent="0.35">
      <c r="A1055">
        <v>2390</v>
      </c>
      <c r="B1055" t="s">
        <v>1509</v>
      </c>
      <c r="C1055">
        <v>5</v>
      </c>
    </row>
    <row r="1056" spans="1:3" x14ac:dyDescent="0.35">
      <c r="A1056">
        <v>2391</v>
      </c>
      <c r="B1056" t="s">
        <v>1509</v>
      </c>
      <c r="C1056">
        <v>5</v>
      </c>
    </row>
    <row r="1057" spans="1:3" x14ac:dyDescent="0.35">
      <c r="A1057">
        <v>2392</v>
      </c>
      <c r="B1057" t="s">
        <v>1509</v>
      </c>
      <c r="C1057">
        <v>5</v>
      </c>
    </row>
    <row r="1058" spans="1:3" x14ac:dyDescent="0.35">
      <c r="A1058">
        <v>2393</v>
      </c>
      <c r="B1058" t="s">
        <v>1509</v>
      </c>
      <c r="C1058">
        <v>5</v>
      </c>
    </row>
    <row r="1059" spans="1:3" x14ac:dyDescent="0.35">
      <c r="A1059">
        <v>2394</v>
      </c>
      <c r="B1059" t="s">
        <v>1509</v>
      </c>
      <c r="C1059">
        <v>5</v>
      </c>
    </row>
    <row r="1060" spans="1:3" x14ac:dyDescent="0.35">
      <c r="A1060">
        <v>2395</v>
      </c>
      <c r="B1060" t="s">
        <v>1509</v>
      </c>
      <c r="C1060">
        <v>5</v>
      </c>
    </row>
    <row r="1061" spans="1:3" x14ac:dyDescent="0.35">
      <c r="A1061">
        <v>2396</v>
      </c>
      <c r="B1061" t="s">
        <v>1509</v>
      </c>
      <c r="C1061">
        <v>5</v>
      </c>
    </row>
    <row r="1062" spans="1:3" x14ac:dyDescent="0.35">
      <c r="A1062">
        <v>2397</v>
      </c>
      <c r="B1062" t="s">
        <v>1509</v>
      </c>
      <c r="C1062">
        <v>5</v>
      </c>
    </row>
    <row r="1063" spans="1:3" x14ac:dyDescent="0.35">
      <c r="A1063">
        <v>2401</v>
      </c>
      <c r="B1063" t="s">
        <v>1509</v>
      </c>
      <c r="C1063">
        <v>5</v>
      </c>
    </row>
    <row r="1064" spans="1:3" x14ac:dyDescent="0.35">
      <c r="A1064">
        <v>2405</v>
      </c>
      <c r="B1064" t="s">
        <v>1509</v>
      </c>
      <c r="C1064">
        <v>5</v>
      </c>
    </row>
    <row r="1065" spans="1:3" x14ac:dyDescent="0.35">
      <c r="A1065">
        <v>2409</v>
      </c>
      <c r="B1065" t="s">
        <v>1509</v>
      </c>
      <c r="C1065">
        <v>5</v>
      </c>
    </row>
    <row r="1066" spans="1:3" x14ac:dyDescent="0.35">
      <c r="A1066">
        <v>2411</v>
      </c>
      <c r="B1066" t="s">
        <v>1509</v>
      </c>
      <c r="C1066">
        <v>5</v>
      </c>
    </row>
    <row r="1067" spans="1:3" x14ac:dyDescent="0.35">
      <c r="A1067">
        <v>2674</v>
      </c>
      <c r="B1067" t="s">
        <v>1510</v>
      </c>
      <c r="C1067">
        <v>8</v>
      </c>
    </row>
    <row r="1068" spans="1:3" x14ac:dyDescent="0.35">
      <c r="A1068">
        <v>2675</v>
      </c>
      <c r="B1068" t="s">
        <v>1510</v>
      </c>
      <c r="C1068">
        <v>8</v>
      </c>
    </row>
    <row r="1069" spans="1:3" x14ac:dyDescent="0.35">
      <c r="A1069">
        <v>2676</v>
      </c>
      <c r="B1069" t="s">
        <v>1510</v>
      </c>
      <c r="C1069">
        <v>8</v>
      </c>
    </row>
    <row r="1070" spans="1:3" x14ac:dyDescent="0.35">
      <c r="A1070">
        <v>2677</v>
      </c>
      <c r="B1070" t="s">
        <v>1510</v>
      </c>
      <c r="C1070">
        <v>8</v>
      </c>
    </row>
    <row r="1071" spans="1:3" x14ac:dyDescent="0.35">
      <c r="A1071">
        <v>2678</v>
      </c>
      <c r="B1071" t="s">
        <v>1510</v>
      </c>
      <c r="C1071">
        <v>8</v>
      </c>
    </row>
    <row r="1072" spans="1:3" x14ac:dyDescent="0.35">
      <c r="A1072">
        <v>2679</v>
      </c>
      <c r="B1072" t="s">
        <v>1510</v>
      </c>
      <c r="C1072">
        <v>8</v>
      </c>
    </row>
    <row r="1073" spans="1:3" x14ac:dyDescent="0.35">
      <c r="A1073">
        <v>2767</v>
      </c>
      <c r="B1073" t="s">
        <v>1511</v>
      </c>
      <c r="C1073">
        <v>9</v>
      </c>
    </row>
    <row r="1074" spans="1:3" x14ac:dyDescent="0.35">
      <c r="A1074">
        <v>2924</v>
      </c>
      <c r="B1074" t="s">
        <v>1512</v>
      </c>
      <c r="C1074">
        <v>11</v>
      </c>
    </row>
    <row r="1075" spans="1:3" x14ac:dyDescent="0.35">
      <c r="A1075">
        <v>2764</v>
      </c>
      <c r="B1075" t="s">
        <v>1513</v>
      </c>
      <c r="C1075">
        <v>9</v>
      </c>
    </row>
    <row r="1076" spans="1:3" x14ac:dyDescent="0.35">
      <c r="A1076">
        <v>2765</v>
      </c>
      <c r="B1076" t="s">
        <v>1513</v>
      </c>
      <c r="C1076">
        <v>9</v>
      </c>
    </row>
    <row r="1077" spans="1:3" x14ac:dyDescent="0.35">
      <c r="A1077">
        <v>1519</v>
      </c>
      <c r="B1077" t="s">
        <v>380</v>
      </c>
      <c r="C1077">
        <v>2</v>
      </c>
    </row>
    <row r="1078" spans="1:3" x14ac:dyDescent="0.35">
      <c r="A1078">
        <v>1520</v>
      </c>
      <c r="B1078" t="s">
        <v>380</v>
      </c>
      <c r="C1078">
        <v>2</v>
      </c>
    </row>
    <row r="1079" spans="1:3" x14ac:dyDescent="0.35">
      <c r="A1079">
        <v>1521</v>
      </c>
      <c r="B1079" t="s">
        <v>380</v>
      </c>
      <c r="C1079">
        <v>2</v>
      </c>
    </row>
    <row r="1080" spans="1:3" x14ac:dyDescent="0.35">
      <c r="A1080">
        <v>1522</v>
      </c>
      <c r="B1080" t="s">
        <v>380</v>
      </c>
      <c r="C1080">
        <v>2</v>
      </c>
    </row>
    <row r="1081" spans="1:3" x14ac:dyDescent="0.35">
      <c r="A1081">
        <v>1523</v>
      </c>
      <c r="B1081" t="s">
        <v>380</v>
      </c>
      <c r="C1081">
        <v>2</v>
      </c>
    </row>
    <row r="1082" spans="1:3" x14ac:dyDescent="0.35">
      <c r="A1082">
        <v>1524</v>
      </c>
      <c r="B1082" t="s">
        <v>380</v>
      </c>
      <c r="C1082">
        <v>2</v>
      </c>
    </row>
    <row r="1083" spans="1:3" x14ac:dyDescent="0.35">
      <c r="A1083">
        <v>1525</v>
      </c>
      <c r="B1083" t="s">
        <v>380</v>
      </c>
      <c r="C1083">
        <v>2</v>
      </c>
    </row>
    <row r="1084" spans="1:3" x14ac:dyDescent="0.35">
      <c r="A1084">
        <v>1598</v>
      </c>
      <c r="B1084" t="s">
        <v>380</v>
      </c>
      <c r="C1084">
        <v>2</v>
      </c>
    </row>
    <row r="1085" spans="1:3" x14ac:dyDescent="0.35">
      <c r="A1085">
        <v>1599</v>
      </c>
      <c r="B1085" t="s">
        <v>380</v>
      </c>
      <c r="C1085">
        <v>2</v>
      </c>
    </row>
    <row r="1086" spans="1:3" x14ac:dyDescent="0.35">
      <c r="A1086">
        <v>1600</v>
      </c>
      <c r="B1086" t="s">
        <v>380</v>
      </c>
      <c r="C1086">
        <v>2</v>
      </c>
    </row>
    <row r="1087" spans="1:3" x14ac:dyDescent="0.35">
      <c r="A1087">
        <v>1645</v>
      </c>
      <c r="B1087" t="s">
        <v>380</v>
      </c>
      <c r="C1087">
        <v>2</v>
      </c>
    </row>
    <row r="1088" spans="1:3" x14ac:dyDescent="0.35">
      <c r="A1088">
        <v>1646</v>
      </c>
      <c r="B1088" t="s">
        <v>380</v>
      </c>
      <c r="C1088">
        <v>2</v>
      </c>
    </row>
    <row r="1089" spans="1:3" x14ac:dyDescent="0.35">
      <c r="A1089">
        <v>1647</v>
      </c>
      <c r="B1089" t="s">
        <v>380</v>
      </c>
      <c r="C1089">
        <v>2</v>
      </c>
    </row>
    <row r="1090" spans="1:3" x14ac:dyDescent="0.35">
      <c r="A1090">
        <v>1929</v>
      </c>
      <c r="B1090" t="s">
        <v>380</v>
      </c>
      <c r="C1090">
        <v>2</v>
      </c>
    </row>
    <row r="1091" spans="1:3" x14ac:dyDescent="0.35">
      <c r="A1091">
        <v>1932</v>
      </c>
      <c r="B1091" t="s">
        <v>380</v>
      </c>
      <c r="C1091">
        <v>2</v>
      </c>
    </row>
    <row r="1092" spans="1:3" x14ac:dyDescent="0.35">
      <c r="A1092">
        <v>1933</v>
      </c>
      <c r="B1092" t="s">
        <v>380</v>
      </c>
      <c r="C1092">
        <v>2</v>
      </c>
    </row>
    <row r="1093" spans="1:3" x14ac:dyDescent="0.35">
      <c r="A1093">
        <v>1934</v>
      </c>
      <c r="B1093" t="s">
        <v>380</v>
      </c>
      <c r="C1093">
        <v>2</v>
      </c>
    </row>
    <row r="1094" spans="1:3" x14ac:dyDescent="0.35">
      <c r="A1094">
        <v>1935</v>
      </c>
      <c r="B1094" t="s">
        <v>380</v>
      </c>
      <c r="C1094">
        <v>2</v>
      </c>
    </row>
    <row r="1095" spans="1:3" x14ac:dyDescent="0.35">
      <c r="A1095">
        <v>1936</v>
      </c>
      <c r="B1095" t="s">
        <v>380</v>
      </c>
      <c r="C1095">
        <v>2</v>
      </c>
    </row>
    <row r="1096" spans="1:3" x14ac:dyDescent="0.35">
      <c r="A1096">
        <v>1937</v>
      </c>
      <c r="B1096" t="s">
        <v>380</v>
      </c>
      <c r="C1096">
        <v>2</v>
      </c>
    </row>
    <row r="1097" spans="1:3" x14ac:dyDescent="0.35">
      <c r="A1097">
        <v>1938</v>
      </c>
      <c r="B1097" t="s">
        <v>380</v>
      </c>
      <c r="C1097">
        <v>2</v>
      </c>
    </row>
    <row r="1098" spans="1:3" x14ac:dyDescent="0.35">
      <c r="A1098">
        <v>1564</v>
      </c>
      <c r="B1098" t="s">
        <v>381</v>
      </c>
      <c r="C1098">
        <v>2</v>
      </c>
    </row>
    <row r="1099" spans="1:3" x14ac:dyDescent="0.35">
      <c r="A1099">
        <v>1565</v>
      </c>
      <c r="B1099" t="s">
        <v>381</v>
      </c>
      <c r="C1099">
        <v>2</v>
      </c>
    </row>
    <row r="1100" spans="1:3" x14ac:dyDescent="0.35">
      <c r="A1100">
        <v>1566</v>
      </c>
      <c r="B1100" t="s">
        <v>381</v>
      </c>
      <c r="C1100">
        <v>2</v>
      </c>
    </row>
    <row r="1101" spans="1:3" x14ac:dyDescent="0.35">
      <c r="A1101">
        <v>1567</v>
      </c>
      <c r="B1101" t="s">
        <v>381</v>
      </c>
      <c r="C1101">
        <v>2</v>
      </c>
    </row>
    <row r="1102" spans="1:3" x14ac:dyDescent="0.35">
      <c r="A1102">
        <v>1623</v>
      </c>
      <c r="B1102" t="s">
        <v>381</v>
      </c>
      <c r="C1102">
        <v>2</v>
      </c>
    </row>
    <row r="1103" spans="1:3" x14ac:dyDescent="0.35">
      <c r="A1103">
        <v>1624</v>
      </c>
      <c r="B1103" t="s">
        <v>381</v>
      </c>
      <c r="C1103">
        <v>2</v>
      </c>
    </row>
    <row r="1104" spans="1:3" x14ac:dyDescent="0.35">
      <c r="A1104">
        <v>1669</v>
      </c>
      <c r="B1104" t="s">
        <v>381</v>
      </c>
      <c r="C1104">
        <v>2</v>
      </c>
    </row>
    <row r="1105" spans="1:3" x14ac:dyDescent="0.35">
      <c r="A1105">
        <v>1670</v>
      </c>
      <c r="B1105" t="s">
        <v>381</v>
      </c>
      <c r="C1105">
        <v>2</v>
      </c>
    </row>
    <row r="1106" spans="1:3" x14ac:dyDescent="0.35">
      <c r="A1106">
        <v>2005</v>
      </c>
      <c r="B1106" t="s">
        <v>381</v>
      </c>
      <c r="C1106">
        <v>2</v>
      </c>
    </row>
    <row r="1107" spans="1:3" x14ac:dyDescent="0.35">
      <c r="A1107">
        <v>2006</v>
      </c>
      <c r="B1107" t="s">
        <v>381</v>
      </c>
      <c r="C1107">
        <v>2</v>
      </c>
    </row>
    <row r="1108" spans="1:3" x14ac:dyDescent="0.35">
      <c r="A1108">
        <v>2007</v>
      </c>
      <c r="B1108" t="s">
        <v>381</v>
      </c>
      <c r="C1108">
        <v>2</v>
      </c>
    </row>
    <row r="1109" spans="1:3" x14ac:dyDescent="0.35">
      <c r="A1109">
        <v>2008</v>
      </c>
      <c r="B1109" t="s">
        <v>381</v>
      </c>
      <c r="C1109">
        <v>2</v>
      </c>
    </row>
    <row r="1110" spans="1:3" x14ac:dyDescent="0.35">
      <c r="A1110">
        <v>2009</v>
      </c>
      <c r="B1110" t="s">
        <v>381</v>
      </c>
      <c r="C1110">
        <v>2</v>
      </c>
    </row>
    <row r="1111" spans="1:3" x14ac:dyDescent="0.35">
      <c r="A1111">
        <v>2010</v>
      </c>
      <c r="B1111" t="s">
        <v>381</v>
      </c>
      <c r="C1111">
        <v>2</v>
      </c>
    </row>
    <row r="1112" spans="1:3" x14ac:dyDescent="0.35">
      <c r="A1112">
        <v>2018</v>
      </c>
      <c r="B1112" t="s">
        <v>381</v>
      </c>
      <c r="C1112">
        <v>2</v>
      </c>
    </row>
    <row r="1113" spans="1:3" x14ac:dyDescent="0.35">
      <c r="A1113">
        <v>1701</v>
      </c>
      <c r="B1113" t="s">
        <v>1514</v>
      </c>
      <c r="C1113">
        <v>1</v>
      </c>
    </row>
    <row r="1114" spans="1:3" x14ac:dyDescent="0.35">
      <c r="A1114">
        <v>1702</v>
      </c>
      <c r="B1114" t="s">
        <v>1514</v>
      </c>
      <c r="C1114">
        <v>1</v>
      </c>
    </row>
    <row r="1115" spans="1:3" x14ac:dyDescent="0.35">
      <c r="A1115">
        <v>1703</v>
      </c>
      <c r="B1115" t="s">
        <v>1514</v>
      </c>
      <c r="C1115">
        <v>1</v>
      </c>
    </row>
    <row r="1116" spans="1:3" x14ac:dyDescent="0.35">
      <c r="A1116">
        <v>1704</v>
      </c>
      <c r="B1116" t="s">
        <v>1514</v>
      </c>
      <c r="C1116">
        <v>1</v>
      </c>
    </row>
    <row r="1117" spans="1:3" x14ac:dyDescent="0.35">
      <c r="A1117">
        <v>1705</v>
      </c>
      <c r="B1117" t="s">
        <v>1514</v>
      </c>
      <c r="C1117">
        <v>1</v>
      </c>
    </row>
    <row r="1118" spans="1:3" x14ac:dyDescent="0.35">
      <c r="A1118">
        <v>1706</v>
      </c>
      <c r="B1118" t="s">
        <v>1514</v>
      </c>
      <c r="C1118">
        <v>1</v>
      </c>
    </row>
    <row r="1119" spans="1:3" x14ac:dyDescent="0.35">
      <c r="A1119">
        <v>1707</v>
      </c>
      <c r="B1119" t="s">
        <v>1514</v>
      </c>
      <c r="C1119">
        <v>1</v>
      </c>
    </row>
    <row r="1120" spans="1:3" x14ac:dyDescent="0.35">
      <c r="A1120">
        <v>1708</v>
      </c>
      <c r="B1120" t="s">
        <v>1514</v>
      </c>
      <c r="C1120">
        <v>1</v>
      </c>
    </row>
    <row r="1121" spans="1:3" x14ac:dyDescent="0.35">
      <c r="A1121">
        <v>1709</v>
      </c>
      <c r="B1121" t="s">
        <v>1514</v>
      </c>
      <c r="C1121">
        <v>1</v>
      </c>
    </row>
    <row r="1122" spans="1:3" x14ac:dyDescent="0.35">
      <c r="A1122">
        <v>1710</v>
      </c>
      <c r="B1122" t="s">
        <v>1514</v>
      </c>
      <c r="C1122">
        <v>1</v>
      </c>
    </row>
    <row r="1123" spans="1:3" x14ac:dyDescent="0.35">
      <c r="A1123">
        <v>1711</v>
      </c>
      <c r="B1123" t="s">
        <v>1514</v>
      </c>
      <c r="C1123">
        <v>1</v>
      </c>
    </row>
    <row r="1124" spans="1:3" x14ac:dyDescent="0.35">
      <c r="A1124">
        <v>1712</v>
      </c>
      <c r="B1124" t="s">
        <v>1514</v>
      </c>
      <c r="C1124">
        <v>1</v>
      </c>
    </row>
    <row r="1125" spans="1:3" x14ac:dyDescent="0.35">
      <c r="A1125">
        <v>1713</v>
      </c>
      <c r="B1125" t="s">
        <v>1514</v>
      </c>
      <c r="C1125">
        <v>1</v>
      </c>
    </row>
    <row r="1126" spans="1:3" x14ac:dyDescent="0.35">
      <c r="A1126">
        <v>1714</v>
      </c>
      <c r="B1126" t="s">
        <v>1514</v>
      </c>
      <c r="C1126">
        <v>1</v>
      </c>
    </row>
    <row r="1127" spans="1:3" x14ac:dyDescent="0.35">
      <c r="A1127">
        <v>1715</v>
      </c>
      <c r="B1127" t="s">
        <v>1514</v>
      </c>
      <c r="C1127">
        <v>1</v>
      </c>
    </row>
    <row r="1128" spans="1:3" x14ac:dyDescent="0.35">
      <c r="A1128">
        <v>1716</v>
      </c>
      <c r="B1128" t="s">
        <v>1514</v>
      </c>
      <c r="C1128">
        <v>1</v>
      </c>
    </row>
    <row r="1129" spans="1:3" x14ac:dyDescent="0.35">
      <c r="A1129">
        <v>1717</v>
      </c>
      <c r="B1129" t="s">
        <v>1514</v>
      </c>
      <c r="C1129">
        <v>1</v>
      </c>
    </row>
    <row r="1130" spans="1:3" x14ac:dyDescent="0.35">
      <c r="A1130">
        <v>1718</v>
      </c>
      <c r="B1130" t="s">
        <v>1514</v>
      </c>
      <c r="C1130">
        <v>1</v>
      </c>
    </row>
    <row r="1131" spans="1:3" x14ac:dyDescent="0.35">
      <c r="A1131">
        <v>1719</v>
      </c>
      <c r="B1131" t="s">
        <v>1514</v>
      </c>
      <c r="C1131">
        <v>1</v>
      </c>
    </row>
    <row r="1132" spans="1:3" x14ac:dyDescent="0.35">
      <c r="A1132">
        <v>1720</v>
      </c>
      <c r="B1132" t="s">
        <v>1514</v>
      </c>
      <c r="C1132">
        <v>1</v>
      </c>
    </row>
    <row r="1133" spans="1:3" x14ac:dyDescent="0.35">
      <c r="A1133">
        <v>1721</v>
      </c>
      <c r="B1133" t="s">
        <v>1514</v>
      </c>
      <c r="C1133">
        <v>1</v>
      </c>
    </row>
    <row r="1134" spans="1:3" x14ac:dyDescent="0.35">
      <c r="A1134">
        <v>1722</v>
      </c>
      <c r="B1134" t="s">
        <v>1514</v>
      </c>
      <c r="C1134">
        <v>1</v>
      </c>
    </row>
    <row r="1135" spans="1:3" x14ac:dyDescent="0.35">
      <c r="A1135">
        <v>1723</v>
      </c>
      <c r="B1135" t="s">
        <v>1514</v>
      </c>
      <c r="C1135">
        <v>1</v>
      </c>
    </row>
    <row r="1136" spans="1:3" x14ac:dyDescent="0.35">
      <c r="A1136">
        <v>1724</v>
      </c>
      <c r="B1136" t="s">
        <v>1514</v>
      </c>
      <c r="C1136">
        <v>1</v>
      </c>
    </row>
    <row r="1137" spans="1:3" x14ac:dyDescent="0.35">
      <c r="A1137">
        <v>1725</v>
      </c>
      <c r="B1137" t="s">
        <v>1514</v>
      </c>
      <c r="C1137">
        <v>1</v>
      </c>
    </row>
    <row r="1138" spans="1:3" x14ac:dyDescent="0.35">
      <c r="A1138">
        <v>1726</v>
      </c>
      <c r="B1138" t="s">
        <v>1514</v>
      </c>
      <c r="C1138">
        <v>1</v>
      </c>
    </row>
    <row r="1139" spans="1:3" x14ac:dyDescent="0.35">
      <c r="A1139">
        <v>1727</v>
      </c>
      <c r="B1139" t="s">
        <v>1514</v>
      </c>
      <c r="C1139">
        <v>1</v>
      </c>
    </row>
    <row r="1140" spans="1:3" x14ac:dyDescent="0.35">
      <c r="A1140">
        <v>1728</v>
      </c>
      <c r="B1140" t="s">
        <v>1514</v>
      </c>
      <c r="C1140">
        <v>1</v>
      </c>
    </row>
    <row r="1141" spans="1:3" x14ac:dyDescent="0.35">
      <c r="A1141">
        <v>1729</v>
      </c>
      <c r="B1141" t="s">
        <v>1514</v>
      </c>
      <c r="C1141">
        <v>1</v>
      </c>
    </row>
    <row r="1142" spans="1:3" x14ac:dyDescent="0.35">
      <c r="A1142">
        <v>1730</v>
      </c>
      <c r="B1142" t="s">
        <v>1514</v>
      </c>
      <c r="C1142">
        <v>1</v>
      </c>
    </row>
    <row r="1143" spans="1:3" x14ac:dyDescent="0.35">
      <c r="A1143">
        <v>1731</v>
      </c>
      <c r="B1143" t="s">
        <v>1514</v>
      </c>
      <c r="C1143">
        <v>1</v>
      </c>
    </row>
    <row r="1144" spans="1:3" x14ac:dyDescent="0.35">
      <c r="A1144">
        <v>1732</v>
      </c>
      <c r="B1144" t="s">
        <v>1514</v>
      </c>
      <c r="C1144">
        <v>1</v>
      </c>
    </row>
    <row r="1145" spans="1:3" x14ac:dyDescent="0.35">
      <c r="A1145">
        <v>1733</v>
      </c>
      <c r="B1145" t="s">
        <v>1514</v>
      </c>
      <c r="C1145">
        <v>1</v>
      </c>
    </row>
    <row r="1146" spans="1:3" x14ac:dyDescent="0.35">
      <c r="A1146">
        <v>1734</v>
      </c>
      <c r="B1146" t="s">
        <v>1514</v>
      </c>
      <c r="C1146">
        <v>1</v>
      </c>
    </row>
    <row r="1147" spans="1:3" x14ac:dyDescent="0.35">
      <c r="A1147">
        <v>1735</v>
      </c>
      <c r="B1147" t="s">
        <v>1514</v>
      </c>
      <c r="C1147">
        <v>1</v>
      </c>
    </row>
    <row r="1148" spans="1:3" x14ac:dyDescent="0.35">
      <c r="A1148">
        <v>1736</v>
      </c>
      <c r="B1148" t="s">
        <v>1514</v>
      </c>
      <c r="C1148">
        <v>1</v>
      </c>
    </row>
    <row r="1149" spans="1:3" x14ac:dyDescent="0.35">
      <c r="A1149">
        <v>1737</v>
      </c>
      <c r="B1149" t="s">
        <v>1514</v>
      </c>
      <c r="C1149">
        <v>1</v>
      </c>
    </row>
    <row r="1150" spans="1:3" x14ac:dyDescent="0.35">
      <c r="A1150">
        <v>1738</v>
      </c>
      <c r="B1150" t="s">
        <v>1514</v>
      </c>
      <c r="C1150">
        <v>1</v>
      </c>
    </row>
    <row r="1151" spans="1:3" x14ac:dyDescent="0.35">
      <c r="A1151">
        <v>1739</v>
      </c>
      <c r="B1151" t="s">
        <v>1514</v>
      </c>
      <c r="C1151">
        <v>1</v>
      </c>
    </row>
    <row r="1152" spans="1:3" x14ac:dyDescent="0.35">
      <c r="A1152">
        <v>1740</v>
      </c>
      <c r="B1152" t="s">
        <v>1514</v>
      </c>
      <c r="C1152">
        <v>1</v>
      </c>
    </row>
    <row r="1153" spans="1:3" x14ac:dyDescent="0.35">
      <c r="A1153">
        <v>1741</v>
      </c>
      <c r="B1153" t="s">
        <v>1514</v>
      </c>
      <c r="C1153">
        <v>1</v>
      </c>
    </row>
    <row r="1154" spans="1:3" x14ac:dyDescent="0.35">
      <c r="A1154">
        <v>1742</v>
      </c>
      <c r="B1154" t="s">
        <v>1514</v>
      </c>
      <c r="C1154">
        <v>1</v>
      </c>
    </row>
    <row r="1155" spans="1:3" x14ac:dyDescent="0.35">
      <c r="A1155">
        <v>1743</v>
      </c>
      <c r="B1155" t="s">
        <v>1514</v>
      </c>
      <c r="C1155">
        <v>1</v>
      </c>
    </row>
    <row r="1156" spans="1:3" x14ac:dyDescent="0.35">
      <c r="A1156">
        <v>1744</v>
      </c>
      <c r="B1156" t="s">
        <v>1514</v>
      </c>
      <c r="C1156">
        <v>1</v>
      </c>
    </row>
    <row r="1157" spans="1:3" x14ac:dyDescent="0.35">
      <c r="A1157">
        <v>1745</v>
      </c>
      <c r="B1157" t="s">
        <v>1514</v>
      </c>
      <c r="C1157">
        <v>1</v>
      </c>
    </row>
    <row r="1158" spans="1:3" x14ac:dyDescent="0.35">
      <c r="A1158">
        <v>1746</v>
      </c>
      <c r="B1158" t="s">
        <v>1514</v>
      </c>
      <c r="C1158">
        <v>1</v>
      </c>
    </row>
    <row r="1159" spans="1:3" x14ac:dyDescent="0.35">
      <c r="A1159">
        <v>1747</v>
      </c>
      <c r="B1159" t="s">
        <v>1514</v>
      </c>
      <c r="C1159">
        <v>1</v>
      </c>
    </row>
    <row r="1160" spans="1:3" x14ac:dyDescent="0.35">
      <c r="A1160">
        <v>1748</v>
      </c>
      <c r="B1160" t="s">
        <v>1514</v>
      </c>
      <c r="C1160">
        <v>1</v>
      </c>
    </row>
    <row r="1161" spans="1:3" x14ac:dyDescent="0.35">
      <c r="A1161">
        <v>1749</v>
      </c>
      <c r="B1161" t="s">
        <v>1514</v>
      </c>
      <c r="C1161">
        <v>1</v>
      </c>
    </row>
    <row r="1162" spans="1:3" x14ac:dyDescent="0.35">
      <c r="A1162">
        <v>1750</v>
      </c>
      <c r="B1162" t="s">
        <v>1514</v>
      </c>
      <c r="C1162">
        <v>1</v>
      </c>
    </row>
    <row r="1163" spans="1:3" x14ac:dyDescent="0.35">
      <c r="A1163">
        <v>1751</v>
      </c>
      <c r="B1163" t="s">
        <v>1514</v>
      </c>
      <c r="C1163">
        <v>1</v>
      </c>
    </row>
    <row r="1164" spans="1:3" x14ac:dyDescent="0.35">
      <c r="A1164">
        <v>1752</v>
      </c>
      <c r="B1164" t="s">
        <v>1514</v>
      </c>
      <c r="C1164">
        <v>1</v>
      </c>
    </row>
    <row r="1165" spans="1:3" x14ac:dyDescent="0.35">
      <c r="A1165">
        <v>1753</v>
      </c>
      <c r="B1165" t="s">
        <v>1514</v>
      </c>
      <c r="C1165">
        <v>1</v>
      </c>
    </row>
    <row r="1166" spans="1:3" x14ac:dyDescent="0.35">
      <c r="A1166">
        <v>1754</v>
      </c>
      <c r="B1166" t="s">
        <v>1514</v>
      </c>
      <c r="C1166">
        <v>1</v>
      </c>
    </row>
    <row r="1167" spans="1:3" x14ac:dyDescent="0.35">
      <c r="A1167">
        <v>1755</v>
      </c>
      <c r="B1167" t="s">
        <v>1514</v>
      </c>
      <c r="C1167">
        <v>1</v>
      </c>
    </row>
    <row r="1168" spans="1:3" x14ac:dyDescent="0.35">
      <c r="A1168">
        <v>1756</v>
      </c>
      <c r="B1168" t="s">
        <v>1514</v>
      </c>
      <c r="C1168">
        <v>1</v>
      </c>
    </row>
    <row r="1169" spans="1:3" x14ac:dyDescent="0.35">
      <c r="A1169">
        <v>1757</v>
      </c>
      <c r="B1169" t="s">
        <v>1514</v>
      </c>
      <c r="C1169">
        <v>1</v>
      </c>
    </row>
    <row r="1170" spans="1:3" x14ac:dyDescent="0.35">
      <c r="A1170">
        <v>1758</v>
      </c>
      <c r="B1170" t="s">
        <v>1514</v>
      </c>
      <c r="C1170">
        <v>1</v>
      </c>
    </row>
    <row r="1171" spans="1:3" x14ac:dyDescent="0.35">
      <c r="A1171">
        <v>1759</v>
      </c>
      <c r="B1171" t="s">
        <v>1514</v>
      </c>
      <c r="C1171">
        <v>1</v>
      </c>
    </row>
    <row r="1172" spans="1:3" x14ac:dyDescent="0.35">
      <c r="A1172">
        <v>1760</v>
      </c>
      <c r="B1172" t="s">
        <v>1514</v>
      </c>
      <c r="C1172">
        <v>1</v>
      </c>
    </row>
    <row r="1173" spans="1:3" x14ac:dyDescent="0.35">
      <c r="A1173">
        <v>1761</v>
      </c>
      <c r="B1173" t="s">
        <v>1514</v>
      </c>
      <c r="C1173">
        <v>1</v>
      </c>
    </row>
    <row r="1174" spans="1:3" x14ac:dyDescent="0.35">
      <c r="A1174">
        <v>1762</v>
      </c>
      <c r="B1174" t="s">
        <v>1514</v>
      </c>
      <c r="C1174">
        <v>1</v>
      </c>
    </row>
    <row r="1175" spans="1:3" x14ac:dyDescent="0.35">
      <c r="A1175">
        <v>1763</v>
      </c>
      <c r="B1175" t="s">
        <v>1514</v>
      </c>
      <c r="C1175">
        <v>1</v>
      </c>
    </row>
    <row r="1176" spans="1:3" x14ac:dyDescent="0.35">
      <c r="A1176">
        <v>1764</v>
      </c>
      <c r="B1176" t="s">
        <v>1514</v>
      </c>
      <c r="C1176">
        <v>1</v>
      </c>
    </row>
    <row r="1177" spans="1:3" x14ac:dyDescent="0.35">
      <c r="A1177">
        <v>1765</v>
      </c>
      <c r="B1177" t="s">
        <v>1514</v>
      </c>
      <c r="C1177">
        <v>1</v>
      </c>
    </row>
    <row r="1178" spans="1:3" x14ac:dyDescent="0.35">
      <c r="A1178">
        <v>1766</v>
      </c>
      <c r="B1178" t="s">
        <v>1514</v>
      </c>
      <c r="C1178">
        <v>1</v>
      </c>
    </row>
    <row r="1179" spans="1:3" x14ac:dyDescent="0.35">
      <c r="A1179">
        <v>1767</v>
      </c>
      <c r="B1179" t="s">
        <v>1514</v>
      </c>
      <c r="C1179">
        <v>1</v>
      </c>
    </row>
    <row r="1180" spans="1:3" x14ac:dyDescent="0.35">
      <c r="A1180">
        <v>1768</v>
      </c>
      <c r="B1180" t="s">
        <v>1514</v>
      </c>
      <c r="C1180">
        <v>1</v>
      </c>
    </row>
    <row r="1181" spans="1:3" x14ac:dyDescent="0.35">
      <c r="A1181">
        <v>1769</v>
      </c>
      <c r="B1181" t="s">
        <v>1514</v>
      </c>
      <c r="C1181">
        <v>1</v>
      </c>
    </row>
    <row r="1182" spans="1:3" x14ac:dyDescent="0.35">
      <c r="A1182">
        <v>1770</v>
      </c>
      <c r="B1182" t="s">
        <v>1514</v>
      </c>
      <c r="C1182">
        <v>1</v>
      </c>
    </row>
    <row r="1183" spans="1:3" x14ac:dyDescent="0.35">
      <c r="A1183">
        <v>1771</v>
      </c>
      <c r="B1183" t="s">
        <v>1514</v>
      </c>
      <c r="C1183">
        <v>1</v>
      </c>
    </row>
    <row r="1184" spans="1:3" x14ac:dyDescent="0.35">
      <c r="A1184">
        <v>1772</v>
      </c>
      <c r="B1184" t="s">
        <v>1514</v>
      </c>
      <c r="C1184">
        <v>1</v>
      </c>
    </row>
    <row r="1185" spans="1:3" x14ac:dyDescent="0.35">
      <c r="A1185">
        <v>1773</v>
      </c>
      <c r="B1185" t="s">
        <v>1514</v>
      </c>
      <c r="C1185">
        <v>1</v>
      </c>
    </row>
    <row r="1186" spans="1:3" x14ac:dyDescent="0.35">
      <c r="A1186">
        <v>1774</v>
      </c>
      <c r="B1186" t="s">
        <v>1514</v>
      </c>
      <c r="C1186">
        <v>1</v>
      </c>
    </row>
    <row r="1187" spans="1:3" x14ac:dyDescent="0.35">
      <c r="A1187">
        <v>1775</v>
      </c>
      <c r="B1187" t="s">
        <v>1514</v>
      </c>
      <c r="C1187">
        <v>1</v>
      </c>
    </row>
    <row r="1188" spans="1:3" x14ac:dyDescent="0.35">
      <c r="A1188">
        <v>1776</v>
      </c>
      <c r="B1188" t="s">
        <v>1514</v>
      </c>
      <c r="C1188">
        <v>1</v>
      </c>
    </row>
    <row r="1189" spans="1:3" x14ac:dyDescent="0.35">
      <c r="A1189">
        <v>1777</v>
      </c>
      <c r="B1189" t="s">
        <v>1514</v>
      </c>
      <c r="C1189">
        <v>1</v>
      </c>
    </row>
    <row r="1190" spans="1:3" x14ac:dyDescent="0.35">
      <c r="A1190">
        <v>1778</v>
      </c>
      <c r="B1190" t="s">
        <v>1514</v>
      </c>
      <c r="C1190">
        <v>1</v>
      </c>
    </row>
    <row r="1191" spans="1:3" x14ac:dyDescent="0.35">
      <c r="A1191">
        <v>1779</v>
      </c>
      <c r="B1191" t="s">
        <v>1514</v>
      </c>
      <c r="C1191">
        <v>1</v>
      </c>
    </row>
    <row r="1192" spans="1:3" x14ac:dyDescent="0.35">
      <c r="A1192">
        <v>1780</v>
      </c>
      <c r="B1192" t="s">
        <v>1514</v>
      </c>
      <c r="C1192">
        <v>1</v>
      </c>
    </row>
    <row r="1193" spans="1:3" x14ac:dyDescent="0.35">
      <c r="A1193">
        <v>1781</v>
      </c>
      <c r="B1193" t="s">
        <v>1514</v>
      </c>
      <c r="C1193">
        <v>1</v>
      </c>
    </row>
    <row r="1194" spans="1:3" x14ac:dyDescent="0.35">
      <c r="A1194">
        <v>1782</v>
      </c>
      <c r="B1194" t="s">
        <v>1514</v>
      </c>
      <c r="C1194">
        <v>1</v>
      </c>
    </row>
    <row r="1195" spans="1:3" x14ac:dyDescent="0.35">
      <c r="A1195">
        <v>1783</v>
      </c>
      <c r="B1195" t="s">
        <v>1514</v>
      </c>
      <c r="C1195">
        <v>1</v>
      </c>
    </row>
    <row r="1196" spans="1:3" x14ac:dyDescent="0.35">
      <c r="A1196">
        <v>1784</v>
      </c>
      <c r="B1196" t="s">
        <v>1514</v>
      </c>
      <c r="C1196">
        <v>1</v>
      </c>
    </row>
    <row r="1197" spans="1:3" x14ac:dyDescent="0.35">
      <c r="A1197">
        <v>1785</v>
      </c>
      <c r="B1197" t="s">
        <v>1514</v>
      </c>
      <c r="C1197">
        <v>1</v>
      </c>
    </row>
    <row r="1198" spans="1:3" x14ac:dyDescent="0.35">
      <c r="A1198">
        <v>1786</v>
      </c>
      <c r="B1198" t="s">
        <v>1514</v>
      </c>
      <c r="C1198">
        <v>1</v>
      </c>
    </row>
    <row r="1199" spans="1:3" x14ac:dyDescent="0.35">
      <c r="A1199">
        <v>1787</v>
      </c>
      <c r="B1199" t="s">
        <v>1514</v>
      </c>
      <c r="C1199">
        <v>1</v>
      </c>
    </row>
    <row r="1200" spans="1:3" x14ac:dyDescent="0.35">
      <c r="A1200">
        <v>1788</v>
      </c>
      <c r="B1200" t="s">
        <v>1514</v>
      </c>
      <c r="C1200">
        <v>1</v>
      </c>
    </row>
    <row r="1201" spans="1:3" x14ac:dyDescent="0.35">
      <c r="A1201">
        <v>1789</v>
      </c>
      <c r="B1201" t="s">
        <v>1514</v>
      </c>
      <c r="C1201">
        <v>1</v>
      </c>
    </row>
    <row r="1202" spans="1:3" x14ac:dyDescent="0.35">
      <c r="A1202">
        <v>1790</v>
      </c>
      <c r="B1202" t="s">
        <v>1514</v>
      </c>
      <c r="C1202">
        <v>1</v>
      </c>
    </row>
    <row r="1203" spans="1:3" x14ac:dyDescent="0.35">
      <c r="A1203">
        <v>1791</v>
      </c>
      <c r="B1203" t="s">
        <v>1514</v>
      </c>
      <c r="C1203">
        <v>1</v>
      </c>
    </row>
    <row r="1204" spans="1:3" x14ac:dyDescent="0.35">
      <c r="A1204">
        <v>1792</v>
      </c>
      <c r="B1204" t="s">
        <v>1514</v>
      </c>
      <c r="C1204">
        <v>1</v>
      </c>
    </row>
    <row r="1205" spans="1:3" x14ac:dyDescent="0.35">
      <c r="A1205">
        <v>1793</v>
      </c>
      <c r="B1205" t="s">
        <v>1514</v>
      </c>
      <c r="C1205">
        <v>1</v>
      </c>
    </row>
    <row r="1206" spans="1:3" x14ac:dyDescent="0.35">
      <c r="A1206">
        <v>1794</v>
      </c>
      <c r="B1206" t="s">
        <v>1514</v>
      </c>
      <c r="C1206">
        <v>1</v>
      </c>
    </row>
    <row r="1207" spans="1:3" x14ac:dyDescent="0.35">
      <c r="A1207">
        <v>1795</v>
      </c>
      <c r="B1207" t="s">
        <v>1514</v>
      </c>
      <c r="C1207">
        <v>1</v>
      </c>
    </row>
    <row r="1208" spans="1:3" x14ac:dyDescent="0.35">
      <c r="A1208">
        <v>1796</v>
      </c>
      <c r="B1208" t="s">
        <v>1514</v>
      </c>
      <c r="C1208">
        <v>1</v>
      </c>
    </row>
    <row r="1209" spans="1:3" x14ac:dyDescent="0.35">
      <c r="A1209">
        <v>1797</v>
      </c>
      <c r="B1209" t="s">
        <v>1514</v>
      </c>
      <c r="C1209">
        <v>1</v>
      </c>
    </row>
    <row r="1210" spans="1:3" x14ac:dyDescent="0.35">
      <c r="A1210">
        <v>1798</v>
      </c>
      <c r="B1210" t="s">
        <v>1514</v>
      </c>
      <c r="C1210">
        <v>1</v>
      </c>
    </row>
    <row r="1211" spans="1:3" x14ac:dyDescent="0.35">
      <c r="A1211">
        <v>1799</v>
      </c>
      <c r="B1211" t="s">
        <v>1514</v>
      </c>
      <c r="C1211">
        <v>1</v>
      </c>
    </row>
    <row r="1212" spans="1:3" x14ac:dyDescent="0.35">
      <c r="A1212">
        <v>1800</v>
      </c>
      <c r="B1212" t="s">
        <v>1514</v>
      </c>
      <c r="C1212">
        <v>1</v>
      </c>
    </row>
    <row r="1213" spans="1:3" x14ac:dyDescent="0.35">
      <c r="A1213">
        <v>1801</v>
      </c>
      <c r="B1213" t="s">
        <v>1514</v>
      </c>
      <c r="C1213">
        <v>1</v>
      </c>
    </row>
    <row r="1214" spans="1:3" x14ac:dyDescent="0.35">
      <c r="A1214">
        <v>1802</v>
      </c>
      <c r="B1214" t="s">
        <v>1514</v>
      </c>
      <c r="C1214">
        <v>1</v>
      </c>
    </row>
    <row r="1215" spans="1:3" x14ac:dyDescent="0.35">
      <c r="A1215">
        <v>1803</v>
      </c>
      <c r="B1215" t="s">
        <v>1514</v>
      </c>
      <c r="C1215">
        <v>1</v>
      </c>
    </row>
    <row r="1216" spans="1:3" x14ac:dyDescent="0.35">
      <c r="A1216">
        <v>1804</v>
      </c>
      <c r="B1216" t="s">
        <v>1514</v>
      </c>
      <c r="C1216">
        <v>1</v>
      </c>
    </row>
    <row r="1217" spans="1:3" x14ac:dyDescent="0.35">
      <c r="A1217">
        <v>1805</v>
      </c>
      <c r="B1217" t="s">
        <v>1514</v>
      </c>
      <c r="C1217">
        <v>1</v>
      </c>
    </row>
    <row r="1218" spans="1:3" x14ac:dyDescent="0.35">
      <c r="A1218">
        <v>1806</v>
      </c>
      <c r="B1218" t="s">
        <v>1514</v>
      </c>
      <c r="C1218">
        <v>1</v>
      </c>
    </row>
    <row r="1219" spans="1:3" x14ac:dyDescent="0.35">
      <c r="A1219">
        <v>1807</v>
      </c>
      <c r="B1219" t="s">
        <v>1514</v>
      </c>
      <c r="C1219">
        <v>1</v>
      </c>
    </row>
    <row r="1220" spans="1:3" x14ac:dyDescent="0.35">
      <c r="A1220">
        <v>1808</v>
      </c>
      <c r="B1220" t="s">
        <v>1514</v>
      </c>
      <c r="C1220">
        <v>1</v>
      </c>
    </row>
    <row r="1221" spans="1:3" x14ac:dyDescent="0.35">
      <c r="A1221">
        <v>1809</v>
      </c>
      <c r="B1221" t="s">
        <v>1514</v>
      </c>
      <c r="C1221">
        <v>1</v>
      </c>
    </row>
    <row r="1222" spans="1:3" x14ac:dyDescent="0.35">
      <c r="A1222">
        <v>1810</v>
      </c>
      <c r="B1222" t="s">
        <v>1514</v>
      </c>
      <c r="C1222">
        <v>1</v>
      </c>
    </row>
    <row r="1223" spans="1:3" x14ac:dyDescent="0.35">
      <c r="A1223">
        <v>1811</v>
      </c>
      <c r="B1223" t="s">
        <v>1514</v>
      </c>
      <c r="C1223">
        <v>1</v>
      </c>
    </row>
    <row r="1224" spans="1:3" x14ac:dyDescent="0.35">
      <c r="A1224">
        <v>1812</v>
      </c>
      <c r="B1224" t="s">
        <v>1514</v>
      </c>
      <c r="C1224">
        <v>1</v>
      </c>
    </row>
    <row r="1225" spans="1:3" x14ac:dyDescent="0.35">
      <c r="A1225">
        <v>1813</v>
      </c>
      <c r="B1225" t="s">
        <v>1514</v>
      </c>
      <c r="C1225">
        <v>1</v>
      </c>
    </row>
    <row r="1226" spans="1:3" x14ac:dyDescent="0.35">
      <c r="A1226">
        <v>1814</v>
      </c>
      <c r="B1226" t="s">
        <v>1514</v>
      </c>
      <c r="C1226">
        <v>1</v>
      </c>
    </row>
    <row r="1227" spans="1:3" x14ac:dyDescent="0.35">
      <c r="A1227">
        <v>1815</v>
      </c>
      <c r="B1227" t="s">
        <v>1514</v>
      </c>
      <c r="C1227">
        <v>1</v>
      </c>
    </row>
    <row r="1228" spans="1:3" x14ac:dyDescent="0.35">
      <c r="A1228">
        <v>1816</v>
      </c>
      <c r="B1228" t="s">
        <v>1514</v>
      </c>
      <c r="C1228">
        <v>1</v>
      </c>
    </row>
    <row r="1229" spans="1:3" x14ac:dyDescent="0.35">
      <c r="A1229">
        <v>1817</v>
      </c>
      <c r="B1229" t="s">
        <v>1514</v>
      </c>
      <c r="C1229">
        <v>1</v>
      </c>
    </row>
    <row r="1230" spans="1:3" x14ac:dyDescent="0.35">
      <c r="A1230">
        <v>1818</v>
      </c>
      <c r="B1230" t="s">
        <v>1514</v>
      </c>
      <c r="C1230">
        <v>1</v>
      </c>
    </row>
    <row r="1231" spans="1:3" x14ac:dyDescent="0.35">
      <c r="A1231">
        <v>1819</v>
      </c>
      <c r="B1231" t="s">
        <v>1514</v>
      </c>
      <c r="C1231">
        <v>1</v>
      </c>
    </row>
    <row r="1232" spans="1:3" x14ac:dyDescent="0.35">
      <c r="A1232">
        <v>1820</v>
      </c>
      <c r="B1232" t="s">
        <v>1514</v>
      </c>
      <c r="C1232">
        <v>1</v>
      </c>
    </row>
    <row r="1233" spans="1:3" x14ac:dyDescent="0.35">
      <c r="A1233">
        <v>1821</v>
      </c>
      <c r="B1233" t="s">
        <v>1514</v>
      </c>
      <c r="C1233">
        <v>1</v>
      </c>
    </row>
    <row r="1234" spans="1:3" x14ac:dyDescent="0.35">
      <c r="A1234">
        <v>1822</v>
      </c>
      <c r="B1234" t="s">
        <v>1514</v>
      </c>
      <c r="C1234">
        <v>1</v>
      </c>
    </row>
    <row r="1235" spans="1:3" x14ac:dyDescent="0.35">
      <c r="A1235">
        <v>1823</v>
      </c>
      <c r="B1235" t="s">
        <v>1514</v>
      </c>
      <c r="C1235">
        <v>1</v>
      </c>
    </row>
    <row r="1236" spans="1:3" x14ac:dyDescent="0.35">
      <c r="A1236">
        <v>1824</v>
      </c>
      <c r="B1236" t="s">
        <v>1514</v>
      </c>
      <c r="C1236">
        <v>1</v>
      </c>
    </row>
    <row r="1237" spans="1:3" x14ac:dyDescent="0.35">
      <c r="A1237">
        <v>1825</v>
      </c>
      <c r="B1237" t="s">
        <v>1514</v>
      </c>
      <c r="C1237">
        <v>1</v>
      </c>
    </row>
    <row r="1238" spans="1:3" x14ac:dyDescent="0.35">
      <c r="A1238">
        <v>1826</v>
      </c>
      <c r="B1238" t="s">
        <v>1514</v>
      </c>
      <c r="C1238">
        <v>1</v>
      </c>
    </row>
    <row r="1239" spans="1:3" x14ac:dyDescent="0.35">
      <c r="A1239">
        <v>1827</v>
      </c>
      <c r="B1239" t="s">
        <v>1514</v>
      </c>
      <c r="C1239">
        <v>1</v>
      </c>
    </row>
    <row r="1240" spans="1:3" x14ac:dyDescent="0.35">
      <c r="A1240">
        <v>1828</v>
      </c>
      <c r="B1240" t="s">
        <v>1514</v>
      </c>
      <c r="C1240">
        <v>1</v>
      </c>
    </row>
    <row r="1241" spans="1:3" x14ac:dyDescent="0.35">
      <c r="A1241">
        <v>1829</v>
      </c>
      <c r="B1241" t="s">
        <v>1514</v>
      </c>
      <c r="C1241">
        <v>1</v>
      </c>
    </row>
    <row r="1242" spans="1:3" x14ac:dyDescent="0.35">
      <c r="A1242">
        <v>1830</v>
      </c>
      <c r="B1242" t="s">
        <v>1514</v>
      </c>
      <c r="C1242">
        <v>1</v>
      </c>
    </row>
    <row r="1243" spans="1:3" x14ac:dyDescent="0.35">
      <c r="A1243">
        <v>1831</v>
      </c>
      <c r="B1243" t="s">
        <v>1514</v>
      </c>
      <c r="C1243">
        <v>1</v>
      </c>
    </row>
    <row r="1244" spans="1:3" x14ac:dyDescent="0.35">
      <c r="A1244">
        <v>1832</v>
      </c>
      <c r="B1244" t="s">
        <v>1514</v>
      </c>
      <c r="C1244">
        <v>1</v>
      </c>
    </row>
    <row r="1245" spans="1:3" x14ac:dyDescent="0.35">
      <c r="A1245">
        <v>1833</v>
      </c>
      <c r="B1245" t="s">
        <v>1514</v>
      </c>
      <c r="C1245">
        <v>1</v>
      </c>
    </row>
    <row r="1246" spans="1:3" x14ac:dyDescent="0.35">
      <c r="A1246">
        <v>1834</v>
      </c>
      <c r="B1246" t="s">
        <v>1514</v>
      </c>
      <c r="C1246">
        <v>1</v>
      </c>
    </row>
    <row r="1247" spans="1:3" x14ac:dyDescent="0.35">
      <c r="A1247">
        <v>1835</v>
      </c>
      <c r="B1247" t="s">
        <v>1514</v>
      </c>
      <c r="C1247">
        <v>1</v>
      </c>
    </row>
    <row r="1248" spans="1:3" x14ac:dyDescent="0.35">
      <c r="A1248">
        <v>1836</v>
      </c>
      <c r="B1248" t="s">
        <v>1514</v>
      </c>
      <c r="C1248">
        <v>1</v>
      </c>
    </row>
    <row r="1249" spans="1:3" x14ac:dyDescent="0.35">
      <c r="A1249">
        <v>1837</v>
      </c>
      <c r="B1249" t="s">
        <v>1514</v>
      </c>
      <c r="C1249">
        <v>1</v>
      </c>
    </row>
    <row r="1250" spans="1:3" x14ac:dyDescent="0.35">
      <c r="A1250">
        <v>1838</v>
      </c>
      <c r="B1250" t="s">
        <v>1514</v>
      </c>
      <c r="C1250">
        <v>1</v>
      </c>
    </row>
    <row r="1251" spans="1:3" x14ac:dyDescent="0.35">
      <c r="A1251">
        <v>1839</v>
      </c>
      <c r="B1251" t="s">
        <v>1514</v>
      </c>
      <c r="C1251">
        <v>1</v>
      </c>
    </row>
    <row r="1252" spans="1:3" x14ac:dyDescent="0.35">
      <c r="A1252">
        <v>1840</v>
      </c>
      <c r="B1252" t="s">
        <v>1514</v>
      </c>
      <c r="C1252">
        <v>1</v>
      </c>
    </row>
    <row r="1253" spans="1:3" x14ac:dyDescent="0.35">
      <c r="A1253">
        <v>1841</v>
      </c>
      <c r="B1253" t="s">
        <v>1514</v>
      </c>
      <c r="C1253">
        <v>1</v>
      </c>
    </row>
    <row r="1254" spans="1:3" x14ac:dyDescent="0.35">
      <c r="A1254">
        <v>1842</v>
      </c>
      <c r="B1254" t="s">
        <v>1514</v>
      </c>
      <c r="C1254">
        <v>1</v>
      </c>
    </row>
    <row r="1255" spans="1:3" x14ac:dyDescent="0.35">
      <c r="A1255">
        <v>1843</v>
      </c>
      <c r="B1255" t="s">
        <v>1514</v>
      </c>
      <c r="C1255">
        <v>1</v>
      </c>
    </row>
    <row r="1256" spans="1:3" x14ac:dyDescent="0.35">
      <c r="A1256">
        <v>1844</v>
      </c>
      <c r="B1256" t="s">
        <v>1514</v>
      </c>
      <c r="C1256">
        <v>1</v>
      </c>
    </row>
    <row r="1257" spans="1:3" x14ac:dyDescent="0.35">
      <c r="A1257">
        <v>1845</v>
      </c>
      <c r="B1257" t="s">
        <v>1514</v>
      </c>
      <c r="C1257">
        <v>1</v>
      </c>
    </row>
    <row r="1258" spans="1:3" x14ac:dyDescent="0.35">
      <c r="A1258">
        <v>1846</v>
      </c>
      <c r="B1258" t="s">
        <v>1514</v>
      </c>
      <c r="C1258">
        <v>1</v>
      </c>
    </row>
    <row r="1259" spans="1:3" x14ac:dyDescent="0.35">
      <c r="A1259">
        <v>1847</v>
      </c>
      <c r="B1259" t="s">
        <v>1514</v>
      </c>
      <c r="C1259">
        <v>1</v>
      </c>
    </row>
    <row r="1260" spans="1:3" x14ac:dyDescent="0.35">
      <c r="A1260">
        <v>1848</v>
      </c>
      <c r="B1260" t="s">
        <v>1514</v>
      </c>
      <c r="C1260">
        <v>1</v>
      </c>
    </row>
    <row r="1261" spans="1:3" x14ac:dyDescent="0.35">
      <c r="A1261">
        <v>1849</v>
      </c>
      <c r="B1261" t="s">
        <v>1514</v>
      </c>
      <c r="C1261">
        <v>1</v>
      </c>
    </row>
    <row r="1262" spans="1:3" x14ac:dyDescent="0.35">
      <c r="A1262">
        <v>1850</v>
      </c>
      <c r="B1262" t="s">
        <v>1514</v>
      </c>
      <c r="C1262">
        <v>1</v>
      </c>
    </row>
    <row r="1263" spans="1:3" x14ac:dyDescent="0.35">
      <c r="A1263">
        <v>1851</v>
      </c>
      <c r="B1263" t="s">
        <v>1514</v>
      </c>
      <c r="C1263">
        <v>1</v>
      </c>
    </row>
    <row r="1264" spans="1:3" x14ac:dyDescent="0.35">
      <c r="A1264">
        <v>1852</v>
      </c>
      <c r="B1264" t="s">
        <v>1514</v>
      </c>
      <c r="C1264">
        <v>1</v>
      </c>
    </row>
    <row r="1265" spans="1:3" x14ac:dyDescent="0.35">
      <c r="A1265">
        <v>1853</v>
      </c>
      <c r="B1265" t="s">
        <v>1514</v>
      </c>
      <c r="C1265">
        <v>1</v>
      </c>
    </row>
    <row r="1266" spans="1:3" x14ac:dyDescent="0.35">
      <c r="A1266">
        <v>1854</v>
      </c>
      <c r="B1266" t="s">
        <v>1514</v>
      </c>
      <c r="C1266">
        <v>1</v>
      </c>
    </row>
    <row r="1267" spans="1:3" x14ac:dyDescent="0.35">
      <c r="A1267">
        <v>1855</v>
      </c>
      <c r="B1267" t="s">
        <v>1514</v>
      </c>
      <c r="C1267">
        <v>1</v>
      </c>
    </row>
    <row r="1268" spans="1:3" x14ac:dyDescent="0.35">
      <c r="A1268">
        <v>1856</v>
      </c>
      <c r="B1268" t="s">
        <v>1514</v>
      </c>
      <c r="C1268">
        <v>1</v>
      </c>
    </row>
    <row r="1269" spans="1:3" x14ac:dyDescent="0.35">
      <c r="A1269">
        <v>1857</v>
      </c>
      <c r="B1269" t="s">
        <v>1514</v>
      </c>
      <c r="C1269">
        <v>1</v>
      </c>
    </row>
    <row r="1270" spans="1:3" x14ac:dyDescent="0.35">
      <c r="A1270">
        <v>1858</v>
      </c>
      <c r="B1270" t="s">
        <v>1514</v>
      </c>
      <c r="C1270">
        <v>1</v>
      </c>
    </row>
    <row r="1271" spans="1:3" x14ac:dyDescent="0.35">
      <c r="A1271">
        <v>1859</v>
      </c>
      <c r="B1271" t="s">
        <v>1514</v>
      </c>
      <c r="C1271">
        <v>1</v>
      </c>
    </row>
    <row r="1272" spans="1:3" x14ac:dyDescent="0.35">
      <c r="A1272">
        <v>1860</v>
      </c>
      <c r="B1272" t="s">
        <v>1514</v>
      </c>
      <c r="C1272">
        <v>1</v>
      </c>
    </row>
    <row r="1273" spans="1:3" x14ac:dyDescent="0.35">
      <c r="A1273">
        <v>1861</v>
      </c>
      <c r="B1273" t="s">
        <v>1514</v>
      </c>
      <c r="C1273">
        <v>1</v>
      </c>
    </row>
    <row r="1274" spans="1:3" x14ac:dyDescent="0.35">
      <c r="A1274">
        <v>1862</v>
      </c>
      <c r="B1274" t="s">
        <v>1514</v>
      </c>
      <c r="C1274">
        <v>1</v>
      </c>
    </row>
    <row r="1275" spans="1:3" x14ac:dyDescent="0.35">
      <c r="A1275">
        <v>1863</v>
      </c>
      <c r="B1275" t="s">
        <v>1514</v>
      </c>
      <c r="C1275">
        <v>1</v>
      </c>
    </row>
    <row r="1276" spans="1:3" x14ac:dyDescent="0.35">
      <c r="A1276">
        <v>1864</v>
      </c>
      <c r="B1276" t="s">
        <v>1514</v>
      </c>
      <c r="C1276">
        <v>1</v>
      </c>
    </row>
    <row r="1277" spans="1:3" x14ac:dyDescent="0.35">
      <c r="A1277">
        <v>1865</v>
      </c>
      <c r="B1277" t="s">
        <v>1514</v>
      </c>
      <c r="C1277">
        <v>1</v>
      </c>
    </row>
    <row r="1278" spans="1:3" x14ac:dyDescent="0.35">
      <c r="A1278">
        <v>1866</v>
      </c>
      <c r="B1278" t="s">
        <v>1514</v>
      </c>
      <c r="C1278">
        <v>1</v>
      </c>
    </row>
    <row r="1279" spans="1:3" x14ac:dyDescent="0.35">
      <c r="A1279">
        <v>1867</v>
      </c>
      <c r="B1279" t="s">
        <v>1514</v>
      </c>
      <c r="C1279">
        <v>1</v>
      </c>
    </row>
    <row r="1280" spans="1:3" x14ac:dyDescent="0.35">
      <c r="A1280">
        <v>1868</v>
      </c>
      <c r="B1280" t="s">
        <v>1514</v>
      </c>
      <c r="C1280">
        <v>1</v>
      </c>
    </row>
    <row r="1281" spans="1:3" x14ac:dyDescent="0.35">
      <c r="A1281">
        <v>1869</v>
      </c>
      <c r="B1281" t="s">
        <v>1514</v>
      </c>
      <c r="C1281">
        <v>1</v>
      </c>
    </row>
    <row r="1282" spans="1:3" x14ac:dyDescent="0.35">
      <c r="A1282">
        <v>1870</v>
      </c>
      <c r="B1282" t="s">
        <v>1514</v>
      </c>
      <c r="C1282">
        <v>1</v>
      </c>
    </row>
    <row r="1283" spans="1:3" x14ac:dyDescent="0.35">
      <c r="A1283">
        <v>1871</v>
      </c>
      <c r="B1283" t="s">
        <v>1514</v>
      </c>
      <c r="C1283">
        <v>1</v>
      </c>
    </row>
    <row r="1284" spans="1:3" x14ac:dyDescent="0.35">
      <c r="A1284">
        <v>1872</v>
      </c>
      <c r="B1284" t="s">
        <v>1514</v>
      </c>
      <c r="C1284">
        <v>1</v>
      </c>
    </row>
    <row r="1285" spans="1:3" x14ac:dyDescent="0.35">
      <c r="A1285">
        <v>1873</v>
      </c>
      <c r="B1285" t="s">
        <v>1514</v>
      </c>
      <c r="C1285">
        <v>1</v>
      </c>
    </row>
    <row r="1286" spans="1:3" x14ac:dyDescent="0.35">
      <c r="A1286">
        <v>1874</v>
      </c>
      <c r="B1286" t="s">
        <v>1514</v>
      </c>
      <c r="C1286">
        <v>1</v>
      </c>
    </row>
    <row r="1287" spans="1:3" x14ac:dyDescent="0.35">
      <c r="A1287">
        <v>1875</v>
      </c>
      <c r="B1287" t="s">
        <v>1514</v>
      </c>
      <c r="C1287">
        <v>1</v>
      </c>
    </row>
    <row r="1288" spans="1:3" x14ac:dyDescent="0.35">
      <c r="A1288">
        <v>1876</v>
      </c>
      <c r="B1288" t="s">
        <v>1514</v>
      </c>
      <c r="C1288">
        <v>1</v>
      </c>
    </row>
    <row r="1289" spans="1:3" x14ac:dyDescent="0.35">
      <c r="A1289">
        <v>1877</v>
      </c>
      <c r="B1289" t="s">
        <v>1514</v>
      </c>
      <c r="C1289">
        <v>1</v>
      </c>
    </row>
    <row r="1290" spans="1:3" x14ac:dyDescent="0.35">
      <c r="A1290">
        <v>1878</v>
      </c>
      <c r="B1290" t="s">
        <v>1514</v>
      </c>
      <c r="C1290">
        <v>1</v>
      </c>
    </row>
    <row r="1291" spans="1:3" x14ac:dyDescent="0.35">
      <c r="A1291">
        <v>1879</v>
      </c>
      <c r="B1291" t="s">
        <v>1514</v>
      </c>
      <c r="C1291">
        <v>1</v>
      </c>
    </row>
    <row r="1292" spans="1:3" x14ac:dyDescent="0.35">
      <c r="A1292">
        <v>1880</v>
      </c>
      <c r="B1292" t="s">
        <v>1514</v>
      </c>
      <c r="C1292">
        <v>1</v>
      </c>
    </row>
    <row r="1293" spans="1:3" x14ac:dyDescent="0.35">
      <c r="A1293">
        <v>1881</v>
      </c>
      <c r="B1293" t="s">
        <v>1514</v>
      </c>
      <c r="C1293">
        <v>1</v>
      </c>
    </row>
    <row r="1294" spans="1:3" x14ac:dyDescent="0.35">
      <c r="A1294">
        <v>1882</v>
      </c>
      <c r="B1294" t="s">
        <v>1514</v>
      </c>
      <c r="C1294">
        <v>1</v>
      </c>
    </row>
    <row r="1295" spans="1:3" x14ac:dyDescent="0.35">
      <c r="A1295">
        <v>1883</v>
      </c>
      <c r="B1295" t="s">
        <v>1514</v>
      </c>
      <c r="C1295">
        <v>1</v>
      </c>
    </row>
    <row r="1296" spans="1:3" x14ac:dyDescent="0.35">
      <c r="A1296">
        <v>1884</v>
      </c>
      <c r="B1296" t="s">
        <v>1514</v>
      </c>
      <c r="C1296">
        <v>1</v>
      </c>
    </row>
    <row r="1297" spans="1:3" x14ac:dyDescent="0.35">
      <c r="A1297">
        <v>1885</v>
      </c>
      <c r="B1297" t="s">
        <v>1514</v>
      </c>
      <c r="C1297">
        <v>1</v>
      </c>
    </row>
    <row r="1298" spans="1:3" x14ac:dyDescent="0.35">
      <c r="A1298">
        <v>1886</v>
      </c>
      <c r="B1298" t="s">
        <v>1514</v>
      </c>
      <c r="C1298">
        <v>1</v>
      </c>
    </row>
    <row r="1299" spans="1:3" x14ac:dyDescent="0.35">
      <c r="A1299">
        <v>1887</v>
      </c>
      <c r="B1299" t="s">
        <v>1514</v>
      </c>
      <c r="C1299">
        <v>1</v>
      </c>
    </row>
    <row r="1300" spans="1:3" x14ac:dyDescent="0.35">
      <c r="A1300">
        <v>1888</v>
      </c>
      <c r="B1300" t="s">
        <v>1514</v>
      </c>
      <c r="C1300">
        <v>1</v>
      </c>
    </row>
    <row r="1301" spans="1:3" x14ac:dyDescent="0.35">
      <c r="A1301">
        <v>1889</v>
      </c>
      <c r="B1301" t="s">
        <v>1514</v>
      </c>
      <c r="C1301">
        <v>1</v>
      </c>
    </row>
    <row r="1302" spans="1:3" x14ac:dyDescent="0.35">
      <c r="A1302">
        <v>1890</v>
      </c>
      <c r="B1302" t="s">
        <v>1514</v>
      </c>
      <c r="C1302">
        <v>1</v>
      </c>
    </row>
    <row r="1303" spans="1:3" x14ac:dyDescent="0.35">
      <c r="A1303">
        <v>29</v>
      </c>
      <c r="B1303" t="s">
        <v>1515</v>
      </c>
      <c r="C1303">
        <v>3</v>
      </c>
    </row>
    <row r="1304" spans="1:3" x14ac:dyDescent="0.35">
      <c r="A1304">
        <v>31</v>
      </c>
      <c r="B1304" t="s">
        <v>1515</v>
      </c>
      <c r="C1304">
        <v>3</v>
      </c>
    </row>
    <row r="1305" spans="1:3" x14ac:dyDescent="0.35">
      <c r="A1305">
        <v>538</v>
      </c>
      <c r="B1305" t="s">
        <v>1515</v>
      </c>
      <c r="C1305">
        <v>3</v>
      </c>
    </row>
    <row r="1306" spans="1:3" x14ac:dyDescent="0.35">
      <c r="A1306">
        <v>539</v>
      </c>
      <c r="B1306" t="s">
        <v>1515</v>
      </c>
      <c r="C1306">
        <v>3</v>
      </c>
    </row>
    <row r="1307" spans="1:3" x14ac:dyDescent="0.35">
      <c r="A1307">
        <v>540</v>
      </c>
      <c r="B1307" t="s">
        <v>1515</v>
      </c>
      <c r="C1307">
        <v>3</v>
      </c>
    </row>
    <row r="1308" spans="1:3" x14ac:dyDescent="0.35">
      <c r="A1308">
        <v>541</v>
      </c>
      <c r="B1308" t="s">
        <v>1515</v>
      </c>
      <c r="C1308">
        <v>3</v>
      </c>
    </row>
    <row r="1309" spans="1:3" x14ac:dyDescent="0.35">
      <c r="A1309">
        <v>542</v>
      </c>
      <c r="B1309" t="s">
        <v>1515</v>
      </c>
      <c r="C1309">
        <v>3</v>
      </c>
    </row>
    <row r="1310" spans="1:3" x14ac:dyDescent="0.35">
      <c r="A1310">
        <v>543</v>
      </c>
      <c r="B1310" t="s">
        <v>1515</v>
      </c>
      <c r="C1310">
        <v>3</v>
      </c>
    </row>
    <row r="1311" spans="1:3" x14ac:dyDescent="0.35">
      <c r="A1311">
        <v>544</v>
      </c>
      <c r="B1311" t="s">
        <v>1515</v>
      </c>
      <c r="C1311">
        <v>3</v>
      </c>
    </row>
    <row r="1312" spans="1:3" x14ac:dyDescent="0.35">
      <c r="A1312">
        <v>545</v>
      </c>
      <c r="B1312" t="s">
        <v>1515</v>
      </c>
      <c r="C1312">
        <v>3</v>
      </c>
    </row>
    <row r="1313" spans="1:3" x14ac:dyDescent="0.35">
      <c r="A1313">
        <v>546</v>
      </c>
      <c r="B1313" t="s">
        <v>1515</v>
      </c>
      <c r="C1313">
        <v>3</v>
      </c>
    </row>
    <row r="1314" spans="1:3" x14ac:dyDescent="0.35">
      <c r="A1314">
        <v>547</v>
      </c>
      <c r="B1314" t="s">
        <v>1515</v>
      </c>
      <c r="C1314">
        <v>3</v>
      </c>
    </row>
    <row r="1315" spans="1:3" x14ac:dyDescent="0.35">
      <c r="A1315">
        <v>548</v>
      </c>
      <c r="B1315" t="s">
        <v>1515</v>
      </c>
      <c r="C1315">
        <v>3</v>
      </c>
    </row>
    <row r="1316" spans="1:3" x14ac:dyDescent="0.35">
      <c r="A1316">
        <v>549</v>
      </c>
      <c r="B1316" t="s">
        <v>1515</v>
      </c>
      <c r="C1316">
        <v>3</v>
      </c>
    </row>
    <row r="1317" spans="1:3" x14ac:dyDescent="0.35">
      <c r="A1317">
        <v>550</v>
      </c>
      <c r="B1317" t="s">
        <v>1515</v>
      </c>
      <c r="C1317">
        <v>3</v>
      </c>
    </row>
    <row r="1318" spans="1:3" x14ac:dyDescent="0.35">
      <c r="A1318">
        <v>551</v>
      </c>
      <c r="B1318" t="s">
        <v>1515</v>
      </c>
      <c r="C1318">
        <v>3</v>
      </c>
    </row>
    <row r="1319" spans="1:3" x14ac:dyDescent="0.35">
      <c r="A1319">
        <v>552</v>
      </c>
      <c r="B1319" t="s">
        <v>1515</v>
      </c>
      <c r="C1319">
        <v>3</v>
      </c>
    </row>
    <row r="1320" spans="1:3" x14ac:dyDescent="0.35">
      <c r="A1320">
        <v>553</v>
      </c>
      <c r="B1320" t="s">
        <v>1515</v>
      </c>
      <c r="C1320">
        <v>3</v>
      </c>
    </row>
    <row r="1321" spans="1:3" x14ac:dyDescent="0.35">
      <c r="A1321">
        <v>554</v>
      </c>
      <c r="B1321" t="s">
        <v>1515</v>
      </c>
      <c r="C1321">
        <v>3</v>
      </c>
    </row>
    <row r="1322" spans="1:3" x14ac:dyDescent="0.35">
      <c r="A1322">
        <v>555</v>
      </c>
      <c r="B1322" t="s">
        <v>1515</v>
      </c>
      <c r="C1322">
        <v>3</v>
      </c>
    </row>
    <row r="1323" spans="1:3" x14ac:dyDescent="0.35">
      <c r="A1323">
        <v>556</v>
      </c>
      <c r="B1323" t="s">
        <v>1515</v>
      </c>
      <c r="C1323">
        <v>3</v>
      </c>
    </row>
    <row r="1324" spans="1:3" x14ac:dyDescent="0.35">
      <c r="A1324">
        <v>557</v>
      </c>
      <c r="B1324" t="s">
        <v>1515</v>
      </c>
      <c r="C1324">
        <v>3</v>
      </c>
    </row>
    <row r="1325" spans="1:3" x14ac:dyDescent="0.35">
      <c r="A1325">
        <v>558</v>
      </c>
      <c r="B1325" t="s">
        <v>1515</v>
      </c>
      <c r="C1325">
        <v>3</v>
      </c>
    </row>
    <row r="1326" spans="1:3" x14ac:dyDescent="0.35">
      <c r="A1326">
        <v>559</v>
      </c>
      <c r="B1326" t="s">
        <v>1515</v>
      </c>
      <c r="C1326">
        <v>3</v>
      </c>
    </row>
    <row r="1327" spans="1:3" x14ac:dyDescent="0.35">
      <c r="A1327">
        <v>560</v>
      </c>
      <c r="B1327" t="s">
        <v>1515</v>
      </c>
      <c r="C1327">
        <v>3</v>
      </c>
    </row>
    <row r="1328" spans="1:3" x14ac:dyDescent="0.35">
      <c r="A1328">
        <v>561</v>
      </c>
      <c r="B1328" t="s">
        <v>1515</v>
      </c>
      <c r="C1328">
        <v>3</v>
      </c>
    </row>
    <row r="1329" spans="1:3" x14ac:dyDescent="0.35">
      <c r="A1329">
        <v>562</v>
      </c>
      <c r="B1329" t="s">
        <v>1515</v>
      </c>
      <c r="C1329">
        <v>3</v>
      </c>
    </row>
    <row r="1330" spans="1:3" x14ac:dyDescent="0.35">
      <c r="A1330">
        <v>563</v>
      </c>
      <c r="B1330" t="s">
        <v>1515</v>
      </c>
      <c r="C1330">
        <v>3</v>
      </c>
    </row>
    <row r="1331" spans="1:3" x14ac:dyDescent="0.35">
      <c r="A1331">
        <v>564</v>
      </c>
      <c r="B1331" t="s">
        <v>1515</v>
      </c>
      <c r="C1331">
        <v>3</v>
      </c>
    </row>
    <row r="1332" spans="1:3" x14ac:dyDescent="0.35">
      <c r="A1332">
        <v>567</v>
      </c>
      <c r="B1332" t="s">
        <v>1515</v>
      </c>
      <c r="C1332">
        <v>3</v>
      </c>
    </row>
    <row r="1333" spans="1:3" x14ac:dyDescent="0.35">
      <c r="A1333">
        <v>568</v>
      </c>
      <c r="B1333" t="s">
        <v>1515</v>
      </c>
      <c r="C1333">
        <v>3</v>
      </c>
    </row>
    <row r="1334" spans="1:3" x14ac:dyDescent="0.35">
      <c r="A1334">
        <v>569</v>
      </c>
      <c r="B1334" t="s">
        <v>1515</v>
      </c>
      <c r="C1334">
        <v>3</v>
      </c>
    </row>
    <row r="1335" spans="1:3" x14ac:dyDescent="0.35">
      <c r="A1335">
        <v>573</v>
      </c>
      <c r="B1335" t="s">
        <v>1515</v>
      </c>
      <c r="C1335">
        <v>3</v>
      </c>
    </row>
    <row r="1336" spans="1:3" x14ac:dyDescent="0.35">
      <c r="A1336">
        <v>575</v>
      </c>
      <c r="B1336" t="s">
        <v>1515</v>
      </c>
      <c r="C1336">
        <v>3</v>
      </c>
    </row>
    <row r="1337" spans="1:3" x14ac:dyDescent="0.35">
      <c r="A1337">
        <v>576</v>
      </c>
      <c r="B1337" t="s">
        <v>1515</v>
      </c>
      <c r="C1337">
        <v>3</v>
      </c>
    </row>
    <row r="1338" spans="1:3" x14ac:dyDescent="0.35">
      <c r="A1338">
        <v>577</v>
      </c>
      <c r="B1338" t="s">
        <v>1515</v>
      </c>
      <c r="C1338">
        <v>3</v>
      </c>
    </row>
    <row r="1339" spans="1:3" x14ac:dyDescent="0.35">
      <c r="A1339">
        <v>578</v>
      </c>
      <c r="B1339" t="s">
        <v>1515</v>
      </c>
      <c r="C1339">
        <v>3</v>
      </c>
    </row>
    <row r="1340" spans="1:3" x14ac:dyDescent="0.35">
      <c r="A1340">
        <v>579</v>
      </c>
      <c r="B1340" t="s">
        <v>1515</v>
      </c>
      <c r="C1340">
        <v>3</v>
      </c>
    </row>
    <row r="1341" spans="1:3" x14ac:dyDescent="0.35">
      <c r="A1341">
        <v>580</v>
      </c>
      <c r="B1341" t="s">
        <v>1515</v>
      </c>
      <c r="C1341">
        <v>3</v>
      </c>
    </row>
    <row r="1342" spans="1:3" x14ac:dyDescent="0.35">
      <c r="A1342">
        <v>581</v>
      </c>
      <c r="B1342" t="s">
        <v>1515</v>
      </c>
      <c r="C1342">
        <v>3</v>
      </c>
    </row>
    <row r="1343" spans="1:3" x14ac:dyDescent="0.35">
      <c r="A1343">
        <v>582</v>
      </c>
      <c r="B1343" t="s">
        <v>1515</v>
      </c>
      <c r="C1343">
        <v>3</v>
      </c>
    </row>
    <row r="1344" spans="1:3" x14ac:dyDescent="0.35">
      <c r="A1344">
        <v>583</v>
      </c>
      <c r="B1344" t="s">
        <v>1515</v>
      </c>
      <c r="C1344">
        <v>3</v>
      </c>
    </row>
    <row r="1345" spans="1:3" x14ac:dyDescent="0.35">
      <c r="A1345">
        <v>584</v>
      </c>
      <c r="B1345" t="s">
        <v>1515</v>
      </c>
      <c r="C1345">
        <v>3</v>
      </c>
    </row>
    <row r="1346" spans="1:3" x14ac:dyDescent="0.35">
      <c r="A1346">
        <v>585</v>
      </c>
      <c r="B1346" t="s">
        <v>1515</v>
      </c>
      <c r="C1346">
        <v>3</v>
      </c>
    </row>
    <row r="1347" spans="1:3" x14ac:dyDescent="0.35">
      <c r="A1347">
        <v>586</v>
      </c>
      <c r="B1347" t="s">
        <v>1515</v>
      </c>
      <c r="C1347">
        <v>3</v>
      </c>
    </row>
    <row r="1348" spans="1:3" x14ac:dyDescent="0.35">
      <c r="A1348">
        <v>587</v>
      </c>
      <c r="B1348" t="s">
        <v>1515</v>
      </c>
      <c r="C1348">
        <v>3</v>
      </c>
    </row>
    <row r="1349" spans="1:3" x14ac:dyDescent="0.35">
      <c r="A1349">
        <v>588</v>
      </c>
      <c r="B1349" t="s">
        <v>1515</v>
      </c>
      <c r="C1349">
        <v>3</v>
      </c>
    </row>
    <row r="1350" spans="1:3" x14ac:dyDescent="0.35">
      <c r="A1350">
        <v>589</v>
      </c>
      <c r="B1350" t="s">
        <v>1515</v>
      </c>
      <c r="C1350">
        <v>3</v>
      </c>
    </row>
    <row r="1351" spans="1:3" x14ac:dyDescent="0.35">
      <c r="A1351">
        <v>590</v>
      </c>
      <c r="B1351" t="s">
        <v>1515</v>
      </c>
      <c r="C1351">
        <v>3</v>
      </c>
    </row>
    <row r="1352" spans="1:3" x14ac:dyDescent="0.35">
      <c r="A1352">
        <v>591</v>
      </c>
      <c r="B1352" t="s">
        <v>1515</v>
      </c>
      <c r="C1352">
        <v>3</v>
      </c>
    </row>
    <row r="1353" spans="1:3" x14ac:dyDescent="0.35">
      <c r="A1353">
        <v>593</v>
      </c>
      <c r="B1353" t="s">
        <v>1515</v>
      </c>
      <c r="C1353">
        <v>3</v>
      </c>
    </row>
    <row r="1354" spans="1:3" x14ac:dyDescent="0.35">
      <c r="A1354">
        <v>594</v>
      </c>
      <c r="B1354" t="s">
        <v>1515</v>
      </c>
      <c r="C1354">
        <v>3</v>
      </c>
    </row>
    <row r="1355" spans="1:3" x14ac:dyDescent="0.35">
      <c r="A1355">
        <v>595</v>
      </c>
      <c r="B1355" t="s">
        <v>1515</v>
      </c>
      <c r="C1355">
        <v>3</v>
      </c>
    </row>
    <row r="1356" spans="1:3" x14ac:dyDescent="0.35">
      <c r="A1356">
        <v>596</v>
      </c>
      <c r="B1356" t="s">
        <v>1515</v>
      </c>
      <c r="C1356">
        <v>3</v>
      </c>
    </row>
    <row r="1357" spans="1:3" x14ac:dyDescent="0.35">
      <c r="A1357">
        <v>597</v>
      </c>
      <c r="B1357" t="s">
        <v>1515</v>
      </c>
      <c r="C1357">
        <v>3</v>
      </c>
    </row>
    <row r="1358" spans="1:3" x14ac:dyDescent="0.35">
      <c r="A1358">
        <v>598</v>
      </c>
      <c r="B1358" t="s">
        <v>1515</v>
      </c>
      <c r="C1358">
        <v>3</v>
      </c>
    </row>
    <row r="1359" spans="1:3" x14ac:dyDescent="0.35">
      <c r="A1359">
        <v>599</v>
      </c>
      <c r="B1359" t="s">
        <v>1515</v>
      </c>
      <c r="C1359">
        <v>3</v>
      </c>
    </row>
    <row r="1360" spans="1:3" x14ac:dyDescent="0.35">
      <c r="A1360">
        <v>601</v>
      </c>
      <c r="B1360" t="s">
        <v>1515</v>
      </c>
      <c r="C1360">
        <v>3</v>
      </c>
    </row>
    <row r="1361" spans="1:3" x14ac:dyDescent="0.35">
      <c r="A1361">
        <v>602</v>
      </c>
      <c r="B1361" t="s">
        <v>1515</v>
      </c>
      <c r="C1361">
        <v>3</v>
      </c>
    </row>
    <row r="1362" spans="1:3" x14ac:dyDescent="0.35">
      <c r="A1362">
        <v>603</v>
      </c>
      <c r="B1362" t="s">
        <v>1515</v>
      </c>
      <c r="C1362">
        <v>3</v>
      </c>
    </row>
    <row r="1363" spans="1:3" x14ac:dyDescent="0.35">
      <c r="A1363">
        <v>604</v>
      </c>
      <c r="B1363" t="s">
        <v>1515</v>
      </c>
      <c r="C1363">
        <v>3</v>
      </c>
    </row>
    <row r="1364" spans="1:3" x14ac:dyDescent="0.35">
      <c r="A1364">
        <v>605</v>
      </c>
      <c r="B1364" t="s">
        <v>1515</v>
      </c>
      <c r="C1364">
        <v>3</v>
      </c>
    </row>
    <row r="1365" spans="1:3" x14ac:dyDescent="0.35">
      <c r="A1365">
        <v>606</v>
      </c>
      <c r="B1365" t="s">
        <v>1515</v>
      </c>
      <c r="C1365">
        <v>3</v>
      </c>
    </row>
    <row r="1366" spans="1:3" x14ac:dyDescent="0.35">
      <c r="A1366">
        <v>607</v>
      </c>
      <c r="B1366" t="s">
        <v>1515</v>
      </c>
      <c r="C1366">
        <v>3</v>
      </c>
    </row>
    <row r="1367" spans="1:3" x14ac:dyDescent="0.35">
      <c r="A1367">
        <v>608</v>
      </c>
      <c r="B1367" t="s">
        <v>1515</v>
      </c>
      <c r="C1367">
        <v>3</v>
      </c>
    </row>
    <row r="1368" spans="1:3" x14ac:dyDescent="0.35">
      <c r="A1368">
        <v>609</v>
      </c>
      <c r="B1368" t="s">
        <v>1515</v>
      </c>
      <c r="C1368">
        <v>3</v>
      </c>
    </row>
    <row r="1369" spans="1:3" x14ac:dyDescent="0.35">
      <c r="A1369">
        <v>610</v>
      </c>
      <c r="B1369" t="s">
        <v>1515</v>
      </c>
      <c r="C1369">
        <v>3</v>
      </c>
    </row>
    <row r="1370" spans="1:3" x14ac:dyDescent="0.35">
      <c r="A1370">
        <v>611</v>
      </c>
      <c r="B1370" t="s">
        <v>1515</v>
      </c>
      <c r="C1370">
        <v>3</v>
      </c>
    </row>
    <row r="1371" spans="1:3" x14ac:dyDescent="0.35">
      <c r="A1371">
        <v>612</v>
      </c>
      <c r="B1371" t="s">
        <v>1515</v>
      </c>
      <c r="C1371">
        <v>3</v>
      </c>
    </row>
    <row r="1372" spans="1:3" x14ac:dyDescent="0.35">
      <c r="A1372">
        <v>613</v>
      </c>
      <c r="B1372" t="s">
        <v>1515</v>
      </c>
      <c r="C1372">
        <v>3</v>
      </c>
    </row>
    <row r="1373" spans="1:3" x14ac:dyDescent="0.35">
      <c r="A1373">
        <v>614</v>
      </c>
      <c r="B1373" t="s">
        <v>1515</v>
      </c>
      <c r="C1373">
        <v>3</v>
      </c>
    </row>
    <row r="1374" spans="1:3" x14ac:dyDescent="0.35">
      <c r="A1374">
        <v>615</v>
      </c>
      <c r="B1374" t="s">
        <v>1515</v>
      </c>
      <c r="C1374">
        <v>3</v>
      </c>
    </row>
    <row r="1375" spans="1:3" x14ac:dyDescent="0.35">
      <c r="A1375">
        <v>616</v>
      </c>
      <c r="B1375" t="s">
        <v>1515</v>
      </c>
      <c r="C1375">
        <v>3</v>
      </c>
    </row>
    <row r="1376" spans="1:3" x14ac:dyDescent="0.35">
      <c r="A1376">
        <v>617</v>
      </c>
      <c r="B1376" t="s">
        <v>1515</v>
      </c>
      <c r="C1376">
        <v>3</v>
      </c>
    </row>
    <row r="1377" spans="1:3" x14ac:dyDescent="0.35">
      <c r="A1377">
        <v>618</v>
      </c>
      <c r="B1377" t="s">
        <v>1515</v>
      </c>
      <c r="C1377">
        <v>3</v>
      </c>
    </row>
    <row r="1378" spans="1:3" x14ac:dyDescent="0.35">
      <c r="A1378">
        <v>619</v>
      </c>
      <c r="B1378" t="s">
        <v>1515</v>
      </c>
      <c r="C1378">
        <v>3</v>
      </c>
    </row>
    <row r="1379" spans="1:3" x14ac:dyDescent="0.35">
      <c r="A1379">
        <v>620</v>
      </c>
      <c r="B1379" t="s">
        <v>1515</v>
      </c>
      <c r="C1379">
        <v>3</v>
      </c>
    </row>
    <row r="1380" spans="1:3" x14ac:dyDescent="0.35">
      <c r="A1380">
        <v>621</v>
      </c>
      <c r="B1380" t="s">
        <v>1515</v>
      </c>
      <c r="C1380">
        <v>3</v>
      </c>
    </row>
    <row r="1381" spans="1:3" x14ac:dyDescent="0.35">
      <c r="A1381">
        <v>622</v>
      </c>
      <c r="B1381" t="s">
        <v>1515</v>
      </c>
      <c r="C1381">
        <v>3</v>
      </c>
    </row>
    <row r="1382" spans="1:3" x14ac:dyDescent="0.35">
      <c r="A1382">
        <v>623</v>
      </c>
      <c r="B1382" t="s">
        <v>1515</v>
      </c>
      <c r="C1382">
        <v>3</v>
      </c>
    </row>
    <row r="1383" spans="1:3" x14ac:dyDescent="0.35">
      <c r="A1383">
        <v>624</v>
      </c>
      <c r="B1383" t="s">
        <v>1515</v>
      </c>
      <c r="C1383">
        <v>3</v>
      </c>
    </row>
    <row r="1384" spans="1:3" x14ac:dyDescent="0.35">
      <c r="A1384">
        <v>625</v>
      </c>
      <c r="B1384" t="s">
        <v>1515</v>
      </c>
      <c r="C1384">
        <v>3</v>
      </c>
    </row>
    <row r="1385" spans="1:3" x14ac:dyDescent="0.35">
      <c r="A1385">
        <v>626</v>
      </c>
      <c r="B1385" t="s">
        <v>1515</v>
      </c>
      <c r="C1385">
        <v>3</v>
      </c>
    </row>
    <row r="1386" spans="1:3" x14ac:dyDescent="0.35">
      <c r="A1386">
        <v>628</v>
      </c>
      <c r="B1386" t="s">
        <v>1515</v>
      </c>
      <c r="C1386">
        <v>3</v>
      </c>
    </row>
    <row r="1387" spans="1:3" x14ac:dyDescent="0.35">
      <c r="A1387">
        <v>629</v>
      </c>
      <c r="B1387" t="s">
        <v>1515</v>
      </c>
      <c r="C1387">
        <v>3</v>
      </c>
    </row>
    <row r="1388" spans="1:3" x14ac:dyDescent="0.35">
      <c r="A1388">
        <v>630</v>
      </c>
      <c r="B1388" t="s">
        <v>1515</v>
      </c>
      <c r="C1388">
        <v>3</v>
      </c>
    </row>
    <row r="1389" spans="1:3" x14ac:dyDescent="0.35">
      <c r="A1389">
        <v>631</v>
      </c>
      <c r="B1389" t="s">
        <v>1515</v>
      </c>
      <c r="C1389">
        <v>3</v>
      </c>
    </row>
    <row r="1390" spans="1:3" x14ac:dyDescent="0.35">
      <c r="A1390">
        <v>632</v>
      </c>
      <c r="B1390" t="s">
        <v>1515</v>
      </c>
      <c r="C1390">
        <v>3</v>
      </c>
    </row>
    <row r="1391" spans="1:3" x14ac:dyDescent="0.35">
      <c r="A1391">
        <v>633</v>
      </c>
      <c r="B1391" t="s">
        <v>1515</v>
      </c>
      <c r="C1391">
        <v>3</v>
      </c>
    </row>
    <row r="1392" spans="1:3" x14ac:dyDescent="0.35">
      <c r="A1392">
        <v>634</v>
      </c>
      <c r="B1392" t="s">
        <v>1515</v>
      </c>
      <c r="C1392">
        <v>3</v>
      </c>
    </row>
    <row r="1393" spans="1:3" x14ac:dyDescent="0.35">
      <c r="A1393">
        <v>635</v>
      </c>
      <c r="B1393" t="s">
        <v>1515</v>
      </c>
      <c r="C1393">
        <v>3</v>
      </c>
    </row>
    <row r="1394" spans="1:3" x14ac:dyDescent="0.35">
      <c r="A1394">
        <v>636</v>
      </c>
      <c r="B1394" t="s">
        <v>1515</v>
      </c>
      <c r="C1394">
        <v>3</v>
      </c>
    </row>
    <row r="1395" spans="1:3" x14ac:dyDescent="0.35">
      <c r="A1395">
        <v>637</v>
      </c>
      <c r="B1395" t="s">
        <v>1515</v>
      </c>
      <c r="C1395">
        <v>3</v>
      </c>
    </row>
    <row r="1396" spans="1:3" x14ac:dyDescent="0.35">
      <c r="A1396">
        <v>638</v>
      </c>
      <c r="B1396" t="s">
        <v>1515</v>
      </c>
      <c r="C1396">
        <v>3</v>
      </c>
    </row>
    <row r="1397" spans="1:3" x14ac:dyDescent="0.35">
      <c r="A1397">
        <v>639</v>
      </c>
      <c r="B1397" t="s">
        <v>1515</v>
      </c>
      <c r="C1397">
        <v>3</v>
      </c>
    </row>
    <row r="1398" spans="1:3" x14ac:dyDescent="0.35">
      <c r="A1398">
        <v>640</v>
      </c>
      <c r="B1398" t="s">
        <v>1515</v>
      </c>
      <c r="C1398">
        <v>3</v>
      </c>
    </row>
    <row r="1399" spans="1:3" x14ac:dyDescent="0.35">
      <c r="A1399">
        <v>641</v>
      </c>
      <c r="B1399" t="s">
        <v>1515</v>
      </c>
      <c r="C1399">
        <v>3</v>
      </c>
    </row>
    <row r="1400" spans="1:3" x14ac:dyDescent="0.35">
      <c r="A1400">
        <v>642</v>
      </c>
      <c r="B1400" t="s">
        <v>1515</v>
      </c>
      <c r="C1400">
        <v>3</v>
      </c>
    </row>
    <row r="1401" spans="1:3" x14ac:dyDescent="0.35">
      <c r="A1401">
        <v>643</v>
      </c>
      <c r="B1401" t="s">
        <v>1515</v>
      </c>
      <c r="C1401">
        <v>3</v>
      </c>
    </row>
    <row r="1402" spans="1:3" x14ac:dyDescent="0.35">
      <c r="A1402">
        <v>644</v>
      </c>
      <c r="B1402" t="s">
        <v>1515</v>
      </c>
      <c r="C1402">
        <v>3</v>
      </c>
    </row>
    <row r="1403" spans="1:3" x14ac:dyDescent="0.35">
      <c r="A1403">
        <v>645</v>
      </c>
      <c r="B1403" t="s">
        <v>1515</v>
      </c>
      <c r="C1403">
        <v>3</v>
      </c>
    </row>
    <row r="1404" spans="1:3" x14ac:dyDescent="0.35">
      <c r="A1404">
        <v>646</v>
      </c>
      <c r="B1404" t="s">
        <v>1515</v>
      </c>
      <c r="C1404">
        <v>3</v>
      </c>
    </row>
    <row r="1405" spans="1:3" x14ac:dyDescent="0.35">
      <c r="A1405">
        <v>647</v>
      </c>
      <c r="B1405" t="s">
        <v>1515</v>
      </c>
      <c r="C1405">
        <v>3</v>
      </c>
    </row>
    <row r="1406" spans="1:3" x14ac:dyDescent="0.35">
      <c r="A1406">
        <v>648</v>
      </c>
      <c r="B1406" t="s">
        <v>1515</v>
      </c>
      <c r="C1406">
        <v>3</v>
      </c>
    </row>
    <row r="1407" spans="1:3" x14ac:dyDescent="0.35">
      <c r="A1407">
        <v>649</v>
      </c>
      <c r="B1407" t="s">
        <v>1515</v>
      </c>
      <c r="C1407">
        <v>3</v>
      </c>
    </row>
    <row r="1408" spans="1:3" x14ac:dyDescent="0.35">
      <c r="A1408">
        <v>650</v>
      </c>
      <c r="B1408" t="s">
        <v>1515</v>
      </c>
      <c r="C1408">
        <v>3</v>
      </c>
    </row>
    <row r="1409" spans="1:3" x14ac:dyDescent="0.35">
      <c r="A1409">
        <v>651</v>
      </c>
      <c r="B1409" t="s">
        <v>1515</v>
      </c>
      <c r="C1409">
        <v>3</v>
      </c>
    </row>
    <row r="1410" spans="1:3" x14ac:dyDescent="0.35">
      <c r="A1410">
        <v>652</v>
      </c>
      <c r="B1410" t="s">
        <v>1515</v>
      </c>
      <c r="C1410">
        <v>3</v>
      </c>
    </row>
    <row r="1411" spans="1:3" x14ac:dyDescent="0.35">
      <c r="A1411">
        <v>653</v>
      </c>
      <c r="B1411" t="s">
        <v>1515</v>
      </c>
      <c r="C1411">
        <v>3</v>
      </c>
    </row>
    <row r="1412" spans="1:3" x14ac:dyDescent="0.35">
      <c r="A1412">
        <v>654</v>
      </c>
      <c r="B1412" t="s">
        <v>1515</v>
      </c>
      <c r="C1412">
        <v>3</v>
      </c>
    </row>
    <row r="1413" spans="1:3" x14ac:dyDescent="0.35">
      <c r="A1413">
        <v>655</v>
      </c>
      <c r="B1413" t="s">
        <v>1515</v>
      </c>
      <c r="C1413">
        <v>3</v>
      </c>
    </row>
    <row r="1414" spans="1:3" x14ac:dyDescent="0.35">
      <c r="A1414">
        <v>656</v>
      </c>
      <c r="B1414" t="s">
        <v>1515</v>
      </c>
      <c r="C1414">
        <v>3</v>
      </c>
    </row>
    <row r="1415" spans="1:3" x14ac:dyDescent="0.35">
      <c r="A1415">
        <v>657</v>
      </c>
      <c r="B1415" t="s">
        <v>1515</v>
      </c>
      <c r="C1415">
        <v>3</v>
      </c>
    </row>
    <row r="1416" spans="1:3" x14ac:dyDescent="0.35">
      <c r="A1416">
        <v>658</v>
      </c>
      <c r="B1416" t="s">
        <v>1515</v>
      </c>
      <c r="C1416">
        <v>3</v>
      </c>
    </row>
    <row r="1417" spans="1:3" x14ac:dyDescent="0.35">
      <c r="A1417">
        <v>659</v>
      </c>
      <c r="B1417" t="s">
        <v>1515</v>
      </c>
      <c r="C1417">
        <v>3</v>
      </c>
    </row>
    <row r="1418" spans="1:3" x14ac:dyDescent="0.35">
      <c r="A1418">
        <v>660</v>
      </c>
      <c r="B1418" t="s">
        <v>1515</v>
      </c>
      <c r="C1418">
        <v>3</v>
      </c>
    </row>
    <row r="1419" spans="1:3" x14ac:dyDescent="0.35">
      <c r="A1419">
        <v>661</v>
      </c>
      <c r="B1419" t="s">
        <v>1515</v>
      </c>
      <c r="C1419">
        <v>3</v>
      </c>
    </row>
    <row r="1420" spans="1:3" x14ac:dyDescent="0.35">
      <c r="A1420">
        <v>662</v>
      </c>
      <c r="B1420" t="s">
        <v>1515</v>
      </c>
      <c r="C1420">
        <v>3</v>
      </c>
    </row>
    <row r="1421" spans="1:3" x14ac:dyDescent="0.35">
      <c r="A1421">
        <v>663</v>
      </c>
      <c r="B1421" t="s">
        <v>1515</v>
      </c>
      <c r="C1421">
        <v>3</v>
      </c>
    </row>
    <row r="1422" spans="1:3" x14ac:dyDescent="0.35">
      <c r="A1422">
        <v>664</v>
      </c>
      <c r="B1422" t="s">
        <v>1515</v>
      </c>
      <c r="C1422">
        <v>3</v>
      </c>
    </row>
    <row r="1423" spans="1:3" x14ac:dyDescent="0.35">
      <c r="A1423">
        <v>665</v>
      </c>
      <c r="B1423" t="s">
        <v>1515</v>
      </c>
      <c r="C1423">
        <v>3</v>
      </c>
    </row>
    <row r="1424" spans="1:3" x14ac:dyDescent="0.35">
      <c r="A1424">
        <v>666</v>
      </c>
      <c r="B1424" t="s">
        <v>1515</v>
      </c>
      <c r="C1424">
        <v>3</v>
      </c>
    </row>
    <row r="1425" spans="1:3" x14ac:dyDescent="0.35">
      <c r="A1425">
        <v>667</v>
      </c>
      <c r="B1425" t="s">
        <v>1515</v>
      </c>
      <c r="C1425">
        <v>3</v>
      </c>
    </row>
    <row r="1426" spans="1:3" x14ac:dyDescent="0.35">
      <c r="A1426">
        <v>668</v>
      </c>
      <c r="B1426" t="s">
        <v>1515</v>
      </c>
      <c r="C1426">
        <v>3</v>
      </c>
    </row>
    <row r="1427" spans="1:3" x14ac:dyDescent="0.35">
      <c r="A1427">
        <v>669</v>
      </c>
      <c r="B1427" t="s">
        <v>1515</v>
      </c>
      <c r="C1427">
        <v>3</v>
      </c>
    </row>
    <row r="1428" spans="1:3" x14ac:dyDescent="0.35">
      <c r="A1428">
        <v>670</v>
      </c>
      <c r="B1428" t="s">
        <v>1515</v>
      </c>
      <c r="C1428">
        <v>3</v>
      </c>
    </row>
    <row r="1429" spans="1:3" x14ac:dyDescent="0.35">
      <c r="A1429">
        <v>671</v>
      </c>
      <c r="B1429" t="s">
        <v>1515</v>
      </c>
      <c r="C1429">
        <v>3</v>
      </c>
    </row>
    <row r="1430" spans="1:3" x14ac:dyDescent="0.35">
      <c r="A1430">
        <v>672</v>
      </c>
      <c r="B1430" t="s">
        <v>1515</v>
      </c>
      <c r="C1430">
        <v>3</v>
      </c>
    </row>
    <row r="1431" spans="1:3" x14ac:dyDescent="0.35">
      <c r="A1431">
        <v>673</v>
      </c>
      <c r="B1431" t="s">
        <v>1515</v>
      </c>
      <c r="C1431">
        <v>3</v>
      </c>
    </row>
    <row r="1432" spans="1:3" x14ac:dyDescent="0.35">
      <c r="A1432">
        <v>674</v>
      </c>
      <c r="B1432" t="s">
        <v>1515</v>
      </c>
      <c r="C1432">
        <v>3</v>
      </c>
    </row>
    <row r="1433" spans="1:3" x14ac:dyDescent="0.35">
      <c r="A1433">
        <v>675</v>
      </c>
      <c r="B1433" t="s">
        <v>1515</v>
      </c>
      <c r="C1433">
        <v>3</v>
      </c>
    </row>
    <row r="1434" spans="1:3" x14ac:dyDescent="0.35">
      <c r="A1434">
        <v>676</v>
      </c>
      <c r="B1434" t="s">
        <v>1515</v>
      </c>
      <c r="C1434">
        <v>3</v>
      </c>
    </row>
    <row r="1435" spans="1:3" x14ac:dyDescent="0.35">
      <c r="A1435">
        <v>677</v>
      </c>
      <c r="B1435" t="s">
        <v>1515</v>
      </c>
      <c r="C1435">
        <v>3</v>
      </c>
    </row>
    <row r="1436" spans="1:3" x14ac:dyDescent="0.35">
      <c r="A1436">
        <v>678</v>
      </c>
      <c r="B1436" t="s">
        <v>1515</v>
      </c>
      <c r="C1436">
        <v>3</v>
      </c>
    </row>
    <row r="1437" spans="1:3" x14ac:dyDescent="0.35">
      <c r="A1437">
        <v>679</v>
      </c>
      <c r="B1437" t="s">
        <v>1515</v>
      </c>
      <c r="C1437">
        <v>3</v>
      </c>
    </row>
    <row r="1438" spans="1:3" x14ac:dyDescent="0.35">
      <c r="A1438">
        <v>680</v>
      </c>
      <c r="B1438" t="s">
        <v>1515</v>
      </c>
      <c r="C1438">
        <v>3</v>
      </c>
    </row>
    <row r="1439" spans="1:3" x14ac:dyDescent="0.35">
      <c r="A1439">
        <v>681</v>
      </c>
      <c r="B1439" t="s">
        <v>1515</v>
      </c>
      <c r="C1439">
        <v>3</v>
      </c>
    </row>
    <row r="1440" spans="1:3" x14ac:dyDescent="0.35">
      <c r="A1440">
        <v>682</v>
      </c>
      <c r="B1440" t="s">
        <v>1515</v>
      </c>
      <c r="C1440">
        <v>3</v>
      </c>
    </row>
    <row r="1441" spans="1:3" x14ac:dyDescent="0.35">
      <c r="A1441">
        <v>683</v>
      </c>
      <c r="B1441" t="s">
        <v>1515</v>
      </c>
      <c r="C1441">
        <v>3</v>
      </c>
    </row>
    <row r="1442" spans="1:3" x14ac:dyDescent="0.35">
      <c r="A1442">
        <v>684</v>
      </c>
      <c r="B1442" t="s">
        <v>1515</v>
      </c>
      <c r="C1442">
        <v>3</v>
      </c>
    </row>
    <row r="1443" spans="1:3" x14ac:dyDescent="0.35">
      <c r="A1443">
        <v>685</v>
      </c>
      <c r="B1443" t="s">
        <v>1515</v>
      </c>
      <c r="C1443">
        <v>3</v>
      </c>
    </row>
    <row r="1444" spans="1:3" x14ac:dyDescent="0.35">
      <c r="A1444">
        <v>686</v>
      </c>
      <c r="B1444" t="s">
        <v>1515</v>
      </c>
      <c r="C1444">
        <v>3</v>
      </c>
    </row>
    <row r="1445" spans="1:3" x14ac:dyDescent="0.35">
      <c r="A1445">
        <v>687</v>
      </c>
      <c r="B1445" t="s">
        <v>1515</v>
      </c>
      <c r="C1445">
        <v>3</v>
      </c>
    </row>
    <row r="1446" spans="1:3" x14ac:dyDescent="0.35">
      <c r="A1446">
        <v>688</v>
      </c>
      <c r="B1446" t="s">
        <v>1515</v>
      </c>
      <c r="C1446">
        <v>3</v>
      </c>
    </row>
    <row r="1447" spans="1:3" x14ac:dyDescent="0.35">
      <c r="A1447">
        <v>689</v>
      </c>
      <c r="B1447" t="s">
        <v>1515</v>
      </c>
      <c r="C1447">
        <v>3</v>
      </c>
    </row>
    <row r="1448" spans="1:3" x14ac:dyDescent="0.35">
      <c r="A1448">
        <v>690</v>
      </c>
      <c r="B1448" t="s">
        <v>1515</v>
      </c>
      <c r="C1448">
        <v>3</v>
      </c>
    </row>
    <row r="1449" spans="1:3" x14ac:dyDescent="0.35">
      <c r="A1449">
        <v>691</v>
      </c>
      <c r="B1449" t="s">
        <v>1515</v>
      </c>
      <c r="C1449">
        <v>3</v>
      </c>
    </row>
    <row r="1450" spans="1:3" x14ac:dyDescent="0.35">
      <c r="A1450">
        <v>692</v>
      </c>
      <c r="B1450" t="s">
        <v>1515</v>
      </c>
      <c r="C1450">
        <v>3</v>
      </c>
    </row>
    <row r="1451" spans="1:3" x14ac:dyDescent="0.35">
      <c r="A1451">
        <v>694</v>
      </c>
      <c r="B1451" t="s">
        <v>1515</v>
      </c>
      <c r="C1451">
        <v>3</v>
      </c>
    </row>
    <row r="1452" spans="1:3" x14ac:dyDescent="0.35">
      <c r="A1452">
        <v>697</v>
      </c>
      <c r="B1452" t="s">
        <v>1515</v>
      </c>
      <c r="C1452">
        <v>3</v>
      </c>
    </row>
    <row r="1453" spans="1:3" x14ac:dyDescent="0.35">
      <c r="A1453">
        <v>699</v>
      </c>
      <c r="B1453" t="s">
        <v>1515</v>
      </c>
      <c r="C1453">
        <v>3</v>
      </c>
    </row>
    <row r="1454" spans="1:3" x14ac:dyDescent="0.35">
      <c r="A1454">
        <v>700</v>
      </c>
      <c r="B1454" t="s">
        <v>1515</v>
      </c>
      <c r="C1454">
        <v>3</v>
      </c>
    </row>
    <row r="1455" spans="1:3" x14ac:dyDescent="0.35">
      <c r="A1455">
        <v>701</v>
      </c>
      <c r="B1455" t="s">
        <v>1515</v>
      </c>
      <c r="C1455">
        <v>3</v>
      </c>
    </row>
    <row r="1456" spans="1:3" x14ac:dyDescent="0.35">
      <c r="A1456">
        <v>702</v>
      </c>
      <c r="B1456" t="s">
        <v>1515</v>
      </c>
      <c r="C1456">
        <v>3</v>
      </c>
    </row>
    <row r="1457" spans="1:3" x14ac:dyDescent="0.35">
      <c r="A1457">
        <v>703</v>
      </c>
      <c r="B1457" t="s">
        <v>1515</v>
      </c>
      <c r="C1457">
        <v>3</v>
      </c>
    </row>
    <row r="1458" spans="1:3" x14ac:dyDescent="0.35">
      <c r="A1458">
        <v>704</v>
      </c>
      <c r="B1458" t="s">
        <v>1515</v>
      </c>
      <c r="C1458">
        <v>3</v>
      </c>
    </row>
    <row r="1459" spans="1:3" x14ac:dyDescent="0.35">
      <c r="A1459">
        <v>705</v>
      </c>
      <c r="B1459" t="s">
        <v>1515</v>
      </c>
      <c r="C1459">
        <v>3</v>
      </c>
    </row>
    <row r="1460" spans="1:3" x14ac:dyDescent="0.35">
      <c r="A1460">
        <v>706</v>
      </c>
      <c r="B1460" t="s">
        <v>1515</v>
      </c>
      <c r="C1460">
        <v>3</v>
      </c>
    </row>
    <row r="1461" spans="1:3" x14ac:dyDescent="0.35">
      <c r="A1461">
        <v>707</v>
      </c>
      <c r="B1461" t="s">
        <v>1515</v>
      </c>
      <c r="C1461">
        <v>3</v>
      </c>
    </row>
    <row r="1462" spans="1:3" x14ac:dyDescent="0.35">
      <c r="A1462">
        <v>708</v>
      </c>
      <c r="B1462" t="s">
        <v>1515</v>
      </c>
      <c r="C1462">
        <v>3</v>
      </c>
    </row>
    <row r="1463" spans="1:3" x14ac:dyDescent="0.35">
      <c r="A1463">
        <v>709</v>
      </c>
      <c r="B1463" t="s">
        <v>1515</v>
      </c>
      <c r="C1463">
        <v>3</v>
      </c>
    </row>
    <row r="1464" spans="1:3" x14ac:dyDescent="0.35">
      <c r="A1464">
        <v>710</v>
      </c>
      <c r="B1464" t="s">
        <v>1515</v>
      </c>
      <c r="C1464">
        <v>3</v>
      </c>
    </row>
    <row r="1465" spans="1:3" x14ac:dyDescent="0.35">
      <c r="A1465">
        <v>711</v>
      </c>
      <c r="B1465" t="s">
        <v>1515</v>
      </c>
      <c r="C1465">
        <v>3</v>
      </c>
    </row>
    <row r="1466" spans="1:3" x14ac:dyDescent="0.35">
      <c r="A1466">
        <v>712</v>
      </c>
      <c r="B1466" t="s">
        <v>1515</v>
      </c>
      <c r="C1466">
        <v>3</v>
      </c>
    </row>
    <row r="1467" spans="1:3" x14ac:dyDescent="0.35">
      <c r="A1467">
        <v>713</v>
      </c>
      <c r="B1467" t="s">
        <v>1515</v>
      </c>
      <c r="C1467">
        <v>3</v>
      </c>
    </row>
    <row r="1468" spans="1:3" x14ac:dyDescent="0.35">
      <c r="A1468">
        <v>714</v>
      </c>
      <c r="B1468" t="s">
        <v>1515</v>
      </c>
      <c r="C1468">
        <v>3</v>
      </c>
    </row>
    <row r="1469" spans="1:3" x14ac:dyDescent="0.35">
      <c r="A1469">
        <v>715</v>
      </c>
      <c r="B1469" t="s">
        <v>1515</v>
      </c>
      <c r="C1469">
        <v>3</v>
      </c>
    </row>
    <row r="1470" spans="1:3" x14ac:dyDescent="0.35">
      <c r="A1470">
        <v>716</v>
      </c>
      <c r="B1470" t="s">
        <v>1515</v>
      </c>
      <c r="C1470">
        <v>3</v>
      </c>
    </row>
    <row r="1471" spans="1:3" x14ac:dyDescent="0.35">
      <c r="A1471">
        <v>717</v>
      </c>
      <c r="B1471" t="s">
        <v>1515</v>
      </c>
      <c r="C1471">
        <v>3</v>
      </c>
    </row>
    <row r="1472" spans="1:3" x14ac:dyDescent="0.35">
      <c r="A1472">
        <v>718</v>
      </c>
      <c r="B1472" t="s">
        <v>1515</v>
      </c>
      <c r="C1472">
        <v>3</v>
      </c>
    </row>
    <row r="1473" spans="1:3" x14ac:dyDescent="0.35">
      <c r="A1473">
        <v>719</v>
      </c>
      <c r="B1473" t="s">
        <v>1515</v>
      </c>
      <c r="C1473">
        <v>3</v>
      </c>
    </row>
    <row r="1474" spans="1:3" x14ac:dyDescent="0.35">
      <c r="A1474">
        <v>720</v>
      </c>
      <c r="B1474" t="s">
        <v>1515</v>
      </c>
      <c r="C1474">
        <v>3</v>
      </c>
    </row>
    <row r="1475" spans="1:3" x14ac:dyDescent="0.35">
      <c r="A1475">
        <v>721</v>
      </c>
      <c r="B1475" t="s">
        <v>1515</v>
      </c>
      <c r="C1475">
        <v>3</v>
      </c>
    </row>
    <row r="1476" spans="1:3" x14ac:dyDescent="0.35">
      <c r="A1476">
        <v>722</v>
      </c>
      <c r="B1476" t="s">
        <v>1515</v>
      </c>
      <c r="C1476">
        <v>3</v>
      </c>
    </row>
    <row r="1477" spans="1:3" x14ac:dyDescent="0.35">
      <c r="A1477">
        <v>723</v>
      </c>
      <c r="B1477" t="s">
        <v>1515</v>
      </c>
      <c r="C1477">
        <v>3</v>
      </c>
    </row>
    <row r="1478" spans="1:3" x14ac:dyDescent="0.35">
      <c r="A1478">
        <v>724</v>
      </c>
      <c r="B1478" t="s">
        <v>1515</v>
      </c>
      <c r="C1478">
        <v>3</v>
      </c>
    </row>
    <row r="1479" spans="1:3" x14ac:dyDescent="0.35">
      <c r="A1479">
        <v>725</v>
      </c>
      <c r="B1479" t="s">
        <v>1515</v>
      </c>
      <c r="C1479">
        <v>3</v>
      </c>
    </row>
    <row r="1480" spans="1:3" x14ac:dyDescent="0.35">
      <c r="A1480">
        <v>726</v>
      </c>
      <c r="B1480" t="s">
        <v>1515</v>
      </c>
      <c r="C1480">
        <v>3</v>
      </c>
    </row>
    <row r="1481" spans="1:3" x14ac:dyDescent="0.35">
      <c r="A1481">
        <v>727</v>
      </c>
      <c r="B1481" t="s">
        <v>1515</v>
      </c>
      <c r="C1481">
        <v>3</v>
      </c>
    </row>
    <row r="1482" spans="1:3" x14ac:dyDescent="0.35">
      <c r="A1482">
        <v>728</v>
      </c>
      <c r="B1482" t="s">
        <v>1515</v>
      </c>
      <c r="C1482">
        <v>3</v>
      </c>
    </row>
    <row r="1483" spans="1:3" x14ac:dyDescent="0.35">
      <c r="A1483">
        <v>729</v>
      </c>
      <c r="B1483" t="s">
        <v>1515</v>
      </c>
      <c r="C1483">
        <v>3</v>
      </c>
    </row>
    <row r="1484" spans="1:3" x14ac:dyDescent="0.35">
      <c r="A1484">
        <v>730</v>
      </c>
      <c r="B1484" t="s">
        <v>1515</v>
      </c>
      <c r="C1484">
        <v>3</v>
      </c>
    </row>
    <row r="1485" spans="1:3" x14ac:dyDescent="0.35">
      <c r="A1485">
        <v>731</v>
      </c>
      <c r="B1485" t="s">
        <v>1515</v>
      </c>
      <c r="C1485">
        <v>3</v>
      </c>
    </row>
    <row r="1486" spans="1:3" x14ac:dyDescent="0.35">
      <c r="A1486">
        <v>732</v>
      </c>
      <c r="B1486" t="s">
        <v>1515</v>
      </c>
      <c r="C1486">
        <v>3</v>
      </c>
    </row>
    <row r="1487" spans="1:3" x14ac:dyDescent="0.35">
      <c r="A1487">
        <v>733</v>
      </c>
      <c r="B1487" t="s">
        <v>1515</v>
      </c>
      <c r="C1487">
        <v>3</v>
      </c>
    </row>
    <row r="1488" spans="1:3" x14ac:dyDescent="0.35">
      <c r="A1488">
        <v>735</v>
      </c>
      <c r="B1488" t="s">
        <v>1515</v>
      </c>
      <c r="C1488">
        <v>3</v>
      </c>
    </row>
    <row r="1489" spans="1:3" x14ac:dyDescent="0.35">
      <c r="A1489">
        <v>737</v>
      </c>
      <c r="B1489" t="s">
        <v>1515</v>
      </c>
      <c r="C1489">
        <v>3</v>
      </c>
    </row>
    <row r="1490" spans="1:3" x14ac:dyDescent="0.35">
      <c r="A1490">
        <v>738</v>
      </c>
      <c r="B1490" t="s">
        <v>1515</v>
      </c>
      <c r="C1490">
        <v>3</v>
      </c>
    </row>
    <row r="1491" spans="1:3" x14ac:dyDescent="0.35">
      <c r="A1491">
        <v>739</v>
      </c>
      <c r="B1491" t="s">
        <v>1515</v>
      </c>
      <c r="C1491">
        <v>3</v>
      </c>
    </row>
    <row r="1492" spans="1:3" x14ac:dyDescent="0.35">
      <c r="A1492">
        <v>741</v>
      </c>
      <c r="B1492" t="s">
        <v>1515</v>
      </c>
      <c r="C1492">
        <v>3</v>
      </c>
    </row>
    <row r="1493" spans="1:3" x14ac:dyDescent="0.35">
      <c r="A1493">
        <v>742</v>
      </c>
      <c r="B1493" t="s">
        <v>1515</v>
      </c>
      <c r="C1493">
        <v>3</v>
      </c>
    </row>
    <row r="1494" spans="1:3" x14ac:dyDescent="0.35">
      <c r="A1494">
        <v>743</v>
      </c>
      <c r="B1494" t="s">
        <v>1515</v>
      </c>
      <c r="C1494">
        <v>3</v>
      </c>
    </row>
    <row r="1495" spans="1:3" x14ac:dyDescent="0.35">
      <c r="A1495">
        <v>744</v>
      </c>
      <c r="B1495" t="s">
        <v>1515</v>
      </c>
      <c r="C1495">
        <v>3</v>
      </c>
    </row>
    <row r="1496" spans="1:3" x14ac:dyDescent="0.35">
      <c r="A1496">
        <v>745</v>
      </c>
      <c r="B1496" t="s">
        <v>1515</v>
      </c>
      <c r="C1496">
        <v>3</v>
      </c>
    </row>
    <row r="1497" spans="1:3" x14ac:dyDescent="0.35">
      <c r="A1497">
        <v>746</v>
      </c>
      <c r="B1497" t="s">
        <v>1515</v>
      </c>
      <c r="C1497">
        <v>3</v>
      </c>
    </row>
    <row r="1498" spans="1:3" x14ac:dyDescent="0.35">
      <c r="A1498">
        <v>747</v>
      </c>
      <c r="B1498" t="s">
        <v>1515</v>
      </c>
      <c r="C1498">
        <v>3</v>
      </c>
    </row>
    <row r="1499" spans="1:3" x14ac:dyDescent="0.35">
      <c r="A1499">
        <v>748</v>
      </c>
      <c r="B1499" t="s">
        <v>1515</v>
      </c>
      <c r="C1499">
        <v>3</v>
      </c>
    </row>
    <row r="1500" spans="1:3" x14ac:dyDescent="0.35">
      <c r="A1500">
        <v>749</v>
      </c>
      <c r="B1500" t="s">
        <v>1515</v>
      </c>
      <c r="C1500">
        <v>3</v>
      </c>
    </row>
    <row r="1501" spans="1:3" x14ac:dyDescent="0.35">
      <c r="A1501">
        <v>750</v>
      </c>
      <c r="B1501" t="s">
        <v>1515</v>
      </c>
      <c r="C1501">
        <v>3</v>
      </c>
    </row>
    <row r="1502" spans="1:3" x14ac:dyDescent="0.35">
      <c r="A1502">
        <v>751</v>
      </c>
      <c r="B1502" t="s">
        <v>1515</v>
      </c>
      <c r="C1502">
        <v>3</v>
      </c>
    </row>
    <row r="1503" spans="1:3" x14ac:dyDescent="0.35">
      <c r="A1503">
        <v>752</v>
      </c>
      <c r="B1503" t="s">
        <v>1515</v>
      </c>
      <c r="C1503">
        <v>3</v>
      </c>
    </row>
    <row r="1504" spans="1:3" x14ac:dyDescent="0.35">
      <c r="A1504">
        <v>753</v>
      </c>
      <c r="B1504" t="s">
        <v>1515</v>
      </c>
      <c r="C1504">
        <v>3</v>
      </c>
    </row>
    <row r="1505" spans="1:3" x14ac:dyDescent="0.35">
      <c r="A1505">
        <v>754</v>
      </c>
      <c r="B1505" t="s">
        <v>1515</v>
      </c>
      <c r="C1505">
        <v>3</v>
      </c>
    </row>
    <row r="1506" spans="1:3" x14ac:dyDescent="0.35">
      <c r="A1506">
        <v>755</v>
      </c>
      <c r="B1506" t="s">
        <v>1515</v>
      </c>
      <c r="C1506">
        <v>3</v>
      </c>
    </row>
    <row r="1507" spans="1:3" x14ac:dyDescent="0.35">
      <c r="A1507">
        <v>756</v>
      </c>
      <c r="B1507" t="s">
        <v>1515</v>
      </c>
      <c r="C1507">
        <v>3</v>
      </c>
    </row>
    <row r="1508" spans="1:3" x14ac:dyDescent="0.35">
      <c r="A1508">
        <v>757</v>
      </c>
      <c r="B1508" t="s">
        <v>1515</v>
      </c>
      <c r="C1508">
        <v>3</v>
      </c>
    </row>
    <row r="1509" spans="1:3" x14ac:dyDescent="0.35">
      <c r="A1509">
        <v>758</v>
      </c>
      <c r="B1509" t="s">
        <v>1515</v>
      </c>
      <c r="C1509">
        <v>3</v>
      </c>
    </row>
    <row r="1510" spans="1:3" x14ac:dyDescent="0.35">
      <c r="A1510">
        <v>759</v>
      </c>
      <c r="B1510" t="s">
        <v>1515</v>
      </c>
      <c r="C1510">
        <v>3</v>
      </c>
    </row>
    <row r="1511" spans="1:3" x14ac:dyDescent="0.35">
      <c r="A1511">
        <v>760</v>
      </c>
      <c r="B1511" t="s">
        <v>1515</v>
      </c>
      <c r="C1511">
        <v>3</v>
      </c>
    </row>
    <row r="1512" spans="1:3" x14ac:dyDescent="0.35">
      <c r="A1512">
        <v>761</v>
      </c>
      <c r="B1512" t="s">
        <v>1515</v>
      </c>
      <c r="C1512">
        <v>3</v>
      </c>
    </row>
    <row r="1513" spans="1:3" x14ac:dyDescent="0.35">
      <c r="A1513">
        <v>762</v>
      </c>
      <c r="B1513" t="s">
        <v>1515</v>
      </c>
      <c r="C1513">
        <v>3</v>
      </c>
    </row>
    <row r="1514" spans="1:3" x14ac:dyDescent="0.35">
      <c r="A1514">
        <v>763</v>
      </c>
      <c r="B1514" t="s">
        <v>1515</v>
      </c>
      <c r="C1514">
        <v>3</v>
      </c>
    </row>
    <row r="1515" spans="1:3" x14ac:dyDescent="0.35">
      <c r="A1515">
        <v>764</v>
      </c>
      <c r="B1515" t="s">
        <v>1515</v>
      </c>
      <c r="C1515">
        <v>3</v>
      </c>
    </row>
    <row r="1516" spans="1:3" x14ac:dyDescent="0.35">
      <c r="A1516">
        <v>765</v>
      </c>
      <c r="B1516" t="s">
        <v>1515</v>
      </c>
      <c r="C1516">
        <v>3</v>
      </c>
    </row>
    <row r="1517" spans="1:3" x14ac:dyDescent="0.35">
      <c r="A1517">
        <v>766</v>
      </c>
      <c r="B1517" t="s">
        <v>1515</v>
      </c>
      <c r="C1517">
        <v>3</v>
      </c>
    </row>
    <row r="1518" spans="1:3" x14ac:dyDescent="0.35">
      <c r="A1518">
        <v>767</v>
      </c>
      <c r="B1518" t="s">
        <v>1515</v>
      </c>
      <c r="C1518">
        <v>3</v>
      </c>
    </row>
    <row r="1519" spans="1:3" x14ac:dyDescent="0.35">
      <c r="A1519">
        <v>768</v>
      </c>
      <c r="B1519" t="s">
        <v>1515</v>
      </c>
      <c r="C1519">
        <v>3</v>
      </c>
    </row>
    <row r="1520" spans="1:3" x14ac:dyDescent="0.35">
      <c r="A1520">
        <v>769</v>
      </c>
      <c r="B1520" t="s">
        <v>1515</v>
      </c>
      <c r="C1520">
        <v>3</v>
      </c>
    </row>
    <row r="1521" spans="1:3" x14ac:dyDescent="0.35">
      <c r="A1521">
        <v>770</v>
      </c>
      <c r="B1521" t="s">
        <v>1515</v>
      </c>
      <c r="C1521">
        <v>3</v>
      </c>
    </row>
    <row r="1522" spans="1:3" x14ac:dyDescent="0.35">
      <c r="A1522">
        <v>771</v>
      </c>
      <c r="B1522" t="s">
        <v>1515</v>
      </c>
      <c r="C1522">
        <v>3</v>
      </c>
    </row>
    <row r="1523" spans="1:3" x14ac:dyDescent="0.35">
      <c r="A1523">
        <v>772</v>
      </c>
      <c r="B1523" t="s">
        <v>1515</v>
      </c>
      <c r="C1523">
        <v>3</v>
      </c>
    </row>
    <row r="1524" spans="1:3" x14ac:dyDescent="0.35">
      <c r="A1524">
        <v>773</v>
      </c>
      <c r="B1524" t="s">
        <v>1515</v>
      </c>
      <c r="C1524">
        <v>3</v>
      </c>
    </row>
    <row r="1525" spans="1:3" x14ac:dyDescent="0.35">
      <c r="A1525">
        <v>774</v>
      </c>
      <c r="B1525" t="s">
        <v>1515</v>
      </c>
      <c r="C1525">
        <v>3</v>
      </c>
    </row>
    <row r="1526" spans="1:3" x14ac:dyDescent="0.35">
      <c r="A1526">
        <v>775</v>
      </c>
      <c r="B1526" t="s">
        <v>1515</v>
      </c>
      <c r="C1526">
        <v>3</v>
      </c>
    </row>
    <row r="1527" spans="1:3" x14ac:dyDescent="0.35">
      <c r="A1527">
        <v>776</v>
      </c>
      <c r="B1527" t="s">
        <v>1515</v>
      </c>
      <c r="C1527">
        <v>3</v>
      </c>
    </row>
    <row r="1528" spans="1:3" x14ac:dyDescent="0.35">
      <c r="A1528">
        <v>777</v>
      </c>
      <c r="B1528" t="s">
        <v>1515</v>
      </c>
      <c r="C1528">
        <v>3</v>
      </c>
    </row>
    <row r="1529" spans="1:3" x14ac:dyDescent="0.35">
      <c r="A1529">
        <v>778</v>
      </c>
      <c r="B1529" t="s">
        <v>1515</v>
      </c>
      <c r="C1529">
        <v>3</v>
      </c>
    </row>
    <row r="1530" spans="1:3" x14ac:dyDescent="0.35">
      <c r="A1530">
        <v>779</v>
      </c>
      <c r="B1530" t="s">
        <v>1515</v>
      </c>
      <c r="C1530">
        <v>3</v>
      </c>
    </row>
    <row r="1531" spans="1:3" x14ac:dyDescent="0.35">
      <c r="A1531">
        <v>780</v>
      </c>
      <c r="B1531" t="s">
        <v>1515</v>
      </c>
      <c r="C1531">
        <v>3</v>
      </c>
    </row>
    <row r="1532" spans="1:3" x14ac:dyDescent="0.35">
      <c r="A1532">
        <v>781</v>
      </c>
      <c r="B1532" t="s">
        <v>1515</v>
      </c>
      <c r="C1532">
        <v>3</v>
      </c>
    </row>
    <row r="1533" spans="1:3" x14ac:dyDescent="0.35">
      <c r="A1533">
        <v>782</v>
      </c>
      <c r="B1533" t="s">
        <v>1515</v>
      </c>
      <c r="C1533">
        <v>3</v>
      </c>
    </row>
    <row r="1534" spans="1:3" x14ac:dyDescent="0.35">
      <c r="A1534">
        <v>783</v>
      </c>
      <c r="B1534" t="s">
        <v>1515</v>
      </c>
      <c r="C1534">
        <v>3</v>
      </c>
    </row>
    <row r="1535" spans="1:3" x14ac:dyDescent="0.35">
      <c r="A1535">
        <v>784</v>
      </c>
      <c r="B1535" t="s">
        <v>1515</v>
      </c>
      <c r="C1535">
        <v>3</v>
      </c>
    </row>
    <row r="1536" spans="1:3" x14ac:dyDescent="0.35">
      <c r="A1536">
        <v>789</v>
      </c>
      <c r="B1536" t="s">
        <v>1515</v>
      </c>
      <c r="C1536">
        <v>3</v>
      </c>
    </row>
    <row r="1537" spans="1:3" x14ac:dyDescent="0.35">
      <c r="A1537">
        <v>790</v>
      </c>
      <c r="B1537" t="s">
        <v>1515</v>
      </c>
      <c r="C1537">
        <v>3</v>
      </c>
    </row>
    <row r="1538" spans="1:3" x14ac:dyDescent="0.35">
      <c r="A1538">
        <v>791</v>
      </c>
      <c r="B1538" t="s">
        <v>1515</v>
      </c>
      <c r="C1538">
        <v>3</v>
      </c>
    </row>
    <row r="1539" spans="1:3" x14ac:dyDescent="0.35">
      <c r="A1539">
        <v>792</v>
      </c>
      <c r="B1539" t="s">
        <v>1515</v>
      </c>
      <c r="C1539">
        <v>3</v>
      </c>
    </row>
    <row r="1540" spans="1:3" x14ac:dyDescent="0.35">
      <c r="A1540">
        <v>793</v>
      </c>
      <c r="B1540" t="s">
        <v>1515</v>
      </c>
      <c r="C1540">
        <v>3</v>
      </c>
    </row>
    <row r="1541" spans="1:3" x14ac:dyDescent="0.35">
      <c r="A1541">
        <v>794</v>
      </c>
      <c r="B1541" t="s">
        <v>1515</v>
      </c>
      <c r="C1541">
        <v>3</v>
      </c>
    </row>
    <row r="1542" spans="1:3" x14ac:dyDescent="0.35">
      <c r="A1542">
        <v>796</v>
      </c>
      <c r="B1542" t="s">
        <v>1515</v>
      </c>
      <c r="C1542">
        <v>3</v>
      </c>
    </row>
    <row r="1543" spans="1:3" x14ac:dyDescent="0.35">
      <c r="A1543">
        <v>798</v>
      </c>
      <c r="B1543" t="s">
        <v>1515</v>
      </c>
      <c r="C1543">
        <v>3</v>
      </c>
    </row>
    <row r="1544" spans="1:3" x14ac:dyDescent="0.35">
      <c r="A1544">
        <v>800</v>
      </c>
      <c r="B1544" t="s">
        <v>1515</v>
      </c>
      <c r="C1544">
        <v>3</v>
      </c>
    </row>
    <row r="1545" spans="1:3" x14ac:dyDescent="0.35">
      <c r="A1545">
        <v>801</v>
      </c>
      <c r="B1545" t="s">
        <v>1515</v>
      </c>
      <c r="C1545">
        <v>3</v>
      </c>
    </row>
    <row r="1546" spans="1:3" x14ac:dyDescent="0.35">
      <c r="A1546">
        <v>802</v>
      </c>
      <c r="B1546" t="s">
        <v>1515</v>
      </c>
      <c r="C1546">
        <v>3</v>
      </c>
    </row>
    <row r="1547" spans="1:3" x14ac:dyDescent="0.35">
      <c r="A1547">
        <v>803</v>
      </c>
      <c r="B1547" t="s">
        <v>1515</v>
      </c>
      <c r="C1547">
        <v>3</v>
      </c>
    </row>
    <row r="1548" spans="1:3" x14ac:dyDescent="0.35">
      <c r="A1548">
        <v>804</v>
      </c>
      <c r="B1548" t="s">
        <v>1515</v>
      </c>
      <c r="C1548">
        <v>3</v>
      </c>
    </row>
    <row r="1549" spans="1:3" x14ac:dyDescent="0.35">
      <c r="A1549">
        <v>805</v>
      </c>
      <c r="B1549" t="s">
        <v>1515</v>
      </c>
      <c r="C1549">
        <v>3</v>
      </c>
    </row>
    <row r="1550" spans="1:3" x14ac:dyDescent="0.35">
      <c r="A1550">
        <v>806</v>
      </c>
      <c r="B1550" t="s">
        <v>1515</v>
      </c>
      <c r="C1550">
        <v>3</v>
      </c>
    </row>
    <row r="1551" spans="1:3" x14ac:dyDescent="0.35">
      <c r="A1551">
        <v>807</v>
      </c>
      <c r="B1551" t="s">
        <v>1515</v>
      </c>
      <c r="C1551">
        <v>3</v>
      </c>
    </row>
    <row r="1552" spans="1:3" x14ac:dyDescent="0.35">
      <c r="A1552">
        <v>808</v>
      </c>
      <c r="B1552" t="s">
        <v>1515</v>
      </c>
      <c r="C1552">
        <v>3</v>
      </c>
    </row>
    <row r="1553" spans="1:3" x14ac:dyDescent="0.35">
      <c r="A1553">
        <v>809</v>
      </c>
      <c r="B1553" t="s">
        <v>1515</v>
      </c>
      <c r="C1553">
        <v>3</v>
      </c>
    </row>
    <row r="1554" spans="1:3" x14ac:dyDescent="0.35">
      <c r="A1554">
        <v>811</v>
      </c>
      <c r="B1554" t="s">
        <v>1515</v>
      </c>
      <c r="C1554">
        <v>3</v>
      </c>
    </row>
    <row r="1555" spans="1:3" x14ac:dyDescent="0.35">
      <c r="A1555">
        <v>813</v>
      </c>
      <c r="B1555" t="s">
        <v>1515</v>
      </c>
      <c r="C1555">
        <v>3</v>
      </c>
    </row>
    <row r="1556" spans="1:3" x14ac:dyDescent="0.35">
      <c r="A1556">
        <v>814</v>
      </c>
      <c r="B1556" t="s">
        <v>1515</v>
      </c>
      <c r="C1556">
        <v>3</v>
      </c>
    </row>
    <row r="1557" spans="1:3" x14ac:dyDescent="0.35">
      <c r="A1557">
        <v>815</v>
      </c>
      <c r="B1557" t="s">
        <v>1515</v>
      </c>
      <c r="C1557">
        <v>3</v>
      </c>
    </row>
    <row r="1558" spans="1:3" x14ac:dyDescent="0.35">
      <c r="A1558">
        <v>816</v>
      </c>
      <c r="B1558" t="s">
        <v>1515</v>
      </c>
      <c r="C1558">
        <v>3</v>
      </c>
    </row>
    <row r="1559" spans="1:3" x14ac:dyDescent="0.35">
      <c r="A1559">
        <v>817</v>
      </c>
      <c r="B1559" t="s">
        <v>1515</v>
      </c>
      <c r="C1559">
        <v>3</v>
      </c>
    </row>
    <row r="1560" spans="1:3" x14ac:dyDescent="0.35">
      <c r="A1560">
        <v>818</v>
      </c>
      <c r="B1560" t="s">
        <v>1515</v>
      </c>
      <c r="C1560">
        <v>3</v>
      </c>
    </row>
    <row r="1561" spans="1:3" x14ac:dyDescent="0.35">
      <c r="A1561">
        <v>820</v>
      </c>
      <c r="B1561" t="s">
        <v>1515</v>
      </c>
      <c r="C1561">
        <v>3</v>
      </c>
    </row>
    <row r="1562" spans="1:3" x14ac:dyDescent="0.35">
      <c r="A1562">
        <v>821</v>
      </c>
      <c r="B1562" t="s">
        <v>1515</v>
      </c>
      <c r="C1562">
        <v>3</v>
      </c>
    </row>
    <row r="1563" spans="1:3" x14ac:dyDescent="0.35">
      <c r="A1563">
        <v>822</v>
      </c>
      <c r="B1563" t="s">
        <v>1515</v>
      </c>
      <c r="C1563">
        <v>3</v>
      </c>
    </row>
    <row r="1564" spans="1:3" x14ac:dyDescent="0.35">
      <c r="A1564">
        <v>825</v>
      </c>
      <c r="B1564" t="s">
        <v>1515</v>
      </c>
      <c r="C1564">
        <v>3</v>
      </c>
    </row>
    <row r="1565" spans="1:3" x14ac:dyDescent="0.35">
      <c r="A1565">
        <v>827</v>
      </c>
      <c r="B1565" t="s">
        <v>1515</v>
      </c>
      <c r="C1565">
        <v>3</v>
      </c>
    </row>
    <row r="1566" spans="1:3" x14ac:dyDescent="0.35">
      <c r="A1566">
        <v>828</v>
      </c>
      <c r="B1566" t="s">
        <v>1515</v>
      </c>
      <c r="C1566">
        <v>3</v>
      </c>
    </row>
    <row r="1567" spans="1:3" x14ac:dyDescent="0.35">
      <c r="A1567">
        <v>829</v>
      </c>
      <c r="B1567" t="s">
        <v>1515</v>
      </c>
      <c r="C1567">
        <v>3</v>
      </c>
    </row>
    <row r="1568" spans="1:3" x14ac:dyDescent="0.35">
      <c r="A1568">
        <v>830</v>
      </c>
      <c r="B1568" t="s">
        <v>1515</v>
      </c>
      <c r="C1568">
        <v>3</v>
      </c>
    </row>
    <row r="1569" spans="1:3" x14ac:dyDescent="0.35">
      <c r="A1569">
        <v>831</v>
      </c>
      <c r="B1569" t="s">
        <v>1515</v>
      </c>
      <c r="C1569">
        <v>3</v>
      </c>
    </row>
    <row r="1570" spans="1:3" x14ac:dyDescent="0.35">
      <c r="A1570">
        <v>832</v>
      </c>
      <c r="B1570" t="s">
        <v>1515</v>
      </c>
      <c r="C1570">
        <v>3</v>
      </c>
    </row>
    <row r="1571" spans="1:3" x14ac:dyDescent="0.35">
      <c r="A1571">
        <v>833</v>
      </c>
      <c r="B1571" t="s">
        <v>1515</v>
      </c>
      <c r="C1571">
        <v>3</v>
      </c>
    </row>
    <row r="1572" spans="1:3" x14ac:dyDescent="0.35">
      <c r="A1572">
        <v>835</v>
      </c>
      <c r="B1572" t="s">
        <v>1515</v>
      </c>
      <c r="C1572">
        <v>3</v>
      </c>
    </row>
    <row r="1573" spans="1:3" x14ac:dyDescent="0.35">
      <c r="A1573">
        <v>836</v>
      </c>
      <c r="B1573" t="s">
        <v>1515</v>
      </c>
      <c r="C1573">
        <v>3</v>
      </c>
    </row>
    <row r="1574" spans="1:3" x14ac:dyDescent="0.35">
      <c r="A1574">
        <v>837</v>
      </c>
      <c r="B1574" t="s">
        <v>1515</v>
      </c>
      <c r="C1574">
        <v>3</v>
      </c>
    </row>
    <row r="1575" spans="1:3" x14ac:dyDescent="0.35">
      <c r="A1575">
        <v>838</v>
      </c>
      <c r="B1575" t="s">
        <v>1515</v>
      </c>
      <c r="C1575">
        <v>3</v>
      </c>
    </row>
    <row r="1576" spans="1:3" x14ac:dyDescent="0.35">
      <c r="A1576">
        <v>839</v>
      </c>
      <c r="B1576" t="s">
        <v>1515</v>
      </c>
      <c r="C1576">
        <v>3</v>
      </c>
    </row>
    <row r="1577" spans="1:3" x14ac:dyDescent="0.35">
      <c r="A1577">
        <v>840</v>
      </c>
      <c r="B1577" t="s">
        <v>1515</v>
      </c>
      <c r="C1577">
        <v>3</v>
      </c>
    </row>
    <row r="1578" spans="1:3" x14ac:dyDescent="0.35">
      <c r="A1578">
        <v>841</v>
      </c>
      <c r="B1578" t="s">
        <v>1515</v>
      </c>
      <c r="C1578">
        <v>3</v>
      </c>
    </row>
    <row r="1579" spans="1:3" x14ac:dyDescent="0.35">
      <c r="A1579">
        <v>842</v>
      </c>
      <c r="B1579" t="s">
        <v>1515</v>
      </c>
      <c r="C1579">
        <v>3</v>
      </c>
    </row>
    <row r="1580" spans="1:3" x14ac:dyDescent="0.35">
      <c r="A1580">
        <v>843</v>
      </c>
      <c r="B1580" t="s">
        <v>1515</v>
      </c>
      <c r="C1580">
        <v>3</v>
      </c>
    </row>
    <row r="1581" spans="1:3" x14ac:dyDescent="0.35">
      <c r="A1581">
        <v>844</v>
      </c>
      <c r="B1581" t="s">
        <v>1515</v>
      </c>
      <c r="C1581">
        <v>3</v>
      </c>
    </row>
    <row r="1582" spans="1:3" x14ac:dyDescent="0.35">
      <c r="A1582">
        <v>846</v>
      </c>
      <c r="B1582" t="s">
        <v>1515</v>
      </c>
      <c r="C1582">
        <v>3</v>
      </c>
    </row>
    <row r="1583" spans="1:3" x14ac:dyDescent="0.35">
      <c r="A1583">
        <v>847</v>
      </c>
      <c r="B1583" t="s">
        <v>1515</v>
      </c>
      <c r="C1583">
        <v>3</v>
      </c>
    </row>
    <row r="1584" spans="1:3" x14ac:dyDescent="0.35">
      <c r="A1584">
        <v>848</v>
      </c>
      <c r="B1584" t="s">
        <v>1515</v>
      </c>
      <c r="C1584">
        <v>3</v>
      </c>
    </row>
    <row r="1585" spans="1:3" x14ac:dyDescent="0.35">
      <c r="A1585">
        <v>849</v>
      </c>
      <c r="B1585" t="s">
        <v>1515</v>
      </c>
      <c r="C1585">
        <v>3</v>
      </c>
    </row>
    <row r="1586" spans="1:3" x14ac:dyDescent="0.35">
      <c r="A1586">
        <v>850</v>
      </c>
      <c r="B1586" t="s">
        <v>1515</v>
      </c>
      <c r="C1586">
        <v>3</v>
      </c>
    </row>
    <row r="1587" spans="1:3" x14ac:dyDescent="0.35">
      <c r="A1587">
        <v>851</v>
      </c>
      <c r="B1587" t="s">
        <v>1515</v>
      </c>
      <c r="C1587">
        <v>3</v>
      </c>
    </row>
    <row r="1588" spans="1:3" x14ac:dyDescent="0.35">
      <c r="A1588">
        <v>852</v>
      </c>
      <c r="B1588" t="s">
        <v>1515</v>
      </c>
      <c r="C1588">
        <v>3</v>
      </c>
    </row>
    <row r="1589" spans="1:3" x14ac:dyDescent="0.35">
      <c r="A1589">
        <v>855</v>
      </c>
      <c r="B1589" t="s">
        <v>1515</v>
      </c>
      <c r="C1589">
        <v>3</v>
      </c>
    </row>
    <row r="1590" spans="1:3" x14ac:dyDescent="0.35">
      <c r="A1590">
        <v>856</v>
      </c>
      <c r="B1590" t="s">
        <v>1515</v>
      </c>
      <c r="C1590">
        <v>3</v>
      </c>
    </row>
    <row r="1591" spans="1:3" x14ac:dyDescent="0.35">
      <c r="A1591">
        <v>857</v>
      </c>
      <c r="B1591" t="s">
        <v>1515</v>
      </c>
      <c r="C1591">
        <v>3</v>
      </c>
    </row>
    <row r="1592" spans="1:3" x14ac:dyDescent="0.35">
      <c r="A1592">
        <v>858</v>
      </c>
      <c r="B1592" t="s">
        <v>1515</v>
      </c>
      <c r="C1592">
        <v>3</v>
      </c>
    </row>
    <row r="1593" spans="1:3" x14ac:dyDescent="0.35">
      <c r="A1593">
        <v>859</v>
      </c>
      <c r="B1593" t="s">
        <v>1515</v>
      </c>
      <c r="C1593">
        <v>3</v>
      </c>
    </row>
    <row r="1594" spans="1:3" x14ac:dyDescent="0.35">
      <c r="A1594">
        <v>860</v>
      </c>
      <c r="B1594" t="s">
        <v>1515</v>
      </c>
      <c r="C1594">
        <v>3</v>
      </c>
    </row>
    <row r="1595" spans="1:3" x14ac:dyDescent="0.35">
      <c r="A1595">
        <v>867</v>
      </c>
      <c r="B1595" t="s">
        <v>1515</v>
      </c>
      <c r="C1595">
        <v>3</v>
      </c>
    </row>
    <row r="1596" spans="1:3" x14ac:dyDescent="0.35">
      <c r="A1596">
        <v>868</v>
      </c>
      <c r="B1596" t="s">
        <v>1515</v>
      </c>
      <c r="C1596">
        <v>3</v>
      </c>
    </row>
    <row r="1597" spans="1:3" x14ac:dyDescent="0.35">
      <c r="A1597">
        <v>870</v>
      </c>
      <c r="B1597" t="s">
        <v>1515</v>
      </c>
      <c r="C1597">
        <v>3</v>
      </c>
    </row>
    <row r="1598" spans="1:3" x14ac:dyDescent="0.35">
      <c r="A1598">
        <v>871</v>
      </c>
      <c r="B1598" t="s">
        <v>1515</v>
      </c>
      <c r="C1598">
        <v>3</v>
      </c>
    </row>
    <row r="1599" spans="1:3" x14ac:dyDescent="0.35">
      <c r="A1599">
        <v>875</v>
      </c>
      <c r="B1599" t="s">
        <v>1515</v>
      </c>
      <c r="C1599">
        <v>3</v>
      </c>
    </row>
    <row r="1600" spans="1:3" x14ac:dyDescent="0.35">
      <c r="A1600">
        <v>877</v>
      </c>
      <c r="B1600" t="s">
        <v>1515</v>
      </c>
      <c r="C1600">
        <v>3</v>
      </c>
    </row>
    <row r="1601" spans="1:3" x14ac:dyDescent="0.35">
      <c r="A1601">
        <v>878</v>
      </c>
      <c r="B1601" t="s">
        <v>1515</v>
      </c>
      <c r="C1601">
        <v>3</v>
      </c>
    </row>
    <row r="1602" spans="1:3" x14ac:dyDescent="0.35">
      <c r="A1602">
        <v>879</v>
      </c>
      <c r="B1602" t="s">
        <v>1515</v>
      </c>
      <c r="C1602">
        <v>3</v>
      </c>
    </row>
    <row r="1603" spans="1:3" x14ac:dyDescent="0.35">
      <c r="A1603">
        <v>880</v>
      </c>
      <c r="B1603" t="s">
        <v>1515</v>
      </c>
      <c r="C1603">
        <v>3</v>
      </c>
    </row>
    <row r="1604" spans="1:3" x14ac:dyDescent="0.35">
      <c r="A1604">
        <v>881</v>
      </c>
      <c r="B1604" t="s">
        <v>1515</v>
      </c>
      <c r="C1604">
        <v>3</v>
      </c>
    </row>
    <row r="1605" spans="1:3" x14ac:dyDescent="0.35">
      <c r="A1605">
        <v>882</v>
      </c>
      <c r="B1605" t="s">
        <v>1515</v>
      </c>
      <c r="C1605">
        <v>3</v>
      </c>
    </row>
    <row r="1606" spans="1:3" x14ac:dyDescent="0.35">
      <c r="A1606">
        <v>883</v>
      </c>
      <c r="B1606" t="s">
        <v>1515</v>
      </c>
      <c r="C1606">
        <v>3</v>
      </c>
    </row>
    <row r="1607" spans="1:3" x14ac:dyDescent="0.35">
      <c r="A1607">
        <v>884</v>
      </c>
      <c r="B1607" t="s">
        <v>1515</v>
      </c>
      <c r="C1607">
        <v>3</v>
      </c>
    </row>
    <row r="1608" spans="1:3" x14ac:dyDescent="0.35">
      <c r="A1608">
        <v>885</v>
      </c>
      <c r="B1608" t="s">
        <v>1515</v>
      </c>
      <c r="C1608">
        <v>3</v>
      </c>
    </row>
    <row r="1609" spans="1:3" x14ac:dyDescent="0.35">
      <c r="A1609">
        <v>886</v>
      </c>
      <c r="B1609" t="s">
        <v>1515</v>
      </c>
      <c r="C1609">
        <v>3</v>
      </c>
    </row>
    <row r="1610" spans="1:3" x14ac:dyDescent="0.35">
      <c r="A1610">
        <v>887</v>
      </c>
      <c r="B1610" t="s">
        <v>1515</v>
      </c>
      <c r="C1610">
        <v>3</v>
      </c>
    </row>
    <row r="1611" spans="1:3" x14ac:dyDescent="0.35">
      <c r="A1611">
        <v>888</v>
      </c>
      <c r="B1611" t="s">
        <v>1515</v>
      </c>
      <c r="C1611">
        <v>3</v>
      </c>
    </row>
    <row r="1612" spans="1:3" x14ac:dyDescent="0.35">
      <c r="A1612">
        <v>889</v>
      </c>
      <c r="B1612" t="s">
        <v>1515</v>
      </c>
      <c r="C1612">
        <v>3</v>
      </c>
    </row>
    <row r="1613" spans="1:3" x14ac:dyDescent="0.35">
      <c r="A1613">
        <v>890</v>
      </c>
      <c r="B1613" t="s">
        <v>1515</v>
      </c>
      <c r="C1613">
        <v>3</v>
      </c>
    </row>
    <row r="1614" spans="1:3" x14ac:dyDescent="0.35">
      <c r="A1614">
        <v>891</v>
      </c>
      <c r="B1614" t="s">
        <v>1515</v>
      </c>
      <c r="C1614">
        <v>3</v>
      </c>
    </row>
    <row r="1615" spans="1:3" x14ac:dyDescent="0.35">
      <c r="A1615">
        <v>892</v>
      </c>
      <c r="B1615" t="s">
        <v>1515</v>
      </c>
      <c r="C1615">
        <v>3</v>
      </c>
    </row>
    <row r="1616" spans="1:3" x14ac:dyDescent="0.35">
      <c r="A1616">
        <v>893</v>
      </c>
      <c r="B1616" t="s">
        <v>1515</v>
      </c>
      <c r="C1616">
        <v>3</v>
      </c>
    </row>
    <row r="1617" spans="1:3" x14ac:dyDescent="0.35">
      <c r="A1617">
        <v>894</v>
      </c>
      <c r="B1617" t="s">
        <v>1515</v>
      </c>
      <c r="C1617">
        <v>3</v>
      </c>
    </row>
    <row r="1618" spans="1:3" x14ac:dyDescent="0.35">
      <c r="A1618">
        <v>895</v>
      </c>
      <c r="B1618" t="s">
        <v>1515</v>
      </c>
      <c r="C1618">
        <v>3</v>
      </c>
    </row>
    <row r="1619" spans="1:3" x14ac:dyDescent="0.35">
      <c r="A1619">
        <v>896</v>
      </c>
      <c r="B1619" t="s">
        <v>1515</v>
      </c>
      <c r="C1619">
        <v>3</v>
      </c>
    </row>
    <row r="1620" spans="1:3" x14ac:dyDescent="0.35">
      <c r="A1620">
        <v>897</v>
      </c>
      <c r="B1620" t="s">
        <v>1515</v>
      </c>
      <c r="C1620">
        <v>3</v>
      </c>
    </row>
    <row r="1621" spans="1:3" x14ac:dyDescent="0.35">
      <c r="A1621">
        <v>898</v>
      </c>
      <c r="B1621" t="s">
        <v>1515</v>
      </c>
      <c r="C1621">
        <v>3</v>
      </c>
    </row>
    <row r="1622" spans="1:3" x14ac:dyDescent="0.35">
      <c r="A1622">
        <v>899</v>
      </c>
      <c r="B1622" t="s">
        <v>1515</v>
      </c>
      <c r="C1622">
        <v>3</v>
      </c>
    </row>
    <row r="1623" spans="1:3" x14ac:dyDescent="0.35">
      <c r="A1623">
        <v>900</v>
      </c>
      <c r="B1623" t="s">
        <v>1515</v>
      </c>
      <c r="C1623">
        <v>3</v>
      </c>
    </row>
    <row r="1624" spans="1:3" x14ac:dyDescent="0.35">
      <c r="A1624">
        <v>902</v>
      </c>
      <c r="B1624" t="s">
        <v>1515</v>
      </c>
      <c r="C1624">
        <v>3</v>
      </c>
    </row>
    <row r="1625" spans="1:3" x14ac:dyDescent="0.35">
      <c r="A1625">
        <v>903</v>
      </c>
      <c r="B1625" t="s">
        <v>1515</v>
      </c>
      <c r="C1625">
        <v>3</v>
      </c>
    </row>
    <row r="1626" spans="1:3" x14ac:dyDescent="0.35">
      <c r="A1626">
        <v>904</v>
      </c>
      <c r="B1626" t="s">
        <v>1515</v>
      </c>
      <c r="C1626">
        <v>3</v>
      </c>
    </row>
    <row r="1627" spans="1:3" x14ac:dyDescent="0.35">
      <c r="A1627">
        <v>905</v>
      </c>
      <c r="B1627" t="s">
        <v>1515</v>
      </c>
      <c r="C1627">
        <v>3</v>
      </c>
    </row>
    <row r="1628" spans="1:3" x14ac:dyDescent="0.35">
      <c r="A1628">
        <v>906</v>
      </c>
      <c r="B1628" t="s">
        <v>1515</v>
      </c>
      <c r="C1628">
        <v>3</v>
      </c>
    </row>
    <row r="1629" spans="1:3" x14ac:dyDescent="0.35">
      <c r="A1629">
        <v>908</v>
      </c>
      <c r="B1629" t="s">
        <v>1515</v>
      </c>
      <c r="C1629">
        <v>3</v>
      </c>
    </row>
    <row r="1630" spans="1:3" x14ac:dyDescent="0.35">
      <c r="A1630">
        <v>909</v>
      </c>
      <c r="B1630" t="s">
        <v>1515</v>
      </c>
      <c r="C1630">
        <v>3</v>
      </c>
    </row>
    <row r="1631" spans="1:3" x14ac:dyDescent="0.35">
      <c r="A1631">
        <v>910</v>
      </c>
      <c r="B1631" t="s">
        <v>1515</v>
      </c>
      <c r="C1631">
        <v>3</v>
      </c>
    </row>
    <row r="1632" spans="1:3" x14ac:dyDescent="0.35">
      <c r="A1632">
        <v>911</v>
      </c>
      <c r="B1632" t="s">
        <v>1515</v>
      </c>
      <c r="C1632">
        <v>3</v>
      </c>
    </row>
    <row r="1633" spans="1:3" x14ac:dyDescent="0.35">
      <c r="A1633">
        <v>912</v>
      </c>
      <c r="B1633" t="s">
        <v>1515</v>
      </c>
      <c r="C1633">
        <v>3</v>
      </c>
    </row>
    <row r="1634" spans="1:3" x14ac:dyDescent="0.35">
      <c r="A1634">
        <v>913</v>
      </c>
      <c r="B1634" t="s">
        <v>1515</v>
      </c>
      <c r="C1634">
        <v>3</v>
      </c>
    </row>
    <row r="1635" spans="1:3" x14ac:dyDescent="0.35">
      <c r="A1635">
        <v>914</v>
      </c>
      <c r="B1635" t="s">
        <v>1515</v>
      </c>
      <c r="C1635">
        <v>3</v>
      </c>
    </row>
    <row r="1636" spans="1:3" x14ac:dyDescent="0.35">
      <c r="A1636">
        <v>915</v>
      </c>
      <c r="B1636" t="s">
        <v>1515</v>
      </c>
      <c r="C1636">
        <v>3</v>
      </c>
    </row>
    <row r="1637" spans="1:3" x14ac:dyDescent="0.35">
      <c r="A1637">
        <v>916</v>
      </c>
      <c r="B1637" t="s">
        <v>1515</v>
      </c>
      <c r="C1637">
        <v>3</v>
      </c>
    </row>
    <row r="1638" spans="1:3" x14ac:dyDescent="0.35">
      <c r="A1638">
        <v>917</v>
      </c>
      <c r="B1638" t="s">
        <v>1515</v>
      </c>
      <c r="C1638">
        <v>3</v>
      </c>
    </row>
    <row r="1639" spans="1:3" x14ac:dyDescent="0.35">
      <c r="A1639">
        <v>918</v>
      </c>
      <c r="B1639" t="s">
        <v>1515</v>
      </c>
      <c r="C1639">
        <v>3</v>
      </c>
    </row>
    <row r="1640" spans="1:3" x14ac:dyDescent="0.35">
      <c r="A1640">
        <v>919</v>
      </c>
      <c r="B1640" t="s">
        <v>1515</v>
      </c>
      <c r="C1640">
        <v>3</v>
      </c>
    </row>
    <row r="1641" spans="1:3" x14ac:dyDescent="0.35">
      <c r="A1641">
        <v>920</v>
      </c>
      <c r="B1641" t="s">
        <v>1515</v>
      </c>
      <c r="C1641">
        <v>3</v>
      </c>
    </row>
    <row r="1642" spans="1:3" x14ac:dyDescent="0.35">
      <c r="A1642">
        <v>921</v>
      </c>
      <c r="B1642" t="s">
        <v>1515</v>
      </c>
      <c r="C1642">
        <v>3</v>
      </c>
    </row>
    <row r="1643" spans="1:3" x14ac:dyDescent="0.35">
      <c r="A1643">
        <v>922</v>
      </c>
      <c r="B1643" t="s">
        <v>1515</v>
      </c>
      <c r="C1643">
        <v>3</v>
      </c>
    </row>
    <row r="1644" spans="1:3" x14ac:dyDescent="0.35">
      <c r="A1644">
        <v>923</v>
      </c>
      <c r="B1644" t="s">
        <v>1515</v>
      </c>
      <c r="C1644">
        <v>3</v>
      </c>
    </row>
    <row r="1645" spans="1:3" x14ac:dyDescent="0.35">
      <c r="A1645">
        <v>924</v>
      </c>
      <c r="B1645" t="s">
        <v>1515</v>
      </c>
      <c r="C1645">
        <v>3</v>
      </c>
    </row>
    <row r="1646" spans="1:3" x14ac:dyDescent="0.35">
      <c r="A1646">
        <v>925</v>
      </c>
      <c r="B1646" t="s">
        <v>1515</v>
      </c>
      <c r="C1646">
        <v>3</v>
      </c>
    </row>
    <row r="1647" spans="1:3" x14ac:dyDescent="0.35">
      <c r="A1647">
        <v>926</v>
      </c>
      <c r="B1647" t="s">
        <v>1515</v>
      </c>
      <c r="C1647">
        <v>3</v>
      </c>
    </row>
    <row r="1648" spans="1:3" x14ac:dyDescent="0.35">
      <c r="A1648">
        <v>927</v>
      </c>
      <c r="B1648" t="s">
        <v>1515</v>
      </c>
      <c r="C1648">
        <v>3</v>
      </c>
    </row>
    <row r="1649" spans="1:3" x14ac:dyDescent="0.35">
      <c r="A1649">
        <v>928</v>
      </c>
      <c r="B1649" t="s">
        <v>1515</v>
      </c>
      <c r="C1649">
        <v>3</v>
      </c>
    </row>
    <row r="1650" spans="1:3" x14ac:dyDescent="0.35">
      <c r="A1650">
        <v>929</v>
      </c>
      <c r="B1650" t="s">
        <v>1515</v>
      </c>
      <c r="C1650">
        <v>3</v>
      </c>
    </row>
    <row r="1651" spans="1:3" x14ac:dyDescent="0.35">
      <c r="A1651">
        <v>930</v>
      </c>
      <c r="B1651" t="s">
        <v>1515</v>
      </c>
      <c r="C1651">
        <v>3</v>
      </c>
    </row>
    <row r="1652" spans="1:3" x14ac:dyDescent="0.35">
      <c r="A1652">
        <v>931</v>
      </c>
      <c r="B1652" t="s">
        <v>1515</v>
      </c>
      <c r="C1652">
        <v>3</v>
      </c>
    </row>
    <row r="1653" spans="1:3" x14ac:dyDescent="0.35">
      <c r="A1653">
        <v>932</v>
      </c>
      <c r="B1653" t="s">
        <v>1515</v>
      </c>
      <c r="C1653">
        <v>3</v>
      </c>
    </row>
    <row r="1654" spans="1:3" x14ac:dyDescent="0.35">
      <c r="A1654">
        <v>933</v>
      </c>
      <c r="B1654" t="s">
        <v>1515</v>
      </c>
      <c r="C1654">
        <v>3</v>
      </c>
    </row>
    <row r="1655" spans="1:3" x14ac:dyDescent="0.35">
      <c r="A1655">
        <v>934</v>
      </c>
      <c r="B1655" t="s">
        <v>1515</v>
      </c>
      <c r="C1655">
        <v>3</v>
      </c>
    </row>
    <row r="1656" spans="1:3" x14ac:dyDescent="0.35">
      <c r="A1656">
        <v>935</v>
      </c>
      <c r="B1656" t="s">
        <v>1515</v>
      </c>
      <c r="C1656">
        <v>3</v>
      </c>
    </row>
    <row r="1657" spans="1:3" x14ac:dyDescent="0.35">
      <c r="A1657">
        <v>936</v>
      </c>
      <c r="B1657" t="s">
        <v>1515</v>
      </c>
      <c r="C1657">
        <v>3</v>
      </c>
    </row>
    <row r="1658" spans="1:3" x14ac:dyDescent="0.35">
      <c r="A1658">
        <v>937</v>
      </c>
      <c r="B1658" t="s">
        <v>1515</v>
      </c>
      <c r="C1658">
        <v>3</v>
      </c>
    </row>
    <row r="1659" spans="1:3" x14ac:dyDescent="0.35">
      <c r="A1659">
        <v>938</v>
      </c>
      <c r="B1659" t="s">
        <v>1515</v>
      </c>
      <c r="C1659">
        <v>3</v>
      </c>
    </row>
    <row r="1660" spans="1:3" x14ac:dyDescent="0.35">
      <c r="A1660">
        <v>939</v>
      </c>
      <c r="B1660" t="s">
        <v>1515</v>
      </c>
      <c r="C1660">
        <v>3</v>
      </c>
    </row>
    <row r="1661" spans="1:3" x14ac:dyDescent="0.35">
      <c r="A1661">
        <v>940</v>
      </c>
      <c r="B1661" t="s">
        <v>1515</v>
      </c>
      <c r="C1661">
        <v>3</v>
      </c>
    </row>
    <row r="1662" spans="1:3" x14ac:dyDescent="0.35">
      <c r="A1662">
        <v>941</v>
      </c>
      <c r="B1662" t="s">
        <v>1515</v>
      </c>
      <c r="C1662">
        <v>3</v>
      </c>
    </row>
    <row r="1663" spans="1:3" x14ac:dyDescent="0.35">
      <c r="A1663">
        <v>942</v>
      </c>
      <c r="B1663" t="s">
        <v>1515</v>
      </c>
      <c r="C1663">
        <v>3</v>
      </c>
    </row>
    <row r="1664" spans="1:3" x14ac:dyDescent="0.35">
      <c r="A1664">
        <v>943</v>
      </c>
      <c r="B1664" t="s">
        <v>1515</v>
      </c>
      <c r="C1664">
        <v>3</v>
      </c>
    </row>
    <row r="1665" spans="1:3" x14ac:dyDescent="0.35">
      <c r="A1665">
        <v>944</v>
      </c>
      <c r="B1665" t="s">
        <v>1515</v>
      </c>
      <c r="C1665">
        <v>3</v>
      </c>
    </row>
    <row r="1666" spans="1:3" x14ac:dyDescent="0.35">
      <c r="A1666">
        <v>945</v>
      </c>
      <c r="B1666" t="s">
        <v>1515</v>
      </c>
      <c r="C1666">
        <v>3</v>
      </c>
    </row>
    <row r="1667" spans="1:3" x14ac:dyDescent="0.35">
      <c r="A1667">
        <v>947</v>
      </c>
      <c r="B1667" t="s">
        <v>1515</v>
      </c>
      <c r="C1667">
        <v>3</v>
      </c>
    </row>
    <row r="1668" spans="1:3" x14ac:dyDescent="0.35">
      <c r="A1668">
        <v>948</v>
      </c>
      <c r="B1668" t="s">
        <v>1515</v>
      </c>
      <c r="C1668">
        <v>3</v>
      </c>
    </row>
    <row r="1669" spans="1:3" x14ac:dyDescent="0.35">
      <c r="A1669">
        <v>949</v>
      </c>
      <c r="B1669" t="s">
        <v>1515</v>
      </c>
      <c r="C1669">
        <v>3</v>
      </c>
    </row>
    <row r="1670" spans="1:3" x14ac:dyDescent="0.35">
      <c r="A1670">
        <v>950</v>
      </c>
      <c r="B1670" t="s">
        <v>1515</v>
      </c>
      <c r="C1670">
        <v>3</v>
      </c>
    </row>
    <row r="1671" spans="1:3" x14ac:dyDescent="0.35">
      <c r="A1671">
        <v>951</v>
      </c>
      <c r="B1671" t="s">
        <v>1515</v>
      </c>
      <c r="C1671">
        <v>3</v>
      </c>
    </row>
    <row r="1672" spans="1:3" x14ac:dyDescent="0.35">
      <c r="A1672">
        <v>952</v>
      </c>
      <c r="B1672" t="s">
        <v>1515</v>
      </c>
      <c r="C1672">
        <v>3</v>
      </c>
    </row>
    <row r="1673" spans="1:3" x14ac:dyDescent="0.35">
      <c r="A1673">
        <v>953</v>
      </c>
      <c r="B1673" t="s">
        <v>1515</v>
      </c>
      <c r="C1673">
        <v>3</v>
      </c>
    </row>
    <row r="1674" spans="1:3" x14ac:dyDescent="0.35">
      <c r="A1674">
        <v>954</v>
      </c>
      <c r="B1674" t="s">
        <v>1515</v>
      </c>
      <c r="C1674">
        <v>3</v>
      </c>
    </row>
    <row r="1675" spans="1:3" x14ac:dyDescent="0.35">
      <c r="A1675">
        <v>955</v>
      </c>
      <c r="B1675" t="s">
        <v>1515</v>
      </c>
      <c r="C1675">
        <v>3</v>
      </c>
    </row>
    <row r="1676" spans="1:3" x14ac:dyDescent="0.35">
      <c r="A1676">
        <v>956</v>
      </c>
      <c r="B1676" t="s">
        <v>1515</v>
      </c>
      <c r="C1676">
        <v>3</v>
      </c>
    </row>
    <row r="1677" spans="1:3" x14ac:dyDescent="0.35">
      <c r="A1677">
        <v>957</v>
      </c>
      <c r="B1677" t="s">
        <v>1515</v>
      </c>
      <c r="C1677">
        <v>3</v>
      </c>
    </row>
    <row r="1678" spans="1:3" x14ac:dyDescent="0.35">
      <c r="A1678">
        <v>958</v>
      </c>
      <c r="B1678" t="s">
        <v>1515</v>
      </c>
      <c r="C1678">
        <v>3</v>
      </c>
    </row>
    <row r="1679" spans="1:3" x14ac:dyDescent="0.35">
      <c r="A1679">
        <v>959</v>
      </c>
      <c r="B1679" t="s">
        <v>1515</v>
      </c>
      <c r="C1679">
        <v>3</v>
      </c>
    </row>
    <row r="1680" spans="1:3" x14ac:dyDescent="0.35">
      <c r="A1680">
        <v>960</v>
      </c>
      <c r="B1680" t="s">
        <v>1515</v>
      </c>
      <c r="C1680">
        <v>3</v>
      </c>
    </row>
    <row r="1681" spans="1:3" x14ac:dyDescent="0.35">
      <c r="A1681">
        <v>961</v>
      </c>
      <c r="B1681" t="s">
        <v>1515</v>
      </c>
      <c r="C1681">
        <v>3</v>
      </c>
    </row>
    <row r="1682" spans="1:3" x14ac:dyDescent="0.35">
      <c r="A1682">
        <v>962</v>
      </c>
      <c r="B1682" t="s">
        <v>1515</v>
      </c>
      <c r="C1682">
        <v>3</v>
      </c>
    </row>
    <row r="1683" spans="1:3" x14ac:dyDescent="0.35">
      <c r="A1683">
        <v>963</v>
      </c>
      <c r="B1683" t="s">
        <v>1515</v>
      </c>
      <c r="C1683">
        <v>3</v>
      </c>
    </row>
    <row r="1684" spans="1:3" x14ac:dyDescent="0.35">
      <c r="A1684">
        <v>964</v>
      </c>
      <c r="B1684" t="s">
        <v>1515</v>
      </c>
      <c r="C1684">
        <v>3</v>
      </c>
    </row>
    <row r="1685" spans="1:3" x14ac:dyDescent="0.35">
      <c r="A1685">
        <v>965</v>
      </c>
      <c r="B1685" t="s">
        <v>1515</v>
      </c>
      <c r="C1685">
        <v>3</v>
      </c>
    </row>
    <row r="1686" spans="1:3" x14ac:dyDescent="0.35">
      <c r="A1686">
        <v>966</v>
      </c>
      <c r="B1686" t="s">
        <v>1515</v>
      </c>
      <c r="C1686">
        <v>3</v>
      </c>
    </row>
    <row r="1687" spans="1:3" x14ac:dyDescent="0.35">
      <c r="A1687">
        <v>967</v>
      </c>
      <c r="B1687" t="s">
        <v>1515</v>
      </c>
      <c r="C1687">
        <v>3</v>
      </c>
    </row>
    <row r="1688" spans="1:3" x14ac:dyDescent="0.35">
      <c r="A1688">
        <v>968</v>
      </c>
      <c r="B1688" t="s">
        <v>1515</v>
      </c>
      <c r="C1688">
        <v>3</v>
      </c>
    </row>
    <row r="1689" spans="1:3" x14ac:dyDescent="0.35">
      <c r="A1689">
        <v>969</v>
      </c>
      <c r="B1689" t="s">
        <v>1515</v>
      </c>
      <c r="C1689">
        <v>3</v>
      </c>
    </row>
    <row r="1690" spans="1:3" x14ac:dyDescent="0.35">
      <c r="A1690">
        <v>970</v>
      </c>
      <c r="B1690" t="s">
        <v>1515</v>
      </c>
      <c r="C1690">
        <v>3</v>
      </c>
    </row>
    <row r="1691" spans="1:3" x14ac:dyDescent="0.35">
      <c r="A1691">
        <v>971</v>
      </c>
      <c r="B1691" t="s">
        <v>1515</v>
      </c>
      <c r="C1691">
        <v>3</v>
      </c>
    </row>
    <row r="1692" spans="1:3" x14ac:dyDescent="0.35">
      <c r="A1692">
        <v>972</v>
      </c>
      <c r="B1692" t="s">
        <v>1515</v>
      </c>
      <c r="C1692">
        <v>3</v>
      </c>
    </row>
    <row r="1693" spans="1:3" x14ac:dyDescent="0.35">
      <c r="A1693">
        <v>973</v>
      </c>
      <c r="B1693" t="s">
        <v>1515</v>
      </c>
      <c r="C1693">
        <v>3</v>
      </c>
    </row>
    <row r="1694" spans="1:3" x14ac:dyDescent="0.35">
      <c r="A1694">
        <v>974</v>
      </c>
      <c r="B1694" t="s">
        <v>1515</v>
      </c>
      <c r="C1694">
        <v>3</v>
      </c>
    </row>
    <row r="1695" spans="1:3" x14ac:dyDescent="0.35">
      <c r="A1695">
        <v>975</v>
      </c>
      <c r="B1695" t="s">
        <v>1515</v>
      </c>
      <c r="C1695">
        <v>3</v>
      </c>
    </row>
    <row r="1696" spans="1:3" x14ac:dyDescent="0.35">
      <c r="A1696">
        <v>976</v>
      </c>
      <c r="B1696" t="s">
        <v>1515</v>
      </c>
      <c r="C1696">
        <v>3</v>
      </c>
    </row>
    <row r="1697" spans="1:3" x14ac:dyDescent="0.35">
      <c r="A1697">
        <v>977</v>
      </c>
      <c r="B1697" t="s">
        <v>1515</v>
      </c>
      <c r="C1697">
        <v>3</v>
      </c>
    </row>
    <row r="1698" spans="1:3" x14ac:dyDescent="0.35">
      <c r="A1698">
        <v>978</v>
      </c>
      <c r="B1698" t="s">
        <v>1515</v>
      </c>
      <c r="C1698">
        <v>3</v>
      </c>
    </row>
    <row r="1699" spans="1:3" x14ac:dyDescent="0.35">
      <c r="A1699">
        <v>979</v>
      </c>
      <c r="B1699" t="s">
        <v>1515</v>
      </c>
      <c r="C1699">
        <v>3</v>
      </c>
    </row>
    <row r="1700" spans="1:3" x14ac:dyDescent="0.35">
      <c r="A1700">
        <v>980</v>
      </c>
      <c r="B1700" t="s">
        <v>1515</v>
      </c>
      <c r="C1700">
        <v>3</v>
      </c>
    </row>
    <row r="1701" spans="1:3" x14ac:dyDescent="0.35">
      <c r="A1701">
        <v>981</v>
      </c>
      <c r="B1701" t="s">
        <v>1515</v>
      </c>
      <c r="C1701">
        <v>3</v>
      </c>
    </row>
    <row r="1702" spans="1:3" x14ac:dyDescent="0.35">
      <c r="A1702">
        <v>982</v>
      </c>
      <c r="B1702" t="s">
        <v>1515</v>
      </c>
      <c r="C1702">
        <v>3</v>
      </c>
    </row>
    <row r="1703" spans="1:3" x14ac:dyDescent="0.35">
      <c r="A1703">
        <v>983</v>
      </c>
      <c r="B1703" t="s">
        <v>1515</v>
      </c>
      <c r="C1703">
        <v>3</v>
      </c>
    </row>
    <row r="1704" spans="1:3" x14ac:dyDescent="0.35">
      <c r="A1704">
        <v>984</v>
      </c>
      <c r="B1704" t="s">
        <v>1515</v>
      </c>
      <c r="C1704">
        <v>3</v>
      </c>
    </row>
    <row r="1705" spans="1:3" x14ac:dyDescent="0.35">
      <c r="A1705">
        <v>985</v>
      </c>
      <c r="B1705" t="s">
        <v>1515</v>
      </c>
      <c r="C1705">
        <v>3</v>
      </c>
    </row>
    <row r="1706" spans="1:3" x14ac:dyDescent="0.35">
      <c r="A1706">
        <v>986</v>
      </c>
      <c r="B1706" t="s">
        <v>1515</v>
      </c>
      <c r="C1706">
        <v>3</v>
      </c>
    </row>
    <row r="1707" spans="1:3" x14ac:dyDescent="0.35">
      <c r="A1707">
        <v>987</v>
      </c>
      <c r="B1707" t="s">
        <v>1515</v>
      </c>
      <c r="C1707">
        <v>3</v>
      </c>
    </row>
    <row r="1708" spans="1:3" x14ac:dyDescent="0.35">
      <c r="A1708">
        <v>988</v>
      </c>
      <c r="B1708" t="s">
        <v>1515</v>
      </c>
      <c r="C1708">
        <v>3</v>
      </c>
    </row>
    <row r="1709" spans="1:3" x14ac:dyDescent="0.35">
      <c r="A1709">
        <v>989</v>
      </c>
      <c r="B1709" t="s">
        <v>1515</v>
      </c>
      <c r="C1709">
        <v>3</v>
      </c>
    </row>
    <row r="1710" spans="1:3" x14ac:dyDescent="0.35">
      <c r="A1710">
        <v>990</v>
      </c>
      <c r="B1710" t="s">
        <v>1515</v>
      </c>
      <c r="C1710">
        <v>3</v>
      </c>
    </row>
    <row r="1711" spans="1:3" x14ac:dyDescent="0.35">
      <c r="A1711">
        <v>991</v>
      </c>
      <c r="B1711" t="s">
        <v>1515</v>
      </c>
      <c r="C1711">
        <v>3</v>
      </c>
    </row>
    <row r="1712" spans="1:3" x14ac:dyDescent="0.35">
      <c r="A1712">
        <v>992</v>
      </c>
      <c r="B1712" t="s">
        <v>1515</v>
      </c>
      <c r="C1712">
        <v>3</v>
      </c>
    </row>
    <row r="1713" spans="1:3" x14ac:dyDescent="0.35">
      <c r="A1713">
        <v>993</v>
      </c>
      <c r="B1713" t="s">
        <v>1515</v>
      </c>
      <c r="C1713">
        <v>3</v>
      </c>
    </row>
    <row r="1714" spans="1:3" x14ac:dyDescent="0.35">
      <c r="A1714">
        <v>994</v>
      </c>
      <c r="B1714" t="s">
        <v>1515</v>
      </c>
      <c r="C1714">
        <v>3</v>
      </c>
    </row>
    <row r="1715" spans="1:3" x14ac:dyDescent="0.35">
      <c r="A1715">
        <v>995</v>
      </c>
      <c r="B1715" t="s">
        <v>1515</v>
      </c>
      <c r="C1715">
        <v>3</v>
      </c>
    </row>
    <row r="1716" spans="1:3" x14ac:dyDescent="0.35">
      <c r="A1716">
        <v>996</v>
      </c>
      <c r="B1716" t="s">
        <v>1515</v>
      </c>
      <c r="C1716">
        <v>3</v>
      </c>
    </row>
    <row r="1717" spans="1:3" x14ac:dyDescent="0.35">
      <c r="A1717">
        <v>997</v>
      </c>
      <c r="B1717" t="s">
        <v>1515</v>
      </c>
      <c r="C1717">
        <v>3</v>
      </c>
    </row>
    <row r="1718" spans="1:3" x14ac:dyDescent="0.35">
      <c r="A1718">
        <v>998</v>
      </c>
      <c r="B1718" t="s">
        <v>1515</v>
      </c>
      <c r="C1718">
        <v>3</v>
      </c>
    </row>
    <row r="1719" spans="1:3" x14ac:dyDescent="0.35">
      <c r="A1719">
        <v>1000</v>
      </c>
      <c r="B1719" t="s">
        <v>1515</v>
      </c>
      <c r="C1719">
        <v>3</v>
      </c>
    </row>
    <row r="1720" spans="1:3" x14ac:dyDescent="0.35">
      <c r="A1720">
        <v>1001</v>
      </c>
      <c r="B1720" t="s">
        <v>1515</v>
      </c>
      <c r="C1720">
        <v>3</v>
      </c>
    </row>
    <row r="1721" spans="1:3" x14ac:dyDescent="0.35">
      <c r="A1721">
        <v>1002</v>
      </c>
      <c r="B1721" t="s">
        <v>1515</v>
      </c>
      <c r="C1721">
        <v>3</v>
      </c>
    </row>
    <row r="1722" spans="1:3" x14ac:dyDescent="0.35">
      <c r="A1722">
        <v>1003</v>
      </c>
      <c r="B1722" t="s">
        <v>1515</v>
      </c>
      <c r="C1722">
        <v>3</v>
      </c>
    </row>
    <row r="1723" spans="1:3" x14ac:dyDescent="0.35">
      <c r="A1723">
        <v>1004</v>
      </c>
      <c r="B1723" t="s">
        <v>1515</v>
      </c>
      <c r="C1723">
        <v>3</v>
      </c>
    </row>
    <row r="1724" spans="1:3" x14ac:dyDescent="0.35">
      <c r="A1724">
        <v>1005</v>
      </c>
      <c r="B1724" t="s">
        <v>1515</v>
      </c>
      <c r="C1724">
        <v>3</v>
      </c>
    </row>
    <row r="1725" spans="1:3" x14ac:dyDescent="0.35">
      <c r="A1725">
        <v>1006</v>
      </c>
      <c r="B1725" t="s">
        <v>1515</v>
      </c>
      <c r="C1725">
        <v>3</v>
      </c>
    </row>
    <row r="1726" spans="1:3" x14ac:dyDescent="0.35">
      <c r="A1726">
        <v>1007</v>
      </c>
      <c r="B1726" t="s">
        <v>1515</v>
      </c>
      <c r="C1726">
        <v>3</v>
      </c>
    </row>
    <row r="1727" spans="1:3" x14ac:dyDescent="0.35">
      <c r="A1727">
        <v>1008</v>
      </c>
      <c r="B1727" t="s">
        <v>1515</v>
      </c>
      <c r="C1727">
        <v>3</v>
      </c>
    </row>
    <row r="1728" spans="1:3" x14ac:dyDescent="0.35">
      <c r="A1728">
        <v>1009</v>
      </c>
      <c r="B1728" t="s">
        <v>1515</v>
      </c>
      <c r="C1728">
        <v>3</v>
      </c>
    </row>
    <row r="1729" spans="1:3" x14ac:dyDescent="0.35">
      <c r="A1729">
        <v>1010</v>
      </c>
      <c r="B1729" t="s">
        <v>1515</v>
      </c>
      <c r="C1729">
        <v>3</v>
      </c>
    </row>
    <row r="1730" spans="1:3" x14ac:dyDescent="0.35">
      <c r="A1730">
        <v>1011</v>
      </c>
      <c r="B1730" t="s">
        <v>1515</v>
      </c>
      <c r="C1730">
        <v>3</v>
      </c>
    </row>
    <row r="1731" spans="1:3" x14ac:dyDescent="0.35">
      <c r="A1731">
        <v>1012</v>
      </c>
      <c r="B1731" t="s">
        <v>1515</v>
      </c>
      <c r="C1731">
        <v>3</v>
      </c>
    </row>
    <row r="1732" spans="1:3" x14ac:dyDescent="0.35">
      <c r="A1732">
        <v>1013</v>
      </c>
      <c r="B1732" t="s">
        <v>1515</v>
      </c>
      <c r="C1732">
        <v>3</v>
      </c>
    </row>
    <row r="1733" spans="1:3" x14ac:dyDescent="0.35">
      <c r="A1733">
        <v>1014</v>
      </c>
      <c r="B1733" t="s">
        <v>1515</v>
      </c>
      <c r="C1733">
        <v>3</v>
      </c>
    </row>
    <row r="1734" spans="1:3" x14ac:dyDescent="0.35">
      <c r="A1734">
        <v>1015</v>
      </c>
      <c r="B1734" t="s">
        <v>1515</v>
      </c>
      <c r="C1734">
        <v>3</v>
      </c>
    </row>
    <row r="1735" spans="1:3" x14ac:dyDescent="0.35">
      <c r="A1735">
        <v>1016</v>
      </c>
      <c r="B1735" t="s">
        <v>1515</v>
      </c>
      <c r="C1735">
        <v>3</v>
      </c>
    </row>
    <row r="1736" spans="1:3" x14ac:dyDescent="0.35">
      <c r="A1736">
        <v>1017</v>
      </c>
      <c r="B1736" t="s">
        <v>1515</v>
      </c>
      <c r="C1736">
        <v>3</v>
      </c>
    </row>
    <row r="1737" spans="1:3" x14ac:dyDescent="0.35">
      <c r="A1737">
        <v>1019</v>
      </c>
      <c r="B1737" t="s">
        <v>1515</v>
      </c>
      <c r="C1737">
        <v>3</v>
      </c>
    </row>
    <row r="1738" spans="1:3" x14ac:dyDescent="0.35">
      <c r="A1738">
        <v>1023</v>
      </c>
      <c r="B1738" t="s">
        <v>1515</v>
      </c>
      <c r="C1738">
        <v>3</v>
      </c>
    </row>
    <row r="1739" spans="1:3" x14ac:dyDescent="0.35">
      <c r="A1739">
        <v>1024</v>
      </c>
      <c r="B1739" t="s">
        <v>1515</v>
      </c>
      <c r="C1739">
        <v>3</v>
      </c>
    </row>
    <row r="1740" spans="1:3" x14ac:dyDescent="0.35">
      <c r="A1740">
        <v>1025</v>
      </c>
      <c r="B1740" t="s">
        <v>1515</v>
      </c>
      <c r="C1740">
        <v>3</v>
      </c>
    </row>
    <row r="1741" spans="1:3" x14ac:dyDescent="0.35">
      <c r="A1741">
        <v>1026</v>
      </c>
      <c r="B1741" t="s">
        <v>1515</v>
      </c>
      <c r="C1741">
        <v>3</v>
      </c>
    </row>
    <row r="1742" spans="1:3" x14ac:dyDescent="0.35">
      <c r="A1742">
        <v>1027</v>
      </c>
      <c r="B1742" t="s">
        <v>1515</v>
      </c>
      <c r="C1742">
        <v>3</v>
      </c>
    </row>
    <row r="1743" spans="1:3" x14ac:dyDescent="0.35">
      <c r="A1743">
        <v>1028</v>
      </c>
      <c r="B1743" t="s">
        <v>1515</v>
      </c>
      <c r="C1743">
        <v>3</v>
      </c>
    </row>
    <row r="1744" spans="1:3" x14ac:dyDescent="0.35">
      <c r="A1744">
        <v>1029</v>
      </c>
      <c r="B1744" t="s">
        <v>1515</v>
      </c>
      <c r="C1744">
        <v>3</v>
      </c>
    </row>
    <row r="1745" spans="1:3" x14ac:dyDescent="0.35">
      <c r="A1745">
        <v>1032</v>
      </c>
      <c r="B1745" t="s">
        <v>1515</v>
      </c>
      <c r="C1745">
        <v>3</v>
      </c>
    </row>
    <row r="1746" spans="1:3" x14ac:dyDescent="0.35">
      <c r="A1746">
        <v>1034</v>
      </c>
      <c r="B1746" t="s">
        <v>1515</v>
      </c>
      <c r="C1746">
        <v>3</v>
      </c>
    </row>
    <row r="1747" spans="1:3" x14ac:dyDescent="0.35">
      <c r="A1747">
        <v>1035</v>
      </c>
      <c r="B1747" t="s">
        <v>1515</v>
      </c>
      <c r="C1747">
        <v>3</v>
      </c>
    </row>
    <row r="1748" spans="1:3" x14ac:dyDescent="0.35">
      <c r="A1748">
        <v>1036</v>
      </c>
      <c r="B1748" t="s">
        <v>1515</v>
      </c>
      <c r="C1748">
        <v>3</v>
      </c>
    </row>
    <row r="1749" spans="1:3" x14ac:dyDescent="0.35">
      <c r="A1749">
        <v>1037</v>
      </c>
      <c r="B1749" t="s">
        <v>1515</v>
      </c>
      <c r="C1749">
        <v>3</v>
      </c>
    </row>
    <row r="1750" spans="1:3" x14ac:dyDescent="0.35">
      <c r="A1750">
        <v>1038</v>
      </c>
      <c r="B1750" t="s">
        <v>1515</v>
      </c>
      <c r="C1750">
        <v>3</v>
      </c>
    </row>
    <row r="1751" spans="1:3" x14ac:dyDescent="0.35">
      <c r="A1751">
        <v>1039</v>
      </c>
      <c r="B1751" t="s">
        <v>1515</v>
      </c>
      <c r="C1751">
        <v>3</v>
      </c>
    </row>
    <row r="1752" spans="1:3" x14ac:dyDescent="0.35">
      <c r="A1752">
        <v>1040</v>
      </c>
      <c r="B1752" t="s">
        <v>1515</v>
      </c>
      <c r="C1752">
        <v>3</v>
      </c>
    </row>
    <row r="1753" spans="1:3" x14ac:dyDescent="0.35">
      <c r="A1753">
        <v>1041</v>
      </c>
      <c r="B1753" t="s">
        <v>1515</v>
      </c>
      <c r="C1753">
        <v>3</v>
      </c>
    </row>
    <row r="1754" spans="1:3" x14ac:dyDescent="0.35">
      <c r="A1754">
        <v>1042</v>
      </c>
      <c r="B1754" t="s">
        <v>1515</v>
      </c>
      <c r="C1754">
        <v>3</v>
      </c>
    </row>
    <row r="1755" spans="1:3" x14ac:dyDescent="0.35">
      <c r="A1755">
        <v>1043</v>
      </c>
      <c r="B1755" t="s">
        <v>1515</v>
      </c>
      <c r="C1755">
        <v>3</v>
      </c>
    </row>
    <row r="1756" spans="1:3" x14ac:dyDescent="0.35">
      <c r="A1756">
        <v>1044</v>
      </c>
      <c r="B1756" t="s">
        <v>1515</v>
      </c>
      <c r="C1756">
        <v>3</v>
      </c>
    </row>
    <row r="1757" spans="1:3" x14ac:dyDescent="0.35">
      <c r="A1757">
        <v>1045</v>
      </c>
      <c r="B1757" t="s">
        <v>1515</v>
      </c>
      <c r="C1757">
        <v>3</v>
      </c>
    </row>
    <row r="1758" spans="1:3" x14ac:dyDescent="0.35">
      <c r="A1758">
        <v>1046</v>
      </c>
      <c r="B1758" t="s">
        <v>1515</v>
      </c>
      <c r="C1758">
        <v>3</v>
      </c>
    </row>
    <row r="1759" spans="1:3" x14ac:dyDescent="0.35">
      <c r="A1759">
        <v>1047</v>
      </c>
      <c r="B1759" t="s">
        <v>1515</v>
      </c>
      <c r="C1759">
        <v>3</v>
      </c>
    </row>
    <row r="1760" spans="1:3" x14ac:dyDescent="0.35">
      <c r="A1760">
        <v>1048</v>
      </c>
      <c r="B1760" t="s">
        <v>1515</v>
      </c>
      <c r="C1760">
        <v>3</v>
      </c>
    </row>
    <row r="1761" spans="1:3" x14ac:dyDescent="0.35">
      <c r="A1761">
        <v>1049</v>
      </c>
      <c r="B1761" t="s">
        <v>1515</v>
      </c>
      <c r="C1761">
        <v>3</v>
      </c>
    </row>
    <row r="1762" spans="1:3" x14ac:dyDescent="0.35">
      <c r="A1762">
        <v>1050</v>
      </c>
      <c r="B1762" t="s">
        <v>1515</v>
      </c>
      <c r="C1762">
        <v>3</v>
      </c>
    </row>
    <row r="1763" spans="1:3" x14ac:dyDescent="0.35">
      <c r="A1763">
        <v>1051</v>
      </c>
      <c r="B1763" t="s">
        <v>1515</v>
      </c>
      <c r="C1763">
        <v>3</v>
      </c>
    </row>
    <row r="1764" spans="1:3" x14ac:dyDescent="0.35">
      <c r="A1764">
        <v>1052</v>
      </c>
      <c r="B1764" t="s">
        <v>1515</v>
      </c>
      <c r="C1764">
        <v>3</v>
      </c>
    </row>
    <row r="1765" spans="1:3" x14ac:dyDescent="0.35">
      <c r="A1765">
        <v>1053</v>
      </c>
      <c r="B1765" t="s">
        <v>1515</v>
      </c>
      <c r="C1765">
        <v>3</v>
      </c>
    </row>
    <row r="1766" spans="1:3" x14ac:dyDescent="0.35">
      <c r="A1766">
        <v>1054</v>
      </c>
      <c r="B1766" t="s">
        <v>1515</v>
      </c>
      <c r="C1766">
        <v>3</v>
      </c>
    </row>
    <row r="1767" spans="1:3" x14ac:dyDescent="0.35">
      <c r="A1767">
        <v>1055</v>
      </c>
      <c r="B1767" t="s">
        <v>1515</v>
      </c>
      <c r="C1767">
        <v>3</v>
      </c>
    </row>
    <row r="1768" spans="1:3" x14ac:dyDescent="0.35">
      <c r="A1768">
        <v>1056</v>
      </c>
      <c r="B1768" t="s">
        <v>1515</v>
      </c>
      <c r="C1768">
        <v>3</v>
      </c>
    </row>
    <row r="1769" spans="1:3" x14ac:dyDescent="0.35">
      <c r="A1769">
        <v>1057</v>
      </c>
      <c r="B1769" t="s">
        <v>1515</v>
      </c>
      <c r="C1769">
        <v>3</v>
      </c>
    </row>
    <row r="1770" spans="1:3" x14ac:dyDescent="0.35">
      <c r="A1770">
        <v>1058</v>
      </c>
      <c r="B1770" t="s">
        <v>1515</v>
      </c>
      <c r="C1770">
        <v>3</v>
      </c>
    </row>
    <row r="1771" spans="1:3" x14ac:dyDescent="0.35">
      <c r="A1771">
        <v>1059</v>
      </c>
      <c r="B1771" t="s">
        <v>1515</v>
      </c>
      <c r="C1771">
        <v>3</v>
      </c>
    </row>
    <row r="1772" spans="1:3" x14ac:dyDescent="0.35">
      <c r="A1772">
        <v>1060</v>
      </c>
      <c r="B1772" t="s">
        <v>1515</v>
      </c>
      <c r="C1772">
        <v>3</v>
      </c>
    </row>
    <row r="1773" spans="1:3" x14ac:dyDescent="0.35">
      <c r="A1773">
        <v>1061</v>
      </c>
      <c r="B1773" t="s">
        <v>1515</v>
      </c>
      <c r="C1773">
        <v>3</v>
      </c>
    </row>
    <row r="1774" spans="1:3" x14ac:dyDescent="0.35">
      <c r="A1774">
        <v>1062</v>
      </c>
      <c r="B1774" t="s">
        <v>1515</v>
      </c>
      <c r="C1774">
        <v>3</v>
      </c>
    </row>
    <row r="1775" spans="1:3" x14ac:dyDescent="0.35">
      <c r="A1775">
        <v>1063</v>
      </c>
      <c r="B1775" t="s">
        <v>1515</v>
      </c>
      <c r="C1775">
        <v>3</v>
      </c>
    </row>
    <row r="1776" spans="1:3" x14ac:dyDescent="0.35">
      <c r="A1776">
        <v>1066</v>
      </c>
      <c r="B1776" t="s">
        <v>1515</v>
      </c>
      <c r="C1776">
        <v>3</v>
      </c>
    </row>
    <row r="1777" spans="1:3" x14ac:dyDescent="0.35">
      <c r="A1777">
        <v>1067</v>
      </c>
      <c r="B1777" t="s">
        <v>1515</v>
      </c>
      <c r="C1777">
        <v>3</v>
      </c>
    </row>
    <row r="1778" spans="1:3" x14ac:dyDescent="0.35">
      <c r="A1778">
        <v>1068</v>
      </c>
      <c r="B1778" t="s">
        <v>1515</v>
      </c>
      <c r="C1778">
        <v>3</v>
      </c>
    </row>
    <row r="1779" spans="1:3" x14ac:dyDescent="0.35">
      <c r="A1779">
        <v>1069</v>
      </c>
      <c r="B1779" t="s">
        <v>1515</v>
      </c>
      <c r="C1779">
        <v>3</v>
      </c>
    </row>
    <row r="1780" spans="1:3" x14ac:dyDescent="0.35">
      <c r="A1780">
        <v>1070</v>
      </c>
      <c r="B1780" t="s">
        <v>1515</v>
      </c>
      <c r="C1780">
        <v>3</v>
      </c>
    </row>
    <row r="1781" spans="1:3" x14ac:dyDescent="0.35">
      <c r="A1781">
        <v>1071</v>
      </c>
      <c r="B1781" t="s">
        <v>1515</v>
      </c>
      <c r="C1781">
        <v>3</v>
      </c>
    </row>
    <row r="1782" spans="1:3" x14ac:dyDescent="0.35">
      <c r="A1782">
        <v>1072</v>
      </c>
      <c r="B1782" t="s">
        <v>1515</v>
      </c>
      <c r="C1782">
        <v>3</v>
      </c>
    </row>
    <row r="1783" spans="1:3" x14ac:dyDescent="0.35">
      <c r="A1783">
        <v>1073</v>
      </c>
      <c r="B1783" t="s">
        <v>1515</v>
      </c>
      <c r="C1783">
        <v>3</v>
      </c>
    </row>
    <row r="1784" spans="1:3" x14ac:dyDescent="0.35">
      <c r="A1784">
        <v>1074</v>
      </c>
      <c r="B1784" t="s">
        <v>1515</v>
      </c>
      <c r="C1784">
        <v>3</v>
      </c>
    </row>
    <row r="1785" spans="1:3" x14ac:dyDescent="0.35">
      <c r="A1785">
        <v>1076</v>
      </c>
      <c r="B1785" t="s">
        <v>1515</v>
      </c>
      <c r="C1785">
        <v>3</v>
      </c>
    </row>
    <row r="1786" spans="1:3" x14ac:dyDescent="0.35">
      <c r="A1786">
        <v>1077</v>
      </c>
      <c r="B1786" t="s">
        <v>1515</v>
      </c>
      <c r="C1786">
        <v>3</v>
      </c>
    </row>
    <row r="1787" spans="1:3" x14ac:dyDescent="0.35">
      <c r="A1787">
        <v>1078</v>
      </c>
      <c r="B1787" t="s">
        <v>1515</v>
      </c>
      <c r="C1787">
        <v>3</v>
      </c>
    </row>
    <row r="1788" spans="1:3" x14ac:dyDescent="0.35">
      <c r="A1788">
        <v>1079</v>
      </c>
      <c r="B1788" t="s">
        <v>1515</v>
      </c>
      <c r="C1788">
        <v>3</v>
      </c>
    </row>
    <row r="1789" spans="1:3" x14ac:dyDescent="0.35">
      <c r="A1789">
        <v>1080</v>
      </c>
      <c r="B1789" t="s">
        <v>1515</v>
      </c>
      <c r="C1789">
        <v>3</v>
      </c>
    </row>
    <row r="1790" spans="1:3" x14ac:dyDescent="0.35">
      <c r="A1790">
        <v>1081</v>
      </c>
      <c r="B1790" t="s">
        <v>1515</v>
      </c>
      <c r="C1790">
        <v>3</v>
      </c>
    </row>
    <row r="1791" spans="1:3" x14ac:dyDescent="0.35">
      <c r="A1791">
        <v>1082</v>
      </c>
      <c r="B1791" t="s">
        <v>1515</v>
      </c>
      <c r="C1791">
        <v>3</v>
      </c>
    </row>
    <row r="1792" spans="1:3" x14ac:dyDescent="0.35">
      <c r="A1792">
        <v>1083</v>
      </c>
      <c r="B1792" t="s">
        <v>1515</v>
      </c>
      <c r="C1792">
        <v>3</v>
      </c>
    </row>
    <row r="1793" spans="1:3" x14ac:dyDescent="0.35">
      <c r="A1793">
        <v>1084</v>
      </c>
      <c r="B1793" t="s">
        <v>1515</v>
      </c>
      <c r="C1793">
        <v>3</v>
      </c>
    </row>
    <row r="1794" spans="1:3" x14ac:dyDescent="0.35">
      <c r="A1794">
        <v>1085</v>
      </c>
      <c r="B1794" t="s">
        <v>1515</v>
      </c>
      <c r="C1794">
        <v>3</v>
      </c>
    </row>
    <row r="1795" spans="1:3" x14ac:dyDescent="0.35">
      <c r="A1795">
        <v>1086</v>
      </c>
      <c r="B1795" t="s">
        <v>1515</v>
      </c>
      <c r="C1795">
        <v>3</v>
      </c>
    </row>
    <row r="1796" spans="1:3" x14ac:dyDescent="0.35">
      <c r="A1796">
        <v>1087</v>
      </c>
      <c r="B1796" t="s">
        <v>1515</v>
      </c>
      <c r="C1796">
        <v>3</v>
      </c>
    </row>
    <row r="1797" spans="1:3" x14ac:dyDescent="0.35">
      <c r="A1797">
        <v>1088</v>
      </c>
      <c r="B1797" t="s">
        <v>1515</v>
      </c>
      <c r="C1797">
        <v>3</v>
      </c>
    </row>
    <row r="1798" spans="1:3" x14ac:dyDescent="0.35">
      <c r="A1798">
        <v>1089</v>
      </c>
      <c r="B1798" t="s">
        <v>1515</v>
      </c>
      <c r="C1798">
        <v>3</v>
      </c>
    </row>
    <row r="1799" spans="1:3" x14ac:dyDescent="0.35">
      <c r="A1799">
        <v>1090</v>
      </c>
      <c r="B1799" t="s">
        <v>1515</v>
      </c>
      <c r="C1799">
        <v>3</v>
      </c>
    </row>
    <row r="1800" spans="1:3" x14ac:dyDescent="0.35">
      <c r="A1800">
        <v>1091</v>
      </c>
      <c r="B1800" t="s">
        <v>1515</v>
      </c>
      <c r="C1800">
        <v>3</v>
      </c>
    </row>
    <row r="1801" spans="1:3" x14ac:dyDescent="0.35">
      <c r="A1801">
        <v>1092</v>
      </c>
      <c r="B1801" t="s">
        <v>1515</v>
      </c>
      <c r="C1801">
        <v>3</v>
      </c>
    </row>
    <row r="1802" spans="1:3" x14ac:dyDescent="0.35">
      <c r="A1802">
        <v>1093</v>
      </c>
      <c r="B1802" t="s">
        <v>1515</v>
      </c>
      <c r="C1802">
        <v>3</v>
      </c>
    </row>
    <row r="1803" spans="1:3" x14ac:dyDescent="0.35">
      <c r="A1803">
        <v>1094</v>
      </c>
      <c r="B1803" t="s">
        <v>1515</v>
      </c>
      <c r="C1803">
        <v>3</v>
      </c>
    </row>
    <row r="1804" spans="1:3" x14ac:dyDescent="0.35">
      <c r="A1804">
        <v>1095</v>
      </c>
      <c r="B1804" t="s">
        <v>1515</v>
      </c>
      <c r="C1804">
        <v>3</v>
      </c>
    </row>
    <row r="1805" spans="1:3" x14ac:dyDescent="0.35">
      <c r="A1805">
        <v>1096</v>
      </c>
      <c r="B1805" t="s">
        <v>1515</v>
      </c>
      <c r="C1805">
        <v>3</v>
      </c>
    </row>
    <row r="1806" spans="1:3" x14ac:dyDescent="0.35">
      <c r="A1806">
        <v>1097</v>
      </c>
      <c r="B1806" t="s">
        <v>1515</v>
      </c>
      <c r="C1806">
        <v>3</v>
      </c>
    </row>
    <row r="1807" spans="1:3" x14ac:dyDescent="0.35">
      <c r="A1807">
        <v>1098</v>
      </c>
      <c r="B1807" t="s">
        <v>1515</v>
      </c>
      <c r="C1807">
        <v>3</v>
      </c>
    </row>
    <row r="1808" spans="1:3" x14ac:dyDescent="0.35">
      <c r="A1808">
        <v>1099</v>
      </c>
      <c r="B1808" t="s">
        <v>1515</v>
      </c>
      <c r="C1808">
        <v>3</v>
      </c>
    </row>
    <row r="1809" spans="1:3" x14ac:dyDescent="0.35">
      <c r="A1809">
        <v>1100</v>
      </c>
      <c r="B1809" t="s">
        <v>1515</v>
      </c>
      <c r="C1809">
        <v>3</v>
      </c>
    </row>
    <row r="1810" spans="1:3" x14ac:dyDescent="0.35">
      <c r="A1810">
        <v>1101</v>
      </c>
      <c r="B1810" t="s">
        <v>1515</v>
      </c>
      <c r="C1810">
        <v>3</v>
      </c>
    </row>
    <row r="1811" spans="1:3" x14ac:dyDescent="0.35">
      <c r="A1811">
        <v>1102</v>
      </c>
      <c r="B1811" t="s">
        <v>1515</v>
      </c>
      <c r="C1811">
        <v>3</v>
      </c>
    </row>
    <row r="1812" spans="1:3" x14ac:dyDescent="0.35">
      <c r="A1812">
        <v>1103</v>
      </c>
      <c r="B1812" t="s">
        <v>1515</v>
      </c>
      <c r="C1812">
        <v>3</v>
      </c>
    </row>
    <row r="1813" spans="1:3" x14ac:dyDescent="0.35">
      <c r="A1813">
        <v>1104</v>
      </c>
      <c r="B1813" t="s">
        <v>1515</v>
      </c>
      <c r="C1813">
        <v>3</v>
      </c>
    </row>
    <row r="1814" spans="1:3" x14ac:dyDescent="0.35">
      <c r="A1814">
        <v>1105</v>
      </c>
      <c r="B1814" t="s">
        <v>1515</v>
      </c>
      <c r="C1814">
        <v>3</v>
      </c>
    </row>
    <row r="1815" spans="1:3" x14ac:dyDescent="0.35">
      <c r="A1815">
        <v>1106</v>
      </c>
      <c r="B1815" t="s">
        <v>1515</v>
      </c>
      <c r="C1815">
        <v>3</v>
      </c>
    </row>
    <row r="1816" spans="1:3" x14ac:dyDescent="0.35">
      <c r="A1816">
        <v>1107</v>
      </c>
      <c r="B1816" t="s">
        <v>1515</v>
      </c>
      <c r="C1816">
        <v>3</v>
      </c>
    </row>
    <row r="1817" spans="1:3" x14ac:dyDescent="0.35">
      <c r="A1817">
        <v>1108</v>
      </c>
      <c r="B1817" t="s">
        <v>1515</v>
      </c>
      <c r="C1817">
        <v>3</v>
      </c>
    </row>
    <row r="1818" spans="1:3" x14ac:dyDescent="0.35">
      <c r="A1818">
        <v>1109</v>
      </c>
      <c r="B1818" t="s">
        <v>1515</v>
      </c>
      <c r="C1818">
        <v>3</v>
      </c>
    </row>
    <row r="1819" spans="1:3" x14ac:dyDescent="0.35">
      <c r="A1819">
        <v>1110</v>
      </c>
      <c r="B1819" t="s">
        <v>1515</v>
      </c>
      <c r="C1819">
        <v>3</v>
      </c>
    </row>
    <row r="1820" spans="1:3" x14ac:dyDescent="0.35">
      <c r="A1820">
        <v>1111</v>
      </c>
      <c r="B1820" t="s">
        <v>1515</v>
      </c>
      <c r="C1820">
        <v>3</v>
      </c>
    </row>
    <row r="1821" spans="1:3" x14ac:dyDescent="0.35">
      <c r="A1821">
        <v>1112</v>
      </c>
      <c r="B1821" t="s">
        <v>1515</v>
      </c>
      <c r="C1821">
        <v>3</v>
      </c>
    </row>
    <row r="1822" spans="1:3" x14ac:dyDescent="0.35">
      <c r="A1822">
        <v>1113</v>
      </c>
      <c r="B1822" t="s">
        <v>1515</v>
      </c>
      <c r="C1822">
        <v>3</v>
      </c>
    </row>
    <row r="1823" spans="1:3" x14ac:dyDescent="0.35">
      <c r="A1823">
        <v>1114</v>
      </c>
      <c r="B1823" t="s">
        <v>1515</v>
      </c>
      <c r="C1823">
        <v>3</v>
      </c>
    </row>
    <row r="1824" spans="1:3" x14ac:dyDescent="0.35">
      <c r="A1824">
        <v>1115</v>
      </c>
      <c r="B1824" t="s">
        <v>1515</v>
      </c>
      <c r="C1824">
        <v>3</v>
      </c>
    </row>
    <row r="1825" spans="1:3" x14ac:dyDescent="0.35">
      <c r="A1825">
        <v>1116</v>
      </c>
      <c r="B1825" t="s">
        <v>1515</v>
      </c>
      <c r="C1825">
        <v>3</v>
      </c>
    </row>
    <row r="1826" spans="1:3" x14ac:dyDescent="0.35">
      <c r="A1826">
        <v>1117</v>
      </c>
      <c r="B1826" t="s">
        <v>1515</v>
      </c>
      <c r="C1826">
        <v>3</v>
      </c>
    </row>
    <row r="1827" spans="1:3" x14ac:dyDescent="0.35">
      <c r="A1827">
        <v>1118</v>
      </c>
      <c r="B1827" t="s">
        <v>1515</v>
      </c>
      <c r="C1827">
        <v>3</v>
      </c>
    </row>
    <row r="1828" spans="1:3" x14ac:dyDescent="0.35">
      <c r="A1828">
        <v>1119</v>
      </c>
      <c r="B1828" t="s">
        <v>1515</v>
      </c>
      <c r="C1828">
        <v>3</v>
      </c>
    </row>
    <row r="1829" spans="1:3" x14ac:dyDescent="0.35">
      <c r="A1829">
        <v>1120</v>
      </c>
      <c r="B1829" t="s">
        <v>1515</v>
      </c>
      <c r="C1829">
        <v>3</v>
      </c>
    </row>
    <row r="1830" spans="1:3" x14ac:dyDescent="0.35">
      <c r="A1830">
        <v>1121</v>
      </c>
      <c r="B1830" t="s">
        <v>1515</v>
      </c>
      <c r="C1830">
        <v>3</v>
      </c>
    </row>
    <row r="1831" spans="1:3" x14ac:dyDescent="0.35">
      <c r="A1831">
        <v>1122</v>
      </c>
      <c r="B1831" t="s">
        <v>1515</v>
      </c>
      <c r="C1831">
        <v>3</v>
      </c>
    </row>
    <row r="1832" spans="1:3" x14ac:dyDescent="0.35">
      <c r="A1832">
        <v>1123</v>
      </c>
      <c r="B1832" t="s">
        <v>1515</v>
      </c>
      <c r="C1832">
        <v>3</v>
      </c>
    </row>
    <row r="1833" spans="1:3" x14ac:dyDescent="0.35">
      <c r="A1833">
        <v>1124</v>
      </c>
      <c r="B1833" t="s">
        <v>1515</v>
      </c>
      <c r="C1833">
        <v>3</v>
      </c>
    </row>
    <row r="1834" spans="1:3" x14ac:dyDescent="0.35">
      <c r="A1834">
        <v>1125</v>
      </c>
      <c r="B1834" t="s">
        <v>1515</v>
      </c>
      <c r="C1834">
        <v>3</v>
      </c>
    </row>
    <row r="1835" spans="1:3" x14ac:dyDescent="0.35">
      <c r="A1835">
        <v>1126</v>
      </c>
      <c r="B1835" t="s">
        <v>1515</v>
      </c>
      <c r="C1835">
        <v>3</v>
      </c>
    </row>
    <row r="1836" spans="1:3" x14ac:dyDescent="0.35">
      <c r="A1836">
        <v>1127</v>
      </c>
      <c r="B1836" t="s">
        <v>1515</v>
      </c>
      <c r="C1836">
        <v>3</v>
      </c>
    </row>
    <row r="1837" spans="1:3" x14ac:dyDescent="0.35">
      <c r="A1837">
        <v>1128</v>
      </c>
      <c r="B1837" t="s">
        <v>1515</v>
      </c>
      <c r="C1837">
        <v>3</v>
      </c>
    </row>
    <row r="1838" spans="1:3" x14ac:dyDescent="0.35">
      <c r="A1838">
        <v>1129</v>
      </c>
      <c r="B1838" t="s">
        <v>1515</v>
      </c>
      <c r="C1838">
        <v>3</v>
      </c>
    </row>
    <row r="1839" spans="1:3" x14ac:dyDescent="0.35">
      <c r="A1839">
        <v>1130</v>
      </c>
      <c r="B1839" t="s">
        <v>1515</v>
      </c>
      <c r="C1839">
        <v>3</v>
      </c>
    </row>
    <row r="1840" spans="1:3" x14ac:dyDescent="0.35">
      <c r="A1840">
        <v>1131</v>
      </c>
      <c r="B1840" t="s">
        <v>1515</v>
      </c>
      <c r="C1840">
        <v>3</v>
      </c>
    </row>
    <row r="1841" spans="1:3" x14ac:dyDescent="0.35">
      <c r="A1841">
        <v>1132</v>
      </c>
      <c r="B1841" t="s">
        <v>1515</v>
      </c>
      <c r="C1841">
        <v>3</v>
      </c>
    </row>
    <row r="1842" spans="1:3" x14ac:dyDescent="0.35">
      <c r="A1842">
        <v>1133</v>
      </c>
      <c r="B1842" t="s">
        <v>1515</v>
      </c>
      <c r="C1842">
        <v>3</v>
      </c>
    </row>
    <row r="1843" spans="1:3" x14ac:dyDescent="0.35">
      <c r="A1843">
        <v>1134</v>
      </c>
      <c r="B1843" t="s">
        <v>1515</v>
      </c>
      <c r="C1843">
        <v>3</v>
      </c>
    </row>
    <row r="1844" spans="1:3" x14ac:dyDescent="0.35">
      <c r="A1844">
        <v>1135</v>
      </c>
      <c r="B1844" t="s">
        <v>1515</v>
      </c>
      <c r="C1844">
        <v>3</v>
      </c>
    </row>
    <row r="1845" spans="1:3" x14ac:dyDescent="0.35">
      <c r="A1845">
        <v>1136</v>
      </c>
      <c r="B1845" t="s">
        <v>1515</v>
      </c>
      <c r="C1845">
        <v>3</v>
      </c>
    </row>
    <row r="1846" spans="1:3" x14ac:dyDescent="0.35">
      <c r="A1846">
        <v>1137</v>
      </c>
      <c r="B1846" t="s">
        <v>1515</v>
      </c>
      <c r="C1846">
        <v>3</v>
      </c>
    </row>
    <row r="1847" spans="1:3" x14ac:dyDescent="0.35">
      <c r="A1847">
        <v>1138</v>
      </c>
      <c r="B1847" t="s">
        <v>1515</v>
      </c>
      <c r="C1847">
        <v>3</v>
      </c>
    </row>
    <row r="1848" spans="1:3" x14ac:dyDescent="0.35">
      <c r="A1848">
        <v>1139</v>
      </c>
      <c r="B1848" t="s">
        <v>1515</v>
      </c>
      <c r="C1848">
        <v>3</v>
      </c>
    </row>
    <row r="1849" spans="1:3" x14ac:dyDescent="0.35">
      <c r="A1849">
        <v>1140</v>
      </c>
      <c r="B1849" t="s">
        <v>1515</v>
      </c>
      <c r="C1849">
        <v>3</v>
      </c>
    </row>
    <row r="1850" spans="1:3" x14ac:dyDescent="0.35">
      <c r="A1850">
        <v>1141</v>
      </c>
      <c r="B1850" t="s">
        <v>1515</v>
      </c>
      <c r="C1850">
        <v>3</v>
      </c>
    </row>
    <row r="1851" spans="1:3" x14ac:dyDescent="0.35">
      <c r="A1851">
        <v>1142</v>
      </c>
      <c r="B1851" t="s">
        <v>1515</v>
      </c>
      <c r="C1851">
        <v>3</v>
      </c>
    </row>
    <row r="1852" spans="1:3" x14ac:dyDescent="0.35">
      <c r="A1852">
        <v>1143</v>
      </c>
      <c r="B1852" t="s">
        <v>1515</v>
      </c>
      <c r="C1852">
        <v>3</v>
      </c>
    </row>
    <row r="1853" spans="1:3" x14ac:dyDescent="0.35">
      <c r="A1853">
        <v>1144</v>
      </c>
      <c r="B1853" t="s">
        <v>1515</v>
      </c>
      <c r="C1853">
        <v>3</v>
      </c>
    </row>
    <row r="1854" spans="1:3" x14ac:dyDescent="0.35">
      <c r="A1854">
        <v>1145</v>
      </c>
      <c r="B1854" t="s">
        <v>1515</v>
      </c>
      <c r="C1854">
        <v>3</v>
      </c>
    </row>
    <row r="1855" spans="1:3" x14ac:dyDescent="0.35">
      <c r="A1855">
        <v>1146</v>
      </c>
      <c r="B1855" t="s">
        <v>1515</v>
      </c>
      <c r="C1855">
        <v>3</v>
      </c>
    </row>
    <row r="1856" spans="1:3" x14ac:dyDescent="0.35">
      <c r="A1856">
        <v>1147</v>
      </c>
      <c r="B1856" t="s">
        <v>1515</v>
      </c>
      <c r="C1856">
        <v>3</v>
      </c>
    </row>
    <row r="1857" spans="1:3" x14ac:dyDescent="0.35">
      <c r="A1857">
        <v>1148</v>
      </c>
      <c r="B1857" t="s">
        <v>1515</v>
      </c>
      <c r="C1857">
        <v>3</v>
      </c>
    </row>
    <row r="1858" spans="1:3" x14ac:dyDescent="0.35">
      <c r="A1858">
        <v>1149</v>
      </c>
      <c r="B1858" t="s">
        <v>1515</v>
      </c>
      <c r="C1858">
        <v>3</v>
      </c>
    </row>
    <row r="1859" spans="1:3" x14ac:dyDescent="0.35">
      <c r="A1859">
        <v>1150</v>
      </c>
      <c r="B1859" t="s">
        <v>1515</v>
      </c>
      <c r="C1859">
        <v>3</v>
      </c>
    </row>
    <row r="1860" spans="1:3" x14ac:dyDescent="0.35">
      <c r="A1860">
        <v>1151</v>
      </c>
      <c r="B1860" t="s">
        <v>1515</v>
      </c>
      <c r="C1860">
        <v>3</v>
      </c>
    </row>
    <row r="1861" spans="1:3" x14ac:dyDescent="0.35">
      <c r="A1861">
        <v>1152</v>
      </c>
      <c r="B1861" t="s">
        <v>1515</v>
      </c>
      <c r="C1861">
        <v>3</v>
      </c>
    </row>
    <row r="1862" spans="1:3" x14ac:dyDescent="0.35">
      <c r="A1862">
        <v>1153</v>
      </c>
      <c r="B1862" t="s">
        <v>1515</v>
      </c>
      <c r="C1862">
        <v>3</v>
      </c>
    </row>
    <row r="1863" spans="1:3" x14ac:dyDescent="0.35">
      <c r="A1863">
        <v>1154</v>
      </c>
      <c r="B1863" t="s">
        <v>1515</v>
      </c>
      <c r="C1863">
        <v>3</v>
      </c>
    </row>
    <row r="1864" spans="1:3" x14ac:dyDescent="0.35">
      <c r="A1864">
        <v>1155</v>
      </c>
      <c r="B1864" t="s">
        <v>1515</v>
      </c>
      <c r="C1864">
        <v>3</v>
      </c>
    </row>
    <row r="1865" spans="1:3" x14ac:dyDescent="0.35">
      <c r="A1865">
        <v>1156</v>
      </c>
      <c r="B1865" t="s">
        <v>1515</v>
      </c>
      <c r="C1865">
        <v>3</v>
      </c>
    </row>
    <row r="1866" spans="1:3" x14ac:dyDescent="0.35">
      <c r="A1866">
        <v>1157</v>
      </c>
      <c r="B1866" t="s">
        <v>1515</v>
      </c>
      <c r="C1866">
        <v>3</v>
      </c>
    </row>
    <row r="1867" spans="1:3" x14ac:dyDescent="0.35">
      <c r="A1867">
        <v>1158</v>
      </c>
      <c r="B1867" t="s">
        <v>1515</v>
      </c>
      <c r="C1867">
        <v>3</v>
      </c>
    </row>
    <row r="1868" spans="1:3" x14ac:dyDescent="0.35">
      <c r="A1868">
        <v>1159</v>
      </c>
      <c r="B1868" t="s">
        <v>1515</v>
      </c>
      <c r="C1868">
        <v>3</v>
      </c>
    </row>
    <row r="1869" spans="1:3" x14ac:dyDescent="0.35">
      <c r="A1869">
        <v>1160</v>
      </c>
      <c r="B1869" t="s">
        <v>1515</v>
      </c>
      <c r="C1869">
        <v>3</v>
      </c>
    </row>
    <row r="1870" spans="1:3" x14ac:dyDescent="0.35">
      <c r="A1870">
        <v>1161</v>
      </c>
      <c r="B1870" t="s">
        <v>1515</v>
      </c>
      <c r="C1870">
        <v>3</v>
      </c>
    </row>
    <row r="1871" spans="1:3" x14ac:dyDescent="0.35">
      <c r="A1871">
        <v>1162</v>
      </c>
      <c r="B1871" t="s">
        <v>1515</v>
      </c>
      <c r="C1871">
        <v>3</v>
      </c>
    </row>
    <row r="1872" spans="1:3" x14ac:dyDescent="0.35">
      <c r="A1872">
        <v>1163</v>
      </c>
      <c r="B1872" t="s">
        <v>1515</v>
      </c>
      <c r="C1872">
        <v>3</v>
      </c>
    </row>
    <row r="1873" spans="1:3" x14ac:dyDescent="0.35">
      <c r="A1873">
        <v>1164</v>
      </c>
      <c r="B1873" t="s">
        <v>1515</v>
      </c>
      <c r="C1873">
        <v>3</v>
      </c>
    </row>
    <row r="1874" spans="1:3" x14ac:dyDescent="0.35">
      <c r="A1874">
        <v>1165</v>
      </c>
      <c r="B1874" t="s">
        <v>1515</v>
      </c>
      <c r="C1874">
        <v>3</v>
      </c>
    </row>
    <row r="1875" spans="1:3" x14ac:dyDescent="0.35">
      <c r="A1875">
        <v>1166</v>
      </c>
      <c r="B1875" t="s">
        <v>1515</v>
      </c>
      <c r="C1875">
        <v>3</v>
      </c>
    </row>
    <row r="1876" spans="1:3" x14ac:dyDescent="0.35">
      <c r="A1876">
        <v>1167</v>
      </c>
      <c r="B1876" t="s">
        <v>1515</v>
      </c>
      <c r="C1876">
        <v>3</v>
      </c>
    </row>
    <row r="1877" spans="1:3" x14ac:dyDescent="0.35">
      <c r="A1877">
        <v>1168</v>
      </c>
      <c r="B1877" t="s">
        <v>1515</v>
      </c>
      <c r="C1877">
        <v>3</v>
      </c>
    </row>
    <row r="1878" spans="1:3" x14ac:dyDescent="0.35">
      <c r="A1878">
        <v>1169</v>
      </c>
      <c r="B1878" t="s">
        <v>1515</v>
      </c>
      <c r="C1878">
        <v>3</v>
      </c>
    </row>
    <row r="1879" spans="1:3" x14ac:dyDescent="0.35">
      <c r="A1879">
        <v>1170</v>
      </c>
      <c r="B1879" t="s">
        <v>1515</v>
      </c>
      <c r="C1879">
        <v>3</v>
      </c>
    </row>
    <row r="1880" spans="1:3" x14ac:dyDescent="0.35">
      <c r="A1880">
        <v>1171</v>
      </c>
      <c r="B1880" t="s">
        <v>1515</v>
      </c>
      <c r="C1880">
        <v>3</v>
      </c>
    </row>
    <row r="1881" spans="1:3" x14ac:dyDescent="0.35">
      <c r="A1881">
        <v>1172</v>
      </c>
      <c r="B1881" t="s">
        <v>1515</v>
      </c>
      <c r="C1881">
        <v>3</v>
      </c>
    </row>
    <row r="1882" spans="1:3" x14ac:dyDescent="0.35">
      <c r="A1882">
        <v>1173</v>
      </c>
      <c r="B1882" t="s">
        <v>1515</v>
      </c>
      <c r="C1882">
        <v>3</v>
      </c>
    </row>
    <row r="1883" spans="1:3" x14ac:dyDescent="0.35">
      <c r="A1883">
        <v>1174</v>
      </c>
      <c r="B1883" t="s">
        <v>1515</v>
      </c>
      <c r="C1883">
        <v>3</v>
      </c>
    </row>
    <row r="1884" spans="1:3" x14ac:dyDescent="0.35">
      <c r="A1884">
        <v>1175</v>
      </c>
      <c r="B1884" t="s">
        <v>1515</v>
      </c>
      <c r="C1884">
        <v>3</v>
      </c>
    </row>
    <row r="1885" spans="1:3" x14ac:dyDescent="0.35">
      <c r="A1885">
        <v>1176</v>
      </c>
      <c r="B1885" t="s">
        <v>1515</v>
      </c>
      <c r="C1885">
        <v>3</v>
      </c>
    </row>
    <row r="1886" spans="1:3" x14ac:dyDescent="0.35">
      <c r="A1886">
        <v>1177</v>
      </c>
      <c r="B1886" t="s">
        <v>1515</v>
      </c>
      <c r="C1886">
        <v>3</v>
      </c>
    </row>
    <row r="1887" spans="1:3" x14ac:dyDescent="0.35">
      <c r="A1887">
        <v>1178</v>
      </c>
      <c r="B1887" t="s">
        <v>1515</v>
      </c>
      <c r="C1887">
        <v>3</v>
      </c>
    </row>
    <row r="1888" spans="1:3" x14ac:dyDescent="0.35">
      <c r="A1888">
        <v>1179</v>
      </c>
      <c r="B1888" t="s">
        <v>1515</v>
      </c>
      <c r="C1888">
        <v>3</v>
      </c>
    </row>
    <row r="1889" spans="1:3" x14ac:dyDescent="0.35">
      <c r="A1889">
        <v>1180</v>
      </c>
      <c r="B1889" t="s">
        <v>1515</v>
      </c>
      <c r="C1889">
        <v>3</v>
      </c>
    </row>
    <row r="1890" spans="1:3" x14ac:dyDescent="0.35">
      <c r="A1890">
        <v>1181</v>
      </c>
      <c r="B1890" t="s">
        <v>1515</v>
      </c>
      <c r="C1890">
        <v>3</v>
      </c>
    </row>
    <row r="1891" spans="1:3" x14ac:dyDescent="0.35">
      <c r="A1891">
        <v>1182</v>
      </c>
      <c r="B1891" t="s">
        <v>1515</v>
      </c>
      <c r="C1891">
        <v>3</v>
      </c>
    </row>
    <row r="1892" spans="1:3" x14ac:dyDescent="0.35">
      <c r="A1892">
        <v>1183</v>
      </c>
      <c r="B1892" t="s">
        <v>1515</v>
      </c>
      <c r="C1892">
        <v>3</v>
      </c>
    </row>
    <row r="1893" spans="1:3" x14ac:dyDescent="0.35">
      <c r="A1893">
        <v>1184</v>
      </c>
      <c r="B1893" t="s">
        <v>1515</v>
      </c>
      <c r="C1893">
        <v>3</v>
      </c>
    </row>
    <row r="1894" spans="1:3" x14ac:dyDescent="0.35">
      <c r="A1894">
        <v>1185</v>
      </c>
      <c r="B1894" t="s">
        <v>1515</v>
      </c>
      <c r="C1894">
        <v>3</v>
      </c>
    </row>
    <row r="1895" spans="1:3" x14ac:dyDescent="0.35">
      <c r="A1895">
        <v>1186</v>
      </c>
      <c r="B1895" t="s">
        <v>1515</v>
      </c>
      <c r="C1895">
        <v>3</v>
      </c>
    </row>
    <row r="1896" spans="1:3" x14ac:dyDescent="0.35">
      <c r="A1896">
        <v>1187</v>
      </c>
      <c r="B1896" t="s">
        <v>1515</v>
      </c>
      <c r="C1896">
        <v>3</v>
      </c>
    </row>
    <row r="1897" spans="1:3" x14ac:dyDescent="0.35">
      <c r="A1897">
        <v>1188</v>
      </c>
      <c r="B1897" t="s">
        <v>1515</v>
      </c>
      <c r="C1897">
        <v>3</v>
      </c>
    </row>
    <row r="1898" spans="1:3" x14ac:dyDescent="0.35">
      <c r="A1898">
        <v>1189</v>
      </c>
      <c r="B1898" t="s">
        <v>1515</v>
      </c>
      <c r="C1898">
        <v>3</v>
      </c>
    </row>
    <row r="1899" spans="1:3" x14ac:dyDescent="0.35">
      <c r="A1899">
        <v>1190</v>
      </c>
      <c r="B1899" t="s">
        <v>1515</v>
      </c>
      <c r="C1899">
        <v>3</v>
      </c>
    </row>
    <row r="1900" spans="1:3" x14ac:dyDescent="0.35">
      <c r="A1900">
        <v>1191</v>
      </c>
      <c r="B1900" t="s">
        <v>1515</v>
      </c>
      <c r="C1900">
        <v>3</v>
      </c>
    </row>
    <row r="1901" spans="1:3" x14ac:dyDescent="0.35">
      <c r="A1901">
        <v>1192</v>
      </c>
      <c r="B1901" t="s">
        <v>1515</v>
      </c>
      <c r="C1901">
        <v>3</v>
      </c>
    </row>
    <row r="1902" spans="1:3" x14ac:dyDescent="0.35">
      <c r="A1902">
        <v>1193</v>
      </c>
      <c r="B1902" t="s">
        <v>1515</v>
      </c>
      <c r="C1902">
        <v>3</v>
      </c>
    </row>
    <row r="1903" spans="1:3" x14ac:dyDescent="0.35">
      <c r="A1903">
        <v>1194</v>
      </c>
      <c r="B1903" t="s">
        <v>1515</v>
      </c>
      <c r="C1903">
        <v>3</v>
      </c>
    </row>
    <row r="1904" spans="1:3" x14ac:dyDescent="0.35">
      <c r="A1904">
        <v>1195</v>
      </c>
      <c r="B1904" t="s">
        <v>1515</v>
      </c>
      <c r="C1904">
        <v>3</v>
      </c>
    </row>
    <row r="1905" spans="1:3" x14ac:dyDescent="0.35">
      <c r="A1905">
        <v>1196</v>
      </c>
      <c r="B1905" t="s">
        <v>1515</v>
      </c>
      <c r="C1905">
        <v>3</v>
      </c>
    </row>
    <row r="1906" spans="1:3" x14ac:dyDescent="0.35">
      <c r="A1906">
        <v>1197</v>
      </c>
      <c r="B1906" t="s">
        <v>1515</v>
      </c>
      <c r="C1906">
        <v>3</v>
      </c>
    </row>
    <row r="1907" spans="1:3" x14ac:dyDescent="0.35">
      <c r="A1907">
        <v>1198</v>
      </c>
      <c r="B1907" t="s">
        <v>1515</v>
      </c>
      <c r="C1907">
        <v>3</v>
      </c>
    </row>
    <row r="1908" spans="1:3" x14ac:dyDescent="0.35">
      <c r="A1908">
        <v>1199</v>
      </c>
      <c r="B1908" t="s">
        <v>1515</v>
      </c>
      <c r="C1908">
        <v>3</v>
      </c>
    </row>
    <row r="1909" spans="1:3" x14ac:dyDescent="0.35">
      <c r="A1909">
        <v>1200</v>
      </c>
      <c r="B1909" t="s">
        <v>1515</v>
      </c>
      <c r="C1909">
        <v>3</v>
      </c>
    </row>
    <row r="1910" spans="1:3" x14ac:dyDescent="0.35">
      <c r="A1910">
        <v>1201</v>
      </c>
      <c r="B1910" t="s">
        <v>1515</v>
      </c>
      <c r="C1910">
        <v>3</v>
      </c>
    </row>
    <row r="1911" spans="1:3" x14ac:dyDescent="0.35">
      <c r="A1911">
        <v>1202</v>
      </c>
      <c r="B1911" t="s">
        <v>1515</v>
      </c>
      <c r="C1911">
        <v>3</v>
      </c>
    </row>
    <row r="1912" spans="1:3" x14ac:dyDescent="0.35">
      <c r="A1912">
        <v>1203</v>
      </c>
      <c r="B1912" t="s">
        <v>1515</v>
      </c>
      <c r="C1912">
        <v>3</v>
      </c>
    </row>
    <row r="1913" spans="1:3" x14ac:dyDescent="0.35">
      <c r="A1913">
        <v>1204</v>
      </c>
      <c r="B1913" t="s">
        <v>1515</v>
      </c>
      <c r="C1913">
        <v>3</v>
      </c>
    </row>
    <row r="1914" spans="1:3" x14ac:dyDescent="0.35">
      <c r="A1914">
        <v>1205</v>
      </c>
      <c r="B1914" t="s">
        <v>1515</v>
      </c>
      <c r="C1914">
        <v>3</v>
      </c>
    </row>
    <row r="1915" spans="1:3" x14ac:dyDescent="0.35">
      <c r="A1915">
        <v>1220</v>
      </c>
      <c r="B1915" t="s">
        <v>1515</v>
      </c>
      <c r="C1915">
        <v>3</v>
      </c>
    </row>
    <row r="1916" spans="1:3" x14ac:dyDescent="0.35">
      <c r="A1916">
        <v>1488</v>
      </c>
      <c r="B1916" t="s">
        <v>1515</v>
      </c>
      <c r="C1916">
        <v>3</v>
      </c>
    </row>
    <row r="1917" spans="1:3" x14ac:dyDescent="0.35">
      <c r="A1917">
        <v>1489</v>
      </c>
      <c r="B1917" t="s">
        <v>1515</v>
      </c>
      <c r="C1917">
        <v>3</v>
      </c>
    </row>
    <row r="1918" spans="1:3" x14ac:dyDescent="0.35">
      <c r="A1918">
        <v>2190</v>
      </c>
      <c r="B1918" t="s">
        <v>1516</v>
      </c>
      <c r="C1918">
        <v>4</v>
      </c>
    </row>
    <row r="1919" spans="1:3" x14ac:dyDescent="0.35">
      <c r="A1919">
        <v>2191</v>
      </c>
      <c r="B1919" t="s">
        <v>1516</v>
      </c>
      <c r="C1919">
        <v>4</v>
      </c>
    </row>
    <row r="1920" spans="1:3" x14ac:dyDescent="0.35">
      <c r="A1920">
        <v>2192</v>
      </c>
      <c r="B1920" t="s">
        <v>1516</v>
      </c>
      <c r="C1920">
        <v>4</v>
      </c>
    </row>
    <row r="1921" spans="1:3" x14ac:dyDescent="0.35">
      <c r="A1921">
        <v>2193</v>
      </c>
      <c r="B1921" t="s">
        <v>1516</v>
      </c>
      <c r="C1921">
        <v>4</v>
      </c>
    </row>
    <row r="1922" spans="1:3" x14ac:dyDescent="0.35">
      <c r="A1922">
        <v>2194</v>
      </c>
      <c r="B1922" t="s">
        <v>1516</v>
      </c>
      <c r="C1922">
        <v>4</v>
      </c>
    </row>
    <row r="1923" spans="1:3" x14ac:dyDescent="0.35">
      <c r="A1923">
        <v>2195</v>
      </c>
      <c r="B1923" t="s">
        <v>1516</v>
      </c>
      <c r="C1923">
        <v>4</v>
      </c>
    </row>
    <row r="1924" spans="1:3" x14ac:dyDescent="0.35">
      <c r="A1924">
        <v>2196</v>
      </c>
      <c r="B1924" t="s">
        <v>1516</v>
      </c>
      <c r="C1924">
        <v>4</v>
      </c>
    </row>
    <row r="1925" spans="1:3" x14ac:dyDescent="0.35">
      <c r="A1925">
        <v>2197</v>
      </c>
      <c r="B1925" t="s">
        <v>1516</v>
      </c>
      <c r="C1925">
        <v>4</v>
      </c>
    </row>
    <row r="1926" spans="1:3" x14ac:dyDescent="0.35">
      <c r="A1926">
        <v>2199</v>
      </c>
      <c r="B1926" t="s">
        <v>1516</v>
      </c>
      <c r="C1926">
        <v>4</v>
      </c>
    </row>
    <row r="1927" spans="1:3" x14ac:dyDescent="0.35">
      <c r="A1927">
        <v>2200</v>
      </c>
      <c r="B1927" t="s">
        <v>1516</v>
      </c>
      <c r="C1927">
        <v>4</v>
      </c>
    </row>
    <row r="1928" spans="1:3" x14ac:dyDescent="0.35">
      <c r="A1928">
        <v>2201</v>
      </c>
      <c r="B1928" t="s">
        <v>1516</v>
      </c>
      <c r="C1928">
        <v>4</v>
      </c>
    </row>
    <row r="1929" spans="1:3" x14ac:dyDescent="0.35">
      <c r="A1929">
        <v>2202</v>
      </c>
      <c r="B1929" t="s">
        <v>1516</v>
      </c>
      <c r="C1929">
        <v>4</v>
      </c>
    </row>
    <row r="1930" spans="1:3" x14ac:dyDescent="0.35">
      <c r="A1930">
        <v>2203</v>
      </c>
      <c r="B1930" t="s">
        <v>1516</v>
      </c>
      <c r="C1930">
        <v>4</v>
      </c>
    </row>
    <row r="1931" spans="1:3" x14ac:dyDescent="0.35">
      <c r="A1931">
        <v>2204</v>
      </c>
      <c r="B1931" t="s">
        <v>1516</v>
      </c>
      <c r="C1931">
        <v>4</v>
      </c>
    </row>
    <row r="1932" spans="1:3" x14ac:dyDescent="0.35">
      <c r="A1932">
        <v>2205</v>
      </c>
      <c r="B1932" t="s">
        <v>1516</v>
      </c>
      <c r="C1932">
        <v>4</v>
      </c>
    </row>
    <row r="1933" spans="1:3" x14ac:dyDescent="0.35">
      <c r="A1933">
        <v>1536</v>
      </c>
      <c r="B1933" t="s">
        <v>382</v>
      </c>
      <c r="C1933">
        <v>2</v>
      </c>
    </row>
    <row r="1934" spans="1:3" x14ac:dyDescent="0.35">
      <c r="A1934">
        <v>1537</v>
      </c>
      <c r="B1934" t="s">
        <v>382</v>
      </c>
      <c r="C1934">
        <v>2</v>
      </c>
    </row>
    <row r="1935" spans="1:3" x14ac:dyDescent="0.35">
      <c r="A1935">
        <v>1538</v>
      </c>
      <c r="B1935" t="s">
        <v>382</v>
      </c>
      <c r="C1935">
        <v>2</v>
      </c>
    </row>
    <row r="1936" spans="1:3" x14ac:dyDescent="0.35">
      <c r="A1936">
        <v>1539</v>
      </c>
      <c r="B1936" t="s">
        <v>382</v>
      </c>
      <c r="C1936">
        <v>2</v>
      </c>
    </row>
    <row r="1937" spans="1:3" x14ac:dyDescent="0.35">
      <c r="A1937">
        <v>1540</v>
      </c>
      <c r="B1937" t="s">
        <v>382</v>
      </c>
      <c r="C1937">
        <v>2</v>
      </c>
    </row>
    <row r="1938" spans="1:3" x14ac:dyDescent="0.35">
      <c r="A1938">
        <v>1542</v>
      </c>
      <c r="B1938" t="s">
        <v>382</v>
      </c>
      <c r="C1938">
        <v>2</v>
      </c>
    </row>
    <row r="1939" spans="1:3" x14ac:dyDescent="0.35">
      <c r="A1939">
        <v>1544</v>
      </c>
      <c r="B1939" t="s">
        <v>382</v>
      </c>
      <c r="C1939">
        <v>2</v>
      </c>
    </row>
    <row r="1940" spans="1:3" x14ac:dyDescent="0.35">
      <c r="A1940">
        <v>1545</v>
      </c>
      <c r="B1940" t="s">
        <v>382</v>
      </c>
      <c r="C1940">
        <v>2</v>
      </c>
    </row>
    <row r="1941" spans="1:3" x14ac:dyDescent="0.35">
      <c r="A1941">
        <v>1546</v>
      </c>
      <c r="B1941" t="s">
        <v>382</v>
      </c>
      <c r="C1941">
        <v>2</v>
      </c>
    </row>
    <row r="1942" spans="1:3" x14ac:dyDescent="0.35">
      <c r="A1942">
        <v>1547</v>
      </c>
      <c r="B1942" t="s">
        <v>382</v>
      </c>
      <c r="C1942">
        <v>2</v>
      </c>
    </row>
    <row r="1943" spans="1:3" x14ac:dyDescent="0.35">
      <c r="A1943">
        <v>1548</v>
      </c>
      <c r="B1943" t="s">
        <v>382</v>
      </c>
      <c r="C1943">
        <v>2</v>
      </c>
    </row>
    <row r="1944" spans="1:3" x14ac:dyDescent="0.35">
      <c r="A1944">
        <v>1549</v>
      </c>
      <c r="B1944" t="s">
        <v>382</v>
      </c>
      <c r="C1944">
        <v>2</v>
      </c>
    </row>
    <row r="1945" spans="1:3" x14ac:dyDescent="0.35">
      <c r="A1945">
        <v>1550</v>
      </c>
      <c r="B1945" t="s">
        <v>382</v>
      </c>
      <c r="C1945">
        <v>2</v>
      </c>
    </row>
    <row r="1946" spans="1:3" x14ac:dyDescent="0.35">
      <c r="A1946">
        <v>1554</v>
      </c>
      <c r="B1946" t="s">
        <v>382</v>
      </c>
      <c r="C1946">
        <v>2</v>
      </c>
    </row>
    <row r="1947" spans="1:3" x14ac:dyDescent="0.35">
      <c r="A1947">
        <v>1610</v>
      </c>
      <c r="B1947" t="s">
        <v>382</v>
      </c>
      <c r="C1947">
        <v>2</v>
      </c>
    </row>
    <row r="1948" spans="1:3" x14ac:dyDescent="0.35">
      <c r="A1948">
        <v>1611</v>
      </c>
      <c r="B1948" t="s">
        <v>382</v>
      </c>
      <c r="C1948">
        <v>2</v>
      </c>
    </row>
    <row r="1949" spans="1:3" x14ac:dyDescent="0.35">
      <c r="A1949">
        <v>1613</v>
      </c>
      <c r="B1949" t="s">
        <v>382</v>
      </c>
      <c r="C1949">
        <v>2</v>
      </c>
    </row>
    <row r="1950" spans="1:3" x14ac:dyDescent="0.35">
      <c r="A1950">
        <v>1953</v>
      </c>
      <c r="B1950" t="s">
        <v>382</v>
      </c>
      <c r="C1950">
        <v>2</v>
      </c>
    </row>
    <row r="1951" spans="1:3" x14ac:dyDescent="0.35">
      <c r="A1951">
        <v>1955</v>
      </c>
      <c r="B1951" t="s">
        <v>382</v>
      </c>
      <c r="C1951">
        <v>2</v>
      </c>
    </row>
    <row r="1952" spans="1:3" x14ac:dyDescent="0.35">
      <c r="A1952">
        <v>1956</v>
      </c>
      <c r="B1952" t="s">
        <v>382</v>
      </c>
      <c r="C1952">
        <v>2</v>
      </c>
    </row>
    <row r="1953" spans="1:3" x14ac:dyDescent="0.35">
      <c r="A1953">
        <v>1957</v>
      </c>
      <c r="B1953" t="s">
        <v>382</v>
      </c>
      <c r="C1953">
        <v>2</v>
      </c>
    </row>
    <row r="1954" spans="1:3" x14ac:dyDescent="0.35">
      <c r="A1954">
        <v>1958</v>
      </c>
      <c r="B1954" t="s">
        <v>382</v>
      </c>
      <c r="C1954">
        <v>2</v>
      </c>
    </row>
    <row r="1955" spans="1:3" x14ac:dyDescent="0.35">
      <c r="A1955">
        <v>1959</v>
      </c>
      <c r="B1955" t="s">
        <v>382</v>
      </c>
      <c r="C1955">
        <v>2</v>
      </c>
    </row>
    <row r="1956" spans="1:3" x14ac:dyDescent="0.35">
      <c r="A1956">
        <v>1960</v>
      </c>
      <c r="B1956" t="s">
        <v>382</v>
      </c>
      <c r="C1956">
        <v>2</v>
      </c>
    </row>
    <row r="1957" spans="1:3" x14ac:dyDescent="0.35">
      <c r="A1957">
        <v>1961</v>
      </c>
      <c r="B1957" t="s">
        <v>382</v>
      </c>
      <c r="C1957">
        <v>2</v>
      </c>
    </row>
    <row r="1958" spans="1:3" x14ac:dyDescent="0.35">
      <c r="A1958">
        <v>1962</v>
      </c>
      <c r="B1958" t="s">
        <v>382</v>
      </c>
      <c r="C1958">
        <v>2</v>
      </c>
    </row>
    <row r="1959" spans="1:3" x14ac:dyDescent="0.35">
      <c r="A1959">
        <v>1963</v>
      </c>
      <c r="B1959" t="s">
        <v>382</v>
      </c>
      <c r="C1959">
        <v>2</v>
      </c>
    </row>
    <row r="1960" spans="1:3" x14ac:dyDescent="0.35">
      <c r="A1960">
        <v>1964</v>
      </c>
      <c r="B1960" t="s">
        <v>382</v>
      </c>
      <c r="C1960">
        <v>2</v>
      </c>
    </row>
    <row r="1961" spans="1:3" x14ac:dyDescent="0.35">
      <c r="A1961">
        <v>1965</v>
      </c>
      <c r="B1961" t="s">
        <v>382</v>
      </c>
      <c r="C1961">
        <v>2</v>
      </c>
    </row>
    <row r="1962" spans="1:3" x14ac:dyDescent="0.35">
      <c r="A1962">
        <v>1974</v>
      </c>
      <c r="B1962" t="s">
        <v>382</v>
      </c>
      <c r="C1962">
        <v>2</v>
      </c>
    </row>
    <row r="1963" spans="1:3" x14ac:dyDescent="0.35">
      <c r="A1963">
        <v>1976</v>
      </c>
      <c r="B1963" t="s">
        <v>382</v>
      </c>
      <c r="C1963">
        <v>2</v>
      </c>
    </row>
    <row r="1964" spans="1:3" x14ac:dyDescent="0.35">
      <c r="A1964">
        <v>1977</v>
      </c>
      <c r="B1964" t="s">
        <v>382</v>
      </c>
      <c r="C1964">
        <v>2</v>
      </c>
    </row>
    <row r="1965" spans="1:3" x14ac:dyDescent="0.35">
      <c r="A1965">
        <v>1978</v>
      </c>
      <c r="B1965" t="s">
        <v>382</v>
      </c>
      <c r="C1965">
        <v>2</v>
      </c>
    </row>
    <row r="1966" spans="1:3" x14ac:dyDescent="0.35">
      <c r="A1966">
        <v>1979</v>
      </c>
      <c r="B1966" t="s">
        <v>382</v>
      </c>
      <c r="C1966">
        <v>2</v>
      </c>
    </row>
    <row r="1967" spans="1:3" x14ac:dyDescent="0.35">
      <c r="A1967">
        <v>1980</v>
      </c>
      <c r="B1967" t="s">
        <v>382</v>
      </c>
      <c r="C1967">
        <v>2</v>
      </c>
    </row>
    <row r="1968" spans="1:3" x14ac:dyDescent="0.35">
      <c r="A1968">
        <v>1981</v>
      </c>
      <c r="B1968" t="s">
        <v>382</v>
      </c>
      <c r="C1968">
        <v>2</v>
      </c>
    </row>
    <row r="1969" spans="1:3" x14ac:dyDescent="0.35">
      <c r="A1969">
        <v>1982</v>
      </c>
      <c r="B1969" t="s">
        <v>382</v>
      </c>
      <c r="C1969">
        <v>2</v>
      </c>
    </row>
    <row r="1970" spans="1:3" x14ac:dyDescent="0.35">
      <c r="A1970">
        <v>1983</v>
      </c>
      <c r="B1970" t="s">
        <v>382</v>
      </c>
      <c r="C1970">
        <v>2</v>
      </c>
    </row>
    <row r="1971" spans="1:3" x14ac:dyDescent="0.35">
      <c r="A1971">
        <v>1984</v>
      </c>
      <c r="B1971" t="s">
        <v>382</v>
      </c>
      <c r="C1971">
        <v>2</v>
      </c>
    </row>
    <row r="1972" spans="1:3" x14ac:dyDescent="0.35">
      <c r="A1972">
        <v>1985</v>
      </c>
      <c r="B1972" t="s">
        <v>382</v>
      </c>
      <c r="C1972">
        <v>2</v>
      </c>
    </row>
    <row r="1973" spans="1:3" x14ac:dyDescent="0.35">
      <c r="A1973">
        <v>1990</v>
      </c>
      <c r="B1973" t="s">
        <v>382</v>
      </c>
      <c r="C1973">
        <v>2</v>
      </c>
    </row>
    <row r="1974" spans="1:3" x14ac:dyDescent="0.35">
      <c r="A1974">
        <v>2398</v>
      </c>
      <c r="B1974" t="s">
        <v>1517</v>
      </c>
      <c r="C1974">
        <v>5</v>
      </c>
    </row>
    <row r="1975" spans="1:3" x14ac:dyDescent="0.35">
      <c r="A1975">
        <v>2399</v>
      </c>
      <c r="B1975" t="s">
        <v>1517</v>
      </c>
      <c r="C1975">
        <v>5</v>
      </c>
    </row>
    <row r="1976" spans="1:3" x14ac:dyDescent="0.35">
      <c r="A1976">
        <v>2402</v>
      </c>
      <c r="B1976" t="s">
        <v>1517</v>
      </c>
      <c r="C1976">
        <v>5</v>
      </c>
    </row>
    <row r="1977" spans="1:3" x14ac:dyDescent="0.35">
      <c r="A1977">
        <v>2403</v>
      </c>
      <c r="B1977" t="s">
        <v>1517</v>
      </c>
      <c r="C1977">
        <v>5</v>
      </c>
    </row>
    <row r="1978" spans="1:3" x14ac:dyDescent="0.35">
      <c r="A1978">
        <v>2404</v>
      </c>
      <c r="B1978" t="s">
        <v>1517</v>
      </c>
      <c r="C1978">
        <v>5</v>
      </c>
    </row>
    <row r="1979" spans="1:3" x14ac:dyDescent="0.35">
      <c r="A1979">
        <v>2407</v>
      </c>
      <c r="B1979" t="s">
        <v>1517</v>
      </c>
      <c r="C1979">
        <v>5</v>
      </c>
    </row>
    <row r="1980" spans="1:3" x14ac:dyDescent="0.35">
      <c r="A1980">
        <v>2753</v>
      </c>
      <c r="B1980" t="s">
        <v>1518</v>
      </c>
      <c r="C1980">
        <v>9</v>
      </c>
    </row>
    <row r="1981" spans="1:3" x14ac:dyDescent="0.35">
      <c r="A1981">
        <v>2754</v>
      </c>
      <c r="B1981" t="s">
        <v>1518</v>
      </c>
      <c r="C1981">
        <v>9</v>
      </c>
    </row>
    <row r="1982" spans="1:3" x14ac:dyDescent="0.35">
      <c r="A1982">
        <v>2758</v>
      </c>
      <c r="B1982" t="s">
        <v>1518</v>
      </c>
      <c r="C1982">
        <v>9</v>
      </c>
    </row>
    <row r="1983" spans="1:3" x14ac:dyDescent="0.35">
      <c r="A1983">
        <v>2759</v>
      </c>
      <c r="B1983" t="s">
        <v>1518</v>
      </c>
      <c r="C1983">
        <v>9</v>
      </c>
    </row>
    <row r="1984" spans="1:3" x14ac:dyDescent="0.35">
      <c r="A1984">
        <v>2760</v>
      </c>
      <c r="B1984" t="s">
        <v>1518</v>
      </c>
      <c r="C1984">
        <v>9</v>
      </c>
    </row>
    <row r="1985" spans="1:3" x14ac:dyDescent="0.35">
      <c r="A1985">
        <v>2761</v>
      </c>
      <c r="B1985" t="s">
        <v>1518</v>
      </c>
      <c r="C1985">
        <v>9</v>
      </c>
    </row>
    <row r="1986" spans="1:3" x14ac:dyDescent="0.35">
      <c r="A1986">
        <v>2762</v>
      </c>
      <c r="B1986" t="s">
        <v>1518</v>
      </c>
      <c r="C1986">
        <v>9</v>
      </c>
    </row>
    <row r="1987" spans="1:3" x14ac:dyDescent="0.35">
      <c r="A1987">
        <v>2763</v>
      </c>
      <c r="B1987" t="s">
        <v>1518</v>
      </c>
      <c r="C1987">
        <v>9</v>
      </c>
    </row>
    <row r="1988" spans="1:3" x14ac:dyDescent="0.35">
      <c r="A1988">
        <v>2500</v>
      </c>
      <c r="B1988" t="s">
        <v>1519</v>
      </c>
      <c r="C1988">
        <v>5</v>
      </c>
    </row>
    <row r="1989" spans="1:3" x14ac:dyDescent="0.35">
      <c r="A1989">
        <v>2502</v>
      </c>
      <c r="B1989" t="s">
        <v>1519</v>
      </c>
      <c r="C1989">
        <v>5</v>
      </c>
    </row>
    <row r="1990" spans="1:3" x14ac:dyDescent="0.35">
      <c r="A1990">
        <v>2504</v>
      </c>
      <c r="B1990" t="s">
        <v>1519</v>
      </c>
      <c r="C1990">
        <v>5</v>
      </c>
    </row>
    <row r="1991" spans="1:3" x14ac:dyDescent="0.35">
      <c r="A1991">
        <v>2505</v>
      </c>
      <c r="B1991" t="s">
        <v>1519</v>
      </c>
      <c r="C1991">
        <v>5</v>
      </c>
    </row>
    <row r="1992" spans="1:3" x14ac:dyDescent="0.35">
      <c r="A1992">
        <v>2506</v>
      </c>
      <c r="B1992" t="s">
        <v>1519</v>
      </c>
      <c r="C1992">
        <v>5</v>
      </c>
    </row>
    <row r="1993" spans="1:3" x14ac:dyDescent="0.35">
      <c r="A1993">
        <v>2507</v>
      </c>
      <c r="B1993" t="s">
        <v>1519</v>
      </c>
      <c r="C1993">
        <v>5</v>
      </c>
    </row>
    <row r="1994" spans="1:3" x14ac:dyDescent="0.35">
      <c r="A1994">
        <v>95</v>
      </c>
      <c r="B1994" t="s">
        <v>1520</v>
      </c>
      <c r="C1994">
        <v>3</v>
      </c>
    </row>
    <row r="1995" spans="1:3" x14ac:dyDescent="0.35">
      <c r="A1995">
        <v>96</v>
      </c>
      <c r="B1995" t="s">
        <v>1520</v>
      </c>
      <c r="C1995">
        <v>3</v>
      </c>
    </row>
    <row r="1996" spans="1:3" x14ac:dyDescent="0.35">
      <c r="A1996">
        <v>866</v>
      </c>
      <c r="B1996" t="s">
        <v>1520</v>
      </c>
      <c r="C1996">
        <v>3</v>
      </c>
    </row>
    <row r="1997" spans="1:3" x14ac:dyDescent="0.35">
      <c r="A1997">
        <v>876</v>
      </c>
      <c r="B1997" t="s">
        <v>1520</v>
      </c>
      <c r="C1997">
        <v>3</v>
      </c>
    </row>
    <row r="1998" spans="1:3" x14ac:dyDescent="0.35">
      <c r="A1998">
        <v>1206</v>
      </c>
      <c r="B1998" t="s">
        <v>1520</v>
      </c>
      <c r="C1998">
        <v>3</v>
      </c>
    </row>
    <row r="1999" spans="1:3" x14ac:dyDescent="0.35">
      <c r="A1999">
        <v>1207</v>
      </c>
      <c r="B1999" t="s">
        <v>1520</v>
      </c>
      <c r="C1999">
        <v>3</v>
      </c>
    </row>
    <row r="2000" spans="1:3" x14ac:dyDescent="0.35">
      <c r="A2000">
        <v>1208</v>
      </c>
      <c r="B2000" t="s">
        <v>1520</v>
      </c>
      <c r="C2000">
        <v>3</v>
      </c>
    </row>
    <row r="2001" spans="1:3" x14ac:dyDescent="0.35">
      <c r="A2001">
        <v>1209</v>
      </c>
      <c r="B2001" t="s">
        <v>1520</v>
      </c>
      <c r="C2001">
        <v>3</v>
      </c>
    </row>
    <row r="2002" spans="1:3" x14ac:dyDescent="0.35">
      <c r="A2002">
        <v>1210</v>
      </c>
      <c r="B2002" t="s">
        <v>1520</v>
      </c>
      <c r="C2002">
        <v>3</v>
      </c>
    </row>
    <row r="2003" spans="1:3" x14ac:dyDescent="0.35">
      <c r="A2003">
        <v>1211</v>
      </c>
      <c r="B2003" t="s">
        <v>1520</v>
      </c>
      <c r="C2003">
        <v>3</v>
      </c>
    </row>
    <row r="2004" spans="1:3" x14ac:dyDescent="0.35">
      <c r="A2004">
        <v>1212</v>
      </c>
      <c r="B2004" t="s">
        <v>1520</v>
      </c>
      <c r="C2004">
        <v>3</v>
      </c>
    </row>
    <row r="2005" spans="1:3" x14ac:dyDescent="0.35">
      <c r="A2005">
        <v>1213</v>
      </c>
      <c r="B2005" t="s">
        <v>1520</v>
      </c>
      <c r="C2005">
        <v>3</v>
      </c>
    </row>
    <row r="2006" spans="1:3" x14ac:dyDescent="0.35">
      <c r="A2006">
        <v>1214</v>
      </c>
      <c r="B2006" t="s">
        <v>1520</v>
      </c>
      <c r="C2006">
        <v>3</v>
      </c>
    </row>
    <row r="2007" spans="1:3" x14ac:dyDescent="0.35">
      <c r="A2007">
        <v>1216</v>
      </c>
      <c r="B2007" t="s">
        <v>1520</v>
      </c>
      <c r="C2007">
        <v>3</v>
      </c>
    </row>
    <row r="2008" spans="1:3" x14ac:dyDescent="0.35">
      <c r="A2008">
        <v>1217</v>
      </c>
      <c r="B2008" t="s">
        <v>1520</v>
      </c>
      <c r="C2008">
        <v>3</v>
      </c>
    </row>
    <row r="2009" spans="1:3" x14ac:dyDescent="0.35">
      <c r="A2009">
        <v>1218</v>
      </c>
      <c r="B2009" t="s">
        <v>1520</v>
      </c>
      <c r="C2009">
        <v>3</v>
      </c>
    </row>
    <row r="2010" spans="1:3" x14ac:dyDescent="0.35">
      <c r="A2010">
        <v>1219</v>
      </c>
      <c r="B2010" t="s">
        <v>1520</v>
      </c>
      <c r="C2010">
        <v>3</v>
      </c>
    </row>
    <row r="2011" spans="1:3" x14ac:dyDescent="0.35">
      <c r="A2011">
        <v>1221</v>
      </c>
      <c r="B2011" t="s">
        <v>1520</v>
      </c>
      <c r="C2011">
        <v>3</v>
      </c>
    </row>
    <row r="2012" spans="1:3" x14ac:dyDescent="0.35">
      <c r="A2012">
        <v>1222</v>
      </c>
      <c r="B2012" t="s">
        <v>1520</v>
      </c>
      <c r="C2012">
        <v>3</v>
      </c>
    </row>
    <row r="2013" spans="1:3" x14ac:dyDescent="0.35">
      <c r="A2013">
        <v>1223</v>
      </c>
      <c r="B2013" t="s">
        <v>1520</v>
      </c>
      <c r="C2013">
        <v>3</v>
      </c>
    </row>
    <row r="2014" spans="1:3" x14ac:dyDescent="0.35">
      <c r="A2014">
        <v>1224</v>
      </c>
      <c r="B2014" t="s">
        <v>1520</v>
      </c>
      <c r="C2014">
        <v>3</v>
      </c>
    </row>
    <row r="2015" spans="1:3" x14ac:dyDescent="0.35">
      <c r="A2015">
        <v>1225</v>
      </c>
      <c r="B2015" t="s">
        <v>1520</v>
      </c>
      <c r="C2015">
        <v>3</v>
      </c>
    </row>
    <row r="2016" spans="1:3" x14ac:dyDescent="0.35">
      <c r="A2016">
        <v>1226</v>
      </c>
      <c r="B2016" t="s">
        <v>1520</v>
      </c>
      <c r="C2016">
        <v>3</v>
      </c>
    </row>
    <row r="2017" spans="1:3" x14ac:dyDescent="0.35">
      <c r="A2017">
        <v>1227</v>
      </c>
      <c r="B2017" t="s">
        <v>1520</v>
      </c>
      <c r="C2017">
        <v>3</v>
      </c>
    </row>
    <row r="2018" spans="1:3" x14ac:dyDescent="0.35">
      <c r="A2018">
        <v>1228</v>
      </c>
      <c r="B2018" t="s">
        <v>1520</v>
      </c>
      <c r="C2018">
        <v>3</v>
      </c>
    </row>
    <row r="2019" spans="1:3" x14ac:dyDescent="0.35">
      <c r="A2019">
        <v>1229</v>
      </c>
      <c r="B2019" t="s">
        <v>1520</v>
      </c>
      <c r="C2019">
        <v>3</v>
      </c>
    </row>
    <row r="2020" spans="1:3" x14ac:dyDescent="0.35">
      <c r="A2020">
        <v>1230</v>
      </c>
      <c r="B2020" t="s">
        <v>1520</v>
      </c>
      <c r="C2020">
        <v>3</v>
      </c>
    </row>
    <row r="2021" spans="1:3" x14ac:dyDescent="0.35">
      <c r="A2021">
        <v>1231</v>
      </c>
      <c r="B2021" t="s">
        <v>1520</v>
      </c>
      <c r="C2021">
        <v>3</v>
      </c>
    </row>
    <row r="2022" spans="1:3" x14ac:dyDescent="0.35">
      <c r="A2022">
        <v>1232</v>
      </c>
      <c r="B2022" t="s">
        <v>1520</v>
      </c>
      <c r="C2022">
        <v>3</v>
      </c>
    </row>
    <row r="2023" spans="1:3" x14ac:dyDescent="0.35">
      <c r="A2023">
        <v>1233</v>
      </c>
      <c r="B2023" t="s">
        <v>1520</v>
      </c>
      <c r="C2023">
        <v>3</v>
      </c>
    </row>
    <row r="2024" spans="1:3" x14ac:dyDescent="0.35">
      <c r="A2024">
        <v>1234</v>
      </c>
      <c r="B2024" t="s">
        <v>1520</v>
      </c>
      <c r="C2024">
        <v>3</v>
      </c>
    </row>
    <row r="2025" spans="1:3" x14ac:dyDescent="0.35">
      <c r="A2025">
        <v>1235</v>
      </c>
      <c r="B2025" t="s">
        <v>1520</v>
      </c>
      <c r="C2025">
        <v>3</v>
      </c>
    </row>
    <row r="2026" spans="1:3" x14ac:dyDescent="0.35">
      <c r="A2026">
        <v>1236</v>
      </c>
      <c r="B2026" t="s">
        <v>1520</v>
      </c>
      <c r="C2026">
        <v>3</v>
      </c>
    </row>
    <row r="2027" spans="1:3" x14ac:dyDescent="0.35">
      <c r="A2027">
        <v>1237</v>
      </c>
      <c r="B2027" t="s">
        <v>1520</v>
      </c>
      <c r="C2027">
        <v>3</v>
      </c>
    </row>
    <row r="2028" spans="1:3" x14ac:dyDescent="0.35">
      <c r="A2028">
        <v>1238</v>
      </c>
      <c r="B2028" t="s">
        <v>1520</v>
      </c>
      <c r="C2028">
        <v>3</v>
      </c>
    </row>
    <row r="2029" spans="1:3" x14ac:dyDescent="0.35">
      <c r="A2029">
        <v>1239</v>
      </c>
      <c r="B2029" t="s">
        <v>1520</v>
      </c>
      <c r="C2029">
        <v>3</v>
      </c>
    </row>
    <row r="2030" spans="1:3" x14ac:dyDescent="0.35">
      <c r="A2030">
        <v>1240</v>
      </c>
      <c r="B2030" t="s">
        <v>1520</v>
      </c>
      <c r="C2030">
        <v>3</v>
      </c>
    </row>
    <row r="2031" spans="1:3" x14ac:dyDescent="0.35">
      <c r="A2031">
        <v>1241</v>
      </c>
      <c r="B2031" t="s">
        <v>1520</v>
      </c>
      <c r="C2031">
        <v>3</v>
      </c>
    </row>
    <row r="2032" spans="1:3" x14ac:dyDescent="0.35">
      <c r="A2032">
        <v>1242</v>
      </c>
      <c r="B2032" t="s">
        <v>1520</v>
      </c>
      <c r="C2032">
        <v>3</v>
      </c>
    </row>
    <row r="2033" spans="1:3" x14ac:dyDescent="0.35">
      <c r="A2033">
        <v>1243</v>
      </c>
      <c r="B2033" t="s">
        <v>1520</v>
      </c>
      <c r="C2033">
        <v>3</v>
      </c>
    </row>
    <row r="2034" spans="1:3" x14ac:dyDescent="0.35">
      <c r="A2034">
        <v>1244</v>
      </c>
      <c r="B2034" t="s">
        <v>1520</v>
      </c>
      <c r="C2034">
        <v>3</v>
      </c>
    </row>
    <row r="2035" spans="1:3" x14ac:dyDescent="0.35">
      <c r="A2035">
        <v>1245</v>
      </c>
      <c r="B2035" t="s">
        <v>1520</v>
      </c>
      <c r="C2035">
        <v>3</v>
      </c>
    </row>
    <row r="2036" spans="1:3" x14ac:dyDescent="0.35">
      <c r="A2036">
        <v>1246</v>
      </c>
      <c r="B2036" t="s">
        <v>1520</v>
      </c>
      <c r="C2036">
        <v>3</v>
      </c>
    </row>
    <row r="2037" spans="1:3" x14ac:dyDescent="0.35">
      <c r="A2037">
        <v>1247</v>
      </c>
      <c r="B2037" t="s">
        <v>1520</v>
      </c>
      <c r="C2037">
        <v>3</v>
      </c>
    </row>
    <row r="2038" spans="1:3" x14ac:dyDescent="0.35">
      <c r="A2038">
        <v>1248</v>
      </c>
      <c r="B2038" t="s">
        <v>1520</v>
      </c>
      <c r="C2038">
        <v>3</v>
      </c>
    </row>
    <row r="2039" spans="1:3" x14ac:dyDescent="0.35">
      <c r="A2039">
        <v>1249</v>
      </c>
      <c r="B2039" t="s">
        <v>1520</v>
      </c>
      <c r="C2039">
        <v>3</v>
      </c>
    </row>
    <row r="2040" spans="1:3" x14ac:dyDescent="0.35">
      <c r="A2040">
        <v>1250</v>
      </c>
      <c r="B2040" t="s">
        <v>1520</v>
      </c>
      <c r="C2040">
        <v>3</v>
      </c>
    </row>
    <row r="2041" spans="1:3" x14ac:dyDescent="0.35">
      <c r="A2041">
        <v>1251</v>
      </c>
      <c r="B2041" t="s">
        <v>1520</v>
      </c>
      <c r="C2041">
        <v>3</v>
      </c>
    </row>
    <row r="2042" spans="1:3" x14ac:dyDescent="0.35">
      <c r="A2042">
        <v>1252</v>
      </c>
      <c r="B2042" t="s">
        <v>1520</v>
      </c>
      <c r="C2042">
        <v>3</v>
      </c>
    </row>
    <row r="2043" spans="1:3" x14ac:dyDescent="0.35">
      <c r="A2043">
        <v>1253</v>
      </c>
      <c r="B2043" t="s">
        <v>1520</v>
      </c>
      <c r="C2043">
        <v>3</v>
      </c>
    </row>
    <row r="2044" spans="1:3" x14ac:dyDescent="0.35">
      <c r="A2044">
        <v>1254</v>
      </c>
      <c r="B2044" t="s">
        <v>1520</v>
      </c>
      <c r="C2044">
        <v>3</v>
      </c>
    </row>
    <row r="2045" spans="1:3" x14ac:dyDescent="0.35">
      <c r="A2045">
        <v>1255</v>
      </c>
      <c r="B2045" t="s">
        <v>1520</v>
      </c>
      <c r="C2045">
        <v>3</v>
      </c>
    </row>
    <row r="2046" spans="1:3" x14ac:dyDescent="0.35">
      <c r="A2046">
        <v>1256</v>
      </c>
      <c r="B2046" t="s">
        <v>1520</v>
      </c>
      <c r="C2046">
        <v>3</v>
      </c>
    </row>
    <row r="2047" spans="1:3" x14ac:dyDescent="0.35">
      <c r="A2047">
        <v>1257</v>
      </c>
      <c r="B2047" t="s">
        <v>1520</v>
      </c>
      <c r="C2047">
        <v>3</v>
      </c>
    </row>
    <row r="2048" spans="1:3" x14ac:dyDescent="0.35">
      <c r="A2048">
        <v>1258</v>
      </c>
      <c r="B2048" t="s">
        <v>1520</v>
      </c>
      <c r="C2048">
        <v>3</v>
      </c>
    </row>
    <row r="2049" spans="1:3" x14ac:dyDescent="0.35">
      <c r="A2049">
        <v>1259</v>
      </c>
      <c r="B2049" t="s">
        <v>1520</v>
      </c>
      <c r="C2049">
        <v>3</v>
      </c>
    </row>
    <row r="2050" spans="1:3" x14ac:dyDescent="0.35">
      <c r="A2050">
        <v>1260</v>
      </c>
      <c r="B2050" t="s">
        <v>1520</v>
      </c>
      <c r="C2050">
        <v>3</v>
      </c>
    </row>
    <row r="2051" spans="1:3" x14ac:dyDescent="0.35">
      <c r="A2051">
        <v>1261</v>
      </c>
      <c r="B2051" t="s">
        <v>1520</v>
      </c>
      <c r="C2051">
        <v>3</v>
      </c>
    </row>
    <row r="2052" spans="1:3" x14ac:dyDescent="0.35">
      <c r="A2052">
        <v>1262</v>
      </c>
      <c r="B2052" t="s">
        <v>1520</v>
      </c>
      <c r="C2052">
        <v>3</v>
      </c>
    </row>
    <row r="2053" spans="1:3" x14ac:dyDescent="0.35">
      <c r="A2053">
        <v>1263</v>
      </c>
      <c r="B2053" t="s">
        <v>1520</v>
      </c>
      <c r="C2053">
        <v>3</v>
      </c>
    </row>
    <row r="2054" spans="1:3" x14ac:dyDescent="0.35">
      <c r="A2054">
        <v>1264</v>
      </c>
      <c r="B2054" t="s">
        <v>1520</v>
      </c>
      <c r="C2054">
        <v>3</v>
      </c>
    </row>
    <row r="2055" spans="1:3" x14ac:dyDescent="0.35">
      <c r="A2055">
        <v>1265</v>
      </c>
      <c r="B2055" t="s">
        <v>1520</v>
      </c>
      <c r="C2055">
        <v>3</v>
      </c>
    </row>
    <row r="2056" spans="1:3" x14ac:dyDescent="0.35">
      <c r="A2056">
        <v>1266</v>
      </c>
      <c r="B2056" t="s">
        <v>1520</v>
      </c>
      <c r="C2056">
        <v>3</v>
      </c>
    </row>
    <row r="2057" spans="1:3" x14ac:dyDescent="0.35">
      <c r="A2057">
        <v>1267</v>
      </c>
      <c r="B2057" t="s">
        <v>1520</v>
      </c>
      <c r="C2057">
        <v>3</v>
      </c>
    </row>
    <row r="2058" spans="1:3" x14ac:dyDescent="0.35">
      <c r="A2058">
        <v>1268</v>
      </c>
      <c r="B2058" t="s">
        <v>1520</v>
      </c>
      <c r="C2058">
        <v>3</v>
      </c>
    </row>
    <row r="2059" spans="1:3" x14ac:dyDescent="0.35">
      <c r="A2059">
        <v>1269</v>
      </c>
      <c r="B2059" t="s">
        <v>1520</v>
      </c>
      <c r="C2059">
        <v>3</v>
      </c>
    </row>
    <row r="2060" spans="1:3" x14ac:dyDescent="0.35">
      <c r="A2060">
        <v>1270</v>
      </c>
      <c r="B2060" t="s">
        <v>1520</v>
      </c>
      <c r="C2060">
        <v>3</v>
      </c>
    </row>
    <row r="2061" spans="1:3" x14ac:dyDescent="0.35">
      <c r="A2061">
        <v>1271</v>
      </c>
      <c r="B2061" t="s">
        <v>1520</v>
      </c>
      <c r="C2061">
        <v>3</v>
      </c>
    </row>
    <row r="2062" spans="1:3" x14ac:dyDescent="0.35">
      <c r="A2062">
        <v>1272</v>
      </c>
      <c r="B2062" t="s">
        <v>1520</v>
      </c>
      <c r="C2062">
        <v>3</v>
      </c>
    </row>
    <row r="2063" spans="1:3" x14ac:dyDescent="0.35">
      <c r="A2063">
        <v>1273</v>
      </c>
      <c r="B2063" t="s">
        <v>1520</v>
      </c>
      <c r="C2063">
        <v>3</v>
      </c>
    </row>
    <row r="2064" spans="1:3" x14ac:dyDescent="0.35">
      <c r="A2064">
        <v>1274</v>
      </c>
      <c r="B2064" t="s">
        <v>1520</v>
      </c>
      <c r="C2064">
        <v>3</v>
      </c>
    </row>
    <row r="2065" spans="1:3" x14ac:dyDescent="0.35">
      <c r="A2065">
        <v>1275</v>
      </c>
      <c r="B2065" t="s">
        <v>1520</v>
      </c>
      <c r="C2065">
        <v>3</v>
      </c>
    </row>
    <row r="2066" spans="1:3" x14ac:dyDescent="0.35">
      <c r="A2066">
        <v>1276</v>
      </c>
      <c r="B2066" t="s">
        <v>1520</v>
      </c>
      <c r="C2066">
        <v>3</v>
      </c>
    </row>
    <row r="2067" spans="1:3" x14ac:dyDescent="0.35">
      <c r="A2067">
        <v>1277</v>
      </c>
      <c r="B2067" t="s">
        <v>1520</v>
      </c>
      <c r="C2067">
        <v>3</v>
      </c>
    </row>
    <row r="2068" spans="1:3" x14ac:dyDescent="0.35">
      <c r="A2068">
        <v>1278</v>
      </c>
      <c r="B2068" t="s">
        <v>1520</v>
      </c>
      <c r="C2068">
        <v>3</v>
      </c>
    </row>
    <row r="2069" spans="1:3" x14ac:dyDescent="0.35">
      <c r="A2069">
        <v>1279</v>
      </c>
      <c r="B2069" t="s">
        <v>1520</v>
      </c>
      <c r="C2069">
        <v>3</v>
      </c>
    </row>
    <row r="2070" spans="1:3" x14ac:dyDescent="0.35">
      <c r="A2070">
        <v>1280</v>
      </c>
      <c r="B2070" t="s">
        <v>1520</v>
      </c>
      <c r="C2070">
        <v>3</v>
      </c>
    </row>
    <row r="2071" spans="1:3" x14ac:dyDescent="0.35">
      <c r="A2071">
        <v>1281</v>
      </c>
      <c r="B2071" t="s">
        <v>1520</v>
      </c>
      <c r="C2071">
        <v>3</v>
      </c>
    </row>
    <row r="2072" spans="1:3" x14ac:dyDescent="0.35">
      <c r="A2072">
        <v>1282</v>
      </c>
      <c r="B2072" t="s">
        <v>1520</v>
      </c>
      <c r="C2072">
        <v>3</v>
      </c>
    </row>
    <row r="2073" spans="1:3" x14ac:dyDescent="0.35">
      <c r="A2073">
        <v>1284</v>
      </c>
      <c r="B2073" t="s">
        <v>1520</v>
      </c>
      <c r="C2073">
        <v>3</v>
      </c>
    </row>
    <row r="2074" spans="1:3" x14ac:dyDescent="0.35">
      <c r="A2074">
        <v>1285</v>
      </c>
      <c r="B2074" t="s">
        <v>1520</v>
      </c>
      <c r="C2074">
        <v>3</v>
      </c>
    </row>
    <row r="2075" spans="1:3" x14ac:dyDescent="0.35">
      <c r="A2075">
        <v>1286</v>
      </c>
      <c r="B2075" t="s">
        <v>1520</v>
      </c>
      <c r="C2075">
        <v>3</v>
      </c>
    </row>
    <row r="2076" spans="1:3" x14ac:dyDescent="0.35">
      <c r="A2076">
        <v>1287</v>
      </c>
      <c r="B2076" t="s">
        <v>1520</v>
      </c>
      <c r="C2076">
        <v>3</v>
      </c>
    </row>
    <row r="2077" spans="1:3" x14ac:dyDescent="0.35">
      <c r="A2077">
        <v>1288</v>
      </c>
      <c r="B2077" t="s">
        <v>1520</v>
      </c>
      <c r="C2077">
        <v>3</v>
      </c>
    </row>
    <row r="2078" spans="1:3" x14ac:dyDescent="0.35">
      <c r="A2078">
        <v>1289</v>
      </c>
      <c r="B2078" t="s">
        <v>1520</v>
      </c>
      <c r="C2078">
        <v>3</v>
      </c>
    </row>
    <row r="2079" spans="1:3" x14ac:dyDescent="0.35">
      <c r="A2079">
        <v>1290</v>
      </c>
      <c r="B2079" t="s">
        <v>1520</v>
      </c>
      <c r="C2079">
        <v>3</v>
      </c>
    </row>
    <row r="2080" spans="1:3" x14ac:dyDescent="0.35">
      <c r="A2080">
        <v>1291</v>
      </c>
      <c r="B2080" t="s">
        <v>1520</v>
      </c>
      <c r="C2080">
        <v>3</v>
      </c>
    </row>
    <row r="2081" spans="1:3" x14ac:dyDescent="0.35">
      <c r="A2081">
        <v>1292</v>
      </c>
      <c r="B2081" t="s">
        <v>1520</v>
      </c>
      <c r="C2081">
        <v>3</v>
      </c>
    </row>
    <row r="2082" spans="1:3" x14ac:dyDescent="0.35">
      <c r="A2082">
        <v>1293</v>
      </c>
      <c r="B2082" t="s">
        <v>1520</v>
      </c>
      <c r="C2082">
        <v>3</v>
      </c>
    </row>
    <row r="2083" spans="1:3" x14ac:dyDescent="0.35">
      <c r="A2083">
        <v>1294</v>
      </c>
      <c r="B2083" t="s">
        <v>1520</v>
      </c>
      <c r="C2083">
        <v>3</v>
      </c>
    </row>
    <row r="2084" spans="1:3" x14ac:dyDescent="0.35">
      <c r="A2084">
        <v>1295</v>
      </c>
      <c r="B2084" t="s">
        <v>1520</v>
      </c>
      <c r="C2084">
        <v>3</v>
      </c>
    </row>
    <row r="2085" spans="1:3" x14ac:dyDescent="0.35">
      <c r="A2085">
        <v>1296</v>
      </c>
      <c r="B2085" t="s">
        <v>1520</v>
      </c>
      <c r="C2085">
        <v>3</v>
      </c>
    </row>
    <row r="2086" spans="1:3" x14ac:dyDescent="0.35">
      <c r="A2086">
        <v>1297</v>
      </c>
      <c r="B2086" t="s">
        <v>1520</v>
      </c>
      <c r="C2086">
        <v>3</v>
      </c>
    </row>
    <row r="2087" spans="1:3" x14ac:dyDescent="0.35">
      <c r="A2087">
        <v>1298</v>
      </c>
      <c r="B2087" t="s">
        <v>1520</v>
      </c>
      <c r="C2087">
        <v>3</v>
      </c>
    </row>
    <row r="2088" spans="1:3" x14ac:dyDescent="0.35">
      <c r="A2088">
        <v>1299</v>
      </c>
      <c r="B2088" t="s">
        <v>1520</v>
      </c>
      <c r="C2088">
        <v>3</v>
      </c>
    </row>
    <row r="2089" spans="1:3" x14ac:dyDescent="0.35">
      <c r="A2089">
        <v>1300</v>
      </c>
      <c r="B2089" t="s">
        <v>1520</v>
      </c>
      <c r="C2089">
        <v>3</v>
      </c>
    </row>
    <row r="2090" spans="1:3" x14ac:dyDescent="0.35">
      <c r="A2090">
        <v>1301</v>
      </c>
      <c r="B2090" t="s">
        <v>1520</v>
      </c>
      <c r="C2090">
        <v>3</v>
      </c>
    </row>
    <row r="2091" spans="1:3" x14ac:dyDescent="0.35">
      <c r="A2091">
        <v>1302</v>
      </c>
      <c r="B2091" t="s">
        <v>1520</v>
      </c>
      <c r="C2091">
        <v>3</v>
      </c>
    </row>
    <row r="2092" spans="1:3" x14ac:dyDescent="0.35">
      <c r="A2092">
        <v>1303</v>
      </c>
      <c r="B2092" t="s">
        <v>1520</v>
      </c>
      <c r="C2092">
        <v>3</v>
      </c>
    </row>
    <row r="2093" spans="1:3" x14ac:dyDescent="0.35">
      <c r="A2093">
        <v>1304</v>
      </c>
      <c r="B2093" t="s">
        <v>1520</v>
      </c>
      <c r="C2093">
        <v>3</v>
      </c>
    </row>
    <row r="2094" spans="1:3" x14ac:dyDescent="0.35">
      <c r="A2094">
        <v>1305</v>
      </c>
      <c r="B2094" t="s">
        <v>1520</v>
      </c>
      <c r="C2094">
        <v>3</v>
      </c>
    </row>
    <row r="2095" spans="1:3" x14ac:dyDescent="0.35">
      <c r="A2095">
        <v>1306</v>
      </c>
      <c r="B2095" t="s">
        <v>1520</v>
      </c>
      <c r="C2095">
        <v>3</v>
      </c>
    </row>
    <row r="2096" spans="1:3" x14ac:dyDescent="0.35">
      <c r="A2096">
        <v>1307</v>
      </c>
      <c r="B2096" t="s">
        <v>1520</v>
      </c>
      <c r="C2096">
        <v>3</v>
      </c>
    </row>
    <row r="2097" spans="1:3" x14ac:dyDescent="0.35">
      <c r="A2097">
        <v>1308</v>
      </c>
      <c r="B2097" t="s">
        <v>1520</v>
      </c>
      <c r="C2097">
        <v>3</v>
      </c>
    </row>
    <row r="2098" spans="1:3" x14ac:dyDescent="0.35">
      <c r="A2098">
        <v>1309</v>
      </c>
      <c r="B2098" t="s">
        <v>1520</v>
      </c>
      <c r="C2098">
        <v>3</v>
      </c>
    </row>
    <row r="2099" spans="1:3" x14ac:dyDescent="0.35">
      <c r="A2099">
        <v>1310</v>
      </c>
      <c r="B2099" t="s">
        <v>1520</v>
      </c>
      <c r="C2099">
        <v>3</v>
      </c>
    </row>
    <row r="2100" spans="1:3" x14ac:dyDescent="0.35">
      <c r="A2100">
        <v>1311</v>
      </c>
      <c r="B2100" t="s">
        <v>1520</v>
      </c>
      <c r="C2100">
        <v>3</v>
      </c>
    </row>
    <row r="2101" spans="1:3" x14ac:dyDescent="0.35">
      <c r="A2101">
        <v>1312</v>
      </c>
      <c r="B2101" t="s">
        <v>1520</v>
      </c>
      <c r="C2101">
        <v>3</v>
      </c>
    </row>
    <row r="2102" spans="1:3" x14ac:dyDescent="0.35">
      <c r="A2102">
        <v>1313</v>
      </c>
      <c r="B2102" t="s">
        <v>1520</v>
      </c>
      <c r="C2102">
        <v>3</v>
      </c>
    </row>
    <row r="2103" spans="1:3" x14ac:dyDescent="0.35">
      <c r="A2103">
        <v>1314</v>
      </c>
      <c r="B2103" t="s">
        <v>1520</v>
      </c>
      <c r="C2103">
        <v>3</v>
      </c>
    </row>
    <row r="2104" spans="1:3" x14ac:dyDescent="0.35">
      <c r="A2104">
        <v>1315</v>
      </c>
      <c r="B2104" t="s">
        <v>1520</v>
      </c>
      <c r="C2104">
        <v>3</v>
      </c>
    </row>
    <row r="2105" spans="1:3" x14ac:dyDescent="0.35">
      <c r="A2105">
        <v>1316</v>
      </c>
      <c r="B2105" t="s">
        <v>1520</v>
      </c>
      <c r="C2105">
        <v>3</v>
      </c>
    </row>
    <row r="2106" spans="1:3" x14ac:dyDescent="0.35">
      <c r="A2106">
        <v>1317</v>
      </c>
      <c r="B2106" t="s">
        <v>1520</v>
      </c>
      <c r="C2106">
        <v>3</v>
      </c>
    </row>
    <row r="2107" spans="1:3" x14ac:dyDescent="0.35">
      <c r="A2107">
        <v>1318</v>
      </c>
      <c r="B2107" t="s">
        <v>1520</v>
      </c>
      <c r="C2107">
        <v>3</v>
      </c>
    </row>
    <row r="2108" spans="1:3" x14ac:dyDescent="0.35">
      <c r="A2108">
        <v>1319</v>
      </c>
      <c r="B2108" t="s">
        <v>1520</v>
      </c>
      <c r="C2108">
        <v>3</v>
      </c>
    </row>
    <row r="2109" spans="1:3" x14ac:dyDescent="0.35">
      <c r="A2109">
        <v>1320</v>
      </c>
      <c r="B2109" t="s">
        <v>1520</v>
      </c>
      <c r="C2109">
        <v>3</v>
      </c>
    </row>
    <row r="2110" spans="1:3" x14ac:dyDescent="0.35">
      <c r="A2110">
        <v>1321</v>
      </c>
      <c r="B2110" t="s">
        <v>1520</v>
      </c>
      <c r="C2110">
        <v>3</v>
      </c>
    </row>
    <row r="2111" spans="1:3" x14ac:dyDescent="0.35">
      <c r="A2111">
        <v>1322</v>
      </c>
      <c r="B2111" t="s">
        <v>1520</v>
      </c>
      <c r="C2111">
        <v>3</v>
      </c>
    </row>
    <row r="2112" spans="1:3" x14ac:dyDescent="0.35">
      <c r="A2112">
        <v>1323</v>
      </c>
      <c r="B2112" t="s">
        <v>1520</v>
      </c>
      <c r="C2112">
        <v>3</v>
      </c>
    </row>
    <row r="2113" spans="1:3" x14ac:dyDescent="0.35">
      <c r="A2113">
        <v>1324</v>
      </c>
      <c r="B2113" t="s">
        <v>1520</v>
      </c>
      <c r="C2113">
        <v>3</v>
      </c>
    </row>
    <row r="2114" spans="1:3" x14ac:dyDescent="0.35">
      <c r="A2114">
        <v>1325</v>
      </c>
      <c r="B2114" t="s">
        <v>1520</v>
      </c>
      <c r="C2114">
        <v>3</v>
      </c>
    </row>
    <row r="2115" spans="1:3" x14ac:dyDescent="0.35">
      <c r="A2115">
        <v>1326</v>
      </c>
      <c r="B2115" t="s">
        <v>1520</v>
      </c>
      <c r="C2115">
        <v>3</v>
      </c>
    </row>
    <row r="2116" spans="1:3" x14ac:dyDescent="0.35">
      <c r="A2116">
        <v>1327</v>
      </c>
      <c r="B2116" t="s">
        <v>1520</v>
      </c>
      <c r="C2116">
        <v>3</v>
      </c>
    </row>
    <row r="2117" spans="1:3" x14ac:dyDescent="0.35">
      <c r="A2117">
        <v>1328</v>
      </c>
      <c r="B2117" t="s">
        <v>1520</v>
      </c>
      <c r="C2117">
        <v>3</v>
      </c>
    </row>
    <row r="2118" spans="1:3" x14ac:dyDescent="0.35">
      <c r="A2118">
        <v>1486</v>
      </c>
      <c r="B2118" t="s">
        <v>1520</v>
      </c>
      <c r="C2118">
        <v>3</v>
      </c>
    </row>
    <row r="2119" spans="1:3" x14ac:dyDescent="0.35">
      <c r="A2119">
        <v>1487</v>
      </c>
      <c r="B2119" t="s">
        <v>1520</v>
      </c>
      <c r="C2119">
        <v>3</v>
      </c>
    </row>
    <row r="2120" spans="1:3" x14ac:dyDescent="0.35">
      <c r="A2120">
        <v>2906</v>
      </c>
      <c r="B2120" t="s">
        <v>1521</v>
      </c>
      <c r="C2120">
        <v>10</v>
      </c>
    </row>
    <row r="2121" spans="1:3" x14ac:dyDescent="0.35">
      <c r="A2121">
        <v>2907</v>
      </c>
      <c r="B2121" t="s">
        <v>1521</v>
      </c>
      <c r="C2121">
        <v>10</v>
      </c>
    </row>
    <row r="2122" spans="1:3" x14ac:dyDescent="0.35">
      <c r="A2122">
        <v>2683</v>
      </c>
      <c r="B2122" t="s">
        <v>1522</v>
      </c>
      <c r="C2122">
        <v>8</v>
      </c>
    </row>
    <row r="2123" spans="1:3" x14ac:dyDescent="0.35">
      <c r="A2123">
        <v>2687</v>
      </c>
      <c r="B2123" t="s">
        <v>1522</v>
      </c>
      <c r="C2123">
        <v>8</v>
      </c>
    </row>
    <row r="2124" spans="1:3" x14ac:dyDescent="0.35">
      <c r="A2124">
        <v>2688</v>
      </c>
      <c r="B2124" t="s">
        <v>1522</v>
      </c>
      <c r="C2124">
        <v>8</v>
      </c>
    </row>
    <row r="2125" spans="1:3" x14ac:dyDescent="0.35">
      <c r="A2125">
        <v>2689</v>
      </c>
      <c r="B2125" t="s">
        <v>1522</v>
      </c>
      <c r="C2125">
        <v>8</v>
      </c>
    </row>
    <row r="2126" spans="1:3" x14ac:dyDescent="0.35">
      <c r="A2126">
        <v>2690</v>
      </c>
      <c r="B2126" t="s">
        <v>1522</v>
      </c>
      <c r="C2126">
        <v>8</v>
      </c>
    </row>
    <row r="2127" spans="1:3" x14ac:dyDescent="0.35">
      <c r="A2127">
        <v>2691</v>
      </c>
      <c r="B2127" t="s">
        <v>1522</v>
      </c>
      <c r="C2127">
        <v>8</v>
      </c>
    </row>
    <row r="2128" spans="1:3" x14ac:dyDescent="0.35">
      <c r="A2128">
        <v>2692</v>
      </c>
      <c r="B2128" t="s">
        <v>1522</v>
      </c>
      <c r="C2128">
        <v>8</v>
      </c>
    </row>
    <row r="2129" spans="1:3" x14ac:dyDescent="0.35">
      <c r="A2129">
        <v>2693</v>
      </c>
      <c r="B2129" t="s">
        <v>1522</v>
      </c>
      <c r="C2129">
        <v>8</v>
      </c>
    </row>
    <row r="2130" spans="1:3" x14ac:dyDescent="0.35">
      <c r="A2130">
        <v>2694</v>
      </c>
      <c r="B2130" t="s">
        <v>1522</v>
      </c>
      <c r="C2130">
        <v>8</v>
      </c>
    </row>
    <row r="2131" spans="1:3" x14ac:dyDescent="0.35">
      <c r="A2131">
        <v>2695</v>
      </c>
      <c r="B2131" t="s">
        <v>1522</v>
      </c>
      <c r="C2131">
        <v>8</v>
      </c>
    </row>
    <row r="2132" spans="1:3" x14ac:dyDescent="0.35">
      <c r="A2132">
        <v>2696</v>
      </c>
      <c r="B2132" t="s">
        <v>1522</v>
      </c>
      <c r="C2132">
        <v>8</v>
      </c>
    </row>
    <row r="2133" spans="1:3" x14ac:dyDescent="0.35">
      <c r="A2133">
        <v>2697</v>
      </c>
      <c r="B2133" t="s">
        <v>1522</v>
      </c>
      <c r="C2133">
        <v>8</v>
      </c>
    </row>
    <row r="2134" spans="1:3" x14ac:dyDescent="0.35">
      <c r="A2134">
        <v>2698</v>
      </c>
      <c r="B2134" t="s">
        <v>1522</v>
      </c>
      <c r="C2134">
        <v>8</v>
      </c>
    </row>
    <row r="2135" spans="1:3" x14ac:dyDescent="0.35">
      <c r="A2135">
        <v>2701</v>
      </c>
      <c r="B2135" t="s">
        <v>1522</v>
      </c>
      <c r="C2135">
        <v>8</v>
      </c>
    </row>
    <row r="2136" spans="1:3" x14ac:dyDescent="0.35">
      <c r="A2136">
        <v>2703</v>
      </c>
      <c r="B2136" t="s">
        <v>1522</v>
      </c>
      <c r="C2136">
        <v>8</v>
      </c>
    </row>
    <row r="2137" spans="1:3" x14ac:dyDescent="0.35">
      <c r="A2137">
        <v>2704</v>
      </c>
      <c r="B2137" t="s">
        <v>1522</v>
      </c>
      <c r="C2137">
        <v>8</v>
      </c>
    </row>
    <row r="2138" spans="1:3" x14ac:dyDescent="0.35">
      <c r="A2138">
        <v>2705</v>
      </c>
      <c r="B2138" t="s">
        <v>1522</v>
      </c>
      <c r="C2138">
        <v>8</v>
      </c>
    </row>
    <row r="2139" spans="1:3" x14ac:dyDescent="0.35">
      <c r="A2139">
        <v>2706</v>
      </c>
      <c r="B2139" t="s">
        <v>1522</v>
      </c>
      <c r="C2139">
        <v>8</v>
      </c>
    </row>
    <row r="2140" spans="1:3" x14ac:dyDescent="0.35">
      <c r="A2140">
        <v>2707</v>
      </c>
      <c r="B2140" t="s">
        <v>1522</v>
      </c>
      <c r="C2140">
        <v>8</v>
      </c>
    </row>
    <row r="2141" spans="1:3" x14ac:dyDescent="0.35">
      <c r="A2141">
        <v>2708</v>
      </c>
      <c r="B2141" t="s">
        <v>1522</v>
      </c>
      <c r="C2141">
        <v>8</v>
      </c>
    </row>
    <row r="2142" spans="1:3" x14ac:dyDescent="0.35">
      <c r="A2142">
        <v>2709</v>
      </c>
      <c r="B2142" t="s">
        <v>1522</v>
      </c>
      <c r="C2142">
        <v>8</v>
      </c>
    </row>
    <row r="2143" spans="1:3" x14ac:dyDescent="0.35">
      <c r="A2143">
        <v>2710</v>
      </c>
      <c r="B2143" t="s">
        <v>1522</v>
      </c>
      <c r="C2143">
        <v>8</v>
      </c>
    </row>
    <row r="2144" spans="1:3" x14ac:dyDescent="0.35">
      <c r="A2144">
        <v>2711</v>
      </c>
      <c r="B2144" t="s">
        <v>1522</v>
      </c>
      <c r="C2144">
        <v>8</v>
      </c>
    </row>
    <row r="2145" spans="1:3" x14ac:dyDescent="0.35">
      <c r="A2145">
        <v>1332</v>
      </c>
      <c r="B2145" t="s">
        <v>1523</v>
      </c>
      <c r="C2145">
        <v>3</v>
      </c>
    </row>
    <row r="2146" spans="1:3" x14ac:dyDescent="0.35">
      <c r="A2146">
        <v>1333</v>
      </c>
      <c r="B2146" t="s">
        <v>1523</v>
      </c>
      <c r="C2146">
        <v>3</v>
      </c>
    </row>
    <row r="2147" spans="1:3" x14ac:dyDescent="0.35">
      <c r="A2147">
        <v>1334</v>
      </c>
      <c r="B2147" t="s">
        <v>1523</v>
      </c>
      <c r="C2147">
        <v>3</v>
      </c>
    </row>
    <row r="2148" spans="1:3" x14ac:dyDescent="0.35">
      <c r="A2148">
        <v>1335</v>
      </c>
      <c r="B2148" t="s">
        <v>1523</v>
      </c>
      <c r="C2148">
        <v>3</v>
      </c>
    </row>
    <row r="2149" spans="1:3" x14ac:dyDescent="0.35">
      <c r="A2149">
        <v>1336</v>
      </c>
      <c r="B2149" t="s">
        <v>1523</v>
      </c>
      <c r="C2149">
        <v>3</v>
      </c>
    </row>
    <row r="2150" spans="1:3" x14ac:dyDescent="0.35">
      <c r="A2150">
        <v>1337</v>
      </c>
      <c r="B2150" t="s">
        <v>1523</v>
      </c>
      <c r="C2150">
        <v>3</v>
      </c>
    </row>
    <row r="2151" spans="1:3" x14ac:dyDescent="0.35">
      <c r="A2151">
        <v>1338</v>
      </c>
      <c r="B2151" t="s">
        <v>1523</v>
      </c>
      <c r="C2151">
        <v>3</v>
      </c>
    </row>
    <row r="2152" spans="1:3" x14ac:dyDescent="0.35">
      <c r="A2152">
        <v>1339</v>
      </c>
      <c r="B2152" t="s">
        <v>1523</v>
      </c>
      <c r="C2152">
        <v>3</v>
      </c>
    </row>
    <row r="2153" spans="1:3" x14ac:dyDescent="0.35">
      <c r="A2153">
        <v>1340</v>
      </c>
      <c r="B2153" t="s">
        <v>1523</v>
      </c>
      <c r="C2153">
        <v>3</v>
      </c>
    </row>
    <row r="2154" spans="1:3" x14ac:dyDescent="0.35">
      <c r="A2154">
        <v>1341</v>
      </c>
      <c r="B2154" t="s">
        <v>1523</v>
      </c>
      <c r="C2154">
        <v>3</v>
      </c>
    </row>
    <row r="2155" spans="1:3" x14ac:dyDescent="0.35">
      <c r="A2155">
        <v>1342</v>
      </c>
      <c r="B2155" t="s">
        <v>1523</v>
      </c>
      <c r="C2155">
        <v>3</v>
      </c>
    </row>
    <row r="2156" spans="1:3" x14ac:dyDescent="0.35">
      <c r="A2156">
        <v>1343</v>
      </c>
      <c r="B2156" t="s">
        <v>1523</v>
      </c>
      <c r="C2156">
        <v>3</v>
      </c>
    </row>
    <row r="2157" spans="1:3" x14ac:dyDescent="0.35">
      <c r="A2157">
        <v>1344</v>
      </c>
      <c r="B2157" t="s">
        <v>1523</v>
      </c>
      <c r="C2157">
        <v>3</v>
      </c>
    </row>
    <row r="2158" spans="1:3" x14ac:dyDescent="0.35">
      <c r="A2158">
        <v>1345</v>
      </c>
      <c r="B2158" t="s">
        <v>1523</v>
      </c>
      <c r="C2158">
        <v>3</v>
      </c>
    </row>
    <row r="2159" spans="1:3" x14ac:dyDescent="0.35">
      <c r="A2159">
        <v>1346</v>
      </c>
      <c r="B2159" t="s">
        <v>1523</v>
      </c>
      <c r="C2159">
        <v>3</v>
      </c>
    </row>
    <row r="2160" spans="1:3" x14ac:dyDescent="0.35">
      <c r="A2160">
        <v>1347</v>
      </c>
      <c r="B2160" t="s">
        <v>1523</v>
      </c>
      <c r="C2160">
        <v>3</v>
      </c>
    </row>
    <row r="2161" spans="1:3" x14ac:dyDescent="0.35">
      <c r="A2161">
        <v>1348</v>
      </c>
      <c r="B2161" t="s">
        <v>1523</v>
      </c>
      <c r="C2161">
        <v>3</v>
      </c>
    </row>
    <row r="2162" spans="1:3" x14ac:dyDescent="0.35">
      <c r="A2162">
        <v>1349</v>
      </c>
      <c r="B2162" t="s">
        <v>1523</v>
      </c>
      <c r="C2162">
        <v>3</v>
      </c>
    </row>
    <row r="2163" spans="1:3" x14ac:dyDescent="0.35">
      <c r="A2163">
        <v>1350</v>
      </c>
      <c r="B2163" t="s">
        <v>1523</v>
      </c>
      <c r="C2163">
        <v>3</v>
      </c>
    </row>
    <row r="2164" spans="1:3" x14ac:dyDescent="0.35">
      <c r="A2164">
        <v>1351</v>
      </c>
      <c r="B2164" t="s">
        <v>1523</v>
      </c>
      <c r="C2164">
        <v>3</v>
      </c>
    </row>
    <row r="2165" spans="1:3" x14ac:dyDescent="0.35">
      <c r="A2165">
        <v>1353</v>
      </c>
      <c r="B2165" t="s">
        <v>1523</v>
      </c>
      <c r="C2165">
        <v>3</v>
      </c>
    </row>
    <row r="2166" spans="1:3" x14ac:dyDescent="0.35">
      <c r="A2166">
        <v>2780</v>
      </c>
      <c r="B2166" t="s">
        <v>1524</v>
      </c>
      <c r="C2166">
        <v>9</v>
      </c>
    </row>
    <row r="2167" spans="1:3" x14ac:dyDescent="0.35">
      <c r="A2167">
        <v>2655</v>
      </c>
      <c r="B2167" t="s">
        <v>1525</v>
      </c>
      <c r="C2167">
        <v>8</v>
      </c>
    </row>
    <row r="2168" spans="1:3" x14ac:dyDescent="0.35">
      <c r="A2168">
        <v>1504</v>
      </c>
      <c r="B2168" t="s">
        <v>299</v>
      </c>
      <c r="C2168">
        <v>2</v>
      </c>
    </row>
    <row r="2169" spans="1:3" x14ac:dyDescent="0.35">
      <c r="A2169">
        <v>1505</v>
      </c>
      <c r="B2169" t="s">
        <v>299</v>
      </c>
      <c r="C2169">
        <v>2</v>
      </c>
    </row>
    <row r="2170" spans="1:3" x14ac:dyDescent="0.35">
      <c r="A2170">
        <v>1506</v>
      </c>
      <c r="B2170" t="s">
        <v>299</v>
      </c>
      <c r="C2170">
        <v>2</v>
      </c>
    </row>
    <row r="2171" spans="1:3" x14ac:dyDescent="0.35">
      <c r="A2171">
        <v>1507</v>
      </c>
      <c r="B2171" t="s">
        <v>299</v>
      </c>
      <c r="C2171">
        <v>2</v>
      </c>
    </row>
    <row r="2172" spans="1:3" x14ac:dyDescent="0.35">
      <c r="A2172">
        <v>1508</v>
      </c>
      <c r="B2172" t="s">
        <v>299</v>
      </c>
      <c r="C2172">
        <v>2</v>
      </c>
    </row>
    <row r="2173" spans="1:3" x14ac:dyDescent="0.35">
      <c r="A2173">
        <v>1509</v>
      </c>
      <c r="B2173" t="s">
        <v>299</v>
      </c>
      <c r="C2173">
        <v>2</v>
      </c>
    </row>
    <row r="2174" spans="1:3" x14ac:dyDescent="0.35">
      <c r="A2174">
        <v>1510</v>
      </c>
      <c r="B2174" t="s">
        <v>299</v>
      </c>
      <c r="C2174">
        <v>2</v>
      </c>
    </row>
    <row r="2175" spans="1:3" x14ac:dyDescent="0.35">
      <c r="A2175">
        <v>1511</v>
      </c>
      <c r="B2175" t="s">
        <v>299</v>
      </c>
      <c r="C2175">
        <v>2</v>
      </c>
    </row>
    <row r="2176" spans="1:3" x14ac:dyDescent="0.35">
      <c r="A2176">
        <v>1594</v>
      </c>
      <c r="B2176" t="s">
        <v>299</v>
      </c>
      <c r="C2176">
        <v>2</v>
      </c>
    </row>
    <row r="2177" spans="1:3" x14ac:dyDescent="0.35">
      <c r="A2177">
        <v>1595</v>
      </c>
      <c r="B2177" t="s">
        <v>299</v>
      </c>
      <c r="C2177">
        <v>2</v>
      </c>
    </row>
    <row r="2178" spans="1:3" x14ac:dyDescent="0.35">
      <c r="A2178">
        <v>1596</v>
      </c>
      <c r="B2178" t="s">
        <v>299</v>
      </c>
      <c r="C2178">
        <v>2</v>
      </c>
    </row>
    <row r="2179" spans="1:3" x14ac:dyDescent="0.35">
      <c r="A2179">
        <v>1640</v>
      </c>
      <c r="B2179" t="s">
        <v>299</v>
      </c>
      <c r="C2179">
        <v>2</v>
      </c>
    </row>
    <row r="2180" spans="1:3" x14ac:dyDescent="0.35">
      <c r="A2180">
        <v>1641</v>
      </c>
      <c r="B2180" t="s">
        <v>299</v>
      </c>
      <c r="C2180">
        <v>2</v>
      </c>
    </row>
    <row r="2181" spans="1:3" x14ac:dyDescent="0.35">
      <c r="A2181">
        <v>1642</v>
      </c>
      <c r="B2181" t="s">
        <v>299</v>
      </c>
      <c r="C2181">
        <v>2</v>
      </c>
    </row>
    <row r="2182" spans="1:3" x14ac:dyDescent="0.35">
      <c r="A2182">
        <v>1643</v>
      </c>
      <c r="B2182" t="s">
        <v>299</v>
      </c>
      <c r="C2182">
        <v>2</v>
      </c>
    </row>
    <row r="2183" spans="1:3" x14ac:dyDescent="0.35">
      <c r="A2183">
        <v>1644</v>
      </c>
      <c r="B2183" t="s">
        <v>299</v>
      </c>
      <c r="C2183">
        <v>2</v>
      </c>
    </row>
    <row r="2184" spans="1:3" x14ac:dyDescent="0.35">
      <c r="A2184">
        <v>1656</v>
      </c>
      <c r="B2184" t="s">
        <v>299</v>
      </c>
      <c r="C2184">
        <v>2</v>
      </c>
    </row>
    <row r="2185" spans="1:3" x14ac:dyDescent="0.35">
      <c r="A2185">
        <v>1687</v>
      </c>
      <c r="B2185" t="s">
        <v>299</v>
      </c>
      <c r="C2185">
        <v>2</v>
      </c>
    </row>
    <row r="2186" spans="1:3" x14ac:dyDescent="0.35">
      <c r="A2186">
        <v>1909</v>
      </c>
      <c r="B2186" t="s">
        <v>299</v>
      </c>
      <c r="C2186">
        <v>2</v>
      </c>
    </row>
    <row r="2187" spans="1:3" x14ac:dyDescent="0.35">
      <c r="A2187">
        <v>1910</v>
      </c>
      <c r="B2187" t="s">
        <v>299</v>
      </c>
      <c r="C2187">
        <v>2</v>
      </c>
    </row>
    <row r="2188" spans="1:3" x14ac:dyDescent="0.35">
      <c r="A2188">
        <v>1911</v>
      </c>
      <c r="B2188" t="s">
        <v>299</v>
      </c>
      <c r="C2188">
        <v>2</v>
      </c>
    </row>
    <row r="2189" spans="1:3" x14ac:dyDescent="0.35">
      <c r="A2189">
        <v>1912</v>
      </c>
      <c r="B2189" t="s">
        <v>299</v>
      </c>
      <c r="C2189">
        <v>2</v>
      </c>
    </row>
    <row r="2190" spans="1:3" x14ac:dyDescent="0.35">
      <c r="A2190">
        <v>1913</v>
      </c>
      <c r="B2190" t="s">
        <v>299</v>
      </c>
      <c r="C2190">
        <v>2</v>
      </c>
    </row>
    <row r="2191" spans="1:3" x14ac:dyDescent="0.35">
      <c r="A2191">
        <v>1914</v>
      </c>
      <c r="B2191" t="s">
        <v>299</v>
      </c>
      <c r="C2191">
        <v>2</v>
      </c>
    </row>
    <row r="2192" spans="1:3" x14ac:dyDescent="0.35">
      <c r="A2192">
        <v>1915</v>
      </c>
      <c r="B2192" t="s">
        <v>299</v>
      </c>
      <c r="C2192">
        <v>2</v>
      </c>
    </row>
    <row r="2193" spans="1:3" x14ac:dyDescent="0.35">
      <c r="A2193">
        <v>1916</v>
      </c>
      <c r="B2193" t="s">
        <v>299</v>
      </c>
      <c r="C2193">
        <v>2</v>
      </c>
    </row>
    <row r="2194" spans="1:3" x14ac:dyDescent="0.35">
      <c r="A2194">
        <v>1917</v>
      </c>
      <c r="B2194" t="s">
        <v>299</v>
      </c>
      <c r="C2194">
        <v>2</v>
      </c>
    </row>
    <row r="2195" spans="1:3" x14ac:dyDescent="0.35">
      <c r="A2195">
        <v>1930</v>
      </c>
      <c r="B2195" t="s">
        <v>299</v>
      </c>
      <c r="C2195">
        <v>2</v>
      </c>
    </row>
    <row r="2196" spans="1:3" x14ac:dyDescent="0.35">
      <c r="A2196">
        <v>1931</v>
      </c>
      <c r="B2196" t="s">
        <v>299</v>
      </c>
      <c r="C2196">
        <v>2</v>
      </c>
    </row>
    <row r="2197" spans="1:3" x14ac:dyDescent="0.35">
      <c r="A2197">
        <v>2646</v>
      </c>
      <c r="B2197" t="s">
        <v>1526</v>
      </c>
      <c r="C2197">
        <v>7</v>
      </c>
    </row>
    <row r="2198" spans="1:3" x14ac:dyDescent="0.35">
      <c r="A2198">
        <v>2942</v>
      </c>
      <c r="B2198" t="s">
        <v>1527</v>
      </c>
      <c r="C2198">
        <v>13</v>
      </c>
    </row>
    <row r="2199" spans="1:3" x14ac:dyDescent="0.35">
      <c r="A2199">
        <v>2943</v>
      </c>
      <c r="B2199" t="s">
        <v>1527</v>
      </c>
      <c r="C2199">
        <v>13</v>
      </c>
    </row>
    <row r="2200" spans="1:3" x14ac:dyDescent="0.35">
      <c r="A2200">
        <v>2944</v>
      </c>
      <c r="B2200" t="s">
        <v>1527</v>
      </c>
      <c r="C2200">
        <v>13</v>
      </c>
    </row>
    <row r="2201" spans="1:3" x14ac:dyDescent="0.35">
      <c r="A2201">
        <v>2945</v>
      </c>
      <c r="B2201" t="s">
        <v>1527</v>
      </c>
      <c r="C2201">
        <v>13</v>
      </c>
    </row>
    <row r="2202" spans="1:3" x14ac:dyDescent="0.35">
      <c r="A2202">
        <v>2946</v>
      </c>
      <c r="B2202" t="s">
        <v>1527</v>
      </c>
      <c r="C2202">
        <v>13</v>
      </c>
    </row>
    <row r="2203" spans="1:3" x14ac:dyDescent="0.35">
      <c r="A2203">
        <v>2947</v>
      </c>
      <c r="B2203" t="s">
        <v>1527</v>
      </c>
      <c r="C2203">
        <v>13</v>
      </c>
    </row>
    <row r="2204" spans="1:3" x14ac:dyDescent="0.35">
      <c r="A2204">
        <v>2948</v>
      </c>
      <c r="B2204" t="s">
        <v>1527</v>
      </c>
      <c r="C2204">
        <v>13</v>
      </c>
    </row>
    <row r="2205" spans="1:3" x14ac:dyDescent="0.35">
      <c r="A2205">
        <v>2952</v>
      </c>
      <c r="B2205" t="s">
        <v>1527</v>
      </c>
      <c r="C2205">
        <v>13</v>
      </c>
    </row>
    <row r="2206" spans="1:3" x14ac:dyDescent="0.35">
      <c r="A2206">
        <v>2586</v>
      </c>
      <c r="B2206" t="s">
        <v>1528</v>
      </c>
      <c r="C2206">
        <v>6</v>
      </c>
    </row>
    <row r="2207" spans="1:3" x14ac:dyDescent="0.35">
      <c r="A2207">
        <v>2587</v>
      </c>
      <c r="B2207" t="s">
        <v>1528</v>
      </c>
      <c r="C2207">
        <v>6</v>
      </c>
    </row>
    <row r="2208" spans="1:3" x14ac:dyDescent="0.35">
      <c r="A2208">
        <v>2593</v>
      </c>
      <c r="B2208" t="s">
        <v>1528</v>
      </c>
      <c r="C2208">
        <v>6</v>
      </c>
    </row>
    <row r="2209" spans="1:3" x14ac:dyDescent="0.35">
      <c r="A2209">
        <v>99</v>
      </c>
      <c r="B2209" t="s">
        <v>1529</v>
      </c>
      <c r="C2209">
        <v>3</v>
      </c>
    </row>
    <row r="2210" spans="1:3" x14ac:dyDescent="0.35">
      <c r="A2210">
        <v>1215</v>
      </c>
      <c r="B2210" t="s">
        <v>1529</v>
      </c>
      <c r="C2210">
        <v>3</v>
      </c>
    </row>
    <row r="2211" spans="1:3" x14ac:dyDescent="0.35">
      <c r="A2211">
        <v>1283</v>
      </c>
      <c r="B2211" t="s">
        <v>1529</v>
      </c>
      <c r="C2211">
        <v>3</v>
      </c>
    </row>
    <row r="2212" spans="1:3" x14ac:dyDescent="0.35">
      <c r="A2212">
        <v>1355</v>
      </c>
      <c r="B2212" t="s">
        <v>1529</v>
      </c>
      <c r="C2212">
        <v>3</v>
      </c>
    </row>
    <row r="2213" spans="1:3" x14ac:dyDescent="0.35">
      <c r="A2213">
        <v>1356</v>
      </c>
      <c r="B2213" t="s">
        <v>1529</v>
      </c>
      <c r="C2213">
        <v>3</v>
      </c>
    </row>
    <row r="2214" spans="1:3" x14ac:dyDescent="0.35">
      <c r="A2214">
        <v>1357</v>
      </c>
      <c r="B2214" t="s">
        <v>1529</v>
      </c>
      <c r="C2214">
        <v>3</v>
      </c>
    </row>
    <row r="2215" spans="1:3" x14ac:dyDescent="0.35">
      <c r="A2215">
        <v>1358</v>
      </c>
      <c r="B2215" t="s">
        <v>1529</v>
      </c>
      <c r="C2215">
        <v>3</v>
      </c>
    </row>
    <row r="2216" spans="1:3" x14ac:dyDescent="0.35">
      <c r="A2216">
        <v>1359</v>
      </c>
      <c r="B2216" t="s">
        <v>1529</v>
      </c>
      <c r="C2216">
        <v>3</v>
      </c>
    </row>
    <row r="2217" spans="1:3" x14ac:dyDescent="0.35">
      <c r="A2217">
        <v>1360</v>
      </c>
      <c r="B2217" t="s">
        <v>1529</v>
      </c>
      <c r="C2217">
        <v>3</v>
      </c>
    </row>
    <row r="2218" spans="1:3" x14ac:dyDescent="0.35">
      <c r="A2218">
        <v>1361</v>
      </c>
      <c r="B2218" t="s">
        <v>1529</v>
      </c>
      <c r="C2218">
        <v>3</v>
      </c>
    </row>
    <row r="2219" spans="1:3" x14ac:dyDescent="0.35">
      <c r="A2219">
        <v>1362</v>
      </c>
      <c r="B2219" t="s">
        <v>1529</v>
      </c>
      <c r="C2219">
        <v>3</v>
      </c>
    </row>
    <row r="2220" spans="1:3" x14ac:dyDescent="0.35">
      <c r="A2220">
        <v>1363</v>
      </c>
      <c r="B2220" t="s">
        <v>1529</v>
      </c>
      <c r="C2220">
        <v>3</v>
      </c>
    </row>
    <row r="2221" spans="1:3" x14ac:dyDescent="0.35">
      <c r="A2221">
        <v>1364</v>
      </c>
      <c r="B2221" t="s">
        <v>1529</v>
      </c>
      <c r="C2221">
        <v>3</v>
      </c>
    </row>
    <row r="2222" spans="1:3" x14ac:dyDescent="0.35">
      <c r="A2222">
        <v>1365</v>
      </c>
      <c r="B2222" t="s">
        <v>1529</v>
      </c>
      <c r="C2222">
        <v>3</v>
      </c>
    </row>
    <row r="2223" spans="1:3" x14ac:dyDescent="0.35">
      <c r="A2223">
        <v>1366</v>
      </c>
      <c r="B2223" t="s">
        <v>1529</v>
      </c>
      <c r="C2223">
        <v>3</v>
      </c>
    </row>
    <row r="2224" spans="1:3" x14ac:dyDescent="0.35">
      <c r="A2224">
        <v>1367</v>
      </c>
      <c r="B2224" t="s">
        <v>1529</v>
      </c>
      <c r="C2224">
        <v>3</v>
      </c>
    </row>
    <row r="2225" spans="1:3" x14ac:dyDescent="0.35">
      <c r="A2225">
        <v>1368</v>
      </c>
      <c r="B2225" t="s">
        <v>1529</v>
      </c>
      <c r="C2225">
        <v>3</v>
      </c>
    </row>
    <row r="2226" spans="1:3" x14ac:dyDescent="0.35">
      <c r="A2226">
        <v>1369</v>
      </c>
      <c r="B2226" t="s">
        <v>1529</v>
      </c>
      <c r="C2226">
        <v>3</v>
      </c>
    </row>
    <row r="2227" spans="1:3" x14ac:dyDescent="0.35">
      <c r="A2227">
        <v>1370</v>
      </c>
      <c r="B2227" t="s">
        <v>1529</v>
      </c>
      <c r="C2227">
        <v>3</v>
      </c>
    </row>
    <row r="2228" spans="1:3" x14ac:dyDescent="0.35">
      <c r="A2228">
        <v>1371</v>
      </c>
      <c r="B2228" t="s">
        <v>1529</v>
      </c>
      <c r="C2228">
        <v>3</v>
      </c>
    </row>
    <row r="2229" spans="1:3" x14ac:dyDescent="0.35">
      <c r="A2229">
        <v>1372</v>
      </c>
      <c r="B2229" t="s">
        <v>1529</v>
      </c>
      <c r="C2229">
        <v>3</v>
      </c>
    </row>
    <row r="2230" spans="1:3" x14ac:dyDescent="0.35">
      <c r="A2230">
        <v>1373</v>
      </c>
      <c r="B2230" t="s">
        <v>1529</v>
      </c>
      <c r="C2230">
        <v>3</v>
      </c>
    </row>
    <row r="2231" spans="1:3" x14ac:dyDescent="0.35">
      <c r="A2231">
        <v>1374</v>
      </c>
      <c r="B2231" t="s">
        <v>1529</v>
      </c>
      <c r="C2231">
        <v>3</v>
      </c>
    </row>
    <row r="2232" spans="1:3" x14ac:dyDescent="0.35">
      <c r="A2232">
        <v>1375</v>
      </c>
      <c r="B2232" t="s">
        <v>1529</v>
      </c>
      <c r="C2232">
        <v>3</v>
      </c>
    </row>
    <row r="2233" spans="1:3" x14ac:dyDescent="0.35">
      <c r="A2233">
        <v>1376</v>
      </c>
      <c r="B2233" t="s">
        <v>1529</v>
      </c>
      <c r="C2233">
        <v>3</v>
      </c>
    </row>
    <row r="2234" spans="1:3" x14ac:dyDescent="0.35">
      <c r="A2234">
        <v>1377</v>
      </c>
      <c r="B2234" t="s">
        <v>1529</v>
      </c>
      <c r="C2234">
        <v>3</v>
      </c>
    </row>
    <row r="2235" spans="1:3" x14ac:dyDescent="0.35">
      <c r="A2235">
        <v>1378</v>
      </c>
      <c r="B2235" t="s">
        <v>1529</v>
      </c>
      <c r="C2235">
        <v>3</v>
      </c>
    </row>
    <row r="2236" spans="1:3" x14ac:dyDescent="0.35">
      <c r="A2236">
        <v>1379</v>
      </c>
      <c r="B2236" t="s">
        <v>1529</v>
      </c>
      <c r="C2236">
        <v>3</v>
      </c>
    </row>
    <row r="2237" spans="1:3" x14ac:dyDescent="0.35">
      <c r="A2237">
        <v>1380</v>
      </c>
      <c r="B2237" t="s">
        <v>1529</v>
      </c>
      <c r="C2237">
        <v>3</v>
      </c>
    </row>
    <row r="2238" spans="1:3" x14ac:dyDescent="0.35">
      <c r="A2238">
        <v>1381</v>
      </c>
      <c r="B2238" t="s">
        <v>1529</v>
      </c>
      <c r="C2238">
        <v>3</v>
      </c>
    </row>
    <row r="2239" spans="1:3" x14ac:dyDescent="0.35">
      <c r="A2239">
        <v>1382</v>
      </c>
      <c r="B2239" t="s">
        <v>1529</v>
      </c>
      <c r="C2239">
        <v>3</v>
      </c>
    </row>
    <row r="2240" spans="1:3" x14ac:dyDescent="0.35">
      <c r="A2240">
        <v>1383</v>
      </c>
      <c r="B2240" t="s">
        <v>1529</v>
      </c>
      <c r="C2240">
        <v>3</v>
      </c>
    </row>
    <row r="2241" spans="1:3" x14ac:dyDescent="0.35">
      <c r="A2241">
        <v>1384</v>
      </c>
      <c r="B2241" t="s">
        <v>1529</v>
      </c>
      <c r="C2241">
        <v>3</v>
      </c>
    </row>
    <row r="2242" spans="1:3" x14ac:dyDescent="0.35">
      <c r="A2242">
        <v>1385</v>
      </c>
      <c r="B2242" t="s">
        <v>1529</v>
      </c>
      <c r="C2242">
        <v>3</v>
      </c>
    </row>
    <row r="2243" spans="1:3" x14ac:dyDescent="0.35">
      <c r="A2243">
        <v>1386</v>
      </c>
      <c r="B2243" t="s">
        <v>1529</v>
      </c>
      <c r="C2243">
        <v>3</v>
      </c>
    </row>
    <row r="2244" spans="1:3" x14ac:dyDescent="0.35">
      <c r="A2244">
        <v>1387</v>
      </c>
      <c r="B2244" t="s">
        <v>1529</v>
      </c>
      <c r="C2244">
        <v>3</v>
      </c>
    </row>
    <row r="2245" spans="1:3" x14ac:dyDescent="0.35">
      <c r="A2245">
        <v>1388</v>
      </c>
      <c r="B2245" t="s">
        <v>1529</v>
      </c>
      <c r="C2245">
        <v>3</v>
      </c>
    </row>
    <row r="2246" spans="1:3" x14ac:dyDescent="0.35">
      <c r="A2246">
        <v>1389</v>
      </c>
      <c r="B2246" t="s">
        <v>1529</v>
      </c>
      <c r="C2246">
        <v>3</v>
      </c>
    </row>
    <row r="2247" spans="1:3" x14ac:dyDescent="0.35">
      <c r="A2247">
        <v>1390</v>
      </c>
      <c r="B2247" t="s">
        <v>1529</v>
      </c>
      <c r="C2247">
        <v>3</v>
      </c>
    </row>
    <row r="2248" spans="1:3" x14ac:dyDescent="0.35">
      <c r="A2248">
        <v>1391</v>
      </c>
      <c r="B2248" t="s">
        <v>1529</v>
      </c>
      <c r="C2248">
        <v>3</v>
      </c>
    </row>
    <row r="2249" spans="1:3" x14ac:dyDescent="0.35">
      <c r="A2249">
        <v>1392</v>
      </c>
      <c r="B2249" t="s">
        <v>1529</v>
      </c>
      <c r="C2249">
        <v>3</v>
      </c>
    </row>
    <row r="2250" spans="1:3" x14ac:dyDescent="0.35">
      <c r="A2250">
        <v>1393</v>
      </c>
      <c r="B2250" t="s">
        <v>1529</v>
      </c>
      <c r="C2250">
        <v>3</v>
      </c>
    </row>
    <row r="2251" spans="1:3" x14ac:dyDescent="0.35">
      <c r="A2251">
        <v>1394</v>
      </c>
      <c r="B2251" t="s">
        <v>1529</v>
      </c>
      <c r="C2251">
        <v>3</v>
      </c>
    </row>
    <row r="2252" spans="1:3" x14ac:dyDescent="0.35">
      <c r="A2252">
        <v>1395</v>
      </c>
      <c r="B2252" t="s">
        <v>1529</v>
      </c>
      <c r="C2252">
        <v>3</v>
      </c>
    </row>
    <row r="2253" spans="1:3" x14ac:dyDescent="0.35">
      <c r="A2253">
        <v>1396</v>
      </c>
      <c r="B2253" t="s">
        <v>1529</v>
      </c>
      <c r="C2253">
        <v>3</v>
      </c>
    </row>
    <row r="2254" spans="1:3" x14ac:dyDescent="0.35">
      <c r="A2254">
        <v>1397</v>
      </c>
      <c r="B2254" t="s">
        <v>1529</v>
      </c>
      <c r="C2254">
        <v>3</v>
      </c>
    </row>
    <row r="2255" spans="1:3" x14ac:dyDescent="0.35">
      <c r="A2255">
        <v>1398</v>
      </c>
      <c r="B2255" t="s">
        <v>1529</v>
      </c>
      <c r="C2255">
        <v>3</v>
      </c>
    </row>
    <row r="2256" spans="1:3" x14ac:dyDescent="0.35">
      <c r="A2256">
        <v>1399</v>
      </c>
      <c r="B2256" t="s">
        <v>1529</v>
      </c>
      <c r="C2256">
        <v>3</v>
      </c>
    </row>
    <row r="2257" spans="1:3" x14ac:dyDescent="0.35">
      <c r="A2257">
        <v>1400</v>
      </c>
      <c r="B2257" t="s">
        <v>1529</v>
      </c>
      <c r="C2257">
        <v>3</v>
      </c>
    </row>
    <row r="2258" spans="1:3" x14ac:dyDescent="0.35">
      <c r="A2258">
        <v>1401</v>
      </c>
      <c r="B2258" t="s">
        <v>1529</v>
      </c>
      <c r="C2258">
        <v>3</v>
      </c>
    </row>
    <row r="2259" spans="1:3" x14ac:dyDescent="0.35">
      <c r="A2259">
        <v>1402</v>
      </c>
      <c r="B2259" t="s">
        <v>1529</v>
      </c>
      <c r="C2259">
        <v>3</v>
      </c>
    </row>
    <row r="2260" spans="1:3" x14ac:dyDescent="0.35">
      <c r="A2260">
        <v>1403</v>
      </c>
      <c r="B2260" t="s">
        <v>1529</v>
      </c>
      <c r="C2260">
        <v>3</v>
      </c>
    </row>
    <row r="2261" spans="1:3" x14ac:dyDescent="0.35">
      <c r="A2261">
        <v>1404</v>
      </c>
      <c r="B2261" t="s">
        <v>1529</v>
      </c>
      <c r="C2261">
        <v>3</v>
      </c>
    </row>
    <row r="2262" spans="1:3" x14ac:dyDescent="0.35">
      <c r="A2262">
        <v>1405</v>
      </c>
      <c r="B2262" t="s">
        <v>1529</v>
      </c>
      <c r="C2262">
        <v>3</v>
      </c>
    </row>
    <row r="2263" spans="1:3" x14ac:dyDescent="0.35">
      <c r="A2263">
        <v>1406</v>
      </c>
      <c r="B2263" t="s">
        <v>1529</v>
      </c>
      <c r="C2263">
        <v>3</v>
      </c>
    </row>
    <row r="2264" spans="1:3" x14ac:dyDescent="0.35">
      <c r="A2264">
        <v>1407</v>
      </c>
      <c r="B2264" t="s">
        <v>1529</v>
      </c>
      <c r="C2264">
        <v>3</v>
      </c>
    </row>
    <row r="2265" spans="1:3" x14ac:dyDescent="0.35">
      <c r="A2265">
        <v>1408</v>
      </c>
      <c r="B2265" t="s">
        <v>1529</v>
      </c>
      <c r="C2265">
        <v>3</v>
      </c>
    </row>
    <row r="2266" spans="1:3" x14ac:dyDescent="0.35">
      <c r="A2266">
        <v>1409</v>
      </c>
      <c r="B2266" t="s">
        <v>1529</v>
      </c>
      <c r="C2266">
        <v>3</v>
      </c>
    </row>
    <row r="2267" spans="1:3" x14ac:dyDescent="0.35">
      <c r="A2267">
        <v>1410</v>
      </c>
      <c r="B2267" t="s">
        <v>1529</v>
      </c>
      <c r="C2267">
        <v>3</v>
      </c>
    </row>
    <row r="2268" spans="1:3" x14ac:dyDescent="0.35">
      <c r="A2268">
        <v>1411</v>
      </c>
      <c r="B2268" t="s">
        <v>1529</v>
      </c>
      <c r="C2268">
        <v>3</v>
      </c>
    </row>
    <row r="2269" spans="1:3" x14ac:dyDescent="0.35">
      <c r="A2269">
        <v>1412</v>
      </c>
      <c r="B2269" t="s">
        <v>1529</v>
      </c>
      <c r="C2269">
        <v>3</v>
      </c>
    </row>
    <row r="2270" spans="1:3" x14ac:dyDescent="0.35">
      <c r="A2270">
        <v>1413</v>
      </c>
      <c r="B2270" t="s">
        <v>1529</v>
      </c>
      <c r="C2270">
        <v>3</v>
      </c>
    </row>
    <row r="2271" spans="1:3" x14ac:dyDescent="0.35">
      <c r="A2271">
        <v>1414</v>
      </c>
      <c r="B2271" t="s">
        <v>1529</v>
      </c>
      <c r="C2271">
        <v>3</v>
      </c>
    </row>
    <row r="2272" spans="1:3" x14ac:dyDescent="0.35">
      <c r="A2272">
        <v>1415</v>
      </c>
      <c r="B2272" t="s">
        <v>1529</v>
      </c>
      <c r="C2272">
        <v>3</v>
      </c>
    </row>
    <row r="2273" spans="1:3" x14ac:dyDescent="0.35">
      <c r="A2273">
        <v>1416</v>
      </c>
      <c r="B2273" t="s">
        <v>1529</v>
      </c>
      <c r="C2273">
        <v>3</v>
      </c>
    </row>
    <row r="2274" spans="1:3" x14ac:dyDescent="0.35">
      <c r="A2274">
        <v>1417</v>
      </c>
      <c r="B2274" t="s">
        <v>1529</v>
      </c>
      <c r="C2274">
        <v>3</v>
      </c>
    </row>
    <row r="2275" spans="1:3" x14ac:dyDescent="0.35">
      <c r="A2275">
        <v>1418</v>
      </c>
      <c r="B2275" t="s">
        <v>1529</v>
      </c>
      <c r="C2275">
        <v>3</v>
      </c>
    </row>
    <row r="2276" spans="1:3" x14ac:dyDescent="0.35">
      <c r="A2276">
        <v>1419</v>
      </c>
      <c r="B2276" t="s">
        <v>1529</v>
      </c>
      <c r="C2276">
        <v>3</v>
      </c>
    </row>
    <row r="2277" spans="1:3" x14ac:dyDescent="0.35">
      <c r="A2277">
        <v>1420</v>
      </c>
      <c r="B2277" t="s">
        <v>1529</v>
      </c>
      <c r="C2277">
        <v>3</v>
      </c>
    </row>
    <row r="2278" spans="1:3" x14ac:dyDescent="0.35">
      <c r="A2278">
        <v>1421</v>
      </c>
      <c r="B2278" t="s">
        <v>1529</v>
      </c>
      <c r="C2278">
        <v>3</v>
      </c>
    </row>
    <row r="2279" spans="1:3" x14ac:dyDescent="0.35">
      <c r="A2279">
        <v>1422</v>
      </c>
      <c r="B2279" t="s">
        <v>1529</v>
      </c>
      <c r="C2279">
        <v>3</v>
      </c>
    </row>
    <row r="2280" spans="1:3" x14ac:dyDescent="0.35">
      <c r="A2280">
        <v>1423</v>
      </c>
      <c r="B2280" t="s">
        <v>1529</v>
      </c>
      <c r="C2280">
        <v>3</v>
      </c>
    </row>
    <row r="2281" spans="1:3" x14ac:dyDescent="0.35">
      <c r="A2281">
        <v>1424</v>
      </c>
      <c r="B2281" t="s">
        <v>1529</v>
      </c>
      <c r="C2281">
        <v>3</v>
      </c>
    </row>
    <row r="2282" spans="1:3" x14ac:dyDescent="0.35">
      <c r="A2282">
        <v>1425</v>
      </c>
      <c r="B2282" t="s">
        <v>1529</v>
      </c>
      <c r="C2282">
        <v>3</v>
      </c>
    </row>
    <row r="2283" spans="1:3" x14ac:dyDescent="0.35">
      <c r="A2283">
        <v>1426</v>
      </c>
      <c r="B2283" t="s">
        <v>1529</v>
      </c>
      <c r="C2283">
        <v>3</v>
      </c>
    </row>
    <row r="2284" spans="1:3" x14ac:dyDescent="0.35">
      <c r="A2284">
        <v>1427</v>
      </c>
      <c r="B2284" t="s">
        <v>1529</v>
      </c>
      <c r="C2284">
        <v>3</v>
      </c>
    </row>
    <row r="2285" spans="1:3" x14ac:dyDescent="0.35">
      <c r="A2285">
        <v>1428</v>
      </c>
      <c r="B2285" t="s">
        <v>1529</v>
      </c>
      <c r="C2285">
        <v>3</v>
      </c>
    </row>
    <row r="2286" spans="1:3" x14ac:dyDescent="0.35">
      <c r="A2286">
        <v>1429</v>
      </c>
      <c r="B2286" t="s">
        <v>1529</v>
      </c>
      <c r="C2286">
        <v>3</v>
      </c>
    </row>
    <row r="2287" spans="1:3" x14ac:dyDescent="0.35">
      <c r="A2287">
        <v>1430</v>
      </c>
      <c r="B2287" t="s">
        <v>1529</v>
      </c>
      <c r="C2287">
        <v>3</v>
      </c>
    </row>
    <row r="2288" spans="1:3" x14ac:dyDescent="0.35">
      <c r="A2288">
        <v>1431</v>
      </c>
      <c r="B2288" t="s">
        <v>1529</v>
      </c>
      <c r="C2288">
        <v>3</v>
      </c>
    </row>
    <row r="2289" spans="1:3" x14ac:dyDescent="0.35">
      <c r="A2289">
        <v>1432</v>
      </c>
      <c r="B2289" t="s">
        <v>1529</v>
      </c>
      <c r="C2289">
        <v>3</v>
      </c>
    </row>
    <row r="2290" spans="1:3" x14ac:dyDescent="0.35">
      <c r="A2290">
        <v>1433</v>
      </c>
      <c r="B2290" t="s">
        <v>1529</v>
      </c>
      <c r="C2290">
        <v>3</v>
      </c>
    </row>
    <row r="2291" spans="1:3" x14ac:dyDescent="0.35">
      <c r="A2291">
        <v>1434</v>
      </c>
      <c r="B2291" t="s">
        <v>1529</v>
      </c>
      <c r="C2291">
        <v>3</v>
      </c>
    </row>
    <row r="2292" spans="1:3" x14ac:dyDescent="0.35">
      <c r="A2292">
        <v>1435</v>
      </c>
      <c r="B2292" t="s">
        <v>1529</v>
      </c>
      <c r="C2292">
        <v>3</v>
      </c>
    </row>
    <row r="2293" spans="1:3" x14ac:dyDescent="0.35">
      <c r="A2293">
        <v>1436</v>
      </c>
      <c r="B2293" t="s">
        <v>1529</v>
      </c>
      <c r="C2293">
        <v>3</v>
      </c>
    </row>
    <row r="2294" spans="1:3" x14ac:dyDescent="0.35">
      <c r="A2294">
        <v>1437</v>
      </c>
      <c r="B2294" t="s">
        <v>1529</v>
      </c>
      <c r="C2294">
        <v>3</v>
      </c>
    </row>
    <row r="2295" spans="1:3" x14ac:dyDescent="0.35">
      <c r="A2295">
        <v>1438</v>
      </c>
      <c r="B2295" t="s">
        <v>1529</v>
      </c>
      <c r="C2295">
        <v>3</v>
      </c>
    </row>
    <row r="2296" spans="1:3" x14ac:dyDescent="0.35">
      <c r="A2296">
        <v>1439</v>
      </c>
      <c r="B2296" t="s">
        <v>1529</v>
      </c>
      <c r="C2296">
        <v>3</v>
      </c>
    </row>
    <row r="2297" spans="1:3" x14ac:dyDescent="0.35">
      <c r="A2297">
        <v>1440</v>
      </c>
      <c r="B2297" t="s">
        <v>1529</v>
      </c>
      <c r="C2297">
        <v>3</v>
      </c>
    </row>
    <row r="2298" spans="1:3" x14ac:dyDescent="0.35">
      <c r="A2298">
        <v>1441</v>
      </c>
      <c r="B2298" t="s">
        <v>1529</v>
      </c>
      <c r="C2298">
        <v>3</v>
      </c>
    </row>
    <row r="2299" spans="1:3" x14ac:dyDescent="0.35">
      <c r="A2299">
        <v>1442</v>
      </c>
      <c r="B2299" t="s">
        <v>1529</v>
      </c>
      <c r="C2299">
        <v>3</v>
      </c>
    </row>
    <row r="2300" spans="1:3" x14ac:dyDescent="0.35">
      <c r="A2300">
        <v>1443</v>
      </c>
      <c r="B2300" t="s">
        <v>1529</v>
      </c>
      <c r="C2300">
        <v>3</v>
      </c>
    </row>
    <row r="2301" spans="1:3" x14ac:dyDescent="0.35">
      <c r="A2301">
        <v>1444</v>
      </c>
      <c r="B2301" t="s">
        <v>1529</v>
      </c>
      <c r="C2301">
        <v>3</v>
      </c>
    </row>
    <row r="2302" spans="1:3" x14ac:dyDescent="0.35">
      <c r="A2302">
        <v>1445</v>
      </c>
      <c r="B2302" t="s">
        <v>1529</v>
      </c>
      <c r="C2302">
        <v>3</v>
      </c>
    </row>
    <row r="2303" spans="1:3" x14ac:dyDescent="0.35">
      <c r="A2303">
        <v>1446</v>
      </c>
      <c r="B2303" t="s">
        <v>1529</v>
      </c>
      <c r="C2303">
        <v>3</v>
      </c>
    </row>
    <row r="2304" spans="1:3" x14ac:dyDescent="0.35">
      <c r="A2304">
        <v>1447</v>
      </c>
      <c r="B2304" t="s">
        <v>1529</v>
      </c>
      <c r="C2304">
        <v>3</v>
      </c>
    </row>
    <row r="2305" spans="1:3" x14ac:dyDescent="0.35">
      <c r="A2305">
        <v>1448</v>
      </c>
      <c r="B2305" t="s">
        <v>1529</v>
      </c>
      <c r="C2305">
        <v>3</v>
      </c>
    </row>
    <row r="2306" spans="1:3" x14ac:dyDescent="0.35">
      <c r="A2306">
        <v>1449</v>
      </c>
      <c r="B2306" t="s">
        <v>1529</v>
      </c>
      <c r="C2306">
        <v>3</v>
      </c>
    </row>
    <row r="2307" spans="1:3" x14ac:dyDescent="0.35">
      <c r="A2307">
        <v>1450</v>
      </c>
      <c r="B2307" t="s">
        <v>1529</v>
      </c>
      <c r="C2307">
        <v>3</v>
      </c>
    </row>
    <row r="2308" spans="1:3" x14ac:dyDescent="0.35">
      <c r="A2308">
        <v>1451</v>
      </c>
      <c r="B2308" t="s">
        <v>1529</v>
      </c>
      <c r="C2308">
        <v>3</v>
      </c>
    </row>
    <row r="2309" spans="1:3" x14ac:dyDescent="0.35">
      <c r="A2309">
        <v>1452</v>
      </c>
      <c r="B2309" t="s">
        <v>1529</v>
      </c>
      <c r="C2309">
        <v>3</v>
      </c>
    </row>
    <row r="2310" spans="1:3" x14ac:dyDescent="0.35">
      <c r="A2310">
        <v>1453</v>
      </c>
      <c r="B2310" t="s">
        <v>1529</v>
      </c>
      <c r="C2310">
        <v>3</v>
      </c>
    </row>
    <row r="2311" spans="1:3" x14ac:dyDescent="0.35">
      <c r="A2311">
        <v>1454</v>
      </c>
      <c r="B2311" t="s">
        <v>1529</v>
      </c>
      <c r="C2311">
        <v>3</v>
      </c>
    </row>
    <row r="2312" spans="1:3" x14ac:dyDescent="0.35">
      <c r="A2312">
        <v>1455</v>
      </c>
      <c r="B2312" t="s">
        <v>1529</v>
      </c>
      <c r="C2312">
        <v>3</v>
      </c>
    </row>
    <row r="2313" spans="1:3" x14ac:dyDescent="0.35">
      <c r="A2313">
        <v>1456</v>
      </c>
      <c r="B2313" t="s">
        <v>1529</v>
      </c>
      <c r="C2313">
        <v>3</v>
      </c>
    </row>
    <row r="2314" spans="1:3" x14ac:dyDescent="0.35">
      <c r="A2314">
        <v>1457</v>
      </c>
      <c r="B2314" t="s">
        <v>1529</v>
      </c>
      <c r="C2314">
        <v>3</v>
      </c>
    </row>
    <row r="2315" spans="1:3" x14ac:dyDescent="0.35">
      <c r="A2315">
        <v>1458</v>
      </c>
      <c r="B2315" t="s">
        <v>1529</v>
      </c>
      <c r="C2315">
        <v>3</v>
      </c>
    </row>
    <row r="2316" spans="1:3" x14ac:dyDescent="0.35">
      <c r="A2316">
        <v>1459</v>
      </c>
      <c r="B2316" t="s">
        <v>1529</v>
      </c>
      <c r="C2316">
        <v>3</v>
      </c>
    </row>
    <row r="2317" spans="1:3" x14ac:dyDescent="0.35">
      <c r="A2317">
        <v>1460</v>
      </c>
      <c r="B2317" t="s">
        <v>1529</v>
      </c>
      <c r="C2317">
        <v>3</v>
      </c>
    </row>
    <row r="2318" spans="1:3" x14ac:dyDescent="0.35">
      <c r="A2318">
        <v>1462</v>
      </c>
      <c r="B2318" t="s">
        <v>1529</v>
      </c>
      <c r="C2318">
        <v>3</v>
      </c>
    </row>
    <row r="2319" spans="1:3" x14ac:dyDescent="0.35">
      <c r="A2319">
        <v>1463</v>
      </c>
      <c r="B2319" t="s">
        <v>1529</v>
      </c>
      <c r="C2319">
        <v>3</v>
      </c>
    </row>
    <row r="2320" spans="1:3" x14ac:dyDescent="0.35">
      <c r="A2320">
        <v>1464</v>
      </c>
      <c r="B2320" t="s">
        <v>1529</v>
      </c>
      <c r="C2320">
        <v>3</v>
      </c>
    </row>
    <row r="2321" spans="1:3" x14ac:dyDescent="0.35">
      <c r="A2321">
        <v>1465</v>
      </c>
      <c r="B2321" t="s">
        <v>1529</v>
      </c>
      <c r="C2321">
        <v>3</v>
      </c>
    </row>
    <row r="2322" spans="1:3" x14ac:dyDescent="0.35">
      <c r="A2322">
        <v>1466</v>
      </c>
      <c r="B2322" t="s">
        <v>1529</v>
      </c>
      <c r="C2322">
        <v>3</v>
      </c>
    </row>
    <row r="2323" spans="1:3" x14ac:dyDescent="0.35">
      <c r="A2323">
        <v>1467</v>
      </c>
      <c r="B2323" t="s">
        <v>1529</v>
      </c>
      <c r="C2323">
        <v>3</v>
      </c>
    </row>
    <row r="2324" spans="1:3" x14ac:dyDescent="0.35">
      <c r="A2324">
        <v>1468</v>
      </c>
      <c r="B2324" t="s">
        <v>1529</v>
      </c>
      <c r="C2324">
        <v>3</v>
      </c>
    </row>
    <row r="2325" spans="1:3" x14ac:dyDescent="0.35">
      <c r="A2325">
        <v>1469</v>
      </c>
      <c r="B2325" t="s">
        <v>1529</v>
      </c>
      <c r="C2325">
        <v>3</v>
      </c>
    </row>
    <row r="2326" spans="1:3" x14ac:dyDescent="0.35">
      <c r="A2326">
        <v>1470</v>
      </c>
      <c r="B2326" t="s">
        <v>1529</v>
      </c>
      <c r="C2326">
        <v>3</v>
      </c>
    </row>
    <row r="2327" spans="1:3" x14ac:dyDescent="0.35">
      <c r="A2327">
        <v>1472</v>
      </c>
      <c r="B2327" t="s">
        <v>1529</v>
      </c>
      <c r="C2327">
        <v>3</v>
      </c>
    </row>
    <row r="2328" spans="1:3" x14ac:dyDescent="0.35">
      <c r="A2328">
        <v>1473</v>
      </c>
      <c r="B2328" t="s">
        <v>1529</v>
      </c>
      <c r="C2328">
        <v>3</v>
      </c>
    </row>
    <row r="2329" spans="1:3" x14ac:dyDescent="0.35">
      <c r="A2329">
        <v>1474</v>
      </c>
      <c r="B2329" t="s">
        <v>1529</v>
      </c>
      <c r="C2329">
        <v>3</v>
      </c>
    </row>
    <row r="2330" spans="1:3" x14ac:dyDescent="0.35">
      <c r="A2330">
        <v>1475</v>
      </c>
      <c r="B2330" t="s">
        <v>1529</v>
      </c>
      <c r="C2330">
        <v>3</v>
      </c>
    </row>
    <row r="2331" spans="1:3" x14ac:dyDescent="0.35">
      <c r="A2331">
        <v>1476</v>
      </c>
      <c r="B2331" t="s">
        <v>1529</v>
      </c>
      <c r="C2331">
        <v>3</v>
      </c>
    </row>
    <row r="2332" spans="1:3" x14ac:dyDescent="0.35">
      <c r="A2332">
        <v>1477</v>
      </c>
      <c r="B2332" t="s">
        <v>1529</v>
      </c>
      <c r="C2332">
        <v>3</v>
      </c>
    </row>
    <row r="2333" spans="1:3" x14ac:dyDescent="0.35">
      <c r="A2333">
        <v>1478</v>
      </c>
      <c r="B2333" t="s">
        <v>1529</v>
      </c>
      <c r="C2333">
        <v>3</v>
      </c>
    </row>
    <row r="2334" spans="1:3" x14ac:dyDescent="0.35">
      <c r="A2334">
        <v>1479</v>
      </c>
      <c r="B2334" t="s">
        <v>1529</v>
      </c>
      <c r="C2334">
        <v>3</v>
      </c>
    </row>
    <row r="2335" spans="1:3" x14ac:dyDescent="0.35">
      <c r="A2335">
        <v>1480</v>
      </c>
      <c r="B2335" t="s">
        <v>1529</v>
      </c>
      <c r="C2335">
        <v>3</v>
      </c>
    </row>
    <row r="2336" spans="1:3" x14ac:dyDescent="0.35">
      <c r="A2336">
        <v>1481</v>
      </c>
      <c r="B2336" t="s">
        <v>1529</v>
      </c>
      <c r="C2336">
        <v>3</v>
      </c>
    </row>
    <row r="2337" spans="1:3" x14ac:dyDescent="0.35">
      <c r="A2337">
        <v>1482</v>
      </c>
      <c r="B2337" t="s">
        <v>1529</v>
      </c>
      <c r="C2337">
        <v>3</v>
      </c>
    </row>
    <row r="2338" spans="1:3" x14ac:dyDescent="0.35">
      <c r="A2338">
        <v>1483</v>
      </c>
      <c r="B2338" t="s">
        <v>1529</v>
      </c>
      <c r="C2338">
        <v>3</v>
      </c>
    </row>
    <row r="2339" spans="1:3" x14ac:dyDescent="0.35">
      <c r="A2339">
        <v>1484</v>
      </c>
      <c r="B2339" t="s">
        <v>1529</v>
      </c>
      <c r="C2339">
        <v>3</v>
      </c>
    </row>
    <row r="2340" spans="1:3" x14ac:dyDescent="0.35">
      <c r="A2340">
        <v>1485</v>
      </c>
      <c r="B2340" t="s">
        <v>1529</v>
      </c>
      <c r="C2340">
        <v>3</v>
      </c>
    </row>
    <row r="2341" spans="1:3" x14ac:dyDescent="0.35">
      <c r="A2341">
        <v>2777</v>
      </c>
      <c r="B2341" t="s">
        <v>1530</v>
      </c>
      <c r="C2341">
        <v>9</v>
      </c>
    </row>
    <row r="2342" spans="1:3" x14ac:dyDescent="0.35">
      <c r="A2342">
        <v>2778</v>
      </c>
      <c r="B2342" t="s">
        <v>1530</v>
      </c>
      <c r="C2342">
        <v>9</v>
      </c>
    </row>
    <row r="2343" spans="1:3" x14ac:dyDescent="0.35">
      <c r="A2343">
        <v>2933</v>
      </c>
      <c r="B2343" t="s">
        <v>1531</v>
      </c>
      <c r="C2343">
        <v>13</v>
      </c>
    </row>
    <row r="2344" spans="1:3" x14ac:dyDescent="0.35">
      <c r="A2344">
        <v>2951</v>
      </c>
      <c r="B2344" t="s">
        <v>1531</v>
      </c>
      <c r="C2344">
        <v>13</v>
      </c>
    </row>
    <row r="2345" spans="1:3" x14ac:dyDescent="0.35">
      <c r="A2345">
        <v>36</v>
      </c>
      <c r="B2345" t="s">
        <v>1452</v>
      </c>
      <c r="C2345">
        <v>3</v>
      </c>
    </row>
    <row r="2346" spans="1:3" x14ac:dyDescent="0.35">
      <c r="A2346">
        <v>37</v>
      </c>
      <c r="B2346" t="s">
        <v>1452</v>
      </c>
      <c r="C2346">
        <v>3</v>
      </c>
    </row>
    <row r="2347" spans="1:3" x14ac:dyDescent="0.35">
      <c r="A2347">
        <v>38</v>
      </c>
      <c r="B2347" t="s">
        <v>1452</v>
      </c>
      <c r="C2347">
        <v>3</v>
      </c>
    </row>
    <row r="2348" spans="1:3" x14ac:dyDescent="0.35">
      <c r="A2348">
        <v>39</v>
      </c>
      <c r="B2348" t="s">
        <v>1452</v>
      </c>
      <c r="C2348">
        <v>3</v>
      </c>
    </row>
    <row r="2349" spans="1:3" x14ac:dyDescent="0.35">
      <c r="A2349">
        <v>40</v>
      </c>
      <c r="B2349" t="s">
        <v>1452</v>
      </c>
      <c r="C2349">
        <v>3</v>
      </c>
    </row>
    <row r="2350" spans="1:3" x14ac:dyDescent="0.35">
      <c r="A2350">
        <v>41</v>
      </c>
      <c r="B2350" t="s">
        <v>1452</v>
      </c>
      <c r="C2350">
        <v>3</v>
      </c>
    </row>
    <row r="2351" spans="1:3" x14ac:dyDescent="0.35">
      <c r="A2351">
        <v>42</v>
      </c>
      <c r="B2351" t="s">
        <v>1452</v>
      </c>
      <c r="C2351">
        <v>3</v>
      </c>
    </row>
    <row r="2352" spans="1:3" x14ac:dyDescent="0.35">
      <c r="A2352">
        <v>43</v>
      </c>
      <c r="B2352" t="s">
        <v>1452</v>
      </c>
      <c r="C2352">
        <v>3</v>
      </c>
    </row>
    <row r="2353" spans="1:3" x14ac:dyDescent="0.35">
      <c r="A2353">
        <v>44</v>
      </c>
      <c r="B2353" t="s">
        <v>1452</v>
      </c>
      <c r="C2353">
        <v>3</v>
      </c>
    </row>
    <row r="2354" spans="1:3" x14ac:dyDescent="0.35">
      <c r="A2354">
        <v>45</v>
      </c>
      <c r="B2354" t="s">
        <v>1452</v>
      </c>
      <c r="C2354">
        <v>3</v>
      </c>
    </row>
    <row r="2355" spans="1:3" x14ac:dyDescent="0.35">
      <c r="A2355">
        <v>46</v>
      </c>
      <c r="B2355" t="s">
        <v>1452</v>
      </c>
      <c r="C2355">
        <v>3</v>
      </c>
    </row>
    <row r="2356" spans="1:3" x14ac:dyDescent="0.35">
      <c r="A2356">
        <v>47</v>
      </c>
      <c r="B2356" t="s">
        <v>1452</v>
      </c>
      <c r="C2356">
        <v>3</v>
      </c>
    </row>
    <row r="2357" spans="1:3" x14ac:dyDescent="0.35">
      <c r="A2357">
        <v>48</v>
      </c>
      <c r="B2357" t="s">
        <v>1452</v>
      </c>
      <c r="C2357">
        <v>3</v>
      </c>
    </row>
    <row r="2358" spans="1:3" x14ac:dyDescent="0.35">
      <c r="A2358">
        <v>49</v>
      </c>
      <c r="B2358" t="s">
        <v>1452</v>
      </c>
      <c r="C2358">
        <v>3</v>
      </c>
    </row>
    <row r="2359" spans="1:3" x14ac:dyDescent="0.35">
      <c r="A2359">
        <v>50</v>
      </c>
      <c r="B2359" t="s">
        <v>1452</v>
      </c>
      <c r="C2359">
        <v>3</v>
      </c>
    </row>
    <row r="2360" spans="1:3" x14ac:dyDescent="0.35">
      <c r="A2360">
        <v>51</v>
      </c>
      <c r="B2360" t="s">
        <v>1452</v>
      </c>
      <c r="C2360">
        <v>3</v>
      </c>
    </row>
    <row r="2361" spans="1:3" x14ac:dyDescent="0.35">
      <c r="A2361">
        <v>52</v>
      </c>
      <c r="B2361" t="s">
        <v>1452</v>
      </c>
      <c r="C2361">
        <v>3</v>
      </c>
    </row>
    <row r="2362" spans="1:3" x14ac:dyDescent="0.35">
      <c r="A2362">
        <v>53</v>
      </c>
      <c r="B2362" t="s">
        <v>1452</v>
      </c>
      <c r="C2362">
        <v>3</v>
      </c>
    </row>
    <row r="2363" spans="1:3" x14ac:dyDescent="0.35">
      <c r="A2363">
        <v>54</v>
      </c>
      <c r="B2363" t="s">
        <v>1452</v>
      </c>
      <c r="C2363">
        <v>3</v>
      </c>
    </row>
    <row r="2364" spans="1:3" x14ac:dyDescent="0.35">
      <c r="A2364">
        <v>55</v>
      </c>
      <c r="B2364" t="s">
        <v>1452</v>
      </c>
      <c r="C2364">
        <v>3</v>
      </c>
    </row>
    <row r="2365" spans="1:3" x14ac:dyDescent="0.35">
      <c r="A2365">
        <v>56</v>
      </c>
      <c r="B2365" t="s">
        <v>1452</v>
      </c>
      <c r="C2365">
        <v>3</v>
      </c>
    </row>
    <row r="2366" spans="1:3" x14ac:dyDescent="0.35">
      <c r="A2366">
        <v>57</v>
      </c>
      <c r="B2366" t="s">
        <v>1452</v>
      </c>
      <c r="C2366">
        <v>3</v>
      </c>
    </row>
    <row r="2367" spans="1:3" x14ac:dyDescent="0.35">
      <c r="A2367">
        <v>58</v>
      </c>
      <c r="B2367" t="s">
        <v>1452</v>
      </c>
      <c r="C2367">
        <v>3</v>
      </c>
    </row>
    <row r="2368" spans="1:3" x14ac:dyDescent="0.35">
      <c r="A2368">
        <v>59</v>
      </c>
      <c r="B2368" t="s">
        <v>1452</v>
      </c>
      <c r="C2368">
        <v>3</v>
      </c>
    </row>
    <row r="2369" spans="1:3" x14ac:dyDescent="0.35">
      <c r="A2369">
        <v>60</v>
      </c>
      <c r="B2369" t="s">
        <v>1452</v>
      </c>
      <c r="C2369">
        <v>3</v>
      </c>
    </row>
    <row r="2370" spans="1:3" x14ac:dyDescent="0.35">
      <c r="A2370">
        <v>61</v>
      </c>
      <c r="B2370" t="s">
        <v>1452</v>
      </c>
      <c r="C2370">
        <v>3</v>
      </c>
    </row>
    <row r="2371" spans="1:3" x14ac:dyDescent="0.35">
      <c r="A2371">
        <v>62</v>
      </c>
      <c r="B2371" t="s">
        <v>1452</v>
      </c>
      <c r="C2371">
        <v>3</v>
      </c>
    </row>
    <row r="2372" spans="1:3" x14ac:dyDescent="0.35">
      <c r="A2372">
        <v>63</v>
      </c>
      <c r="B2372" t="s">
        <v>1452</v>
      </c>
      <c r="C2372">
        <v>3</v>
      </c>
    </row>
    <row r="2373" spans="1:3" x14ac:dyDescent="0.35">
      <c r="A2373">
        <v>64</v>
      </c>
      <c r="B2373" t="s">
        <v>1452</v>
      </c>
      <c r="C2373">
        <v>3</v>
      </c>
    </row>
    <row r="2374" spans="1:3" x14ac:dyDescent="0.35">
      <c r="A2374">
        <v>65</v>
      </c>
      <c r="B2374" t="s">
        <v>1452</v>
      </c>
      <c r="C2374">
        <v>3</v>
      </c>
    </row>
    <row r="2375" spans="1:3" x14ac:dyDescent="0.35">
      <c r="A2375">
        <v>66</v>
      </c>
      <c r="B2375" t="s">
        <v>1452</v>
      </c>
      <c r="C2375">
        <v>3</v>
      </c>
    </row>
    <row r="2376" spans="1:3" x14ac:dyDescent="0.35">
      <c r="A2376">
        <v>67</v>
      </c>
      <c r="B2376" t="s">
        <v>1452</v>
      </c>
      <c r="C2376">
        <v>3</v>
      </c>
    </row>
    <row r="2377" spans="1:3" x14ac:dyDescent="0.35">
      <c r="A2377">
        <v>68</v>
      </c>
      <c r="B2377" t="s">
        <v>1452</v>
      </c>
      <c r="C2377">
        <v>3</v>
      </c>
    </row>
    <row r="2378" spans="1:3" x14ac:dyDescent="0.35">
      <c r="A2378">
        <v>69</v>
      </c>
      <c r="B2378" t="s">
        <v>1452</v>
      </c>
      <c r="C2378">
        <v>3</v>
      </c>
    </row>
    <row r="2379" spans="1:3" x14ac:dyDescent="0.35">
      <c r="A2379">
        <v>70</v>
      </c>
      <c r="B2379" t="s">
        <v>1452</v>
      </c>
      <c r="C2379">
        <v>3</v>
      </c>
    </row>
    <row r="2380" spans="1:3" x14ac:dyDescent="0.35">
      <c r="A2380">
        <v>71</v>
      </c>
      <c r="B2380" t="s">
        <v>1452</v>
      </c>
      <c r="C2380">
        <v>3</v>
      </c>
    </row>
    <row r="2381" spans="1:3" x14ac:dyDescent="0.35">
      <c r="A2381">
        <v>72</v>
      </c>
      <c r="B2381" t="s">
        <v>1452</v>
      </c>
      <c r="C2381">
        <v>3</v>
      </c>
    </row>
    <row r="2382" spans="1:3" x14ac:dyDescent="0.35">
      <c r="A2382">
        <v>73</v>
      </c>
      <c r="B2382" t="s">
        <v>1452</v>
      </c>
      <c r="C2382">
        <v>3</v>
      </c>
    </row>
    <row r="2383" spans="1:3" x14ac:dyDescent="0.35">
      <c r="A2383">
        <v>74</v>
      </c>
      <c r="B2383" t="s">
        <v>1452</v>
      </c>
      <c r="C2383">
        <v>3</v>
      </c>
    </row>
    <row r="2384" spans="1:3" x14ac:dyDescent="0.35">
      <c r="A2384">
        <v>75</v>
      </c>
      <c r="B2384" t="s">
        <v>1452</v>
      </c>
      <c r="C2384">
        <v>3</v>
      </c>
    </row>
    <row r="2385" spans="1:3" x14ac:dyDescent="0.35">
      <c r="A2385">
        <v>76</v>
      </c>
      <c r="B2385" t="s">
        <v>1452</v>
      </c>
      <c r="C2385">
        <v>3</v>
      </c>
    </row>
    <row r="2386" spans="1:3" x14ac:dyDescent="0.35">
      <c r="A2386">
        <v>77</v>
      </c>
      <c r="B2386" t="s">
        <v>1452</v>
      </c>
      <c r="C2386">
        <v>3</v>
      </c>
    </row>
    <row r="2387" spans="1:3" x14ac:dyDescent="0.35">
      <c r="A2387">
        <v>78</v>
      </c>
      <c r="B2387" t="s">
        <v>1452</v>
      </c>
      <c r="C2387">
        <v>3</v>
      </c>
    </row>
    <row r="2388" spans="1:3" x14ac:dyDescent="0.35">
      <c r="A2388">
        <v>79</v>
      </c>
      <c r="B2388" t="s">
        <v>1452</v>
      </c>
      <c r="C2388">
        <v>3</v>
      </c>
    </row>
    <row r="2389" spans="1:3" x14ac:dyDescent="0.35">
      <c r="A2389">
        <v>80</v>
      </c>
      <c r="B2389" t="s">
        <v>1452</v>
      </c>
      <c r="C2389">
        <v>3</v>
      </c>
    </row>
    <row r="2390" spans="1:3" x14ac:dyDescent="0.35">
      <c r="A2390">
        <v>81</v>
      </c>
      <c r="B2390" t="s">
        <v>1452</v>
      </c>
      <c r="C2390">
        <v>3</v>
      </c>
    </row>
    <row r="2391" spans="1:3" x14ac:dyDescent="0.35">
      <c r="A2391">
        <v>82</v>
      </c>
      <c r="B2391" t="s">
        <v>1452</v>
      </c>
      <c r="C2391">
        <v>3</v>
      </c>
    </row>
    <row r="2392" spans="1:3" x14ac:dyDescent="0.35">
      <c r="A2392">
        <v>83</v>
      </c>
      <c r="B2392" t="s">
        <v>1452</v>
      </c>
      <c r="C2392">
        <v>3</v>
      </c>
    </row>
    <row r="2393" spans="1:3" x14ac:dyDescent="0.35">
      <c r="A2393">
        <v>84</v>
      </c>
      <c r="B2393" t="s">
        <v>1452</v>
      </c>
      <c r="C2393">
        <v>3</v>
      </c>
    </row>
    <row r="2394" spans="1:3" x14ac:dyDescent="0.35">
      <c r="A2394">
        <v>85</v>
      </c>
      <c r="B2394" t="s">
        <v>1452</v>
      </c>
      <c r="C2394">
        <v>3</v>
      </c>
    </row>
    <row r="2395" spans="1:3" x14ac:dyDescent="0.35">
      <c r="A2395">
        <v>104</v>
      </c>
      <c r="B2395" t="s">
        <v>1452</v>
      </c>
      <c r="C2395">
        <v>3</v>
      </c>
    </row>
    <row r="2396" spans="1:3" x14ac:dyDescent="0.35">
      <c r="A2396">
        <v>130</v>
      </c>
      <c r="B2396" t="s">
        <v>1452</v>
      </c>
      <c r="C2396">
        <v>3</v>
      </c>
    </row>
    <row r="2397" spans="1:3" x14ac:dyDescent="0.35">
      <c r="A2397">
        <v>137</v>
      </c>
      <c r="B2397" t="s">
        <v>1452</v>
      </c>
      <c r="C2397">
        <v>3</v>
      </c>
    </row>
    <row r="2398" spans="1:3" x14ac:dyDescent="0.35">
      <c r="A2398">
        <v>142</v>
      </c>
      <c r="B2398" t="s">
        <v>1452</v>
      </c>
      <c r="C2398">
        <v>3</v>
      </c>
    </row>
    <row r="2399" spans="1:3" x14ac:dyDescent="0.35">
      <c r="A2399">
        <v>149</v>
      </c>
      <c r="B2399" t="s">
        <v>1452</v>
      </c>
      <c r="C2399">
        <v>3</v>
      </c>
    </row>
    <row r="2400" spans="1:3" x14ac:dyDescent="0.35">
      <c r="A2400">
        <v>171</v>
      </c>
      <c r="B2400" t="s">
        <v>1452</v>
      </c>
      <c r="C2400">
        <v>3</v>
      </c>
    </row>
    <row r="2401" spans="1:3" x14ac:dyDescent="0.35">
      <c r="A2401">
        <v>172</v>
      </c>
      <c r="B2401" t="s">
        <v>1452</v>
      </c>
      <c r="C2401">
        <v>3</v>
      </c>
    </row>
    <row r="2402" spans="1:3" x14ac:dyDescent="0.35">
      <c r="A2402">
        <v>173</v>
      </c>
      <c r="B2402" t="s">
        <v>1452</v>
      </c>
      <c r="C2402">
        <v>3</v>
      </c>
    </row>
    <row r="2403" spans="1:3" x14ac:dyDescent="0.35">
      <c r="A2403">
        <v>175</v>
      </c>
      <c r="B2403" t="s">
        <v>1452</v>
      </c>
      <c r="C2403">
        <v>3</v>
      </c>
    </row>
    <row r="2404" spans="1:3" x14ac:dyDescent="0.35">
      <c r="A2404">
        <v>182</v>
      </c>
      <c r="B2404" t="s">
        <v>1452</v>
      </c>
      <c r="C2404">
        <v>3</v>
      </c>
    </row>
    <row r="2405" spans="1:3" x14ac:dyDescent="0.35">
      <c r="A2405">
        <v>183</v>
      </c>
      <c r="B2405" t="s">
        <v>1452</v>
      </c>
      <c r="C2405">
        <v>3</v>
      </c>
    </row>
    <row r="2406" spans="1:3" x14ac:dyDescent="0.35">
      <c r="A2406">
        <v>184</v>
      </c>
      <c r="B2406" t="s">
        <v>1452</v>
      </c>
      <c r="C2406">
        <v>3</v>
      </c>
    </row>
    <row r="2407" spans="1:3" x14ac:dyDescent="0.35">
      <c r="A2407">
        <v>185</v>
      </c>
      <c r="B2407" t="s">
        <v>1452</v>
      </c>
      <c r="C2407">
        <v>3</v>
      </c>
    </row>
    <row r="2408" spans="1:3" x14ac:dyDescent="0.35">
      <c r="A2408">
        <v>186</v>
      </c>
      <c r="B2408" t="s">
        <v>1452</v>
      </c>
      <c r="C2408">
        <v>3</v>
      </c>
    </row>
    <row r="2409" spans="1:3" x14ac:dyDescent="0.35">
      <c r="A2409">
        <v>208</v>
      </c>
      <c r="B2409" t="s">
        <v>1452</v>
      </c>
      <c r="C2409">
        <v>3</v>
      </c>
    </row>
    <row r="2410" spans="1:3" x14ac:dyDescent="0.35">
      <c r="A2410">
        <v>243</v>
      </c>
      <c r="B2410" t="s">
        <v>1452</v>
      </c>
      <c r="C2410">
        <v>3</v>
      </c>
    </row>
    <row r="2411" spans="1:3" x14ac:dyDescent="0.35">
      <c r="A2411">
        <v>247</v>
      </c>
      <c r="B2411" t="s">
        <v>1452</v>
      </c>
      <c r="C2411">
        <v>3</v>
      </c>
    </row>
    <row r="2412" spans="1:3" x14ac:dyDescent="0.35">
      <c r="A2412">
        <v>248</v>
      </c>
      <c r="B2412" t="s">
        <v>1452</v>
      </c>
      <c r="C2412">
        <v>3</v>
      </c>
    </row>
    <row r="2413" spans="1:3" x14ac:dyDescent="0.35">
      <c r="A2413">
        <v>309</v>
      </c>
      <c r="B2413" t="s">
        <v>1452</v>
      </c>
      <c r="C2413">
        <v>3</v>
      </c>
    </row>
    <row r="2414" spans="1:3" x14ac:dyDescent="0.35">
      <c r="A2414">
        <v>310</v>
      </c>
      <c r="B2414" t="s">
        <v>1452</v>
      </c>
      <c r="C2414">
        <v>3</v>
      </c>
    </row>
    <row r="2415" spans="1:3" x14ac:dyDescent="0.35">
      <c r="A2415">
        <v>329</v>
      </c>
      <c r="B2415" t="s">
        <v>1452</v>
      </c>
      <c r="C2415">
        <v>3</v>
      </c>
    </row>
    <row r="2416" spans="1:3" x14ac:dyDescent="0.35">
      <c r="A2416">
        <v>331</v>
      </c>
      <c r="B2416" t="s">
        <v>1452</v>
      </c>
      <c r="C2416">
        <v>3</v>
      </c>
    </row>
    <row r="2417" spans="1:3" x14ac:dyDescent="0.35">
      <c r="A2417">
        <v>346</v>
      </c>
      <c r="B2417" t="s">
        <v>1452</v>
      </c>
      <c r="C2417">
        <v>3</v>
      </c>
    </row>
    <row r="2418" spans="1:3" x14ac:dyDescent="0.35">
      <c r="A2418">
        <v>347</v>
      </c>
      <c r="B2418" t="s">
        <v>1452</v>
      </c>
      <c r="C2418">
        <v>3</v>
      </c>
    </row>
    <row r="2419" spans="1:3" x14ac:dyDescent="0.35">
      <c r="A2419">
        <v>350</v>
      </c>
      <c r="B2419" t="s">
        <v>1452</v>
      </c>
      <c r="C2419">
        <v>3</v>
      </c>
    </row>
    <row r="2420" spans="1:3" x14ac:dyDescent="0.35">
      <c r="A2420">
        <v>352</v>
      </c>
      <c r="B2420" t="s">
        <v>1452</v>
      </c>
      <c r="C2420">
        <v>3</v>
      </c>
    </row>
    <row r="2421" spans="1:3" x14ac:dyDescent="0.35">
      <c r="A2421">
        <v>355</v>
      </c>
      <c r="B2421" t="s">
        <v>1452</v>
      </c>
      <c r="C2421">
        <v>3</v>
      </c>
    </row>
    <row r="2422" spans="1:3" x14ac:dyDescent="0.35">
      <c r="A2422">
        <v>356</v>
      </c>
      <c r="B2422" t="s">
        <v>1452</v>
      </c>
      <c r="C2422">
        <v>3</v>
      </c>
    </row>
    <row r="2423" spans="1:3" x14ac:dyDescent="0.35">
      <c r="A2423">
        <v>369</v>
      </c>
      <c r="B2423" t="s">
        <v>1452</v>
      </c>
      <c r="C2423">
        <v>3</v>
      </c>
    </row>
    <row r="2424" spans="1:3" x14ac:dyDescent="0.35">
      <c r="A2424">
        <v>428</v>
      </c>
      <c r="B2424" t="s">
        <v>1452</v>
      </c>
      <c r="C2424">
        <v>3</v>
      </c>
    </row>
    <row r="2425" spans="1:3" x14ac:dyDescent="0.35">
      <c r="A2425">
        <v>445</v>
      </c>
      <c r="B2425" t="s">
        <v>1452</v>
      </c>
      <c r="C2425">
        <v>3</v>
      </c>
    </row>
    <row r="2426" spans="1:3" x14ac:dyDescent="0.35">
      <c r="A2426">
        <v>446</v>
      </c>
      <c r="B2426" t="s">
        <v>1452</v>
      </c>
      <c r="C2426">
        <v>3</v>
      </c>
    </row>
    <row r="2427" spans="1:3" x14ac:dyDescent="0.35">
      <c r="A2427">
        <v>447</v>
      </c>
      <c r="B2427" t="s">
        <v>1452</v>
      </c>
      <c r="C2427">
        <v>3</v>
      </c>
    </row>
    <row r="2428" spans="1:3" x14ac:dyDescent="0.35">
      <c r="A2428">
        <v>448</v>
      </c>
      <c r="B2428" t="s">
        <v>1452</v>
      </c>
      <c r="C2428">
        <v>3</v>
      </c>
    </row>
    <row r="2429" spans="1:3" x14ac:dyDescent="0.35">
      <c r="A2429">
        <v>449</v>
      </c>
      <c r="B2429" t="s">
        <v>1452</v>
      </c>
      <c r="C2429">
        <v>3</v>
      </c>
    </row>
    <row r="2430" spans="1:3" x14ac:dyDescent="0.35">
      <c r="A2430">
        <v>450</v>
      </c>
      <c r="B2430" t="s">
        <v>1452</v>
      </c>
      <c r="C2430">
        <v>3</v>
      </c>
    </row>
    <row r="2431" spans="1:3" x14ac:dyDescent="0.35">
      <c r="A2431">
        <v>459</v>
      </c>
      <c r="B2431" t="s">
        <v>1452</v>
      </c>
      <c r="C2431">
        <v>3</v>
      </c>
    </row>
    <row r="2432" spans="1:3" x14ac:dyDescent="0.35">
      <c r="A2432">
        <v>461</v>
      </c>
      <c r="B2432" t="s">
        <v>1452</v>
      </c>
      <c r="C2432">
        <v>3</v>
      </c>
    </row>
    <row r="2433" spans="1:3" x14ac:dyDescent="0.35">
      <c r="A2433">
        <v>462</v>
      </c>
      <c r="B2433" t="s">
        <v>1452</v>
      </c>
      <c r="C2433">
        <v>3</v>
      </c>
    </row>
    <row r="2434" spans="1:3" x14ac:dyDescent="0.35">
      <c r="A2434">
        <v>463</v>
      </c>
      <c r="B2434" t="s">
        <v>1452</v>
      </c>
      <c r="C2434">
        <v>3</v>
      </c>
    </row>
    <row r="2435" spans="1:3" x14ac:dyDescent="0.35">
      <c r="A2435">
        <v>464</v>
      </c>
      <c r="B2435" t="s">
        <v>1452</v>
      </c>
      <c r="C2435">
        <v>3</v>
      </c>
    </row>
    <row r="2436" spans="1:3" x14ac:dyDescent="0.35">
      <c r="A2436">
        <v>478</v>
      </c>
      <c r="B2436" t="s">
        <v>1452</v>
      </c>
      <c r="C2436">
        <v>3</v>
      </c>
    </row>
    <row r="2437" spans="1:3" x14ac:dyDescent="0.35">
      <c r="A2437">
        <v>481</v>
      </c>
      <c r="B2437" t="s">
        <v>1452</v>
      </c>
      <c r="C2437">
        <v>3</v>
      </c>
    </row>
    <row r="2438" spans="1:3" x14ac:dyDescent="0.35">
      <c r="A2438">
        <v>494</v>
      </c>
      <c r="B2438" t="s">
        <v>1452</v>
      </c>
      <c r="C2438">
        <v>3</v>
      </c>
    </row>
    <row r="2439" spans="1:3" x14ac:dyDescent="0.35">
      <c r="A2439">
        <v>509</v>
      </c>
      <c r="B2439" t="s">
        <v>1452</v>
      </c>
      <c r="C2439">
        <v>3</v>
      </c>
    </row>
    <row r="2440" spans="1:3" x14ac:dyDescent="0.35">
      <c r="A2440">
        <v>510</v>
      </c>
      <c r="B2440" t="s">
        <v>1452</v>
      </c>
      <c r="C2440">
        <v>3</v>
      </c>
    </row>
    <row r="2441" spans="1:3" x14ac:dyDescent="0.35">
      <c r="A2441">
        <v>511</v>
      </c>
      <c r="B2441" t="s">
        <v>1452</v>
      </c>
      <c r="C2441">
        <v>3</v>
      </c>
    </row>
    <row r="2442" spans="1:3" x14ac:dyDescent="0.35">
      <c r="A2442">
        <v>512</v>
      </c>
      <c r="B2442" t="s">
        <v>1452</v>
      </c>
      <c r="C2442">
        <v>3</v>
      </c>
    </row>
    <row r="2443" spans="1:3" x14ac:dyDescent="0.35">
      <c r="A2443">
        <v>530</v>
      </c>
      <c r="B2443" t="s">
        <v>1452</v>
      </c>
      <c r="C2443">
        <v>3</v>
      </c>
    </row>
    <row r="2444" spans="1:3" x14ac:dyDescent="0.35">
      <c r="A2444">
        <v>531</v>
      </c>
      <c r="B2444" t="s">
        <v>1452</v>
      </c>
      <c r="C2444">
        <v>3</v>
      </c>
    </row>
    <row r="2445" spans="1:3" x14ac:dyDescent="0.35">
      <c r="A2445">
        <v>565</v>
      </c>
      <c r="B2445" t="s">
        <v>1452</v>
      </c>
      <c r="C2445">
        <v>3</v>
      </c>
    </row>
    <row r="2446" spans="1:3" x14ac:dyDescent="0.35">
      <c r="A2446">
        <v>566</v>
      </c>
      <c r="B2446" t="s">
        <v>1452</v>
      </c>
      <c r="C2446">
        <v>3</v>
      </c>
    </row>
    <row r="2447" spans="1:3" x14ac:dyDescent="0.35">
      <c r="A2447">
        <v>570</v>
      </c>
      <c r="B2447" t="s">
        <v>1452</v>
      </c>
      <c r="C2447">
        <v>3</v>
      </c>
    </row>
    <row r="2448" spans="1:3" x14ac:dyDescent="0.35">
      <c r="A2448">
        <v>571</v>
      </c>
      <c r="B2448" t="s">
        <v>1452</v>
      </c>
      <c r="C2448">
        <v>3</v>
      </c>
    </row>
    <row r="2449" spans="1:3" x14ac:dyDescent="0.35">
      <c r="A2449">
        <v>572</v>
      </c>
      <c r="B2449" t="s">
        <v>1452</v>
      </c>
      <c r="C2449">
        <v>3</v>
      </c>
    </row>
    <row r="2450" spans="1:3" x14ac:dyDescent="0.35">
      <c r="A2450">
        <v>574</v>
      </c>
      <c r="B2450" t="s">
        <v>1452</v>
      </c>
      <c r="C2450">
        <v>3</v>
      </c>
    </row>
    <row r="2451" spans="1:3" x14ac:dyDescent="0.35">
      <c r="A2451">
        <v>592</v>
      </c>
      <c r="B2451" t="s">
        <v>1452</v>
      </c>
      <c r="C2451">
        <v>3</v>
      </c>
    </row>
    <row r="2452" spans="1:3" x14ac:dyDescent="0.35">
      <c r="A2452">
        <v>600</v>
      </c>
      <c r="B2452" t="s">
        <v>1452</v>
      </c>
      <c r="C2452">
        <v>3</v>
      </c>
    </row>
    <row r="2453" spans="1:3" x14ac:dyDescent="0.35">
      <c r="A2453">
        <v>627</v>
      </c>
      <c r="B2453" t="s">
        <v>1452</v>
      </c>
      <c r="C2453">
        <v>3</v>
      </c>
    </row>
    <row r="2454" spans="1:3" x14ac:dyDescent="0.35">
      <c r="A2454">
        <v>693</v>
      </c>
      <c r="B2454" t="s">
        <v>1452</v>
      </c>
      <c r="C2454">
        <v>3</v>
      </c>
    </row>
    <row r="2455" spans="1:3" x14ac:dyDescent="0.35">
      <c r="A2455">
        <v>695</v>
      </c>
      <c r="B2455" t="s">
        <v>1452</v>
      </c>
      <c r="C2455">
        <v>3</v>
      </c>
    </row>
    <row r="2456" spans="1:3" x14ac:dyDescent="0.35">
      <c r="A2456">
        <v>696</v>
      </c>
      <c r="B2456" t="s">
        <v>1452</v>
      </c>
      <c r="C2456">
        <v>3</v>
      </c>
    </row>
    <row r="2457" spans="1:3" x14ac:dyDescent="0.35">
      <c r="A2457">
        <v>698</v>
      </c>
      <c r="B2457" t="s">
        <v>1452</v>
      </c>
      <c r="C2457">
        <v>3</v>
      </c>
    </row>
    <row r="2458" spans="1:3" x14ac:dyDescent="0.35">
      <c r="A2458">
        <v>734</v>
      </c>
      <c r="B2458" t="s">
        <v>1452</v>
      </c>
      <c r="C2458">
        <v>3</v>
      </c>
    </row>
    <row r="2459" spans="1:3" x14ac:dyDescent="0.35">
      <c r="A2459">
        <v>736</v>
      </c>
      <c r="B2459" t="s">
        <v>1452</v>
      </c>
      <c r="C2459">
        <v>3</v>
      </c>
    </row>
    <row r="2460" spans="1:3" x14ac:dyDescent="0.35">
      <c r="A2460">
        <v>740</v>
      </c>
      <c r="B2460" t="s">
        <v>1452</v>
      </c>
      <c r="C2460">
        <v>3</v>
      </c>
    </row>
    <row r="2461" spans="1:3" x14ac:dyDescent="0.35">
      <c r="A2461">
        <v>785</v>
      </c>
      <c r="B2461" t="s">
        <v>1452</v>
      </c>
      <c r="C2461">
        <v>3</v>
      </c>
    </row>
    <row r="2462" spans="1:3" x14ac:dyDescent="0.35">
      <c r="A2462">
        <v>786</v>
      </c>
      <c r="B2462" t="s">
        <v>1452</v>
      </c>
      <c r="C2462">
        <v>3</v>
      </c>
    </row>
    <row r="2463" spans="1:3" x14ac:dyDescent="0.35">
      <c r="A2463">
        <v>787</v>
      </c>
      <c r="B2463" t="s">
        <v>1452</v>
      </c>
      <c r="C2463">
        <v>3</v>
      </c>
    </row>
    <row r="2464" spans="1:3" x14ac:dyDescent="0.35">
      <c r="A2464">
        <v>788</v>
      </c>
      <c r="B2464" t="s">
        <v>1452</v>
      </c>
      <c r="C2464">
        <v>3</v>
      </c>
    </row>
    <row r="2465" spans="1:3" x14ac:dyDescent="0.35">
      <c r="A2465">
        <v>795</v>
      </c>
      <c r="B2465" t="s">
        <v>1452</v>
      </c>
      <c r="C2465">
        <v>3</v>
      </c>
    </row>
    <row r="2466" spans="1:3" x14ac:dyDescent="0.35">
      <c r="A2466">
        <v>797</v>
      </c>
      <c r="B2466" t="s">
        <v>1452</v>
      </c>
      <c r="C2466">
        <v>3</v>
      </c>
    </row>
    <row r="2467" spans="1:3" x14ac:dyDescent="0.35">
      <c r="A2467">
        <v>810</v>
      </c>
      <c r="B2467" t="s">
        <v>1452</v>
      </c>
      <c r="C2467">
        <v>3</v>
      </c>
    </row>
    <row r="2468" spans="1:3" x14ac:dyDescent="0.35">
      <c r="A2468">
        <v>819</v>
      </c>
      <c r="B2468" t="s">
        <v>1452</v>
      </c>
      <c r="C2468">
        <v>3</v>
      </c>
    </row>
    <row r="2469" spans="1:3" x14ac:dyDescent="0.35">
      <c r="A2469">
        <v>823</v>
      </c>
      <c r="B2469" t="s">
        <v>1452</v>
      </c>
      <c r="C2469">
        <v>3</v>
      </c>
    </row>
    <row r="2470" spans="1:3" x14ac:dyDescent="0.35">
      <c r="A2470">
        <v>824</v>
      </c>
      <c r="B2470" t="s">
        <v>1452</v>
      </c>
      <c r="C2470">
        <v>3</v>
      </c>
    </row>
    <row r="2471" spans="1:3" x14ac:dyDescent="0.35">
      <c r="A2471">
        <v>826</v>
      </c>
      <c r="B2471" t="s">
        <v>1452</v>
      </c>
      <c r="C2471">
        <v>3</v>
      </c>
    </row>
    <row r="2472" spans="1:3" x14ac:dyDescent="0.35">
      <c r="A2472">
        <v>834</v>
      </c>
      <c r="B2472" t="s">
        <v>1452</v>
      </c>
      <c r="C2472">
        <v>3</v>
      </c>
    </row>
    <row r="2473" spans="1:3" x14ac:dyDescent="0.35">
      <c r="A2473">
        <v>845</v>
      </c>
      <c r="B2473" t="s">
        <v>1452</v>
      </c>
      <c r="C2473">
        <v>3</v>
      </c>
    </row>
    <row r="2474" spans="1:3" x14ac:dyDescent="0.35">
      <c r="A2474">
        <v>853</v>
      </c>
      <c r="B2474" t="s">
        <v>1452</v>
      </c>
      <c r="C2474">
        <v>3</v>
      </c>
    </row>
    <row r="2475" spans="1:3" x14ac:dyDescent="0.35">
      <c r="A2475">
        <v>854</v>
      </c>
      <c r="B2475" t="s">
        <v>1452</v>
      </c>
      <c r="C2475">
        <v>3</v>
      </c>
    </row>
    <row r="2476" spans="1:3" x14ac:dyDescent="0.35">
      <c r="A2476">
        <v>861</v>
      </c>
      <c r="B2476" t="s">
        <v>1452</v>
      </c>
      <c r="C2476">
        <v>3</v>
      </c>
    </row>
    <row r="2477" spans="1:3" x14ac:dyDescent="0.35">
      <c r="A2477">
        <v>862</v>
      </c>
      <c r="B2477" t="s">
        <v>1452</v>
      </c>
      <c r="C2477">
        <v>3</v>
      </c>
    </row>
    <row r="2478" spans="1:3" x14ac:dyDescent="0.35">
      <c r="A2478">
        <v>863</v>
      </c>
      <c r="B2478" t="s">
        <v>1452</v>
      </c>
      <c r="C2478">
        <v>3</v>
      </c>
    </row>
    <row r="2479" spans="1:3" x14ac:dyDescent="0.35">
      <c r="A2479">
        <v>864</v>
      </c>
      <c r="B2479" t="s">
        <v>1452</v>
      </c>
      <c r="C2479">
        <v>3</v>
      </c>
    </row>
    <row r="2480" spans="1:3" x14ac:dyDescent="0.35">
      <c r="A2480">
        <v>865</v>
      </c>
      <c r="B2480" t="s">
        <v>1452</v>
      </c>
      <c r="C2480">
        <v>3</v>
      </c>
    </row>
    <row r="2481" spans="1:3" x14ac:dyDescent="0.35">
      <c r="A2481">
        <v>901</v>
      </c>
      <c r="B2481" t="s">
        <v>1452</v>
      </c>
      <c r="C2481">
        <v>3</v>
      </c>
    </row>
    <row r="2482" spans="1:3" x14ac:dyDescent="0.35">
      <c r="A2482">
        <v>946</v>
      </c>
      <c r="B2482" t="s">
        <v>1452</v>
      </c>
      <c r="C2482">
        <v>3</v>
      </c>
    </row>
    <row r="2483" spans="1:3" x14ac:dyDescent="0.35">
      <c r="A2483">
        <v>999</v>
      </c>
      <c r="B2483" t="s">
        <v>1452</v>
      </c>
      <c r="C2483">
        <v>3</v>
      </c>
    </row>
    <row r="2484" spans="1:3" x14ac:dyDescent="0.35">
      <c r="A2484">
        <v>1018</v>
      </c>
      <c r="B2484" t="s">
        <v>1452</v>
      </c>
      <c r="C2484">
        <v>3</v>
      </c>
    </row>
    <row r="2485" spans="1:3" x14ac:dyDescent="0.35">
      <c r="A2485">
        <v>1020</v>
      </c>
      <c r="B2485" t="s">
        <v>1452</v>
      </c>
      <c r="C2485">
        <v>3</v>
      </c>
    </row>
    <row r="2486" spans="1:3" x14ac:dyDescent="0.35">
      <c r="A2486">
        <v>1021</v>
      </c>
      <c r="B2486" t="s">
        <v>1452</v>
      </c>
      <c r="C2486">
        <v>3</v>
      </c>
    </row>
    <row r="2487" spans="1:3" x14ac:dyDescent="0.35">
      <c r="A2487">
        <v>1022</v>
      </c>
      <c r="B2487" t="s">
        <v>1452</v>
      </c>
      <c r="C2487">
        <v>3</v>
      </c>
    </row>
    <row r="2488" spans="1:3" x14ac:dyDescent="0.35">
      <c r="A2488">
        <v>1030</v>
      </c>
      <c r="B2488" t="s">
        <v>1452</v>
      </c>
      <c r="C2488">
        <v>3</v>
      </c>
    </row>
    <row r="2489" spans="1:3" x14ac:dyDescent="0.35">
      <c r="A2489">
        <v>1031</v>
      </c>
      <c r="B2489" t="s">
        <v>1452</v>
      </c>
      <c r="C2489">
        <v>3</v>
      </c>
    </row>
    <row r="2490" spans="1:3" x14ac:dyDescent="0.35">
      <c r="A2490">
        <v>1033</v>
      </c>
      <c r="B2490" t="s">
        <v>1452</v>
      </c>
      <c r="C2490">
        <v>3</v>
      </c>
    </row>
    <row r="2491" spans="1:3" x14ac:dyDescent="0.35">
      <c r="A2491">
        <v>1064</v>
      </c>
      <c r="B2491" t="s">
        <v>1452</v>
      </c>
      <c r="C2491">
        <v>3</v>
      </c>
    </row>
    <row r="2492" spans="1:3" x14ac:dyDescent="0.35">
      <c r="A2492">
        <v>1065</v>
      </c>
      <c r="B2492" t="s">
        <v>1452</v>
      </c>
      <c r="C2492">
        <v>3</v>
      </c>
    </row>
    <row r="2493" spans="1:3" x14ac:dyDescent="0.35">
      <c r="A2493">
        <v>1075</v>
      </c>
      <c r="B2493" t="s">
        <v>1452</v>
      </c>
      <c r="C2493">
        <v>3</v>
      </c>
    </row>
    <row r="2494" spans="1:3" x14ac:dyDescent="0.35">
      <c r="A2494">
        <v>1329</v>
      </c>
      <c r="B2494" t="s">
        <v>1452</v>
      </c>
      <c r="C2494">
        <v>3</v>
      </c>
    </row>
    <row r="2495" spans="1:3" x14ac:dyDescent="0.35">
      <c r="A2495">
        <v>1330</v>
      </c>
      <c r="B2495" t="s">
        <v>1452</v>
      </c>
      <c r="C2495">
        <v>3</v>
      </c>
    </row>
    <row r="2496" spans="1:3" x14ac:dyDescent="0.35">
      <c r="A2496">
        <v>1331</v>
      </c>
      <c r="B2496" t="s">
        <v>1452</v>
      </c>
      <c r="C2496">
        <v>3</v>
      </c>
    </row>
    <row r="2497" spans="1:3" x14ac:dyDescent="0.35">
      <c r="A2497">
        <v>1352</v>
      </c>
      <c r="B2497" t="s">
        <v>1452</v>
      </c>
      <c r="C2497">
        <v>3</v>
      </c>
    </row>
    <row r="2498" spans="1:3" x14ac:dyDescent="0.35">
      <c r="A2498">
        <v>1354</v>
      </c>
      <c r="B2498" t="s">
        <v>1452</v>
      </c>
      <c r="C2498">
        <v>3</v>
      </c>
    </row>
    <row r="2499" spans="1:3" x14ac:dyDescent="0.35">
      <c r="A2499">
        <v>1461</v>
      </c>
      <c r="B2499" t="s">
        <v>1452</v>
      </c>
      <c r="C2499">
        <v>3</v>
      </c>
    </row>
    <row r="2500" spans="1:3" x14ac:dyDescent="0.35">
      <c r="A2500">
        <v>2022</v>
      </c>
      <c r="B2500" t="s">
        <v>1452</v>
      </c>
      <c r="C2500">
        <v>2</v>
      </c>
    </row>
    <row r="2501" spans="1:3" x14ac:dyDescent="0.35">
      <c r="A2501">
        <v>2027</v>
      </c>
      <c r="B2501" t="s">
        <v>1452</v>
      </c>
      <c r="C2501">
        <v>2</v>
      </c>
    </row>
    <row r="2502" spans="1:3" x14ac:dyDescent="0.35">
      <c r="A2502">
        <v>2028</v>
      </c>
      <c r="B2502" t="s">
        <v>1452</v>
      </c>
      <c r="C2502">
        <v>2</v>
      </c>
    </row>
    <row r="2503" spans="1:3" x14ac:dyDescent="0.35">
      <c r="A2503">
        <v>2029</v>
      </c>
      <c r="B2503" t="s">
        <v>1452</v>
      </c>
      <c r="C2503">
        <v>2</v>
      </c>
    </row>
    <row r="2504" spans="1:3" x14ac:dyDescent="0.35">
      <c r="A2504">
        <v>1988</v>
      </c>
      <c r="B2504" t="s">
        <v>1452</v>
      </c>
      <c r="C2504">
        <v>2</v>
      </c>
    </row>
    <row r="2505" spans="1:3" x14ac:dyDescent="0.35">
      <c r="A2505">
        <v>1906</v>
      </c>
      <c r="B2505" t="s">
        <v>1452</v>
      </c>
      <c r="C2505">
        <v>2</v>
      </c>
    </row>
    <row r="2506" spans="1:3" x14ac:dyDescent="0.35">
      <c r="A2506">
        <v>1908</v>
      </c>
      <c r="B2506" t="s">
        <v>1452</v>
      </c>
      <c r="C2506">
        <v>2</v>
      </c>
    </row>
    <row r="2507" spans="1:3" x14ac:dyDescent="0.35">
      <c r="A2507">
        <v>1590</v>
      </c>
      <c r="B2507" t="s">
        <v>1452</v>
      </c>
      <c r="C2507">
        <v>2</v>
      </c>
    </row>
    <row r="2508" spans="1:3" x14ac:dyDescent="0.35">
      <c r="A2508">
        <v>1492</v>
      </c>
      <c r="B2508" t="s">
        <v>1452</v>
      </c>
      <c r="C2508">
        <v>2</v>
      </c>
    </row>
    <row r="2509" spans="1:3" x14ac:dyDescent="0.35">
      <c r="A2509">
        <v>1891</v>
      </c>
      <c r="B2509" t="s">
        <v>1452</v>
      </c>
      <c r="C2509">
        <v>2</v>
      </c>
    </row>
    <row r="2510" spans="1:3" x14ac:dyDescent="0.35">
      <c r="A2510">
        <v>1616</v>
      </c>
      <c r="B2510" t="s">
        <v>1452</v>
      </c>
      <c r="C2510">
        <v>2</v>
      </c>
    </row>
    <row r="2511" spans="1:3" x14ac:dyDescent="0.35">
      <c r="A2511">
        <v>1994</v>
      </c>
      <c r="B2511" t="s">
        <v>1452</v>
      </c>
      <c r="C2511">
        <v>2</v>
      </c>
    </row>
    <row r="2512" spans="1:3" x14ac:dyDescent="0.35">
      <c r="A2512">
        <v>1604</v>
      </c>
      <c r="B2512" t="s">
        <v>1452</v>
      </c>
      <c r="C2512">
        <v>2</v>
      </c>
    </row>
    <row r="2513" spans="1:3" x14ac:dyDescent="0.35">
      <c r="A2513">
        <v>2037</v>
      </c>
      <c r="B2513" t="s">
        <v>1452</v>
      </c>
      <c r="C2513">
        <v>2</v>
      </c>
    </row>
    <row r="2514" spans="1:3" x14ac:dyDescent="0.35">
      <c r="A2514">
        <v>2045</v>
      </c>
      <c r="B2514" t="s">
        <v>1452</v>
      </c>
      <c r="C2514">
        <v>2</v>
      </c>
    </row>
    <row r="2515" spans="1:3" x14ac:dyDescent="0.35">
      <c r="A2515">
        <v>2046</v>
      </c>
      <c r="B2515" t="s">
        <v>1452</v>
      </c>
      <c r="C2515">
        <v>2</v>
      </c>
    </row>
    <row r="2516" spans="1:3" x14ac:dyDescent="0.35">
      <c r="A2516">
        <v>1993</v>
      </c>
      <c r="B2516" t="s">
        <v>1452</v>
      </c>
      <c r="C2516">
        <v>2</v>
      </c>
    </row>
    <row r="2517" spans="1:3" x14ac:dyDescent="0.35">
      <c r="A2517">
        <v>1658</v>
      </c>
      <c r="B2517" t="s">
        <v>1452</v>
      </c>
      <c r="C2517">
        <v>2</v>
      </c>
    </row>
    <row r="2518" spans="1:3" x14ac:dyDescent="0.35">
      <c r="A2518">
        <v>1555</v>
      </c>
      <c r="B2518" t="s">
        <v>1452</v>
      </c>
      <c r="C2518">
        <v>2</v>
      </c>
    </row>
    <row r="2519" spans="1:3" x14ac:dyDescent="0.35">
      <c r="A2519">
        <v>1615</v>
      </c>
      <c r="B2519" t="s">
        <v>1452</v>
      </c>
      <c r="C2519">
        <v>2</v>
      </c>
    </row>
    <row r="2520" spans="1:3" x14ac:dyDescent="0.35">
      <c r="A2520">
        <v>1925</v>
      </c>
      <c r="B2520" t="s">
        <v>1452</v>
      </c>
      <c r="C2520">
        <v>2</v>
      </c>
    </row>
    <row r="2521" spans="1:3" x14ac:dyDescent="0.35">
      <c r="A2521">
        <v>1926</v>
      </c>
      <c r="B2521" t="s">
        <v>1452</v>
      </c>
      <c r="C2521">
        <v>2</v>
      </c>
    </row>
    <row r="2522" spans="1:3" x14ac:dyDescent="0.35">
      <c r="A2522">
        <v>1666</v>
      </c>
      <c r="B2522" t="s">
        <v>1452</v>
      </c>
      <c r="C2522">
        <v>2</v>
      </c>
    </row>
    <row r="2523" spans="1:3" x14ac:dyDescent="0.35">
      <c r="A2523">
        <v>2002</v>
      </c>
      <c r="B2523" t="s">
        <v>1452</v>
      </c>
      <c r="C2523">
        <v>2</v>
      </c>
    </row>
    <row r="2524" spans="1:3" x14ac:dyDescent="0.35">
      <c r="A2524">
        <v>1928</v>
      </c>
      <c r="B2524" t="s">
        <v>1452</v>
      </c>
      <c r="C2524">
        <v>2</v>
      </c>
    </row>
    <row r="2525" spans="1:3" x14ac:dyDescent="0.35">
      <c r="A2525">
        <v>2004</v>
      </c>
      <c r="B2525" t="s">
        <v>1452</v>
      </c>
      <c r="C2525">
        <v>2</v>
      </c>
    </row>
    <row r="2526" spans="1:3" x14ac:dyDescent="0.35">
      <c r="A2526">
        <v>1991</v>
      </c>
      <c r="B2526" t="s">
        <v>1452</v>
      </c>
      <c r="C2526">
        <v>2</v>
      </c>
    </row>
    <row r="2527" spans="1:3" x14ac:dyDescent="0.35">
      <c r="A2527">
        <v>1992</v>
      </c>
      <c r="B2527" t="s">
        <v>1452</v>
      </c>
      <c r="C2527">
        <v>2</v>
      </c>
    </row>
    <row r="2528" spans="1:3" x14ac:dyDescent="0.35">
      <c r="A2528">
        <v>1593</v>
      </c>
      <c r="B2528" t="s">
        <v>1452</v>
      </c>
      <c r="C2528">
        <v>2</v>
      </c>
    </row>
    <row r="2529" spans="1:3" x14ac:dyDescent="0.35">
      <c r="A2529">
        <v>1526</v>
      </c>
      <c r="B2529" t="s">
        <v>1452</v>
      </c>
      <c r="C2529">
        <v>2</v>
      </c>
    </row>
    <row r="2530" spans="1:3" x14ac:dyDescent="0.35">
      <c r="A2530">
        <v>1559</v>
      </c>
      <c r="B2530" t="s">
        <v>1452</v>
      </c>
      <c r="C2530">
        <v>2</v>
      </c>
    </row>
    <row r="2531" spans="1:3" x14ac:dyDescent="0.35">
      <c r="A2531">
        <v>1601</v>
      </c>
      <c r="B2531" t="s">
        <v>1452</v>
      </c>
      <c r="C2531">
        <v>2</v>
      </c>
    </row>
    <row r="2532" spans="1:3" x14ac:dyDescent="0.35">
      <c r="A2532">
        <v>1602</v>
      </c>
      <c r="B2532" t="s">
        <v>1452</v>
      </c>
      <c r="C2532">
        <v>2</v>
      </c>
    </row>
    <row r="2533" spans="1:3" x14ac:dyDescent="0.35">
      <c r="A2533">
        <v>1617</v>
      </c>
      <c r="B2533" t="s">
        <v>1452</v>
      </c>
      <c r="C2533">
        <v>2</v>
      </c>
    </row>
    <row r="2534" spans="1:3" x14ac:dyDescent="0.35">
      <c r="A2534">
        <v>1618</v>
      </c>
      <c r="B2534" t="s">
        <v>1452</v>
      </c>
      <c r="C2534">
        <v>2</v>
      </c>
    </row>
    <row r="2535" spans="1:3" x14ac:dyDescent="0.35">
      <c r="A2535">
        <v>1619</v>
      </c>
      <c r="B2535" t="s">
        <v>1452</v>
      </c>
      <c r="C2535">
        <v>2</v>
      </c>
    </row>
    <row r="2536" spans="1:3" x14ac:dyDescent="0.35">
      <c r="A2536">
        <v>1648</v>
      </c>
      <c r="B2536" t="s">
        <v>1452</v>
      </c>
      <c r="C2536">
        <v>2</v>
      </c>
    </row>
    <row r="2537" spans="1:3" x14ac:dyDescent="0.35">
      <c r="A2537">
        <v>1649</v>
      </c>
      <c r="B2537" t="s">
        <v>1452</v>
      </c>
      <c r="C2537">
        <v>2</v>
      </c>
    </row>
    <row r="2538" spans="1:3" x14ac:dyDescent="0.35">
      <c r="A2538">
        <v>1659</v>
      </c>
      <c r="B2538" t="s">
        <v>1452</v>
      </c>
      <c r="C2538">
        <v>2</v>
      </c>
    </row>
    <row r="2539" spans="1:3" x14ac:dyDescent="0.35">
      <c r="A2539">
        <v>1660</v>
      </c>
      <c r="B2539" t="s">
        <v>1452</v>
      </c>
      <c r="C2539">
        <v>2</v>
      </c>
    </row>
    <row r="2540" spans="1:3" x14ac:dyDescent="0.35">
      <c r="A2540">
        <v>1661</v>
      </c>
      <c r="B2540" t="s">
        <v>1452</v>
      </c>
      <c r="C2540">
        <v>2</v>
      </c>
    </row>
    <row r="2541" spans="1:3" x14ac:dyDescent="0.35">
      <c r="A2541">
        <v>1662</v>
      </c>
      <c r="B2541" t="s">
        <v>1452</v>
      </c>
      <c r="C2541">
        <v>2</v>
      </c>
    </row>
    <row r="2542" spans="1:3" x14ac:dyDescent="0.35">
      <c r="A2542">
        <v>1663</v>
      </c>
      <c r="B2542" t="s">
        <v>1452</v>
      </c>
      <c r="C2542">
        <v>2</v>
      </c>
    </row>
    <row r="2543" spans="1:3" x14ac:dyDescent="0.35">
      <c r="A2543">
        <v>1664</v>
      </c>
      <c r="B2543" t="s">
        <v>1452</v>
      </c>
      <c r="C2543">
        <v>2</v>
      </c>
    </row>
    <row r="2544" spans="1:3" x14ac:dyDescent="0.35">
      <c r="A2544">
        <v>1665</v>
      </c>
      <c r="B2544" t="s">
        <v>1452</v>
      </c>
      <c r="C2544">
        <v>2</v>
      </c>
    </row>
    <row r="2545" spans="1:3" x14ac:dyDescent="0.35">
      <c r="A2545">
        <v>1939</v>
      </c>
      <c r="B2545" t="s">
        <v>1452</v>
      </c>
      <c r="C2545">
        <v>2</v>
      </c>
    </row>
    <row r="2546" spans="1:3" x14ac:dyDescent="0.35">
      <c r="A2546">
        <v>1995</v>
      </c>
      <c r="B2546" t="s">
        <v>1452</v>
      </c>
      <c r="C2546">
        <v>2</v>
      </c>
    </row>
    <row r="2547" spans="1:3" x14ac:dyDescent="0.35">
      <c r="A2547">
        <v>1996</v>
      </c>
      <c r="B2547" t="s">
        <v>1452</v>
      </c>
      <c r="C2547">
        <v>2</v>
      </c>
    </row>
    <row r="2548" spans="1:3" x14ac:dyDescent="0.35">
      <c r="A2548">
        <v>1997</v>
      </c>
      <c r="B2548" t="s">
        <v>1452</v>
      </c>
      <c r="C2548">
        <v>2</v>
      </c>
    </row>
    <row r="2549" spans="1:3" x14ac:dyDescent="0.35">
      <c r="A2549">
        <v>1560</v>
      </c>
      <c r="B2549" t="s">
        <v>1452</v>
      </c>
      <c r="C2549">
        <v>2</v>
      </c>
    </row>
    <row r="2550" spans="1:3" x14ac:dyDescent="0.35">
      <c r="A2550">
        <v>1999</v>
      </c>
      <c r="B2550" t="s">
        <v>1452</v>
      </c>
      <c r="C2550">
        <v>2</v>
      </c>
    </row>
    <row r="2551" spans="1:3" x14ac:dyDescent="0.35">
      <c r="A2551">
        <v>2047</v>
      </c>
      <c r="B2551" t="s">
        <v>1452</v>
      </c>
      <c r="C2551">
        <v>4</v>
      </c>
    </row>
    <row r="2552" spans="1:3" x14ac:dyDescent="0.35">
      <c r="A2552">
        <v>2052</v>
      </c>
      <c r="B2552" t="s">
        <v>1452</v>
      </c>
      <c r="C2552">
        <v>4</v>
      </c>
    </row>
    <row r="2553" spans="1:3" x14ac:dyDescent="0.35">
      <c r="A2553">
        <v>2067</v>
      </c>
      <c r="B2553" t="s">
        <v>1452</v>
      </c>
      <c r="C2553">
        <v>4</v>
      </c>
    </row>
    <row r="2554" spans="1:3" x14ac:dyDescent="0.35">
      <c r="A2554">
        <v>2077</v>
      </c>
      <c r="B2554" t="s">
        <v>1452</v>
      </c>
      <c r="C2554">
        <v>4</v>
      </c>
    </row>
    <row r="2555" spans="1:3" x14ac:dyDescent="0.35">
      <c r="A2555">
        <v>2078</v>
      </c>
      <c r="B2555" t="s">
        <v>1452</v>
      </c>
      <c r="C2555">
        <v>4</v>
      </c>
    </row>
    <row r="2556" spans="1:3" x14ac:dyDescent="0.35">
      <c r="A2556">
        <v>2152</v>
      </c>
      <c r="B2556" t="s">
        <v>1452</v>
      </c>
      <c r="C2556">
        <v>4</v>
      </c>
    </row>
    <row r="2557" spans="1:3" x14ac:dyDescent="0.35">
      <c r="A2557">
        <v>2154</v>
      </c>
      <c r="B2557" t="s">
        <v>1452</v>
      </c>
      <c r="C2557">
        <v>4</v>
      </c>
    </row>
    <row r="2558" spans="1:3" x14ac:dyDescent="0.35">
      <c r="A2558">
        <v>2163</v>
      </c>
      <c r="B2558" t="s">
        <v>1452</v>
      </c>
      <c r="C2558">
        <v>4</v>
      </c>
    </row>
    <row r="2559" spans="1:3" x14ac:dyDescent="0.35">
      <c r="A2559">
        <v>2164</v>
      </c>
      <c r="B2559" t="s">
        <v>1452</v>
      </c>
      <c r="C2559">
        <v>4</v>
      </c>
    </row>
    <row r="2560" spans="1:3" x14ac:dyDescent="0.35">
      <c r="A2560">
        <v>2165</v>
      </c>
      <c r="B2560" t="s">
        <v>1452</v>
      </c>
      <c r="C2560">
        <v>4</v>
      </c>
    </row>
    <row r="2561" spans="1:3" x14ac:dyDescent="0.35">
      <c r="A2561">
        <v>2166</v>
      </c>
      <c r="B2561" t="s">
        <v>1452</v>
      </c>
      <c r="C2561">
        <v>4</v>
      </c>
    </row>
    <row r="2562" spans="1:3" x14ac:dyDescent="0.35">
      <c r="A2562">
        <v>2167</v>
      </c>
      <c r="B2562" t="s">
        <v>1452</v>
      </c>
      <c r="C2562">
        <v>4</v>
      </c>
    </row>
    <row r="2563" spans="1:3" x14ac:dyDescent="0.35">
      <c r="A2563">
        <v>2168</v>
      </c>
      <c r="B2563" t="s">
        <v>1452</v>
      </c>
      <c r="C2563">
        <v>4</v>
      </c>
    </row>
    <row r="2564" spans="1:3" x14ac:dyDescent="0.35">
      <c r="A2564">
        <v>2169</v>
      </c>
      <c r="B2564" t="s">
        <v>1452</v>
      </c>
      <c r="C2564">
        <v>4</v>
      </c>
    </row>
    <row r="2565" spans="1:3" x14ac:dyDescent="0.35">
      <c r="A2565">
        <v>2170</v>
      </c>
      <c r="B2565" t="s">
        <v>1452</v>
      </c>
      <c r="C2565">
        <v>4</v>
      </c>
    </row>
    <row r="2566" spans="1:3" x14ac:dyDescent="0.35">
      <c r="A2566">
        <v>2172</v>
      </c>
      <c r="B2566" t="s">
        <v>1452</v>
      </c>
      <c r="C2566">
        <v>4</v>
      </c>
    </row>
    <row r="2567" spans="1:3" x14ac:dyDescent="0.35">
      <c r="A2567">
        <v>2174</v>
      </c>
      <c r="B2567" t="s">
        <v>1452</v>
      </c>
      <c r="C2567">
        <v>4</v>
      </c>
    </row>
    <row r="2568" spans="1:3" x14ac:dyDescent="0.35">
      <c r="A2568">
        <v>2175</v>
      </c>
      <c r="B2568" t="s">
        <v>1452</v>
      </c>
      <c r="C2568">
        <v>4</v>
      </c>
    </row>
    <row r="2569" spans="1:3" x14ac:dyDescent="0.35">
      <c r="A2569">
        <v>2176</v>
      </c>
      <c r="B2569" t="s">
        <v>1452</v>
      </c>
      <c r="C2569">
        <v>4</v>
      </c>
    </row>
    <row r="2570" spans="1:3" x14ac:dyDescent="0.35">
      <c r="A2570">
        <v>2177</v>
      </c>
      <c r="B2570" t="s">
        <v>1452</v>
      </c>
      <c r="C2570">
        <v>4</v>
      </c>
    </row>
    <row r="2571" spans="1:3" x14ac:dyDescent="0.35">
      <c r="A2571">
        <v>2178</v>
      </c>
      <c r="B2571" t="s">
        <v>1452</v>
      </c>
      <c r="C2571">
        <v>4</v>
      </c>
    </row>
    <row r="2572" spans="1:3" x14ac:dyDescent="0.35">
      <c r="A2572">
        <v>2179</v>
      </c>
      <c r="B2572" t="s">
        <v>1452</v>
      </c>
      <c r="C2572">
        <v>4</v>
      </c>
    </row>
    <row r="2573" spans="1:3" x14ac:dyDescent="0.35">
      <c r="A2573">
        <v>2180</v>
      </c>
      <c r="B2573" t="s">
        <v>1452</v>
      </c>
      <c r="C2573">
        <v>4</v>
      </c>
    </row>
    <row r="2574" spans="1:3" x14ac:dyDescent="0.35">
      <c r="A2574">
        <v>2181</v>
      </c>
      <c r="B2574" t="s">
        <v>1452</v>
      </c>
      <c r="C2574">
        <v>4</v>
      </c>
    </row>
    <row r="2575" spans="1:3" x14ac:dyDescent="0.35">
      <c r="A2575">
        <v>2182</v>
      </c>
      <c r="B2575" t="s">
        <v>1452</v>
      </c>
      <c r="C2575">
        <v>4</v>
      </c>
    </row>
    <row r="2576" spans="1:3" x14ac:dyDescent="0.35">
      <c r="A2576">
        <v>2183</v>
      </c>
      <c r="B2576" t="s">
        <v>1452</v>
      </c>
      <c r="C2576">
        <v>4</v>
      </c>
    </row>
    <row r="2577" spans="1:3" x14ac:dyDescent="0.35">
      <c r="A2577">
        <v>2184</v>
      </c>
      <c r="B2577" t="s">
        <v>1452</v>
      </c>
      <c r="C2577">
        <v>4</v>
      </c>
    </row>
    <row r="2578" spans="1:3" x14ac:dyDescent="0.35">
      <c r="A2578">
        <v>2185</v>
      </c>
      <c r="B2578" t="s">
        <v>1452</v>
      </c>
      <c r="C2578">
        <v>4</v>
      </c>
    </row>
    <row r="2579" spans="1:3" x14ac:dyDescent="0.35">
      <c r="A2579">
        <v>2186</v>
      </c>
      <c r="B2579" t="s">
        <v>1452</v>
      </c>
      <c r="C2579">
        <v>4</v>
      </c>
    </row>
    <row r="2580" spans="1:3" x14ac:dyDescent="0.35">
      <c r="A2580">
        <v>2187</v>
      </c>
      <c r="B2580" t="s">
        <v>1452</v>
      </c>
      <c r="C2580">
        <v>4</v>
      </c>
    </row>
    <row r="2581" spans="1:3" x14ac:dyDescent="0.35">
      <c r="A2581">
        <v>2188</v>
      </c>
      <c r="B2581" t="s">
        <v>1452</v>
      </c>
      <c r="C2581">
        <v>4</v>
      </c>
    </row>
    <row r="2582" spans="1:3" x14ac:dyDescent="0.35">
      <c r="A2582">
        <v>2189</v>
      </c>
      <c r="B2582" t="s">
        <v>1452</v>
      </c>
      <c r="C2582">
        <v>4</v>
      </c>
    </row>
    <row r="2583" spans="1:3" x14ac:dyDescent="0.35">
      <c r="A2583">
        <v>2198</v>
      </c>
      <c r="B2583" t="s">
        <v>1452</v>
      </c>
      <c r="C2583">
        <v>4</v>
      </c>
    </row>
    <row r="2584" spans="1:3" x14ac:dyDescent="0.35">
      <c r="A2584">
        <v>2375</v>
      </c>
      <c r="B2584" t="s">
        <v>1452</v>
      </c>
      <c r="C2584">
        <v>5</v>
      </c>
    </row>
    <row r="2585" spans="1:3" x14ac:dyDescent="0.35">
      <c r="A2585">
        <v>2376</v>
      </c>
      <c r="B2585" t="s">
        <v>1452</v>
      </c>
      <c r="C2585">
        <v>5</v>
      </c>
    </row>
    <row r="2586" spans="1:3" x14ac:dyDescent="0.35">
      <c r="A2586">
        <v>2400</v>
      </c>
      <c r="B2586" t="s">
        <v>1452</v>
      </c>
      <c r="C2586">
        <v>5</v>
      </c>
    </row>
    <row r="2587" spans="1:3" x14ac:dyDescent="0.35">
      <c r="A2587">
        <v>2406</v>
      </c>
      <c r="B2587" t="s">
        <v>1452</v>
      </c>
      <c r="C2587">
        <v>5</v>
      </c>
    </row>
    <row r="2588" spans="1:3" x14ac:dyDescent="0.35">
      <c r="A2588">
        <v>2408</v>
      </c>
      <c r="B2588" t="s">
        <v>1452</v>
      </c>
      <c r="C2588">
        <v>5</v>
      </c>
    </row>
    <row r="2589" spans="1:3" x14ac:dyDescent="0.35">
      <c r="A2589">
        <v>2410</v>
      </c>
      <c r="B2589" t="s">
        <v>1452</v>
      </c>
      <c r="C2589">
        <v>5</v>
      </c>
    </row>
    <row r="2590" spans="1:3" x14ac:dyDescent="0.35">
      <c r="A2590">
        <v>2412</v>
      </c>
      <c r="B2590" t="s">
        <v>1452</v>
      </c>
      <c r="C2590">
        <v>5</v>
      </c>
    </row>
    <row r="2591" spans="1:3" x14ac:dyDescent="0.35">
      <c r="A2591">
        <v>2413</v>
      </c>
      <c r="B2591" t="s">
        <v>1452</v>
      </c>
      <c r="C2591">
        <v>5</v>
      </c>
    </row>
    <row r="2592" spans="1:3" x14ac:dyDescent="0.35">
      <c r="A2592">
        <v>2419</v>
      </c>
      <c r="B2592" t="s">
        <v>1452</v>
      </c>
      <c r="C2592">
        <v>5</v>
      </c>
    </row>
    <row r="2593" spans="1:3" x14ac:dyDescent="0.35">
      <c r="A2593">
        <v>2420</v>
      </c>
      <c r="B2593" t="s">
        <v>1452</v>
      </c>
      <c r="C2593">
        <v>5</v>
      </c>
    </row>
    <row r="2594" spans="1:3" x14ac:dyDescent="0.35">
      <c r="A2594">
        <v>2421</v>
      </c>
      <c r="B2594" t="s">
        <v>1452</v>
      </c>
      <c r="C2594">
        <v>5</v>
      </c>
    </row>
    <row r="2595" spans="1:3" x14ac:dyDescent="0.35">
      <c r="A2595">
        <v>2422</v>
      </c>
      <c r="B2595" t="s">
        <v>1452</v>
      </c>
      <c r="C2595">
        <v>5</v>
      </c>
    </row>
    <row r="2596" spans="1:3" x14ac:dyDescent="0.35">
      <c r="A2596">
        <v>2423</v>
      </c>
      <c r="B2596" t="s">
        <v>1452</v>
      </c>
      <c r="C2596">
        <v>5</v>
      </c>
    </row>
    <row r="2597" spans="1:3" x14ac:dyDescent="0.35">
      <c r="A2597">
        <v>2427</v>
      </c>
      <c r="B2597" t="s">
        <v>1452</v>
      </c>
      <c r="C2597">
        <v>5</v>
      </c>
    </row>
    <row r="2598" spans="1:3" x14ac:dyDescent="0.35">
      <c r="A2598">
        <v>2429</v>
      </c>
      <c r="B2598" t="s">
        <v>1452</v>
      </c>
      <c r="C2598">
        <v>5</v>
      </c>
    </row>
    <row r="2599" spans="1:3" x14ac:dyDescent="0.35">
      <c r="A2599">
        <v>2434</v>
      </c>
      <c r="B2599" t="s">
        <v>1452</v>
      </c>
      <c r="C2599">
        <v>5</v>
      </c>
    </row>
    <row r="2600" spans="1:3" x14ac:dyDescent="0.35">
      <c r="A2600">
        <v>2455</v>
      </c>
      <c r="B2600" t="s">
        <v>1452</v>
      </c>
      <c r="C2600">
        <v>5</v>
      </c>
    </row>
    <row r="2601" spans="1:3" x14ac:dyDescent="0.35">
      <c r="A2601">
        <v>2463</v>
      </c>
      <c r="B2601" t="s">
        <v>1452</v>
      </c>
      <c r="C2601">
        <v>5</v>
      </c>
    </row>
    <row r="2602" spans="1:3" x14ac:dyDescent="0.35">
      <c r="A2602">
        <v>2479</v>
      </c>
      <c r="B2602" t="s">
        <v>1452</v>
      </c>
      <c r="C2602">
        <v>5</v>
      </c>
    </row>
    <row r="2603" spans="1:3" x14ac:dyDescent="0.35">
      <c r="A2603">
        <v>2481</v>
      </c>
      <c r="B2603" t="s">
        <v>1452</v>
      </c>
      <c r="C2603">
        <v>5</v>
      </c>
    </row>
    <row r="2604" spans="1:3" x14ac:dyDescent="0.35">
      <c r="A2604">
        <v>2487</v>
      </c>
      <c r="B2604" t="s">
        <v>1452</v>
      </c>
      <c r="C2604">
        <v>5</v>
      </c>
    </row>
    <row r="2605" spans="1:3" x14ac:dyDescent="0.35">
      <c r="A2605">
        <v>2489</v>
      </c>
      <c r="B2605" t="s">
        <v>1452</v>
      </c>
      <c r="C2605">
        <v>5</v>
      </c>
    </row>
    <row r="2606" spans="1:3" x14ac:dyDescent="0.35">
      <c r="A2606">
        <v>2491</v>
      </c>
      <c r="B2606" t="s">
        <v>1452</v>
      </c>
      <c r="C2606">
        <v>5</v>
      </c>
    </row>
    <row r="2607" spans="1:3" x14ac:dyDescent="0.35">
      <c r="A2607">
        <v>2492</v>
      </c>
      <c r="B2607" t="s">
        <v>1452</v>
      </c>
      <c r="C2607">
        <v>5</v>
      </c>
    </row>
    <row r="2608" spans="1:3" x14ac:dyDescent="0.35">
      <c r="A2608">
        <v>2493</v>
      </c>
      <c r="B2608" t="s">
        <v>1452</v>
      </c>
      <c r="C2608">
        <v>5</v>
      </c>
    </row>
    <row r="2609" spans="1:3" x14ac:dyDescent="0.35">
      <c r="A2609">
        <v>2494</v>
      </c>
      <c r="B2609" t="s">
        <v>1452</v>
      </c>
      <c r="C2609">
        <v>5</v>
      </c>
    </row>
    <row r="2610" spans="1:3" x14ac:dyDescent="0.35">
      <c r="A2610">
        <v>2496</v>
      </c>
      <c r="B2610" t="s">
        <v>1452</v>
      </c>
      <c r="C2610">
        <v>5</v>
      </c>
    </row>
    <row r="2611" spans="1:3" x14ac:dyDescent="0.35">
      <c r="A2611">
        <v>2497</v>
      </c>
      <c r="B2611" t="s">
        <v>1452</v>
      </c>
      <c r="C2611">
        <v>5</v>
      </c>
    </row>
    <row r="2612" spans="1:3" x14ac:dyDescent="0.35">
      <c r="A2612">
        <v>2503</v>
      </c>
      <c r="B2612" t="s">
        <v>1452</v>
      </c>
      <c r="C2612">
        <v>5</v>
      </c>
    </row>
    <row r="2613" spans="1:3" x14ac:dyDescent="0.35">
      <c r="A2613">
        <v>2508</v>
      </c>
      <c r="B2613" t="s">
        <v>1452</v>
      </c>
      <c r="C2613">
        <v>5</v>
      </c>
    </row>
    <row r="2614" spans="1:3" x14ac:dyDescent="0.35">
      <c r="A2614">
        <v>2509</v>
      </c>
      <c r="B2614" t="s">
        <v>1452</v>
      </c>
      <c r="C2614">
        <v>5</v>
      </c>
    </row>
    <row r="2615" spans="1:3" x14ac:dyDescent="0.35">
      <c r="A2615">
        <v>2511</v>
      </c>
      <c r="B2615" t="s">
        <v>1452</v>
      </c>
      <c r="C2615">
        <v>5</v>
      </c>
    </row>
    <row r="2616" spans="1:3" x14ac:dyDescent="0.35">
      <c r="A2616">
        <v>2513</v>
      </c>
      <c r="B2616" t="s">
        <v>1452</v>
      </c>
      <c r="C2616">
        <v>5</v>
      </c>
    </row>
    <row r="2617" spans="1:3" x14ac:dyDescent="0.35">
      <c r="A2617">
        <v>2527</v>
      </c>
      <c r="B2617" t="s">
        <v>1452</v>
      </c>
      <c r="C2617">
        <v>5</v>
      </c>
    </row>
    <row r="2618" spans="1:3" x14ac:dyDescent="0.35">
      <c r="A2618">
        <v>2528</v>
      </c>
      <c r="B2618" t="s">
        <v>1452</v>
      </c>
      <c r="C2618">
        <v>5</v>
      </c>
    </row>
    <row r="2619" spans="1:3" x14ac:dyDescent="0.35">
      <c r="A2619">
        <v>2532</v>
      </c>
      <c r="B2619" t="s">
        <v>1452</v>
      </c>
      <c r="C2619">
        <v>5</v>
      </c>
    </row>
    <row r="2620" spans="1:3" x14ac:dyDescent="0.35">
      <c r="A2620">
        <v>2540</v>
      </c>
      <c r="B2620" t="s">
        <v>1452</v>
      </c>
      <c r="C2620">
        <v>5</v>
      </c>
    </row>
    <row r="2621" spans="1:3" x14ac:dyDescent="0.35">
      <c r="A2621">
        <v>2541</v>
      </c>
      <c r="B2621" t="s">
        <v>1452</v>
      </c>
      <c r="C2621">
        <v>5</v>
      </c>
    </row>
    <row r="2622" spans="1:3" x14ac:dyDescent="0.35">
      <c r="A2622">
        <v>2542</v>
      </c>
      <c r="B2622" t="s">
        <v>1452</v>
      </c>
      <c r="C2622">
        <v>5</v>
      </c>
    </row>
    <row r="2623" spans="1:3" x14ac:dyDescent="0.35">
      <c r="A2623">
        <v>2543</v>
      </c>
      <c r="B2623" t="s">
        <v>1452</v>
      </c>
      <c r="C2623">
        <v>6</v>
      </c>
    </row>
    <row r="2624" spans="1:3" x14ac:dyDescent="0.35">
      <c r="A2624">
        <v>2570</v>
      </c>
      <c r="B2624" t="s">
        <v>1452</v>
      </c>
      <c r="C2624">
        <v>6</v>
      </c>
    </row>
    <row r="2625" spans="1:3" x14ac:dyDescent="0.35">
      <c r="A2625">
        <v>2579</v>
      </c>
      <c r="B2625" t="s">
        <v>1452</v>
      </c>
      <c r="C2625">
        <v>6</v>
      </c>
    </row>
    <row r="2626" spans="1:3" x14ac:dyDescent="0.35">
      <c r="A2626">
        <v>2580</v>
      </c>
      <c r="B2626" t="s">
        <v>1452</v>
      </c>
      <c r="C2626">
        <v>6</v>
      </c>
    </row>
    <row r="2627" spans="1:3" x14ac:dyDescent="0.35">
      <c r="A2627">
        <v>2581</v>
      </c>
      <c r="B2627" t="s">
        <v>1452</v>
      </c>
      <c r="C2627">
        <v>6</v>
      </c>
    </row>
    <row r="2628" spans="1:3" x14ac:dyDescent="0.35">
      <c r="A2628">
        <v>2582</v>
      </c>
      <c r="B2628" t="s">
        <v>1452</v>
      </c>
      <c r="C2628">
        <v>6</v>
      </c>
    </row>
    <row r="2629" spans="1:3" x14ac:dyDescent="0.35">
      <c r="A2629">
        <v>2583</v>
      </c>
      <c r="B2629" t="s">
        <v>1452</v>
      </c>
      <c r="C2629">
        <v>6</v>
      </c>
    </row>
    <row r="2630" spans="1:3" x14ac:dyDescent="0.35">
      <c r="A2630">
        <v>2585</v>
      </c>
      <c r="B2630" t="s">
        <v>1452</v>
      </c>
      <c r="C2630">
        <v>6</v>
      </c>
    </row>
    <row r="2631" spans="1:3" x14ac:dyDescent="0.35">
      <c r="A2631">
        <v>2588</v>
      </c>
      <c r="B2631" t="s">
        <v>1452</v>
      </c>
      <c r="C2631">
        <v>6</v>
      </c>
    </row>
    <row r="2632" spans="1:3" x14ac:dyDescent="0.35">
      <c r="A2632">
        <v>2600</v>
      </c>
      <c r="B2632" t="s">
        <v>1452</v>
      </c>
      <c r="C2632">
        <v>6</v>
      </c>
    </row>
    <row r="2633" spans="1:3" x14ac:dyDescent="0.35">
      <c r="A2633">
        <v>2603</v>
      </c>
      <c r="B2633" t="s">
        <v>1452</v>
      </c>
      <c r="C2633">
        <v>6</v>
      </c>
    </row>
    <row r="2634" spans="1:3" x14ac:dyDescent="0.35">
      <c r="A2634">
        <v>2611</v>
      </c>
      <c r="B2634" t="s">
        <v>1452</v>
      </c>
      <c r="C2634">
        <v>6</v>
      </c>
    </row>
    <row r="2635" spans="1:3" x14ac:dyDescent="0.35">
      <c r="A2635">
        <v>2618</v>
      </c>
      <c r="B2635" t="s">
        <v>1452</v>
      </c>
      <c r="C2635">
        <v>6</v>
      </c>
    </row>
    <row r="2636" spans="1:3" x14ac:dyDescent="0.35">
      <c r="A2636">
        <v>2619</v>
      </c>
      <c r="B2636" t="s">
        <v>1452</v>
      </c>
      <c r="C2636">
        <v>6</v>
      </c>
    </row>
    <row r="2637" spans="1:3" x14ac:dyDescent="0.35">
      <c r="A2637">
        <v>2622</v>
      </c>
      <c r="B2637" t="s">
        <v>1452</v>
      </c>
      <c r="C2637">
        <v>6</v>
      </c>
    </row>
    <row r="2638" spans="1:3" x14ac:dyDescent="0.35">
      <c r="A2638">
        <v>2623</v>
      </c>
      <c r="B2638" t="s">
        <v>1452</v>
      </c>
      <c r="C2638">
        <v>7</v>
      </c>
    </row>
    <row r="2639" spans="1:3" x14ac:dyDescent="0.35">
      <c r="A2639">
        <v>2624</v>
      </c>
      <c r="B2639" t="s">
        <v>1452</v>
      </c>
      <c r="C2639">
        <v>7</v>
      </c>
    </row>
    <row r="2640" spans="1:3" x14ac:dyDescent="0.35">
      <c r="A2640">
        <v>2625</v>
      </c>
      <c r="B2640" t="s">
        <v>1452</v>
      </c>
      <c r="C2640">
        <v>7</v>
      </c>
    </row>
    <row r="2641" spans="1:3" x14ac:dyDescent="0.35">
      <c r="A2641">
        <v>2628</v>
      </c>
      <c r="B2641" t="s">
        <v>1452</v>
      </c>
      <c r="C2641">
        <v>7</v>
      </c>
    </row>
    <row r="2642" spans="1:3" x14ac:dyDescent="0.35">
      <c r="A2642">
        <v>2634</v>
      </c>
      <c r="B2642" t="s">
        <v>1452</v>
      </c>
      <c r="C2642">
        <v>7</v>
      </c>
    </row>
    <row r="2643" spans="1:3" x14ac:dyDescent="0.35">
      <c r="A2643">
        <v>2640</v>
      </c>
      <c r="B2643" t="s">
        <v>1452</v>
      </c>
      <c r="C2643">
        <v>7</v>
      </c>
    </row>
    <row r="2644" spans="1:3" x14ac:dyDescent="0.35">
      <c r="A2644">
        <v>2641</v>
      </c>
      <c r="B2644" t="s">
        <v>1452</v>
      </c>
      <c r="C2644">
        <v>7</v>
      </c>
    </row>
    <row r="2645" spans="1:3" x14ac:dyDescent="0.35">
      <c r="A2645">
        <v>2643</v>
      </c>
      <c r="B2645" t="s">
        <v>1452</v>
      </c>
      <c r="C2645">
        <v>7</v>
      </c>
    </row>
    <row r="2646" spans="1:3" x14ac:dyDescent="0.35">
      <c r="A2646">
        <v>2644</v>
      </c>
      <c r="B2646" t="s">
        <v>1452</v>
      </c>
      <c r="C2646">
        <v>7</v>
      </c>
    </row>
    <row r="2647" spans="1:3" x14ac:dyDescent="0.35">
      <c r="A2647">
        <v>2645</v>
      </c>
      <c r="B2647" t="s">
        <v>1452</v>
      </c>
      <c r="C2647">
        <v>7</v>
      </c>
    </row>
    <row r="2648" spans="1:3" x14ac:dyDescent="0.35">
      <c r="A2648">
        <v>2647</v>
      </c>
      <c r="B2648" t="s">
        <v>1452</v>
      </c>
      <c r="C2648">
        <v>7</v>
      </c>
    </row>
    <row r="2649" spans="1:3" x14ac:dyDescent="0.35">
      <c r="A2649">
        <v>2648</v>
      </c>
      <c r="B2649" t="s">
        <v>1452</v>
      </c>
      <c r="C2649">
        <v>7</v>
      </c>
    </row>
    <row r="2650" spans="1:3" x14ac:dyDescent="0.35">
      <c r="A2650">
        <v>2650</v>
      </c>
      <c r="B2650" t="s">
        <v>1452</v>
      </c>
      <c r="C2650">
        <v>8</v>
      </c>
    </row>
    <row r="2651" spans="1:3" x14ac:dyDescent="0.35">
      <c r="A2651">
        <v>2651</v>
      </c>
      <c r="B2651" t="s">
        <v>1452</v>
      </c>
      <c r="C2651">
        <v>8</v>
      </c>
    </row>
    <row r="2652" spans="1:3" x14ac:dyDescent="0.35">
      <c r="A2652">
        <v>2652</v>
      </c>
      <c r="B2652" t="s">
        <v>1452</v>
      </c>
      <c r="C2652">
        <v>8</v>
      </c>
    </row>
    <row r="2653" spans="1:3" x14ac:dyDescent="0.35">
      <c r="A2653">
        <v>2653</v>
      </c>
      <c r="B2653" t="s">
        <v>1452</v>
      </c>
      <c r="C2653">
        <v>8</v>
      </c>
    </row>
    <row r="2654" spans="1:3" x14ac:dyDescent="0.35">
      <c r="A2654">
        <v>2654</v>
      </c>
      <c r="B2654" t="s">
        <v>1452</v>
      </c>
      <c r="C2654">
        <v>8</v>
      </c>
    </row>
    <row r="2655" spans="1:3" x14ac:dyDescent="0.35">
      <c r="A2655">
        <v>2656</v>
      </c>
      <c r="B2655" t="s">
        <v>1452</v>
      </c>
      <c r="C2655">
        <v>8</v>
      </c>
    </row>
    <row r="2656" spans="1:3" x14ac:dyDescent="0.35">
      <c r="A2656">
        <v>2657</v>
      </c>
      <c r="B2656" t="s">
        <v>1452</v>
      </c>
      <c r="C2656">
        <v>8</v>
      </c>
    </row>
    <row r="2657" spans="1:3" x14ac:dyDescent="0.35">
      <c r="A2657">
        <v>2658</v>
      </c>
      <c r="B2657" t="s">
        <v>1452</v>
      </c>
      <c r="C2657">
        <v>8</v>
      </c>
    </row>
    <row r="2658" spans="1:3" x14ac:dyDescent="0.35">
      <c r="A2658">
        <v>2659</v>
      </c>
      <c r="B2658" t="s">
        <v>1452</v>
      </c>
      <c r="C2658">
        <v>8</v>
      </c>
    </row>
    <row r="2659" spans="1:3" x14ac:dyDescent="0.35">
      <c r="A2659">
        <v>2660</v>
      </c>
      <c r="B2659" t="s">
        <v>1452</v>
      </c>
      <c r="C2659">
        <v>8</v>
      </c>
    </row>
    <row r="2660" spans="1:3" x14ac:dyDescent="0.35">
      <c r="A2660">
        <v>2661</v>
      </c>
      <c r="B2660" t="s">
        <v>1452</v>
      </c>
      <c r="C2660">
        <v>8</v>
      </c>
    </row>
    <row r="2661" spans="1:3" x14ac:dyDescent="0.35">
      <c r="A2661">
        <v>2668</v>
      </c>
      <c r="B2661" t="s">
        <v>1452</v>
      </c>
      <c r="C2661">
        <v>8</v>
      </c>
    </row>
    <row r="2662" spans="1:3" x14ac:dyDescent="0.35">
      <c r="A2662">
        <v>2669</v>
      </c>
      <c r="B2662" t="s">
        <v>1452</v>
      </c>
      <c r="C2662">
        <v>8</v>
      </c>
    </row>
    <row r="2663" spans="1:3" x14ac:dyDescent="0.35">
      <c r="A2663">
        <v>2672</v>
      </c>
      <c r="B2663" t="s">
        <v>1452</v>
      </c>
      <c r="C2663">
        <v>8</v>
      </c>
    </row>
    <row r="2664" spans="1:3" x14ac:dyDescent="0.35">
      <c r="A2664">
        <v>2673</v>
      </c>
      <c r="B2664" t="s">
        <v>1452</v>
      </c>
      <c r="C2664">
        <v>8</v>
      </c>
    </row>
    <row r="2665" spans="1:3" x14ac:dyDescent="0.35">
      <c r="A2665">
        <v>2680</v>
      </c>
      <c r="B2665" t="s">
        <v>1452</v>
      </c>
      <c r="C2665">
        <v>8</v>
      </c>
    </row>
    <row r="2666" spans="1:3" x14ac:dyDescent="0.35">
      <c r="A2666">
        <v>2681</v>
      </c>
      <c r="B2666" t="s">
        <v>1452</v>
      </c>
      <c r="C2666">
        <v>8</v>
      </c>
    </row>
    <row r="2667" spans="1:3" x14ac:dyDescent="0.35">
      <c r="A2667">
        <v>2682</v>
      </c>
      <c r="B2667" t="s">
        <v>1452</v>
      </c>
      <c r="C2667">
        <v>8</v>
      </c>
    </row>
    <row r="2668" spans="1:3" x14ac:dyDescent="0.35">
      <c r="A2668">
        <v>2684</v>
      </c>
      <c r="B2668" t="s">
        <v>1452</v>
      </c>
      <c r="C2668">
        <v>8</v>
      </c>
    </row>
    <row r="2669" spans="1:3" x14ac:dyDescent="0.35">
      <c r="A2669">
        <v>2685</v>
      </c>
      <c r="B2669" t="s">
        <v>1452</v>
      </c>
      <c r="C2669">
        <v>8</v>
      </c>
    </row>
    <row r="2670" spans="1:3" x14ac:dyDescent="0.35">
      <c r="A2670">
        <v>2686</v>
      </c>
      <c r="B2670" t="s">
        <v>1452</v>
      </c>
      <c r="C2670">
        <v>8</v>
      </c>
    </row>
    <row r="2671" spans="1:3" x14ac:dyDescent="0.35">
      <c r="A2671">
        <v>2699</v>
      </c>
      <c r="B2671" t="s">
        <v>1452</v>
      </c>
      <c r="C2671">
        <v>8</v>
      </c>
    </row>
    <row r="2672" spans="1:3" x14ac:dyDescent="0.35">
      <c r="A2672">
        <v>2700</v>
      </c>
      <c r="B2672" t="s">
        <v>1452</v>
      </c>
      <c r="C2672">
        <v>8</v>
      </c>
    </row>
    <row r="2673" spans="1:3" x14ac:dyDescent="0.35">
      <c r="A2673">
        <v>2702</v>
      </c>
      <c r="B2673" t="s">
        <v>1452</v>
      </c>
      <c r="C2673">
        <v>8</v>
      </c>
    </row>
    <row r="2674" spans="1:3" x14ac:dyDescent="0.35">
      <c r="A2674">
        <v>2712</v>
      </c>
      <c r="B2674" t="s">
        <v>1452</v>
      </c>
      <c r="C2674">
        <v>8</v>
      </c>
    </row>
    <row r="2675" spans="1:3" x14ac:dyDescent="0.35">
      <c r="A2675">
        <v>2713</v>
      </c>
      <c r="B2675" t="s">
        <v>1452</v>
      </c>
      <c r="C2675">
        <v>8</v>
      </c>
    </row>
    <row r="2676" spans="1:3" x14ac:dyDescent="0.35">
      <c r="A2676">
        <v>2714</v>
      </c>
      <c r="B2676" t="s">
        <v>1452</v>
      </c>
      <c r="C2676">
        <v>8</v>
      </c>
    </row>
    <row r="2677" spans="1:3" x14ac:dyDescent="0.35">
      <c r="A2677">
        <v>2715</v>
      </c>
      <c r="B2677" t="s">
        <v>1452</v>
      </c>
      <c r="C2677">
        <v>8</v>
      </c>
    </row>
    <row r="2678" spans="1:3" x14ac:dyDescent="0.35">
      <c r="A2678">
        <v>2716</v>
      </c>
      <c r="B2678" t="s">
        <v>1452</v>
      </c>
      <c r="C2678">
        <v>8</v>
      </c>
    </row>
    <row r="2679" spans="1:3" x14ac:dyDescent="0.35">
      <c r="A2679">
        <v>2717</v>
      </c>
      <c r="B2679" t="s">
        <v>1452</v>
      </c>
      <c r="C2679">
        <v>8</v>
      </c>
    </row>
    <row r="2680" spans="1:3" x14ac:dyDescent="0.35">
      <c r="A2680">
        <v>2718</v>
      </c>
      <c r="B2680" t="s">
        <v>1452</v>
      </c>
      <c r="C2680">
        <v>8</v>
      </c>
    </row>
    <row r="2681" spans="1:3" x14ac:dyDescent="0.35">
      <c r="A2681">
        <v>2719</v>
      </c>
      <c r="B2681" t="s">
        <v>1452</v>
      </c>
      <c r="C2681">
        <v>8</v>
      </c>
    </row>
    <row r="2682" spans="1:3" x14ac:dyDescent="0.35">
      <c r="A2682">
        <v>2720</v>
      </c>
      <c r="B2682" t="s">
        <v>1452</v>
      </c>
      <c r="C2682">
        <v>8</v>
      </c>
    </row>
    <row r="2683" spans="1:3" x14ac:dyDescent="0.35">
      <c r="A2683">
        <v>2721</v>
      </c>
      <c r="B2683" t="s">
        <v>1452</v>
      </c>
      <c r="C2683">
        <v>8</v>
      </c>
    </row>
    <row r="2684" spans="1:3" x14ac:dyDescent="0.35">
      <c r="A2684">
        <v>2722</v>
      </c>
      <c r="B2684" t="s">
        <v>1452</v>
      </c>
      <c r="C2684">
        <v>8</v>
      </c>
    </row>
    <row r="2685" spans="1:3" x14ac:dyDescent="0.35">
      <c r="A2685">
        <v>2723</v>
      </c>
      <c r="B2685" t="s">
        <v>1452</v>
      </c>
      <c r="C2685">
        <v>8</v>
      </c>
    </row>
    <row r="2686" spans="1:3" x14ac:dyDescent="0.35">
      <c r="A2686">
        <v>2724</v>
      </c>
      <c r="B2686" t="s">
        <v>1452</v>
      </c>
      <c r="C2686">
        <v>8</v>
      </c>
    </row>
    <row r="2687" spans="1:3" x14ac:dyDescent="0.35">
      <c r="A2687">
        <v>2725</v>
      </c>
      <c r="B2687" t="s">
        <v>1452</v>
      </c>
      <c r="C2687">
        <v>8</v>
      </c>
    </row>
    <row r="2688" spans="1:3" x14ac:dyDescent="0.35">
      <c r="A2688">
        <v>2726</v>
      </c>
      <c r="B2688" t="s">
        <v>1452</v>
      </c>
      <c r="C2688">
        <v>8</v>
      </c>
    </row>
    <row r="2689" spans="1:3" x14ac:dyDescent="0.35">
      <c r="A2689">
        <v>2728</v>
      </c>
      <c r="B2689" t="s">
        <v>1452</v>
      </c>
      <c r="C2689">
        <v>8</v>
      </c>
    </row>
    <row r="2690" spans="1:3" x14ac:dyDescent="0.35">
      <c r="A2690">
        <v>2729</v>
      </c>
      <c r="B2690" t="s">
        <v>1452</v>
      </c>
      <c r="C2690">
        <v>8</v>
      </c>
    </row>
    <row r="2691" spans="1:3" x14ac:dyDescent="0.35">
      <c r="A2691">
        <v>2732</v>
      </c>
      <c r="B2691" t="s">
        <v>1452</v>
      </c>
      <c r="C2691">
        <v>8</v>
      </c>
    </row>
    <row r="2692" spans="1:3" x14ac:dyDescent="0.35">
      <c r="A2692">
        <v>2733</v>
      </c>
      <c r="B2692" t="s">
        <v>1452</v>
      </c>
      <c r="C2692">
        <v>8</v>
      </c>
    </row>
    <row r="2693" spans="1:3" x14ac:dyDescent="0.35">
      <c r="A2693">
        <v>2734</v>
      </c>
      <c r="B2693" t="s">
        <v>1452</v>
      </c>
      <c r="C2693">
        <v>8</v>
      </c>
    </row>
    <row r="2694" spans="1:3" x14ac:dyDescent="0.35">
      <c r="A2694">
        <v>2735</v>
      </c>
      <c r="B2694" t="s">
        <v>1452</v>
      </c>
      <c r="C2694">
        <v>8</v>
      </c>
    </row>
    <row r="2695" spans="1:3" x14ac:dyDescent="0.35">
      <c r="A2695">
        <v>2736</v>
      </c>
      <c r="B2695" t="s">
        <v>1452</v>
      </c>
      <c r="C2695">
        <v>9</v>
      </c>
    </row>
    <row r="2696" spans="1:3" x14ac:dyDescent="0.35">
      <c r="A2696">
        <v>2738</v>
      </c>
      <c r="B2696" t="s">
        <v>1452</v>
      </c>
      <c r="C2696">
        <v>9</v>
      </c>
    </row>
    <row r="2697" spans="1:3" x14ac:dyDescent="0.35">
      <c r="A2697">
        <v>2746</v>
      </c>
      <c r="B2697" t="s">
        <v>1452</v>
      </c>
      <c r="C2697">
        <v>9</v>
      </c>
    </row>
    <row r="2698" spans="1:3" x14ac:dyDescent="0.35">
      <c r="A2698">
        <v>2747</v>
      </c>
      <c r="B2698" t="s">
        <v>1452</v>
      </c>
      <c r="C2698">
        <v>9</v>
      </c>
    </row>
    <row r="2699" spans="1:3" x14ac:dyDescent="0.35">
      <c r="A2699">
        <v>2748</v>
      </c>
      <c r="B2699" t="s">
        <v>1452</v>
      </c>
      <c r="C2699">
        <v>9</v>
      </c>
    </row>
    <row r="2700" spans="1:3" x14ac:dyDescent="0.35">
      <c r="A2700">
        <v>2749</v>
      </c>
      <c r="B2700" t="s">
        <v>1452</v>
      </c>
      <c r="C2700">
        <v>9</v>
      </c>
    </row>
    <row r="2701" spans="1:3" x14ac:dyDescent="0.35">
      <c r="A2701">
        <v>2750</v>
      </c>
      <c r="B2701" t="s">
        <v>1452</v>
      </c>
      <c r="C2701">
        <v>9</v>
      </c>
    </row>
    <row r="2702" spans="1:3" x14ac:dyDescent="0.35">
      <c r="A2702">
        <v>2751</v>
      </c>
      <c r="B2702" t="s">
        <v>1452</v>
      </c>
      <c r="C2702">
        <v>9</v>
      </c>
    </row>
    <row r="2703" spans="1:3" x14ac:dyDescent="0.35">
      <c r="A2703">
        <v>2752</v>
      </c>
      <c r="B2703" t="s">
        <v>1452</v>
      </c>
      <c r="C2703">
        <v>9</v>
      </c>
    </row>
    <row r="2704" spans="1:3" x14ac:dyDescent="0.35">
      <c r="A2704">
        <v>2755</v>
      </c>
      <c r="B2704" t="s">
        <v>1452</v>
      </c>
      <c r="C2704">
        <v>9</v>
      </c>
    </row>
    <row r="2705" spans="1:3" x14ac:dyDescent="0.35">
      <c r="A2705">
        <v>2756</v>
      </c>
      <c r="B2705" t="s">
        <v>1452</v>
      </c>
      <c r="C2705">
        <v>9</v>
      </c>
    </row>
    <row r="2706" spans="1:3" x14ac:dyDescent="0.35">
      <c r="A2706">
        <v>2757</v>
      </c>
      <c r="B2706" t="s">
        <v>1452</v>
      </c>
      <c r="C2706">
        <v>9</v>
      </c>
    </row>
    <row r="2707" spans="1:3" x14ac:dyDescent="0.35">
      <c r="A2707">
        <v>2766</v>
      </c>
      <c r="B2707" t="s">
        <v>1452</v>
      </c>
      <c r="C2707">
        <v>9</v>
      </c>
    </row>
    <row r="2708" spans="1:3" x14ac:dyDescent="0.35">
      <c r="A2708">
        <v>2768</v>
      </c>
      <c r="B2708" t="s">
        <v>1452</v>
      </c>
      <c r="C2708">
        <v>9</v>
      </c>
    </row>
    <row r="2709" spans="1:3" x14ac:dyDescent="0.35">
      <c r="A2709">
        <v>2771</v>
      </c>
      <c r="B2709" t="s">
        <v>1452</v>
      </c>
      <c r="C2709">
        <v>9</v>
      </c>
    </row>
    <row r="2710" spans="1:3" x14ac:dyDescent="0.35">
      <c r="A2710">
        <v>2776</v>
      </c>
      <c r="B2710" t="s">
        <v>1452</v>
      </c>
      <c r="C2710">
        <v>9</v>
      </c>
    </row>
    <row r="2711" spans="1:3" x14ac:dyDescent="0.35">
      <c r="A2711">
        <v>2781</v>
      </c>
      <c r="B2711" t="s">
        <v>1452</v>
      </c>
      <c r="C2711">
        <v>9</v>
      </c>
    </row>
    <row r="2712" spans="1:3" x14ac:dyDescent="0.35">
      <c r="A2712">
        <v>2782</v>
      </c>
      <c r="B2712" t="s">
        <v>1452</v>
      </c>
      <c r="C2712">
        <v>9</v>
      </c>
    </row>
    <row r="2713" spans="1:3" x14ac:dyDescent="0.35">
      <c r="A2713">
        <v>2783</v>
      </c>
      <c r="B2713" t="s">
        <v>1452</v>
      </c>
      <c r="C2713">
        <v>9</v>
      </c>
    </row>
    <row r="2714" spans="1:3" x14ac:dyDescent="0.35">
      <c r="A2714">
        <v>2785</v>
      </c>
      <c r="B2714" t="s">
        <v>1452</v>
      </c>
      <c r="C2714">
        <v>9</v>
      </c>
    </row>
    <row r="2715" spans="1:3" x14ac:dyDescent="0.35">
      <c r="A2715">
        <v>2786</v>
      </c>
      <c r="B2715" t="s">
        <v>1452</v>
      </c>
      <c r="C2715">
        <v>9</v>
      </c>
    </row>
    <row r="2716" spans="1:3" x14ac:dyDescent="0.35">
      <c r="A2716">
        <v>2901</v>
      </c>
      <c r="B2716" t="s">
        <v>1452</v>
      </c>
      <c r="C2716">
        <v>10</v>
      </c>
    </row>
    <row r="2717" spans="1:3" x14ac:dyDescent="0.35">
      <c r="A2717">
        <v>2902</v>
      </c>
      <c r="B2717" t="s">
        <v>1452</v>
      </c>
      <c r="C2717">
        <v>10</v>
      </c>
    </row>
    <row r="2718" spans="1:3" x14ac:dyDescent="0.35">
      <c r="A2718">
        <v>2903</v>
      </c>
      <c r="B2718" t="s">
        <v>1452</v>
      </c>
      <c r="C2718">
        <v>10</v>
      </c>
    </row>
    <row r="2719" spans="1:3" x14ac:dyDescent="0.35">
      <c r="A2719">
        <v>2904</v>
      </c>
      <c r="B2719" t="s">
        <v>1452</v>
      </c>
      <c r="C2719">
        <v>10</v>
      </c>
    </row>
    <row r="2720" spans="1:3" x14ac:dyDescent="0.35">
      <c r="A2720">
        <v>2905</v>
      </c>
      <c r="B2720" t="s">
        <v>1452</v>
      </c>
      <c r="C2720">
        <v>10</v>
      </c>
    </row>
    <row r="2721" spans="1:3" x14ac:dyDescent="0.35">
      <c r="A2721">
        <v>2909</v>
      </c>
      <c r="B2721" t="s">
        <v>1452</v>
      </c>
      <c r="C2721">
        <v>10</v>
      </c>
    </row>
    <row r="2722" spans="1:3" x14ac:dyDescent="0.35">
      <c r="A2722">
        <v>2910</v>
      </c>
      <c r="B2722" t="s">
        <v>1452</v>
      </c>
      <c r="C2722">
        <v>10</v>
      </c>
    </row>
    <row r="2723" spans="1:3" x14ac:dyDescent="0.35">
      <c r="A2723">
        <v>2911</v>
      </c>
      <c r="B2723" t="s">
        <v>1452</v>
      </c>
      <c r="C2723">
        <v>10</v>
      </c>
    </row>
    <row r="2724" spans="1:3" x14ac:dyDescent="0.35">
      <c r="A2724">
        <v>2912</v>
      </c>
      <c r="B2724" t="s">
        <v>1452</v>
      </c>
      <c r="C2724">
        <v>10</v>
      </c>
    </row>
    <row r="2725" spans="1:3" x14ac:dyDescent="0.35">
      <c r="A2725">
        <v>2914</v>
      </c>
      <c r="B2725" t="s">
        <v>1452</v>
      </c>
      <c r="C2725">
        <v>10</v>
      </c>
    </row>
    <row r="2726" spans="1:3" x14ac:dyDescent="0.35">
      <c r="A2726">
        <v>2915</v>
      </c>
      <c r="B2726" t="s">
        <v>1452</v>
      </c>
      <c r="C2726">
        <v>12</v>
      </c>
    </row>
    <row r="2727" spans="1:3" x14ac:dyDescent="0.35">
      <c r="A2727">
        <v>2916</v>
      </c>
      <c r="B2727" t="s">
        <v>1452</v>
      </c>
      <c r="C2727">
        <v>12</v>
      </c>
    </row>
    <row r="2728" spans="1:3" x14ac:dyDescent="0.35">
      <c r="A2728">
        <v>2917</v>
      </c>
      <c r="B2728" t="s">
        <v>1452</v>
      </c>
      <c r="C2728">
        <v>12</v>
      </c>
    </row>
    <row r="2729" spans="1:3" x14ac:dyDescent="0.35">
      <c r="A2729">
        <v>2919</v>
      </c>
      <c r="B2729" t="s">
        <v>1452</v>
      </c>
      <c r="C2729">
        <v>12</v>
      </c>
    </row>
    <row r="2730" spans="1:3" x14ac:dyDescent="0.35">
      <c r="A2730">
        <v>2920</v>
      </c>
      <c r="B2730" t="s">
        <v>1452</v>
      </c>
      <c r="C2730">
        <v>11</v>
      </c>
    </row>
    <row r="2731" spans="1:3" x14ac:dyDescent="0.35">
      <c r="A2731">
        <v>2921</v>
      </c>
      <c r="B2731" t="s">
        <v>1452</v>
      </c>
      <c r="C2731">
        <v>11</v>
      </c>
    </row>
    <row r="2732" spans="1:3" x14ac:dyDescent="0.35">
      <c r="A2732">
        <v>2922</v>
      </c>
      <c r="B2732" t="s">
        <v>1452</v>
      </c>
      <c r="C2732">
        <v>11</v>
      </c>
    </row>
    <row r="2733" spans="1:3" x14ac:dyDescent="0.35">
      <c r="A2733">
        <v>2923</v>
      </c>
      <c r="B2733" t="s">
        <v>1452</v>
      </c>
      <c r="C2733">
        <v>11</v>
      </c>
    </row>
    <row r="2734" spans="1:3" x14ac:dyDescent="0.35">
      <c r="A2734">
        <v>2925</v>
      </c>
      <c r="B2734" t="s">
        <v>1452</v>
      </c>
      <c r="C2734">
        <v>11</v>
      </c>
    </row>
    <row r="2735" spans="1:3" x14ac:dyDescent="0.35">
      <c r="A2735">
        <v>2926</v>
      </c>
      <c r="B2735" t="s">
        <v>1452</v>
      </c>
      <c r="C2735">
        <v>11</v>
      </c>
    </row>
    <row r="2736" spans="1:3" x14ac:dyDescent="0.35">
      <c r="A2736">
        <v>2927</v>
      </c>
      <c r="B2736" t="s">
        <v>1452</v>
      </c>
      <c r="C2736">
        <v>11</v>
      </c>
    </row>
    <row r="2737" spans="1:3" x14ac:dyDescent="0.35">
      <c r="A2737">
        <v>2928</v>
      </c>
      <c r="B2737" t="s">
        <v>1452</v>
      </c>
      <c r="C2737">
        <v>11</v>
      </c>
    </row>
    <row r="2738" spans="1:3" x14ac:dyDescent="0.35">
      <c r="A2738">
        <v>2929</v>
      </c>
      <c r="B2738" t="s">
        <v>1452</v>
      </c>
      <c r="C2738">
        <v>11</v>
      </c>
    </row>
    <row r="2739" spans="1:3" x14ac:dyDescent="0.35">
      <c r="A2739">
        <v>2930</v>
      </c>
      <c r="B2739" t="s">
        <v>1452</v>
      </c>
      <c r="C2739">
        <v>11</v>
      </c>
    </row>
    <row r="2740" spans="1:3" x14ac:dyDescent="0.35">
      <c r="A2740">
        <v>2931</v>
      </c>
      <c r="B2740" t="s">
        <v>1452</v>
      </c>
      <c r="C2740">
        <v>11</v>
      </c>
    </row>
    <row r="2741" spans="1:3" x14ac:dyDescent="0.35">
      <c r="A2741">
        <v>2932</v>
      </c>
      <c r="B2741" t="s">
        <v>1452</v>
      </c>
      <c r="C2741">
        <v>11</v>
      </c>
    </row>
    <row r="2742" spans="1:3" x14ac:dyDescent="0.35">
      <c r="A2742">
        <v>2934</v>
      </c>
      <c r="B2742" t="s">
        <v>1452</v>
      </c>
      <c r="C2742">
        <v>13</v>
      </c>
    </row>
    <row r="2743" spans="1:3" x14ac:dyDescent="0.35">
      <c r="A2743">
        <v>2935</v>
      </c>
      <c r="B2743" t="s">
        <v>1452</v>
      </c>
      <c r="C2743">
        <v>13</v>
      </c>
    </row>
    <row r="2744" spans="1:3" x14ac:dyDescent="0.35">
      <c r="A2744">
        <v>2936</v>
      </c>
      <c r="B2744" t="s">
        <v>1452</v>
      </c>
      <c r="C2744">
        <v>13</v>
      </c>
    </row>
    <row r="2745" spans="1:3" x14ac:dyDescent="0.35">
      <c r="A2745">
        <v>2937</v>
      </c>
      <c r="B2745" t="s">
        <v>1452</v>
      </c>
      <c r="C2745">
        <v>13</v>
      </c>
    </row>
    <row r="2746" spans="1:3" x14ac:dyDescent="0.35">
      <c r="A2746">
        <v>2940</v>
      </c>
      <c r="B2746" t="s">
        <v>1452</v>
      </c>
      <c r="C2746">
        <v>13</v>
      </c>
    </row>
    <row r="2747" spans="1:3" x14ac:dyDescent="0.35">
      <c r="A2747">
        <v>2941</v>
      </c>
      <c r="B2747" t="s">
        <v>1452</v>
      </c>
      <c r="C2747">
        <v>13</v>
      </c>
    </row>
    <row r="2748" spans="1:3" x14ac:dyDescent="0.35">
      <c r="A2748">
        <v>2949</v>
      </c>
      <c r="B2748" t="s">
        <v>1452</v>
      </c>
      <c r="C2748">
        <v>13</v>
      </c>
    </row>
    <row r="2749" spans="1:3" x14ac:dyDescent="0.35">
      <c r="A2749">
        <v>2950</v>
      </c>
      <c r="B2749" t="s">
        <v>1452</v>
      </c>
      <c r="C2749">
        <v>13</v>
      </c>
    </row>
    <row r="2750" spans="1:3" x14ac:dyDescent="0.35">
      <c r="A2750">
        <v>2953</v>
      </c>
      <c r="B2750" t="s">
        <v>1452</v>
      </c>
      <c r="C2750">
        <v>13</v>
      </c>
    </row>
    <row r="2751" spans="1:3" x14ac:dyDescent="0.35">
      <c r="A2751">
        <v>2954</v>
      </c>
      <c r="B2751" t="s">
        <v>1452</v>
      </c>
      <c r="C2751">
        <v>13</v>
      </c>
    </row>
    <row r="2752" spans="1:3" x14ac:dyDescent="0.35">
      <c r="A2752">
        <v>2955</v>
      </c>
      <c r="B2752" t="s">
        <v>1452</v>
      </c>
      <c r="C2752">
        <v>13</v>
      </c>
    </row>
    <row r="2753" spans="1:3" x14ac:dyDescent="0.35">
      <c r="A2753">
        <v>2956</v>
      </c>
      <c r="B2753" t="s">
        <v>1452</v>
      </c>
      <c r="C2753">
        <v>13</v>
      </c>
    </row>
    <row r="2754" spans="1:3" x14ac:dyDescent="0.35">
      <c r="A2754">
        <v>2957</v>
      </c>
      <c r="B2754" t="s">
        <v>1452</v>
      </c>
      <c r="C2754">
        <v>13</v>
      </c>
    </row>
    <row r="2755" spans="1:3" x14ac:dyDescent="0.35">
      <c r="A2755">
        <v>2958</v>
      </c>
      <c r="B2755" t="s">
        <v>1452</v>
      </c>
      <c r="C2755">
        <v>13</v>
      </c>
    </row>
    <row r="2756" spans="1:3" x14ac:dyDescent="0.35">
      <c r="A2756">
        <v>2122</v>
      </c>
      <c r="B2756" t="s">
        <v>1532</v>
      </c>
      <c r="C2756">
        <v>4</v>
      </c>
    </row>
    <row r="2757" spans="1:3" x14ac:dyDescent="0.35">
      <c r="A2757">
        <v>2123</v>
      </c>
      <c r="B2757" t="s">
        <v>1532</v>
      </c>
      <c r="C2757">
        <v>4</v>
      </c>
    </row>
    <row r="2758" spans="1:3" x14ac:dyDescent="0.35">
      <c r="A2758">
        <v>2124</v>
      </c>
      <c r="B2758" t="s">
        <v>1532</v>
      </c>
      <c r="C2758">
        <v>4</v>
      </c>
    </row>
    <row r="2759" spans="1:3" x14ac:dyDescent="0.35">
      <c r="A2759">
        <v>2125</v>
      </c>
      <c r="B2759" t="s">
        <v>1532</v>
      </c>
      <c r="C2759">
        <v>4</v>
      </c>
    </row>
    <row r="2760" spans="1:3" x14ac:dyDescent="0.35">
      <c r="A2760">
        <v>2126</v>
      </c>
      <c r="B2760" t="s">
        <v>1532</v>
      </c>
      <c r="C2760">
        <v>4</v>
      </c>
    </row>
    <row r="2761" spans="1:3" x14ac:dyDescent="0.35">
      <c r="A2761">
        <v>2127</v>
      </c>
      <c r="B2761" t="s">
        <v>1532</v>
      </c>
      <c r="C2761">
        <v>4</v>
      </c>
    </row>
    <row r="2762" spans="1:3" x14ac:dyDescent="0.35">
      <c r="A2762">
        <v>2128</v>
      </c>
      <c r="B2762" t="s">
        <v>1532</v>
      </c>
      <c r="C2762">
        <v>4</v>
      </c>
    </row>
    <row r="2763" spans="1:3" x14ac:dyDescent="0.35">
      <c r="A2763">
        <v>2129</v>
      </c>
      <c r="B2763" t="s">
        <v>1532</v>
      </c>
      <c r="C2763">
        <v>4</v>
      </c>
    </row>
    <row r="2764" spans="1:3" x14ac:dyDescent="0.35">
      <c r="A2764">
        <v>2130</v>
      </c>
      <c r="B2764" t="s">
        <v>1532</v>
      </c>
      <c r="C2764">
        <v>4</v>
      </c>
    </row>
    <row r="2765" spans="1:3" x14ac:dyDescent="0.35">
      <c r="A2765">
        <v>2132</v>
      </c>
      <c r="B2765" t="s">
        <v>1532</v>
      </c>
      <c r="C2765">
        <v>4</v>
      </c>
    </row>
    <row r="2766" spans="1:3" x14ac:dyDescent="0.35">
      <c r="A2766">
        <v>2133</v>
      </c>
      <c r="B2766" t="s">
        <v>1532</v>
      </c>
      <c r="C2766">
        <v>4</v>
      </c>
    </row>
    <row r="2767" spans="1:3" x14ac:dyDescent="0.35">
      <c r="A2767">
        <v>2134</v>
      </c>
      <c r="B2767" t="s">
        <v>1532</v>
      </c>
      <c r="C2767">
        <v>4</v>
      </c>
    </row>
    <row r="2768" spans="1:3" x14ac:dyDescent="0.35">
      <c r="A2768">
        <v>2135</v>
      </c>
      <c r="B2768" t="s">
        <v>1532</v>
      </c>
      <c r="C2768">
        <v>4</v>
      </c>
    </row>
    <row r="2769" spans="1:3" x14ac:dyDescent="0.35">
      <c r="A2769">
        <v>2604</v>
      </c>
      <c r="B2769" t="s">
        <v>1533</v>
      </c>
      <c r="C2769">
        <v>6</v>
      </c>
    </row>
    <row r="2770" spans="1:3" x14ac:dyDescent="0.35">
      <c r="A2770">
        <v>2605</v>
      </c>
      <c r="B2770" t="s">
        <v>1533</v>
      </c>
      <c r="C2770">
        <v>6</v>
      </c>
    </row>
    <row r="2771" spans="1:3" x14ac:dyDescent="0.35">
      <c r="A2771">
        <v>2606</v>
      </c>
      <c r="B2771" t="s">
        <v>1533</v>
      </c>
      <c r="C2771">
        <v>6</v>
      </c>
    </row>
    <row r="2772" spans="1:3" x14ac:dyDescent="0.35">
      <c r="A2772">
        <v>2607</v>
      </c>
      <c r="B2772" t="s">
        <v>1533</v>
      </c>
      <c r="C2772">
        <v>6</v>
      </c>
    </row>
    <row r="2773" spans="1:3" x14ac:dyDescent="0.35">
      <c r="A2773">
        <v>2608</v>
      </c>
      <c r="B2773" t="s">
        <v>1533</v>
      </c>
      <c r="C2773">
        <v>6</v>
      </c>
    </row>
    <row r="2774" spans="1:3" x14ac:dyDescent="0.35">
      <c r="A2774">
        <v>2609</v>
      </c>
      <c r="B2774" t="s">
        <v>1533</v>
      </c>
      <c r="C2774">
        <v>6</v>
      </c>
    </row>
    <row r="2775" spans="1:3" x14ac:dyDescent="0.35">
      <c r="A2775">
        <v>2610</v>
      </c>
      <c r="B2775" t="s">
        <v>1533</v>
      </c>
      <c r="C2775">
        <v>6</v>
      </c>
    </row>
    <row r="2776" spans="1:3" x14ac:dyDescent="0.35">
      <c r="A2776">
        <v>2612</v>
      </c>
      <c r="B2776" t="s">
        <v>1533</v>
      </c>
      <c r="C2776">
        <v>6</v>
      </c>
    </row>
    <row r="2777" spans="1:3" x14ac:dyDescent="0.35">
      <c r="A2777">
        <v>2613</v>
      </c>
      <c r="B2777" t="s">
        <v>1533</v>
      </c>
      <c r="C2777">
        <v>6</v>
      </c>
    </row>
    <row r="2778" spans="1:3" x14ac:dyDescent="0.35">
      <c r="A2778">
        <v>2614</v>
      </c>
      <c r="B2778" t="s">
        <v>1533</v>
      </c>
      <c r="C2778">
        <v>6</v>
      </c>
    </row>
    <row r="2779" spans="1:3" x14ac:dyDescent="0.35">
      <c r="A2779">
        <v>2615</v>
      </c>
      <c r="B2779" t="s">
        <v>1533</v>
      </c>
      <c r="C2779">
        <v>6</v>
      </c>
    </row>
    <row r="2780" spans="1:3" x14ac:dyDescent="0.35">
      <c r="A2780">
        <v>2616</v>
      </c>
      <c r="B2780" t="s">
        <v>1533</v>
      </c>
      <c r="C2780">
        <v>6</v>
      </c>
    </row>
    <row r="2781" spans="1:3" x14ac:dyDescent="0.35">
      <c r="A2781">
        <v>2617</v>
      </c>
      <c r="B2781" t="s">
        <v>1533</v>
      </c>
      <c r="C2781">
        <v>6</v>
      </c>
    </row>
    <row r="2782" spans="1:3" x14ac:dyDescent="0.35">
      <c r="A2782">
        <v>2550</v>
      </c>
      <c r="B2782" t="s">
        <v>1534</v>
      </c>
      <c r="C2782">
        <v>6</v>
      </c>
    </row>
    <row r="2783" spans="1:3" x14ac:dyDescent="0.35">
      <c r="A2783">
        <v>2551</v>
      </c>
      <c r="B2783" t="s">
        <v>1534</v>
      </c>
      <c r="C2783">
        <v>6</v>
      </c>
    </row>
    <row r="2784" spans="1:3" x14ac:dyDescent="0.35">
      <c r="A2784">
        <v>2552</v>
      </c>
      <c r="B2784" t="s">
        <v>1534</v>
      </c>
      <c r="C2784">
        <v>6</v>
      </c>
    </row>
    <row r="2785" spans="1:3" x14ac:dyDescent="0.35">
      <c r="A2785">
        <v>2553</v>
      </c>
      <c r="B2785" t="s">
        <v>1534</v>
      </c>
      <c r="C2785">
        <v>6</v>
      </c>
    </row>
    <row r="2786" spans="1:3" x14ac:dyDescent="0.35">
      <c r="A2786">
        <v>2554</v>
      </c>
      <c r="B2786" t="s">
        <v>1534</v>
      </c>
      <c r="C2786">
        <v>6</v>
      </c>
    </row>
    <row r="2787" spans="1:3" x14ac:dyDescent="0.35">
      <c r="A2787">
        <v>2555</v>
      </c>
      <c r="B2787" t="s">
        <v>1534</v>
      </c>
      <c r="C2787">
        <v>6</v>
      </c>
    </row>
    <row r="2788" spans="1:3" x14ac:dyDescent="0.35">
      <c r="A2788">
        <v>2556</v>
      </c>
      <c r="B2788" t="s">
        <v>1534</v>
      </c>
      <c r="C2788">
        <v>6</v>
      </c>
    </row>
    <row r="2789" spans="1:3" x14ac:dyDescent="0.35">
      <c r="A2789">
        <v>2557</v>
      </c>
      <c r="B2789" t="s">
        <v>1534</v>
      </c>
      <c r="C2789">
        <v>6</v>
      </c>
    </row>
    <row r="2790" spans="1:3" x14ac:dyDescent="0.35">
      <c r="A2790">
        <v>2558</v>
      </c>
      <c r="B2790" t="s">
        <v>1534</v>
      </c>
      <c r="C2790">
        <v>6</v>
      </c>
    </row>
    <row r="2791" spans="1:3" x14ac:dyDescent="0.35">
      <c r="A2791">
        <v>2559</v>
      </c>
      <c r="B2791" t="s">
        <v>1534</v>
      </c>
      <c r="C2791">
        <v>6</v>
      </c>
    </row>
    <row r="2792" spans="1:3" x14ac:dyDescent="0.35">
      <c r="A2792">
        <v>2560</v>
      </c>
      <c r="B2792" t="s">
        <v>1534</v>
      </c>
      <c r="C2792">
        <v>6</v>
      </c>
    </row>
    <row r="2793" spans="1:3" x14ac:dyDescent="0.35">
      <c r="A2793">
        <v>2561</v>
      </c>
      <c r="B2793" t="s">
        <v>1534</v>
      </c>
      <c r="C2793">
        <v>6</v>
      </c>
    </row>
    <row r="2794" spans="1:3" x14ac:dyDescent="0.35">
      <c r="A2794">
        <v>2562</v>
      </c>
      <c r="B2794" t="s">
        <v>1534</v>
      </c>
      <c r="C2794">
        <v>6</v>
      </c>
    </row>
    <row r="2795" spans="1:3" x14ac:dyDescent="0.35">
      <c r="A2795">
        <v>2563</v>
      </c>
      <c r="B2795" t="s">
        <v>1534</v>
      </c>
      <c r="C2795">
        <v>6</v>
      </c>
    </row>
    <row r="2796" spans="1:3" x14ac:dyDescent="0.35">
      <c r="A2796">
        <v>2564</v>
      </c>
      <c r="B2796" t="s">
        <v>1534</v>
      </c>
      <c r="C2796">
        <v>6</v>
      </c>
    </row>
    <row r="2797" spans="1:3" x14ac:dyDescent="0.35">
      <c r="A2797">
        <v>2565</v>
      </c>
      <c r="B2797" t="s">
        <v>1534</v>
      </c>
      <c r="C2797">
        <v>6</v>
      </c>
    </row>
    <row r="2798" spans="1:3" x14ac:dyDescent="0.35">
      <c r="A2798">
        <v>2566</v>
      </c>
      <c r="B2798" t="s">
        <v>1534</v>
      </c>
      <c r="C2798">
        <v>6</v>
      </c>
    </row>
    <row r="2799" spans="1:3" x14ac:dyDescent="0.35">
      <c r="A2799">
        <v>2567</v>
      </c>
      <c r="B2799" t="s">
        <v>1534</v>
      </c>
      <c r="C2799">
        <v>6</v>
      </c>
    </row>
    <row r="2800" spans="1:3" x14ac:dyDescent="0.35">
      <c r="A2800">
        <v>2568</v>
      </c>
      <c r="B2800" t="s">
        <v>1534</v>
      </c>
      <c r="C2800">
        <v>6</v>
      </c>
    </row>
    <row r="2801" spans="1:3" x14ac:dyDescent="0.35">
      <c r="A2801">
        <v>2569</v>
      </c>
      <c r="B2801" t="s">
        <v>1534</v>
      </c>
      <c r="C2801">
        <v>6</v>
      </c>
    </row>
    <row r="2802" spans="1:3" x14ac:dyDescent="0.35">
      <c r="A2802">
        <v>2571</v>
      </c>
      <c r="B2802" t="s">
        <v>1534</v>
      </c>
      <c r="C2802">
        <v>6</v>
      </c>
    </row>
    <row r="2803" spans="1:3" x14ac:dyDescent="0.35">
      <c r="A2803">
        <v>2572</v>
      </c>
      <c r="B2803" t="s">
        <v>1534</v>
      </c>
      <c r="C2803">
        <v>6</v>
      </c>
    </row>
    <row r="2804" spans="1:3" x14ac:dyDescent="0.35">
      <c r="A2804">
        <v>2573</v>
      </c>
      <c r="B2804" t="s">
        <v>1534</v>
      </c>
      <c r="C2804">
        <v>6</v>
      </c>
    </row>
    <row r="2805" spans="1:3" x14ac:dyDescent="0.35">
      <c r="A2805">
        <v>2574</v>
      </c>
      <c r="B2805" t="s">
        <v>1534</v>
      </c>
      <c r="C2805">
        <v>6</v>
      </c>
    </row>
    <row r="2806" spans="1:3" x14ac:dyDescent="0.35">
      <c r="A2806">
        <v>2575</v>
      </c>
      <c r="B2806" t="s">
        <v>1534</v>
      </c>
      <c r="C2806">
        <v>6</v>
      </c>
    </row>
    <row r="2807" spans="1:3" x14ac:dyDescent="0.35">
      <c r="A2807">
        <v>2576</v>
      </c>
      <c r="B2807" t="s">
        <v>1534</v>
      </c>
      <c r="C2807">
        <v>6</v>
      </c>
    </row>
    <row r="2808" spans="1:3" x14ac:dyDescent="0.35">
      <c r="A2808">
        <v>2577</v>
      </c>
      <c r="B2808" t="s">
        <v>1534</v>
      </c>
      <c r="C2808">
        <v>6</v>
      </c>
    </row>
    <row r="2809" spans="1:3" x14ac:dyDescent="0.35">
      <c r="A2809">
        <v>2578</v>
      </c>
      <c r="B2809" t="s">
        <v>1534</v>
      </c>
      <c r="C2809">
        <v>6</v>
      </c>
    </row>
    <row r="2810" spans="1:3" x14ac:dyDescent="0.35">
      <c r="A2810">
        <v>2465</v>
      </c>
      <c r="B2810" t="s">
        <v>1535</v>
      </c>
      <c r="C2810">
        <v>5</v>
      </c>
    </row>
    <row r="2811" spans="1:3" x14ac:dyDescent="0.35">
      <c r="A2811">
        <v>2466</v>
      </c>
      <c r="B2811" t="s">
        <v>1535</v>
      </c>
      <c r="C2811">
        <v>5</v>
      </c>
    </row>
    <row r="2812" spans="1:3" x14ac:dyDescent="0.35">
      <c r="A2812">
        <v>2467</v>
      </c>
      <c r="B2812" t="s">
        <v>1535</v>
      </c>
      <c r="C2812">
        <v>5</v>
      </c>
    </row>
    <row r="2813" spans="1:3" x14ac:dyDescent="0.35">
      <c r="A2813">
        <v>2468</v>
      </c>
      <c r="B2813" t="s">
        <v>1535</v>
      </c>
      <c r="C2813">
        <v>5</v>
      </c>
    </row>
    <row r="2814" spans="1:3" x14ac:dyDescent="0.35">
      <c r="A2814">
        <v>2469</v>
      </c>
      <c r="B2814" t="s">
        <v>1535</v>
      </c>
      <c r="C2814">
        <v>5</v>
      </c>
    </row>
    <row r="2815" spans="1:3" x14ac:dyDescent="0.35">
      <c r="A2815">
        <v>2470</v>
      </c>
      <c r="B2815" t="s">
        <v>1535</v>
      </c>
      <c r="C2815">
        <v>5</v>
      </c>
    </row>
    <row r="2816" spans="1:3" x14ac:dyDescent="0.35">
      <c r="A2816">
        <v>2471</v>
      </c>
      <c r="B2816" t="s">
        <v>1535</v>
      </c>
      <c r="C2816">
        <v>5</v>
      </c>
    </row>
    <row r="2817" spans="1:3" x14ac:dyDescent="0.35">
      <c r="A2817">
        <v>2472</v>
      </c>
      <c r="B2817" t="s">
        <v>1535</v>
      </c>
      <c r="C2817">
        <v>5</v>
      </c>
    </row>
    <row r="2818" spans="1:3" x14ac:dyDescent="0.35">
      <c r="A2818">
        <v>2473</v>
      </c>
      <c r="B2818" t="s">
        <v>1535</v>
      </c>
      <c r="C2818">
        <v>5</v>
      </c>
    </row>
    <row r="2819" spans="1:3" x14ac:dyDescent="0.35">
      <c r="A2819">
        <v>2474</v>
      </c>
      <c r="B2819" t="s">
        <v>1535</v>
      </c>
      <c r="C2819">
        <v>5</v>
      </c>
    </row>
    <row r="2820" spans="1:3" x14ac:dyDescent="0.35">
      <c r="A2820">
        <v>2475</v>
      </c>
      <c r="B2820" t="s">
        <v>1535</v>
      </c>
      <c r="C2820">
        <v>5</v>
      </c>
    </row>
    <row r="2821" spans="1:3" x14ac:dyDescent="0.35">
      <c r="A2821">
        <v>2476</v>
      </c>
      <c r="B2821" t="s">
        <v>1535</v>
      </c>
      <c r="C2821">
        <v>5</v>
      </c>
    </row>
    <row r="2822" spans="1:3" x14ac:dyDescent="0.35">
      <c r="A2822">
        <v>2477</v>
      </c>
      <c r="B2822" t="s">
        <v>1535</v>
      </c>
      <c r="C2822">
        <v>5</v>
      </c>
    </row>
    <row r="2823" spans="1:3" x14ac:dyDescent="0.35">
      <c r="A2823">
        <v>2478</v>
      </c>
      <c r="B2823" t="s">
        <v>1535</v>
      </c>
      <c r="C2823">
        <v>5</v>
      </c>
    </row>
    <row r="2824" spans="1:3" x14ac:dyDescent="0.35">
      <c r="A2824">
        <v>2480</v>
      </c>
      <c r="B2824" t="s">
        <v>1535</v>
      </c>
      <c r="C2824">
        <v>5</v>
      </c>
    </row>
    <row r="2825" spans="1:3" x14ac:dyDescent="0.35">
      <c r="A2825">
        <v>2495</v>
      </c>
      <c r="B2825" t="s">
        <v>1535</v>
      </c>
      <c r="C2825">
        <v>5</v>
      </c>
    </row>
    <row r="2826" spans="1:3" x14ac:dyDescent="0.35">
      <c r="A2826">
        <v>2913</v>
      </c>
      <c r="B2826" t="s">
        <v>1536</v>
      </c>
      <c r="C2826">
        <v>10</v>
      </c>
    </row>
    <row r="2827" spans="1:3" x14ac:dyDescent="0.35">
      <c r="A2827">
        <v>2727</v>
      </c>
      <c r="B2827" t="s">
        <v>1537</v>
      </c>
      <c r="C2827">
        <v>8</v>
      </c>
    </row>
    <row r="2828" spans="1:3" x14ac:dyDescent="0.35">
      <c r="A2828">
        <v>1561</v>
      </c>
      <c r="B2828" t="s">
        <v>383</v>
      </c>
      <c r="C2828">
        <v>2</v>
      </c>
    </row>
    <row r="2829" spans="1:3" x14ac:dyDescent="0.35">
      <c r="A2829">
        <v>1621</v>
      </c>
      <c r="B2829" t="s">
        <v>383</v>
      </c>
      <c r="C2829">
        <v>2</v>
      </c>
    </row>
    <row r="2830" spans="1:3" x14ac:dyDescent="0.35">
      <c r="A2830">
        <v>1667</v>
      </c>
      <c r="B2830" t="s">
        <v>383</v>
      </c>
      <c r="C2830">
        <v>2</v>
      </c>
    </row>
    <row r="2831" spans="1:3" x14ac:dyDescent="0.35">
      <c r="A2831">
        <v>1668</v>
      </c>
      <c r="B2831" t="s">
        <v>383</v>
      </c>
      <c r="C2831">
        <v>2</v>
      </c>
    </row>
    <row r="2832" spans="1:3" x14ac:dyDescent="0.35">
      <c r="A2832">
        <v>2000</v>
      </c>
      <c r="B2832" t="s">
        <v>383</v>
      </c>
      <c r="C2832">
        <v>2</v>
      </c>
    </row>
    <row r="2833" spans="1:3" x14ac:dyDescent="0.35">
      <c r="A2833">
        <v>2642</v>
      </c>
      <c r="B2833" t="s">
        <v>1538</v>
      </c>
      <c r="C2833">
        <v>7</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A5164-16F2-4F5D-A9B9-EECADBF431F7}">
  <sheetPr>
    <tabColor theme="6"/>
  </sheetPr>
  <dimension ref="B3:U27"/>
  <sheetViews>
    <sheetView workbookViewId="0">
      <selection activeCell="V21" sqref="V21"/>
    </sheetView>
  </sheetViews>
  <sheetFormatPr defaultRowHeight="14.5" x14ac:dyDescent="0.35"/>
  <cols>
    <col min="3" max="3" width="26.1796875" customWidth="1"/>
    <col min="4" max="4" width="14.453125" customWidth="1"/>
    <col min="5" max="5" width="21" customWidth="1"/>
    <col min="6" max="6" width="18.81640625" customWidth="1"/>
    <col min="7" max="7" width="10.81640625" customWidth="1"/>
  </cols>
  <sheetData>
    <row r="3" spans="2:21" x14ac:dyDescent="0.35">
      <c r="B3" s="453"/>
      <c r="C3" s="453"/>
      <c r="D3" s="453"/>
      <c r="E3" s="453"/>
      <c r="F3" s="453"/>
      <c r="G3" s="453"/>
      <c r="H3" s="453"/>
      <c r="I3" s="453"/>
      <c r="J3" s="453"/>
      <c r="K3" s="453"/>
      <c r="L3" s="453"/>
      <c r="M3" s="453"/>
      <c r="N3" s="453"/>
      <c r="O3" s="453"/>
      <c r="P3" s="453"/>
      <c r="Q3" s="453"/>
      <c r="R3" s="453"/>
      <c r="S3" s="453"/>
      <c r="T3" s="453"/>
      <c r="U3" s="453"/>
    </row>
    <row r="4" spans="2:21" ht="15" thickBot="1" x14ac:dyDescent="0.4">
      <c r="B4" s="453"/>
      <c r="C4" s="453"/>
      <c r="D4" s="453"/>
      <c r="E4" s="453"/>
      <c r="F4" s="453">
        <v>4</v>
      </c>
      <c r="G4" s="453"/>
      <c r="H4" s="453">
        <v>5</v>
      </c>
      <c r="I4" s="453">
        <v>6</v>
      </c>
      <c r="J4" s="453">
        <v>7</v>
      </c>
      <c r="K4" s="453">
        <v>8</v>
      </c>
      <c r="L4" s="453"/>
      <c r="M4" s="453">
        <v>9</v>
      </c>
      <c r="N4" s="453">
        <v>10</v>
      </c>
      <c r="O4" s="453">
        <v>11</v>
      </c>
      <c r="P4" s="453">
        <v>12</v>
      </c>
      <c r="Q4" s="453"/>
      <c r="R4" s="453">
        <v>13</v>
      </c>
      <c r="S4" s="453">
        <v>14</v>
      </c>
      <c r="T4" s="453">
        <v>15</v>
      </c>
      <c r="U4" s="453">
        <v>16</v>
      </c>
    </row>
    <row r="5" spans="2:21" x14ac:dyDescent="0.35">
      <c r="B5" s="453"/>
      <c r="C5" s="453"/>
      <c r="D5" s="453"/>
      <c r="E5" s="453"/>
      <c r="F5" s="453"/>
      <c r="G5" s="453"/>
      <c r="H5" s="535" t="s">
        <v>1539</v>
      </c>
      <c r="I5" s="535"/>
      <c r="J5" s="535"/>
      <c r="K5" s="535"/>
      <c r="L5" s="535"/>
      <c r="M5" s="535"/>
      <c r="N5" s="535"/>
      <c r="O5" s="535"/>
      <c r="P5" s="535"/>
      <c r="Q5" s="535"/>
      <c r="R5" s="535"/>
      <c r="S5" s="535"/>
      <c r="T5" s="535"/>
      <c r="U5" s="536"/>
    </row>
    <row r="6" spans="2:21" x14ac:dyDescent="0.35">
      <c r="B6" s="453"/>
      <c r="C6" s="453"/>
      <c r="D6" s="453"/>
      <c r="E6" s="453"/>
      <c r="F6" s="453"/>
      <c r="G6" s="453"/>
      <c r="H6" s="537" t="s">
        <v>1540</v>
      </c>
      <c r="I6" s="537"/>
      <c r="J6" s="537"/>
      <c r="K6" s="538"/>
      <c r="L6" s="454" t="s">
        <v>1541</v>
      </c>
      <c r="M6" s="539" t="s">
        <v>1542</v>
      </c>
      <c r="N6" s="537"/>
      <c r="O6" s="537"/>
      <c r="P6" s="537"/>
      <c r="Q6" s="455" t="s">
        <v>1541</v>
      </c>
      <c r="R6" s="537" t="s">
        <v>1543</v>
      </c>
      <c r="S6" s="537"/>
      <c r="T6" s="537"/>
      <c r="U6" s="540"/>
    </row>
    <row r="7" spans="2:21" x14ac:dyDescent="0.35">
      <c r="B7" s="453"/>
      <c r="C7" s="453"/>
      <c r="D7" s="453"/>
      <c r="E7" s="453"/>
      <c r="F7" s="457" t="s">
        <v>1544</v>
      </c>
      <c r="G7" s="454" t="s">
        <v>1541</v>
      </c>
      <c r="H7" s="454" t="s">
        <v>601</v>
      </c>
      <c r="I7" s="454" t="s">
        <v>1545</v>
      </c>
      <c r="J7" s="454" t="s">
        <v>1546</v>
      </c>
      <c r="K7" s="458" t="s">
        <v>1547</v>
      </c>
      <c r="L7" s="454" t="s">
        <v>1548</v>
      </c>
      <c r="M7" s="455" t="s">
        <v>601</v>
      </c>
      <c r="N7" s="454" t="s">
        <v>1545</v>
      </c>
      <c r="O7" s="454" t="s">
        <v>1546</v>
      </c>
      <c r="P7" s="454" t="s">
        <v>1547</v>
      </c>
      <c r="Q7" s="455" t="s">
        <v>1548</v>
      </c>
      <c r="R7" s="454" t="s">
        <v>601</v>
      </c>
      <c r="S7" s="454" t="s">
        <v>1545</v>
      </c>
      <c r="T7" s="454" t="s">
        <v>1546</v>
      </c>
      <c r="U7" s="459" t="s">
        <v>1547</v>
      </c>
    </row>
    <row r="8" spans="2:21" x14ac:dyDescent="0.35">
      <c r="B8" s="453"/>
      <c r="C8" s="453"/>
      <c r="D8" s="453"/>
      <c r="E8" s="453"/>
      <c r="F8" s="453"/>
      <c r="G8" s="455" t="s">
        <v>1548</v>
      </c>
      <c r="H8" s="453"/>
      <c r="I8" s="453"/>
      <c r="J8" s="453"/>
      <c r="K8" s="453"/>
      <c r="L8" s="460" t="s">
        <v>1541</v>
      </c>
      <c r="M8" s="453"/>
      <c r="N8" s="453"/>
      <c r="O8" s="453"/>
      <c r="P8" s="453"/>
      <c r="Q8" s="460" t="s">
        <v>1541</v>
      </c>
      <c r="R8" s="453"/>
      <c r="S8" s="453"/>
      <c r="T8" s="453"/>
      <c r="U8" s="453"/>
    </row>
    <row r="9" spans="2:21" x14ac:dyDescent="0.35">
      <c r="B9" s="453"/>
      <c r="C9" s="461" t="s">
        <v>1549</v>
      </c>
      <c r="D9" s="462" t="s">
        <v>1550</v>
      </c>
      <c r="E9" s="453" t="s">
        <v>1551</v>
      </c>
      <c r="F9" s="453">
        <v>0</v>
      </c>
      <c r="G9" s="460">
        <v>10.5</v>
      </c>
      <c r="H9" s="453">
        <v>15.29</v>
      </c>
      <c r="I9" s="453">
        <v>5.71</v>
      </c>
      <c r="J9" s="453">
        <v>4.7300000000000004</v>
      </c>
      <c r="K9" s="453">
        <v>4.79</v>
      </c>
      <c r="L9" s="460">
        <v>1.42</v>
      </c>
      <c r="M9" s="453">
        <v>2.17</v>
      </c>
      <c r="N9" s="453">
        <v>1.01</v>
      </c>
      <c r="O9" s="453">
        <v>0.41</v>
      </c>
      <c r="P9" s="453">
        <v>0.75</v>
      </c>
      <c r="Q9" s="460">
        <v>7.35</v>
      </c>
      <c r="R9" s="453">
        <v>7.05</v>
      </c>
      <c r="S9" s="453">
        <v>5.65</v>
      </c>
      <c r="T9" s="453">
        <v>11.54</v>
      </c>
      <c r="U9" s="453">
        <v>6.39</v>
      </c>
    </row>
    <row r="10" spans="2:21" x14ac:dyDescent="0.35">
      <c r="B10" s="453"/>
      <c r="C10" s="461" t="s">
        <v>382</v>
      </c>
      <c r="D10" s="462" t="s">
        <v>1552</v>
      </c>
      <c r="E10" s="453" t="s">
        <v>1553</v>
      </c>
      <c r="F10" s="453">
        <v>0</v>
      </c>
      <c r="G10" s="460">
        <v>10.52</v>
      </c>
      <c r="H10" s="453">
        <v>15.31</v>
      </c>
      <c r="I10" s="453">
        <v>5.89</v>
      </c>
      <c r="J10" s="453">
        <v>4.55</v>
      </c>
      <c r="K10" s="453">
        <v>4.79</v>
      </c>
      <c r="L10" s="460">
        <v>1.51</v>
      </c>
      <c r="M10" s="453">
        <v>2.29</v>
      </c>
      <c r="N10" s="453">
        <v>1.07</v>
      </c>
      <c r="O10" s="453">
        <v>0.45</v>
      </c>
      <c r="P10" s="453">
        <v>0.78</v>
      </c>
      <c r="Q10" s="460">
        <v>6.87</v>
      </c>
      <c r="R10" s="453">
        <v>6.69</v>
      </c>
      <c r="S10" s="453">
        <v>5.5</v>
      </c>
      <c r="T10" s="453">
        <v>10.11</v>
      </c>
      <c r="U10" s="453">
        <v>6.14</v>
      </c>
    </row>
    <row r="11" spans="2:21" x14ac:dyDescent="0.35">
      <c r="B11" s="453"/>
      <c r="C11" s="461" t="s">
        <v>362</v>
      </c>
      <c r="D11" s="462" t="s">
        <v>1554</v>
      </c>
      <c r="E11" s="453" t="s">
        <v>1555</v>
      </c>
      <c r="F11" s="453">
        <v>2</v>
      </c>
      <c r="G11" s="460">
        <v>6.55</v>
      </c>
      <c r="H11" s="453">
        <v>11.98</v>
      </c>
      <c r="I11" s="453">
        <v>1.51</v>
      </c>
      <c r="J11" s="453">
        <v>4.91</v>
      </c>
      <c r="K11" s="453">
        <v>5.43</v>
      </c>
      <c r="L11" s="460">
        <v>1.28</v>
      </c>
      <c r="M11" s="453">
        <v>1.84</v>
      </c>
      <c r="N11" s="453">
        <v>0.43</v>
      </c>
      <c r="O11" s="453">
        <v>0.84</v>
      </c>
      <c r="P11" s="453">
        <v>0.56000000000000005</v>
      </c>
      <c r="Q11" s="460">
        <v>5.0599999999999996</v>
      </c>
      <c r="R11" s="453">
        <v>6.51</v>
      </c>
      <c r="S11" s="453">
        <v>3.51</v>
      </c>
      <c r="T11" s="453">
        <v>5.85</v>
      </c>
      <c r="U11" s="453">
        <v>9.6999999999999993</v>
      </c>
    </row>
    <row r="12" spans="2:21" x14ac:dyDescent="0.35">
      <c r="B12" s="453"/>
      <c r="C12" s="461" t="s">
        <v>299</v>
      </c>
      <c r="D12" s="462" t="s">
        <v>1554</v>
      </c>
      <c r="E12" s="453" t="s">
        <v>1556</v>
      </c>
      <c r="F12" s="453">
        <v>0</v>
      </c>
      <c r="G12" s="460">
        <v>6.67</v>
      </c>
      <c r="H12" s="453">
        <v>11.12</v>
      </c>
      <c r="I12" s="453">
        <v>2.98</v>
      </c>
      <c r="J12" s="453">
        <v>3.65</v>
      </c>
      <c r="K12" s="453">
        <v>4.45</v>
      </c>
      <c r="L12" s="460">
        <v>1.1399999999999999</v>
      </c>
      <c r="M12" s="453">
        <v>1.72</v>
      </c>
      <c r="N12" s="453">
        <v>0.6</v>
      </c>
      <c r="O12" s="453">
        <v>0.54</v>
      </c>
      <c r="P12" s="453">
        <v>0.57999999999999996</v>
      </c>
      <c r="Q12" s="460">
        <v>5.82</v>
      </c>
      <c r="R12" s="453">
        <v>6.47</v>
      </c>
      <c r="S12" s="453">
        <v>4.97</v>
      </c>
      <c r="T12" s="453">
        <v>6.76</v>
      </c>
      <c r="U12" s="453">
        <v>7.67</v>
      </c>
    </row>
    <row r="13" spans="2:21" x14ac:dyDescent="0.35">
      <c r="B13" s="453"/>
      <c r="C13" s="461" t="s">
        <v>370</v>
      </c>
      <c r="D13" s="462" t="s">
        <v>1554</v>
      </c>
      <c r="E13" s="453" t="s">
        <v>1557</v>
      </c>
      <c r="F13" s="453">
        <v>1</v>
      </c>
      <c r="G13" s="460">
        <v>7.95</v>
      </c>
      <c r="H13" s="453">
        <v>10.49</v>
      </c>
      <c r="I13" s="453">
        <v>4.87</v>
      </c>
      <c r="J13" s="453">
        <v>3.28</v>
      </c>
      <c r="K13" s="453">
        <v>2.54</v>
      </c>
      <c r="L13" s="460">
        <v>1.6</v>
      </c>
      <c r="M13" s="453">
        <v>2.1</v>
      </c>
      <c r="N13" s="453">
        <v>1.33</v>
      </c>
      <c r="O13" s="453">
        <v>0.31</v>
      </c>
      <c r="P13" s="453">
        <v>0.5</v>
      </c>
      <c r="Q13" s="460">
        <v>4.97</v>
      </c>
      <c r="R13" s="453">
        <v>5</v>
      </c>
      <c r="S13" s="453">
        <v>3.66</v>
      </c>
      <c r="T13" s="453">
        <v>10.58</v>
      </c>
      <c r="U13" s="453">
        <v>5.08</v>
      </c>
    </row>
    <row r="14" spans="2:21" x14ac:dyDescent="0.35">
      <c r="B14" s="453"/>
      <c r="C14" s="461" t="s">
        <v>364</v>
      </c>
      <c r="D14" s="462" t="s">
        <v>1554</v>
      </c>
      <c r="E14" s="453" t="s">
        <v>1558</v>
      </c>
      <c r="F14" s="453">
        <v>0</v>
      </c>
      <c r="G14" s="460">
        <v>13.16</v>
      </c>
      <c r="H14" s="453">
        <v>17.37</v>
      </c>
      <c r="I14" s="453">
        <v>9.7100000000000009</v>
      </c>
      <c r="J14" s="453">
        <v>3.26</v>
      </c>
      <c r="K14" s="453">
        <v>4.21</v>
      </c>
      <c r="L14" s="460">
        <v>2.0099999999999998</v>
      </c>
      <c r="M14" s="453">
        <v>2.81</v>
      </c>
      <c r="N14" s="453">
        <v>1.51</v>
      </c>
      <c r="O14" s="453">
        <v>0.49</v>
      </c>
      <c r="P14" s="453">
        <v>0.8</v>
      </c>
      <c r="Q14" s="460">
        <v>6.49</v>
      </c>
      <c r="R14" s="453">
        <v>6.18</v>
      </c>
      <c r="S14" s="453">
        <v>6.43</v>
      </c>
      <c r="T14" s="453">
        <v>6.65</v>
      </c>
      <c r="U14" s="453">
        <v>5.26</v>
      </c>
    </row>
    <row r="15" spans="2:21" x14ac:dyDescent="0.35">
      <c r="B15" s="453"/>
      <c r="C15" s="461" t="s">
        <v>372</v>
      </c>
      <c r="D15" s="462" t="s">
        <v>1554</v>
      </c>
      <c r="E15" s="453" t="s">
        <v>1559</v>
      </c>
      <c r="F15" s="453">
        <v>1</v>
      </c>
      <c r="G15" s="460">
        <v>9.35</v>
      </c>
      <c r="H15" s="453">
        <v>14.54</v>
      </c>
      <c r="I15" s="453">
        <v>5.33</v>
      </c>
      <c r="J15" s="453">
        <v>4.3</v>
      </c>
      <c r="K15" s="453">
        <v>5.19</v>
      </c>
      <c r="L15" s="460">
        <v>1.57</v>
      </c>
      <c r="M15" s="453">
        <v>2.38</v>
      </c>
      <c r="N15" s="453">
        <v>1.24</v>
      </c>
      <c r="O15" s="453">
        <v>0.39</v>
      </c>
      <c r="P15" s="453">
        <v>0.81</v>
      </c>
      <c r="Q15" s="460">
        <v>5.91</v>
      </c>
      <c r="R15" s="453">
        <v>6.11</v>
      </c>
      <c r="S15" s="453">
        <v>4.3</v>
      </c>
      <c r="T15" s="453">
        <v>11.03</v>
      </c>
      <c r="U15" s="453">
        <v>6.41</v>
      </c>
    </row>
    <row r="16" spans="2:21" x14ac:dyDescent="0.35">
      <c r="B16" s="453"/>
      <c r="C16" s="461" t="s">
        <v>380</v>
      </c>
      <c r="D16" s="462" t="s">
        <v>1554</v>
      </c>
      <c r="E16" s="453" t="s">
        <v>1560</v>
      </c>
      <c r="F16" s="453">
        <v>1</v>
      </c>
      <c r="G16" s="460">
        <v>8.2899999999999991</v>
      </c>
      <c r="H16" s="453">
        <v>11.92</v>
      </c>
      <c r="I16" s="453">
        <v>3.86</v>
      </c>
      <c r="J16" s="453">
        <v>4.4000000000000004</v>
      </c>
      <c r="K16" s="453">
        <v>3.63</v>
      </c>
      <c r="L16" s="460">
        <v>1.36</v>
      </c>
      <c r="M16" s="453">
        <v>2.08</v>
      </c>
      <c r="N16" s="453">
        <v>0.95</v>
      </c>
      <c r="O16" s="453">
        <v>0.43</v>
      </c>
      <c r="P16" s="453">
        <v>0.72</v>
      </c>
      <c r="Q16" s="460">
        <v>5.99</v>
      </c>
      <c r="R16" s="453">
        <v>5.73</v>
      </c>
      <c r="S16" s="453">
        <v>4.0599999999999996</v>
      </c>
      <c r="T16" s="453">
        <v>10.23</v>
      </c>
      <c r="U16" s="453">
        <v>5.04</v>
      </c>
    </row>
    <row r="17" spans="2:21" x14ac:dyDescent="0.35">
      <c r="B17" s="453"/>
      <c r="C17" s="453"/>
      <c r="D17" s="453"/>
      <c r="E17" s="453" t="s">
        <v>836</v>
      </c>
      <c r="F17" s="453"/>
      <c r="G17" s="460"/>
      <c r="H17" s="453"/>
      <c r="I17" s="453"/>
      <c r="J17" s="453"/>
      <c r="K17" s="453"/>
      <c r="L17" s="460"/>
      <c r="M17" s="453"/>
      <c r="N17" s="453"/>
      <c r="O17" s="453"/>
      <c r="P17" s="453"/>
      <c r="Q17" s="460">
        <f>AVERAGE(Q11,Q13,Q15,Q16)</f>
        <v>5.4824999999999999</v>
      </c>
      <c r="R17" s="453"/>
      <c r="S17" s="453"/>
      <c r="T17" s="453"/>
      <c r="U17" s="453"/>
    </row>
    <row r="18" spans="2:21" x14ac:dyDescent="0.35">
      <c r="B18" s="453"/>
      <c r="C18" s="453"/>
      <c r="D18" s="453"/>
      <c r="E18" s="453" t="s">
        <v>1561</v>
      </c>
      <c r="F18" s="453"/>
      <c r="G18" s="460" t="s">
        <v>1541</v>
      </c>
      <c r="H18" s="453"/>
      <c r="I18" s="453"/>
      <c r="J18" s="453"/>
      <c r="K18" s="453"/>
      <c r="L18" s="460" t="s">
        <v>1541</v>
      </c>
      <c r="M18" s="453"/>
      <c r="N18" s="453"/>
      <c r="O18" s="453"/>
      <c r="P18" s="453"/>
      <c r="Q18" s="460" t="s">
        <v>1541</v>
      </c>
      <c r="R18" s="453"/>
      <c r="S18" s="453"/>
      <c r="T18" s="453"/>
      <c r="U18" s="453"/>
    </row>
    <row r="19" spans="2:21" x14ac:dyDescent="0.35">
      <c r="B19" s="453"/>
      <c r="C19" s="453"/>
      <c r="D19" s="453"/>
      <c r="E19" s="453" t="s">
        <v>1235</v>
      </c>
      <c r="F19" s="453"/>
      <c r="G19" s="463"/>
      <c r="H19" s="464"/>
      <c r="I19" s="464"/>
      <c r="J19" s="464"/>
      <c r="K19" s="456"/>
      <c r="L19" s="463"/>
      <c r="M19" s="464"/>
      <c r="N19" s="464"/>
      <c r="O19" s="464"/>
      <c r="P19" s="464"/>
      <c r="Q19" s="465">
        <f t="shared" ref="Q19:Q26" si="0">Q10/Q$9-1</f>
        <v>-6.5306122448979487E-2</v>
      </c>
      <c r="R19" s="464"/>
      <c r="S19" s="464"/>
      <c r="T19" s="464"/>
      <c r="U19" s="464"/>
    </row>
    <row r="20" spans="2:21" x14ac:dyDescent="0.35">
      <c r="B20" s="453"/>
      <c r="C20" s="453"/>
      <c r="D20" s="453"/>
      <c r="E20" s="453" t="s">
        <v>362</v>
      </c>
      <c r="F20" s="453"/>
      <c r="G20" s="465">
        <f t="shared" ref="G20:U20" si="1">G11/G$10-1</f>
        <v>-0.37737642585551334</v>
      </c>
      <c r="H20" s="463">
        <f t="shared" si="1"/>
        <v>-0.21750489875898105</v>
      </c>
      <c r="I20" s="463">
        <f t="shared" si="1"/>
        <v>-0.7436332767402376</v>
      </c>
      <c r="J20" s="463">
        <f t="shared" si="1"/>
        <v>7.9120879120879284E-2</v>
      </c>
      <c r="K20" s="463">
        <f t="shared" si="1"/>
        <v>0.13361169102296455</v>
      </c>
      <c r="L20" s="465">
        <f t="shared" si="1"/>
        <v>-0.15231788079470199</v>
      </c>
      <c r="M20" s="463">
        <f t="shared" si="1"/>
        <v>-0.19650655021834063</v>
      </c>
      <c r="N20" s="463">
        <f t="shared" si="1"/>
        <v>-0.59813084112149539</v>
      </c>
      <c r="O20" s="463">
        <f t="shared" si="1"/>
        <v>0.86666666666666647</v>
      </c>
      <c r="P20" s="463">
        <f t="shared" si="1"/>
        <v>-0.28205128205128205</v>
      </c>
      <c r="Q20" s="465">
        <f t="shared" si="0"/>
        <v>-0.31156462585034017</v>
      </c>
      <c r="R20" s="463">
        <f t="shared" si="1"/>
        <v>-2.6905829596412634E-2</v>
      </c>
      <c r="S20" s="463">
        <f t="shared" si="1"/>
        <v>-0.36181818181818182</v>
      </c>
      <c r="T20" s="463">
        <f t="shared" si="1"/>
        <v>-0.42136498516320475</v>
      </c>
      <c r="U20" s="463">
        <f t="shared" si="1"/>
        <v>0.57980456026058635</v>
      </c>
    </row>
    <row r="21" spans="2:21" x14ac:dyDescent="0.35">
      <c r="B21" s="453"/>
      <c r="C21" s="453"/>
      <c r="D21" s="453"/>
      <c r="E21" s="453" t="s">
        <v>299</v>
      </c>
      <c r="F21" s="453"/>
      <c r="G21" s="465">
        <f t="shared" ref="G21:U21" si="2">G12/G$10-1</f>
        <v>-0.36596958174904937</v>
      </c>
      <c r="H21" s="463">
        <f t="shared" si="2"/>
        <v>-0.27367733507511438</v>
      </c>
      <c r="I21" s="463">
        <f t="shared" si="2"/>
        <v>-0.49405772495755518</v>
      </c>
      <c r="J21" s="463">
        <f t="shared" si="2"/>
        <v>-0.19780219780219777</v>
      </c>
      <c r="K21" s="463">
        <f t="shared" si="2"/>
        <v>-7.0981210855949883E-2</v>
      </c>
      <c r="L21" s="465">
        <f t="shared" si="2"/>
        <v>-0.24503311258278149</v>
      </c>
      <c r="M21" s="463">
        <f t="shared" si="2"/>
        <v>-0.24890829694323147</v>
      </c>
      <c r="N21" s="463">
        <f t="shared" si="2"/>
        <v>-0.43925233644859818</v>
      </c>
      <c r="O21" s="463">
        <f t="shared" si="2"/>
        <v>0.19999999999999996</v>
      </c>
      <c r="P21" s="463">
        <f t="shared" si="2"/>
        <v>-0.2564102564102565</v>
      </c>
      <c r="Q21" s="465">
        <f t="shared" si="0"/>
        <v>-0.20816326530612239</v>
      </c>
      <c r="R21" s="463">
        <f t="shared" si="2"/>
        <v>-3.2884902840059849E-2</v>
      </c>
      <c r="S21" s="463">
        <f t="shared" si="2"/>
        <v>-9.6363636363636429E-2</v>
      </c>
      <c r="T21" s="463">
        <f t="shared" si="2"/>
        <v>-0.33135509396636986</v>
      </c>
      <c r="U21" s="463">
        <f t="shared" si="2"/>
        <v>0.24918566775244311</v>
      </c>
    </row>
    <row r="22" spans="2:21" x14ac:dyDescent="0.35">
      <c r="B22" s="453"/>
      <c r="C22" s="453"/>
      <c r="D22" s="453"/>
      <c r="E22" s="453" t="s">
        <v>370</v>
      </c>
      <c r="F22" s="453"/>
      <c r="G22" s="465">
        <f t="shared" ref="G22:U22" si="3">G13/G$10-1</f>
        <v>-0.24429657794676807</v>
      </c>
      <c r="H22" s="463">
        <f t="shared" si="3"/>
        <v>-0.31482691051600264</v>
      </c>
      <c r="I22" s="463">
        <f t="shared" si="3"/>
        <v>-0.17317487266553477</v>
      </c>
      <c r="J22" s="463">
        <f t="shared" si="3"/>
        <v>-0.27912087912087913</v>
      </c>
      <c r="K22" s="463">
        <f t="shared" si="3"/>
        <v>-0.46972860125260962</v>
      </c>
      <c r="L22" s="465">
        <f t="shared" si="3"/>
        <v>5.9602649006622599E-2</v>
      </c>
      <c r="M22" s="463">
        <f t="shared" si="3"/>
        <v>-8.2969432314410452E-2</v>
      </c>
      <c r="N22" s="463">
        <f t="shared" si="3"/>
        <v>0.2429906542056075</v>
      </c>
      <c r="O22" s="463">
        <f t="shared" si="3"/>
        <v>-0.31111111111111112</v>
      </c>
      <c r="P22" s="463">
        <f t="shared" si="3"/>
        <v>-0.35897435897435903</v>
      </c>
      <c r="Q22" s="465">
        <f t="shared" si="0"/>
        <v>-0.32380952380952377</v>
      </c>
      <c r="R22" s="463">
        <f t="shared" si="3"/>
        <v>-0.25261584454409569</v>
      </c>
      <c r="S22" s="463">
        <f t="shared" si="3"/>
        <v>-0.33454545454545448</v>
      </c>
      <c r="T22" s="463">
        <f t="shared" si="3"/>
        <v>4.6488625123640048E-2</v>
      </c>
      <c r="U22" s="463">
        <f t="shared" si="3"/>
        <v>-0.17263843648208466</v>
      </c>
    </row>
    <row r="23" spans="2:21" x14ac:dyDescent="0.35">
      <c r="B23" s="453"/>
      <c r="C23" s="453"/>
      <c r="D23" s="453"/>
      <c r="E23" s="453" t="s">
        <v>364</v>
      </c>
      <c r="F23" s="453"/>
      <c r="G23" s="465">
        <f t="shared" ref="G23:U23" si="4">G14/G$10-1</f>
        <v>0.25095057034220547</v>
      </c>
      <c r="H23" s="463">
        <f t="shared" si="4"/>
        <v>0.13455258001306336</v>
      </c>
      <c r="I23" s="463">
        <f t="shared" si="4"/>
        <v>0.64855687606112067</v>
      </c>
      <c r="J23" s="463">
        <f t="shared" si="4"/>
        <v>-0.28351648351648351</v>
      </c>
      <c r="K23" s="463">
        <f t="shared" si="4"/>
        <v>-0.12108559498956162</v>
      </c>
      <c r="L23" s="465">
        <f t="shared" si="4"/>
        <v>0.33112582781456945</v>
      </c>
      <c r="M23" s="463">
        <f t="shared" si="4"/>
        <v>0.22707423580786035</v>
      </c>
      <c r="N23" s="463">
        <f t="shared" si="4"/>
        <v>0.41121495327102786</v>
      </c>
      <c r="O23" s="463">
        <f t="shared" si="4"/>
        <v>8.8888888888888795E-2</v>
      </c>
      <c r="P23" s="463">
        <f t="shared" si="4"/>
        <v>2.5641025641025772E-2</v>
      </c>
      <c r="Q23" s="465">
        <f t="shared" si="0"/>
        <v>-0.11700680272108832</v>
      </c>
      <c r="R23" s="463">
        <f t="shared" si="4"/>
        <v>-7.6233183856502351E-2</v>
      </c>
      <c r="S23" s="463">
        <f t="shared" si="4"/>
        <v>0.16909090909090896</v>
      </c>
      <c r="T23" s="463">
        <f t="shared" si="4"/>
        <v>-0.34223541048466855</v>
      </c>
      <c r="U23" s="463">
        <f t="shared" si="4"/>
        <v>-0.14332247557003253</v>
      </c>
    </row>
    <row r="24" spans="2:21" x14ac:dyDescent="0.35">
      <c r="B24" s="453"/>
      <c r="C24" s="453"/>
      <c r="D24" s="453"/>
      <c r="E24" s="453" t="s">
        <v>372</v>
      </c>
      <c r="F24" s="453"/>
      <c r="G24" s="465">
        <f t="shared" ref="G24:U24" si="5">G15/G$10-1</f>
        <v>-0.11121673003802279</v>
      </c>
      <c r="H24" s="463">
        <f t="shared" si="5"/>
        <v>-5.0293925538863582E-2</v>
      </c>
      <c r="I24" s="463">
        <f t="shared" si="5"/>
        <v>-9.5076400679117046E-2</v>
      </c>
      <c r="J24" s="463">
        <f t="shared" si="5"/>
        <v>-5.4945054945054972E-2</v>
      </c>
      <c r="K24" s="463">
        <f t="shared" si="5"/>
        <v>8.3507306889352817E-2</v>
      </c>
      <c r="L24" s="465">
        <f t="shared" si="5"/>
        <v>3.9735099337748325E-2</v>
      </c>
      <c r="M24" s="463">
        <f t="shared" si="5"/>
        <v>3.9301310043668103E-2</v>
      </c>
      <c r="N24" s="463">
        <f t="shared" si="5"/>
        <v>0.1588785046728971</v>
      </c>
      <c r="O24" s="463">
        <f t="shared" si="5"/>
        <v>-0.1333333333333333</v>
      </c>
      <c r="P24" s="463">
        <f t="shared" si="5"/>
        <v>3.8461538461538547E-2</v>
      </c>
      <c r="Q24" s="465">
        <f t="shared" si="0"/>
        <v>-0.19591836734693868</v>
      </c>
      <c r="R24" s="463">
        <f t="shared" si="5"/>
        <v>-8.6696562032884894E-2</v>
      </c>
      <c r="S24" s="463">
        <f t="shared" si="5"/>
        <v>-0.21818181818181825</v>
      </c>
      <c r="T24" s="463">
        <f t="shared" si="5"/>
        <v>9.0999010880316478E-2</v>
      </c>
      <c r="U24" s="463">
        <f t="shared" si="5"/>
        <v>4.3973941368078195E-2</v>
      </c>
    </row>
    <row r="25" spans="2:21" x14ac:dyDescent="0.35">
      <c r="B25" s="453"/>
      <c r="C25" s="453"/>
      <c r="D25" s="453"/>
      <c r="E25" s="453" t="s">
        <v>380</v>
      </c>
      <c r="F25" s="453"/>
      <c r="G25" s="465">
        <f t="shared" ref="G25:U25" si="6">G16/G$10-1</f>
        <v>-0.21197718631178708</v>
      </c>
      <c r="H25" s="463">
        <f t="shared" si="6"/>
        <v>-0.22142390594382755</v>
      </c>
      <c r="I25" s="463">
        <f t="shared" si="6"/>
        <v>-0.34465195246179969</v>
      </c>
      <c r="J25" s="463">
        <f t="shared" si="6"/>
        <v>-3.296703296703285E-2</v>
      </c>
      <c r="K25" s="463">
        <f t="shared" si="6"/>
        <v>-0.24217118997912324</v>
      </c>
      <c r="L25" s="465">
        <f t="shared" si="6"/>
        <v>-9.9337748344370813E-2</v>
      </c>
      <c r="M25" s="463">
        <f t="shared" si="6"/>
        <v>-9.1703056768558944E-2</v>
      </c>
      <c r="N25" s="463">
        <f t="shared" si="6"/>
        <v>-0.1121495327102805</v>
      </c>
      <c r="O25" s="463">
        <f t="shared" si="6"/>
        <v>-4.4444444444444509E-2</v>
      </c>
      <c r="P25" s="463">
        <f t="shared" si="6"/>
        <v>-7.6923076923076983E-2</v>
      </c>
      <c r="Q25" s="465">
        <f t="shared" si="0"/>
        <v>-0.18503401360544214</v>
      </c>
      <c r="R25" s="463">
        <f t="shared" si="6"/>
        <v>-0.1434977578475336</v>
      </c>
      <c r="S25" s="463">
        <f t="shared" si="6"/>
        <v>-0.26181818181818184</v>
      </c>
      <c r="T25" s="463">
        <f t="shared" si="6"/>
        <v>1.1869436201780603E-2</v>
      </c>
      <c r="U25" s="463">
        <f t="shared" si="6"/>
        <v>-0.17915309446254069</v>
      </c>
    </row>
    <row r="26" spans="2:21" x14ac:dyDescent="0.35">
      <c r="B26" s="453"/>
      <c r="C26" s="453"/>
      <c r="D26" s="453"/>
      <c r="E26" s="453" t="s">
        <v>836</v>
      </c>
      <c r="F26" s="453"/>
      <c r="G26" s="460" t="s">
        <v>1541</v>
      </c>
      <c r="H26" s="453"/>
      <c r="I26" s="453"/>
      <c r="J26" s="453"/>
      <c r="K26" s="453"/>
      <c r="L26" s="453"/>
      <c r="M26" s="453"/>
      <c r="N26" s="453"/>
      <c r="O26" s="453"/>
      <c r="P26" s="453"/>
      <c r="Q26" s="465">
        <f t="shared" si="0"/>
        <v>-0.25408163265306116</v>
      </c>
      <c r="R26" s="453"/>
      <c r="S26" s="453"/>
      <c r="T26" s="453"/>
      <c r="U26" s="453"/>
    </row>
    <row r="27" spans="2:21" x14ac:dyDescent="0.35">
      <c r="B27" s="453"/>
      <c r="C27" s="453"/>
      <c r="D27" s="453"/>
      <c r="E27" s="453"/>
      <c r="F27" s="453"/>
      <c r="G27" s="453"/>
      <c r="H27" s="453"/>
      <c r="I27" s="453"/>
      <c r="J27" s="453"/>
      <c r="K27" s="453"/>
      <c r="L27" s="453"/>
      <c r="M27" s="453"/>
      <c r="N27" s="453"/>
      <c r="O27" s="453"/>
      <c r="P27" s="453"/>
      <c r="Q27" s="453"/>
      <c r="R27" s="453"/>
      <c r="S27" s="453"/>
      <c r="T27" s="453"/>
      <c r="U27" s="453"/>
    </row>
  </sheetData>
  <mergeCells count="4">
    <mergeCell ref="H5:U5"/>
    <mergeCell ref="H6:K6"/>
    <mergeCell ref="M6:P6"/>
    <mergeCell ref="R6:U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F57C-1BBF-4FE7-9154-2561B500030D}">
  <sheetPr>
    <tabColor theme="8"/>
  </sheetPr>
  <dimension ref="B1:AD46"/>
  <sheetViews>
    <sheetView topLeftCell="A32" workbookViewId="0">
      <selection activeCell="M31" sqref="M31"/>
    </sheetView>
  </sheetViews>
  <sheetFormatPr defaultRowHeight="14.5" x14ac:dyDescent="0.35"/>
  <cols>
    <col min="2" max="2" width="31.54296875" customWidth="1"/>
    <col min="3" max="3" width="30" customWidth="1"/>
    <col min="4" max="4" width="29.26953125" customWidth="1"/>
    <col min="5" max="5" width="26.1796875" customWidth="1"/>
    <col min="6" max="6" width="28.7265625" customWidth="1"/>
    <col min="7" max="7" width="14.54296875" customWidth="1"/>
    <col min="8" max="8" width="24.54296875" customWidth="1"/>
    <col min="9" max="9" width="28.81640625" customWidth="1"/>
    <col min="11" max="11" width="7.54296875" customWidth="1"/>
    <col min="12" max="12" width="27.7265625" customWidth="1"/>
    <col min="13" max="13" width="31.453125" customWidth="1"/>
    <col min="30" max="30" width="0" hidden="1" customWidth="1"/>
  </cols>
  <sheetData>
    <row r="1" spans="2:25" ht="31" x14ac:dyDescent="0.7">
      <c r="B1" s="8" t="s">
        <v>168</v>
      </c>
    </row>
    <row r="3" spans="2:25" x14ac:dyDescent="0.35">
      <c r="B3" s="9" t="s">
        <v>29</v>
      </c>
      <c r="C3" s="10"/>
      <c r="D3" s="10"/>
      <c r="E3" s="10"/>
      <c r="F3" s="10"/>
      <c r="G3" s="10"/>
      <c r="H3" s="10"/>
      <c r="I3" s="10"/>
      <c r="J3" s="10"/>
      <c r="K3" s="10"/>
      <c r="L3" s="10"/>
      <c r="M3" s="10"/>
      <c r="N3" s="10"/>
      <c r="O3" s="10"/>
      <c r="P3" s="10"/>
      <c r="Q3" s="10"/>
      <c r="R3" s="10"/>
      <c r="S3" s="10"/>
      <c r="T3" s="10"/>
      <c r="U3" s="10"/>
      <c r="V3" s="10"/>
      <c r="W3" s="10"/>
      <c r="X3" s="10"/>
      <c r="Y3" s="11"/>
    </row>
    <row r="4" spans="2:25" x14ac:dyDescent="0.35">
      <c r="B4" s="49" t="s">
        <v>289</v>
      </c>
      <c r="Y4" s="13"/>
    </row>
    <row r="5" spans="2:25" x14ac:dyDescent="0.35">
      <c r="B5" s="12" t="s">
        <v>290</v>
      </c>
      <c r="Y5" s="13"/>
    </row>
    <row r="6" spans="2:25" x14ac:dyDescent="0.35">
      <c r="B6" s="14"/>
      <c r="C6" s="15"/>
      <c r="D6" s="15"/>
      <c r="E6" s="15"/>
      <c r="F6" s="15"/>
      <c r="G6" s="15"/>
      <c r="H6" s="15"/>
      <c r="I6" s="15"/>
      <c r="J6" s="15"/>
      <c r="K6" s="15"/>
      <c r="L6" s="15"/>
      <c r="M6" s="15"/>
      <c r="N6" s="15"/>
      <c r="O6" s="15"/>
      <c r="P6" s="15"/>
      <c r="Q6" s="15"/>
      <c r="R6" s="15"/>
      <c r="S6" s="15"/>
      <c r="T6" s="15"/>
      <c r="U6" s="15"/>
      <c r="V6" s="15"/>
      <c r="W6" s="15"/>
      <c r="X6" s="15"/>
      <c r="Y6" s="16"/>
    </row>
    <row r="8" spans="2:25" x14ac:dyDescent="0.35">
      <c r="B8" s="9" t="s">
        <v>221</v>
      </c>
      <c r="C8" s="10"/>
      <c r="D8" s="10"/>
      <c r="E8" s="10"/>
      <c r="F8" s="10"/>
      <c r="G8" s="10"/>
      <c r="H8" s="10"/>
      <c r="I8" s="10"/>
      <c r="J8" s="10"/>
      <c r="K8" s="10"/>
      <c r="L8" s="10"/>
      <c r="M8" s="10"/>
      <c r="N8" s="10"/>
      <c r="O8" s="10"/>
      <c r="P8" s="10"/>
      <c r="Q8" s="10"/>
      <c r="R8" s="10"/>
      <c r="S8" s="10"/>
      <c r="T8" s="10"/>
      <c r="U8" s="10"/>
      <c r="V8" s="10"/>
      <c r="W8" s="10"/>
      <c r="X8" s="10"/>
      <c r="Y8" s="11"/>
    </row>
    <row r="9" spans="2:25" x14ac:dyDescent="0.35">
      <c r="B9" s="12" t="s">
        <v>291</v>
      </c>
      <c r="Y9" s="13"/>
    </row>
    <row r="10" spans="2:25" x14ac:dyDescent="0.35">
      <c r="B10" s="12" t="s">
        <v>292</v>
      </c>
      <c r="Y10" s="13"/>
    </row>
    <row r="11" spans="2:25" x14ac:dyDescent="0.35">
      <c r="B11" s="14"/>
      <c r="C11" s="15"/>
      <c r="D11" s="15"/>
      <c r="E11" s="15"/>
      <c r="F11" s="15"/>
      <c r="G11" s="15"/>
      <c r="H11" s="15"/>
      <c r="I11" s="15"/>
      <c r="J11" s="15"/>
      <c r="K11" s="15"/>
      <c r="L11" s="15"/>
      <c r="M11" s="15"/>
      <c r="N11" s="15"/>
      <c r="O11" s="15"/>
      <c r="P11" s="15"/>
      <c r="Q11" s="15"/>
      <c r="R11" s="15"/>
      <c r="S11" s="15"/>
      <c r="T11" s="15"/>
      <c r="U11" s="15"/>
      <c r="V11" s="15"/>
      <c r="W11" s="15"/>
      <c r="X11" s="15"/>
      <c r="Y11" s="16"/>
    </row>
    <row r="13" spans="2:25" x14ac:dyDescent="0.35">
      <c r="B13" s="9" t="s">
        <v>224</v>
      </c>
      <c r="C13" s="10"/>
      <c r="D13" s="10"/>
      <c r="E13" s="10"/>
      <c r="F13" s="10"/>
      <c r="G13" s="10"/>
      <c r="H13" s="10"/>
      <c r="I13" s="10"/>
      <c r="J13" s="10"/>
      <c r="K13" s="10"/>
      <c r="L13" s="10"/>
      <c r="M13" s="10"/>
      <c r="N13" s="10"/>
      <c r="O13" s="10"/>
      <c r="P13" s="10"/>
      <c r="Q13" s="10"/>
      <c r="R13" s="10"/>
      <c r="S13" s="10"/>
      <c r="T13" s="10"/>
      <c r="U13" s="10"/>
      <c r="V13" s="10"/>
      <c r="W13" s="10"/>
      <c r="X13" s="10"/>
      <c r="Y13" s="11"/>
    </row>
    <row r="14" spans="2:25" x14ac:dyDescent="0.35">
      <c r="B14" s="499" t="s">
        <v>225</v>
      </c>
      <c r="C14" s="17" t="s">
        <v>293</v>
      </c>
      <c r="Y14" s="13"/>
    </row>
    <row r="15" spans="2:25" x14ac:dyDescent="0.35">
      <c r="B15" s="499"/>
      <c r="C15" s="17" t="s">
        <v>294</v>
      </c>
      <c r="Y15" s="13"/>
    </row>
    <row r="16" spans="2:25" x14ac:dyDescent="0.35">
      <c r="B16" s="400"/>
      <c r="C16" s="17"/>
      <c r="Y16" s="13"/>
    </row>
    <row r="17" spans="2:30" x14ac:dyDescent="0.35">
      <c r="B17" s="401" t="s">
        <v>228</v>
      </c>
      <c r="C17" s="17" t="s">
        <v>229</v>
      </c>
      <c r="Y17" s="13"/>
    </row>
    <row r="18" spans="2:30" x14ac:dyDescent="0.35">
      <c r="B18" s="14"/>
      <c r="C18" s="15"/>
      <c r="D18" s="15"/>
      <c r="E18" s="15"/>
      <c r="F18" s="15"/>
      <c r="G18" s="15"/>
      <c r="H18" s="15"/>
      <c r="I18" s="15"/>
      <c r="J18" s="15"/>
      <c r="K18" s="15"/>
      <c r="L18" s="15"/>
      <c r="M18" s="15"/>
      <c r="N18" s="15"/>
      <c r="O18" s="15"/>
      <c r="P18" s="15"/>
      <c r="Q18" s="15"/>
      <c r="R18" s="15"/>
      <c r="S18" s="15"/>
      <c r="T18" s="15"/>
      <c r="U18" s="15"/>
      <c r="V18" s="15"/>
      <c r="W18" s="15"/>
      <c r="X18" s="15"/>
      <c r="Y18" s="16"/>
      <c r="AD18" t="s">
        <v>148</v>
      </c>
    </row>
    <row r="19" spans="2:30" x14ac:dyDescent="0.35">
      <c r="AD19" t="s">
        <v>149</v>
      </c>
    </row>
    <row r="20" spans="2:30" x14ac:dyDescent="0.35">
      <c r="B20" s="18" t="s">
        <v>230</v>
      </c>
      <c r="C20" s="136"/>
      <c r="D20" s="136"/>
      <c r="E20" s="136"/>
      <c r="F20" s="136"/>
      <c r="G20" s="136"/>
      <c r="H20" s="136"/>
      <c r="I20" s="136"/>
      <c r="J20" s="136"/>
      <c r="K20" s="136"/>
      <c r="L20" s="136"/>
      <c r="M20" s="136"/>
      <c r="N20" s="136"/>
      <c r="O20" s="136"/>
      <c r="P20" s="136"/>
      <c r="Q20" s="136"/>
      <c r="R20" s="136"/>
      <c r="S20" s="136"/>
      <c r="T20" s="136"/>
      <c r="U20" s="136"/>
      <c r="V20" s="136"/>
      <c r="W20" s="136"/>
      <c r="X20" s="136"/>
      <c r="Y20" s="136"/>
    </row>
    <row r="22" spans="2:30" x14ac:dyDescent="0.35">
      <c r="B22" s="54" t="s">
        <v>295</v>
      </c>
    </row>
    <row r="24" spans="2:30" x14ac:dyDescent="0.35">
      <c r="B24" s="2" t="s">
        <v>296</v>
      </c>
      <c r="H24" s="2"/>
      <c r="L24" s="2" t="s">
        <v>297</v>
      </c>
    </row>
    <row r="25" spans="2:30" ht="29" x14ac:dyDescent="0.35">
      <c r="B25" s="106" t="s">
        <v>233</v>
      </c>
      <c r="C25" s="67" t="s">
        <v>298</v>
      </c>
      <c r="D25" s="67" t="s">
        <v>299</v>
      </c>
      <c r="E25" s="67" t="s">
        <v>300</v>
      </c>
      <c r="F25" s="67" t="s">
        <v>301</v>
      </c>
      <c r="H25" s="167" t="s">
        <v>302</v>
      </c>
      <c r="I25" s="168"/>
      <c r="L25" s="106" t="s">
        <v>303</v>
      </c>
      <c r="M25" s="189">
        <v>2800000</v>
      </c>
    </row>
    <row r="26" spans="2:30" ht="43.5" x14ac:dyDescent="0.35">
      <c r="B26" s="7" t="s">
        <v>304</v>
      </c>
      <c r="C26" s="247">
        <f>SUMIFS('Action 3 Road Data'!$P$3:$P$304,'Action 3 Road Data'!$K$3:$K$304,1)/5280</f>
        <v>13.320984354698938</v>
      </c>
      <c r="D26" s="247">
        <f>SUMIFS('Action 3 Road Data'!$P$3:$P$304,'Action 3 Road Data'!$K$3:$K$304,1,'Action 3 Road Data'!$G$3:$G$304,"South San Francisco")/5280</f>
        <v>2.6782729856574914</v>
      </c>
      <c r="E26" s="247">
        <f>(SUMIFS('Action 3 Road Data'!$P$3:$P$304,'Action 3 Road Data'!$K$3:$K$304,1,'Action 3 Road Data'!$G$3:$G$304,"San Bruno")+SUMIFS('Action 3 Road Data'!$P$3:$P$304,'Action 3 Road Data'!$K$3:$K$304,1,'Action 3 Road Data'!$G$3:$G$304,"Millbrae"))/5280</f>
        <v>3.5242054677596917</v>
      </c>
      <c r="F26" s="247">
        <f>(SUMIFS('Action 3 Road Data'!$P$3:$P$304,'Action 3 Road Data'!$K$3:$K$304,1,'Action 3 Road Data'!$G$3:$G$304,"San Mateo")+SUMIFS('Action 3 Road Data'!$P$3:$P$304,'Action 3 Road Data'!$K$3:$K$304,1,'Action 3 Road Data'!$G$3:$G$304,"Belmont")+SUMIFS('Action 3 Road Data'!$P$3:$P$304,'Action 3 Road Data'!$K$3:$K$304,1,'Action 3 Road Data'!$G$3:$G$304,"San Carlos"))/5280</f>
        <v>3.1499246664575606</v>
      </c>
      <c r="H26" s="139" t="s">
        <v>305</v>
      </c>
      <c r="I26" s="140">
        <v>30</v>
      </c>
      <c r="L26" s="106" t="s">
        <v>306</v>
      </c>
      <c r="M26" s="203">
        <v>0.25</v>
      </c>
    </row>
    <row r="27" spans="2:30" x14ac:dyDescent="0.35">
      <c r="B27" s="7" t="s">
        <v>307</v>
      </c>
      <c r="C27" s="247">
        <f>SUMIFS('Action 3 Road Data'!$P$3:$P$304,'Action 3 Road Data'!$L$3:$L$304,1)/5280</f>
        <v>15.207794770767231</v>
      </c>
      <c r="D27" s="247">
        <f>SUMIFS('Action 3 Road Data'!$P$3:$P$304,'Action 3 Road Data'!$L$3:$L$304,1,'Action 3 Road Data'!$G$3:$G$304,"South San Francisco")/5280</f>
        <v>2.8184230283279184</v>
      </c>
      <c r="E27" s="247">
        <f>(SUMIFS('Action 3 Road Data'!$P$3:$P$304,'Action 3 Road Data'!$L$3:$L$304,1,'Action 3 Road Data'!$G$3:$G$304,"San Bruno")+SUMIFS('Action 3 Road Data'!$P$3:$P$304,'Action 3 Road Data'!$L$3:$L$304,1,'Action 3 Road Data'!$G$3:$G$304,"Millbrae"))/5280</f>
        <v>3.5242054677596917</v>
      </c>
      <c r="F27" s="247">
        <f>(SUMIFS('Action 3 Road Data'!$P$3:$P$304,'Action 3 Road Data'!$L$3:$L$304,1,'Action 3 Road Data'!$G$3:$G$304,"San Mateo")+SUMIFS('Action 3 Road Data'!$P$3:$P$304,'Action 3 Road Data'!$L$3:$L$304,1,'Action 3 Road Data'!$G$3:$G$304,"Belmont")+SUMIFS('Action 3 Road Data'!$P$3:$P$304,'Action 3 Road Data'!$L$3:$L$304,1,'Action 3 Road Data'!$G$3:$G$304,"San Carlos"))/5280</f>
        <v>4.3804509770289437</v>
      </c>
    </row>
    <row r="28" spans="2:30" x14ac:dyDescent="0.35">
      <c r="B28" s="7" t="s">
        <v>308</v>
      </c>
      <c r="C28" s="259">
        <f>(C26*$M$25)+(C27*$M$25)</f>
        <v>79880581.551305264</v>
      </c>
      <c r="D28" s="259">
        <f>(D26*$M$25)+(D27*$M$25)</f>
        <v>15390748.839159148</v>
      </c>
      <c r="E28" s="259">
        <f>(E26*$M$25)+(E27*$M$25)</f>
        <v>19735550.619454272</v>
      </c>
      <c r="F28" s="259">
        <f>(F26*$M$25)+(F27*$M$25)</f>
        <v>21085051.801762212</v>
      </c>
      <c r="H28" s="2" t="s">
        <v>251</v>
      </c>
    </row>
    <row r="29" spans="2:30" ht="29" x14ac:dyDescent="0.35">
      <c r="B29" s="7" t="s">
        <v>309</v>
      </c>
      <c r="C29" s="144">
        <f>IF($I$30="YES",C28*$J$30,0)+IF($I$31="YES",C28*$J$31,0)+C28</f>
        <v>99850726.939131588</v>
      </c>
      <c r="D29" s="144">
        <f>IF($I$30="YES",D28*$J$30,0)+IF($I$31="YES",D28*$J$31,0)+D28</f>
        <v>19238436.048948936</v>
      </c>
      <c r="E29" s="144">
        <f>IF($I$30="YES",E28*$J$30,0)+IF($I$31="YES",E28*$J$31,0)+E28</f>
        <v>24669438.274317838</v>
      </c>
      <c r="F29" s="144">
        <f>IF($I$30="YES",F28*$J$30,0)+IF($I$31="YES",F28*$J$31,0)+F28</f>
        <v>26356314.752202764</v>
      </c>
      <c r="H29" s="106" t="s">
        <v>252</v>
      </c>
      <c r="I29" s="106" t="s">
        <v>253</v>
      </c>
      <c r="J29" s="106" t="s">
        <v>254</v>
      </c>
    </row>
    <row r="30" spans="2:30" ht="29" x14ac:dyDescent="0.35">
      <c r="B30" s="7" t="s">
        <v>310</v>
      </c>
      <c r="C30" s="143">
        <f>'Action 3 Calculations'!D83</f>
        <v>-9722401.6685156375</v>
      </c>
      <c r="D30" s="143">
        <f>'Action 3 Calculations'!D87</f>
        <v>-1093624.412095333</v>
      </c>
      <c r="E30" s="143">
        <f>'Action 3 Calculations'!D91</f>
        <v>-1414219.8078315421</v>
      </c>
      <c r="F30" s="143">
        <f>'Action 3 Calculations'!D95</f>
        <v>-2832445.1910061208</v>
      </c>
      <c r="H30" s="7" t="s">
        <v>311</v>
      </c>
      <c r="I30" s="140" t="s">
        <v>148</v>
      </c>
      <c r="J30" s="418">
        <v>0.05</v>
      </c>
    </row>
    <row r="31" spans="2:30" ht="58" x14ac:dyDescent="0.35">
      <c r="B31" s="7" t="s">
        <v>312</v>
      </c>
      <c r="C31" s="248" t="s">
        <v>149</v>
      </c>
      <c r="D31" s="248" t="s">
        <v>148</v>
      </c>
      <c r="E31" s="248" t="s">
        <v>148</v>
      </c>
      <c r="F31" s="248" t="s">
        <v>148</v>
      </c>
      <c r="H31" s="7" t="s">
        <v>313</v>
      </c>
      <c r="I31" s="140" t="s">
        <v>148</v>
      </c>
      <c r="J31" s="418">
        <v>0.2</v>
      </c>
    </row>
    <row r="32" spans="2:30" ht="43.5" x14ac:dyDescent="0.35">
      <c r="B32" s="7" t="s">
        <v>314</v>
      </c>
      <c r="C32" s="143">
        <f>IF(C31="YES",'Action 3 Calculations'!C108,0)</f>
        <v>0</v>
      </c>
      <c r="D32" s="143">
        <f>IF(D31="YES",'Action 3 Calculations'!C119,0)</f>
        <v>-11200000</v>
      </c>
      <c r="E32" s="143">
        <f>IF(E31="YES",'Action 3 Calculations'!C130,0)</f>
        <v>-14800000</v>
      </c>
      <c r="F32" s="143">
        <f>IF(F31="YES",'Action 3 Calculations'!C141,0)</f>
        <v>-13200000</v>
      </c>
    </row>
    <row r="33" spans="2:25" x14ac:dyDescent="0.35">
      <c r="B33" s="372" t="s">
        <v>315</v>
      </c>
      <c r="C33" s="270">
        <f>C30+C32</f>
        <v>-9722401.6685156375</v>
      </c>
      <c r="D33" s="270">
        <f t="shared" ref="D33:F33" si="0">D30+D32</f>
        <v>-12293624.412095333</v>
      </c>
      <c r="E33" s="270">
        <f t="shared" si="0"/>
        <v>-16214219.807831543</v>
      </c>
      <c r="F33" s="270">
        <f t="shared" si="0"/>
        <v>-16032445.19100612</v>
      </c>
    </row>
    <row r="34" spans="2:25" ht="43.5" x14ac:dyDescent="0.35">
      <c r="B34" s="7" t="s">
        <v>316</v>
      </c>
      <c r="C34" s="248" t="s">
        <v>149</v>
      </c>
      <c r="D34" s="248" t="s">
        <v>148</v>
      </c>
      <c r="E34" s="248" t="s">
        <v>148</v>
      </c>
      <c r="F34" s="248" t="s">
        <v>148</v>
      </c>
    </row>
    <row r="37" spans="2:25" x14ac:dyDescent="0.35">
      <c r="B37" s="18" t="s">
        <v>256</v>
      </c>
      <c r="C37" s="18"/>
      <c r="D37" s="18"/>
      <c r="E37" s="18"/>
      <c r="F37" s="18"/>
      <c r="G37" s="18"/>
      <c r="H37" s="18"/>
      <c r="I37" s="18"/>
      <c r="J37" s="18"/>
      <c r="K37" s="18"/>
      <c r="L37" s="18"/>
      <c r="M37" s="18"/>
      <c r="N37" s="18"/>
      <c r="O37" s="18"/>
      <c r="P37" s="18"/>
      <c r="Q37" s="18"/>
      <c r="R37" s="18"/>
      <c r="S37" s="18"/>
      <c r="T37" s="136"/>
      <c r="U37" s="136"/>
      <c r="V37" s="136"/>
      <c r="W37" s="136"/>
      <c r="X37" s="136"/>
      <c r="Y37" s="136"/>
    </row>
    <row r="39" spans="2:25" x14ac:dyDescent="0.35">
      <c r="B39" s="2" t="s">
        <v>287</v>
      </c>
    </row>
    <row r="40" spans="2:25" ht="29" x14ac:dyDescent="0.35">
      <c r="B40" s="37" t="s">
        <v>258</v>
      </c>
      <c r="C40" s="37" t="s">
        <v>317</v>
      </c>
      <c r="D40" s="37" t="s">
        <v>318</v>
      </c>
      <c r="E40" s="37" t="s">
        <v>261</v>
      </c>
      <c r="F40" s="37" t="s">
        <v>318</v>
      </c>
      <c r="G40" s="37" t="s">
        <v>319</v>
      </c>
    </row>
    <row r="41" spans="2:25" x14ac:dyDescent="0.35">
      <c r="B41" s="180">
        <f>B46/'Action 3 Calculations'!C87</f>
        <v>-128358.18274044091</v>
      </c>
      <c r="C41" s="180">
        <f>C46/'Action 3 Calculations'!C83</f>
        <v>-3850745.4822132271</v>
      </c>
      <c r="D41" s="186">
        <f>D46</f>
        <v>70264189.075469539</v>
      </c>
      <c r="E41" s="187">
        <f>-(D41/B41)</f>
        <v>547.40716622292825</v>
      </c>
      <c r="F41" s="186">
        <f>D41</f>
        <v>70264189.075469539</v>
      </c>
      <c r="G41" s="187">
        <f>-(F41/(C41))</f>
        <v>18.246905540764278</v>
      </c>
    </row>
    <row r="44" spans="2:25" x14ac:dyDescent="0.35">
      <c r="B44" s="2" t="s">
        <v>288</v>
      </c>
    </row>
    <row r="45" spans="2:25" ht="29" x14ac:dyDescent="0.35">
      <c r="B45" s="37" t="s">
        <v>245</v>
      </c>
      <c r="C45" s="37" t="s">
        <v>320</v>
      </c>
      <c r="D45" s="37" t="s">
        <v>318</v>
      </c>
      <c r="E45" s="37" t="s">
        <v>261</v>
      </c>
      <c r="F45" s="37" t="s">
        <v>318</v>
      </c>
      <c r="G45" s="37" t="s">
        <v>319</v>
      </c>
    </row>
    <row r="46" spans="2:25" x14ac:dyDescent="0.35">
      <c r="B46" s="180">
        <f>SUMIFS(C33:F33, C34:F34,"YES")</f>
        <v>-44540289.410932995</v>
      </c>
      <c r="C46" s="180">
        <f>B46*I26</f>
        <v>-1336208682.3279898</v>
      </c>
      <c r="D46" s="186">
        <f>SUMIFS(C29:F29,C34:F34,"YES")</f>
        <v>70264189.075469539</v>
      </c>
      <c r="E46" s="187">
        <f>-(D46/B46)</f>
        <v>1.5775422657721276</v>
      </c>
      <c r="F46" s="186">
        <f>D46</f>
        <v>70264189.075469539</v>
      </c>
      <c r="G46" s="187">
        <f>-(F46/(C46))</f>
        <v>5.2584742192404256E-2</v>
      </c>
    </row>
  </sheetData>
  <sheetProtection sheet="1" objects="1" scenarios="1"/>
  <protectedRanges>
    <protectedRange sqref="M25:M26" name="Range5"/>
    <protectedRange sqref="I26" name="Range3"/>
    <protectedRange sqref="C31:F31" name="Range1"/>
    <protectedRange sqref="C34:F34" name="Range2"/>
    <protectedRange sqref="I30:J31" name="Range4"/>
  </protectedRanges>
  <mergeCells count="1">
    <mergeCell ref="B14:B15"/>
  </mergeCells>
  <dataValidations count="2">
    <dataValidation type="list" allowBlank="1" showInputMessage="1" showErrorMessage="1" sqref="AD18:AD19 C34:F34 I30:I31 C31:F31" xr:uid="{40BF3D1B-C6FF-415C-B738-C1865868D695}">
      <formula1>$AD$18:$AD$19</formula1>
    </dataValidation>
    <dataValidation type="decimal" allowBlank="1" showInputMessage="1" showErrorMessage="1" sqref="M26" xr:uid="{FB526ABC-0F3C-411D-908C-7D446766F548}">
      <formula1>0</formula1>
      <formula2>1</formula2>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1DB8B-CE37-4F26-98CE-49FC2C863E7F}">
  <sheetPr>
    <tabColor theme="8"/>
  </sheetPr>
  <dimension ref="B1:AC44"/>
  <sheetViews>
    <sheetView topLeftCell="A14" workbookViewId="0">
      <selection activeCell="E27" sqref="E27"/>
    </sheetView>
  </sheetViews>
  <sheetFormatPr defaultRowHeight="14.5" x14ac:dyDescent="0.35"/>
  <cols>
    <col min="2" max="2" width="22.81640625" customWidth="1"/>
    <col min="3" max="3" width="19.26953125" customWidth="1"/>
    <col min="4" max="4" width="17.26953125" customWidth="1"/>
    <col min="5" max="5" width="14" customWidth="1"/>
    <col min="6" max="6" width="20.26953125" customWidth="1"/>
    <col min="7" max="7" width="17.81640625" customWidth="1"/>
    <col min="8" max="8" width="11.26953125" customWidth="1"/>
    <col min="9" max="9" width="19.54296875" customWidth="1"/>
    <col min="10" max="10" width="21.81640625" customWidth="1"/>
    <col min="11" max="11" width="19.7265625" customWidth="1"/>
    <col min="12" max="12" width="12" customWidth="1"/>
    <col min="13" max="13" width="12.26953125" bestFit="1" customWidth="1"/>
    <col min="14" max="14" width="9.81640625" bestFit="1" customWidth="1"/>
    <col min="16" max="16" width="15.54296875" customWidth="1"/>
    <col min="17" max="17" width="16.26953125" bestFit="1" customWidth="1"/>
    <col min="23" max="23" width="14.453125" customWidth="1"/>
    <col min="24" max="24" width="16.453125" customWidth="1"/>
    <col min="25" max="25" width="20.54296875" customWidth="1"/>
    <col min="29" max="29" width="0" hidden="1" customWidth="1"/>
  </cols>
  <sheetData>
    <row r="1" spans="2:29" ht="31" x14ac:dyDescent="0.7">
      <c r="B1" s="8" t="s">
        <v>171</v>
      </c>
    </row>
    <row r="3" spans="2:29" x14ac:dyDescent="0.35">
      <c r="B3" s="9" t="s">
        <v>29</v>
      </c>
      <c r="C3" s="10"/>
      <c r="D3" s="10"/>
      <c r="E3" s="10"/>
      <c r="F3" s="10"/>
      <c r="G3" s="10"/>
      <c r="H3" s="10"/>
      <c r="I3" s="10"/>
      <c r="J3" s="10"/>
      <c r="K3" s="10"/>
      <c r="L3" s="10"/>
      <c r="M3" s="10"/>
      <c r="N3" s="10"/>
      <c r="O3" s="10"/>
      <c r="P3" s="10"/>
      <c r="Q3" s="10"/>
      <c r="R3" s="10"/>
      <c r="S3" s="10"/>
      <c r="T3" s="10"/>
      <c r="U3" s="10"/>
      <c r="V3" s="10"/>
      <c r="W3" s="10"/>
      <c r="X3" s="10"/>
      <c r="Y3" s="11"/>
      <c r="AC3" t="s">
        <v>148</v>
      </c>
    </row>
    <row r="4" spans="2:29" x14ac:dyDescent="0.35">
      <c r="B4" s="12" t="s">
        <v>321</v>
      </c>
      <c r="Y4" s="13"/>
      <c r="AC4" t="s">
        <v>149</v>
      </c>
    </row>
    <row r="5" spans="2:29" x14ac:dyDescent="0.35">
      <c r="B5" s="14"/>
      <c r="C5" s="15"/>
      <c r="D5" s="15"/>
      <c r="E5" s="15"/>
      <c r="F5" s="15"/>
      <c r="G5" s="15"/>
      <c r="H5" s="15"/>
      <c r="I5" s="15"/>
      <c r="J5" s="15"/>
      <c r="K5" s="15"/>
      <c r="L5" s="15"/>
      <c r="M5" s="15"/>
      <c r="N5" s="15"/>
      <c r="O5" s="15"/>
      <c r="P5" s="15"/>
      <c r="Q5" s="15"/>
      <c r="R5" s="15"/>
      <c r="S5" s="15"/>
      <c r="T5" s="15"/>
      <c r="U5" s="15"/>
      <c r="V5" s="15"/>
      <c r="W5" s="15"/>
      <c r="X5" s="15"/>
      <c r="Y5" s="16"/>
    </row>
    <row r="7" spans="2:29" x14ac:dyDescent="0.35">
      <c r="B7" s="9" t="s">
        <v>221</v>
      </c>
      <c r="C7" s="10"/>
      <c r="D7" s="10"/>
      <c r="E7" s="10"/>
      <c r="F7" s="10"/>
      <c r="G7" s="10"/>
      <c r="H7" s="10"/>
      <c r="I7" s="10"/>
      <c r="J7" s="10"/>
      <c r="K7" s="10"/>
      <c r="L7" s="10"/>
      <c r="M7" s="10"/>
      <c r="N7" s="10"/>
      <c r="O7" s="10"/>
      <c r="P7" s="10"/>
      <c r="Q7" s="10"/>
      <c r="R7" s="10"/>
      <c r="S7" s="10"/>
      <c r="T7" s="10"/>
      <c r="U7" s="10"/>
      <c r="V7" s="10"/>
      <c r="W7" s="10"/>
      <c r="X7" s="10"/>
      <c r="Y7" s="11"/>
    </row>
    <row r="8" spans="2:29" x14ac:dyDescent="0.35">
      <c r="B8" s="12" t="s">
        <v>322</v>
      </c>
      <c r="Y8" s="13"/>
    </row>
    <row r="9" spans="2:29" x14ac:dyDescent="0.35">
      <c r="B9" s="12" t="s">
        <v>292</v>
      </c>
      <c r="Y9" s="13"/>
    </row>
    <row r="10" spans="2:29" x14ac:dyDescent="0.35">
      <c r="B10" s="14"/>
      <c r="C10" s="15"/>
      <c r="D10" s="15"/>
      <c r="E10" s="15"/>
      <c r="F10" s="15"/>
      <c r="G10" s="15"/>
      <c r="H10" s="15"/>
      <c r="I10" s="15"/>
      <c r="J10" s="15"/>
      <c r="K10" s="15"/>
      <c r="L10" s="15"/>
      <c r="M10" s="15"/>
      <c r="N10" s="15"/>
      <c r="O10" s="15"/>
      <c r="P10" s="15"/>
      <c r="Q10" s="15"/>
      <c r="R10" s="15"/>
      <c r="S10" s="15"/>
      <c r="T10" s="15"/>
      <c r="U10" s="15"/>
      <c r="V10" s="15"/>
      <c r="W10" s="15"/>
      <c r="X10" s="15"/>
      <c r="Y10" s="16"/>
    </row>
    <row r="12" spans="2:29" x14ac:dyDescent="0.35">
      <c r="B12" s="9" t="s">
        <v>224</v>
      </c>
      <c r="C12" s="10"/>
      <c r="D12" s="10"/>
      <c r="E12" s="10"/>
      <c r="F12" s="10"/>
      <c r="G12" s="10"/>
      <c r="H12" s="10"/>
      <c r="I12" s="10"/>
      <c r="J12" s="10"/>
      <c r="K12" s="10"/>
      <c r="L12" s="10"/>
      <c r="M12" s="10"/>
      <c r="N12" s="10"/>
      <c r="O12" s="10"/>
      <c r="P12" s="10"/>
      <c r="Q12" s="10"/>
      <c r="R12" s="10"/>
      <c r="S12" s="10"/>
      <c r="T12" s="10"/>
      <c r="U12" s="10"/>
      <c r="V12" s="10"/>
      <c r="W12" s="10"/>
      <c r="X12" s="10"/>
      <c r="Y12" s="11"/>
    </row>
    <row r="13" spans="2:29" x14ac:dyDescent="0.35">
      <c r="B13" s="499" t="s">
        <v>225</v>
      </c>
      <c r="C13" s="17" t="s">
        <v>323</v>
      </c>
      <c r="Y13" s="13"/>
    </row>
    <row r="14" spans="2:29" x14ac:dyDescent="0.35">
      <c r="B14" s="499"/>
      <c r="C14" s="17" t="s">
        <v>227</v>
      </c>
      <c r="Y14" s="13"/>
    </row>
    <row r="15" spans="2:29" x14ac:dyDescent="0.35">
      <c r="B15" s="14"/>
      <c r="C15" s="15"/>
      <c r="D15" s="15"/>
      <c r="E15" s="15"/>
      <c r="F15" s="15"/>
      <c r="G15" s="15"/>
      <c r="H15" s="15"/>
      <c r="I15" s="15"/>
      <c r="J15" s="15"/>
      <c r="K15" s="15"/>
      <c r="L15" s="15"/>
      <c r="M15" s="15"/>
      <c r="N15" s="15"/>
      <c r="O15" s="15"/>
      <c r="P15" s="15"/>
      <c r="Q15" s="15"/>
      <c r="R15" s="15"/>
      <c r="S15" s="15"/>
      <c r="T15" s="15"/>
      <c r="U15" s="15"/>
      <c r="V15" s="15"/>
      <c r="W15" s="15"/>
      <c r="X15" s="15"/>
      <c r="Y15" s="16"/>
    </row>
    <row r="17" spans="2:25" x14ac:dyDescent="0.35">
      <c r="B17" s="18" t="s">
        <v>230</v>
      </c>
      <c r="C17" s="136"/>
      <c r="D17" s="136"/>
      <c r="E17" s="136"/>
      <c r="F17" s="136"/>
      <c r="G17" s="136"/>
      <c r="H17" s="136"/>
      <c r="I17" s="136"/>
      <c r="J17" s="136"/>
      <c r="K17" s="136"/>
      <c r="L17" s="136"/>
      <c r="M17" s="136"/>
      <c r="N17" s="136"/>
      <c r="O17" s="136"/>
      <c r="P17" s="136"/>
      <c r="Q17" s="136"/>
      <c r="R17" s="136"/>
      <c r="S17" s="136"/>
      <c r="T17" s="136"/>
      <c r="U17" s="136"/>
      <c r="V17" s="136"/>
      <c r="W17" s="136"/>
      <c r="X17" s="136"/>
      <c r="Y17" s="136"/>
    </row>
    <row r="19" spans="2:25" x14ac:dyDescent="0.35">
      <c r="B19" s="2" t="s">
        <v>233</v>
      </c>
      <c r="I19" s="2" t="s">
        <v>285</v>
      </c>
    </row>
    <row r="20" spans="2:25" ht="110.25" customHeight="1" x14ac:dyDescent="0.35">
      <c r="B20" s="106" t="s">
        <v>324</v>
      </c>
      <c r="C20" s="106" t="s">
        <v>325</v>
      </c>
      <c r="D20" s="106" t="s">
        <v>326</v>
      </c>
      <c r="F20" s="167" t="s">
        <v>302</v>
      </c>
      <c r="G20" s="168"/>
      <c r="I20" s="106" t="s">
        <v>252</v>
      </c>
      <c r="J20" s="106" t="s">
        <v>253</v>
      </c>
      <c r="K20" s="106" t="s">
        <v>254</v>
      </c>
    </row>
    <row r="21" spans="2:25" x14ac:dyDescent="0.35">
      <c r="B21" s="248">
        <v>1175</v>
      </c>
      <c r="C21" s="40">
        <f>'Action 4 Calculations'!C39</f>
        <v>-17.209639798247125</v>
      </c>
      <c r="D21" s="56">
        <f>'Action 4 Calculations'!C38</f>
        <v>-5971.7450099917523</v>
      </c>
      <c r="F21" s="139" t="s">
        <v>305</v>
      </c>
      <c r="G21" s="140">
        <v>55</v>
      </c>
      <c r="I21" s="7" t="s">
        <v>311</v>
      </c>
      <c r="J21" s="248" t="s">
        <v>149</v>
      </c>
      <c r="K21" s="203">
        <v>0.05</v>
      </c>
    </row>
    <row r="24" spans="2:25" x14ac:dyDescent="0.35">
      <c r="I24" s="2" t="s">
        <v>327</v>
      </c>
    </row>
    <row r="25" spans="2:25" ht="48.65" customHeight="1" x14ac:dyDescent="0.35">
      <c r="B25" s="106" t="s">
        <v>328</v>
      </c>
      <c r="C25" s="180">
        <f>B21*C21</f>
        <v>-20221.326762940371</v>
      </c>
      <c r="I25" s="106" t="s">
        <v>329</v>
      </c>
      <c r="J25" s="189">
        <v>1000000</v>
      </c>
    </row>
    <row r="26" spans="2:25" ht="29" x14ac:dyDescent="0.35">
      <c r="B26" s="106" t="s">
        <v>330</v>
      </c>
      <c r="C26" s="180">
        <f>B21*D21</f>
        <v>-7016800.3867403092</v>
      </c>
      <c r="I26" s="106" t="s">
        <v>331</v>
      </c>
      <c r="J26" s="248" t="s">
        <v>148</v>
      </c>
    </row>
    <row r="27" spans="2:25" ht="29" x14ac:dyDescent="0.35">
      <c r="B27" s="106" t="s">
        <v>332</v>
      </c>
      <c r="C27" s="186">
        <f>IF(J26="YES",B21*J28,B21*J25)</f>
        <v>293750000</v>
      </c>
      <c r="I27" s="106" t="s">
        <v>333</v>
      </c>
      <c r="J27" s="394">
        <v>0.25</v>
      </c>
    </row>
    <row r="28" spans="2:25" ht="58" x14ac:dyDescent="0.35">
      <c r="B28" s="106" t="s">
        <v>243</v>
      </c>
      <c r="C28" s="186">
        <f>IF(J21="YES",C27*K21+C27,C27)</f>
        <v>293750000</v>
      </c>
      <c r="I28" s="106" t="s">
        <v>334</v>
      </c>
      <c r="J28" s="186">
        <f>J25*J27</f>
        <v>250000</v>
      </c>
    </row>
    <row r="35" spans="2:25" x14ac:dyDescent="0.35">
      <c r="B35" s="18" t="s">
        <v>256</v>
      </c>
      <c r="C35" s="18"/>
      <c r="D35" s="18"/>
      <c r="E35" s="18"/>
      <c r="F35" s="18"/>
      <c r="G35" s="18"/>
      <c r="H35" s="18"/>
      <c r="I35" s="18"/>
      <c r="J35" s="18"/>
      <c r="K35" s="18"/>
      <c r="L35" s="18"/>
      <c r="M35" s="18"/>
      <c r="N35" s="18"/>
      <c r="O35" s="18"/>
      <c r="P35" s="18"/>
      <c r="Q35" s="18"/>
      <c r="R35" s="18"/>
      <c r="S35" s="18"/>
      <c r="T35" s="136"/>
      <c r="U35" s="136"/>
      <c r="V35" s="136"/>
      <c r="W35" s="136"/>
      <c r="X35" s="136"/>
      <c r="Y35" s="136"/>
    </row>
    <row r="37" spans="2:25" x14ac:dyDescent="0.35">
      <c r="B37" s="2" t="s">
        <v>287</v>
      </c>
    </row>
    <row r="38" spans="2:25" ht="29" x14ac:dyDescent="0.35">
      <c r="B38" s="37" t="s">
        <v>335</v>
      </c>
      <c r="C38" s="37" t="s">
        <v>317</v>
      </c>
      <c r="D38" s="37" t="s">
        <v>318</v>
      </c>
      <c r="E38" s="37" t="s">
        <v>261</v>
      </c>
      <c r="F38" s="37" t="s">
        <v>319</v>
      </c>
    </row>
    <row r="39" spans="2:25" x14ac:dyDescent="0.35">
      <c r="B39" s="180">
        <f>C25</f>
        <v>-20221.326762940371</v>
      </c>
      <c r="C39" s="180">
        <f>C44/365</f>
        <v>-1057326.0856731974</v>
      </c>
      <c r="D39" s="186">
        <f>C27</f>
        <v>293750000</v>
      </c>
      <c r="E39" s="187">
        <f>-(D39/B39)</f>
        <v>14526.742159092928</v>
      </c>
      <c r="F39" s="187">
        <f>-(D39/(C39))</f>
        <v>277.82346806753566</v>
      </c>
    </row>
    <row r="41" spans="2:25" x14ac:dyDescent="0.35">
      <c r="M41" s="404"/>
      <c r="N41" s="405"/>
      <c r="O41" s="406"/>
    </row>
    <row r="42" spans="2:25" x14ac:dyDescent="0.35">
      <c r="B42" s="2" t="s">
        <v>288</v>
      </c>
      <c r="M42" s="404"/>
      <c r="N42" s="405"/>
      <c r="O42" s="406"/>
    </row>
    <row r="43" spans="2:25" ht="29" x14ac:dyDescent="0.35">
      <c r="B43" s="37" t="s">
        <v>336</v>
      </c>
      <c r="C43" s="37" t="s">
        <v>320</v>
      </c>
      <c r="D43" s="37" t="s">
        <v>318</v>
      </c>
      <c r="E43" s="37" t="s">
        <v>261</v>
      </c>
      <c r="F43" s="37" t="s">
        <v>319</v>
      </c>
    </row>
    <row r="44" spans="2:25" x14ac:dyDescent="0.35">
      <c r="B44" s="180">
        <f>C26</f>
        <v>-7016800.3867403092</v>
      </c>
      <c r="C44" s="180">
        <f>B44*G21</f>
        <v>-385924021.27071702</v>
      </c>
      <c r="D44" s="186">
        <f>C27</f>
        <v>293750000</v>
      </c>
      <c r="E44" s="187">
        <f>-(D44/B44)</f>
        <v>41.863810256751947</v>
      </c>
      <c r="F44" s="187">
        <f>-(D44/(C44))</f>
        <v>0.76116018648639905</v>
      </c>
    </row>
  </sheetData>
  <sheetProtection sheet="1" objects="1" scenarios="1"/>
  <protectedRanges>
    <protectedRange sqref="J25:J27" name="Range4"/>
    <protectedRange sqref="G21" name="Range2"/>
    <protectedRange sqref="B21:B22" name="Range1"/>
    <protectedRange sqref="J21:K21" name="Range3"/>
  </protectedRanges>
  <mergeCells count="1">
    <mergeCell ref="B13:B14"/>
  </mergeCells>
  <dataValidations count="3">
    <dataValidation type="list" allowBlank="1" showInputMessage="1" showErrorMessage="1" sqref="J26 J21" xr:uid="{4C7305EA-9A42-42B2-9132-C3D8C043E99E}">
      <formula1>$AC$3:$AC$4</formula1>
    </dataValidation>
    <dataValidation type="whole" allowBlank="1" showInputMessage="1" showErrorMessage="1" sqref="B21:B22" xr:uid="{C0D2DF48-3757-4167-BE5D-EAAC8367F2A7}">
      <formula1>1</formula1>
      <formula2>500000</formula2>
    </dataValidation>
    <dataValidation type="decimal" allowBlank="1" showInputMessage="1" showErrorMessage="1" sqref="J27" xr:uid="{88D775E1-285C-419E-B7AF-39D4C7248E44}">
      <formula1>0.01</formula1>
      <formula2>1</formula2>
    </dataValidation>
  </dataValidations>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E6433-EF8C-4885-AAA1-16115B7D2FE3}">
  <sheetPr>
    <tabColor theme="8"/>
  </sheetPr>
  <dimension ref="B1:AG63"/>
  <sheetViews>
    <sheetView topLeftCell="A31" zoomScale="87" zoomScaleNormal="87" workbookViewId="0">
      <selection activeCell="Q32" sqref="Q32:Q33"/>
    </sheetView>
  </sheetViews>
  <sheetFormatPr defaultRowHeight="14.5" x14ac:dyDescent="0.35"/>
  <cols>
    <col min="2" max="2" width="47" customWidth="1"/>
    <col min="3" max="3" width="21.54296875" customWidth="1"/>
    <col min="4" max="4" width="13.453125" bestFit="1" customWidth="1"/>
    <col min="5" max="5" width="13.453125" customWidth="1"/>
    <col min="6" max="6" width="19" customWidth="1"/>
    <col min="7" max="7" width="16.453125" customWidth="1"/>
    <col min="8" max="9" width="21" bestFit="1" customWidth="1"/>
    <col min="10" max="10" width="21.7265625" customWidth="1"/>
    <col min="11" max="11" width="6.26953125" customWidth="1"/>
    <col min="12" max="12" width="30.7265625" customWidth="1"/>
    <col min="13" max="13" width="18.54296875" customWidth="1"/>
    <col min="14" max="14" width="11.7265625" customWidth="1"/>
    <col min="15" max="15" width="4.7265625" customWidth="1"/>
    <col min="16" max="16" width="50.1796875" customWidth="1"/>
    <col min="17" max="17" width="11" customWidth="1"/>
    <col min="18" max="18" width="55.26953125" customWidth="1"/>
    <col min="25" max="25" width="8.453125" customWidth="1"/>
    <col min="26" max="26" width="8.54296875" customWidth="1"/>
    <col min="30" max="30" width="11" customWidth="1"/>
    <col min="32" max="32" width="9.1796875" customWidth="1"/>
  </cols>
  <sheetData>
    <row r="1" spans="2:33" ht="31" x14ac:dyDescent="0.7">
      <c r="B1" s="8" t="s">
        <v>172</v>
      </c>
    </row>
    <row r="3" spans="2:33" x14ac:dyDescent="0.35">
      <c r="B3" s="9" t="s">
        <v>29</v>
      </c>
      <c r="C3" s="10"/>
      <c r="D3" s="10"/>
      <c r="E3" s="10"/>
      <c r="F3" s="10"/>
      <c r="G3" s="10"/>
      <c r="H3" s="10"/>
      <c r="I3" s="10"/>
      <c r="J3" s="10"/>
      <c r="K3" s="10"/>
      <c r="L3" s="10"/>
      <c r="M3" s="10"/>
      <c r="N3" s="10"/>
      <c r="O3" s="10"/>
      <c r="P3" s="10"/>
      <c r="Q3" s="10"/>
      <c r="R3" s="10"/>
      <c r="S3" s="10"/>
      <c r="T3" s="10"/>
      <c r="U3" s="10"/>
      <c r="V3" s="10"/>
      <c r="W3" s="10"/>
      <c r="X3" s="10"/>
      <c r="Y3" s="10"/>
      <c r="Z3" s="10"/>
      <c r="AA3" s="10"/>
      <c r="AB3" s="11"/>
    </row>
    <row r="4" spans="2:33" x14ac:dyDescent="0.35">
      <c r="B4" s="49" t="s">
        <v>337</v>
      </c>
      <c r="AB4" s="13"/>
    </row>
    <row r="5" spans="2:33" x14ac:dyDescent="0.35">
      <c r="B5" s="49" t="s">
        <v>338</v>
      </c>
      <c r="AB5" s="13"/>
    </row>
    <row r="6" spans="2:33" x14ac:dyDescent="0.35">
      <c r="B6" s="14"/>
      <c r="C6" s="15"/>
      <c r="D6" s="15"/>
      <c r="E6" s="15"/>
      <c r="F6" s="15"/>
      <c r="G6" s="15"/>
      <c r="H6" s="15"/>
      <c r="I6" s="15"/>
      <c r="J6" s="15"/>
      <c r="K6" s="15"/>
      <c r="L6" s="15"/>
      <c r="M6" s="15"/>
      <c r="N6" s="15"/>
      <c r="O6" s="15"/>
      <c r="P6" s="15"/>
      <c r="Q6" s="15"/>
      <c r="R6" s="15"/>
      <c r="S6" s="15"/>
      <c r="T6" s="15"/>
      <c r="U6" s="15"/>
      <c r="V6" s="15"/>
      <c r="W6" s="15"/>
      <c r="X6" s="15"/>
      <c r="Y6" s="15"/>
      <c r="Z6" s="15"/>
      <c r="AA6" s="15"/>
      <c r="AB6" s="16"/>
    </row>
    <row r="8" spans="2:33" x14ac:dyDescent="0.35">
      <c r="B8" s="9" t="s">
        <v>221</v>
      </c>
      <c r="C8" s="10"/>
      <c r="D8" s="10"/>
      <c r="E8" s="10"/>
      <c r="F8" s="10"/>
      <c r="G8" s="10"/>
      <c r="H8" s="10"/>
      <c r="I8" s="10"/>
      <c r="J8" s="10"/>
      <c r="K8" s="10"/>
      <c r="L8" s="10"/>
      <c r="M8" s="10"/>
      <c r="N8" s="10"/>
      <c r="O8" s="10"/>
      <c r="P8" s="10"/>
      <c r="Q8" s="10"/>
      <c r="R8" s="10"/>
      <c r="S8" s="10"/>
      <c r="T8" s="10"/>
      <c r="U8" s="10"/>
      <c r="V8" s="10"/>
      <c r="W8" s="10"/>
      <c r="X8" s="10"/>
      <c r="Y8" s="10"/>
      <c r="Z8" s="10"/>
      <c r="AA8" s="10"/>
      <c r="AB8" s="11"/>
    </row>
    <row r="9" spans="2:33" x14ac:dyDescent="0.35">
      <c r="B9" s="12" t="s">
        <v>339</v>
      </c>
      <c r="AB9" s="13"/>
    </row>
    <row r="10" spans="2:33" x14ac:dyDescent="0.35">
      <c r="B10" s="12" t="s">
        <v>292</v>
      </c>
      <c r="AB10" s="13"/>
    </row>
    <row r="11" spans="2:33" x14ac:dyDescent="0.3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33" x14ac:dyDescent="0.35">
      <c r="AG12" t="s">
        <v>340</v>
      </c>
    </row>
    <row r="13" spans="2:33" x14ac:dyDescent="0.35">
      <c r="B13" s="9" t="s">
        <v>224</v>
      </c>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1"/>
      <c r="AG13" t="s">
        <v>341</v>
      </c>
    </row>
    <row r="14" spans="2:33" x14ac:dyDescent="0.35">
      <c r="B14" s="499" t="s">
        <v>225</v>
      </c>
      <c r="C14" s="17" t="s">
        <v>342</v>
      </c>
      <c r="AB14" s="13"/>
      <c r="AF14" t="s">
        <v>343</v>
      </c>
    </row>
    <row r="15" spans="2:33" x14ac:dyDescent="0.35">
      <c r="B15" s="499"/>
      <c r="C15" s="17" t="s">
        <v>227</v>
      </c>
      <c r="AB15" s="13"/>
      <c r="AF15" t="s">
        <v>148</v>
      </c>
    </row>
    <row r="16" spans="2:33" x14ac:dyDescent="0.35">
      <c r="B16" s="14"/>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6"/>
      <c r="AF16" t="s">
        <v>149</v>
      </c>
    </row>
    <row r="18" spans="2:32" x14ac:dyDescent="0.35">
      <c r="B18" s="18" t="s">
        <v>230</v>
      </c>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F18" t="s">
        <v>343</v>
      </c>
    </row>
    <row r="19" spans="2:32" x14ac:dyDescent="0.35">
      <c r="AF19" t="s">
        <v>148</v>
      </c>
    </row>
    <row r="20" spans="2:32" x14ac:dyDescent="0.35">
      <c r="B20" s="54" t="s">
        <v>344</v>
      </c>
    </row>
    <row r="21" spans="2:32" x14ac:dyDescent="0.35">
      <c r="B21" s="54"/>
    </row>
    <row r="22" spans="2:32" x14ac:dyDescent="0.35">
      <c r="B22" s="54" t="s">
        <v>345</v>
      </c>
    </row>
    <row r="23" spans="2:32" ht="29" x14ac:dyDescent="0.35">
      <c r="B23" s="166" t="s">
        <v>346</v>
      </c>
      <c r="C23" s="419" t="s">
        <v>340</v>
      </c>
    </row>
    <row r="26" spans="2:32" ht="43.5" x14ac:dyDescent="0.35">
      <c r="D26" s="166" t="s">
        <v>347</v>
      </c>
      <c r="E26" s="106" t="s">
        <v>348</v>
      </c>
      <c r="F26" s="106" t="s">
        <v>349</v>
      </c>
      <c r="G26" s="106" t="s">
        <v>245</v>
      </c>
      <c r="H26" s="166" t="s">
        <v>350</v>
      </c>
      <c r="I26" s="106" t="s">
        <v>243</v>
      </c>
      <c r="J26" s="106" t="s">
        <v>351</v>
      </c>
    </row>
    <row r="27" spans="2:32" x14ac:dyDescent="0.35">
      <c r="B27" s="109" t="s">
        <v>340</v>
      </c>
      <c r="C27" s="191"/>
      <c r="D27" s="56">
        <f>SUMIFS('Model VMT by TAZ'!J4:J2983,'Model VMT by TAZ'!C4:C2983,"YES")</f>
        <v>742635</v>
      </c>
      <c r="E27" s="56">
        <f>ROUNDUP(D27*M35,0)</f>
        <v>141101</v>
      </c>
      <c r="F27" s="48">
        <f>'Action 5 Calculations'!C19</f>
        <v>2.5808312579023707E-2</v>
      </c>
      <c r="G27" s="56">
        <f>'Action 5 Calculations'!E243</f>
        <v>-1663589.1914868478</v>
      </c>
      <c r="H27" s="201">
        <f>'Action 5 Calculations'!E272</f>
        <v>56440400</v>
      </c>
      <c r="I27" s="201">
        <f>IF($M$47="YES",H27*$N$47,0)+H27</f>
        <v>59262420</v>
      </c>
      <c r="J27" s="373">
        <f>IFERROR(-I27/G27,0)</f>
        <v>35.623229763252837</v>
      </c>
    </row>
    <row r="29" spans="2:32" x14ac:dyDescent="0.35">
      <c r="B29" s="2"/>
    </row>
    <row r="30" spans="2:32" x14ac:dyDescent="0.35">
      <c r="B30" s="2"/>
      <c r="K30" s="2"/>
      <c r="AF30" t="s">
        <v>149</v>
      </c>
    </row>
    <row r="31" spans="2:32" ht="43.5" x14ac:dyDescent="0.35">
      <c r="B31" s="166" t="s">
        <v>352</v>
      </c>
      <c r="C31" s="106" t="s">
        <v>353</v>
      </c>
      <c r="D31" s="166" t="s">
        <v>347</v>
      </c>
      <c r="E31" s="106" t="s">
        <v>348</v>
      </c>
      <c r="F31" s="106" t="s">
        <v>349</v>
      </c>
      <c r="G31" s="106" t="s">
        <v>245</v>
      </c>
      <c r="H31" s="166" t="s">
        <v>350</v>
      </c>
      <c r="I31" s="106" t="s">
        <v>243</v>
      </c>
      <c r="J31" s="106" t="s">
        <v>354</v>
      </c>
      <c r="L31" s="504" t="s">
        <v>233</v>
      </c>
      <c r="M31" s="505"/>
      <c r="P31" s="504" t="s">
        <v>349</v>
      </c>
      <c r="Q31" s="506"/>
      <c r="R31" s="505"/>
    </row>
    <row r="32" spans="2:32" ht="29" x14ac:dyDescent="0.35">
      <c r="B32" s="198" t="s">
        <v>355</v>
      </c>
      <c r="C32" s="248" t="s">
        <v>149</v>
      </c>
      <c r="D32" s="56">
        <f>SUMIFS('Model VMT by TAZ'!J:J,'Model VMT by TAZ'!B:B,'5.) Clipper Start - Bay Pass'!B32)</f>
        <v>7022</v>
      </c>
      <c r="E32" s="56">
        <f t="shared" ref="E32:E51" si="0">D32*$M$35</f>
        <v>1334.18</v>
      </c>
      <c r="F32" s="48">
        <f>'Action 5 Calculations'!C44</f>
        <v>1.4344247125968806E-2</v>
      </c>
      <c r="G32" s="56">
        <f>_xlfn.XLOOKUP(B32,'Action 5 Calculations'!$B$244:$B$263,'Action 5 Calculations'!$E$244:$E$263)</f>
        <v>-8039.2478732594218</v>
      </c>
      <c r="H32" s="201">
        <f t="shared" ref="H32:H51" si="1">$M$32*E32</f>
        <v>1067344</v>
      </c>
      <c r="I32" s="201">
        <f>IF($M$47="YES",H32*$N$47,0)+H32</f>
        <v>1120711.2</v>
      </c>
      <c r="J32" s="373">
        <f>IFERROR(-I32/G32,0)</f>
        <v>139.40498136993259</v>
      </c>
      <c r="L32" s="67" t="s">
        <v>356</v>
      </c>
      <c r="M32" s="193">
        <v>800</v>
      </c>
      <c r="P32" s="7" t="s">
        <v>357</v>
      </c>
      <c r="Q32" s="141" t="s">
        <v>149</v>
      </c>
      <c r="R32" s="502" t="s">
        <v>358</v>
      </c>
    </row>
    <row r="33" spans="2:18" ht="45.75" customHeight="1" x14ac:dyDescent="0.35">
      <c r="B33" s="198" t="s">
        <v>359</v>
      </c>
      <c r="C33" s="248" t="s">
        <v>149</v>
      </c>
      <c r="D33" s="56">
        <f>SUMIFS('Model VMT by TAZ'!J:J,'Model VMT by TAZ'!B:B,'5.) Clipper Start - Bay Pass'!B33)</f>
        <v>25251</v>
      </c>
      <c r="E33" s="56">
        <f t="shared" si="0"/>
        <v>4797.6900000000005</v>
      </c>
      <c r="F33" s="48">
        <f>'Action 5 Calculations'!C64</f>
        <v>1.74212951769257E-2</v>
      </c>
      <c r="G33" s="56">
        <f>_xlfn.XLOOKUP(B33,'Action 5 Calculations'!$B$244:$B$263,'Action 5 Calculations'!$E$244:$E$263)</f>
        <v>-39726.899957671609</v>
      </c>
      <c r="H33" s="201">
        <f t="shared" si="1"/>
        <v>3838152.0000000005</v>
      </c>
      <c r="I33" s="201">
        <f t="shared" ref="I33:I52" si="2">IF($M$47="YES",H33*$N$47,0)+H33</f>
        <v>4030059.6000000006</v>
      </c>
      <c r="J33" s="373">
        <f t="shared" ref="J33:J51" si="3">IFERROR(-I33/G33,0)</f>
        <v>101.4440996980375</v>
      </c>
      <c r="L33" s="67" t="s">
        <v>360</v>
      </c>
      <c r="M33" s="143">
        <f>IF(C23=AG12,D27,SUMIFS(D32:D51,C32:C51,"YES"))</f>
        <v>742635</v>
      </c>
      <c r="P33" s="7" t="s">
        <v>361</v>
      </c>
      <c r="Q33" s="192">
        <v>0.05</v>
      </c>
      <c r="R33" s="503"/>
    </row>
    <row r="34" spans="2:18" ht="29" x14ac:dyDescent="0.35">
      <c r="B34" s="198" t="s">
        <v>362</v>
      </c>
      <c r="C34" s="248" t="s">
        <v>149</v>
      </c>
      <c r="D34" s="56">
        <f>SUMIFS('Model VMT by TAZ'!J:J,'Model VMT by TAZ'!B:B,'5.) Clipper Start - Bay Pass'!B34)</f>
        <v>4388</v>
      </c>
      <c r="E34" s="56">
        <f t="shared" si="0"/>
        <v>833.72</v>
      </c>
      <c r="F34" s="48">
        <f>'Action 5 Calculations'!C84</f>
        <v>1.3087086026623266E-2</v>
      </c>
      <c r="G34" s="56">
        <f>_xlfn.XLOOKUP(B34,'Action 5 Calculations'!$B$244:$B$263,'Action 5 Calculations'!$E$244:$E$263)</f>
        <v>-5680.8802005176512</v>
      </c>
      <c r="H34" s="201">
        <f t="shared" si="1"/>
        <v>666976</v>
      </c>
      <c r="I34" s="201">
        <f t="shared" si="2"/>
        <v>700324.8</v>
      </c>
      <c r="J34" s="373">
        <f t="shared" si="3"/>
        <v>123.27751603284739</v>
      </c>
      <c r="L34" s="249" t="s">
        <v>363</v>
      </c>
      <c r="M34" s="192">
        <v>0.5</v>
      </c>
    </row>
    <row r="35" spans="2:18" ht="29" x14ac:dyDescent="0.35">
      <c r="B35" s="198" t="s">
        <v>364</v>
      </c>
      <c r="C35" s="248" t="s">
        <v>149</v>
      </c>
      <c r="D35" s="56">
        <f>SUMIFS('Model VMT by TAZ'!J:J,'Model VMT by TAZ'!B:B,'5.) Clipper Start - Bay Pass'!B35)</f>
        <v>29685</v>
      </c>
      <c r="E35" s="56">
        <f t="shared" si="0"/>
        <v>5640.15</v>
      </c>
      <c r="F35" s="48">
        <f>'Action 5 Calculations'!C104</f>
        <v>2.6242116771265193E-2</v>
      </c>
      <c r="G35" s="56">
        <f>_xlfn.XLOOKUP(B35,'Action 5 Calculations'!$B$244:$B$263,'Action 5 Calculations'!$E$244:$E$263)</f>
        <v>-72037.823808724628</v>
      </c>
      <c r="H35" s="201">
        <f t="shared" si="1"/>
        <v>4512120</v>
      </c>
      <c r="I35" s="201">
        <f t="shared" si="2"/>
        <v>4737726</v>
      </c>
      <c r="J35" s="373">
        <f t="shared" si="3"/>
        <v>65.767200472069305</v>
      </c>
      <c r="L35" s="249" t="s">
        <v>365</v>
      </c>
      <c r="M35" s="192">
        <v>0.19</v>
      </c>
    </row>
    <row r="36" spans="2:18" x14ac:dyDescent="0.35">
      <c r="B36" s="198" t="s">
        <v>366</v>
      </c>
      <c r="C36" s="248" t="s">
        <v>149</v>
      </c>
      <c r="D36" s="56">
        <f>SUMIFS('Model VMT by TAZ'!J:J,'Model VMT by TAZ'!B:B,'5.) Clipper Start - Bay Pass'!B36)</f>
        <v>3155</v>
      </c>
      <c r="E36" s="56">
        <f t="shared" si="0"/>
        <v>599.45000000000005</v>
      </c>
      <c r="F36" s="48">
        <f>'Action 5 Calculations'!C124</f>
        <v>3.9014538604900638E-2</v>
      </c>
      <c r="G36" s="56">
        <f>_xlfn.XLOOKUP(B36,'Action 5 Calculations'!$B$244:$B$263,'Action 5 Calculations'!$E$244:$E$263)</f>
        <v>-6532.5239183537378</v>
      </c>
      <c r="H36" s="201">
        <f t="shared" si="1"/>
        <v>479560.00000000006</v>
      </c>
      <c r="I36" s="201">
        <f t="shared" si="2"/>
        <v>503538.00000000006</v>
      </c>
      <c r="J36" s="373">
        <f t="shared" si="3"/>
        <v>77.081692511720149</v>
      </c>
      <c r="L36" s="249" t="s">
        <v>367</v>
      </c>
      <c r="M36" s="143">
        <f>M33*M35</f>
        <v>141100.65</v>
      </c>
    </row>
    <row r="37" spans="2:18" x14ac:dyDescent="0.35">
      <c r="B37" s="198" t="s">
        <v>368</v>
      </c>
      <c r="C37" s="248" t="s">
        <v>149</v>
      </c>
      <c r="D37" s="56">
        <f>SUMIFS('Model VMT by TAZ'!J:J,'Model VMT by TAZ'!B:B,'5.) Clipper Start - Bay Pass'!B37)</f>
        <v>101437</v>
      </c>
      <c r="E37" s="56">
        <f t="shared" si="0"/>
        <v>19273.03</v>
      </c>
      <c r="F37" s="48">
        <f>'Action 5 Calculations'!C144</f>
        <v>5.4819689515614826E-2</v>
      </c>
      <c r="G37" s="56">
        <f>_xlfn.XLOOKUP(B37,'Action 5 Calculations'!$B$244:$B$263,'Action 5 Calculations'!$E$244:$E$263)</f>
        <v>-407048.63045923453</v>
      </c>
      <c r="H37" s="201">
        <f t="shared" si="1"/>
        <v>15418424</v>
      </c>
      <c r="I37" s="201">
        <f t="shared" si="2"/>
        <v>16189345.199999999</v>
      </c>
      <c r="J37" s="373">
        <f t="shared" si="3"/>
        <v>39.772508709180741</v>
      </c>
      <c r="L37" s="67" t="s">
        <v>369</v>
      </c>
      <c r="M37" s="144">
        <f>M36*M32*M34</f>
        <v>56440260</v>
      </c>
    </row>
    <row r="38" spans="2:18" ht="29" x14ac:dyDescent="0.35">
      <c r="B38" s="198" t="s">
        <v>370</v>
      </c>
      <c r="C38" s="248" t="s">
        <v>149</v>
      </c>
      <c r="D38" s="56">
        <f>SUMIFS('Model VMT by TAZ'!J:J,'Model VMT by TAZ'!B:B,'5.) Clipper Start - Bay Pass'!B38)</f>
        <v>25474</v>
      </c>
      <c r="E38" s="56">
        <f t="shared" si="0"/>
        <v>4840.0600000000004</v>
      </c>
      <c r="F38" s="48">
        <f>'Action 5 Calculations'!C164</f>
        <v>2.2474554187381261E-2</v>
      </c>
      <c r="G38" s="56">
        <f>_xlfn.XLOOKUP(B38,'Action 5 Calculations'!$B$244:$B$263,'Action 5 Calculations'!$E$244:$E$263)</f>
        <v>-40792.959798627009</v>
      </c>
      <c r="H38" s="201">
        <f t="shared" si="1"/>
        <v>3872048.0000000005</v>
      </c>
      <c r="I38" s="201">
        <f t="shared" si="2"/>
        <v>4065650.4000000004</v>
      </c>
      <c r="J38" s="373">
        <f t="shared" si="3"/>
        <v>99.665491792454844</v>
      </c>
      <c r="L38" s="204" t="s">
        <v>371</v>
      </c>
      <c r="M38" s="275">
        <f>IF($M$47="YES",M37*$N$47,0)+M37</f>
        <v>59262273</v>
      </c>
    </row>
    <row r="39" spans="2:18" x14ac:dyDescent="0.35">
      <c r="B39" s="198" t="s">
        <v>372</v>
      </c>
      <c r="C39" s="248" t="s">
        <v>149</v>
      </c>
      <c r="D39" s="56">
        <f>SUMIFS('Model VMT by TAZ'!J:J,'Model VMT by TAZ'!B:B,'5.) Clipper Start - Bay Pass'!B39)</f>
        <v>31082</v>
      </c>
      <c r="E39" s="56">
        <f t="shared" si="0"/>
        <v>5905.58</v>
      </c>
      <c r="F39" s="48">
        <f>'Action 5 Calculations'!C184</f>
        <v>1.7107066833505644E-2</v>
      </c>
      <c r="G39" s="56">
        <f>_xlfn.XLOOKUP(B39,'Action 5 Calculations'!$B$244:$B$263,'Action 5 Calculations'!$E$244:$E$263)</f>
        <v>-56267.222876388281</v>
      </c>
      <c r="H39" s="201">
        <f t="shared" si="1"/>
        <v>4724464</v>
      </c>
      <c r="I39" s="201">
        <f t="shared" si="2"/>
        <v>4960687.2</v>
      </c>
      <c r="J39" s="373">
        <f t="shared" si="3"/>
        <v>88.163000525154402</v>
      </c>
    </row>
    <row r="40" spans="2:18" x14ac:dyDescent="0.35">
      <c r="B40" s="198" t="s">
        <v>373</v>
      </c>
      <c r="C40" s="248" t="s">
        <v>149</v>
      </c>
      <c r="D40" s="56">
        <f>SUMIFS('Model VMT by TAZ'!J:J,'Model VMT by TAZ'!B:B,'5.) Clipper Start - Bay Pass'!B40)</f>
        <v>10584</v>
      </c>
      <c r="E40" s="56">
        <f t="shared" si="0"/>
        <v>2010.96</v>
      </c>
      <c r="F40" s="48">
        <f>'Action 5 Calculations'!C204</f>
        <v>8.5696804192677764E-3</v>
      </c>
      <c r="G40" s="56">
        <f>_xlfn.XLOOKUP(B40,'Action 5 Calculations'!$B$244:$B$263,'Action 5 Calculations'!$E$244:$E$263)</f>
        <v>-10183.700053337407</v>
      </c>
      <c r="H40" s="201">
        <f t="shared" si="1"/>
        <v>1608768</v>
      </c>
      <c r="I40" s="201">
        <f t="shared" si="2"/>
        <v>1689206.4</v>
      </c>
      <c r="J40" s="373">
        <f t="shared" si="3"/>
        <v>165.8735421460506</v>
      </c>
      <c r="L40" s="2" t="s">
        <v>232</v>
      </c>
    </row>
    <row r="41" spans="2:18" x14ac:dyDescent="0.35">
      <c r="B41" s="198" t="s">
        <v>374</v>
      </c>
      <c r="C41" s="248" t="s">
        <v>149</v>
      </c>
      <c r="D41" s="56">
        <f>SUMIFS('Model VMT by TAZ'!J:J,'Model VMT by TAZ'!B:B,'5.) Clipper Start - Bay Pass'!B41)</f>
        <v>11102</v>
      </c>
      <c r="E41" s="56">
        <f t="shared" si="0"/>
        <v>2109.38</v>
      </c>
      <c r="F41" s="48">
        <f>'Action 5 Calculations'!C224</f>
        <v>1.2239290978038159E-2</v>
      </c>
      <c r="G41" s="56">
        <f>_xlfn.XLOOKUP(B41,'Action 5 Calculations'!$B$244:$B$263,'Action 5 Calculations'!$E$244:$E$263)</f>
        <v>-14929.425789934345</v>
      </c>
      <c r="H41" s="201">
        <f t="shared" si="1"/>
        <v>1687504</v>
      </c>
      <c r="I41" s="201">
        <f t="shared" si="2"/>
        <v>1771879.2</v>
      </c>
      <c r="J41" s="373">
        <f t="shared" si="3"/>
        <v>118.68368046644024</v>
      </c>
      <c r="L41" s="167" t="s">
        <v>232</v>
      </c>
      <c r="M41" s="168"/>
    </row>
    <row r="42" spans="2:18" x14ac:dyDescent="0.35">
      <c r="B42" s="198" t="s">
        <v>375</v>
      </c>
      <c r="C42" s="248" t="s">
        <v>149</v>
      </c>
      <c r="D42" s="56">
        <f>SUMIFS('Model VMT by TAZ'!J:J,'Model VMT by TAZ'!B:B,'5.) Clipper Start - Bay Pass'!B42)</f>
        <v>35567</v>
      </c>
      <c r="E42" s="56">
        <f t="shared" si="0"/>
        <v>6757.7300000000005</v>
      </c>
      <c r="F42" s="48">
        <f>'Action 5 Calculations'!I44</f>
        <v>2.628937221871246E-2</v>
      </c>
      <c r="G42" s="56">
        <f>_xlfn.XLOOKUP(B42,'Action 5 Calculations'!$B$244:$B$263,'Action 5 Calculations'!$E$244:$E$263)</f>
        <v>-70294.220370594718</v>
      </c>
      <c r="H42" s="201">
        <f t="shared" si="1"/>
        <v>5406184</v>
      </c>
      <c r="I42" s="201">
        <f t="shared" si="2"/>
        <v>5676493.2000000002</v>
      </c>
      <c r="J42" s="373">
        <f t="shared" si="3"/>
        <v>80.753341740945956</v>
      </c>
      <c r="L42" s="139" t="s">
        <v>236</v>
      </c>
      <c r="M42" s="140">
        <v>30</v>
      </c>
    </row>
    <row r="43" spans="2:18" x14ac:dyDescent="0.35">
      <c r="B43" s="198" t="s">
        <v>376</v>
      </c>
      <c r="C43" s="248" t="s">
        <v>149</v>
      </c>
      <c r="D43" s="56">
        <f>SUMIFS('Model VMT by TAZ'!J:J,'Model VMT by TAZ'!B:B,'5.) Clipper Start - Bay Pass'!B43)</f>
        <v>22658</v>
      </c>
      <c r="E43" s="56">
        <f t="shared" si="0"/>
        <v>4305.0200000000004</v>
      </c>
      <c r="F43" s="48">
        <f>'Action 5 Calculations'!I64</f>
        <v>2.8617089287417703E-2</v>
      </c>
      <c r="G43" s="56">
        <f>_xlfn.XLOOKUP(B43,'Action 5 Calculations'!$B$244:$B$263,'Action 5 Calculations'!$E$244:$E$263)</f>
        <v>-51791.390584982531</v>
      </c>
      <c r="H43" s="201">
        <f t="shared" si="1"/>
        <v>3444016.0000000005</v>
      </c>
      <c r="I43" s="201">
        <f t="shared" si="2"/>
        <v>3616216.8000000007</v>
      </c>
      <c r="J43" s="373">
        <f t="shared" si="3"/>
        <v>69.822740018271716</v>
      </c>
    </row>
    <row r="44" spans="2:18" x14ac:dyDescent="0.35">
      <c r="B44" s="198" t="s">
        <v>377</v>
      </c>
      <c r="C44" s="248" t="s">
        <v>149</v>
      </c>
      <c r="D44" s="56">
        <f>SUMIFS('Model VMT by TAZ'!J:J,'Model VMT by TAZ'!B:B,'5.) Clipper Start - Bay Pass'!B44)</f>
        <v>29802</v>
      </c>
      <c r="E44" s="56">
        <f t="shared" si="0"/>
        <v>5662.38</v>
      </c>
      <c r="F44" s="48">
        <f>'Action 5 Calculations'!I84</f>
        <v>2.9913323350624379E-2</v>
      </c>
      <c r="G44" s="56">
        <f>_xlfn.XLOOKUP(B44,'Action 5 Calculations'!$B$244:$B$263,'Action 5 Calculations'!$E$244:$E$263)</f>
        <v>-88422.594116857043</v>
      </c>
      <c r="H44" s="201">
        <f t="shared" si="1"/>
        <v>4529904</v>
      </c>
      <c r="I44" s="201">
        <f t="shared" si="2"/>
        <v>4756399.2</v>
      </c>
      <c r="J44" s="373">
        <f t="shared" si="3"/>
        <v>53.791672224794318</v>
      </c>
    </row>
    <row r="45" spans="2:18" x14ac:dyDescent="0.35">
      <c r="B45" s="198" t="s">
        <v>378</v>
      </c>
      <c r="C45" s="248" t="s">
        <v>149</v>
      </c>
      <c r="D45" s="56">
        <f>SUMIFS('Model VMT by TAZ'!J:J,'Model VMT by TAZ'!B:B,'5.) Clipper Start - Bay Pass'!B45)</f>
        <v>4563</v>
      </c>
      <c r="E45" s="56">
        <f t="shared" si="0"/>
        <v>866.97</v>
      </c>
      <c r="F45" s="48">
        <f>'Action 5 Calculations'!I104</f>
        <v>0</v>
      </c>
      <c r="G45" s="56">
        <f>_xlfn.XLOOKUP(B45,'Action 5 Calculations'!$B$244:$B$263,'Action 5 Calculations'!$E$244:$E$263)</f>
        <v>0</v>
      </c>
      <c r="H45" s="201">
        <f t="shared" si="1"/>
        <v>693576</v>
      </c>
      <c r="I45" s="201">
        <f t="shared" si="2"/>
        <v>728254.8</v>
      </c>
      <c r="J45" s="373">
        <f t="shared" si="3"/>
        <v>0</v>
      </c>
      <c r="L45" s="2" t="s">
        <v>285</v>
      </c>
    </row>
    <row r="46" spans="2:18" x14ac:dyDescent="0.35">
      <c r="B46" s="198" t="s">
        <v>379</v>
      </c>
      <c r="C46" s="248" t="s">
        <v>149</v>
      </c>
      <c r="D46" s="56">
        <f>SUMIFS('Model VMT by TAZ'!J:J,'Model VMT by TAZ'!B:B,'5.) Clipper Start - Bay Pass'!B46)</f>
        <v>79464</v>
      </c>
      <c r="E46" s="56">
        <f t="shared" si="0"/>
        <v>15098.16</v>
      </c>
      <c r="F46" s="48">
        <f>'Action 5 Calculations'!I124</f>
        <v>1.7307366422442867E-2</v>
      </c>
      <c r="G46" s="56">
        <f>_xlfn.XLOOKUP(B46,'Action 5 Calculations'!$B$244:$B$263,'Action 5 Calculations'!$E$244:$E$263)</f>
        <v>-115773.33727845956</v>
      </c>
      <c r="H46" s="201">
        <f t="shared" si="1"/>
        <v>12078528</v>
      </c>
      <c r="I46" s="201">
        <f t="shared" si="2"/>
        <v>12682454.4</v>
      </c>
      <c r="J46" s="373">
        <f t="shared" si="3"/>
        <v>109.54555425396431</v>
      </c>
      <c r="L46" s="106" t="s">
        <v>252</v>
      </c>
      <c r="M46" s="106" t="s">
        <v>253</v>
      </c>
      <c r="N46" s="106" t="s">
        <v>254</v>
      </c>
    </row>
    <row r="47" spans="2:18" x14ac:dyDescent="0.35">
      <c r="B47" s="198" t="s">
        <v>380</v>
      </c>
      <c r="C47" s="248" t="s">
        <v>149</v>
      </c>
      <c r="D47" s="56">
        <f>SUMIFS('Model VMT by TAZ'!J:J,'Model VMT by TAZ'!B:B,'5.) Clipper Start - Bay Pass'!B47)</f>
        <v>43377</v>
      </c>
      <c r="E47" s="56">
        <f t="shared" si="0"/>
        <v>8241.6299999999992</v>
      </c>
      <c r="F47" s="48">
        <f>'Action 5 Calculations'!I144</f>
        <v>3.2870308740977051E-2</v>
      </c>
      <c r="G47" s="56">
        <f>_xlfn.XLOOKUP(B47,'Action 5 Calculations'!$B$244:$B$263,'Action 5 Calculations'!$E$244:$E$263)</f>
        <v>-111215.96634406943</v>
      </c>
      <c r="H47" s="201">
        <f t="shared" si="1"/>
        <v>6593303.9999999991</v>
      </c>
      <c r="I47" s="201">
        <f t="shared" si="2"/>
        <v>6922969.1999999993</v>
      </c>
      <c r="J47" s="373">
        <f t="shared" si="3"/>
        <v>62.247979562416177</v>
      </c>
      <c r="L47" s="7" t="s">
        <v>311</v>
      </c>
      <c r="M47" s="141" t="s">
        <v>148</v>
      </c>
      <c r="N47" s="142">
        <v>0.05</v>
      </c>
    </row>
    <row r="48" spans="2:18" x14ac:dyDescent="0.35">
      <c r="B48" s="198" t="s">
        <v>381</v>
      </c>
      <c r="C48" s="248" t="s">
        <v>149</v>
      </c>
      <c r="D48" s="56">
        <f>SUMIFS('Model VMT by TAZ'!J:J,'Model VMT by TAZ'!B:B,'5.) Clipper Start - Bay Pass'!B48)</f>
        <v>29258</v>
      </c>
      <c r="E48" s="56">
        <f t="shared" si="0"/>
        <v>5559.02</v>
      </c>
      <c r="F48" s="48">
        <f>'Action 5 Calculations'!I164</f>
        <v>1.6811019050569434E-2</v>
      </c>
      <c r="G48" s="56">
        <f>_xlfn.XLOOKUP(B48,'Action 5 Calculations'!$B$244:$B$263,'Action 5 Calculations'!$E$244:$E$263)</f>
        <v>-41896.56497680473</v>
      </c>
      <c r="H48" s="201">
        <f t="shared" si="1"/>
        <v>4447216</v>
      </c>
      <c r="I48" s="201">
        <f t="shared" si="2"/>
        <v>4669576.8</v>
      </c>
      <c r="J48" s="373">
        <f t="shared" si="3"/>
        <v>111.45488425089803</v>
      </c>
    </row>
    <row r="49" spans="2:28" x14ac:dyDescent="0.35">
      <c r="B49" s="198" t="s">
        <v>382</v>
      </c>
      <c r="C49" s="248" t="s">
        <v>149</v>
      </c>
      <c r="D49" s="56">
        <f>SUMIFS('Model VMT by TAZ'!J:J,'Model VMT by TAZ'!B:B,'5.) Clipper Start - Bay Pass'!B49)</f>
        <v>99489</v>
      </c>
      <c r="E49" s="56">
        <f t="shared" si="0"/>
        <v>18902.91</v>
      </c>
      <c r="F49" s="48">
        <f>'Action 5 Calculations'!I184</f>
        <v>2.4427430203110591E-2</v>
      </c>
      <c r="G49" s="56">
        <f>_xlfn.XLOOKUP(B49,'Action 5 Calculations'!$B$244:$B$263,'Action 5 Calculations'!$E$244:$E$263)</f>
        <v>-204353.91840291198</v>
      </c>
      <c r="H49" s="201">
        <f t="shared" si="1"/>
        <v>15122328</v>
      </c>
      <c r="I49" s="201">
        <f t="shared" si="2"/>
        <v>15878444.4</v>
      </c>
      <c r="J49" s="373">
        <f t="shared" si="3"/>
        <v>77.700709260164288</v>
      </c>
    </row>
    <row r="50" spans="2:28" x14ac:dyDescent="0.35">
      <c r="B50" s="198" t="s">
        <v>299</v>
      </c>
      <c r="C50" s="248" t="s">
        <v>149</v>
      </c>
      <c r="D50" s="56">
        <f>SUMIFS('Model VMT by TAZ'!J:J,'Model VMT by TAZ'!B:B,'5.) Clipper Start - Bay Pass'!B50)</f>
        <v>67421</v>
      </c>
      <c r="E50" s="56">
        <f t="shared" si="0"/>
        <v>12809.99</v>
      </c>
      <c r="F50" s="48">
        <f>'Action 5 Calculations'!I204</f>
        <v>3.2206302351430106E-2</v>
      </c>
      <c r="G50" s="56">
        <f>_xlfn.XLOOKUP(B50,'Action 5 Calculations'!$B$244:$B$263,'Action 5 Calculations'!$E$244:$E$263)</f>
        <v>-156174.29243803371</v>
      </c>
      <c r="H50" s="201">
        <f t="shared" si="1"/>
        <v>10247992</v>
      </c>
      <c r="I50" s="201">
        <f t="shared" si="2"/>
        <v>10760391.6</v>
      </c>
      <c r="J50" s="373">
        <f t="shared" si="3"/>
        <v>68.899890193320203</v>
      </c>
    </row>
    <row r="51" spans="2:28" x14ac:dyDescent="0.35">
      <c r="B51" s="198" t="s">
        <v>383</v>
      </c>
      <c r="C51" s="248" t="s">
        <v>149</v>
      </c>
      <c r="D51" s="56">
        <f>SUMIFS('Model VMT by TAZ'!J:J,'Model VMT by TAZ'!B:B,'5.) Clipper Start - Bay Pass'!B51)</f>
        <v>2747</v>
      </c>
      <c r="E51" s="56">
        <f t="shared" si="0"/>
        <v>521.92999999999995</v>
      </c>
      <c r="F51" s="48">
        <f>'Action 5 Calculations'!I224</f>
        <v>1.6644625607225285E-3</v>
      </c>
      <c r="G51" s="56">
        <f>_xlfn.XLOOKUP(B51,'Action 5 Calculations'!$B$244:$B$263,'Action 5 Calculations'!$E$244:$E$263)</f>
        <v>-650.37129096643173</v>
      </c>
      <c r="H51" s="201">
        <f t="shared" si="1"/>
        <v>417543.99999999994</v>
      </c>
      <c r="I51" s="201">
        <f t="shared" si="2"/>
        <v>438421.19999999995</v>
      </c>
      <c r="J51" s="373">
        <f t="shared" si="3"/>
        <v>674.10909135998224</v>
      </c>
    </row>
    <row r="52" spans="2:28" x14ac:dyDescent="0.35">
      <c r="B52" s="69" t="s">
        <v>384</v>
      </c>
      <c r="G52" s="180">
        <f>SUM(G32:G51)</f>
        <v>-1501811.9705397284</v>
      </c>
      <c r="H52" s="202">
        <f>SUM(H32:H51)</f>
        <v>100855952</v>
      </c>
      <c r="I52" s="202">
        <f t="shared" si="2"/>
        <v>105898749.59999999</v>
      </c>
      <c r="J52" s="199"/>
    </row>
    <row r="54" spans="2:28" x14ac:dyDescent="0.35">
      <c r="B54" s="18" t="s">
        <v>256</v>
      </c>
      <c r="C54" s="18"/>
      <c r="D54" s="18"/>
      <c r="E54" s="18"/>
      <c r="F54" s="18"/>
      <c r="G54" s="18"/>
      <c r="H54" s="18"/>
      <c r="I54" s="18"/>
      <c r="J54" s="18"/>
      <c r="K54" s="18"/>
      <c r="L54" s="18"/>
      <c r="M54" s="18"/>
      <c r="N54" s="18"/>
      <c r="O54" s="18"/>
      <c r="P54" s="18"/>
      <c r="Q54" s="18"/>
      <c r="R54" s="18"/>
      <c r="S54" s="18"/>
      <c r="T54" s="18"/>
      <c r="U54" s="18"/>
      <c r="V54" s="18"/>
      <c r="W54" s="136"/>
      <c r="X54" s="136"/>
      <c r="Y54" s="136"/>
      <c r="Z54" s="136"/>
      <c r="AA54" s="136"/>
      <c r="AB54" s="136"/>
    </row>
    <row r="56" spans="2:28" x14ac:dyDescent="0.35">
      <c r="B56" s="2" t="s">
        <v>287</v>
      </c>
    </row>
    <row r="57" spans="2:28" ht="58" x14ac:dyDescent="0.35">
      <c r="B57" s="37" t="s">
        <v>258</v>
      </c>
      <c r="C57" s="37" t="s">
        <v>385</v>
      </c>
      <c r="D57" s="37" t="s">
        <v>260</v>
      </c>
      <c r="E57" s="37" t="s">
        <v>261</v>
      </c>
      <c r="F57" s="37" t="s">
        <v>262</v>
      </c>
      <c r="G57" s="37" t="s">
        <v>263</v>
      </c>
    </row>
    <row r="58" spans="2:28" x14ac:dyDescent="0.35">
      <c r="B58" s="180">
        <f>B63/'Action 5 Calculations'!D243</f>
        <v>-4794.2051627863048</v>
      </c>
      <c r="C58" s="180">
        <f>C63/'Action 5 Calculations'!D243</f>
        <v>-143826.15488358916</v>
      </c>
      <c r="D58" s="186">
        <f>D63</f>
        <v>59262273</v>
      </c>
      <c r="E58" s="186">
        <f>IFERROR(-(D58/B58),0)</f>
        <v>12361.230065831776</v>
      </c>
      <c r="F58" s="186">
        <f>F63</f>
        <v>1777868190</v>
      </c>
      <c r="G58" s="186">
        <f>IFERROR(-(F58/C58),0)</f>
        <v>12361.230065831776</v>
      </c>
    </row>
    <row r="61" spans="2:28" x14ac:dyDescent="0.35">
      <c r="B61" s="2" t="s">
        <v>288</v>
      </c>
    </row>
    <row r="62" spans="2:28" ht="58" x14ac:dyDescent="0.35">
      <c r="B62" s="37" t="s">
        <v>245</v>
      </c>
      <c r="C62" s="37" t="s">
        <v>259</v>
      </c>
      <c r="D62" s="37" t="s">
        <v>260</v>
      </c>
      <c r="E62" s="37" t="s">
        <v>261</v>
      </c>
      <c r="F62" s="37" t="s">
        <v>262</v>
      </c>
      <c r="G62" s="37" t="s">
        <v>263</v>
      </c>
    </row>
    <row r="63" spans="2:28" x14ac:dyDescent="0.35">
      <c r="B63" s="180">
        <f>IF(C23=AG12,G27,SUMIFS(G32:G51, C32:C51, "YES"))</f>
        <v>-1663589.1914868478</v>
      </c>
      <c r="C63" s="180">
        <f>B63*M42</f>
        <v>-49907675.744605437</v>
      </c>
      <c r="D63" s="186">
        <f>M38</f>
        <v>59262273</v>
      </c>
      <c r="E63" s="187">
        <f>IFERROR(-(D63/B63),0)</f>
        <v>35.623141400091576</v>
      </c>
      <c r="F63" s="186">
        <f>M42*D63</f>
        <v>1777868190</v>
      </c>
      <c r="G63" s="187">
        <f>IFERROR(-(F63/C63),0)</f>
        <v>35.623141400091576</v>
      </c>
    </row>
  </sheetData>
  <sheetProtection sheet="1" objects="1" scenarios="1"/>
  <protectedRanges>
    <protectedRange sqref="Q32:Q33" name="Range7"/>
    <protectedRange sqref="M42" name="Range5"/>
    <protectedRange sqref="M32" name="Range3"/>
    <protectedRange sqref="C23" name="Range1"/>
    <protectedRange sqref="C32:C51" name="Range2"/>
    <protectedRange sqref="M34:M35" name="Range4"/>
    <protectedRange sqref="M47" name="Range6"/>
  </protectedRanges>
  <mergeCells count="4">
    <mergeCell ref="R32:R33"/>
    <mergeCell ref="B14:B15"/>
    <mergeCell ref="L31:M31"/>
    <mergeCell ref="P31:R31"/>
  </mergeCells>
  <dataValidations count="2">
    <dataValidation type="list" allowBlank="1" showInputMessage="1" showErrorMessage="1" sqref="Q32 M47 C32:C51" xr:uid="{E87EE1DA-B2E8-42C7-875D-1B7B2E66A1F2}">
      <formula1>$AF$15:$AF$16</formula1>
    </dataValidation>
    <dataValidation type="list" allowBlank="1" showInputMessage="1" showErrorMessage="1" sqref="C23" xr:uid="{49C81C8D-401E-4AF9-A16A-E05430CE75FE}">
      <formula1>$AG$12:$AG$13</formula1>
    </dataValidation>
  </dataValidations>
  <pageMargins left="0.7" right="0.7" top="0.75" bottom="0.75" header="0.3" footer="0.3"/>
  <legacy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F0B8-7C32-4A8D-990E-0140ABDED5B7}">
  <sheetPr>
    <tabColor theme="8"/>
  </sheetPr>
  <dimension ref="B1:AG57"/>
  <sheetViews>
    <sheetView topLeftCell="A27" zoomScale="90" zoomScaleNormal="90" workbookViewId="0">
      <selection activeCell="C34" sqref="C34"/>
    </sheetView>
  </sheetViews>
  <sheetFormatPr defaultRowHeight="14.5" x14ac:dyDescent="0.35"/>
  <cols>
    <col min="2" max="2" width="47" customWidth="1"/>
    <col min="3" max="3" width="26.453125" customWidth="1"/>
    <col min="4" max="4" width="35.453125" customWidth="1"/>
    <col min="5" max="5" width="13.453125" customWidth="1"/>
    <col min="6" max="6" width="24.1796875" customWidth="1"/>
    <col min="7" max="7" width="16.453125" customWidth="1"/>
    <col min="8" max="9" width="21" bestFit="1" customWidth="1"/>
    <col min="10" max="10" width="21.7265625" customWidth="1"/>
    <col min="11" max="11" width="25.7265625" bestFit="1" customWidth="1"/>
    <col min="12" max="12" width="30.7265625" customWidth="1"/>
    <col min="13" max="13" width="18.54296875" customWidth="1"/>
    <col min="14" max="14" width="27.54296875" customWidth="1"/>
    <col min="15" max="15" width="10" customWidth="1"/>
    <col min="16" max="16" width="50.1796875" customWidth="1"/>
    <col min="17" max="17" width="11" customWidth="1"/>
    <col min="18" max="18" width="55.26953125" customWidth="1"/>
    <col min="25" max="25" width="8.453125" customWidth="1"/>
    <col min="26" max="26" width="8.54296875" customWidth="1"/>
    <col min="30" max="30" width="11" customWidth="1"/>
    <col min="32" max="32" width="9.1796875" customWidth="1"/>
  </cols>
  <sheetData>
    <row r="1" spans="2:33" ht="31" x14ac:dyDescent="0.7">
      <c r="B1" s="8" t="s">
        <v>172</v>
      </c>
    </row>
    <row r="3" spans="2:33" x14ac:dyDescent="0.35">
      <c r="B3" s="9" t="s">
        <v>29</v>
      </c>
      <c r="C3" s="10"/>
      <c r="D3" s="10"/>
      <c r="E3" s="10"/>
      <c r="F3" s="10"/>
      <c r="G3" s="10"/>
      <c r="H3" s="10"/>
      <c r="I3" s="10"/>
      <c r="J3" s="10"/>
      <c r="K3" s="10"/>
      <c r="L3" s="10"/>
      <c r="M3" s="10"/>
      <c r="N3" s="10"/>
      <c r="O3" s="10"/>
      <c r="P3" s="10"/>
      <c r="Q3" s="10"/>
      <c r="R3" s="10"/>
      <c r="S3" s="10"/>
      <c r="T3" s="10"/>
      <c r="U3" s="10"/>
      <c r="V3" s="10"/>
      <c r="W3" s="10"/>
      <c r="X3" s="10"/>
      <c r="Y3" s="10"/>
      <c r="Z3" s="10"/>
      <c r="AA3" s="10"/>
      <c r="AB3" s="11"/>
    </row>
    <row r="4" spans="2:33" x14ac:dyDescent="0.35">
      <c r="B4" s="49" t="s">
        <v>337</v>
      </c>
      <c r="AB4" s="13"/>
    </row>
    <row r="5" spans="2:33" x14ac:dyDescent="0.35">
      <c r="B5" s="49" t="s">
        <v>386</v>
      </c>
      <c r="AB5" s="13"/>
    </row>
    <row r="6" spans="2:33" x14ac:dyDescent="0.35">
      <c r="B6" s="14"/>
      <c r="C6" s="15"/>
      <c r="D6" s="15"/>
      <c r="E6" s="15"/>
      <c r="F6" s="15"/>
      <c r="G6" s="15"/>
      <c r="H6" s="15"/>
      <c r="I6" s="15"/>
      <c r="J6" s="15"/>
      <c r="K6" s="15"/>
      <c r="L6" s="15"/>
      <c r="M6" s="15"/>
      <c r="N6" s="15"/>
      <c r="O6" s="15"/>
      <c r="P6" s="15"/>
      <c r="Q6" s="15"/>
      <c r="R6" s="15"/>
      <c r="S6" s="15"/>
      <c r="T6" s="15"/>
      <c r="U6" s="15"/>
      <c r="V6" s="15"/>
      <c r="W6" s="15"/>
      <c r="X6" s="15"/>
      <c r="Y6" s="15"/>
      <c r="Z6" s="15"/>
      <c r="AA6" s="15"/>
      <c r="AB6" s="16"/>
    </row>
    <row r="8" spans="2:33" x14ac:dyDescent="0.35">
      <c r="B8" s="9" t="s">
        <v>221</v>
      </c>
      <c r="C8" s="10"/>
      <c r="D8" s="10"/>
      <c r="E8" s="10"/>
      <c r="F8" s="10"/>
      <c r="G8" s="10"/>
      <c r="H8" s="10"/>
      <c r="I8" s="10"/>
      <c r="J8" s="10"/>
      <c r="K8" s="10"/>
      <c r="L8" s="10"/>
      <c r="M8" s="10"/>
      <c r="N8" s="10"/>
      <c r="O8" s="10"/>
      <c r="P8" s="10"/>
      <c r="Q8" s="10"/>
      <c r="R8" s="10"/>
      <c r="S8" s="10"/>
      <c r="T8" s="10"/>
      <c r="U8" s="10"/>
      <c r="V8" s="10"/>
      <c r="W8" s="10"/>
      <c r="X8" s="10"/>
      <c r="Y8" s="10"/>
      <c r="Z8" s="10"/>
      <c r="AA8" s="10"/>
      <c r="AB8" s="11"/>
    </row>
    <row r="9" spans="2:33" x14ac:dyDescent="0.35">
      <c r="B9" s="12" t="s">
        <v>387</v>
      </c>
      <c r="AB9" s="13"/>
    </row>
    <row r="10" spans="2:33" x14ac:dyDescent="0.35">
      <c r="B10" s="12" t="s">
        <v>292</v>
      </c>
      <c r="AB10" s="13"/>
    </row>
    <row r="11" spans="2:33" x14ac:dyDescent="0.3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6"/>
    </row>
    <row r="12" spans="2:33" x14ac:dyDescent="0.35">
      <c r="AG12" t="s">
        <v>340</v>
      </c>
    </row>
    <row r="13" spans="2:33" x14ac:dyDescent="0.35">
      <c r="B13" s="9" t="s">
        <v>224</v>
      </c>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1"/>
      <c r="AG13" t="s">
        <v>341</v>
      </c>
    </row>
    <row r="14" spans="2:33" x14ac:dyDescent="0.35">
      <c r="B14" s="499" t="s">
        <v>225</v>
      </c>
      <c r="C14" s="17" t="s">
        <v>342</v>
      </c>
      <c r="AB14" s="13"/>
      <c r="AF14" t="s">
        <v>343</v>
      </c>
    </row>
    <row r="15" spans="2:33" x14ac:dyDescent="0.35">
      <c r="B15" s="499"/>
      <c r="C15" s="17" t="s">
        <v>227</v>
      </c>
      <c r="AB15" s="13"/>
      <c r="AF15" t="s">
        <v>148</v>
      </c>
    </row>
    <row r="16" spans="2:33" x14ac:dyDescent="0.35">
      <c r="B16" s="14"/>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6"/>
      <c r="AF16" t="s">
        <v>149</v>
      </c>
    </row>
    <row r="18" spans="2:28" x14ac:dyDescent="0.35">
      <c r="B18" s="18" t="s">
        <v>230</v>
      </c>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row>
    <row r="20" spans="2:28" x14ac:dyDescent="0.35">
      <c r="B20" s="54" t="s">
        <v>388</v>
      </c>
      <c r="E20" s="445"/>
      <c r="F20" s="446" t="s">
        <v>389</v>
      </c>
      <c r="G20" s="10"/>
      <c r="H20" s="10"/>
      <c r="I20" s="10"/>
      <c r="J20" s="10"/>
      <c r="K20" s="10"/>
      <c r="L20" s="11"/>
    </row>
    <row r="21" spans="2:28" x14ac:dyDescent="0.35">
      <c r="B21" s="166" t="s">
        <v>390</v>
      </c>
      <c r="C21" s="419" t="s">
        <v>340</v>
      </c>
      <c r="E21" s="12"/>
      <c r="F21" s="2" t="s">
        <v>232</v>
      </c>
      <c r="I21" s="2" t="s">
        <v>285</v>
      </c>
      <c r="L21" s="13"/>
    </row>
    <row r="22" spans="2:28" x14ac:dyDescent="0.35">
      <c r="B22" s="54"/>
      <c r="E22" s="12"/>
      <c r="F22" s="507" t="s">
        <v>232</v>
      </c>
      <c r="G22" s="508"/>
      <c r="I22" s="106" t="s">
        <v>252</v>
      </c>
      <c r="J22" s="106" t="s">
        <v>253</v>
      </c>
      <c r="K22" s="106" t="s">
        <v>254</v>
      </c>
      <c r="L22" s="13"/>
    </row>
    <row r="23" spans="2:28" x14ac:dyDescent="0.35">
      <c r="B23" s="54" t="s">
        <v>391</v>
      </c>
      <c r="E23" s="12"/>
      <c r="F23" s="139" t="s">
        <v>236</v>
      </c>
      <c r="G23" s="140">
        <v>30</v>
      </c>
      <c r="I23" s="7" t="s">
        <v>311</v>
      </c>
      <c r="J23" s="141" t="s">
        <v>148</v>
      </c>
      <c r="K23" s="142">
        <v>0.05</v>
      </c>
      <c r="L23" s="13"/>
    </row>
    <row r="24" spans="2:28" x14ac:dyDescent="0.35">
      <c r="B24" s="166" t="s">
        <v>392</v>
      </c>
      <c r="C24" s="419" t="s">
        <v>368</v>
      </c>
      <c r="E24" s="12"/>
      <c r="L24" s="13"/>
    </row>
    <row r="25" spans="2:28" x14ac:dyDescent="0.35">
      <c r="B25" s="54"/>
      <c r="E25" s="12"/>
      <c r="I25" s="504" t="s">
        <v>349</v>
      </c>
      <c r="J25" s="506"/>
      <c r="K25" s="505"/>
      <c r="L25" s="13"/>
    </row>
    <row r="26" spans="2:28" ht="43.5" x14ac:dyDescent="0.35">
      <c r="B26" s="54" t="s">
        <v>393</v>
      </c>
      <c r="E26" s="12"/>
      <c r="I26" s="7" t="s">
        <v>357</v>
      </c>
      <c r="J26" s="141" t="s">
        <v>148</v>
      </c>
      <c r="K26" s="502" t="s">
        <v>358</v>
      </c>
      <c r="L26" s="13"/>
    </row>
    <row r="27" spans="2:28" ht="43.5" x14ac:dyDescent="0.35">
      <c r="B27" s="504" t="s">
        <v>233</v>
      </c>
      <c r="C27" s="505"/>
      <c r="E27" s="12"/>
      <c r="I27" s="7" t="s">
        <v>361</v>
      </c>
      <c r="J27" s="192">
        <v>0.05</v>
      </c>
      <c r="K27" s="503"/>
      <c r="L27" s="13"/>
    </row>
    <row r="28" spans="2:28" x14ac:dyDescent="0.35">
      <c r="B28" s="67" t="s">
        <v>356</v>
      </c>
      <c r="C28" s="193">
        <v>800</v>
      </c>
      <c r="E28" s="14"/>
      <c r="F28" s="15"/>
      <c r="G28" s="15"/>
      <c r="H28" s="15"/>
      <c r="I28" s="15"/>
      <c r="J28" s="15"/>
      <c r="K28" s="15"/>
      <c r="L28" s="16"/>
    </row>
    <row r="29" spans="2:28" ht="29" x14ac:dyDescent="0.35">
      <c r="B29" s="67" t="s">
        <v>363</v>
      </c>
      <c r="C29" s="192">
        <v>0.5</v>
      </c>
    </row>
    <row r="30" spans="2:28" ht="39.75" customHeight="1" x14ac:dyDescent="0.35"/>
    <row r="32" spans="2:28" x14ac:dyDescent="0.35">
      <c r="B32" s="54" t="s">
        <v>394</v>
      </c>
    </row>
    <row r="33" spans="2:28" x14ac:dyDescent="0.35">
      <c r="B33" s="450" t="s">
        <v>395</v>
      </c>
      <c r="C33" s="140">
        <v>150</v>
      </c>
    </row>
    <row r="34" spans="2:28" x14ac:dyDescent="0.35">
      <c r="B34" s="450" t="s">
        <v>396</v>
      </c>
      <c r="C34" s="448" t="str">
        <f>IF(C21=AG12,C21,C24)</f>
        <v>Countywide Implementation</v>
      </c>
    </row>
    <row r="35" spans="2:28" x14ac:dyDescent="0.35">
      <c r="B35" s="450" t="s">
        <v>397</v>
      </c>
      <c r="C35" s="449">
        <f>IF(C21=AG12,'Action 5a Calculations'!C40,'Action 5a Calculations'!C41)</f>
        <v>-3.3977201116977884E-2</v>
      </c>
    </row>
    <row r="36" spans="2:28" x14ac:dyDescent="0.35">
      <c r="B36" s="450" t="s">
        <v>398</v>
      </c>
      <c r="C36" s="449">
        <f>IF(C21=AG12,'Action 5a Calculations'!D44,'Action 5a Calculations'!D45)</f>
        <v>-11.790088787591326</v>
      </c>
    </row>
    <row r="38" spans="2:28" x14ac:dyDescent="0.35">
      <c r="B38" s="450" t="s">
        <v>399</v>
      </c>
      <c r="C38" s="27">
        <f>C33*C35</f>
        <v>-5.0965801675466826</v>
      </c>
    </row>
    <row r="39" spans="2:28" x14ac:dyDescent="0.35">
      <c r="B39" s="450" t="s">
        <v>400</v>
      </c>
      <c r="C39" s="40">
        <f>C33*C36</f>
        <v>-1768.5133181386989</v>
      </c>
    </row>
    <row r="41" spans="2:28" x14ac:dyDescent="0.35">
      <c r="B41" s="166" t="s">
        <v>401</v>
      </c>
      <c r="C41" s="201">
        <f>C28*C33</f>
        <v>120000</v>
      </c>
    </row>
    <row r="42" spans="2:28" x14ac:dyDescent="0.35">
      <c r="B42" s="166" t="s">
        <v>402</v>
      </c>
      <c r="C42" s="201">
        <f>C41*K23</f>
        <v>6000</v>
      </c>
    </row>
    <row r="43" spans="2:28" x14ac:dyDescent="0.35">
      <c r="B43" s="166" t="s">
        <v>403</v>
      </c>
      <c r="C43" s="201">
        <f>C41+C42</f>
        <v>126000</v>
      </c>
    </row>
    <row r="46" spans="2:28" x14ac:dyDescent="0.35">
      <c r="B46" s="18" t="s">
        <v>256</v>
      </c>
      <c r="C46" s="18"/>
      <c r="D46" s="18"/>
      <c r="E46" s="18"/>
      <c r="F46" s="18"/>
      <c r="G46" s="18"/>
      <c r="H46" s="18"/>
      <c r="I46" s="18"/>
      <c r="J46" s="18"/>
      <c r="K46" s="18"/>
      <c r="L46" s="18"/>
      <c r="M46" s="18"/>
      <c r="N46" s="18"/>
      <c r="O46" s="18"/>
      <c r="P46" s="18"/>
      <c r="Q46" s="18"/>
      <c r="R46" s="18"/>
      <c r="S46" s="18"/>
      <c r="T46" s="18"/>
      <c r="U46" s="18"/>
      <c r="V46" s="18"/>
      <c r="W46" s="136"/>
      <c r="X46" s="136"/>
      <c r="Y46" s="136"/>
      <c r="Z46" s="136"/>
      <c r="AA46" s="136"/>
      <c r="AB46" s="136"/>
    </row>
    <row r="48" spans="2:28" x14ac:dyDescent="0.35">
      <c r="B48" s="54" t="s">
        <v>404</v>
      </c>
    </row>
    <row r="50" spans="2:7" x14ac:dyDescent="0.35">
      <c r="B50" s="2" t="s">
        <v>287</v>
      </c>
    </row>
    <row r="51" spans="2:7" ht="29" x14ac:dyDescent="0.35">
      <c r="B51" s="37" t="s">
        <v>258</v>
      </c>
      <c r="C51" s="37" t="s">
        <v>385</v>
      </c>
      <c r="D51" s="37" t="s">
        <v>260</v>
      </c>
      <c r="E51" s="37" t="s">
        <v>261</v>
      </c>
      <c r="F51" s="37" t="s">
        <v>262</v>
      </c>
      <c r="G51" s="37" t="s">
        <v>263</v>
      </c>
    </row>
    <row r="52" spans="2:7" x14ac:dyDescent="0.35">
      <c r="B52" s="180">
        <f>C38</f>
        <v>-5.0965801675466826</v>
      </c>
      <c r="C52" s="180">
        <f>B52*G23</f>
        <v>-152.89740502640049</v>
      </c>
      <c r="D52" s="186">
        <f>C43</f>
        <v>126000</v>
      </c>
      <c r="E52" s="186">
        <f>-D52/B52</f>
        <v>24722.460131663549</v>
      </c>
      <c r="F52" s="186">
        <f>D52*G23</f>
        <v>3780000</v>
      </c>
      <c r="G52" s="186">
        <f>-F52/C52</f>
        <v>24722.460131663549</v>
      </c>
    </row>
    <row r="55" spans="2:7" x14ac:dyDescent="0.35">
      <c r="B55" s="2" t="s">
        <v>288</v>
      </c>
    </row>
    <row r="56" spans="2:7" ht="29" x14ac:dyDescent="0.35">
      <c r="B56" s="37" t="s">
        <v>245</v>
      </c>
      <c r="C56" s="37" t="s">
        <v>259</v>
      </c>
      <c r="D56" s="37" t="s">
        <v>260</v>
      </c>
      <c r="E56" s="37" t="s">
        <v>261</v>
      </c>
      <c r="F56" s="37" t="s">
        <v>262</v>
      </c>
      <c r="G56" s="37" t="s">
        <v>263</v>
      </c>
    </row>
    <row r="57" spans="2:7" x14ac:dyDescent="0.35">
      <c r="B57" s="180">
        <f>C39</f>
        <v>-1768.5133181386989</v>
      </c>
      <c r="C57" s="180">
        <f>B57*G23</f>
        <v>-53055.399544160966</v>
      </c>
      <c r="D57" s="186">
        <f>D52</f>
        <v>126000</v>
      </c>
      <c r="E57" s="186">
        <f>-D57/B57</f>
        <v>71.246282800183138</v>
      </c>
      <c r="F57" s="186">
        <f>D57*G23</f>
        <v>3780000</v>
      </c>
      <c r="G57" s="186">
        <f>-F57/C57</f>
        <v>71.246282800183138</v>
      </c>
    </row>
  </sheetData>
  <sheetProtection sheet="1" objects="1" scenarios="1"/>
  <protectedRanges>
    <protectedRange sqref="C33" name="Range8"/>
    <protectedRange sqref="J26:J27" name="Range6"/>
    <protectedRange sqref="C33" name="Range4"/>
    <protectedRange sqref="C24" name="Range2"/>
    <protectedRange sqref="C21" name="Range1"/>
    <protectedRange sqref="C28:C29" name="Range3"/>
    <protectedRange sqref="J23" name="Range5"/>
    <protectedRange sqref="C28:C29" name="Range7"/>
  </protectedRanges>
  <mergeCells count="5">
    <mergeCell ref="F22:G22"/>
    <mergeCell ref="B14:B15"/>
    <mergeCell ref="B27:C27"/>
    <mergeCell ref="I25:K25"/>
    <mergeCell ref="K26:K27"/>
  </mergeCells>
  <dataValidations count="2">
    <dataValidation type="list" allowBlank="1" showInputMessage="1" showErrorMessage="1" sqref="C21" xr:uid="{7CD2FAC9-80E9-4670-9259-360B5276EF69}">
      <formula1>$AG$12:$AG$13</formula1>
    </dataValidation>
    <dataValidation type="list" allowBlank="1" showInputMessage="1" showErrorMessage="1" sqref="J23:J26" xr:uid="{96B9AFE3-3804-4371-B5EB-61133EC1067F}">
      <formula1>$AF$15:$AF$16</formula1>
    </dataValidation>
  </dataValidations>
  <pageMargins left="0.7" right="0.7" top="0.75" bottom="0.75" header="0.3" footer="0.3"/>
  <legacyDrawing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E114502B-64D7-49AE-8F8E-FC5097AD4B38}">
          <x14:formula1>
            <xm:f>'Action 5a Calculations'!$R$3:$R$20</xm:f>
          </x14:formula1>
          <xm:sqref>C24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ec39aad-b01c-4e11-ad05-328baba4e3a3">
      <Terms xmlns="http://schemas.microsoft.com/office/infopath/2007/PartnerControls"/>
    </lcf76f155ced4ddcb4097134ff3c332f>
    <TaxCatchAll xmlns="cdb14c41-e112-49c8-a7a0-7309ea4f6a7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6CB5E8DA046634ABFE615E064181C5E" ma:contentTypeVersion="12" ma:contentTypeDescription="Create a new document." ma:contentTypeScope="" ma:versionID="901f1eaa6594c747b9fd9868a9038de6">
  <xsd:schema xmlns:xsd="http://www.w3.org/2001/XMLSchema" xmlns:xs="http://www.w3.org/2001/XMLSchema" xmlns:p="http://schemas.microsoft.com/office/2006/metadata/properties" xmlns:ns2="6ec39aad-b01c-4e11-ad05-328baba4e3a3" xmlns:ns3="cdb14c41-e112-49c8-a7a0-7309ea4f6a7c" targetNamespace="http://schemas.microsoft.com/office/2006/metadata/properties" ma:root="true" ma:fieldsID="f7b0b9815c2448456bc51375b030b2f3" ns2:_="" ns3:_="">
    <xsd:import namespace="6ec39aad-b01c-4e11-ad05-328baba4e3a3"/>
    <xsd:import namespace="cdb14c41-e112-49c8-a7a0-7309ea4f6a7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c39aad-b01c-4e11-ad05-328baba4e3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847fb5b-a061-47a4-81b5-5d739b16c6e2"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db14c41-e112-49c8-a7a0-7309ea4f6a7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0cc40030-5037-4500-a47e-c2ed91e2d588}" ma:internalName="TaxCatchAll" ma:showField="CatchAllData" ma:web="cdb14c41-e112-49c8-a7a0-7309ea4f6a7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C1F591-5294-444A-841E-A514CEA362CA}">
  <ds:schemaRefs>
    <ds:schemaRef ds:uri="http://schemas.microsoft.com/sharepoint/v3/contenttype/forms"/>
  </ds:schemaRefs>
</ds:datastoreItem>
</file>

<file path=customXml/itemProps2.xml><?xml version="1.0" encoding="utf-8"?>
<ds:datastoreItem xmlns:ds="http://schemas.openxmlformats.org/officeDocument/2006/customXml" ds:itemID="{52823DDC-1419-4D5B-9A39-8860E9521911}">
  <ds:schemaRefs>
    <ds:schemaRef ds:uri="http://schemas.microsoft.com/office/2006/metadata/properties"/>
    <ds:schemaRef ds:uri="http://schemas.microsoft.com/office/infopath/2007/PartnerControls"/>
    <ds:schemaRef ds:uri="6ec39aad-b01c-4e11-ad05-328baba4e3a3"/>
    <ds:schemaRef ds:uri="cdb14c41-e112-49c8-a7a0-7309ea4f6a7c"/>
  </ds:schemaRefs>
</ds:datastoreItem>
</file>

<file path=customXml/itemProps3.xml><?xml version="1.0" encoding="utf-8"?>
<ds:datastoreItem xmlns:ds="http://schemas.openxmlformats.org/officeDocument/2006/customXml" ds:itemID="{1FE5AFC4-AA13-4CE8-BE2C-72D56144A3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c39aad-b01c-4e11-ad05-328baba4e3a3"/>
    <ds:schemaRef ds:uri="cdb14c41-e112-49c8-a7a0-7309ea4f6a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58</vt:i4>
      </vt:variant>
    </vt:vector>
  </HeadingPairs>
  <TitlesOfParts>
    <vt:vector size="58" baseType="lpstr">
      <vt:lpstr>README</vt:lpstr>
      <vt:lpstr>Mitigation Summary - Annual VMT</vt:lpstr>
      <vt:lpstr>Mitigation Summary - Daily VMT</vt:lpstr>
      <vt:lpstr>1.) Caltrain Service Expansion</vt:lpstr>
      <vt:lpstr>2.) Enhance Route ECR Frequency</vt:lpstr>
      <vt:lpstr>3.) ECR Transit Priority</vt:lpstr>
      <vt:lpstr>4.) Affordable Housing</vt:lpstr>
      <vt:lpstr>5.) Clipper Start - Bay Pass</vt:lpstr>
      <vt:lpstr>5a.) Clipper Start (cont.)</vt:lpstr>
      <vt:lpstr>Model Modeshare by TAZ</vt:lpstr>
      <vt:lpstr>Model VMT by TAZ</vt:lpstr>
      <vt:lpstr>Other Model Data by TAZ</vt:lpstr>
      <vt:lpstr>6.) E-Bike Rebate Program</vt:lpstr>
      <vt:lpstr>7.) Community Travel Education</vt:lpstr>
      <vt:lpstr>8.) Mobility Hubs</vt:lpstr>
      <vt:lpstr>9.) Micromobility Services</vt:lpstr>
      <vt:lpstr>10.) Shuttles-Microtransit</vt:lpstr>
      <vt:lpstr>11.) EV Charging Facilities</vt:lpstr>
      <vt:lpstr>12.) Bicycle Infrastructure</vt:lpstr>
      <vt:lpstr>12a.) CustomBicycleProject</vt:lpstr>
      <vt:lpstr>13.) Pedestrian Infrastructure</vt:lpstr>
      <vt:lpstr>14.) Parking Benefit Districts</vt:lpstr>
      <vt:lpstr>Action 1 Calculations</vt:lpstr>
      <vt:lpstr>Action 2 Calculations</vt:lpstr>
      <vt:lpstr>Action 3 Calculations</vt:lpstr>
      <vt:lpstr>Action 4 Calculations</vt:lpstr>
      <vt:lpstr>Action 5 Calculations</vt:lpstr>
      <vt:lpstr>Action 5a Calculations</vt:lpstr>
      <vt:lpstr>Action 6 Calculations</vt:lpstr>
      <vt:lpstr>Action 7 Calculations</vt:lpstr>
      <vt:lpstr>Action 8 Calculations</vt:lpstr>
      <vt:lpstr>Action 9 Calculations</vt:lpstr>
      <vt:lpstr>Action 10 Calculations</vt:lpstr>
      <vt:lpstr>Action 11 Calculations</vt:lpstr>
      <vt:lpstr>Action 12 Calculation</vt:lpstr>
      <vt:lpstr>Action 12a Calculation</vt:lpstr>
      <vt:lpstr>Action 13 Calculation</vt:lpstr>
      <vt:lpstr>Action 14 Calculation</vt:lpstr>
      <vt:lpstr>Action 2 Data</vt:lpstr>
      <vt:lpstr>Action 3 TAZ Data</vt:lpstr>
      <vt:lpstr>Action 3 Road Data</vt:lpstr>
      <vt:lpstr>Action 4 Model Data</vt:lpstr>
      <vt:lpstr>Action 8 Data</vt:lpstr>
      <vt:lpstr>Action 10 East Palo Alto</vt:lpstr>
      <vt:lpstr>Action 10 Half Moon Bay</vt:lpstr>
      <vt:lpstr>Action 12 Daly City Data</vt:lpstr>
      <vt:lpstr>Action 12 Skyline Data</vt:lpstr>
      <vt:lpstr>Action 12 Coastside Data</vt:lpstr>
      <vt:lpstr>Action 12 EPA Data</vt:lpstr>
      <vt:lpstr>Action 12 Belmont_RWC Data</vt:lpstr>
      <vt:lpstr>Action 12 San Carlos Data</vt:lpstr>
      <vt:lpstr>Action 12 ADT</vt:lpstr>
      <vt:lpstr>Action 14 Data</vt:lpstr>
      <vt:lpstr>Action 1 Data</vt:lpstr>
      <vt:lpstr>VMT by City</vt:lpstr>
      <vt:lpstr>TAZs by City - San Mateo County</vt:lpstr>
      <vt:lpstr>TAZs by City - CCAG Model</vt:lpstr>
      <vt:lpstr>Action 4_CHTSTripLengths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Murray</dc:creator>
  <cp:keywords/>
  <dc:description/>
  <cp:lastModifiedBy>Kim Springer</cp:lastModifiedBy>
  <cp:revision/>
  <dcterms:created xsi:type="dcterms:W3CDTF">2015-06-05T18:17:20Z</dcterms:created>
  <dcterms:modified xsi:type="dcterms:W3CDTF">2024-12-07T00:07:04Z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0x01010096CB5E8DA046634ABFE615E064181C5E</vt:lpwstr>
  </property>
  <property fmtid="{D5CDD505-2E9C-101B-9397-08002B2CF9AE}" pid="3" name="MediaServiceImageTags">
    <vt:lpwstr/>
  </property>
</Properties>
</file>